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pivotCache/pivotCacheDefinition6.xml" ContentType="application/vnd.openxmlformats-officedocument.spreadsheetml.pivotCacheDefinition+xml"/>
  <Override PartName="/xl/pivotCache/pivotCacheRecords6.xml" ContentType="application/vnd.openxmlformats-officedocument.spreadsheetml.pivotCacheRecords+xml"/>
  <Override PartName="/xl/pivotCache/pivotCacheDefinition7.xml" ContentType="application/vnd.openxmlformats-officedocument.spreadsheetml.pivotCacheDefinition+xml"/>
  <Override PartName="/xl/pivotCache/pivotCacheRecords7.xml" ContentType="application/vnd.openxmlformats-officedocument.spreadsheetml.pivotCacheRecords+xml"/>
  <Override PartName="/xl/pivotCache/pivotCacheDefinition8.xml" ContentType="application/vnd.openxmlformats-officedocument.spreadsheetml.pivotCacheDefinition+xml"/>
  <Override PartName="/xl/pivotCache/pivotCacheRecords8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10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5.xml" ContentType="application/vnd.openxmlformats-officedocument.drawing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6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7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7.xml" ContentType="application/vnd.openxmlformats-officedocument.drawing+xml"/>
  <Override PartName="/xl/charts/chart18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9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charts/chart20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21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pivotTables/pivotTable1.xml" ContentType="application/vnd.openxmlformats-officedocument.spreadsheetml.pivotTable+xml"/>
  <Override PartName="/xl/drawings/drawing11.xml" ContentType="application/vnd.openxmlformats-officedocument.drawing+xml"/>
  <Override PartName="/xl/charts/chart22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pivotTables/pivotTable2.xml" ContentType="application/vnd.openxmlformats-officedocument.spreadsheetml.pivotTable+xml"/>
  <Override PartName="/xl/drawings/drawing12.xml" ContentType="application/vnd.openxmlformats-officedocument.drawing+xml"/>
  <Override PartName="/xl/comments3.xml" ContentType="application/vnd.openxmlformats-officedocument.spreadsheetml.comments+xml"/>
  <Override PartName="/xl/charts/chart23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pivotTables/pivotTable3.xml" ContentType="application/vnd.openxmlformats-officedocument.spreadsheetml.pivotTable+xml"/>
  <Override PartName="/xl/drawings/drawing13.xml" ContentType="application/vnd.openxmlformats-officedocument.drawing+xml"/>
  <Override PartName="/xl/comments4.xml" ContentType="application/vnd.openxmlformats-officedocument.spreadsheetml.comments+xml"/>
  <Override PartName="/xl/charts/chart24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pivotTables/pivotTable4.xml" ContentType="application/vnd.openxmlformats-officedocument.spreadsheetml.pivotTab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pivotTables/pivotTable5.xml" ContentType="application/vnd.openxmlformats-officedocument.spreadsheetml.pivotTab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GitHub - DK-BioRES\"/>
    </mc:Choice>
  </mc:AlternateContent>
  <xr:revisionPtr revIDLastSave="0" documentId="13_ncr:1_{4DAAB519-F6E5-49A2-B7AB-258A9465BACF}" xr6:coauthVersionLast="47" xr6:coauthVersionMax="47" xr10:uidLastSave="{00000000-0000-0000-0000-000000000000}"/>
  <bookViews>
    <workbookView xWindow="1170" yWindow="1170" windowWidth="21600" windowHeight="12450" tabRatio="945" activeTab="1" xr2:uid="{86D0E40E-C8C7-410E-B314-8472CCF1C330}"/>
  </bookViews>
  <sheets>
    <sheet name="Overblik" sheetId="1" r:id="rId1"/>
    <sheet name="Resume" sheetId="70" r:id="rId2"/>
    <sheet name="Farvekoder" sheetId="73" state="hidden" r:id="rId3"/>
    <sheet name="Arealanvendelse" sheetId="9" r:id="rId4"/>
    <sheet name="Landbrug" sheetId="17" r:id="rId5"/>
    <sheet name="Fodersammensætning" sheetId="34" r:id="rId6"/>
    <sheet name="Skovbrug" sheetId="26" r:id="rId7"/>
    <sheet name="Skovbrug-alder" sheetId="72" state="hidden" r:id="rId8"/>
    <sheet name="Havbrug" sheetId="32" r:id="rId9"/>
    <sheet name="Adfærd" sheetId="6" r:id="rId10"/>
    <sheet name="Biogasanlæg" sheetId="39" r:id="rId11"/>
    <sheet name="Forbrug til andet" sheetId="8" r:id="rId12"/>
    <sheet name="Direkte input" sheetId="35" r:id="rId13"/>
    <sheet name="Forbrug af biomasse" sheetId="38" r:id="rId14"/>
    <sheet name="Restprodukter" sheetId="53" r:id="rId15"/>
    <sheet name="Resultater - Vestdanmark" sheetId="37" r:id="rId16"/>
    <sheet name="Resultater - Østdanmark" sheetId="58" r:id="rId17"/>
    <sheet name="Resultater - Danmark" sheetId="41" r:id="rId18"/>
    <sheet name="Resultat-Produktion &amp; forbrug" sheetId="66" r:id="rId19"/>
    <sheet name="Landbrugsareal - resultat" sheetId="20" state="hidden" r:id="rId20"/>
    <sheet name="Pivot tabeller og data" sheetId="68" state="hidden" r:id="rId21"/>
    <sheet name="Resultat-Forbrug af biomasse" sheetId="56" state="hidden" r:id="rId22"/>
    <sheet name="Resultat-Import" sheetId="51" state="hidden" r:id="rId23"/>
    <sheet name="Resultat-Eksport" sheetId="71" state="hidden" r:id="rId24"/>
    <sheet name="Resultat-Potentiale til energi" sheetId="50" state="hidden" r:id="rId25"/>
    <sheet name="Resultat-Tørstof til energi" sheetId="67" state="hidden" r:id="rId26"/>
    <sheet name="CO2-pivot" sheetId="64" state="hidden" r:id="rId27"/>
    <sheet name="CO2-udledning" sheetId="63" state="hidden" r:id="rId28"/>
    <sheet name="Produktion afgrøder-pivot" sheetId="60" state="hidden" r:id="rId29"/>
    <sheet name="Produktion af afgrøder" sheetId="57" state="hidden" r:id="rId30"/>
    <sheet name="Produkt skovbrug" sheetId="62" state="hidden" r:id="rId31"/>
    <sheet name="Produkt havbrug" sheetId="61" state="hidden" r:id="rId32"/>
    <sheet name="Arealanvendelse - pivot" sheetId="23" state="hidden" r:id="rId33"/>
    <sheet name="Pivot chart - landbrug" sheetId="19" state="hidden" r:id="rId34"/>
    <sheet name="Arealanvendelsesresultater-big" sheetId="22" state="hidden" r:id="rId35"/>
    <sheet name="Landbrugsresultater - pivot" sheetId="18" state="hidden" r:id="rId36"/>
  </sheets>
  <externalReferences>
    <externalReference r:id="rId37"/>
  </externalReferences>
  <definedNames>
    <definedName name="_xlnm._FilterDatabase" localSheetId="12" hidden="1">'Direkte input'!$A$2:$I$230</definedName>
    <definedName name="_xlnm._FilterDatabase" localSheetId="2" hidden="1">Farvekoder!$A$1:$A$70</definedName>
    <definedName name="_xlnm._FilterDatabase" localSheetId="13" hidden="1">'Forbrug af biomasse'!$A$1:$G$415</definedName>
    <definedName name="_xlnm._FilterDatabase" localSheetId="17" hidden="1">'Resultater - Danmark'!$A$2:$O$497</definedName>
    <definedName name="_xlnm._FilterDatabase" localSheetId="15" hidden="1">'Resultater - Vestdanmark'!$A$2:$U$497</definedName>
    <definedName name="_xlnm._FilterDatabase" localSheetId="18" hidden="1">'Resultat-Produktion &amp; forbrug'!$A$2:$Z$290</definedName>
    <definedName name="Afgrøder">Overblik!$D$12</definedName>
    <definedName name="År1">Overblik!$D$18</definedName>
    <definedName name="År2">Overblik!$D$19</definedName>
    <definedName name="År3">Overblik!$D$20</definedName>
    <definedName name="Bebyg">Overblik!$D$11</definedName>
    <definedName name="IKareal">Overblik!$D$15</definedName>
    <definedName name="Jordbund1">Overblik!$D$6</definedName>
    <definedName name="NaturAreal">Overblik!$D$14</definedName>
    <definedName name="Organ12">Overblik!$D$8</definedName>
    <definedName name="Organ6">Overblik!$D$7</definedName>
    <definedName name="SkovAreal">Overblik!$D$13</definedName>
  </definedNames>
  <calcPr calcId="191029"/>
  <pivotCaches>
    <pivotCache cacheId="16" r:id="rId38"/>
    <pivotCache cacheId="17" r:id="rId39"/>
    <pivotCache cacheId="18" r:id="rId40"/>
    <pivotCache cacheId="19" r:id="rId41"/>
    <pivotCache cacheId="20" r:id="rId42"/>
    <pivotCache cacheId="21" r:id="rId43"/>
    <pivotCache cacheId="22" r:id="rId44"/>
    <pivotCache cacheId="23" r:id="rId4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D281" i="72" l="1" a="1"/>
  <c r="D281" i="72" s="1"/>
  <c r="D252" i="72" a="1"/>
  <c r="D252" i="72" s="1"/>
  <c r="D251" i="72" a="1"/>
  <c r="D251" i="72" s="1"/>
  <c r="D250" i="72" a="1"/>
  <c r="D250" i="72" s="1"/>
  <c r="D221" i="72" a="1"/>
  <c r="D221" i="72" s="1"/>
  <c r="D220" i="72" a="1"/>
  <c r="D220" i="72" s="1"/>
  <c r="D219" i="72" a="1"/>
  <c r="D219" i="72" s="1"/>
  <c r="D189" i="72" a="1"/>
  <c r="D189" i="72" s="1"/>
  <c r="D188" i="72" a="1"/>
  <c r="D188" i="72" s="1"/>
  <c r="D157" i="72" a="1"/>
  <c r="D157" i="72" s="1"/>
  <c r="D126" i="72" a="1"/>
  <c r="D126" i="72" s="1"/>
  <c r="D96" i="72" a="1"/>
  <c r="D96" i="72" s="1"/>
  <c r="D95" i="72" a="1"/>
  <c r="D95" i="72" s="1"/>
  <c r="D64" i="72" a="1"/>
  <c r="D64" i="72" s="1"/>
  <c r="D33" i="72" a="1"/>
  <c r="D33" i="72" s="1"/>
  <c r="D3" i="72" a="1"/>
  <c r="D3" i="72" s="1"/>
  <c r="D2" i="72" a="1"/>
  <c r="D2" i="72" s="1"/>
  <c r="D158" i="72" l="1" a="1"/>
  <c r="D158" i="72" s="1"/>
  <c r="D190" i="72" a="1"/>
  <c r="D190" i="72" s="1"/>
  <c r="D222" i="72" a="1"/>
  <c r="D222" i="72" s="1"/>
  <c r="D127" i="72" a="1"/>
  <c r="D127" i="72" s="1"/>
  <c r="D159" i="72" a="1"/>
  <c r="D159" i="72" s="1"/>
  <c r="D191" i="72" a="1"/>
  <c r="D191" i="72" s="1"/>
  <c r="D223" i="72" a="1"/>
  <c r="D223" i="72" s="1"/>
  <c r="D65" i="72" a="1"/>
  <c r="D65" i="72" s="1"/>
  <c r="D97" i="72" a="1"/>
  <c r="D97" i="72" s="1"/>
  <c r="D34" i="72" a="1"/>
  <c r="D34" i="72" s="1"/>
  <c r="D66" i="72" a="1"/>
  <c r="D66" i="72" s="1"/>
  <c r="D98" i="72" a="1"/>
  <c r="D98" i="72" s="1"/>
  <c r="D253" i="72" a="1"/>
  <c r="D253" i="72" s="1"/>
  <c r="D67" i="72" a="1"/>
  <c r="D67" i="72" s="1"/>
  <c r="D99" i="72" a="1"/>
  <c r="D99" i="72" s="1"/>
  <c r="D4" i="72" a="1"/>
  <c r="D4" i="72" s="1"/>
  <c r="D68" i="72" a="1"/>
  <c r="D68" i="72" s="1"/>
  <c r="D100" i="72" a="1"/>
  <c r="D100" i="72" s="1"/>
  <c r="D69" i="72" a="1"/>
  <c r="D69" i="72" s="1"/>
  <c r="D282" i="72" a="1"/>
  <c r="D282" i="72" s="1"/>
  <c r="E13" i="63"/>
  <c r="E14" i="63"/>
  <c r="E15" i="63"/>
  <c r="E16" i="63"/>
  <c r="E26" i="63" s="1"/>
  <c r="E36" i="63" s="1"/>
  <c r="E46" i="63" s="1"/>
  <c r="E56" i="63" s="1"/>
  <c r="E17" i="63"/>
  <c r="E27" i="63" s="1"/>
  <c r="E37" i="63" s="1"/>
  <c r="E47" i="63" s="1"/>
  <c r="E57" i="63" s="1"/>
  <c r="E18" i="63"/>
  <c r="E19" i="63"/>
  <c r="E20" i="63"/>
  <c r="E30" i="63" s="1"/>
  <c r="E40" i="63" s="1"/>
  <c r="E50" i="63" s="1"/>
  <c r="E60" i="63" s="1"/>
  <c r="E21" i="63"/>
  <c r="E31" i="63" s="1"/>
  <c r="E41" i="63" s="1"/>
  <c r="E51" i="63" s="1"/>
  <c r="E61" i="63" s="1"/>
  <c r="E22" i="63"/>
  <c r="E32" i="63" s="1"/>
  <c r="E42" i="63" s="1"/>
  <c r="E52" i="63" s="1"/>
  <c r="E23" i="63"/>
  <c r="E33" i="63" s="1"/>
  <c r="E43" i="63" s="1"/>
  <c r="E53" i="63" s="1"/>
  <c r="E24" i="63"/>
  <c r="E25" i="63"/>
  <c r="E28" i="63"/>
  <c r="E38" i="63" s="1"/>
  <c r="E48" i="63" s="1"/>
  <c r="E58" i="63" s="1"/>
  <c r="E29" i="63"/>
  <c r="E39" i="63" s="1"/>
  <c r="E49" i="63" s="1"/>
  <c r="E59" i="63" s="1"/>
  <c r="E34" i="63"/>
  <c r="E44" i="63" s="1"/>
  <c r="E54" i="63" s="1"/>
  <c r="E35" i="63"/>
  <c r="E45" i="63" s="1"/>
  <c r="E55" i="63" s="1"/>
  <c r="E12" i="63"/>
  <c r="A425" i="58"/>
  <c r="B425" i="58"/>
  <c r="C425" i="58"/>
  <c r="D425" i="58"/>
  <c r="E425" i="58"/>
  <c r="F425" i="58"/>
  <c r="G425" i="58"/>
  <c r="A425" i="37"/>
  <c r="A425" i="41" s="1"/>
  <c r="B425" i="37"/>
  <c r="B425" i="41" s="1"/>
  <c r="C425" i="37"/>
  <c r="C425" i="41" s="1"/>
  <c r="D425" i="37"/>
  <c r="D425" i="41" s="1"/>
  <c r="E425" i="37"/>
  <c r="E425" i="41" s="1"/>
  <c r="F425" i="37"/>
  <c r="F425" i="41" s="1"/>
  <c r="G425" i="37"/>
  <c r="G425" i="41" s="1"/>
  <c r="A78" i="58"/>
  <c r="B78" i="58"/>
  <c r="C78" i="58"/>
  <c r="D78" i="58"/>
  <c r="F78" i="58"/>
  <c r="A79" i="58"/>
  <c r="B79" i="58"/>
  <c r="C79" i="58"/>
  <c r="D79" i="58"/>
  <c r="F79" i="58"/>
  <c r="A80" i="58"/>
  <c r="B80" i="58"/>
  <c r="C80" i="58"/>
  <c r="D80" i="58"/>
  <c r="F80" i="58"/>
  <c r="A81" i="58"/>
  <c r="B81" i="58"/>
  <c r="C81" i="58"/>
  <c r="D81" i="58"/>
  <c r="F81" i="58"/>
  <c r="A82" i="58"/>
  <c r="B82" i="58"/>
  <c r="C82" i="58"/>
  <c r="D82" i="58"/>
  <c r="F82" i="58"/>
  <c r="A83" i="58"/>
  <c r="B83" i="58"/>
  <c r="C83" i="58"/>
  <c r="D83" i="58"/>
  <c r="F83" i="58"/>
  <c r="A84" i="58"/>
  <c r="B84" i="58"/>
  <c r="C84" i="58"/>
  <c r="D84" i="58"/>
  <c r="F84" i="58"/>
  <c r="A85" i="58"/>
  <c r="B85" i="58"/>
  <c r="C85" i="58"/>
  <c r="D85" i="58"/>
  <c r="F85" i="58"/>
  <c r="A86" i="58"/>
  <c r="B86" i="58"/>
  <c r="C86" i="58"/>
  <c r="D86" i="58"/>
  <c r="F86" i="58"/>
  <c r="A87" i="58"/>
  <c r="B87" i="58"/>
  <c r="C87" i="58"/>
  <c r="D87" i="58"/>
  <c r="F87" i="58"/>
  <c r="A88" i="58"/>
  <c r="B88" i="58"/>
  <c r="C88" i="58"/>
  <c r="D88" i="58"/>
  <c r="F88" i="58"/>
  <c r="A89" i="58"/>
  <c r="B89" i="58"/>
  <c r="C89" i="58"/>
  <c r="D89" i="58"/>
  <c r="F89" i="58"/>
  <c r="A90" i="58"/>
  <c r="B90" i="58"/>
  <c r="C90" i="58"/>
  <c r="D90" i="58"/>
  <c r="F90" i="58"/>
  <c r="A91" i="58"/>
  <c r="B91" i="58"/>
  <c r="C91" i="58"/>
  <c r="D91" i="58"/>
  <c r="F91" i="58"/>
  <c r="A92" i="58"/>
  <c r="B92" i="58"/>
  <c r="C92" i="58"/>
  <c r="D92" i="58"/>
  <c r="F92" i="58"/>
  <c r="A93" i="58"/>
  <c r="B93" i="58"/>
  <c r="C93" i="58"/>
  <c r="D93" i="58"/>
  <c r="F93" i="58"/>
  <c r="A94" i="58"/>
  <c r="B94" i="58"/>
  <c r="C94" i="58"/>
  <c r="D94" i="58"/>
  <c r="F94" i="58"/>
  <c r="A78" i="37"/>
  <c r="B78" i="37"/>
  <c r="B78" i="41" s="1"/>
  <c r="C78" i="37"/>
  <c r="C78" i="41" s="1"/>
  <c r="D78" i="37"/>
  <c r="D78" i="41" s="1"/>
  <c r="F78" i="37"/>
  <c r="F78" i="41" s="1"/>
  <c r="A79" i="37"/>
  <c r="A79" i="41" s="1"/>
  <c r="B79" i="37"/>
  <c r="B79" i="41" s="1"/>
  <c r="C79" i="37"/>
  <c r="C79" i="41" s="1"/>
  <c r="D79" i="37"/>
  <c r="D79" i="41" s="1"/>
  <c r="F79" i="37"/>
  <c r="F79" i="41" s="1"/>
  <c r="A80" i="37"/>
  <c r="A80" i="41" s="1"/>
  <c r="B80" i="37"/>
  <c r="B80" i="41" s="1"/>
  <c r="C80" i="37"/>
  <c r="C80" i="41" s="1"/>
  <c r="D80" i="37"/>
  <c r="D80" i="41" s="1"/>
  <c r="F80" i="37"/>
  <c r="F80" i="41" s="1"/>
  <c r="A81" i="37"/>
  <c r="B81" i="37"/>
  <c r="B81" i="41" s="1"/>
  <c r="C81" i="37"/>
  <c r="C81" i="41" s="1"/>
  <c r="D81" i="37"/>
  <c r="D81" i="41" s="1"/>
  <c r="F81" i="37"/>
  <c r="F81" i="41" s="1"/>
  <c r="A82" i="37"/>
  <c r="B82" i="37"/>
  <c r="B82" i="41" s="1"/>
  <c r="C82" i="37"/>
  <c r="D82" i="37"/>
  <c r="D82" i="41" s="1"/>
  <c r="F82" i="37"/>
  <c r="F82" i="41" s="1"/>
  <c r="A83" i="37"/>
  <c r="A83" i="41" s="1"/>
  <c r="B83" i="37"/>
  <c r="B83" i="41" s="1"/>
  <c r="C83" i="37"/>
  <c r="C83" i="41" s="1"/>
  <c r="D83" i="37"/>
  <c r="D83" i="41" s="1"/>
  <c r="F83" i="37"/>
  <c r="F83" i="41" s="1"/>
  <c r="A84" i="37"/>
  <c r="A84" i="41" s="1"/>
  <c r="B84" i="37"/>
  <c r="B84" i="41" s="1"/>
  <c r="C84" i="37"/>
  <c r="C84" i="41" s="1"/>
  <c r="D84" i="37"/>
  <c r="D84" i="41" s="1"/>
  <c r="F84" i="37"/>
  <c r="F84" i="41" s="1"/>
  <c r="A85" i="37"/>
  <c r="A85" i="41" s="1"/>
  <c r="B85" i="37"/>
  <c r="B85" i="41" s="1"/>
  <c r="C85" i="37"/>
  <c r="C85" i="41" s="1"/>
  <c r="D85" i="37"/>
  <c r="D85" i="41" s="1"/>
  <c r="F85" i="37"/>
  <c r="F85" i="41" s="1"/>
  <c r="A86" i="37"/>
  <c r="A86" i="41" s="1"/>
  <c r="B86" i="37"/>
  <c r="B86" i="41" s="1"/>
  <c r="C86" i="37"/>
  <c r="C86" i="41" s="1"/>
  <c r="D86" i="37"/>
  <c r="D86" i="41" s="1"/>
  <c r="F86" i="37"/>
  <c r="F86" i="41" s="1"/>
  <c r="A87" i="37"/>
  <c r="B87" i="37"/>
  <c r="B87" i="41" s="1"/>
  <c r="C87" i="37"/>
  <c r="C87" i="41" s="1"/>
  <c r="D87" i="37"/>
  <c r="D87" i="41" s="1"/>
  <c r="F87" i="37"/>
  <c r="F87" i="41" s="1"/>
  <c r="A88" i="37"/>
  <c r="B88" i="37"/>
  <c r="B88" i="41" s="1"/>
  <c r="C88" i="37"/>
  <c r="D88" i="37"/>
  <c r="D88" i="41" s="1"/>
  <c r="F88" i="37"/>
  <c r="F88" i="41" s="1"/>
  <c r="A89" i="37"/>
  <c r="A89" i="41" s="1"/>
  <c r="B89" i="37"/>
  <c r="B89" i="41" s="1"/>
  <c r="C89" i="37"/>
  <c r="C89" i="41" s="1"/>
  <c r="D89" i="37"/>
  <c r="D89" i="41" s="1"/>
  <c r="F89" i="37"/>
  <c r="F89" i="41" s="1"/>
  <c r="A90" i="37"/>
  <c r="A90" i="41" s="1"/>
  <c r="B90" i="37"/>
  <c r="B90" i="41" s="1"/>
  <c r="C90" i="37"/>
  <c r="C90" i="41" s="1"/>
  <c r="D90" i="37"/>
  <c r="D90" i="41" s="1"/>
  <c r="F90" i="37"/>
  <c r="F90" i="41" s="1"/>
  <c r="A91" i="37"/>
  <c r="A91" i="41" s="1"/>
  <c r="B91" i="37"/>
  <c r="B91" i="41" s="1"/>
  <c r="C91" i="37"/>
  <c r="C91" i="41" s="1"/>
  <c r="D91" i="37"/>
  <c r="D91" i="41" s="1"/>
  <c r="F91" i="37"/>
  <c r="F91" i="41" s="1"/>
  <c r="A92" i="37"/>
  <c r="A92" i="41" s="1"/>
  <c r="B92" i="37"/>
  <c r="B92" i="41" s="1"/>
  <c r="C92" i="37"/>
  <c r="C92" i="41" s="1"/>
  <c r="D92" i="37"/>
  <c r="D92" i="41" s="1"/>
  <c r="F92" i="37"/>
  <c r="F92" i="41" s="1"/>
  <c r="A93" i="37"/>
  <c r="B93" i="37"/>
  <c r="B93" i="41" s="1"/>
  <c r="C93" i="37"/>
  <c r="C93" i="41" s="1"/>
  <c r="D93" i="37"/>
  <c r="D93" i="41" s="1"/>
  <c r="F93" i="37"/>
  <c r="F93" i="41" s="1"/>
  <c r="A94" i="37"/>
  <c r="B94" i="37"/>
  <c r="B94" i="41" s="1"/>
  <c r="C94" i="37"/>
  <c r="D94" i="37"/>
  <c r="D94" i="41" s="1"/>
  <c r="F94" i="37"/>
  <c r="F94" i="41" s="1"/>
  <c r="A63" i="58"/>
  <c r="B63" i="58"/>
  <c r="C63" i="58"/>
  <c r="D63" i="58"/>
  <c r="F63" i="58"/>
  <c r="A64" i="58"/>
  <c r="B64" i="58"/>
  <c r="C64" i="58"/>
  <c r="D64" i="58"/>
  <c r="F64" i="58"/>
  <c r="A65" i="58"/>
  <c r="B65" i="58"/>
  <c r="C65" i="58"/>
  <c r="D65" i="58"/>
  <c r="F65" i="58"/>
  <c r="A66" i="58"/>
  <c r="B66" i="58"/>
  <c r="C66" i="58"/>
  <c r="D66" i="58"/>
  <c r="F66" i="58"/>
  <c r="A67" i="58"/>
  <c r="B67" i="58"/>
  <c r="C67" i="58"/>
  <c r="D67" i="58"/>
  <c r="F67" i="58"/>
  <c r="A68" i="58"/>
  <c r="B68" i="58"/>
  <c r="C68" i="58"/>
  <c r="D68" i="58"/>
  <c r="F68" i="58"/>
  <c r="A69" i="58"/>
  <c r="B69" i="58"/>
  <c r="C69" i="58"/>
  <c r="D69" i="58"/>
  <c r="F69" i="58"/>
  <c r="A70" i="58"/>
  <c r="B70" i="58"/>
  <c r="C70" i="58"/>
  <c r="D70" i="58"/>
  <c r="F70" i="58"/>
  <c r="A71" i="58"/>
  <c r="B71" i="58"/>
  <c r="C71" i="58"/>
  <c r="D71" i="58"/>
  <c r="F71" i="58"/>
  <c r="A72" i="58"/>
  <c r="B72" i="58"/>
  <c r="C72" i="58"/>
  <c r="D72" i="58"/>
  <c r="F72" i="58"/>
  <c r="A73" i="58"/>
  <c r="B73" i="58"/>
  <c r="C73" i="58"/>
  <c r="D73" i="58"/>
  <c r="F73" i="58"/>
  <c r="A74" i="58"/>
  <c r="B74" i="58"/>
  <c r="C74" i="58"/>
  <c r="D74" i="58"/>
  <c r="F74" i="58"/>
  <c r="A75" i="58"/>
  <c r="B75" i="58"/>
  <c r="C75" i="58"/>
  <c r="D75" i="58"/>
  <c r="F75" i="58"/>
  <c r="A76" i="58"/>
  <c r="B76" i="58"/>
  <c r="C76" i="58"/>
  <c r="D76" i="58"/>
  <c r="F76" i="58"/>
  <c r="A77" i="58"/>
  <c r="B77" i="58"/>
  <c r="C77" i="58"/>
  <c r="D77" i="58"/>
  <c r="F77" i="58"/>
  <c r="A63" i="37"/>
  <c r="A63" i="41" s="1"/>
  <c r="B63" i="37"/>
  <c r="B63" i="41" s="1"/>
  <c r="C63" i="37"/>
  <c r="C63" i="41" s="1"/>
  <c r="D63" i="37"/>
  <c r="D63" i="41" s="1"/>
  <c r="F63" i="37"/>
  <c r="F63" i="41" s="1"/>
  <c r="A64" i="37"/>
  <c r="A64" i="41" s="1"/>
  <c r="B64" i="37"/>
  <c r="B64" i="41" s="1"/>
  <c r="C64" i="37"/>
  <c r="C64" i="41" s="1"/>
  <c r="D64" i="37"/>
  <c r="D64" i="41" s="1"/>
  <c r="F64" i="37"/>
  <c r="F64" i="41" s="1"/>
  <c r="A65" i="37"/>
  <c r="A65" i="41" s="1"/>
  <c r="B65" i="37"/>
  <c r="B65" i="41" s="1"/>
  <c r="C65" i="37"/>
  <c r="C65" i="41" s="1"/>
  <c r="D65" i="37"/>
  <c r="D65" i="41" s="1"/>
  <c r="F65" i="37"/>
  <c r="F65" i="41" s="1"/>
  <c r="A66" i="37"/>
  <c r="A66" i="41" s="1"/>
  <c r="B66" i="37"/>
  <c r="B66" i="41" s="1"/>
  <c r="C66" i="37"/>
  <c r="C66" i="41" s="1"/>
  <c r="D66" i="37"/>
  <c r="D66" i="41" s="1"/>
  <c r="F66" i="37"/>
  <c r="F66" i="41" s="1"/>
  <c r="A67" i="37"/>
  <c r="A67" i="41" s="1"/>
  <c r="B67" i="37"/>
  <c r="B67" i="41" s="1"/>
  <c r="C67" i="37"/>
  <c r="C67" i="41" s="1"/>
  <c r="D67" i="37"/>
  <c r="D67" i="41" s="1"/>
  <c r="F67" i="37"/>
  <c r="F67" i="41" s="1"/>
  <c r="A68" i="37"/>
  <c r="A68" i="41" s="1"/>
  <c r="B68" i="37"/>
  <c r="B68" i="41" s="1"/>
  <c r="C68" i="37"/>
  <c r="C68" i="41" s="1"/>
  <c r="D68" i="37"/>
  <c r="D68" i="41" s="1"/>
  <c r="F68" i="37"/>
  <c r="F68" i="41" s="1"/>
  <c r="A69" i="37"/>
  <c r="A69" i="41" s="1"/>
  <c r="B69" i="37"/>
  <c r="B69" i="41" s="1"/>
  <c r="C69" i="37"/>
  <c r="C69" i="41" s="1"/>
  <c r="D69" i="37"/>
  <c r="D69" i="41" s="1"/>
  <c r="F69" i="37"/>
  <c r="F69" i="41" s="1"/>
  <c r="A70" i="37"/>
  <c r="A70" i="41" s="1"/>
  <c r="B70" i="37"/>
  <c r="B70" i="41" s="1"/>
  <c r="C70" i="37"/>
  <c r="C70" i="41" s="1"/>
  <c r="D70" i="37"/>
  <c r="D70" i="41" s="1"/>
  <c r="F70" i="37"/>
  <c r="F70" i="41" s="1"/>
  <c r="A71" i="37"/>
  <c r="A71" i="41" s="1"/>
  <c r="B71" i="37"/>
  <c r="B71" i="41" s="1"/>
  <c r="C71" i="37"/>
  <c r="C71" i="41" s="1"/>
  <c r="D71" i="37"/>
  <c r="D71" i="41" s="1"/>
  <c r="F71" i="37"/>
  <c r="F71" i="41" s="1"/>
  <c r="A72" i="37"/>
  <c r="A72" i="41" s="1"/>
  <c r="B72" i="37"/>
  <c r="B72" i="41" s="1"/>
  <c r="C72" i="37"/>
  <c r="D72" i="37"/>
  <c r="D72" i="41" s="1"/>
  <c r="F72" i="37"/>
  <c r="F72" i="41" s="1"/>
  <c r="A73" i="37"/>
  <c r="A73" i="41" s="1"/>
  <c r="B73" i="37"/>
  <c r="B73" i="41" s="1"/>
  <c r="C73" i="37"/>
  <c r="C73" i="41" s="1"/>
  <c r="D73" i="37"/>
  <c r="D73" i="41" s="1"/>
  <c r="F73" i="37"/>
  <c r="F73" i="41" s="1"/>
  <c r="A74" i="37"/>
  <c r="A74" i="41" s="1"/>
  <c r="B74" i="37"/>
  <c r="B74" i="41" s="1"/>
  <c r="C74" i="37"/>
  <c r="C74" i="41" s="1"/>
  <c r="D74" i="37"/>
  <c r="D74" i="41" s="1"/>
  <c r="F74" i="37"/>
  <c r="F74" i="41" s="1"/>
  <c r="A75" i="37"/>
  <c r="A75" i="41" s="1"/>
  <c r="B75" i="37"/>
  <c r="B75" i="41" s="1"/>
  <c r="C75" i="37"/>
  <c r="C75" i="41" s="1"/>
  <c r="D75" i="37"/>
  <c r="D75" i="41" s="1"/>
  <c r="F75" i="37"/>
  <c r="F75" i="41" s="1"/>
  <c r="A76" i="37"/>
  <c r="A76" i="41" s="1"/>
  <c r="B76" i="37"/>
  <c r="B76" i="41" s="1"/>
  <c r="C76" i="37"/>
  <c r="C76" i="41" s="1"/>
  <c r="D76" i="37"/>
  <c r="D76" i="41" s="1"/>
  <c r="F76" i="37"/>
  <c r="F76" i="41" s="1"/>
  <c r="A77" i="37"/>
  <c r="A77" i="41" s="1"/>
  <c r="B77" i="37"/>
  <c r="B77" i="41" s="1"/>
  <c r="C77" i="37"/>
  <c r="C77" i="41" s="1"/>
  <c r="D77" i="37"/>
  <c r="D77" i="41" s="1"/>
  <c r="F77" i="37"/>
  <c r="F77" i="41" s="1"/>
  <c r="A36" i="58"/>
  <c r="B36" i="58"/>
  <c r="C36" i="58"/>
  <c r="D36" i="58"/>
  <c r="F36" i="58"/>
  <c r="A37" i="58"/>
  <c r="B37" i="58"/>
  <c r="C37" i="58"/>
  <c r="D37" i="58"/>
  <c r="F37" i="58"/>
  <c r="A38" i="58"/>
  <c r="B38" i="58"/>
  <c r="C38" i="58"/>
  <c r="D38" i="58"/>
  <c r="F38" i="58"/>
  <c r="A39" i="58"/>
  <c r="B39" i="58"/>
  <c r="C39" i="58"/>
  <c r="D39" i="58"/>
  <c r="F39" i="58"/>
  <c r="A40" i="58"/>
  <c r="B40" i="58"/>
  <c r="C40" i="58"/>
  <c r="D40" i="58"/>
  <c r="F40" i="58"/>
  <c r="A41" i="58"/>
  <c r="B41" i="58"/>
  <c r="C41" i="58"/>
  <c r="D41" i="58"/>
  <c r="F41" i="58"/>
  <c r="A42" i="58"/>
  <c r="B42" i="58"/>
  <c r="C42" i="58"/>
  <c r="D42" i="58"/>
  <c r="F42" i="58"/>
  <c r="A43" i="58"/>
  <c r="B43" i="58"/>
  <c r="C43" i="58"/>
  <c r="D43" i="58"/>
  <c r="F43" i="58"/>
  <c r="A44" i="58"/>
  <c r="B44" i="58"/>
  <c r="C44" i="58"/>
  <c r="D44" i="58"/>
  <c r="F44" i="58"/>
  <c r="A45" i="58"/>
  <c r="B45" i="58"/>
  <c r="C45" i="58"/>
  <c r="D45" i="58"/>
  <c r="F45" i="58"/>
  <c r="A46" i="58"/>
  <c r="B46" i="58"/>
  <c r="C46" i="58"/>
  <c r="D46" i="58"/>
  <c r="F46" i="58"/>
  <c r="A47" i="58"/>
  <c r="B47" i="58"/>
  <c r="C47" i="58"/>
  <c r="D47" i="58"/>
  <c r="F47" i="58"/>
  <c r="A48" i="58"/>
  <c r="B48" i="58"/>
  <c r="C48" i="58"/>
  <c r="D48" i="58"/>
  <c r="F48" i="58"/>
  <c r="A49" i="58"/>
  <c r="B49" i="58"/>
  <c r="C49" i="58"/>
  <c r="D49" i="58"/>
  <c r="F49" i="58"/>
  <c r="A50" i="58"/>
  <c r="B50" i="58"/>
  <c r="C50" i="58"/>
  <c r="D50" i="58"/>
  <c r="F50" i="58"/>
  <c r="A51" i="58"/>
  <c r="B51" i="58"/>
  <c r="C51" i="58"/>
  <c r="D51" i="58"/>
  <c r="F51" i="58"/>
  <c r="A52" i="58"/>
  <c r="B52" i="58"/>
  <c r="C52" i="58"/>
  <c r="D52" i="58"/>
  <c r="F52" i="58"/>
  <c r="A53" i="58"/>
  <c r="B53" i="58"/>
  <c r="C53" i="58"/>
  <c r="D53" i="58"/>
  <c r="F53" i="58"/>
  <c r="A54" i="58"/>
  <c r="B54" i="58"/>
  <c r="C54" i="58"/>
  <c r="D54" i="58"/>
  <c r="F54" i="58"/>
  <c r="A55" i="58"/>
  <c r="B55" i="58"/>
  <c r="C55" i="58"/>
  <c r="D55" i="58"/>
  <c r="F55" i="58"/>
  <c r="A56" i="58"/>
  <c r="B56" i="58"/>
  <c r="C56" i="58"/>
  <c r="D56" i="58"/>
  <c r="F56" i="58"/>
  <c r="A57" i="58"/>
  <c r="B57" i="58"/>
  <c r="C57" i="58"/>
  <c r="D57" i="58"/>
  <c r="F57" i="58"/>
  <c r="A58" i="58"/>
  <c r="B58" i="58"/>
  <c r="C58" i="58"/>
  <c r="D58" i="58"/>
  <c r="F58" i="58"/>
  <c r="A59" i="58"/>
  <c r="B59" i="58"/>
  <c r="C59" i="58"/>
  <c r="D59" i="58"/>
  <c r="F59" i="58"/>
  <c r="A60" i="58"/>
  <c r="B60" i="58"/>
  <c r="C60" i="58"/>
  <c r="D60" i="58"/>
  <c r="F60" i="58"/>
  <c r="A61" i="58"/>
  <c r="B61" i="58"/>
  <c r="C61" i="58"/>
  <c r="D61" i="58"/>
  <c r="F61" i="58"/>
  <c r="A62" i="58"/>
  <c r="B62" i="58"/>
  <c r="C62" i="58"/>
  <c r="D62" i="58"/>
  <c r="F62" i="58"/>
  <c r="A36" i="37"/>
  <c r="A36" i="41" s="1"/>
  <c r="B36" i="37"/>
  <c r="B36" i="41" s="1"/>
  <c r="C36" i="37"/>
  <c r="C36" i="41" s="1"/>
  <c r="D36" i="37"/>
  <c r="D36" i="41" s="1"/>
  <c r="F36" i="37"/>
  <c r="F36" i="41" s="1"/>
  <c r="A37" i="37"/>
  <c r="A37" i="41" s="1"/>
  <c r="B37" i="37"/>
  <c r="B37" i="41" s="1"/>
  <c r="C37" i="37"/>
  <c r="C37" i="41" s="1"/>
  <c r="D37" i="37"/>
  <c r="D37" i="41" s="1"/>
  <c r="F37" i="37"/>
  <c r="F37" i="41" s="1"/>
  <c r="A38" i="37"/>
  <c r="B38" i="37"/>
  <c r="B38" i="41" s="1"/>
  <c r="C38" i="37"/>
  <c r="C38" i="41" s="1"/>
  <c r="D38" i="37"/>
  <c r="D38" i="41" s="1"/>
  <c r="F38" i="37"/>
  <c r="F38" i="41" s="1"/>
  <c r="A39" i="37"/>
  <c r="A39" i="41" s="1"/>
  <c r="B39" i="37"/>
  <c r="B39" i="41" s="1"/>
  <c r="C39" i="37"/>
  <c r="C39" i="41" s="1"/>
  <c r="D39" i="37"/>
  <c r="F39" i="37"/>
  <c r="F39" i="41" s="1"/>
  <c r="A40" i="37"/>
  <c r="A40" i="41" s="1"/>
  <c r="B40" i="37"/>
  <c r="B40" i="41" s="1"/>
  <c r="C40" i="37"/>
  <c r="C40" i="41" s="1"/>
  <c r="D40" i="37"/>
  <c r="D40" i="41" s="1"/>
  <c r="F40" i="37"/>
  <c r="A41" i="37"/>
  <c r="A41" i="41" s="1"/>
  <c r="B41" i="37"/>
  <c r="B41" i="41" s="1"/>
  <c r="C41" i="37"/>
  <c r="C41" i="41" s="1"/>
  <c r="D41" i="37"/>
  <c r="D41" i="41" s="1"/>
  <c r="F41" i="37"/>
  <c r="F41" i="41" s="1"/>
  <c r="A42" i="37"/>
  <c r="A42" i="41" s="1"/>
  <c r="B42" i="37"/>
  <c r="B42" i="41" s="1"/>
  <c r="C42" i="37"/>
  <c r="C42" i="41" s="1"/>
  <c r="D42" i="37"/>
  <c r="D42" i="41" s="1"/>
  <c r="F42" i="37"/>
  <c r="F42" i="41" s="1"/>
  <c r="A43" i="37"/>
  <c r="A43" i="41" s="1"/>
  <c r="B43" i="37"/>
  <c r="B43" i="41" s="1"/>
  <c r="C43" i="37"/>
  <c r="C43" i="41" s="1"/>
  <c r="D43" i="37"/>
  <c r="D43" i="41" s="1"/>
  <c r="F43" i="37"/>
  <c r="F43" i="41" s="1"/>
  <c r="A44" i="37"/>
  <c r="A44" i="41" s="1"/>
  <c r="B44" i="37"/>
  <c r="B44" i="41" s="1"/>
  <c r="C44" i="37"/>
  <c r="C44" i="41" s="1"/>
  <c r="D44" i="37"/>
  <c r="D44" i="41" s="1"/>
  <c r="F44" i="37"/>
  <c r="F44" i="41" s="1"/>
  <c r="A45" i="37"/>
  <c r="A45" i="41" s="1"/>
  <c r="B45" i="37"/>
  <c r="B45" i="41" s="1"/>
  <c r="C45" i="37"/>
  <c r="D45" i="37"/>
  <c r="F45" i="37"/>
  <c r="F45" i="41" s="1"/>
  <c r="A46" i="37"/>
  <c r="A46" i="41" s="1"/>
  <c r="B46" i="37"/>
  <c r="B46" i="41" s="1"/>
  <c r="C46" i="37"/>
  <c r="C46" i="41" s="1"/>
  <c r="D46" i="37"/>
  <c r="D46" i="41" s="1"/>
  <c r="F46" i="37"/>
  <c r="A47" i="37"/>
  <c r="A47" i="41" s="1"/>
  <c r="B47" i="37"/>
  <c r="B47" i="41" s="1"/>
  <c r="C47" i="37"/>
  <c r="C47" i="41" s="1"/>
  <c r="D47" i="37"/>
  <c r="D47" i="41" s="1"/>
  <c r="F47" i="37"/>
  <c r="F47" i="41" s="1"/>
  <c r="A48" i="37"/>
  <c r="A48" i="41" s="1"/>
  <c r="B48" i="37"/>
  <c r="B48" i="41" s="1"/>
  <c r="C48" i="37"/>
  <c r="C48" i="41" s="1"/>
  <c r="D48" i="37"/>
  <c r="D48" i="41" s="1"/>
  <c r="F48" i="37"/>
  <c r="F48" i="41" s="1"/>
  <c r="A49" i="37"/>
  <c r="A49" i="41" s="1"/>
  <c r="B49" i="37"/>
  <c r="B49" i="41" s="1"/>
  <c r="C49" i="37"/>
  <c r="C49" i="41" s="1"/>
  <c r="D49" i="37"/>
  <c r="D49" i="41" s="1"/>
  <c r="F49" i="37"/>
  <c r="F49" i="41" s="1"/>
  <c r="A50" i="37"/>
  <c r="B50" i="37"/>
  <c r="B50" i="41" s="1"/>
  <c r="C50" i="37"/>
  <c r="C50" i="41" s="1"/>
  <c r="D50" i="37"/>
  <c r="D50" i="41" s="1"/>
  <c r="F50" i="37"/>
  <c r="F50" i="41" s="1"/>
  <c r="A51" i="37"/>
  <c r="A51" i="41" s="1"/>
  <c r="B51" i="37"/>
  <c r="B51" i="41" s="1"/>
  <c r="C51" i="37"/>
  <c r="C51" i="41" s="1"/>
  <c r="D51" i="37"/>
  <c r="F51" i="37"/>
  <c r="F51" i="41" s="1"/>
  <c r="A52" i="37"/>
  <c r="B52" i="37"/>
  <c r="B52" i="41" s="1"/>
  <c r="C52" i="37"/>
  <c r="C52" i="41" s="1"/>
  <c r="D52" i="37"/>
  <c r="D52" i="41" s="1"/>
  <c r="F52" i="37"/>
  <c r="A53" i="37"/>
  <c r="A53" i="41" s="1"/>
  <c r="B53" i="37"/>
  <c r="B53" i="41" s="1"/>
  <c r="C53" i="37"/>
  <c r="C53" i="41" s="1"/>
  <c r="D53" i="37"/>
  <c r="D53" i="41" s="1"/>
  <c r="F53" i="37"/>
  <c r="F53" i="41" s="1"/>
  <c r="A54" i="37"/>
  <c r="B54" i="37"/>
  <c r="B54" i="41" s="1"/>
  <c r="C54" i="37"/>
  <c r="C54" i="41" s="1"/>
  <c r="D54" i="37"/>
  <c r="D54" i="41" s="1"/>
  <c r="F54" i="37"/>
  <c r="F54" i="41" s="1"/>
  <c r="A55" i="37"/>
  <c r="A55" i="41" s="1"/>
  <c r="B55" i="37"/>
  <c r="B55" i="41" s="1"/>
  <c r="C55" i="37"/>
  <c r="C55" i="41" s="1"/>
  <c r="D55" i="37"/>
  <c r="D55" i="41" s="1"/>
  <c r="F55" i="37"/>
  <c r="F55" i="41" s="1"/>
  <c r="A56" i="37"/>
  <c r="A56" i="41" s="1"/>
  <c r="B56" i="37"/>
  <c r="B56" i="41" s="1"/>
  <c r="C56" i="37"/>
  <c r="C56" i="41" s="1"/>
  <c r="D56" i="37"/>
  <c r="D56" i="41" s="1"/>
  <c r="F56" i="37"/>
  <c r="F56" i="41" s="1"/>
  <c r="A57" i="37"/>
  <c r="A57" i="41" s="1"/>
  <c r="B57" i="37"/>
  <c r="B57" i="41" s="1"/>
  <c r="C57" i="37"/>
  <c r="D57" i="37"/>
  <c r="F57" i="37"/>
  <c r="F57" i="41" s="1"/>
  <c r="A58" i="37"/>
  <c r="A58" i="41" s="1"/>
  <c r="B58" i="37"/>
  <c r="B58" i="41" s="1"/>
  <c r="C58" i="37"/>
  <c r="C58" i="41" s="1"/>
  <c r="D58" i="37"/>
  <c r="D58" i="41" s="1"/>
  <c r="F58" i="37"/>
  <c r="A59" i="37"/>
  <c r="B59" i="37"/>
  <c r="B59" i="41" s="1"/>
  <c r="C59" i="37"/>
  <c r="C59" i="41" s="1"/>
  <c r="D59" i="37"/>
  <c r="D59" i="41" s="1"/>
  <c r="F59" i="37"/>
  <c r="F59" i="41" s="1"/>
  <c r="A60" i="37"/>
  <c r="A60" i="41" s="1"/>
  <c r="B60" i="37"/>
  <c r="B60" i="41" s="1"/>
  <c r="C60" i="37"/>
  <c r="C60" i="41" s="1"/>
  <c r="D60" i="37"/>
  <c r="D60" i="41" s="1"/>
  <c r="F60" i="37"/>
  <c r="F60" i="41" s="1"/>
  <c r="A61" i="37"/>
  <c r="A61" i="41" s="1"/>
  <c r="B61" i="37"/>
  <c r="B61" i="41" s="1"/>
  <c r="C61" i="37"/>
  <c r="C61" i="41" s="1"/>
  <c r="D61" i="37"/>
  <c r="D61" i="41" s="1"/>
  <c r="F61" i="37"/>
  <c r="F61" i="41" s="1"/>
  <c r="A62" i="37"/>
  <c r="B62" i="37"/>
  <c r="B62" i="41" s="1"/>
  <c r="C62" i="37"/>
  <c r="C62" i="41" s="1"/>
  <c r="D62" i="37"/>
  <c r="D62" i="41" s="1"/>
  <c r="F62" i="37"/>
  <c r="F62" i="41" s="1"/>
  <c r="A14" i="58"/>
  <c r="B14" i="58"/>
  <c r="C14" i="58"/>
  <c r="D14" i="58"/>
  <c r="F14" i="58"/>
  <c r="A15" i="58"/>
  <c r="B15" i="58"/>
  <c r="C15" i="58"/>
  <c r="D15" i="58"/>
  <c r="F15" i="58"/>
  <c r="A16" i="58"/>
  <c r="B16" i="58"/>
  <c r="C16" i="58"/>
  <c r="D16" i="58"/>
  <c r="F16" i="58"/>
  <c r="A17" i="58"/>
  <c r="B17" i="58"/>
  <c r="C17" i="58"/>
  <c r="D17" i="58"/>
  <c r="F17" i="58"/>
  <c r="A18" i="58"/>
  <c r="B18" i="58"/>
  <c r="C18" i="58"/>
  <c r="D18" i="58"/>
  <c r="F18" i="58"/>
  <c r="A19" i="58"/>
  <c r="B19" i="58"/>
  <c r="C19" i="58"/>
  <c r="D19" i="58"/>
  <c r="F19" i="58"/>
  <c r="A20" i="58"/>
  <c r="B20" i="58"/>
  <c r="C20" i="58"/>
  <c r="D20" i="58"/>
  <c r="F20" i="58"/>
  <c r="A21" i="58"/>
  <c r="B21" i="58"/>
  <c r="C21" i="58"/>
  <c r="D21" i="58"/>
  <c r="F21" i="58"/>
  <c r="A22" i="58"/>
  <c r="B22" i="58"/>
  <c r="C22" i="58"/>
  <c r="D22" i="58"/>
  <c r="F22" i="58"/>
  <c r="A23" i="58"/>
  <c r="B23" i="58"/>
  <c r="C23" i="58"/>
  <c r="D23" i="58"/>
  <c r="F23" i="58"/>
  <c r="A24" i="58"/>
  <c r="B24" i="58"/>
  <c r="C24" i="58"/>
  <c r="D24" i="58"/>
  <c r="F24" i="58"/>
  <c r="A25" i="58"/>
  <c r="B25" i="58"/>
  <c r="C25" i="58"/>
  <c r="D25" i="58"/>
  <c r="F25" i="58"/>
  <c r="A26" i="58"/>
  <c r="B26" i="58"/>
  <c r="C26" i="58"/>
  <c r="D26" i="58"/>
  <c r="F26" i="58"/>
  <c r="A27" i="58"/>
  <c r="B27" i="58"/>
  <c r="C27" i="58"/>
  <c r="D27" i="58"/>
  <c r="F27" i="58"/>
  <c r="A28" i="58"/>
  <c r="B28" i="58"/>
  <c r="C28" i="58"/>
  <c r="D28" i="58"/>
  <c r="F28" i="58"/>
  <c r="A29" i="58"/>
  <c r="B29" i="58"/>
  <c r="C29" i="58"/>
  <c r="D29" i="58"/>
  <c r="F29" i="58"/>
  <c r="A30" i="58"/>
  <c r="B30" i="58"/>
  <c r="C30" i="58"/>
  <c r="D30" i="58"/>
  <c r="F30" i="58"/>
  <c r="A31" i="58"/>
  <c r="B31" i="58"/>
  <c r="C31" i="58"/>
  <c r="D31" i="58"/>
  <c r="F31" i="58"/>
  <c r="A32" i="58"/>
  <c r="B32" i="58"/>
  <c r="C32" i="58"/>
  <c r="D32" i="58"/>
  <c r="F32" i="58"/>
  <c r="A33" i="58"/>
  <c r="B33" i="58"/>
  <c r="C33" i="58"/>
  <c r="D33" i="58"/>
  <c r="F33" i="58"/>
  <c r="A34" i="58"/>
  <c r="B34" i="58"/>
  <c r="C34" i="58"/>
  <c r="D34" i="58"/>
  <c r="F34" i="58"/>
  <c r="A35" i="58"/>
  <c r="B35" i="58"/>
  <c r="C35" i="58"/>
  <c r="D35" i="58"/>
  <c r="F35" i="58"/>
  <c r="A14" i="37"/>
  <c r="A14" i="41" s="1"/>
  <c r="B14" i="37"/>
  <c r="B14" i="41" s="1"/>
  <c r="C14" i="37"/>
  <c r="D14" i="37"/>
  <c r="D14" i="41" s="1"/>
  <c r="F14" i="37"/>
  <c r="F14" i="41" s="1"/>
  <c r="A15" i="37"/>
  <c r="A15" i="41" s="1"/>
  <c r="B15" i="37"/>
  <c r="B15" i="41" s="1"/>
  <c r="C15" i="37"/>
  <c r="C15" i="41" s="1"/>
  <c r="D15" i="37"/>
  <c r="D15" i="41" s="1"/>
  <c r="F15" i="37"/>
  <c r="F15" i="41" s="1"/>
  <c r="A16" i="37"/>
  <c r="A16" i="41" s="1"/>
  <c r="B16" i="37"/>
  <c r="B16" i="41" s="1"/>
  <c r="C16" i="37"/>
  <c r="C16" i="41" s="1"/>
  <c r="D16" i="37"/>
  <c r="D16" i="41" s="1"/>
  <c r="F16" i="37"/>
  <c r="F16" i="41" s="1"/>
  <c r="A17" i="37"/>
  <c r="A17" i="41" s="1"/>
  <c r="B17" i="37"/>
  <c r="B17" i="41" s="1"/>
  <c r="C17" i="37"/>
  <c r="C17" i="41" s="1"/>
  <c r="D17" i="37"/>
  <c r="D17" i="41" s="1"/>
  <c r="F17" i="37"/>
  <c r="F17" i="41" s="1"/>
  <c r="A18" i="37"/>
  <c r="A18" i="41" s="1"/>
  <c r="B18" i="37"/>
  <c r="B18" i="41" s="1"/>
  <c r="C18" i="37"/>
  <c r="C18" i="41" s="1"/>
  <c r="D18" i="37"/>
  <c r="D18" i="41" s="1"/>
  <c r="F18" i="37"/>
  <c r="F18" i="41" s="1"/>
  <c r="A19" i="37"/>
  <c r="B19" i="37"/>
  <c r="B19" i="41" s="1"/>
  <c r="C19" i="37"/>
  <c r="C19" i="41" s="1"/>
  <c r="D19" i="37"/>
  <c r="D19" i="41" s="1"/>
  <c r="F19" i="37"/>
  <c r="F19" i="41" s="1"/>
  <c r="A20" i="37"/>
  <c r="B20" i="37"/>
  <c r="B20" i="41" s="1"/>
  <c r="C20" i="37"/>
  <c r="D20" i="37"/>
  <c r="D20" i="41" s="1"/>
  <c r="F20" i="37"/>
  <c r="F20" i="41" s="1"/>
  <c r="A21" i="37"/>
  <c r="B21" i="37"/>
  <c r="B21" i="41" s="1"/>
  <c r="C21" i="37"/>
  <c r="C21" i="41" s="1"/>
  <c r="D21" i="37"/>
  <c r="D21" i="41" s="1"/>
  <c r="F21" i="37"/>
  <c r="F21" i="41" s="1"/>
  <c r="A22" i="37"/>
  <c r="A22" i="41" s="1"/>
  <c r="B22" i="37"/>
  <c r="B22" i="41" s="1"/>
  <c r="C22" i="37"/>
  <c r="C22" i="41" s="1"/>
  <c r="D22" i="37"/>
  <c r="D22" i="41" s="1"/>
  <c r="F22" i="37"/>
  <c r="F22" i="41" s="1"/>
  <c r="A23" i="37"/>
  <c r="A23" i="41" s="1"/>
  <c r="B23" i="37"/>
  <c r="B23" i="41" s="1"/>
  <c r="C23" i="37"/>
  <c r="C23" i="41" s="1"/>
  <c r="D23" i="37"/>
  <c r="D23" i="41" s="1"/>
  <c r="F23" i="37"/>
  <c r="F23" i="41" s="1"/>
  <c r="A24" i="37"/>
  <c r="B24" i="37"/>
  <c r="B24" i="41" s="1"/>
  <c r="C24" i="37"/>
  <c r="C24" i="41" s="1"/>
  <c r="D24" i="37"/>
  <c r="D24" i="41" s="1"/>
  <c r="F24" i="37"/>
  <c r="F24" i="41" s="1"/>
  <c r="A25" i="37"/>
  <c r="B25" i="37"/>
  <c r="B25" i="41" s="1"/>
  <c r="C25" i="37"/>
  <c r="C25" i="41" s="1"/>
  <c r="D25" i="37"/>
  <c r="D25" i="41" s="1"/>
  <c r="F25" i="37"/>
  <c r="F25" i="41" s="1"/>
  <c r="A26" i="37"/>
  <c r="B26" i="37"/>
  <c r="B26" i="41" s="1"/>
  <c r="C26" i="37"/>
  <c r="D26" i="37"/>
  <c r="D26" i="41" s="1"/>
  <c r="F26" i="37"/>
  <c r="F26" i="41" s="1"/>
  <c r="A27" i="37"/>
  <c r="B27" i="37"/>
  <c r="B27" i="41" s="1"/>
  <c r="C27" i="37"/>
  <c r="C27" i="41" s="1"/>
  <c r="D27" i="37"/>
  <c r="D27" i="41" s="1"/>
  <c r="F27" i="37"/>
  <c r="F27" i="41" s="1"/>
  <c r="A28" i="37"/>
  <c r="A28" i="41" s="1"/>
  <c r="B28" i="37"/>
  <c r="B28" i="41" s="1"/>
  <c r="C28" i="37"/>
  <c r="C28" i="41" s="1"/>
  <c r="D28" i="37"/>
  <c r="D28" i="41" s="1"/>
  <c r="F28" i="37"/>
  <c r="F28" i="41" s="1"/>
  <c r="A29" i="37"/>
  <c r="A29" i="41" s="1"/>
  <c r="B29" i="37"/>
  <c r="B29" i="41" s="1"/>
  <c r="C29" i="37"/>
  <c r="C29" i="41" s="1"/>
  <c r="D29" i="37"/>
  <c r="D29" i="41" s="1"/>
  <c r="F29" i="37"/>
  <c r="F29" i="41" s="1"/>
  <c r="A30" i="37"/>
  <c r="B30" i="37"/>
  <c r="B30" i="41" s="1"/>
  <c r="C30" i="37"/>
  <c r="C30" i="41" s="1"/>
  <c r="D30" i="37"/>
  <c r="D30" i="41" s="1"/>
  <c r="F30" i="37"/>
  <c r="F30" i="41" s="1"/>
  <c r="A31" i="37"/>
  <c r="B31" i="37"/>
  <c r="B31" i="41" s="1"/>
  <c r="C31" i="37"/>
  <c r="C31" i="41" s="1"/>
  <c r="D31" i="37"/>
  <c r="D31" i="41" s="1"/>
  <c r="F31" i="37"/>
  <c r="F31" i="41" s="1"/>
  <c r="A32" i="37"/>
  <c r="B32" i="37"/>
  <c r="B32" i="41" s="1"/>
  <c r="C32" i="37"/>
  <c r="D32" i="37"/>
  <c r="D32" i="41" s="1"/>
  <c r="F32" i="37"/>
  <c r="F32" i="41" s="1"/>
  <c r="A33" i="37"/>
  <c r="B33" i="37"/>
  <c r="B33" i="41" s="1"/>
  <c r="C33" i="37"/>
  <c r="C33" i="41" s="1"/>
  <c r="D33" i="37"/>
  <c r="D33" i="41" s="1"/>
  <c r="F33" i="37"/>
  <c r="F33" i="41" s="1"/>
  <c r="A34" i="37"/>
  <c r="A34" i="41" s="1"/>
  <c r="B34" i="37"/>
  <c r="B34" i="41" s="1"/>
  <c r="C34" i="37"/>
  <c r="C34" i="41" s="1"/>
  <c r="D34" i="37"/>
  <c r="D34" i="41" s="1"/>
  <c r="F34" i="37"/>
  <c r="F34" i="41" s="1"/>
  <c r="A35" i="37"/>
  <c r="A35" i="41" s="1"/>
  <c r="B35" i="37"/>
  <c r="B35" i="41" s="1"/>
  <c r="C35" i="37"/>
  <c r="C35" i="41" s="1"/>
  <c r="D35" i="37"/>
  <c r="D35" i="41" s="1"/>
  <c r="F35" i="37"/>
  <c r="F35" i="41" s="1"/>
  <c r="G90" i="37"/>
  <c r="E90" i="58"/>
  <c r="E86" i="37"/>
  <c r="E86" i="41" s="1"/>
  <c r="G82" i="58"/>
  <c r="E82" i="37"/>
  <c r="E82" i="41" s="1"/>
  <c r="G78" i="37"/>
  <c r="E78" i="37"/>
  <c r="E78" i="41" s="1"/>
  <c r="G74" i="58"/>
  <c r="E74" i="58"/>
  <c r="G66" i="58"/>
  <c r="E66" i="37"/>
  <c r="E66" i="41" s="1"/>
  <c r="E62" i="37"/>
  <c r="E62" i="41" s="1"/>
  <c r="G58" i="37"/>
  <c r="G58" i="41" s="1"/>
  <c r="E58" i="58"/>
  <c r="G54" i="58"/>
  <c r="E54" i="58"/>
  <c r="G50" i="58"/>
  <c r="E50" i="37"/>
  <c r="E50" i="41" s="1"/>
  <c r="G42" i="58"/>
  <c r="E42" i="37"/>
  <c r="E42" i="41" s="1"/>
  <c r="E38" i="37"/>
  <c r="E38" i="41" s="1"/>
  <c r="G34" i="37"/>
  <c r="G34" i="41" s="1"/>
  <c r="E34" i="58"/>
  <c r="G30" i="37"/>
  <c r="G30" i="41" s="1"/>
  <c r="E30" i="37"/>
  <c r="E30" i="41" s="1"/>
  <c r="G26" i="58"/>
  <c r="E26" i="37"/>
  <c r="E26" i="41" s="1"/>
  <c r="G22" i="37"/>
  <c r="G22" i="41" s="1"/>
  <c r="G18" i="58"/>
  <c r="E18" i="37"/>
  <c r="E18" i="41" s="1"/>
  <c r="G14" i="58"/>
  <c r="D254" i="72" l="1" a="1"/>
  <c r="D254" i="72" s="1"/>
  <c r="D255" i="72" s="1" a="1"/>
  <c r="D255" i="72" s="1"/>
  <c r="D192" i="72" a="1"/>
  <c r="D192" i="72" s="1"/>
  <c r="D35" i="72" a="1"/>
  <c r="D35" i="72" s="1"/>
  <c r="D128" i="72" a="1"/>
  <c r="D128" i="72" s="1"/>
  <c r="D5" i="72" a="1"/>
  <c r="D5" i="72" s="1"/>
  <c r="D6" i="72" a="1"/>
  <c r="D6" i="72" s="1"/>
  <c r="D224" i="72" a="1"/>
  <c r="D224" i="72" s="1"/>
  <c r="D160" i="72" a="1"/>
  <c r="D160" i="72" s="1"/>
  <c r="D101" i="72" a="1"/>
  <c r="D101" i="72" s="1"/>
  <c r="D130" i="72" a="1"/>
  <c r="D130" i="72" s="1"/>
  <c r="D193" i="72" a="1"/>
  <c r="D193" i="72" s="1"/>
  <c r="D129" i="72" a="1"/>
  <c r="D129" i="72" s="1"/>
  <c r="D283" i="72" a="1"/>
  <c r="D283" i="72" s="1"/>
  <c r="D284" i="72" s="1" a="1"/>
  <c r="D284" i="72" s="1"/>
  <c r="D70" i="72" a="1"/>
  <c r="D70" i="72" s="1"/>
  <c r="E18" i="58"/>
  <c r="E34" i="37"/>
  <c r="E34" i="41" s="1"/>
  <c r="G22" i="58"/>
  <c r="G50" i="37"/>
  <c r="G50" i="41" s="1"/>
  <c r="G58" i="58"/>
  <c r="G90" i="58"/>
  <c r="G74" i="37"/>
  <c r="G74" i="41" s="1"/>
  <c r="G26" i="37"/>
  <c r="G26" i="41" s="1"/>
  <c r="E26" i="58"/>
  <c r="G30" i="58"/>
  <c r="G42" i="37"/>
  <c r="G42" i="41" s="1"/>
  <c r="E74" i="37"/>
  <c r="E74" i="41" s="1"/>
  <c r="G14" i="37"/>
  <c r="G14" i="41" s="1"/>
  <c r="E62" i="58"/>
  <c r="E30" i="58"/>
  <c r="E58" i="37"/>
  <c r="E58" i="41" s="1"/>
  <c r="E50" i="58"/>
  <c r="E38" i="58"/>
  <c r="G66" i="37"/>
  <c r="G66" i="41" s="1"/>
  <c r="G38" i="58"/>
  <c r="G38" i="37"/>
  <c r="G38" i="41" s="1"/>
  <c r="E46" i="37"/>
  <c r="E46" i="41" s="1"/>
  <c r="E46" i="58"/>
  <c r="E70" i="37"/>
  <c r="E70" i="41" s="1"/>
  <c r="E70" i="58"/>
  <c r="G46" i="37"/>
  <c r="G46" i="41" s="1"/>
  <c r="G46" i="58"/>
  <c r="G70" i="58"/>
  <c r="G70" i="37"/>
  <c r="G70" i="41" s="1"/>
  <c r="G94" i="37"/>
  <c r="G94" i="41" s="1"/>
  <c r="G94" i="58"/>
  <c r="A33" i="41"/>
  <c r="A62" i="41"/>
  <c r="C57" i="41"/>
  <c r="E22" i="58"/>
  <c r="E22" i="37"/>
  <c r="E22" i="41" s="1"/>
  <c r="E94" i="37"/>
  <c r="E94" i="41" s="1"/>
  <c r="E94" i="58"/>
  <c r="A32" i="41"/>
  <c r="A59" i="41"/>
  <c r="G62" i="58"/>
  <c r="G62" i="37"/>
  <c r="G62" i="41" s="1"/>
  <c r="G86" i="37"/>
  <c r="G86" i="41" s="1"/>
  <c r="G86" i="58"/>
  <c r="A54" i="41"/>
  <c r="E14" i="58"/>
  <c r="E14" i="37"/>
  <c r="E14" i="41" s="1"/>
  <c r="A27" i="41"/>
  <c r="G34" i="58"/>
  <c r="G54" i="37"/>
  <c r="G54" i="41" s="1"/>
  <c r="E82" i="58"/>
  <c r="A78" i="41"/>
  <c r="E90" i="37"/>
  <c r="E90" i="41" s="1"/>
  <c r="E54" i="37"/>
  <c r="E54" i="41" s="1"/>
  <c r="A50" i="41"/>
  <c r="C45" i="41"/>
  <c r="G82" i="37"/>
  <c r="G82" i="41" s="1"/>
  <c r="A26" i="41"/>
  <c r="E66" i="58"/>
  <c r="A21" i="41"/>
  <c r="C72" i="41"/>
  <c r="G78" i="58"/>
  <c r="A38" i="41"/>
  <c r="E42" i="58"/>
  <c r="E86" i="58"/>
  <c r="E78" i="58"/>
  <c r="G18" i="37"/>
  <c r="G18" i="41" s="1"/>
  <c r="A20" i="41"/>
  <c r="A52" i="41"/>
  <c r="C94" i="41"/>
  <c r="A93" i="41"/>
  <c r="G90" i="41"/>
  <c r="C88" i="41"/>
  <c r="A87" i="41"/>
  <c r="C82" i="41"/>
  <c r="A81" i="41"/>
  <c r="G78" i="41"/>
  <c r="A94" i="41"/>
  <c r="A88" i="41"/>
  <c r="A82" i="41"/>
  <c r="F58" i="41"/>
  <c r="D57" i="41"/>
  <c r="F52" i="41"/>
  <c r="D51" i="41"/>
  <c r="F46" i="41"/>
  <c r="D45" i="41"/>
  <c r="F40" i="41"/>
  <c r="D39" i="41"/>
  <c r="A30" i="41"/>
  <c r="A24" i="41"/>
  <c r="C32" i="41"/>
  <c r="A31" i="41"/>
  <c r="C26" i="41"/>
  <c r="A25" i="41"/>
  <c r="C20" i="41"/>
  <c r="A19" i="41"/>
  <c r="C14" i="41"/>
  <c r="D194" i="72" l="1" a="1"/>
  <c r="D194" i="72" s="1"/>
  <c r="D131" i="72" a="1"/>
  <c r="D131" i="72" s="1"/>
  <c r="D132" i="72" a="1"/>
  <c r="D132" i="72" s="1"/>
  <c r="D133" i="72" a="1"/>
  <c r="D133" i="72" s="1"/>
  <c r="D161" i="72" a="1"/>
  <c r="D161" i="72" s="1"/>
  <c r="D162" i="72" a="1"/>
  <c r="D162" i="72" s="1"/>
  <c r="D163" i="72" a="1"/>
  <c r="D163" i="72" s="1"/>
  <c r="D225" i="72" a="1"/>
  <c r="D225" i="72" s="1"/>
  <c r="D7" i="72" a="1"/>
  <c r="D7" i="72" s="1"/>
  <c r="D36" i="72" a="1"/>
  <c r="D36" i="72" s="1"/>
  <c r="D285" i="72" a="1"/>
  <c r="D285" i="72" s="1"/>
  <c r="D8" i="72" a="1"/>
  <c r="D8" i="72" s="1"/>
  <c r="D71" i="72" a="1"/>
  <c r="D71" i="72" s="1"/>
  <c r="D37" i="72" a="1"/>
  <c r="D37" i="72" s="1"/>
  <c r="D102" i="72" a="1"/>
  <c r="D102" i="72" s="1"/>
  <c r="D256" i="72" a="1"/>
  <c r="D256" i="72" s="1"/>
  <c r="G93" i="37"/>
  <c r="G93" i="41" s="1"/>
  <c r="G93" i="58"/>
  <c r="G85" i="37"/>
  <c r="G85" i="41" s="1"/>
  <c r="G85" i="58"/>
  <c r="G77" i="37"/>
  <c r="G77" i="41" s="1"/>
  <c r="G77" i="58"/>
  <c r="G69" i="37"/>
  <c r="G69" i="41" s="1"/>
  <c r="G69" i="58"/>
  <c r="G61" i="37"/>
  <c r="G61" i="41" s="1"/>
  <c r="G61" i="58"/>
  <c r="G53" i="37"/>
  <c r="G53" i="41" s="1"/>
  <c r="G53" i="58"/>
  <c r="G45" i="37"/>
  <c r="G45" i="41" s="1"/>
  <c r="G45" i="58"/>
  <c r="G37" i="37"/>
  <c r="G37" i="41" s="1"/>
  <c r="G37" i="58"/>
  <c r="G29" i="58"/>
  <c r="G29" i="37"/>
  <c r="G29" i="41" s="1"/>
  <c r="G21" i="58"/>
  <c r="G21" i="37"/>
  <c r="G21" i="41" s="1"/>
  <c r="E45" i="58"/>
  <c r="E45" i="37"/>
  <c r="E45" i="41" s="1"/>
  <c r="E53" i="37"/>
  <c r="E53" i="41" s="1"/>
  <c r="E53" i="58"/>
  <c r="G92" i="37"/>
  <c r="G92" i="41" s="1"/>
  <c r="G92" i="58"/>
  <c r="G84" i="37"/>
  <c r="G84" i="58"/>
  <c r="G76" i="37"/>
  <c r="G76" i="41" s="1"/>
  <c r="G76" i="58"/>
  <c r="G68" i="58"/>
  <c r="G68" i="37"/>
  <c r="G68" i="41" s="1"/>
  <c r="G60" i="37"/>
  <c r="G60" i="41" s="1"/>
  <c r="G60" i="58"/>
  <c r="G52" i="37"/>
  <c r="G52" i="41" s="1"/>
  <c r="G52" i="58"/>
  <c r="G44" i="37"/>
  <c r="G44" i="41" s="1"/>
  <c r="G44" i="58"/>
  <c r="G36" i="37"/>
  <c r="G36" i="41" s="1"/>
  <c r="G36" i="58"/>
  <c r="G28" i="58"/>
  <c r="G28" i="37"/>
  <c r="G28" i="41" s="1"/>
  <c r="G20" i="58"/>
  <c r="G20" i="37"/>
  <c r="G20" i="41" s="1"/>
  <c r="E77" i="37"/>
  <c r="E77" i="41" s="1"/>
  <c r="E77" i="58"/>
  <c r="E92" i="58"/>
  <c r="E92" i="37"/>
  <c r="E92" i="41" s="1"/>
  <c r="E84" i="37"/>
  <c r="E84" i="41" s="1"/>
  <c r="E84" i="58"/>
  <c r="E76" i="37"/>
  <c r="E76" i="41" s="1"/>
  <c r="E76" i="58"/>
  <c r="E68" i="37"/>
  <c r="E68" i="41" s="1"/>
  <c r="E68" i="58"/>
  <c r="E60" i="37"/>
  <c r="E60" i="41" s="1"/>
  <c r="E60" i="58"/>
  <c r="E52" i="58"/>
  <c r="E52" i="37"/>
  <c r="E52" i="41" s="1"/>
  <c r="E44" i="37"/>
  <c r="E44" i="41" s="1"/>
  <c r="E44" i="58"/>
  <c r="E36" i="37"/>
  <c r="E36" i="41" s="1"/>
  <c r="E36" i="58"/>
  <c r="E28" i="58"/>
  <c r="E28" i="37"/>
  <c r="E28" i="41" s="1"/>
  <c r="E20" i="58"/>
  <c r="E20" i="37"/>
  <c r="E20" i="41" s="1"/>
  <c r="E61" i="37"/>
  <c r="E61" i="41" s="1"/>
  <c r="E61" i="58"/>
  <c r="E21" i="58"/>
  <c r="E21" i="37"/>
  <c r="E21" i="41" s="1"/>
  <c r="G91" i="37"/>
  <c r="G91" i="41" s="1"/>
  <c r="G91" i="58"/>
  <c r="G83" i="37"/>
  <c r="G83" i="41" s="1"/>
  <c r="G83" i="58"/>
  <c r="G75" i="37"/>
  <c r="G75" i="41" s="1"/>
  <c r="G75" i="58"/>
  <c r="G67" i="37"/>
  <c r="G67" i="41" s="1"/>
  <c r="G67" i="58"/>
  <c r="G59" i="58"/>
  <c r="G59" i="37"/>
  <c r="G59" i="41" s="1"/>
  <c r="G51" i="37"/>
  <c r="G51" i="41" s="1"/>
  <c r="G51" i="58"/>
  <c r="G43" i="58"/>
  <c r="G43" i="37"/>
  <c r="G43" i="41" s="1"/>
  <c r="G35" i="58"/>
  <c r="G35" i="37"/>
  <c r="G35" i="41" s="1"/>
  <c r="G27" i="58"/>
  <c r="G27" i="37"/>
  <c r="G27" i="41" s="1"/>
  <c r="G19" i="37"/>
  <c r="G19" i="41" s="1"/>
  <c r="G19" i="58"/>
  <c r="E85" i="37"/>
  <c r="E85" i="41" s="1"/>
  <c r="E85" i="58"/>
  <c r="E91" i="37"/>
  <c r="E91" i="41" s="1"/>
  <c r="E91" i="58"/>
  <c r="E83" i="37"/>
  <c r="E83" i="41" s="1"/>
  <c r="E83" i="58"/>
  <c r="E75" i="58"/>
  <c r="E75" i="37"/>
  <c r="E75" i="41" s="1"/>
  <c r="E67" i="58"/>
  <c r="E67" i="37"/>
  <c r="E67" i="41" s="1"/>
  <c r="E59" i="58"/>
  <c r="E59" i="37"/>
  <c r="E59" i="41" s="1"/>
  <c r="E51" i="37"/>
  <c r="E51" i="41" s="1"/>
  <c r="E51" i="58"/>
  <c r="E43" i="58"/>
  <c r="E43" i="37"/>
  <c r="E43" i="41" s="1"/>
  <c r="E35" i="37"/>
  <c r="E35" i="41" s="1"/>
  <c r="E35" i="58"/>
  <c r="E27" i="37"/>
  <c r="E27" i="41" s="1"/>
  <c r="E27" i="58"/>
  <c r="E19" i="37"/>
  <c r="E19" i="41" s="1"/>
  <c r="E19" i="58"/>
  <c r="E93" i="37"/>
  <c r="E93" i="41" s="1"/>
  <c r="E93" i="58"/>
  <c r="E29" i="37"/>
  <c r="E29" i="41" s="1"/>
  <c r="E29" i="58"/>
  <c r="G89" i="37"/>
  <c r="G89" i="41" s="1"/>
  <c r="G89" i="58"/>
  <c r="G81" i="37"/>
  <c r="G81" i="41" s="1"/>
  <c r="G81" i="58"/>
  <c r="G73" i="58"/>
  <c r="G73" i="37"/>
  <c r="G73" i="41" s="1"/>
  <c r="G65" i="58"/>
  <c r="G65" i="37"/>
  <c r="G65" i="41" s="1"/>
  <c r="G57" i="58"/>
  <c r="G57" i="37"/>
  <c r="G57" i="41" s="1"/>
  <c r="G49" i="37"/>
  <c r="G49" i="41" s="1"/>
  <c r="G49" i="58"/>
  <c r="G41" i="37"/>
  <c r="G41" i="41" s="1"/>
  <c r="G41" i="58"/>
  <c r="G33" i="58"/>
  <c r="G33" i="37"/>
  <c r="G33" i="41" s="1"/>
  <c r="G25" i="37"/>
  <c r="G25" i="41" s="1"/>
  <c r="G25" i="58"/>
  <c r="G17" i="58"/>
  <c r="G17" i="37"/>
  <c r="E69" i="37"/>
  <c r="E69" i="41" s="1"/>
  <c r="E69" i="58"/>
  <c r="E89" i="37"/>
  <c r="E89" i="41" s="1"/>
  <c r="E89" i="58"/>
  <c r="E81" i="37"/>
  <c r="E81" i="41" s="1"/>
  <c r="E81" i="58"/>
  <c r="E73" i="37"/>
  <c r="E73" i="41" s="1"/>
  <c r="E73" i="58"/>
  <c r="E65" i="58"/>
  <c r="E65" i="37"/>
  <c r="E65" i="41" s="1"/>
  <c r="E57" i="37"/>
  <c r="E57" i="41" s="1"/>
  <c r="E57" i="58"/>
  <c r="E49" i="37"/>
  <c r="E49" i="41" s="1"/>
  <c r="E49" i="58"/>
  <c r="E41" i="37"/>
  <c r="E41" i="41" s="1"/>
  <c r="E41" i="58"/>
  <c r="E33" i="58"/>
  <c r="E33" i="37"/>
  <c r="E33" i="41" s="1"/>
  <c r="E25" i="58"/>
  <c r="E25" i="37"/>
  <c r="E25" i="41" s="1"/>
  <c r="E17" i="58"/>
  <c r="E17" i="37"/>
  <c r="E17" i="41" s="1"/>
  <c r="E37" i="37"/>
  <c r="E37" i="41" s="1"/>
  <c r="E37" i="58"/>
  <c r="G88" i="37"/>
  <c r="G88" i="41" s="1"/>
  <c r="G88" i="58"/>
  <c r="G80" i="37"/>
  <c r="G80" i="41" s="1"/>
  <c r="G80" i="58"/>
  <c r="G72" i="58"/>
  <c r="G72" i="37"/>
  <c r="G72" i="41" s="1"/>
  <c r="G64" i="37"/>
  <c r="G64" i="41" s="1"/>
  <c r="G64" i="58"/>
  <c r="G56" i="37"/>
  <c r="G56" i="41" s="1"/>
  <c r="G56" i="58"/>
  <c r="G48" i="37"/>
  <c r="G48" i="41" s="1"/>
  <c r="G48" i="58"/>
  <c r="G40" i="37"/>
  <c r="G40" i="41" s="1"/>
  <c r="G40" i="58"/>
  <c r="G32" i="58"/>
  <c r="G32" i="37"/>
  <c r="G32" i="41" s="1"/>
  <c r="G24" i="37"/>
  <c r="G24" i="41" s="1"/>
  <c r="G24" i="58"/>
  <c r="G16" i="58"/>
  <c r="G16" i="37"/>
  <c r="G16" i="41" s="1"/>
  <c r="E88" i="37"/>
  <c r="E88" i="41" s="1"/>
  <c r="E88" i="58"/>
  <c r="E80" i="37"/>
  <c r="E80" i="41" s="1"/>
  <c r="E80" i="58"/>
  <c r="E72" i="58"/>
  <c r="E72" i="37"/>
  <c r="E72" i="41" s="1"/>
  <c r="E64" i="37"/>
  <c r="E64" i="41" s="1"/>
  <c r="E64" i="58"/>
  <c r="E56" i="37"/>
  <c r="E56" i="41" s="1"/>
  <c r="E56" i="58"/>
  <c r="E48" i="37"/>
  <c r="E48" i="41" s="1"/>
  <c r="E48" i="58"/>
  <c r="E40" i="58"/>
  <c r="E40" i="37"/>
  <c r="E40" i="41" s="1"/>
  <c r="E32" i="58"/>
  <c r="E32" i="37"/>
  <c r="E32" i="41" s="1"/>
  <c r="E24" i="58"/>
  <c r="E24" i="37"/>
  <c r="E24" i="41" s="1"/>
  <c r="E16" i="58"/>
  <c r="E16" i="37"/>
  <c r="E16" i="41" s="1"/>
  <c r="G87" i="37"/>
  <c r="G87" i="41" s="1"/>
  <c r="G87" i="58"/>
  <c r="G79" i="58"/>
  <c r="G79" i="37"/>
  <c r="G79" i="41" s="1"/>
  <c r="G71" i="37"/>
  <c r="G71" i="41" s="1"/>
  <c r="G71" i="58"/>
  <c r="G63" i="58"/>
  <c r="G63" i="37"/>
  <c r="G63" i="41" s="1"/>
  <c r="G55" i="37"/>
  <c r="G55" i="41" s="1"/>
  <c r="G55" i="58"/>
  <c r="G47" i="58"/>
  <c r="G47" i="37"/>
  <c r="G47" i="41" s="1"/>
  <c r="G39" i="37"/>
  <c r="G39" i="41" s="1"/>
  <c r="G39" i="58"/>
  <c r="G31" i="58"/>
  <c r="G31" i="37"/>
  <c r="G31" i="41" s="1"/>
  <c r="G23" i="58"/>
  <c r="G23" i="37"/>
  <c r="G23" i="41" s="1"/>
  <c r="G15" i="37"/>
  <c r="G15" i="41" s="1"/>
  <c r="G15" i="58"/>
  <c r="E87" i="37"/>
  <c r="E87" i="41" s="1"/>
  <c r="E87" i="58"/>
  <c r="E79" i="37"/>
  <c r="E79" i="41" s="1"/>
  <c r="E79" i="58"/>
  <c r="E71" i="37"/>
  <c r="E71" i="41" s="1"/>
  <c r="E71" i="58"/>
  <c r="E63" i="37"/>
  <c r="E63" i="41" s="1"/>
  <c r="E63" i="58"/>
  <c r="E55" i="58"/>
  <c r="E55" i="37"/>
  <c r="E55" i="41" s="1"/>
  <c r="E47" i="37"/>
  <c r="E47" i="41" s="1"/>
  <c r="E47" i="58"/>
  <c r="E39" i="37"/>
  <c r="E39" i="41" s="1"/>
  <c r="E39" i="58"/>
  <c r="E31" i="58"/>
  <c r="E31" i="37"/>
  <c r="E31" i="41" s="1"/>
  <c r="E23" i="37"/>
  <c r="E23" i="41" s="1"/>
  <c r="E23" i="58"/>
  <c r="E15" i="37"/>
  <c r="E15" i="41" s="1"/>
  <c r="E15" i="58"/>
  <c r="D286" i="72" l="1" a="1"/>
  <c r="D286" i="72" s="1"/>
  <c r="D164" i="72" a="1"/>
  <c r="D164" i="72" s="1"/>
  <c r="D103" i="72" a="1"/>
  <c r="D103" i="72" s="1"/>
  <c r="D226" i="72" a="1"/>
  <c r="D226" i="72" s="1"/>
  <c r="D195" i="72" a="1"/>
  <c r="D195" i="72" s="1"/>
  <c r="D196" i="72" a="1"/>
  <c r="D196" i="72" s="1"/>
  <c r="D197" i="72" a="1"/>
  <c r="D197" i="72" s="1"/>
  <c r="D104" i="72" a="1"/>
  <c r="D104" i="72" s="1"/>
  <c r="D134" i="72" a="1"/>
  <c r="D134" i="72" s="1"/>
  <c r="D9" i="72" a="1"/>
  <c r="D9" i="72" s="1"/>
  <c r="D165" i="72" a="1"/>
  <c r="D165" i="72" s="1"/>
  <c r="D105" i="72" a="1"/>
  <c r="D105" i="72" s="1"/>
  <c r="D166" i="72" a="1"/>
  <c r="D166" i="72" s="1"/>
  <c r="D38" i="72" a="1"/>
  <c r="D38" i="72" s="1"/>
  <c r="D72" i="72" a="1"/>
  <c r="D72" i="72" s="1"/>
  <c r="D73" i="72" s="1" a="1"/>
  <c r="D73" i="72" s="1"/>
  <c r="D74" i="72" s="1" a="1"/>
  <c r="D74" i="72" s="1"/>
  <c r="D257" i="72" a="1"/>
  <c r="D257" i="72" s="1"/>
  <c r="G17" i="41"/>
  <c r="G84" i="41"/>
  <c r="D135" i="72" l="1" a="1"/>
  <c r="D135" i="72" s="1"/>
  <c r="D75" i="72" a="1"/>
  <c r="D75" i="72" s="1"/>
  <c r="D76" i="72" s="1" a="1"/>
  <c r="D76" i="72" s="1"/>
  <c r="D167" i="72" a="1"/>
  <c r="D167" i="72" s="1"/>
  <c r="D168" i="72" s="1" a="1"/>
  <c r="D168" i="72" s="1"/>
  <c r="D39" i="72" a="1"/>
  <c r="D39" i="72" s="1"/>
  <c r="D40" i="72" s="1" a="1"/>
  <c r="D40" i="72" s="1"/>
  <c r="D258" i="72" a="1"/>
  <c r="D258" i="72" s="1"/>
  <c r="D259" i="72" s="1" a="1"/>
  <c r="D259" i="72" s="1"/>
  <c r="D288" i="72" a="1"/>
  <c r="D288" i="72" s="1"/>
  <c r="D287" i="72" a="1"/>
  <c r="D287" i="72" s="1"/>
  <c r="D106" i="72" a="1"/>
  <c r="D106" i="72" s="1"/>
  <c r="D198" i="72" a="1"/>
  <c r="D198" i="72" s="1"/>
  <c r="D227" i="72" a="1"/>
  <c r="D227" i="72" s="1"/>
  <c r="D10" i="72" a="1"/>
  <c r="D10" i="72" s="1"/>
  <c r="C341" i="38"/>
  <c r="C347" i="38"/>
  <c r="C329" i="38"/>
  <c r="C335" i="38"/>
  <c r="C317" i="38"/>
  <c r="C323" i="38"/>
  <c r="C305" i="38"/>
  <c r="C311" i="38"/>
  <c r="C293" i="38"/>
  <c r="C299" i="38"/>
  <c r="D14" i="34"/>
  <c r="B59" i="26"/>
  <c r="C59" i="26" s="1"/>
  <c r="B60" i="26"/>
  <c r="C33" i="17"/>
  <c r="D33" i="17" s="1"/>
  <c r="E33" i="17" s="1"/>
  <c r="C34" i="17"/>
  <c r="D34" i="17" s="1"/>
  <c r="E34" i="17" s="1"/>
  <c r="C35" i="17"/>
  <c r="D35" i="17" s="1"/>
  <c r="C36" i="17"/>
  <c r="D36" i="17" s="1"/>
  <c r="E36" i="17" s="1"/>
  <c r="C37" i="17"/>
  <c r="D37" i="17" s="1"/>
  <c r="E37" i="17" s="1"/>
  <c r="C38" i="17"/>
  <c r="D38" i="17" s="1"/>
  <c r="E38" i="17" s="1"/>
  <c r="C39" i="17"/>
  <c r="D39" i="17" s="1"/>
  <c r="E39" i="17" s="1"/>
  <c r="C40" i="17"/>
  <c r="D40" i="17" s="1"/>
  <c r="E40" i="17" s="1"/>
  <c r="C41" i="17"/>
  <c r="D41" i="17" s="1"/>
  <c r="E41" i="17" s="1"/>
  <c r="C42" i="17"/>
  <c r="D42" i="17" s="1"/>
  <c r="E42" i="17" s="1"/>
  <c r="C43" i="17"/>
  <c r="D43" i="17" s="1"/>
  <c r="E43" i="17" s="1"/>
  <c r="C44" i="17"/>
  <c r="D44" i="17" s="1"/>
  <c r="E44" i="17" s="1"/>
  <c r="C45" i="17"/>
  <c r="D45" i="17" s="1"/>
  <c r="E45" i="17" s="1"/>
  <c r="C32" i="17"/>
  <c r="D32" i="17" s="1"/>
  <c r="E32" i="17" s="1"/>
  <c r="B33" i="17"/>
  <c r="B34" i="17"/>
  <c r="B35" i="17"/>
  <c r="B36" i="17"/>
  <c r="B37" i="17"/>
  <c r="B38" i="17"/>
  <c r="B39" i="17"/>
  <c r="B40" i="17"/>
  <c r="B41" i="17"/>
  <c r="B42" i="17"/>
  <c r="B43" i="17"/>
  <c r="B44" i="17"/>
  <c r="B45" i="17"/>
  <c r="B32" i="17"/>
  <c r="H227" i="35"/>
  <c r="H228" i="35"/>
  <c r="I228" i="35"/>
  <c r="H229" i="35"/>
  <c r="I229" i="35"/>
  <c r="H230" i="35"/>
  <c r="I230" i="35"/>
  <c r="I227" i="35"/>
  <c r="F13" i="32"/>
  <c r="G13" i="32"/>
  <c r="C13" i="32"/>
  <c r="D13" i="32"/>
  <c r="D260" i="72" l="1" a="1"/>
  <c r="D260" i="72" s="1"/>
  <c r="D261" i="72" s="1" a="1"/>
  <c r="D261" i="72" s="1"/>
  <c r="D262" i="72" s="1" a="1"/>
  <c r="D262" i="72" s="1"/>
  <c r="D263" i="72" s="1" a="1"/>
  <c r="D263" i="72" s="1"/>
  <c r="D42" i="72" a="1"/>
  <c r="D42" i="72" s="1"/>
  <c r="D43" i="72" s="1" a="1"/>
  <c r="D43" i="72" s="1"/>
  <c r="D44" i="72" s="1" a="1"/>
  <c r="D44" i="72" s="1"/>
  <c r="D45" i="72" s="1" a="1"/>
  <c r="D45" i="72" s="1"/>
  <c r="D41" i="72" a="1"/>
  <c r="D41" i="72" s="1"/>
  <c r="D169" i="72" a="1"/>
  <c r="D169" i="72" s="1"/>
  <c r="D77" i="72" a="1"/>
  <c r="D77" i="72" s="1"/>
  <c r="D78" i="72" s="1" a="1"/>
  <c r="D78" i="72" s="1"/>
  <c r="D79" i="72" s="1" a="1"/>
  <c r="D79" i="72" s="1"/>
  <c r="D80" i="72" s="1" a="1"/>
  <c r="D80" i="72" s="1"/>
  <c r="D81" i="72" s="1" a="1"/>
  <c r="D81" i="72" s="1"/>
  <c r="D82" i="72" s="1" a="1"/>
  <c r="D82" i="72" s="1"/>
  <c r="D83" i="72" s="1" a="1"/>
  <c r="D83" i="72" s="1"/>
  <c r="D84" i="72" s="1" a="1"/>
  <c r="D84" i="72" s="1"/>
  <c r="D85" i="72" s="1" a="1"/>
  <c r="D85" i="72" s="1"/>
  <c r="D86" i="72" s="1" a="1"/>
  <c r="D86" i="72" s="1"/>
  <c r="D87" i="72" s="1" a="1"/>
  <c r="D87" i="72" s="1"/>
  <c r="D88" i="72" s="1" a="1"/>
  <c r="D88" i="72" s="1"/>
  <c r="D89" i="72" s="1" a="1"/>
  <c r="D89" i="72" s="1"/>
  <c r="D90" i="72" s="1" a="1"/>
  <c r="D90" i="72" s="1"/>
  <c r="D91" i="72" s="1" a="1"/>
  <c r="D91" i="72" s="1"/>
  <c r="D92" i="72" s="1" a="1"/>
  <c r="D92" i="72" s="1"/>
  <c r="D93" i="72" s="1" a="1"/>
  <c r="D93" i="72" s="1"/>
  <c r="D94" i="72" s="1" a="1"/>
  <c r="D94" i="72" s="1"/>
  <c r="D107" i="72" a="1"/>
  <c r="D107" i="72" s="1"/>
  <c r="D108" i="72" s="1" a="1"/>
  <c r="D108" i="72" s="1"/>
  <c r="D109" i="72" s="1" a="1"/>
  <c r="D109" i="72" s="1"/>
  <c r="D110" i="72" s="1" a="1"/>
  <c r="D110" i="72" s="1"/>
  <c r="D111" i="72" s="1" a="1"/>
  <c r="D111" i="72" s="1"/>
  <c r="D112" i="72" s="1" a="1"/>
  <c r="D112" i="72" s="1"/>
  <c r="D113" i="72" s="1" a="1"/>
  <c r="D113" i="72" s="1"/>
  <c r="D114" i="72" s="1" a="1"/>
  <c r="D114" i="72" s="1"/>
  <c r="D264" i="72" a="1"/>
  <c r="D264" i="72" s="1"/>
  <c r="D265" i="72" s="1" a="1"/>
  <c r="D265" i="72" s="1"/>
  <c r="D266" i="72" s="1" a="1"/>
  <c r="D266" i="72" s="1"/>
  <c r="D267" i="72" s="1" a="1"/>
  <c r="D267" i="72" s="1"/>
  <c r="D170" i="72" a="1"/>
  <c r="D170" i="72" s="1"/>
  <c r="D11" i="72" a="1"/>
  <c r="D11" i="72" s="1"/>
  <c r="D136" i="72" a="1"/>
  <c r="D136" i="72" s="1"/>
  <c r="D200" i="72" a="1"/>
  <c r="D200" i="72" s="1"/>
  <c r="D199" i="72" a="1"/>
  <c r="D199" i="72" s="1"/>
  <c r="D201" i="72" a="1"/>
  <c r="D201" i="72" s="1"/>
  <c r="D289" i="72" a="1"/>
  <c r="D289" i="72" s="1"/>
  <c r="D12" i="72" a="1"/>
  <c r="D12" i="72" s="1"/>
  <c r="D228" i="72" a="1"/>
  <c r="D228" i="72" s="1"/>
  <c r="D229" i="72" s="1" a="1"/>
  <c r="D229" i="72" s="1"/>
  <c r="C60" i="26"/>
  <c r="D60" i="26" s="1"/>
  <c r="E35" i="17"/>
  <c r="B61" i="26"/>
  <c r="D46" i="17"/>
  <c r="D202" i="72" l="1" a="1"/>
  <c r="D202" i="72" s="1"/>
  <c r="D13" i="72" a="1"/>
  <c r="D13" i="72" s="1"/>
  <c r="D14" i="72" s="1" a="1"/>
  <c r="D14" i="72" s="1"/>
  <c r="D15" i="72" s="1" a="1"/>
  <c r="D15" i="72" s="1"/>
  <c r="D46" i="72" a="1"/>
  <c r="D46" i="72" s="1"/>
  <c r="D47" i="72" s="1" a="1"/>
  <c r="D47" i="72" s="1"/>
  <c r="D48" i="72" s="1" a="1"/>
  <c r="D48" i="72" s="1"/>
  <c r="D230" i="72" a="1"/>
  <c r="D230" i="72" s="1"/>
  <c r="D231" i="72" s="1" a="1"/>
  <c r="D231" i="72" s="1"/>
  <c r="D232" i="72" s="1" a="1"/>
  <c r="D232" i="72" s="1"/>
  <c r="D233" i="72" s="1" a="1"/>
  <c r="D233" i="72" s="1"/>
  <c r="D234" i="72" s="1" a="1"/>
  <c r="D234" i="72" s="1"/>
  <c r="D290" i="72" a="1"/>
  <c r="D290" i="72" s="1"/>
  <c r="D171" i="72" a="1"/>
  <c r="D171" i="72" s="1"/>
  <c r="D172" i="72" s="1" a="1"/>
  <c r="D172" i="72" s="1"/>
  <c r="D173" i="72" s="1" a="1"/>
  <c r="D173" i="72" s="1"/>
  <c r="D174" i="72" s="1" a="1"/>
  <c r="D174" i="72" s="1"/>
  <c r="D175" i="72" s="1" a="1"/>
  <c r="D175" i="72" s="1"/>
  <c r="D176" i="72" s="1" a="1"/>
  <c r="D176" i="72" s="1"/>
  <c r="D177" i="72" s="1" a="1"/>
  <c r="D177" i="72" s="1"/>
  <c r="D178" i="72" s="1" a="1"/>
  <c r="D178" i="72" s="1"/>
  <c r="D179" i="72" s="1" a="1"/>
  <c r="D179" i="72" s="1"/>
  <c r="D180" i="72" s="1" a="1"/>
  <c r="D180" i="72" s="1"/>
  <c r="D181" i="72" s="1" a="1"/>
  <c r="D181" i="72" s="1"/>
  <c r="D182" i="72" s="1" a="1"/>
  <c r="D182" i="72" s="1"/>
  <c r="D183" i="72" s="1" a="1"/>
  <c r="D183" i="72" s="1"/>
  <c r="D184" i="72" s="1" a="1"/>
  <c r="D184" i="72" s="1"/>
  <c r="D185" i="72" s="1" a="1"/>
  <c r="D185" i="72" s="1"/>
  <c r="D186" i="72" s="1" a="1"/>
  <c r="D186" i="72" s="1"/>
  <c r="D187" i="72" s="1" a="1"/>
  <c r="D187" i="72" s="1"/>
  <c r="D268" i="72" a="1"/>
  <c r="D268" i="72" s="1"/>
  <c r="D269" i="72" s="1" a="1"/>
  <c r="D269" i="72" s="1"/>
  <c r="D270" i="72" s="1" a="1"/>
  <c r="D270" i="72" s="1"/>
  <c r="D271" i="72" s="1" a="1"/>
  <c r="D271" i="72" s="1"/>
  <c r="D272" i="72" s="1" a="1"/>
  <c r="D272" i="72" s="1"/>
  <c r="D273" i="72" s="1" a="1"/>
  <c r="D273" i="72" s="1"/>
  <c r="D274" i="72" s="1" a="1"/>
  <c r="D274" i="72" s="1"/>
  <c r="D275" i="72" s="1" a="1"/>
  <c r="D275" i="72" s="1"/>
  <c r="D276" i="72" s="1" a="1"/>
  <c r="D276" i="72" s="1"/>
  <c r="D277" i="72" s="1" a="1"/>
  <c r="D277" i="72" s="1"/>
  <c r="D278" i="72" s="1" a="1"/>
  <c r="D278" i="72" s="1"/>
  <c r="D279" i="72" s="1" a="1"/>
  <c r="D279" i="72" s="1"/>
  <c r="D280" i="72" s="1" a="1"/>
  <c r="D280" i="72" s="1"/>
  <c r="D203" i="72" a="1"/>
  <c r="D203" i="72" s="1"/>
  <c r="D204" i="72" s="1" a="1"/>
  <c r="D204" i="72" s="1"/>
  <c r="D205" i="72" s="1" a="1"/>
  <c r="D205" i="72" s="1"/>
  <c r="D206" i="72" s="1" a="1"/>
  <c r="D206" i="72" s="1"/>
  <c r="D207" i="72" s="1" a="1"/>
  <c r="D207" i="72" s="1"/>
  <c r="D208" i="72" s="1" a="1"/>
  <c r="D208" i="72" s="1"/>
  <c r="D209" i="72" s="1" a="1"/>
  <c r="D209" i="72" s="1"/>
  <c r="D210" i="72" s="1" a="1"/>
  <c r="D210" i="72" s="1"/>
  <c r="D211" i="72" s="1" a="1"/>
  <c r="D211" i="72" s="1"/>
  <c r="D212" i="72" s="1" a="1"/>
  <c r="D212" i="72" s="1"/>
  <c r="D213" i="72" s="1" a="1"/>
  <c r="D213" i="72" s="1"/>
  <c r="D214" i="72" s="1" a="1"/>
  <c r="D214" i="72" s="1"/>
  <c r="D215" i="72" s="1" a="1"/>
  <c r="D215" i="72" s="1"/>
  <c r="D216" i="72" s="1" a="1"/>
  <c r="D216" i="72" s="1"/>
  <c r="D217" i="72" s="1" a="1"/>
  <c r="D217" i="72" s="1"/>
  <c r="D218" i="72" s="1" a="1"/>
  <c r="D218" i="72" s="1"/>
  <c r="D137" i="72" a="1"/>
  <c r="D137" i="72" s="1"/>
  <c r="D115" i="72" a="1"/>
  <c r="D115" i="72" s="1"/>
  <c r="D116" i="72" s="1" a="1"/>
  <c r="D116" i="72" s="1"/>
  <c r="D117" i="72" s="1" a="1"/>
  <c r="D117" i="72" s="1"/>
  <c r="D118" i="72" s="1" a="1"/>
  <c r="D118" i="72" s="1"/>
  <c r="D119" i="72" s="1" a="1"/>
  <c r="D119" i="72" s="1"/>
  <c r="D120" i="72" s="1" a="1"/>
  <c r="D120" i="72" s="1"/>
  <c r="D121" i="72" s="1" a="1"/>
  <c r="D121" i="72" s="1"/>
  <c r="D122" i="72" s="1" a="1"/>
  <c r="D122" i="72" s="1"/>
  <c r="D123" i="72" s="1" a="1"/>
  <c r="D123" i="72" s="1"/>
  <c r="D124" i="72" s="1" a="1"/>
  <c r="D124" i="72" s="1"/>
  <c r="D125" i="72" s="1" a="1"/>
  <c r="D125" i="72" s="1"/>
  <c r="D59" i="26"/>
  <c r="D61" i="26" s="1"/>
  <c r="C61" i="26"/>
  <c r="E46" i="17"/>
  <c r="C6" i="32"/>
  <c r="C7" i="32"/>
  <c r="D49" i="72" l="1" a="1"/>
  <c r="D49" i="72" s="1"/>
  <c r="D50" i="72" s="1" a="1"/>
  <c r="D50" i="72" s="1"/>
  <c r="D51" i="72" s="1" a="1"/>
  <c r="D51" i="72" s="1"/>
  <c r="D52" i="72" s="1" a="1"/>
  <c r="D52" i="72" s="1"/>
  <c r="D53" i="72" s="1" a="1"/>
  <c r="D53" i="72" s="1"/>
  <c r="D54" i="72" s="1" a="1"/>
  <c r="D54" i="72" s="1"/>
  <c r="D55" i="72" s="1" a="1"/>
  <c r="D55" i="72" s="1"/>
  <c r="D56" i="72" s="1" a="1"/>
  <c r="D56" i="72" s="1"/>
  <c r="D57" i="72" s="1" a="1"/>
  <c r="D57" i="72" s="1"/>
  <c r="D58" i="72" s="1" a="1"/>
  <c r="D58" i="72" s="1"/>
  <c r="D59" i="72" s="1" a="1"/>
  <c r="D59" i="72" s="1"/>
  <c r="D60" i="72" s="1" a="1"/>
  <c r="D60" i="72" s="1"/>
  <c r="D61" i="72" s="1" a="1"/>
  <c r="D61" i="72" s="1"/>
  <c r="D62" i="72" s="1" a="1"/>
  <c r="D62" i="72" s="1"/>
  <c r="D63" i="72" s="1" a="1"/>
  <c r="D63" i="72" s="1"/>
  <c r="D138" i="72" a="1"/>
  <c r="D138" i="72" s="1"/>
  <c r="D139" i="72" s="1" a="1"/>
  <c r="D139" i="72" s="1"/>
  <c r="D140" i="72" s="1" a="1"/>
  <c r="D140" i="72" s="1"/>
  <c r="D141" i="72" s="1" a="1"/>
  <c r="D141" i="72" s="1"/>
  <c r="D142" i="72" s="1" a="1"/>
  <c r="D142" i="72" s="1"/>
  <c r="D143" i="72" s="1" a="1"/>
  <c r="D143" i="72" s="1"/>
  <c r="D144" i="72" s="1" a="1"/>
  <c r="D144" i="72" s="1"/>
  <c r="D145" i="72" s="1" a="1"/>
  <c r="D145" i="72" s="1"/>
  <c r="D146" i="72" s="1" a="1"/>
  <c r="D146" i="72" s="1"/>
  <c r="D147" i="72" s="1" a="1"/>
  <c r="D147" i="72" s="1"/>
  <c r="D148" i="72" s="1" a="1"/>
  <c r="D148" i="72" s="1"/>
  <c r="D149" i="72" s="1" a="1"/>
  <c r="D149" i="72" s="1"/>
  <c r="D150" i="72" s="1" a="1"/>
  <c r="D150" i="72" s="1"/>
  <c r="D151" i="72" s="1" a="1"/>
  <c r="D151" i="72" s="1"/>
  <c r="D152" i="72" s="1" a="1"/>
  <c r="D152" i="72" s="1"/>
  <c r="D153" i="72" s="1" a="1"/>
  <c r="D153" i="72" s="1"/>
  <c r="D154" i="72" s="1" a="1"/>
  <c r="D154" i="72" s="1"/>
  <c r="D155" i="72" s="1" a="1"/>
  <c r="D155" i="72" s="1"/>
  <c r="D156" i="72" s="1" a="1"/>
  <c r="D156" i="72" s="1"/>
  <c r="D16" i="72" a="1"/>
  <c r="D16" i="72" s="1"/>
  <c r="D17" i="72" s="1" a="1"/>
  <c r="D17" i="72" s="1"/>
  <c r="D18" i="72" s="1" a="1"/>
  <c r="D18" i="72" s="1"/>
  <c r="D19" i="72" s="1" a="1"/>
  <c r="D19" i="72" s="1"/>
  <c r="D20" i="72" s="1" a="1"/>
  <c r="D20" i="72" s="1"/>
  <c r="D21" i="72" s="1" a="1"/>
  <c r="D21" i="72" s="1"/>
  <c r="D22" i="72" s="1" a="1"/>
  <c r="D22" i="72" s="1"/>
  <c r="D23" i="72" s="1" a="1"/>
  <c r="D23" i="72" s="1"/>
  <c r="D24" i="72" s="1" a="1"/>
  <c r="D24" i="72" s="1"/>
  <c r="D25" i="72" s="1" a="1"/>
  <c r="D25" i="72" s="1"/>
  <c r="D26" i="72" s="1" a="1"/>
  <c r="D26" i="72" s="1"/>
  <c r="D27" i="72" s="1" a="1"/>
  <c r="D27" i="72" s="1"/>
  <c r="D28" i="72" s="1" a="1"/>
  <c r="D28" i="72" s="1"/>
  <c r="D29" i="72" s="1" a="1"/>
  <c r="D29" i="72" s="1"/>
  <c r="D30" i="72" s="1" a="1"/>
  <c r="D30" i="72" s="1"/>
  <c r="D31" i="72" s="1" a="1"/>
  <c r="D31" i="72" s="1"/>
  <c r="D32" i="72" s="1" a="1"/>
  <c r="D32" i="72" s="1"/>
  <c r="D235" i="72" a="1"/>
  <c r="D235" i="72" s="1"/>
  <c r="D236" i="72" s="1" a="1"/>
  <c r="D236" i="72" s="1"/>
  <c r="D237" i="72" s="1" a="1"/>
  <c r="D237" i="72" s="1"/>
  <c r="D238" i="72" s="1" a="1"/>
  <c r="D238" i="72" s="1"/>
  <c r="D239" i="72" s="1" a="1"/>
  <c r="D239" i="72" s="1"/>
  <c r="D240" i="72" s="1" a="1"/>
  <c r="D240" i="72" s="1"/>
  <c r="D241" i="72" s="1" a="1"/>
  <c r="D241" i="72" s="1"/>
  <c r="D242" i="72" s="1" a="1"/>
  <c r="D242" i="72" s="1"/>
  <c r="D243" i="72" s="1" a="1"/>
  <c r="D243" i="72" s="1"/>
  <c r="D244" i="72" s="1" a="1"/>
  <c r="D244" i="72" s="1"/>
  <c r="D245" i="72" s="1" a="1"/>
  <c r="D245" i="72" s="1"/>
  <c r="D246" i="72" s="1" a="1"/>
  <c r="D246" i="72" s="1"/>
  <c r="D247" i="72" s="1" a="1"/>
  <c r="D247" i="72" s="1"/>
  <c r="D248" i="72" s="1" a="1"/>
  <c r="D248" i="72" s="1"/>
  <c r="D249" i="72" s="1" a="1"/>
  <c r="D249" i="72" s="1"/>
  <c r="D291" i="72" a="1"/>
  <c r="D291" i="72" s="1"/>
  <c r="D292" i="72" s="1" a="1"/>
  <c r="D292" i="72" s="1"/>
  <c r="D293" i="72" s="1" a="1"/>
  <c r="D293" i="72" s="1"/>
  <c r="D294" i="72" s="1" a="1"/>
  <c r="D294" i="72" s="1"/>
  <c r="D295" i="72" s="1" a="1"/>
  <c r="D295" i="72" s="1"/>
  <c r="D296" i="72" s="1" a="1"/>
  <c r="D296" i="72" s="1"/>
  <c r="D297" i="72" s="1" a="1"/>
  <c r="D297" i="72" s="1"/>
  <c r="D298" i="72" s="1" a="1"/>
  <c r="D298" i="72" s="1"/>
  <c r="D299" i="72" s="1" a="1"/>
  <c r="D299" i="72" s="1"/>
  <c r="D300" i="72" s="1" a="1"/>
  <c r="D300" i="72" s="1"/>
  <c r="D301" i="72" s="1" a="1"/>
  <c r="D301" i="72" s="1"/>
  <c r="D302" i="72" s="1" a="1"/>
  <c r="D302" i="72" s="1"/>
  <c r="D303" i="72" s="1" a="1"/>
  <c r="D303" i="72" s="1"/>
  <c r="D304" i="72" s="1" a="1"/>
  <c r="D304" i="72" s="1"/>
  <c r="D305" i="72" s="1" a="1"/>
  <c r="D305" i="72" s="1"/>
  <c r="D306" i="72" s="1" a="1"/>
  <c r="D306" i="72" s="1"/>
  <c r="D307" i="72" s="1" a="1"/>
  <c r="D307" i="72" s="1"/>
  <c r="D308" i="72" s="1" a="1"/>
  <c r="D308" i="72" s="1"/>
  <c r="D309" i="72" s="1" a="1"/>
  <c r="D309" i="72" s="1"/>
  <c r="D310" i="72" s="1" a="1"/>
  <c r="D310" i="72" s="1"/>
  <c r="D311" i="72" s="1" a="1"/>
  <c r="D311" i="72" s="1"/>
  <c r="E13" i="32"/>
  <c r="G230" i="35"/>
  <c r="B13" i="32"/>
  <c r="G229" i="35"/>
  <c r="D12" i="32"/>
  <c r="C12" i="32"/>
  <c r="C5" i="32"/>
  <c r="G12" i="32"/>
  <c r="F12" i="32"/>
  <c r="C4" i="32"/>
  <c r="E12" i="32" l="1"/>
  <c r="G228" i="35"/>
  <c r="B12" i="32"/>
  <c r="G227" i="35"/>
  <c r="A17" i="34"/>
  <c r="C17" i="34" s="1"/>
  <c r="A3" i="34"/>
  <c r="C3" i="34" s="1"/>
  <c r="A4" i="34"/>
  <c r="C189" i="38" s="1"/>
  <c r="A5" i="34"/>
  <c r="C190" i="38" s="1"/>
  <c r="A6" i="34"/>
  <c r="C191" i="38" s="1"/>
  <c r="A7" i="34"/>
  <c r="C7" i="34" s="1"/>
  <c r="A8" i="34"/>
  <c r="C8" i="34" s="1"/>
  <c r="A9" i="34"/>
  <c r="C9" i="34" s="1"/>
  <c r="A10" i="34"/>
  <c r="C10" i="34" s="1"/>
  <c r="A11" i="34"/>
  <c r="C11" i="34" s="1"/>
  <c r="A12" i="34"/>
  <c r="C12" i="34" s="1"/>
  <c r="A13" i="34"/>
  <c r="C13" i="34" s="1"/>
  <c r="A14" i="34"/>
  <c r="C14" i="34" s="1"/>
  <c r="A15" i="34"/>
  <c r="C15" i="34" s="1"/>
  <c r="A16" i="34"/>
  <c r="C201" i="38" s="1"/>
  <c r="B26" i="6"/>
  <c r="C198" i="38" l="1"/>
  <c r="C197" i="38"/>
  <c r="E15" i="34"/>
  <c r="E14" i="34" s="1"/>
  <c r="C196" i="38"/>
  <c r="C200" i="38"/>
  <c r="C199" i="38"/>
  <c r="C16" i="34"/>
  <c r="C195" i="38"/>
  <c r="C6" i="34"/>
  <c r="C194" i="38"/>
  <c r="C5" i="34"/>
  <c r="C193" i="38"/>
  <c r="C4" i="34"/>
  <c r="C192" i="38"/>
  <c r="C188" i="38"/>
  <c r="D13" i="63"/>
  <c r="D23" i="63" s="1"/>
  <c r="D33" i="63" s="1"/>
  <c r="D43" i="63" s="1"/>
  <c r="D53" i="63" s="1"/>
  <c r="F13" i="63"/>
  <c r="F23" i="63" s="1"/>
  <c r="F33" i="63" s="1"/>
  <c r="F43" i="63" s="1"/>
  <c r="F53" i="63" s="1"/>
  <c r="G13" i="63"/>
  <c r="G23" i="63" s="1"/>
  <c r="G33" i="63" s="1"/>
  <c r="G43" i="63" s="1"/>
  <c r="G53" i="63" s="1"/>
  <c r="H13" i="63"/>
  <c r="I13" i="63"/>
  <c r="I23" i="63" s="1"/>
  <c r="I33" i="63" s="1"/>
  <c r="I43" i="63" s="1"/>
  <c r="I53" i="63" s="1"/>
  <c r="D14" i="63"/>
  <c r="D24" i="63" s="1"/>
  <c r="D34" i="63" s="1"/>
  <c r="D44" i="63" s="1"/>
  <c r="D54" i="63" s="1"/>
  <c r="G14" i="63"/>
  <c r="G24" i="63" s="1"/>
  <c r="G34" i="63" s="1"/>
  <c r="G44" i="63" s="1"/>
  <c r="G54" i="63" s="1"/>
  <c r="H14" i="63"/>
  <c r="H24" i="63" s="1"/>
  <c r="H34" i="63" s="1"/>
  <c r="H44" i="63" s="1"/>
  <c r="H54" i="63" s="1"/>
  <c r="I14" i="63"/>
  <c r="I24" i="63" s="1"/>
  <c r="I34" i="63" s="1"/>
  <c r="I44" i="63" s="1"/>
  <c r="I54" i="63" s="1"/>
  <c r="D15" i="63"/>
  <c r="D25" i="63" s="1"/>
  <c r="D35" i="63" s="1"/>
  <c r="D45" i="63" s="1"/>
  <c r="D55" i="63" s="1"/>
  <c r="G15" i="63"/>
  <c r="G25" i="63" s="1"/>
  <c r="G35" i="63" s="1"/>
  <c r="G45" i="63" s="1"/>
  <c r="G55" i="63" s="1"/>
  <c r="H15" i="63"/>
  <c r="H25" i="63" s="1"/>
  <c r="H35" i="63" s="1"/>
  <c r="H45" i="63" s="1"/>
  <c r="H55" i="63" s="1"/>
  <c r="I15" i="63"/>
  <c r="D16" i="63"/>
  <c r="G16" i="63"/>
  <c r="G26" i="63" s="1"/>
  <c r="G36" i="63" s="1"/>
  <c r="G46" i="63" s="1"/>
  <c r="G56" i="63" s="1"/>
  <c r="H16" i="63"/>
  <c r="H26" i="63" s="1"/>
  <c r="H36" i="63" s="1"/>
  <c r="H46" i="63" s="1"/>
  <c r="H56" i="63" s="1"/>
  <c r="I16" i="63"/>
  <c r="I26" i="63" s="1"/>
  <c r="I36" i="63" s="1"/>
  <c r="I46" i="63" s="1"/>
  <c r="I56" i="63" s="1"/>
  <c r="D17" i="63"/>
  <c r="F17" i="63"/>
  <c r="F27" i="63" s="1"/>
  <c r="F37" i="63" s="1"/>
  <c r="F47" i="63" s="1"/>
  <c r="F57" i="63" s="1"/>
  <c r="G17" i="63"/>
  <c r="G27" i="63" s="1"/>
  <c r="G37" i="63" s="1"/>
  <c r="G47" i="63" s="1"/>
  <c r="G57" i="63" s="1"/>
  <c r="H17" i="63"/>
  <c r="H27" i="63" s="1"/>
  <c r="H37" i="63" s="1"/>
  <c r="H47" i="63" s="1"/>
  <c r="H57" i="63" s="1"/>
  <c r="I17" i="63"/>
  <c r="I27" i="63" s="1"/>
  <c r="I37" i="63" s="1"/>
  <c r="I47" i="63" s="1"/>
  <c r="I57" i="63" s="1"/>
  <c r="D18" i="63"/>
  <c r="F18" i="63"/>
  <c r="F28" i="63" s="1"/>
  <c r="F38" i="63" s="1"/>
  <c r="F48" i="63" s="1"/>
  <c r="F58" i="63" s="1"/>
  <c r="G18" i="63"/>
  <c r="G28" i="63" s="1"/>
  <c r="G38" i="63" s="1"/>
  <c r="G48" i="63" s="1"/>
  <c r="G58" i="63" s="1"/>
  <c r="H18" i="63"/>
  <c r="H28" i="63" s="1"/>
  <c r="H38" i="63" s="1"/>
  <c r="H48" i="63" s="1"/>
  <c r="H58" i="63" s="1"/>
  <c r="I18" i="63"/>
  <c r="I28" i="63" s="1"/>
  <c r="I38" i="63" s="1"/>
  <c r="I48" i="63" s="1"/>
  <c r="I58" i="63" s="1"/>
  <c r="D20" i="63"/>
  <c r="F20" i="63"/>
  <c r="F30" i="63" s="1"/>
  <c r="F40" i="63" s="1"/>
  <c r="F50" i="63" s="1"/>
  <c r="F60" i="63" s="1"/>
  <c r="G20" i="63"/>
  <c r="G30" i="63" s="1"/>
  <c r="G40" i="63" s="1"/>
  <c r="G50" i="63" s="1"/>
  <c r="G60" i="63" s="1"/>
  <c r="H20" i="63"/>
  <c r="H30" i="63" s="1"/>
  <c r="H40" i="63" s="1"/>
  <c r="H50" i="63" s="1"/>
  <c r="H60" i="63" s="1"/>
  <c r="I20" i="63"/>
  <c r="I30" i="63" s="1"/>
  <c r="I40" i="63" s="1"/>
  <c r="I50" i="63" s="1"/>
  <c r="I60" i="63" s="1"/>
  <c r="D21" i="63"/>
  <c r="F21" i="63"/>
  <c r="F31" i="63" s="1"/>
  <c r="F41" i="63" s="1"/>
  <c r="F51" i="63" s="1"/>
  <c r="F61" i="63" s="1"/>
  <c r="G21" i="63"/>
  <c r="G31" i="63" s="1"/>
  <c r="G41" i="63" s="1"/>
  <c r="G51" i="63" s="1"/>
  <c r="G61" i="63" s="1"/>
  <c r="H21" i="63"/>
  <c r="H31" i="63" s="1"/>
  <c r="H41" i="63" s="1"/>
  <c r="H51" i="63" s="1"/>
  <c r="H61" i="63" s="1"/>
  <c r="I21" i="63"/>
  <c r="I31" i="63" s="1"/>
  <c r="I41" i="63" s="1"/>
  <c r="I51" i="63" s="1"/>
  <c r="I61" i="63" s="1"/>
  <c r="H23" i="63"/>
  <c r="H33" i="63" s="1"/>
  <c r="H43" i="63" s="1"/>
  <c r="H53" i="63" s="1"/>
  <c r="I25" i="63"/>
  <c r="I35" i="63" s="1"/>
  <c r="I45" i="63" s="1"/>
  <c r="I55" i="63" s="1"/>
  <c r="D26" i="63"/>
  <c r="D36" i="63" s="1"/>
  <c r="D46" i="63" s="1"/>
  <c r="D56" i="63" s="1"/>
  <c r="D27" i="63"/>
  <c r="D28" i="63"/>
  <c r="D38" i="63" s="1"/>
  <c r="D48" i="63" s="1"/>
  <c r="D58" i="63" s="1"/>
  <c r="D30" i="63"/>
  <c r="D40" i="63" s="1"/>
  <c r="D50" i="63" s="1"/>
  <c r="D60" i="63" s="1"/>
  <c r="D31" i="63"/>
  <c r="D41" i="63" s="1"/>
  <c r="D51" i="63" s="1"/>
  <c r="D61" i="63" s="1"/>
  <c r="D37" i="63"/>
  <c r="D47" i="63" s="1"/>
  <c r="D57" i="63" s="1"/>
  <c r="F12" i="63"/>
  <c r="F22" i="63" s="1"/>
  <c r="F32" i="63" s="1"/>
  <c r="F42" i="63" s="1"/>
  <c r="F52" i="63" s="1"/>
  <c r="G12" i="63"/>
  <c r="G22" i="63" s="1"/>
  <c r="G32" i="63" s="1"/>
  <c r="G42" i="63" s="1"/>
  <c r="G52" i="63" s="1"/>
  <c r="H12" i="63"/>
  <c r="H22" i="63" s="1"/>
  <c r="H32" i="63" s="1"/>
  <c r="H42" i="63" s="1"/>
  <c r="H52" i="63" s="1"/>
  <c r="I12" i="63"/>
  <c r="I22" i="63" s="1"/>
  <c r="I32" i="63" s="1"/>
  <c r="I42" i="63" s="1"/>
  <c r="I52" i="63" s="1"/>
  <c r="D12" i="63"/>
  <c r="D22" i="63" s="1"/>
  <c r="D32" i="63" s="1"/>
  <c r="D42" i="63" s="1"/>
  <c r="D52" i="63" s="1"/>
  <c r="A227" i="66" l="1"/>
  <c r="H227" i="66" s="1"/>
  <c r="B227" i="66"/>
  <c r="B275" i="66" s="1"/>
  <c r="A228" i="66"/>
  <c r="A276" i="66" s="1"/>
  <c r="B228" i="66"/>
  <c r="B276" i="66" s="1"/>
  <c r="H179" i="66"/>
  <c r="H180" i="66"/>
  <c r="B83" i="66"/>
  <c r="B131" i="66" s="1"/>
  <c r="B84" i="66"/>
  <c r="B132" i="66" s="1"/>
  <c r="A83" i="66"/>
  <c r="H83" i="66" s="1"/>
  <c r="A84" i="66"/>
  <c r="A132" i="66" s="1"/>
  <c r="H35" i="66"/>
  <c r="H36" i="66"/>
  <c r="A495" i="58"/>
  <c r="B495" i="58"/>
  <c r="C495" i="58"/>
  <c r="D495" i="58"/>
  <c r="F495" i="58"/>
  <c r="A496" i="58"/>
  <c r="B496" i="58"/>
  <c r="C496" i="58"/>
  <c r="D496" i="58"/>
  <c r="F496" i="58"/>
  <c r="A497" i="58"/>
  <c r="B497" i="58"/>
  <c r="C497" i="58"/>
  <c r="D497" i="58"/>
  <c r="F497" i="58"/>
  <c r="A495" i="37"/>
  <c r="A495" i="41" s="1"/>
  <c r="B495" i="37"/>
  <c r="B495" i="41" s="1"/>
  <c r="C495" i="37"/>
  <c r="C495" i="41" s="1"/>
  <c r="D495" i="37"/>
  <c r="D495" i="41" s="1"/>
  <c r="F495" i="37"/>
  <c r="F495" i="41" s="1"/>
  <c r="A496" i="37"/>
  <c r="B496" i="37"/>
  <c r="B496" i="41" s="1"/>
  <c r="C496" i="37"/>
  <c r="C496" i="41" s="1"/>
  <c r="D496" i="37"/>
  <c r="D496" i="41" s="1"/>
  <c r="F496" i="37"/>
  <c r="F496" i="41" s="1"/>
  <c r="A497" i="37"/>
  <c r="B497" i="37"/>
  <c r="B497" i="41" s="1"/>
  <c r="C497" i="37"/>
  <c r="C497" i="41" s="1"/>
  <c r="D497" i="37"/>
  <c r="D497" i="41" s="1"/>
  <c r="F497" i="37"/>
  <c r="F497" i="41" s="1"/>
  <c r="A487" i="58"/>
  <c r="B487" i="58"/>
  <c r="C487" i="58"/>
  <c r="D487" i="58"/>
  <c r="F487" i="58"/>
  <c r="A488" i="58"/>
  <c r="B488" i="58"/>
  <c r="C488" i="58"/>
  <c r="D488" i="58"/>
  <c r="F488" i="58"/>
  <c r="A487" i="37"/>
  <c r="A487" i="41" s="1"/>
  <c r="B487" i="37"/>
  <c r="B487" i="41" s="1"/>
  <c r="C487" i="37"/>
  <c r="C487" i="41" s="1"/>
  <c r="D487" i="37"/>
  <c r="D487" i="41" s="1"/>
  <c r="F487" i="37"/>
  <c r="A488" i="37"/>
  <c r="A488" i="41" s="1"/>
  <c r="B488" i="37"/>
  <c r="B488" i="41" s="1"/>
  <c r="C488" i="37"/>
  <c r="C488" i="41" s="1"/>
  <c r="D488" i="37"/>
  <c r="D488" i="41" s="1"/>
  <c r="F488" i="37"/>
  <c r="F488" i="41" s="1"/>
  <c r="A275" i="66" l="1"/>
  <c r="H275" i="66" s="1"/>
  <c r="A497" i="41"/>
  <c r="A496" i="41"/>
  <c r="H276" i="66"/>
  <c r="H228" i="66"/>
  <c r="H84" i="66"/>
  <c r="A131" i="66"/>
  <c r="H132" i="66"/>
  <c r="F487" i="41"/>
  <c r="H131" i="66" l="1"/>
  <c r="K5" i="9" l="1"/>
  <c r="L5" i="9"/>
  <c r="K7" i="9"/>
  <c r="L7" i="9"/>
  <c r="K9" i="9"/>
  <c r="L9" i="9"/>
  <c r="A459" i="58" l="1"/>
  <c r="B459" i="58"/>
  <c r="C459" i="58"/>
  <c r="D459" i="58"/>
  <c r="F459" i="58"/>
  <c r="A460" i="58"/>
  <c r="B460" i="58"/>
  <c r="C460" i="58"/>
  <c r="D460" i="58"/>
  <c r="F460" i="58"/>
  <c r="A461" i="58"/>
  <c r="B461" i="58"/>
  <c r="C461" i="58"/>
  <c r="D461" i="58"/>
  <c r="F461" i="58"/>
  <c r="A459" i="37"/>
  <c r="A459" i="41" s="1"/>
  <c r="B459" i="37"/>
  <c r="B459" i="41" s="1"/>
  <c r="C459" i="37"/>
  <c r="C459" i="41" s="1"/>
  <c r="D459" i="37"/>
  <c r="D459" i="41" s="1"/>
  <c r="F459" i="37"/>
  <c r="F459" i="41" s="1"/>
  <c r="A460" i="37"/>
  <c r="A460" i="41" s="1"/>
  <c r="B460" i="37"/>
  <c r="B460" i="41" s="1"/>
  <c r="C460" i="37"/>
  <c r="C460" i="41" s="1"/>
  <c r="D460" i="37"/>
  <c r="D460" i="41" s="1"/>
  <c r="F460" i="37"/>
  <c r="F460" i="41" s="1"/>
  <c r="A461" i="37"/>
  <c r="A461" i="41" s="1"/>
  <c r="B461" i="37"/>
  <c r="B461" i="41" s="1"/>
  <c r="C461" i="37"/>
  <c r="C461" i="41" s="1"/>
  <c r="D461" i="37"/>
  <c r="D461" i="41" s="1"/>
  <c r="F461" i="37"/>
  <c r="F461" i="41" s="1"/>
  <c r="N19" i="39" l="1"/>
  <c r="N18" i="39"/>
  <c r="A428" i="58"/>
  <c r="B428" i="58"/>
  <c r="C428" i="58"/>
  <c r="D428" i="58"/>
  <c r="F428" i="58"/>
  <c r="A428" i="37"/>
  <c r="B428" i="37"/>
  <c r="B428" i="41" s="1"/>
  <c r="C428" i="37"/>
  <c r="C428" i="41" s="1"/>
  <c r="D428" i="37"/>
  <c r="D428" i="41" s="1"/>
  <c r="F428" i="37"/>
  <c r="F428" i="41" s="1"/>
  <c r="A6" i="37"/>
  <c r="B6" i="37"/>
  <c r="B6" i="41" s="1"/>
  <c r="C6" i="37"/>
  <c r="C6" i="41" s="1"/>
  <c r="D6" i="37"/>
  <c r="D6" i="41" s="1"/>
  <c r="F6" i="37"/>
  <c r="F6" i="41" s="1"/>
  <c r="A6" i="58"/>
  <c r="B6" i="58"/>
  <c r="C6" i="58"/>
  <c r="D6" i="58"/>
  <c r="F6" i="58"/>
  <c r="A6" i="41" l="1"/>
  <c r="A428" i="41"/>
  <c r="H147" i="66"/>
  <c r="H148" i="66"/>
  <c r="H149" i="66"/>
  <c r="H150" i="66"/>
  <c r="H151" i="66"/>
  <c r="H152" i="66"/>
  <c r="H153" i="66"/>
  <c r="H154" i="66"/>
  <c r="H155" i="66"/>
  <c r="H156" i="66"/>
  <c r="H157" i="66"/>
  <c r="H158" i="66"/>
  <c r="H159" i="66"/>
  <c r="H160" i="66"/>
  <c r="H161" i="66"/>
  <c r="H162" i="66"/>
  <c r="H164" i="66"/>
  <c r="H165" i="66"/>
  <c r="H166" i="66"/>
  <c r="H167" i="66"/>
  <c r="H168" i="66"/>
  <c r="H169" i="66"/>
  <c r="H170" i="66"/>
  <c r="H171" i="66"/>
  <c r="H172" i="66"/>
  <c r="H173" i="66"/>
  <c r="H174" i="66"/>
  <c r="H175" i="66"/>
  <c r="H176" i="66"/>
  <c r="H177" i="66"/>
  <c r="H178" i="66"/>
  <c r="H181" i="66"/>
  <c r="H182" i="66"/>
  <c r="H183" i="66"/>
  <c r="H184" i="66"/>
  <c r="H185" i="66"/>
  <c r="H186" i="66"/>
  <c r="H187" i="66"/>
  <c r="H188" i="66"/>
  <c r="H189" i="66"/>
  <c r="H190" i="66"/>
  <c r="H191" i="66"/>
  <c r="H192" i="66"/>
  <c r="H193" i="66"/>
  <c r="H194" i="66"/>
  <c r="A4" i="58" l="1"/>
  <c r="D4" i="58"/>
  <c r="B4" i="58"/>
  <c r="C4" i="58"/>
  <c r="D20" i="1" a="1"/>
  <c r="D20" i="1" s="1"/>
  <c r="P38" i="70" s="1"/>
  <c r="B3" i="35"/>
  <c r="B6" i="20"/>
  <c r="D6" i="1" a="1"/>
  <c r="D6" i="1" s="1"/>
  <c r="B7" i="20"/>
  <c r="B8" i="20"/>
  <c r="B9" i="20"/>
  <c r="B10" i="20"/>
  <c r="B11" i="20"/>
  <c r="B12" i="20"/>
  <c r="B13" i="20"/>
  <c r="B14" i="20"/>
  <c r="B15" i="20"/>
  <c r="B16" i="20"/>
  <c r="B17" i="20"/>
  <c r="B18" i="20"/>
  <c r="B19" i="20"/>
  <c r="D7" i="1" a="1"/>
  <c r="D7" i="1" s="1"/>
  <c r="D8" i="1" a="1"/>
  <c r="D8" i="1" s="1"/>
  <c r="D18" i="1" a="1"/>
  <c r="D18" i="1" s="1"/>
  <c r="P36" i="70" s="1"/>
  <c r="D19" i="1" a="1"/>
  <c r="D19" i="1" s="1"/>
  <c r="P37" i="70" s="1"/>
  <c r="C22" i="17"/>
  <c r="C23" i="17"/>
  <c r="D23" i="17" s="1"/>
  <c r="D12" i="1" a="1"/>
  <c r="D12" i="1" s="1"/>
  <c r="I6" i="9" s="1"/>
  <c r="B4" i="35"/>
  <c r="F4" i="35" s="1"/>
  <c r="B5" i="35"/>
  <c r="F5" i="35" s="1"/>
  <c r="B6" i="35"/>
  <c r="F6" i="35" s="1"/>
  <c r="B7" i="35"/>
  <c r="B8" i="35"/>
  <c r="F8" i="35" s="1"/>
  <c r="B9" i="35"/>
  <c r="F9" i="35" s="1"/>
  <c r="B10" i="35"/>
  <c r="F10" i="35" s="1"/>
  <c r="B11" i="35"/>
  <c r="F11" i="35" s="1"/>
  <c r="B12" i="35"/>
  <c r="F12" i="35" s="1"/>
  <c r="B13" i="35"/>
  <c r="F13" i="35" s="1"/>
  <c r="B14" i="35"/>
  <c r="F14" i="35" s="1"/>
  <c r="B15" i="35"/>
  <c r="F15" i="35" s="1"/>
  <c r="B16" i="35"/>
  <c r="F16" i="35" s="1"/>
  <c r="B17" i="35"/>
  <c r="F17" i="35" s="1"/>
  <c r="B18" i="35"/>
  <c r="F18" i="35" s="1"/>
  <c r="B19" i="35"/>
  <c r="F19" i="35" s="1"/>
  <c r="B20" i="35"/>
  <c r="F20" i="35" s="1"/>
  <c r="B21" i="35"/>
  <c r="F21" i="35" s="1"/>
  <c r="B22" i="35"/>
  <c r="F22" i="35" s="1"/>
  <c r="B23" i="35"/>
  <c r="F23" i="35" s="1"/>
  <c r="B24" i="35"/>
  <c r="F24" i="35" s="1"/>
  <c r="B25" i="35"/>
  <c r="F25" i="35" s="1"/>
  <c r="B26" i="35"/>
  <c r="F26" i="35" s="1"/>
  <c r="B27" i="35"/>
  <c r="F27" i="35" s="1"/>
  <c r="B28" i="35"/>
  <c r="F28" i="35" s="1"/>
  <c r="B29" i="35"/>
  <c r="F29" i="35" s="1"/>
  <c r="B30" i="35"/>
  <c r="F30" i="35" s="1"/>
  <c r="B31" i="35"/>
  <c r="F31" i="35" s="1"/>
  <c r="B32" i="35"/>
  <c r="F32" i="35" s="1"/>
  <c r="B33" i="35"/>
  <c r="F33" i="35" s="1"/>
  <c r="B34" i="35"/>
  <c r="F34" i="35" s="1"/>
  <c r="B35" i="35"/>
  <c r="F35" i="35" s="1"/>
  <c r="B36" i="35"/>
  <c r="F36" i="35" s="1"/>
  <c r="B37" i="35"/>
  <c r="F37" i="35" s="1"/>
  <c r="B38" i="35"/>
  <c r="F38" i="35" s="1"/>
  <c r="B39" i="35"/>
  <c r="F39" i="35" s="1"/>
  <c r="B40" i="35"/>
  <c r="F40" i="35" s="1"/>
  <c r="B41" i="35"/>
  <c r="F41" i="35" s="1"/>
  <c r="B42" i="35"/>
  <c r="F42" i="35" s="1"/>
  <c r="B43" i="35"/>
  <c r="F43" i="35" s="1"/>
  <c r="B44" i="35"/>
  <c r="F44" i="35" s="1"/>
  <c r="B45" i="35"/>
  <c r="F45" i="35" s="1"/>
  <c r="B46" i="35"/>
  <c r="F46" i="35" s="1"/>
  <c r="B47" i="35"/>
  <c r="F47" i="35" s="1"/>
  <c r="B48" i="35"/>
  <c r="F48" i="35" s="1"/>
  <c r="B49" i="35"/>
  <c r="F49" i="35" s="1"/>
  <c r="B50" i="35"/>
  <c r="F50" i="35" s="1"/>
  <c r="B51" i="35"/>
  <c r="F51" i="35" s="1"/>
  <c r="B52" i="35"/>
  <c r="F52" i="35" s="1"/>
  <c r="B53" i="35"/>
  <c r="F53" i="35" s="1"/>
  <c r="B54" i="35"/>
  <c r="F54" i="35" s="1"/>
  <c r="B55" i="35"/>
  <c r="F55" i="35" s="1"/>
  <c r="B56" i="35"/>
  <c r="F56" i="35" s="1"/>
  <c r="B57" i="35"/>
  <c r="F57" i="35" s="1"/>
  <c r="B58" i="35"/>
  <c r="F58" i="35" s="1"/>
  <c r="B59" i="35"/>
  <c r="F59" i="35" s="1"/>
  <c r="B60" i="35"/>
  <c r="F60" i="35" s="1"/>
  <c r="B61" i="35"/>
  <c r="F61" i="35" s="1"/>
  <c r="B62" i="35"/>
  <c r="F62" i="35" s="1"/>
  <c r="B63" i="35"/>
  <c r="F63" i="35" s="1"/>
  <c r="B64" i="35"/>
  <c r="F64" i="35" s="1"/>
  <c r="B65" i="35"/>
  <c r="F65" i="35" s="1"/>
  <c r="B66" i="35"/>
  <c r="F66" i="35" s="1"/>
  <c r="B67" i="35"/>
  <c r="F67" i="35" s="1"/>
  <c r="B68" i="35"/>
  <c r="F68" i="35" s="1"/>
  <c r="B69" i="35"/>
  <c r="F69" i="35" s="1"/>
  <c r="B70" i="35"/>
  <c r="F70" i="35" s="1"/>
  <c r="B71" i="35"/>
  <c r="F71" i="35" s="1"/>
  <c r="B72" i="35"/>
  <c r="F72" i="35" s="1"/>
  <c r="B73" i="35"/>
  <c r="F73" i="35" s="1"/>
  <c r="B74" i="35"/>
  <c r="F74" i="35" s="1"/>
  <c r="B75" i="35"/>
  <c r="F75" i="35" s="1"/>
  <c r="B76" i="35"/>
  <c r="F76" i="35" s="1"/>
  <c r="B77" i="35"/>
  <c r="F77" i="35" s="1"/>
  <c r="B78" i="35"/>
  <c r="F78" i="35" s="1"/>
  <c r="B79" i="35"/>
  <c r="F79" i="35" s="1"/>
  <c r="B80" i="35"/>
  <c r="F80" i="35" s="1"/>
  <c r="B81" i="35"/>
  <c r="F81" i="35" s="1"/>
  <c r="B82" i="35"/>
  <c r="F82" i="35" s="1"/>
  <c r="B83" i="35"/>
  <c r="F83" i="35" s="1"/>
  <c r="B84" i="35"/>
  <c r="F84" i="35" s="1"/>
  <c r="B85" i="35"/>
  <c r="F85" i="35" s="1"/>
  <c r="B86" i="35"/>
  <c r="F86" i="35" s="1"/>
  <c r="B87" i="35"/>
  <c r="B33" i="20"/>
  <c r="B34" i="20"/>
  <c r="B35" i="20"/>
  <c r="B36" i="20"/>
  <c r="B37" i="20"/>
  <c r="B38" i="20"/>
  <c r="B39" i="20"/>
  <c r="B40" i="20"/>
  <c r="B41" i="20"/>
  <c r="B42" i="20"/>
  <c r="B43" i="20"/>
  <c r="B44" i="20"/>
  <c r="B45" i="20"/>
  <c r="B46" i="20"/>
  <c r="B88" i="35"/>
  <c r="F88" i="35" s="1"/>
  <c r="B89" i="35"/>
  <c r="F89" i="35" s="1"/>
  <c r="B90" i="35"/>
  <c r="F90" i="35" s="1"/>
  <c r="B91" i="35"/>
  <c r="F91" i="35" s="1"/>
  <c r="B92" i="35"/>
  <c r="F92" i="35" s="1"/>
  <c r="B93" i="35"/>
  <c r="F93" i="35" s="1"/>
  <c r="B94" i="35"/>
  <c r="F94" i="35" s="1"/>
  <c r="B95" i="35"/>
  <c r="F95" i="35" s="1"/>
  <c r="B96" i="35"/>
  <c r="F96" i="35" s="1"/>
  <c r="B97" i="35"/>
  <c r="F97" i="35" s="1"/>
  <c r="B98" i="35"/>
  <c r="F98" i="35" s="1"/>
  <c r="B99" i="35"/>
  <c r="F99" i="35" s="1"/>
  <c r="B100" i="35"/>
  <c r="F100" i="35" s="1"/>
  <c r="B101" i="35"/>
  <c r="F101" i="35" s="1"/>
  <c r="B102" i="35"/>
  <c r="F102" i="35" s="1"/>
  <c r="B103" i="35"/>
  <c r="F103" i="35" s="1"/>
  <c r="B104" i="35"/>
  <c r="F104" i="35" s="1"/>
  <c r="B105" i="35"/>
  <c r="F105" i="35" s="1"/>
  <c r="B106" i="35"/>
  <c r="F106" i="35" s="1"/>
  <c r="B107" i="35"/>
  <c r="B108" i="35"/>
  <c r="F108" i="35" s="1"/>
  <c r="B109" i="35"/>
  <c r="F109" i="35" s="1"/>
  <c r="B110" i="35"/>
  <c r="F110" i="35" s="1"/>
  <c r="B111" i="35"/>
  <c r="F111" i="35" s="1"/>
  <c r="B112" i="35"/>
  <c r="F112" i="35" s="1"/>
  <c r="B113" i="35"/>
  <c r="F113" i="35" s="1"/>
  <c r="B114" i="35"/>
  <c r="F114" i="35" s="1"/>
  <c r="B115" i="35"/>
  <c r="F115" i="35" s="1"/>
  <c r="B116" i="35"/>
  <c r="F116" i="35" s="1"/>
  <c r="B117" i="35"/>
  <c r="F117" i="35" s="1"/>
  <c r="B118" i="35"/>
  <c r="F118" i="35" s="1"/>
  <c r="B119" i="35"/>
  <c r="F119" i="35" s="1"/>
  <c r="B120" i="35"/>
  <c r="F120" i="35" s="1"/>
  <c r="B121" i="35"/>
  <c r="F121" i="35" s="1"/>
  <c r="B122" i="35"/>
  <c r="F122" i="35" s="1"/>
  <c r="B123" i="35"/>
  <c r="F123" i="35" s="1"/>
  <c r="B124" i="35"/>
  <c r="F124" i="35" s="1"/>
  <c r="B125" i="35"/>
  <c r="F125" i="35" s="1"/>
  <c r="B126" i="35"/>
  <c r="F126" i="35" s="1"/>
  <c r="B127" i="35"/>
  <c r="F127" i="35" s="1"/>
  <c r="B128" i="35"/>
  <c r="F128" i="35" s="1"/>
  <c r="B129" i="35"/>
  <c r="F129" i="35" s="1"/>
  <c r="B130" i="35"/>
  <c r="F130" i="35" s="1"/>
  <c r="B131" i="35"/>
  <c r="F131" i="35" s="1"/>
  <c r="B132" i="35"/>
  <c r="F132" i="35" s="1"/>
  <c r="B133" i="35"/>
  <c r="F133" i="35" s="1"/>
  <c r="B134" i="35"/>
  <c r="F134" i="35" s="1"/>
  <c r="B135" i="35"/>
  <c r="F135" i="35" s="1"/>
  <c r="B136" i="35"/>
  <c r="F136" i="35" s="1"/>
  <c r="B137" i="35"/>
  <c r="F137" i="35" s="1"/>
  <c r="B138" i="35"/>
  <c r="F138" i="35" s="1"/>
  <c r="B139" i="35"/>
  <c r="F139" i="35" s="1"/>
  <c r="B140" i="35"/>
  <c r="F140" i="35" s="1"/>
  <c r="B141" i="35"/>
  <c r="F141" i="35" s="1"/>
  <c r="B142" i="35"/>
  <c r="F142" i="35" s="1"/>
  <c r="B143" i="35"/>
  <c r="F143" i="35" s="1"/>
  <c r="B144" i="35"/>
  <c r="F144" i="35" s="1"/>
  <c r="B145" i="35"/>
  <c r="F145" i="35" s="1"/>
  <c r="B146" i="35"/>
  <c r="F146" i="35" s="1"/>
  <c r="B147" i="35"/>
  <c r="F147" i="35" s="1"/>
  <c r="B148" i="35"/>
  <c r="F148" i="35" s="1"/>
  <c r="B149" i="35"/>
  <c r="F149" i="35" s="1"/>
  <c r="B150" i="35"/>
  <c r="F150" i="35" s="1"/>
  <c r="B151" i="35"/>
  <c r="F151" i="35" s="1"/>
  <c r="B152" i="35"/>
  <c r="F152" i="35" s="1"/>
  <c r="B153" i="35"/>
  <c r="F153" i="35" s="1"/>
  <c r="B154" i="35"/>
  <c r="F154" i="35" s="1"/>
  <c r="B155" i="35"/>
  <c r="F155" i="35" s="1"/>
  <c r="B156" i="35"/>
  <c r="F156" i="35" s="1"/>
  <c r="B157" i="35"/>
  <c r="F157" i="35" s="1"/>
  <c r="B158" i="35"/>
  <c r="F158" i="35" s="1"/>
  <c r="B159" i="35"/>
  <c r="F159" i="35" s="1"/>
  <c r="B160" i="35"/>
  <c r="F160" i="35" s="1"/>
  <c r="B161" i="35"/>
  <c r="F161" i="35" s="1"/>
  <c r="B162" i="35"/>
  <c r="F162" i="35" s="1"/>
  <c r="B163" i="35"/>
  <c r="F163" i="35" s="1"/>
  <c r="B164" i="35"/>
  <c r="F164" i="35" s="1"/>
  <c r="B165" i="35"/>
  <c r="F165" i="35" s="1"/>
  <c r="B166" i="35"/>
  <c r="F166" i="35" s="1"/>
  <c r="B167" i="35"/>
  <c r="F167" i="35" s="1"/>
  <c r="B168" i="35"/>
  <c r="F168" i="35" s="1"/>
  <c r="B169" i="35"/>
  <c r="F169" i="35" s="1"/>
  <c r="B170" i="35"/>
  <c r="F170" i="35" s="1"/>
  <c r="F24" i="20"/>
  <c r="F51" i="20"/>
  <c r="C51" i="20" s="1"/>
  <c r="P20" i="18" s="1"/>
  <c r="F25" i="20"/>
  <c r="C25" i="20" s="1"/>
  <c r="F52" i="20"/>
  <c r="C52" i="20" s="1"/>
  <c r="P21" i="18" s="1"/>
  <c r="F26" i="20"/>
  <c r="C26" i="20" s="1"/>
  <c r="F53" i="20"/>
  <c r="C53" i="20" s="1"/>
  <c r="P22" i="18" s="1"/>
  <c r="I183" i="35"/>
  <c r="I184" i="35"/>
  <c r="D13" i="1" a="1"/>
  <c r="D13" i="1" s="1"/>
  <c r="F4" i="58"/>
  <c r="A4" i="37"/>
  <c r="A4" i="41" s="1"/>
  <c r="D4" i="37"/>
  <c r="D4" i="41" s="1"/>
  <c r="B4" i="37"/>
  <c r="B4" i="41" s="1"/>
  <c r="C4" i="37"/>
  <c r="C4" i="41" s="1"/>
  <c r="F4" i="37"/>
  <c r="F4" i="41" s="1"/>
  <c r="F3" i="58"/>
  <c r="F5" i="58"/>
  <c r="F7" i="58"/>
  <c r="F8" i="58"/>
  <c r="A3" i="58"/>
  <c r="D3" i="58"/>
  <c r="B3" i="58"/>
  <c r="C3" i="58"/>
  <c r="A5" i="58"/>
  <c r="D5" i="58"/>
  <c r="B5" i="58"/>
  <c r="C5" i="58"/>
  <c r="A7" i="58"/>
  <c r="D7" i="58"/>
  <c r="B7" i="58"/>
  <c r="C7" i="58"/>
  <c r="A8" i="58"/>
  <c r="D8" i="58"/>
  <c r="B8" i="58"/>
  <c r="C8" i="58"/>
  <c r="A9" i="58"/>
  <c r="D9" i="58"/>
  <c r="B9" i="58"/>
  <c r="C9" i="58"/>
  <c r="F9" i="58"/>
  <c r="A10" i="58"/>
  <c r="D10" i="58"/>
  <c r="B10" i="58"/>
  <c r="C10" i="58"/>
  <c r="F10" i="58"/>
  <c r="A11" i="58"/>
  <c r="D11" i="58"/>
  <c r="B11" i="58"/>
  <c r="C11" i="58"/>
  <c r="F11" i="58"/>
  <c r="A12" i="58"/>
  <c r="D12" i="58"/>
  <c r="B12" i="58"/>
  <c r="C12" i="58"/>
  <c r="F12" i="58"/>
  <c r="A13" i="58"/>
  <c r="D13" i="58"/>
  <c r="B13" i="58"/>
  <c r="C13" i="58"/>
  <c r="F13" i="58"/>
  <c r="A95" i="58"/>
  <c r="D95" i="58"/>
  <c r="B95" i="58"/>
  <c r="C95" i="58"/>
  <c r="F95" i="58"/>
  <c r="A96" i="58"/>
  <c r="D96" i="58"/>
  <c r="B96" i="58"/>
  <c r="C96" i="58"/>
  <c r="F96" i="58"/>
  <c r="A97" i="58"/>
  <c r="D97" i="58"/>
  <c r="B97" i="58"/>
  <c r="C97" i="58"/>
  <c r="F97" i="58"/>
  <c r="A98" i="58"/>
  <c r="D98" i="58"/>
  <c r="B98" i="58"/>
  <c r="C98" i="58"/>
  <c r="F98" i="58"/>
  <c r="A99" i="58"/>
  <c r="D99" i="58"/>
  <c r="B99" i="58"/>
  <c r="C99" i="58"/>
  <c r="F99" i="58"/>
  <c r="A100" i="58"/>
  <c r="D100" i="58"/>
  <c r="B100" i="58"/>
  <c r="C100" i="58"/>
  <c r="F100" i="58"/>
  <c r="A101" i="58"/>
  <c r="D101" i="58"/>
  <c r="B101" i="58"/>
  <c r="C101" i="58"/>
  <c r="F101" i="58"/>
  <c r="A102" i="58"/>
  <c r="D102" i="58"/>
  <c r="B102" i="58"/>
  <c r="C102" i="58"/>
  <c r="F102" i="58"/>
  <c r="A103" i="58"/>
  <c r="D103" i="58"/>
  <c r="B103" i="58"/>
  <c r="C103" i="58"/>
  <c r="F103" i="58"/>
  <c r="A104" i="58"/>
  <c r="D104" i="58"/>
  <c r="B104" i="58"/>
  <c r="C104" i="58"/>
  <c r="F104" i="58"/>
  <c r="A105" i="58"/>
  <c r="D105" i="58"/>
  <c r="B105" i="58"/>
  <c r="C105" i="58"/>
  <c r="F105" i="58"/>
  <c r="A106" i="58"/>
  <c r="D106" i="58"/>
  <c r="B106" i="58"/>
  <c r="C106" i="58"/>
  <c r="F106" i="58"/>
  <c r="A107" i="58"/>
  <c r="D107" i="58"/>
  <c r="B107" i="58"/>
  <c r="C107" i="58"/>
  <c r="F107" i="58"/>
  <c r="A108" i="58"/>
  <c r="D108" i="58"/>
  <c r="B108" i="58"/>
  <c r="C108" i="58"/>
  <c r="F108" i="58"/>
  <c r="A109" i="58"/>
  <c r="D109" i="58"/>
  <c r="B109" i="58"/>
  <c r="C109" i="58"/>
  <c r="F109" i="58"/>
  <c r="A110" i="58"/>
  <c r="D110" i="58"/>
  <c r="B110" i="58"/>
  <c r="C110" i="58"/>
  <c r="F110" i="58"/>
  <c r="A111" i="58"/>
  <c r="D111" i="58"/>
  <c r="B111" i="58"/>
  <c r="C111" i="58"/>
  <c r="F111" i="58"/>
  <c r="A112" i="58"/>
  <c r="D112" i="58"/>
  <c r="B112" i="58"/>
  <c r="C112" i="58"/>
  <c r="F112" i="58"/>
  <c r="A113" i="58"/>
  <c r="D113" i="58"/>
  <c r="B113" i="58"/>
  <c r="C113" i="58"/>
  <c r="F113" i="58"/>
  <c r="A114" i="58"/>
  <c r="D114" i="58"/>
  <c r="B114" i="58"/>
  <c r="C114" i="58"/>
  <c r="F114" i="58"/>
  <c r="A115" i="58"/>
  <c r="D115" i="58"/>
  <c r="B115" i="58"/>
  <c r="C115" i="58"/>
  <c r="F115" i="58"/>
  <c r="A116" i="58"/>
  <c r="D116" i="58"/>
  <c r="B116" i="58"/>
  <c r="C116" i="58"/>
  <c r="F116" i="58"/>
  <c r="A117" i="58"/>
  <c r="D117" i="58"/>
  <c r="B117" i="58"/>
  <c r="C117" i="58"/>
  <c r="F117" i="58"/>
  <c r="A118" i="58"/>
  <c r="D118" i="58"/>
  <c r="B118" i="58"/>
  <c r="C118" i="58"/>
  <c r="F118" i="58"/>
  <c r="A119" i="58"/>
  <c r="D119" i="58"/>
  <c r="B119" i="58"/>
  <c r="C119" i="58"/>
  <c r="F119" i="58"/>
  <c r="A120" i="58"/>
  <c r="D120" i="58"/>
  <c r="B120" i="58"/>
  <c r="C120" i="58"/>
  <c r="F120" i="58"/>
  <c r="A121" i="58"/>
  <c r="D121" i="58"/>
  <c r="B121" i="58"/>
  <c r="C121" i="58"/>
  <c r="F121" i="58"/>
  <c r="A122" i="58"/>
  <c r="D122" i="58"/>
  <c r="B122" i="58"/>
  <c r="C122" i="58"/>
  <c r="F122" i="58"/>
  <c r="A123" i="58"/>
  <c r="D123" i="58"/>
  <c r="B123" i="58"/>
  <c r="C123" i="58"/>
  <c r="F123" i="58"/>
  <c r="A124" i="58"/>
  <c r="D124" i="58"/>
  <c r="B124" i="58"/>
  <c r="C124" i="58"/>
  <c r="F124" i="58"/>
  <c r="A125" i="58"/>
  <c r="D125" i="58"/>
  <c r="B125" i="58"/>
  <c r="C125" i="58"/>
  <c r="F125" i="58"/>
  <c r="A126" i="58"/>
  <c r="D126" i="58"/>
  <c r="B126" i="58"/>
  <c r="C126" i="58"/>
  <c r="F126" i="58"/>
  <c r="A127" i="58"/>
  <c r="D127" i="58"/>
  <c r="B127" i="58"/>
  <c r="C127" i="58"/>
  <c r="F127" i="58"/>
  <c r="A128" i="58"/>
  <c r="D128" i="58"/>
  <c r="B128" i="58"/>
  <c r="C128" i="58"/>
  <c r="F128" i="58"/>
  <c r="A129" i="58"/>
  <c r="D129" i="58"/>
  <c r="B129" i="58"/>
  <c r="C129" i="58"/>
  <c r="F129" i="58"/>
  <c r="A130" i="58"/>
  <c r="D130" i="58"/>
  <c r="B130" i="58"/>
  <c r="C130" i="58"/>
  <c r="F130" i="58"/>
  <c r="A131" i="58"/>
  <c r="D131" i="58"/>
  <c r="B131" i="58"/>
  <c r="C131" i="58"/>
  <c r="F131" i="58"/>
  <c r="A132" i="58"/>
  <c r="D132" i="58"/>
  <c r="B132" i="58"/>
  <c r="C132" i="58"/>
  <c r="F132" i="58"/>
  <c r="A133" i="58"/>
  <c r="D133" i="58"/>
  <c r="B133" i="58"/>
  <c r="C133" i="58"/>
  <c r="F133" i="58"/>
  <c r="A134" i="58"/>
  <c r="D134" i="58"/>
  <c r="B134" i="58"/>
  <c r="C134" i="58"/>
  <c r="F134" i="58"/>
  <c r="A135" i="58"/>
  <c r="D135" i="58"/>
  <c r="B135" i="58"/>
  <c r="C135" i="58"/>
  <c r="F135" i="58"/>
  <c r="A136" i="58"/>
  <c r="D136" i="58"/>
  <c r="B136" i="58"/>
  <c r="C136" i="58"/>
  <c r="F136" i="58"/>
  <c r="A137" i="58"/>
  <c r="D137" i="58"/>
  <c r="B137" i="58"/>
  <c r="C137" i="58"/>
  <c r="F137" i="58"/>
  <c r="A138" i="58"/>
  <c r="D138" i="58"/>
  <c r="B138" i="58"/>
  <c r="C138" i="58"/>
  <c r="F138" i="58"/>
  <c r="A139" i="58"/>
  <c r="D139" i="58"/>
  <c r="B139" i="58"/>
  <c r="C139" i="58"/>
  <c r="F139" i="58"/>
  <c r="A140" i="58"/>
  <c r="D140" i="58"/>
  <c r="B140" i="58"/>
  <c r="C140" i="58"/>
  <c r="F140" i="58"/>
  <c r="A141" i="58"/>
  <c r="D141" i="58"/>
  <c r="B141" i="58"/>
  <c r="F141" i="58"/>
  <c r="A142" i="58"/>
  <c r="D142" i="58"/>
  <c r="B142" i="58"/>
  <c r="F142" i="58"/>
  <c r="A143" i="58"/>
  <c r="D143" i="58"/>
  <c r="B143" i="58"/>
  <c r="F143" i="58"/>
  <c r="A144" i="58"/>
  <c r="D144" i="58"/>
  <c r="B144" i="58"/>
  <c r="F144" i="58"/>
  <c r="A145" i="58"/>
  <c r="D145" i="58"/>
  <c r="B145" i="58"/>
  <c r="F145" i="58"/>
  <c r="A146" i="58"/>
  <c r="D146" i="58"/>
  <c r="B146" i="58"/>
  <c r="F146" i="58"/>
  <c r="A147" i="58"/>
  <c r="D147" i="58"/>
  <c r="B147" i="58"/>
  <c r="F147" i="58"/>
  <c r="A148" i="58"/>
  <c r="D148" i="58"/>
  <c r="B148" i="58"/>
  <c r="F148" i="58"/>
  <c r="A149" i="58"/>
  <c r="D149" i="58"/>
  <c r="B149" i="58"/>
  <c r="F149" i="58"/>
  <c r="A150" i="58"/>
  <c r="D150" i="58"/>
  <c r="B150" i="58"/>
  <c r="F150" i="58"/>
  <c r="A151" i="58"/>
  <c r="D151" i="58"/>
  <c r="B151" i="58"/>
  <c r="F151" i="58"/>
  <c r="A152" i="58"/>
  <c r="D152" i="58"/>
  <c r="B152" i="58"/>
  <c r="F152" i="58"/>
  <c r="A153" i="58"/>
  <c r="D153" i="58"/>
  <c r="B153" i="58"/>
  <c r="F153" i="58"/>
  <c r="A154" i="58"/>
  <c r="D154" i="58"/>
  <c r="B154" i="58"/>
  <c r="F154" i="58"/>
  <c r="A155" i="58"/>
  <c r="D155" i="58"/>
  <c r="B155" i="58"/>
  <c r="F155" i="58"/>
  <c r="A156" i="58"/>
  <c r="D156" i="58"/>
  <c r="B156" i="58"/>
  <c r="F156" i="58"/>
  <c r="A157" i="58"/>
  <c r="D157" i="58"/>
  <c r="B157" i="58"/>
  <c r="F157" i="58"/>
  <c r="A158" i="58"/>
  <c r="D158" i="58"/>
  <c r="B158" i="58"/>
  <c r="F158" i="58"/>
  <c r="A159" i="58"/>
  <c r="D159" i="58"/>
  <c r="B159" i="58"/>
  <c r="F159" i="58"/>
  <c r="A160" i="58"/>
  <c r="D160" i="58"/>
  <c r="B160" i="58"/>
  <c r="F160" i="58"/>
  <c r="A161" i="58"/>
  <c r="D161" i="58"/>
  <c r="B161" i="58"/>
  <c r="F161" i="58"/>
  <c r="A162" i="58"/>
  <c r="D162" i="58"/>
  <c r="B162" i="58"/>
  <c r="F162" i="58"/>
  <c r="A163" i="58"/>
  <c r="D163" i="58"/>
  <c r="B163" i="58"/>
  <c r="F163" i="58"/>
  <c r="A164" i="58"/>
  <c r="D164" i="58"/>
  <c r="B164" i="58"/>
  <c r="F164" i="58"/>
  <c r="A165" i="58"/>
  <c r="D165" i="58"/>
  <c r="B165" i="58"/>
  <c r="F165" i="58"/>
  <c r="A166" i="58"/>
  <c r="D166" i="58"/>
  <c r="B166" i="58"/>
  <c r="F166" i="58"/>
  <c r="A167" i="58"/>
  <c r="D167" i="58"/>
  <c r="B167" i="58"/>
  <c r="F167" i="58"/>
  <c r="A168" i="58"/>
  <c r="D168" i="58"/>
  <c r="B168" i="58"/>
  <c r="F168" i="58"/>
  <c r="A169" i="58"/>
  <c r="D169" i="58"/>
  <c r="B169" i="58"/>
  <c r="F169" i="58"/>
  <c r="A170" i="58"/>
  <c r="D170" i="58"/>
  <c r="B170" i="58"/>
  <c r="F170" i="58"/>
  <c r="A171" i="58"/>
  <c r="D171" i="58"/>
  <c r="B171" i="58"/>
  <c r="F171" i="58"/>
  <c r="A172" i="58"/>
  <c r="D172" i="58"/>
  <c r="B172" i="58"/>
  <c r="F172" i="58"/>
  <c r="A173" i="58"/>
  <c r="D173" i="58"/>
  <c r="B173" i="58"/>
  <c r="F173" i="58"/>
  <c r="A174" i="58"/>
  <c r="D174" i="58"/>
  <c r="B174" i="58"/>
  <c r="F174" i="58"/>
  <c r="A175" i="58"/>
  <c r="D175" i="58"/>
  <c r="B175" i="58"/>
  <c r="F175" i="58"/>
  <c r="A176" i="58"/>
  <c r="D176" i="58"/>
  <c r="B176" i="58"/>
  <c r="F176" i="58"/>
  <c r="A177" i="58"/>
  <c r="D177" i="58"/>
  <c r="B177" i="58"/>
  <c r="F177" i="58"/>
  <c r="A178" i="58"/>
  <c r="D178" i="58"/>
  <c r="B178" i="58"/>
  <c r="F178" i="58"/>
  <c r="A179" i="58"/>
  <c r="D179" i="58"/>
  <c r="B179" i="58"/>
  <c r="F179" i="58"/>
  <c r="A180" i="58"/>
  <c r="D180" i="58"/>
  <c r="B180" i="58"/>
  <c r="F180" i="58"/>
  <c r="A181" i="58"/>
  <c r="D181" i="58"/>
  <c r="B181" i="58"/>
  <c r="F181" i="58"/>
  <c r="A182" i="58"/>
  <c r="D182" i="58"/>
  <c r="B182" i="58"/>
  <c r="F182" i="58"/>
  <c r="A183" i="58"/>
  <c r="D183" i="58"/>
  <c r="B183" i="58"/>
  <c r="C183" i="58"/>
  <c r="F183" i="58"/>
  <c r="A184" i="58"/>
  <c r="D184" i="58"/>
  <c r="B184" i="58"/>
  <c r="C184" i="58"/>
  <c r="F184" i="58"/>
  <c r="A185" i="58"/>
  <c r="D185" i="58"/>
  <c r="B185" i="58"/>
  <c r="C185" i="58"/>
  <c r="F185" i="58"/>
  <c r="A186" i="58"/>
  <c r="D186" i="58"/>
  <c r="B186" i="58"/>
  <c r="C186" i="58"/>
  <c r="F186" i="58"/>
  <c r="A187" i="58"/>
  <c r="D187" i="58"/>
  <c r="B187" i="58"/>
  <c r="C187" i="58"/>
  <c r="F187" i="58"/>
  <c r="A188" i="58"/>
  <c r="D188" i="58"/>
  <c r="B188" i="58"/>
  <c r="C188" i="58"/>
  <c r="F188" i="58"/>
  <c r="A189" i="58"/>
  <c r="D189" i="58"/>
  <c r="B189" i="58"/>
  <c r="F189" i="58"/>
  <c r="A190" i="58"/>
  <c r="D190" i="58"/>
  <c r="B190" i="58"/>
  <c r="F190" i="58"/>
  <c r="A191" i="58"/>
  <c r="D191" i="58"/>
  <c r="B191" i="58"/>
  <c r="F191" i="58"/>
  <c r="A192" i="58"/>
  <c r="D192" i="58"/>
  <c r="B192" i="58"/>
  <c r="F192" i="58"/>
  <c r="A193" i="58"/>
  <c r="D193" i="58"/>
  <c r="B193" i="58"/>
  <c r="F193" i="58"/>
  <c r="A194" i="58"/>
  <c r="D194" i="58"/>
  <c r="B194" i="58"/>
  <c r="F194" i="58"/>
  <c r="A195" i="58"/>
  <c r="D195" i="58"/>
  <c r="B195" i="58"/>
  <c r="F195" i="58"/>
  <c r="A196" i="58"/>
  <c r="D196" i="58"/>
  <c r="B196" i="58"/>
  <c r="F196" i="58"/>
  <c r="A197" i="58"/>
  <c r="D197" i="58"/>
  <c r="B197" i="58"/>
  <c r="F197" i="58"/>
  <c r="A198" i="58"/>
  <c r="D198" i="58"/>
  <c r="B198" i="58"/>
  <c r="F198" i="58"/>
  <c r="A199" i="58"/>
  <c r="D199" i="58"/>
  <c r="B199" i="58"/>
  <c r="F199" i="58"/>
  <c r="A200" i="58"/>
  <c r="D200" i="58"/>
  <c r="B200" i="58"/>
  <c r="F200" i="58"/>
  <c r="A201" i="58"/>
  <c r="D201" i="58"/>
  <c r="B201" i="58"/>
  <c r="F201" i="58"/>
  <c r="A202" i="58"/>
  <c r="D202" i="58"/>
  <c r="B202" i="58"/>
  <c r="F202" i="58"/>
  <c r="A203" i="58"/>
  <c r="D203" i="58"/>
  <c r="B203" i="58"/>
  <c r="F203" i="58"/>
  <c r="A204" i="58"/>
  <c r="D204" i="58"/>
  <c r="B204" i="58"/>
  <c r="F204" i="58"/>
  <c r="A205" i="58"/>
  <c r="D205" i="58"/>
  <c r="B205" i="58"/>
  <c r="F205" i="58"/>
  <c r="A206" i="58"/>
  <c r="D206" i="58"/>
  <c r="B206" i="58"/>
  <c r="F206" i="58"/>
  <c r="A207" i="58"/>
  <c r="D207" i="58"/>
  <c r="B207" i="58"/>
  <c r="F207" i="58"/>
  <c r="A208" i="58"/>
  <c r="D208" i="58"/>
  <c r="B208" i="58"/>
  <c r="F208" i="58"/>
  <c r="A209" i="58"/>
  <c r="D209" i="58"/>
  <c r="B209" i="58"/>
  <c r="F209" i="58"/>
  <c r="A210" i="58"/>
  <c r="D210" i="58"/>
  <c r="B210" i="58"/>
  <c r="F210" i="58"/>
  <c r="A211" i="58"/>
  <c r="D211" i="58"/>
  <c r="B211" i="58"/>
  <c r="F211" i="58"/>
  <c r="A212" i="58"/>
  <c r="D212" i="58"/>
  <c r="B212" i="58"/>
  <c r="F212" i="58"/>
  <c r="A213" i="58"/>
  <c r="D213" i="58"/>
  <c r="B213" i="58"/>
  <c r="F213" i="58"/>
  <c r="A214" i="58"/>
  <c r="D214" i="58"/>
  <c r="B214" i="58"/>
  <c r="F214" i="58"/>
  <c r="A215" i="58"/>
  <c r="D215" i="58"/>
  <c r="B215" i="58"/>
  <c r="F215" i="58"/>
  <c r="A216" i="58"/>
  <c r="D216" i="58"/>
  <c r="B216" i="58"/>
  <c r="F216" i="58"/>
  <c r="A217" i="58"/>
  <c r="D217" i="58"/>
  <c r="B217" i="58"/>
  <c r="F217" i="58"/>
  <c r="A218" i="58"/>
  <c r="D218" i="58"/>
  <c r="B218" i="58"/>
  <c r="F218" i="58"/>
  <c r="A219" i="58"/>
  <c r="D219" i="58"/>
  <c r="B219" i="58"/>
  <c r="F219" i="58"/>
  <c r="A220" i="58"/>
  <c r="D220" i="58"/>
  <c r="B220" i="58"/>
  <c r="F220" i="58"/>
  <c r="A221" i="58"/>
  <c r="D221" i="58"/>
  <c r="B221" i="58"/>
  <c r="F221" i="58"/>
  <c r="A222" i="58"/>
  <c r="D222" i="58"/>
  <c r="B222" i="58"/>
  <c r="F222" i="58"/>
  <c r="A223" i="58"/>
  <c r="D223" i="58"/>
  <c r="B223" i="58"/>
  <c r="F223" i="58"/>
  <c r="A224" i="58"/>
  <c r="D224" i="58"/>
  <c r="B224" i="58"/>
  <c r="F224" i="58"/>
  <c r="A225" i="58"/>
  <c r="D225" i="58"/>
  <c r="B225" i="58"/>
  <c r="F225" i="58"/>
  <c r="A226" i="58"/>
  <c r="D226" i="58"/>
  <c r="B226" i="58"/>
  <c r="F226" i="58"/>
  <c r="A227" i="58"/>
  <c r="D227" i="58"/>
  <c r="B227" i="58"/>
  <c r="F227" i="58"/>
  <c r="A228" i="58"/>
  <c r="D228" i="58"/>
  <c r="B228" i="58"/>
  <c r="F228" i="58"/>
  <c r="A229" i="58"/>
  <c r="D229" i="58"/>
  <c r="B229" i="58"/>
  <c r="F229" i="58"/>
  <c r="A230" i="58"/>
  <c r="D230" i="58"/>
  <c r="B230" i="58"/>
  <c r="F230" i="58"/>
  <c r="A231" i="58"/>
  <c r="D231" i="58"/>
  <c r="B231" i="58"/>
  <c r="F231" i="58"/>
  <c r="A232" i="58"/>
  <c r="D232" i="58"/>
  <c r="B232" i="58"/>
  <c r="F232" i="58"/>
  <c r="A233" i="58"/>
  <c r="D233" i="58"/>
  <c r="B233" i="58"/>
  <c r="F233" i="58"/>
  <c r="A234" i="58"/>
  <c r="D234" i="58"/>
  <c r="B234" i="58"/>
  <c r="F234" i="58"/>
  <c r="A235" i="58"/>
  <c r="D235" i="58"/>
  <c r="B235" i="58"/>
  <c r="F235" i="58"/>
  <c r="A236" i="58"/>
  <c r="D236" i="58"/>
  <c r="B236" i="58"/>
  <c r="F236" i="58"/>
  <c r="A237" i="58"/>
  <c r="D237" i="58"/>
  <c r="B237" i="58"/>
  <c r="F237" i="58"/>
  <c r="A238" i="58"/>
  <c r="D238" i="58"/>
  <c r="B238" i="58"/>
  <c r="F238" i="58"/>
  <c r="A239" i="58"/>
  <c r="D239" i="58"/>
  <c r="B239" i="58"/>
  <c r="F239" i="58"/>
  <c r="A240" i="58"/>
  <c r="D240" i="58"/>
  <c r="B240" i="58"/>
  <c r="F240" i="58"/>
  <c r="A241" i="58"/>
  <c r="D241" i="58"/>
  <c r="B241" i="58"/>
  <c r="F241" i="58"/>
  <c r="A242" i="58"/>
  <c r="D242" i="58"/>
  <c r="B242" i="58"/>
  <c r="F242" i="58"/>
  <c r="A243" i="58"/>
  <c r="D243" i="58"/>
  <c r="B243" i="58"/>
  <c r="F243" i="58"/>
  <c r="A244" i="58"/>
  <c r="D244" i="58"/>
  <c r="B244" i="58"/>
  <c r="F244" i="58"/>
  <c r="A245" i="58"/>
  <c r="D245" i="58"/>
  <c r="B245" i="58"/>
  <c r="F245" i="58"/>
  <c r="A246" i="58"/>
  <c r="D246" i="58"/>
  <c r="B246" i="58"/>
  <c r="F246" i="58"/>
  <c r="A247" i="58"/>
  <c r="D247" i="58"/>
  <c r="B247" i="58"/>
  <c r="F247" i="58"/>
  <c r="A248" i="58"/>
  <c r="D248" i="58"/>
  <c r="B248" i="58"/>
  <c r="F248" i="58"/>
  <c r="A249" i="58"/>
  <c r="D249" i="58"/>
  <c r="B249" i="58"/>
  <c r="F249" i="58"/>
  <c r="A250" i="58"/>
  <c r="D250" i="58"/>
  <c r="B250" i="58"/>
  <c r="F250" i="58"/>
  <c r="A251" i="58"/>
  <c r="D251" i="58"/>
  <c r="B251" i="58"/>
  <c r="F251" i="58"/>
  <c r="A252" i="58"/>
  <c r="D252" i="58"/>
  <c r="B252" i="58"/>
  <c r="F252" i="58"/>
  <c r="A253" i="58"/>
  <c r="D253" i="58"/>
  <c r="B253" i="58"/>
  <c r="F253" i="58"/>
  <c r="A254" i="58"/>
  <c r="D254" i="58"/>
  <c r="B254" i="58"/>
  <c r="F254" i="58"/>
  <c r="A255" i="58"/>
  <c r="D255" i="58"/>
  <c r="B255" i="58"/>
  <c r="F255" i="58"/>
  <c r="A256" i="58"/>
  <c r="D256" i="58"/>
  <c r="B256" i="58"/>
  <c r="F256" i="58"/>
  <c r="A257" i="58"/>
  <c r="D257" i="58"/>
  <c r="B257" i="58"/>
  <c r="F257" i="58"/>
  <c r="A258" i="58"/>
  <c r="D258" i="58"/>
  <c r="B258" i="58"/>
  <c r="F258" i="58"/>
  <c r="A259" i="58"/>
  <c r="D259" i="58"/>
  <c r="B259" i="58"/>
  <c r="F259" i="58"/>
  <c r="A260" i="58"/>
  <c r="D260" i="58"/>
  <c r="B260" i="58"/>
  <c r="F260" i="58"/>
  <c r="A261" i="58"/>
  <c r="D261" i="58"/>
  <c r="B261" i="58"/>
  <c r="F261" i="58"/>
  <c r="A262" i="58"/>
  <c r="D262" i="58"/>
  <c r="B262" i="58"/>
  <c r="F262" i="58"/>
  <c r="A263" i="58"/>
  <c r="D263" i="58"/>
  <c r="B263" i="58"/>
  <c r="F263" i="58"/>
  <c r="A264" i="58"/>
  <c r="D264" i="58"/>
  <c r="B264" i="58"/>
  <c r="F264" i="58"/>
  <c r="A265" i="58"/>
  <c r="D265" i="58"/>
  <c r="B265" i="58"/>
  <c r="F265" i="58"/>
  <c r="A266" i="58"/>
  <c r="D266" i="58"/>
  <c r="B266" i="58"/>
  <c r="F266" i="58"/>
  <c r="A267" i="58"/>
  <c r="D267" i="58"/>
  <c r="B267" i="58"/>
  <c r="F267" i="58"/>
  <c r="A268" i="58"/>
  <c r="D268" i="58"/>
  <c r="B268" i="58"/>
  <c r="F268" i="58"/>
  <c r="A269" i="58"/>
  <c r="D269" i="58"/>
  <c r="B269" i="58"/>
  <c r="F269" i="58"/>
  <c r="A270" i="58"/>
  <c r="D270" i="58"/>
  <c r="B270" i="58"/>
  <c r="F270" i="58"/>
  <c r="A271" i="58"/>
  <c r="D271" i="58"/>
  <c r="B271" i="58"/>
  <c r="F271" i="58"/>
  <c r="A272" i="58"/>
  <c r="D272" i="58"/>
  <c r="B272" i="58"/>
  <c r="F272" i="58"/>
  <c r="A273" i="58"/>
  <c r="D273" i="58"/>
  <c r="B273" i="58"/>
  <c r="F273" i="58"/>
  <c r="A274" i="58"/>
  <c r="D274" i="58"/>
  <c r="B274" i="58"/>
  <c r="F274" i="58"/>
  <c r="A275" i="58"/>
  <c r="D275" i="58"/>
  <c r="B275" i="58"/>
  <c r="F275" i="58"/>
  <c r="A276" i="58"/>
  <c r="D276" i="58"/>
  <c r="B276" i="58"/>
  <c r="F276" i="58"/>
  <c r="A277" i="58"/>
  <c r="D277" i="58"/>
  <c r="B277" i="58"/>
  <c r="F277" i="58"/>
  <c r="A278" i="58"/>
  <c r="D278" i="58"/>
  <c r="B278" i="58"/>
  <c r="F278" i="58"/>
  <c r="A279" i="58"/>
  <c r="D279" i="58"/>
  <c r="B279" i="58"/>
  <c r="F279" i="58"/>
  <c r="A280" i="58"/>
  <c r="D280" i="58"/>
  <c r="B280" i="58"/>
  <c r="F280" i="58"/>
  <c r="A281" i="58"/>
  <c r="D281" i="58"/>
  <c r="B281" i="58"/>
  <c r="F281" i="58"/>
  <c r="A282" i="58"/>
  <c r="D282" i="58"/>
  <c r="B282" i="58"/>
  <c r="F282" i="58"/>
  <c r="A283" i="58"/>
  <c r="D283" i="58"/>
  <c r="B283" i="58"/>
  <c r="F283" i="58"/>
  <c r="A284" i="58"/>
  <c r="D284" i="58"/>
  <c r="B284" i="58"/>
  <c r="F284" i="58"/>
  <c r="A285" i="58"/>
  <c r="D285" i="58"/>
  <c r="B285" i="58"/>
  <c r="F285" i="58"/>
  <c r="A286" i="58"/>
  <c r="D286" i="58"/>
  <c r="B286" i="58"/>
  <c r="F286" i="58"/>
  <c r="A287" i="58"/>
  <c r="D287" i="58"/>
  <c r="B287" i="58"/>
  <c r="F287" i="58"/>
  <c r="A288" i="58"/>
  <c r="D288" i="58"/>
  <c r="B288" i="58"/>
  <c r="F288" i="58"/>
  <c r="A289" i="58"/>
  <c r="D289" i="58"/>
  <c r="B289" i="58"/>
  <c r="F289" i="58"/>
  <c r="A290" i="58"/>
  <c r="D290" i="58"/>
  <c r="B290" i="58"/>
  <c r="F290" i="58"/>
  <c r="A291" i="58"/>
  <c r="D291" i="58"/>
  <c r="B291" i="58"/>
  <c r="F291" i="58"/>
  <c r="A292" i="58"/>
  <c r="D292" i="58"/>
  <c r="B292" i="58"/>
  <c r="F292" i="58"/>
  <c r="A293" i="58"/>
  <c r="D293" i="58"/>
  <c r="B293" i="58"/>
  <c r="F293" i="58"/>
  <c r="A294" i="58"/>
  <c r="D294" i="58"/>
  <c r="B294" i="58"/>
  <c r="F294" i="58"/>
  <c r="A295" i="58"/>
  <c r="D295" i="58"/>
  <c r="B295" i="58"/>
  <c r="F295" i="58"/>
  <c r="A296" i="58"/>
  <c r="D296" i="58"/>
  <c r="B296" i="58"/>
  <c r="F296" i="58"/>
  <c r="A297" i="58"/>
  <c r="D297" i="58"/>
  <c r="B297" i="58"/>
  <c r="F297" i="58"/>
  <c r="A298" i="58"/>
  <c r="D298" i="58"/>
  <c r="B298" i="58"/>
  <c r="F298" i="58"/>
  <c r="A299" i="58"/>
  <c r="D299" i="58"/>
  <c r="B299" i="58"/>
  <c r="F299" i="58"/>
  <c r="A300" i="58"/>
  <c r="D300" i="58"/>
  <c r="B300" i="58"/>
  <c r="F300" i="58"/>
  <c r="A301" i="58"/>
  <c r="D301" i="58"/>
  <c r="B301" i="58"/>
  <c r="F301" i="58"/>
  <c r="A302" i="58"/>
  <c r="D302" i="58"/>
  <c r="B302" i="58"/>
  <c r="F302" i="58"/>
  <c r="A303" i="58"/>
  <c r="D303" i="58"/>
  <c r="B303" i="58"/>
  <c r="F303" i="58"/>
  <c r="A304" i="58"/>
  <c r="D304" i="58"/>
  <c r="B304" i="58"/>
  <c r="F304" i="58"/>
  <c r="A305" i="58"/>
  <c r="D305" i="58"/>
  <c r="B305" i="58"/>
  <c r="F305" i="58"/>
  <c r="A306" i="58"/>
  <c r="D306" i="58"/>
  <c r="B306" i="58"/>
  <c r="F306" i="58"/>
  <c r="A307" i="58"/>
  <c r="D307" i="58"/>
  <c r="B307" i="58"/>
  <c r="F307" i="58"/>
  <c r="A308" i="58"/>
  <c r="D308" i="58"/>
  <c r="B308" i="58"/>
  <c r="F308" i="58"/>
  <c r="A309" i="58"/>
  <c r="D309" i="58"/>
  <c r="B309" i="58"/>
  <c r="F309" i="58"/>
  <c r="A310" i="58"/>
  <c r="D310" i="58"/>
  <c r="B310" i="58"/>
  <c r="F310" i="58"/>
  <c r="A311" i="58"/>
  <c r="D311" i="58"/>
  <c r="B311" i="58"/>
  <c r="F311" i="58"/>
  <c r="A312" i="58"/>
  <c r="D312" i="58"/>
  <c r="B312" i="58"/>
  <c r="F312" i="58"/>
  <c r="A313" i="58"/>
  <c r="D313" i="58"/>
  <c r="B313" i="58"/>
  <c r="F313" i="58"/>
  <c r="A314" i="58"/>
  <c r="D314" i="58"/>
  <c r="B314" i="58"/>
  <c r="F314" i="58"/>
  <c r="A315" i="58"/>
  <c r="D315" i="58"/>
  <c r="B315" i="58"/>
  <c r="F315" i="58"/>
  <c r="A316" i="58"/>
  <c r="D316" i="58"/>
  <c r="B316" i="58"/>
  <c r="F316" i="58"/>
  <c r="A317" i="58"/>
  <c r="D317" i="58"/>
  <c r="B317" i="58"/>
  <c r="F317" i="58"/>
  <c r="A318" i="58"/>
  <c r="D318" i="58"/>
  <c r="B318" i="58"/>
  <c r="F318" i="58"/>
  <c r="A319" i="58"/>
  <c r="D319" i="58"/>
  <c r="B319" i="58"/>
  <c r="F319" i="58"/>
  <c r="A320" i="58"/>
  <c r="D320" i="58"/>
  <c r="B320" i="58"/>
  <c r="F320" i="58"/>
  <c r="A321" i="58"/>
  <c r="D321" i="58"/>
  <c r="B321" i="58"/>
  <c r="F321" i="58"/>
  <c r="A322" i="58"/>
  <c r="D322" i="58"/>
  <c r="B322" i="58"/>
  <c r="F322" i="58"/>
  <c r="A323" i="58"/>
  <c r="D323" i="58"/>
  <c r="B323" i="58"/>
  <c r="F323" i="58"/>
  <c r="A324" i="58"/>
  <c r="D324" i="58"/>
  <c r="B324" i="58"/>
  <c r="F324" i="58"/>
  <c r="A325" i="58"/>
  <c r="D325" i="58"/>
  <c r="B325" i="58"/>
  <c r="F325" i="58"/>
  <c r="A326" i="58"/>
  <c r="D326" i="58"/>
  <c r="B326" i="58"/>
  <c r="F326" i="58"/>
  <c r="A327" i="58"/>
  <c r="D327" i="58"/>
  <c r="B327" i="58"/>
  <c r="F327" i="58"/>
  <c r="A328" i="58"/>
  <c r="D328" i="58"/>
  <c r="B328" i="58"/>
  <c r="F328" i="58"/>
  <c r="A329" i="58"/>
  <c r="D329" i="58"/>
  <c r="B329" i="58"/>
  <c r="F329" i="58"/>
  <c r="A330" i="58"/>
  <c r="D330" i="58"/>
  <c r="B330" i="58"/>
  <c r="F330" i="58"/>
  <c r="A331" i="58"/>
  <c r="D331" i="58"/>
  <c r="B331" i="58"/>
  <c r="F331" i="58"/>
  <c r="A332" i="58"/>
  <c r="D332" i="58"/>
  <c r="B332" i="58"/>
  <c r="F332" i="58"/>
  <c r="A333" i="58"/>
  <c r="D333" i="58"/>
  <c r="B333" i="58"/>
  <c r="F333" i="58"/>
  <c r="A334" i="58"/>
  <c r="D334" i="58"/>
  <c r="B334" i="58"/>
  <c r="F334" i="58"/>
  <c r="A335" i="58"/>
  <c r="D335" i="58"/>
  <c r="B335" i="58"/>
  <c r="F335" i="58"/>
  <c r="A336" i="58"/>
  <c r="D336" i="58"/>
  <c r="B336" i="58"/>
  <c r="F336" i="58"/>
  <c r="A337" i="58"/>
  <c r="D337" i="58"/>
  <c r="B337" i="58"/>
  <c r="F337" i="58"/>
  <c r="A338" i="58"/>
  <c r="D338" i="58"/>
  <c r="B338" i="58"/>
  <c r="F338" i="58"/>
  <c r="A339" i="58"/>
  <c r="D339" i="58"/>
  <c r="B339" i="58"/>
  <c r="F339" i="58"/>
  <c r="A340" i="58"/>
  <c r="D340" i="58"/>
  <c r="B340" i="58"/>
  <c r="F340" i="58"/>
  <c r="A341" i="58"/>
  <c r="D341" i="58"/>
  <c r="B341" i="58"/>
  <c r="F341" i="58"/>
  <c r="A342" i="58"/>
  <c r="D342" i="58"/>
  <c r="B342" i="58"/>
  <c r="F342" i="58"/>
  <c r="A343" i="58"/>
  <c r="D343" i="58"/>
  <c r="B343" i="58"/>
  <c r="F343" i="58"/>
  <c r="A344" i="58"/>
  <c r="D344" i="58"/>
  <c r="B344" i="58"/>
  <c r="F344" i="58"/>
  <c r="A345" i="58"/>
  <c r="D345" i="58"/>
  <c r="B345" i="58"/>
  <c r="F345" i="58"/>
  <c r="A346" i="58"/>
  <c r="D346" i="58"/>
  <c r="B346" i="58"/>
  <c r="F346" i="58"/>
  <c r="A347" i="58"/>
  <c r="D347" i="58"/>
  <c r="B347" i="58"/>
  <c r="F347" i="58"/>
  <c r="A348" i="58"/>
  <c r="D348" i="58"/>
  <c r="B348" i="58"/>
  <c r="F348" i="58"/>
  <c r="A349" i="58"/>
  <c r="D349" i="58"/>
  <c r="B349" i="58"/>
  <c r="F349" i="58"/>
  <c r="A350" i="58"/>
  <c r="D350" i="58"/>
  <c r="B350" i="58"/>
  <c r="F350" i="58"/>
  <c r="A351" i="58"/>
  <c r="D351" i="58"/>
  <c r="B351" i="58"/>
  <c r="F351" i="58"/>
  <c r="A352" i="58"/>
  <c r="D352" i="58"/>
  <c r="B352" i="58"/>
  <c r="F352" i="58"/>
  <c r="A353" i="58"/>
  <c r="D353" i="58"/>
  <c r="B353" i="58"/>
  <c r="F353" i="58"/>
  <c r="A354" i="58"/>
  <c r="D354" i="58"/>
  <c r="B354" i="58"/>
  <c r="F354" i="58"/>
  <c r="A355" i="58"/>
  <c r="D355" i="58"/>
  <c r="B355" i="58"/>
  <c r="F355" i="58"/>
  <c r="A356" i="58"/>
  <c r="D356" i="58"/>
  <c r="B356" i="58"/>
  <c r="F356" i="58"/>
  <c r="A357" i="58"/>
  <c r="D357" i="58"/>
  <c r="B357" i="58"/>
  <c r="F357" i="58"/>
  <c r="A358" i="58"/>
  <c r="D358" i="58"/>
  <c r="B358" i="58"/>
  <c r="F358" i="58"/>
  <c r="A359" i="58"/>
  <c r="D359" i="58"/>
  <c r="B359" i="58"/>
  <c r="F359" i="58"/>
  <c r="A360" i="58"/>
  <c r="D360" i="58"/>
  <c r="B360" i="58"/>
  <c r="F360" i="58"/>
  <c r="A361" i="58"/>
  <c r="D361" i="58"/>
  <c r="B361" i="58"/>
  <c r="F361" i="58"/>
  <c r="A362" i="58"/>
  <c r="D362" i="58"/>
  <c r="B362" i="58"/>
  <c r="F362" i="58"/>
  <c r="A363" i="58"/>
  <c r="D363" i="58"/>
  <c r="B363" i="58"/>
  <c r="F363" i="58"/>
  <c r="A364" i="58"/>
  <c r="D364" i="58"/>
  <c r="B364" i="58"/>
  <c r="F364" i="58"/>
  <c r="A365" i="58"/>
  <c r="D365" i="58"/>
  <c r="B365" i="58"/>
  <c r="F365" i="58"/>
  <c r="A366" i="58"/>
  <c r="D366" i="58"/>
  <c r="B366" i="58"/>
  <c r="F366" i="58"/>
  <c r="A367" i="58"/>
  <c r="D367" i="58"/>
  <c r="B367" i="58"/>
  <c r="F367" i="58"/>
  <c r="A368" i="58"/>
  <c r="D368" i="58"/>
  <c r="B368" i="58"/>
  <c r="F368" i="58"/>
  <c r="A369" i="58"/>
  <c r="D369" i="58"/>
  <c r="B369" i="58"/>
  <c r="F369" i="58"/>
  <c r="A370" i="58"/>
  <c r="D370" i="58"/>
  <c r="B370" i="58"/>
  <c r="F370" i="58"/>
  <c r="A371" i="58"/>
  <c r="D371" i="58"/>
  <c r="B371" i="58"/>
  <c r="F371" i="58"/>
  <c r="A372" i="58"/>
  <c r="D372" i="58"/>
  <c r="B372" i="58"/>
  <c r="F372" i="58"/>
  <c r="A373" i="58"/>
  <c r="D373" i="58"/>
  <c r="B373" i="58"/>
  <c r="F373" i="58"/>
  <c r="A374" i="58"/>
  <c r="D374" i="58"/>
  <c r="B374" i="58"/>
  <c r="F374" i="58"/>
  <c r="A375" i="58"/>
  <c r="D375" i="58"/>
  <c r="B375" i="58"/>
  <c r="F375" i="58"/>
  <c r="A376" i="58"/>
  <c r="D376" i="58"/>
  <c r="B376" i="58"/>
  <c r="F376" i="58"/>
  <c r="A377" i="58"/>
  <c r="D377" i="58"/>
  <c r="B377" i="58"/>
  <c r="F377" i="58"/>
  <c r="A378" i="58"/>
  <c r="D378" i="58"/>
  <c r="B378" i="58"/>
  <c r="F378" i="58"/>
  <c r="A379" i="58"/>
  <c r="D379" i="58"/>
  <c r="B379" i="58"/>
  <c r="F379" i="58"/>
  <c r="A380" i="58"/>
  <c r="D380" i="58"/>
  <c r="B380" i="58"/>
  <c r="F380" i="58"/>
  <c r="A381" i="58"/>
  <c r="D381" i="58"/>
  <c r="B381" i="58"/>
  <c r="F381" i="58"/>
  <c r="A382" i="58"/>
  <c r="D382" i="58"/>
  <c r="B382" i="58"/>
  <c r="F382" i="58"/>
  <c r="A383" i="58"/>
  <c r="D383" i="58"/>
  <c r="B383" i="58"/>
  <c r="F383" i="58"/>
  <c r="A384" i="58"/>
  <c r="D384" i="58"/>
  <c r="B384" i="58"/>
  <c r="F384" i="58"/>
  <c r="A385" i="58"/>
  <c r="D385" i="58"/>
  <c r="B385" i="58"/>
  <c r="F385" i="58"/>
  <c r="A386" i="58"/>
  <c r="D386" i="58"/>
  <c r="B386" i="58"/>
  <c r="F386" i="58"/>
  <c r="A387" i="58"/>
  <c r="D387" i="58"/>
  <c r="B387" i="58"/>
  <c r="F387" i="58"/>
  <c r="A388" i="58"/>
  <c r="D388" i="58"/>
  <c r="B388" i="58"/>
  <c r="F388" i="58"/>
  <c r="A389" i="58"/>
  <c r="D389" i="58"/>
  <c r="B389" i="58"/>
  <c r="F389" i="58"/>
  <c r="A390" i="58"/>
  <c r="D390" i="58"/>
  <c r="B390" i="58"/>
  <c r="F390" i="58"/>
  <c r="A391" i="58"/>
  <c r="D391" i="58"/>
  <c r="B391" i="58"/>
  <c r="F391" i="58"/>
  <c r="A392" i="58"/>
  <c r="D392" i="58"/>
  <c r="B392" i="58"/>
  <c r="F392" i="58"/>
  <c r="A393" i="58"/>
  <c r="D393" i="58"/>
  <c r="B393" i="58"/>
  <c r="F393" i="58"/>
  <c r="A394" i="58"/>
  <c r="D394" i="58"/>
  <c r="B394" i="58"/>
  <c r="F394" i="58"/>
  <c r="A395" i="58"/>
  <c r="D395" i="58"/>
  <c r="B395" i="58"/>
  <c r="F395" i="58"/>
  <c r="A396" i="58"/>
  <c r="D396" i="58"/>
  <c r="B396" i="58"/>
  <c r="F396" i="58"/>
  <c r="A397" i="58"/>
  <c r="D397" i="58"/>
  <c r="B397" i="58"/>
  <c r="F397" i="58"/>
  <c r="A398" i="58"/>
  <c r="D398" i="58"/>
  <c r="B398" i="58"/>
  <c r="F398" i="58"/>
  <c r="A399" i="58"/>
  <c r="D399" i="58"/>
  <c r="B399" i="58"/>
  <c r="F399" i="58"/>
  <c r="A400" i="58"/>
  <c r="D400" i="58"/>
  <c r="B400" i="58"/>
  <c r="F400" i="58"/>
  <c r="A401" i="58"/>
  <c r="D401" i="58"/>
  <c r="B401" i="58"/>
  <c r="F401" i="58"/>
  <c r="A402" i="58"/>
  <c r="D402" i="58"/>
  <c r="B402" i="58"/>
  <c r="F402" i="58"/>
  <c r="A403" i="58"/>
  <c r="D403" i="58"/>
  <c r="B403" i="58"/>
  <c r="F403" i="58"/>
  <c r="A404" i="58"/>
  <c r="D404" i="58"/>
  <c r="B404" i="58"/>
  <c r="F404" i="58"/>
  <c r="A405" i="58"/>
  <c r="D405" i="58"/>
  <c r="B405" i="58"/>
  <c r="F405" i="58"/>
  <c r="A406" i="58"/>
  <c r="D406" i="58"/>
  <c r="B406" i="58"/>
  <c r="F406" i="58"/>
  <c r="A407" i="58"/>
  <c r="D407" i="58"/>
  <c r="B407" i="58"/>
  <c r="F407" i="58"/>
  <c r="A408" i="58"/>
  <c r="D408" i="58"/>
  <c r="B408" i="58"/>
  <c r="F408" i="58"/>
  <c r="A409" i="58"/>
  <c r="D409" i="58"/>
  <c r="B409" i="58"/>
  <c r="F409" i="58"/>
  <c r="A410" i="58"/>
  <c r="D410" i="58"/>
  <c r="B410" i="58"/>
  <c r="F410" i="58"/>
  <c r="A411" i="58"/>
  <c r="D411" i="58"/>
  <c r="B411" i="58"/>
  <c r="F411" i="58"/>
  <c r="A412" i="58"/>
  <c r="D412" i="58"/>
  <c r="B412" i="58"/>
  <c r="F412" i="58"/>
  <c r="A413" i="58"/>
  <c r="D413" i="58"/>
  <c r="B413" i="58"/>
  <c r="F413" i="58"/>
  <c r="A414" i="58"/>
  <c r="D414" i="58"/>
  <c r="B414" i="58"/>
  <c r="F414" i="58"/>
  <c r="A415" i="58"/>
  <c r="D415" i="58"/>
  <c r="B415" i="58"/>
  <c r="F415" i="58"/>
  <c r="A416" i="58"/>
  <c r="D416" i="58"/>
  <c r="B416" i="58"/>
  <c r="F416" i="58"/>
  <c r="A417" i="58"/>
  <c r="D417" i="58"/>
  <c r="B417" i="58"/>
  <c r="F417" i="58"/>
  <c r="A418" i="58"/>
  <c r="D418" i="58"/>
  <c r="B418" i="58"/>
  <c r="F418" i="58"/>
  <c r="A419" i="58"/>
  <c r="D419" i="58"/>
  <c r="B419" i="58"/>
  <c r="F419" i="58"/>
  <c r="A420" i="58"/>
  <c r="D420" i="58"/>
  <c r="B420" i="58"/>
  <c r="F420" i="58"/>
  <c r="A421" i="58"/>
  <c r="D421" i="58"/>
  <c r="B421" i="58"/>
  <c r="F421" i="58"/>
  <c r="A422" i="58"/>
  <c r="D422" i="58"/>
  <c r="B422" i="58"/>
  <c r="F422" i="58"/>
  <c r="A423" i="58"/>
  <c r="D423" i="58"/>
  <c r="F1" i="58"/>
  <c r="F2" i="58"/>
  <c r="F424" i="58"/>
  <c r="F426" i="58"/>
  <c r="F427" i="58"/>
  <c r="F429" i="58"/>
  <c r="F430" i="58"/>
  <c r="F431" i="58"/>
  <c r="F432" i="58"/>
  <c r="F433" i="58"/>
  <c r="F434" i="58"/>
  <c r="F435" i="58"/>
  <c r="F436" i="58"/>
  <c r="F437" i="58"/>
  <c r="F438" i="58"/>
  <c r="F439" i="58"/>
  <c r="F440" i="58"/>
  <c r="F441" i="58"/>
  <c r="F442" i="58"/>
  <c r="F443" i="58"/>
  <c r="F444" i="58"/>
  <c r="F445" i="58"/>
  <c r="F446" i="58"/>
  <c r="F447" i="58"/>
  <c r="F448" i="58"/>
  <c r="F449" i="58"/>
  <c r="F450" i="58"/>
  <c r="F451" i="58"/>
  <c r="F452" i="58"/>
  <c r="F453" i="58"/>
  <c r="F454" i="58"/>
  <c r="F455" i="58"/>
  <c r="F456" i="58"/>
  <c r="F457" i="58"/>
  <c r="F458" i="58"/>
  <c r="F462" i="58"/>
  <c r="F463" i="58"/>
  <c r="F464" i="58"/>
  <c r="F465" i="58"/>
  <c r="F466" i="58"/>
  <c r="F467" i="58"/>
  <c r="F468" i="58"/>
  <c r="F469" i="58"/>
  <c r="F470" i="58"/>
  <c r="F471" i="58"/>
  <c r="F472" i="58"/>
  <c r="F473" i="58"/>
  <c r="F474" i="58"/>
  <c r="F475" i="58"/>
  <c r="F476" i="58"/>
  <c r="F477" i="58"/>
  <c r="F478" i="58"/>
  <c r="F479" i="58"/>
  <c r="F480" i="58"/>
  <c r="F481" i="58"/>
  <c r="F482" i="58"/>
  <c r="F483" i="58"/>
  <c r="F484" i="58"/>
  <c r="F485" i="58"/>
  <c r="F486" i="58"/>
  <c r="F489" i="58"/>
  <c r="F490" i="58"/>
  <c r="F491" i="58"/>
  <c r="F492" i="58"/>
  <c r="F493" i="58"/>
  <c r="F494" i="58"/>
  <c r="A424" i="58"/>
  <c r="D424" i="58"/>
  <c r="F423" i="58"/>
  <c r="C424" i="58"/>
  <c r="A426" i="58"/>
  <c r="D426" i="58"/>
  <c r="C426" i="58"/>
  <c r="A427" i="58"/>
  <c r="D427" i="58"/>
  <c r="C427" i="58"/>
  <c r="A429" i="58"/>
  <c r="D429" i="58"/>
  <c r="C429" i="58"/>
  <c r="A430" i="58"/>
  <c r="D430" i="58"/>
  <c r="C430" i="58"/>
  <c r="A431" i="58"/>
  <c r="D431" i="58"/>
  <c r="C431" i="58"/>
  <c r="A432" i="58"/>
  <c r="D432" i="58"/>
  <c r="C432" i="58"/>
  <c r="A433" i="58"/>
  <c r="D433" i="58"/>
  <c r="C433" i="58"/>
  <c r="A434" i="58"/>
  <c r="D434" i="58"/>
  <c r="C434" i="58"/>
  <c r="A435" i="58"/>
  <c r="D435" i="58"/>
  <c r="C435" i="58"/>
  <c r="A436" i="58"/>
  <c r="D436" i="58"/>
  <c r="C436" i="58"/>
  <c r="A437" i="58"/>
  <c r="D437" i="58"/>
  <c r="C437" i="58"/>
  <c r="A438" i="58"/>
  <c r="D438" i="58"/>
  <c r="C438" i="58"/>
  <c r="A439" i="58"/>
  <c r="D439" i="58"/>
  <c r="C439" i="58"/>
  <c r="D440" i="58"/>
  <c r="C204" i="38"/>
  <c r="C219" i="38" s="1"/>
  <c r="C234" i="38" s="1"/>
  <c r="C249" i="38" s="1"/>
  <c r="C264" i="38" s="1"/>
  <c r="D67" i="38"/>
  <c r="F3" i="37"/>
  <c r="F5" i="37"/>
  <c r="F5" i="41" s="1"/>
  <c r="F7" i="37"/>
  <c r="F7" i="41" s="1"/>
  <c r="F8" i="37"/>
  <c r="A3" i="37"/>
  <c r="D3" i="37"/>
  <c r="D3" i="41" s="1"/>
  <c r="B3" i="37"/>
  <c r="B3" i="41" s="1"/>
  <c r="C3" i="37"/>
  <c r="C3" i="41" s="1"/>
  <c r="G183" i="35"/>
  <c r="G184" i="35"/>
  <c r="A5" i="37"/>
  <c r="D5" i="37"/>
  <c r="D5" i="41" s="1"/>
  <c r="B5" i="37"/>
  <c r="B5" i="41" s="1"/>
  <c r="C5" i="37"/>
  <c r="C5" i="41" s="1"/>
  <c r="A7" i="37"/>
  <c r="D7" i="37"/>
  <c r="D7" i="41" s="1"/>
  <c r="B7" i="37"/>
  <c r="B7" i="41" s="1"/>
  <c r="C7" i="37"/>
  <c r="C7" i="41" s="1"/>
  <c r="A8" i="37"/>
  <c r="D8" i="37"/>
  <c r="D8" i="41" s="1"/>
  <c r="B8" i="37"/>
  <c r="B8" i="41" s="1"/>
  <c r="C8" i="37"/>
  <c r="C8" i="41" s="1"/>
  <c r="A9" i="37"/>
  <c r="D9" i="37"/>
  <c r="D9" i="41" s="1"/>
  <c r="B9" i="37"/>
  <c r="B9" i="41" s="1"/>
  <c r="C9" i="37"/>
  <c r="C9" i="41" s="1"/>
  <c r="F9" i="37"/>
  <c r="F9" i="41" s="1"/>
  <c r="A10" i="37"/>
  <c r="D10" i="37"/>
  <c r="D10" i="41" s="1"/>
  <c r="B10" i="37"/>
  <c r="B10" i="41" s="1"/>
  <c r="C10" i="37"/>
  <c r="C10" i="41" s="1"/>
  <c r="F10" i="37"/>
  <c r="F10" i="41" s="1"/>
  <c r="A11" i="37"/>
  <c r="D11" i="37"/>
  <c r="D11" i="41" s="1"/>
  <c r="B11" i="37"/>
  <c r="B11" i="41" s="1"/>
  <c r="C11" i="37"/>
  <c r="C11" i="41" s="1"/>
  <c r="F11" i="37"/>
  <c r="F11" i="41" s="1"/>
  <c r="A12" i="37"/>
  <c r="D12" i="37"/>
  <c r="D12" i="41" s="1"/>
  <c r="B12" i="37"/>
  <c r="B12" i="41" s="1"/>
  <c r="C12" i="37"/>
  <c r="C12" i="41" s="1"/>
  <c r="F12" i="37"/>
  <c r="F12" i="41" s="1"/>
  <c r="A13" i="37"/>
  <c r="D13" i="37"/>
  <c r="D13" i="41" s="1"/>
  <c r="B13" i="37"/>
  <c r="B13" i="41" s="1"/>
  <c r="C13" i="37"/>
  <c r="C13" i="41" s="1"/>
  <c r="F13" i="37"/>
  <c r="F13" i="41" s="1"/>
  <c r="A95" i="37"/>
  <c r="D95" i="37"/>
  <c r="D95" i="41" s="1"/>
  <c r="B95" i="37"/>
  <c r="B95" i="41" s="1"/>
  <c r="C95" i="37"/>
  <c r="C95" i="41" s="1"/>
  <c r="F95" i="37"/>
  <c r="F95" i="41" s="1"/>
  <c r="A96" i="37"/>
  <c r="D96" i="37"/>
  <c r="D96" i="41" s="1"/>
  <c r="B96" i="37"/>
  <c r="B96" i="41" s="1"/>
  <c r="C96" i="37"/>
  <c r="C96" i="41" s="1"/>
  <c r="F96" i="37"/>
  <c r="F96" i="41" s="1"/>
  <c r="A97" i="37"/>
  <c r="D97" i="37"/>
  <c r="D97" i="41" s="1"/>
  <c r="B97" i="37"/>
  <c r="B97" i="41" s="1"/>
  <c r="C97" i="37"/>
  <c r="C97" i="41" s="1"/>
  <c r="F97" i="37"/>
  <c r="F97" i="41" s="1"/>
  <c r="A98" i="37"/>
  <c r="D98" i="37"/>
  <c r="D98" i="41" s="1"/>
  <c r="B98" i="37"/>
  <c r="B98" i="41" s="1"/>
  <c r="C98" i="37"/>
  <c r="C98" i="41" s="1"/>
  <c r="F98" i="37"/>
  <c r="F98" i="41" s="1"/>
  <c r="A99" i="37"/>
  <c r="D99" i="37"/>
  <c r="D99" i="41" s="1"/>
  <c r="B99" i="37"/>
  <c r="B99" i="41" s="1"/>
  <c r="C99" i="37"/>
  <c r="C99" i="41" s="1"/>
  <c r="F99" i="37"/>
  <c r="F99" i="41" s="1"/>
  <c r="A100" i="37"/>
  <c r="D100" i="37"/>
  <c r="D100" i="41" s="1"/>
  <c r="B100" i="37"/>
  <c r="B100" i="41" s="1"/>
  <c r="C100" i="37"/>
  <c r="C100" i="41" s="1"/>
  <c r="F100" i="37"/>
  <c r="F100" i="41" s="1"/>
  <c r="A101" i="37"/>
  <c r="D101" i="37"/>
  <c r="D101" i="41" s="1"/>
  <c r="B101" i="37"/>
  <c r="B101" i="41" s="1"/>
  <c r="C101" i="37"/>
  <c r="C101" i="41" s="1"/>
  <c r="F101" i="37"/>
  <c r="F101" i="41" s="1"/>
  <c r="A102" i="37"/>
  <c r="D102" i="37"/>
  <c r="D102" i="41" s="1"/>
  <c r="B102" i="37"/>
  <c r="B102" i="41" s="1"/>
  <c r="C102" i="37"/>
  <c r="C102" i="41" s="1"/>
  <c r="F102" i="37"/>
  <c r="F102" i="41" s="1"/>
  <c r="A103" i="37"/>
  <c r="D103" i="37"/>
  <c r="D103" i="41" s="1"/>
  <c r="B103" i="37"/>
  <c r="B103" i="41" s="1"/>
  <c r="C103" i="37"/>
  <c r="C103" i="41" s="1"/>
  <c r="F103" i="37"/>
  <c r="F103" i="41" s="1"/>
  <c r="A104" i="37"/>
  <c r="D104" i="37"/>
  <c r="D104" i="41" s="1"/>
  <c r="B104" i="37"/>
  <c r="B104" i="41" s="1"/>
  <c r="C104" i="37"/>
  <c r="C104" i="41" s="1"/>
  <c r="F104" i="37"/>
  <c r="F104" i="41" s="1"/>
  <c r="A105" i="37"/>
  <c r="D105" i="37"/>
  <c r="D105" i="41" s="1"/>
  <c r="B105" i="37"/>
  <c r="B105" i="41" s="1"/>
  <c r="C105" i="37"/>
  <c r="C105" i="41" s="1"/>
  <c r="F105" i="37"/>
  <c r="F105" i="41" s="1"/>
  <c r="A106" i="37"/>
  <c r="D106" i="37"/>
  <c r="D106" i="41" s="1"/>
  <c r="B106" i="37"/>
  <c r="B106" i="41" s="1"/>
  <c r="C106" i="37"/>
  <c r="C106" i="41" s="1"/>
  <c r="F106" i="37"/>
  <c r="F106" i="41" s="1"/>
  <c r="A107" i="37"/>
  <c r="D107" i="37"/>
  <c r="D107" i="41" s="1"/>
  <c r="B107" i="37"/>
  <c r="B107" i="41" s="1"/>
  <c r="C107" i="37"/>
  <c r="C107" i="41" s="1"/>
  <c r="F107" i="37"/>
  <c r="F107" i="41" s="1"/>
  <c r="A108" i="37"/>
  <c r="D108" i="37"/>
  <c r="D108" i="41" s="1"/>
  <c r="B108" i="37"/>
  <c r="B108" i="41" s="1"/>
  <c r="C108" i="37"/>
  <c r="C108" i="41" s="1"/>
  <c r="F108" i="37"/>
  <c r="F108" i="41" s="1"/>
  <c r="A109" i="37"/>
  <c r="D109" i="37"/>
  <c r="D109" i="41" s="1"/>
  <c r="B109" i="37"/>
  <c r="B109" i="41" s="1"/>
  <c r="C109" i="37"/>
  <c r="C109" i="41" s="1"/>
  <c r="F109" i="37"/>
  <c r="F109" i="41" s="1"/>
  <c r="A110" i="37"/>
  <c r="D110" i="37"/>
  <c r="D110" i="41" s="1"/>
  <c r="B110" i="37"/>
  <c r="B110" i="41" s="1"/>
  <c r="C110" i="37"/>
  <c r="C110" i="41" s="1"/>
  <c r="F110" i="37"/>
  <c r="F110" i="41" s="1"/>
  <c r="A111" i="37"/>
  <c r="D111" i="37"/>
  <c r="D111" i="41" s="1"/>
  <c r="B111" i="37"/>
  <c r="B111" i="41" s="1"/>
  <c r="C111" i="37"/>
  <c r="C111" i="41" s="1"/>
  <c r="F111" i="37"/>
  <c r="F111" i="41" s="1"/>
  <c r="A112" i="37"/>
  <c r="D112" i="37"/>
  <c r="D112" i="41" s="1"/>
  <c r="B112" i="37"/>
  <c r="B112" i="41" s="1"/>
  <c r="C112" i="37"/>
  <c r="C112" i="41" s="1"/>
  <c r="F112" i="37"/>
  <c r="F112" i="41" s="1"/>
  <c r="A113" i="37"/>
  <c r="D113" i="37"/>
  <c r="D113" i="41" s="1"/>
  <c r="B113" i="37"/>
  <c r="B113" i="41" s="1"/>
  <c r="C113" i="37"/>
  <c r="C113" i="41" s="1"/>
  <c r="F113" i="37"/>
  <c r="F113" i="41" s="1"/>
  <c r="A114" i="37"/>
  <c r="D114" i="37"/>
  <c r="D114" i="41" s="1"/>
  <c r="B114" i="37"/>
  <c r="B114" i="41" s="1"/>
  <c r="C114" i="37"/>
  <c r="C114" i="41" s="1"/>
  <c r="F114" i="37"/>
  <c r="F114" i="41" s="1"/>
  <c r="A115" i="37"/>
  <c r="D115" i="37"/>
  <c r="D115" i="41" s="1"/>
  <c r="B115" i="37"/>
  <c r="B115" i="41" s="1"/>
  <c r="C115" i="37"/>
  <c r="C115" i="41" s="1"/>
  <c r="F115" i="37"/>
  <c r="F115" i="41" s="1"/>
  <c r="A116" i="37"/>
  <c r="D116" i="37"/>
  <c r="D116" i="41" s="1"/>
  <c r="B116" i="37"/>
  <c r="B116" i="41" s="1"/>
  <c r="C116" i="37"/>
  <c r="C116" i="41" s="1"/>
  <c r="F116" i="37"/>
  <c r="F116" i="41" s="1"/>
  <c r="A117" i="37"/>
  <c r="D117" i="37"/>
  <c r="D117" i="41" s="1"/>
  <c r="B117" i="37"/>
  <c r="B117" i="41" s="1"/>
  <c r="C117" i="37"/>
  <c r="C117" i="41" s="1"/>
  <c r="F117" i="37"/>
  <c r="F117" i="41" s="1"/>
  <c r="A118" i="37"/>
  <c r="D118" i="37"/>
  <c r="D118" i="41" s="1"/>
  <c r="B118" i="37"/>
  <c r="B118" i="41" s="1"/>
  <c r="C118" i="37"/>
  <c r="C118" i="41" s="1"/>
  <c r="F118" i="37"/>
  <c r="F118" i="41" s="1"/>
  <c r="A119" i="37"/>
  <c r="D119" i="37"/>
  <c r="D119" i="41" s="1"/>
  <c r="B119" i="37"/>
  <c r="B119" i="41" s="1"/>
  <c r="C119" i="37"/>
  <c r="C119" i="41" s="1"/>
  <c r="F119" i="37"/>
  <c r="F119" i="41" s="1"/>
  <c r="A120" i="37"/>
  <c r="D120" i="37"/>
  <c r="D120" i="41" s="1"/>
  <c r="B120" i="37"/>
  <c r="B120" i="41" s="1"/>
  <c r="C120" i="37"/>
  <c r="C120" i="41" s="1"/>
  <c r="F120" i="37"/>
  <c r="F120" i="41" s="1"/>
  <c r="A121" i="37"/>
  <c r="D121" i="37"/>
  <c r="D121" i="41" s="1"/>
  <c r="B121" i="37"/>
  <c r="B121" i="41" s="1"/>
  <c r="C121" i="37"/>
  <c r="C121" i="41" s="1"/>
  <c r="F121" i="37"/>
  <c r="F121" i="41" s="1"/>
  <c r="A122" i="37"/>
  <c r="D122" i="37"/>
  <c r="D122" i="41" s="1"/>
  <c r="B122" i="37"/>
  <c r="B122" i="41" s="1"/>
  <c r="C122" i="37"/>
  <c r="C122" i="41" s="1"/>
  <c r="F122" i="37"/>
  <c r="F122" i="41" s="1"/>
  <c r="A123" i="37"/>
  <c r="D123" i="37"/>
  <c r="D123" i="41" s="1"/>
  <c r="B123" i="37"/>
  <c r="B123" i="41" s="1"/>
  <c r="C123" i="37"/>
  <c r="C123" i="41" s="1"/>
  <c r="F123" i="37"/>
  <c r="F123" i="41" s="1"/>
  <c r="A124" i="37"/>
  <c r="D124" i="37"/>
  <c r="D124" i="41" s="1"/>
  <c r="B124" i="37"/>
  <c r="B124" i="41" s="1"/>
  <c r="C124" i="37"/>
  <c r="C124" i="41" s="1"/>
  <c r="F124" i="37"/>
  <c r="F124" i="41" s="1"/>
  <c r="A125" i="37"/>
  <c r="D125" i="37"/>
  <c r="D125" i="41" s="1"/>
  <c r="B125" i="37"/>
  <c r="B125" i="41" s="1"/>
  <c r="C125" i="37"/>
  <c r="C125" i="41" s="1"/>
  <c r="F125" i="37"/>
  <c r="F125" i="41" s="1"/>
  <c r="A126" i="37"/>
  <c r="D126" i="37"/>
  <c r="D126" i="41" s="1"/>
  <c r="B126" i="37"/>
  <c r="B126" i="41" s="1"/>
  <c r="C126" i="37"/>
  <c r="C126" i="41" s="1"/>
  <c r="F126" i="37"/>
  <c r="F126" i="41" s="1"/>
  <c r="A127" i="37"/>
  <c r="D127" i="37"/>
  <c r="D127" i="41" s="1"/>
  <c r="B127" i="37"/>
  <c r="B127" i="41" s="1"/>
  <c r="C127" i="37"/>
  <c r="C127" i="41" s="1"/>
  <c r="F127" i="37"/>
  <c r="F127" i="41" s="1"/>
  <c r="A128" i="37"/>
  <c r="D128" i="37"/>
  <c r="D128" i="41" s="1"/>
  <c r="B128" i="37"/>
  <c r="B128" i="41" s="1"/>
  <c r="C128" i="37"/>
  <c r="C128" i="41" s="1"/>
  <c r="F128" i="37"/>
  <c r="F128" i="41" s="1"/>
  <c r="A129" i="37"/>
  <c r="D129" i="37"/>
  <c r="D129" i="41" s="1"/>
  <c r="B129" i="37"/>
  <c r="B129" i="41" s="1"/>
  <c r="C129" i="37"/>
  <c r="C129" i="41" s="1"/>
  <c r="F129" i="37"/>
  <c r="F129" i="41" s="1"/>
  <c r="A130" i="37"/>
  <c r="D130" i="37"/>
  <c r="D130" i="41" s="1"/>
  <c r="B130" i="37"/>
  <c r="B130" i="41" s="1"/>
  <c r="C130" i="37"/>
  <c r="C130" i="41" s="1"/>
  <c r="F130" i="37"/>
  <c r="F130" i="41" s="1"/>
  <c r="A131" i="37"/>
  <c r="D131" i="37"/>
  <c r="D131" i="41" s="1"/>
  <c r="B131" i="37"/>
  <c r="B131" i="41" s="1"/>
  <c r="C131" i="37"/>
  <c r="C131" i="41" s="1"/>
  <c r="F131" i="37"/>
  <c r="F131" i="41" s="1"/>
  <c r="A132" i="37"/>
  <c r="D132" i="37"/>
  <c r="D132" i="41" s="1"/>
  <c r="B132" i="37"/>
  <c r="B132" i="41" s="1"/>
  <c r="C132" i="37"/>
  <c r="C132" i="41" s="1"/>
  <c r="F132" i="37"/>
  <c r="F132" i="41" s="1"/>
  <c r="A133" i="37"/>
  <c r="D133" i="37"/>
  <c r="D133" i="41" s="1"/>
  <c r="B133" i="37"/>
  <c r="B133" i="41" s="1"/>
  <c r="C133" i="37"/>
  <c r="C133" i="41" s="1"/>
  <c r="F133" i="37"/>
  <c r="F133" i="41" s="1"/>
  <c r="A134" i="37"/>
  <c r="D134" i="37"/>
  <c r="D134" i="41" s="1"/>
  <c r="B134" i="37"/>
  <c r="B134" i="41" s="1"/>
  <c r="C134" i="37"/>
  <c r="C134" i="41" s="1"/>
  <c r="F134" i="37"/>
  <c r="F134" i="41" s="1"/>
  <c r="A135" i="37"/>
  <c r="D135" i="37"/>
  <c r="D135" i="41" s="1"/>
  <c r="B135" i="37"/>
  <c r="B135" i="41" s="1"/>
  <c r="C135" i="37"/>
  <c r="C135" i="41" s="1"/>
  <c r="F135" i="37"/>
  <c r="F135" i="41" s="1"/>
  <c r="A136" i="37"/>
  <c r="D136" i="37"/>
  <c r="D136" i="41" s="1"/>
  <c r="B136" i="37"/>
  <c r="B136" i="41" s="1"/>
  <c r="C136" i="37"/>
  <c r="C136" i="41" s="1"/>
  <c r="F136" i="37"/>
  <c r="F136" i="41" s="1"/>
  <c r="A137" i="37"/>
  <c r="D137" i="37"/>
  <c r="D137" i="41" s="1"/>
  <c r="B137" i="37"/>
  <c r="B137" i="41" s="1"/>
  <c r="C137" i="37"/>
  <c r="C137" i="41" s="1"/>
  <c r="F137" i="37"/>
  <c r="F137" i="41" s="1"/>
  <c r="A138" i="37"/>
  <c r="D138" i="37"/>
  <c r="D138" i="41" s="1"/>
  <c r="B138" i="37"/>
  <c r="B138" i="41" s="1"/>
  <c r="C138" i="37"/>
  <c r="C138" i="41" s="1"/>
  <c r="F138" i="37"/>
  <c r="F138" i="41" s="1"/>
  <c r="A139" i="37"/>
  <c r="D139" i="37"/>
  <c r="D139" i="41" s="1"/>
  <c r="B139" i="37"/>
  <c r="B139" i="41" s="1"/>
  <c r="C139" i="37"/>
  <c r="C139" i="41" s="1"/>
  <c r="F139" i="37"/>
  <c r="F139" i="41" s="1"/>
  <c r="A140" i="37"/>
  <c r="D140" i="37"/>
  <c r="D140" i="41" s="1"/>
  <c r="B140" i="37"/>
  <c r="B140" i="41" s="1"/>
  <c r="C140" i="37"/>
  <c r="C140" i="41" s="1"/>
  <c r="F140" i="37"/>
  <c r="F140" i="41" s="1"/>
  <c r="A141" i="37"/>
  <c r="D141" i="37"/>
  <c r="D141" i="41" s="1"/>
  <c r="B141" i="37"/>
  <c r="B141" i="41" s="1"/>
  <c r="F141" i="37"/>
  <c r="F141" i="41" s="1"/>
  <c r="A142" i="37"/>
  <c r="D142" i="37"/>
  <c r="D142" i="41" s="1"/>
  <c r="B142" i="37"/>
  <c r="B142" i="41" s="1"/>
  <c r="F142" i="37"/>
  <c r="F142" i="41" s="1"/>
  <c r="A143" i="37"/>
  <c r="D143" i="37"/>
  <c r="D143" i="41" s="1"/>
  <c r="B143" i="37"/>
  <c r="B143" i="41" s="1"/>
  <c r="F143" i="37"/>
  <c r="F143" i="41" s="1"/>
  <c r="A144" i="37"/>
  <c r="D144" i="37"/>
  <c r="D144" i="41" s="1"/>
  <c r="B144" i="37"/>
  <c r="B144" i="41" s="1"/>
  <c r="F144" i="37"/>
  <c r="F144" i="41" s="1"/>
  <c r="A145" i="37"/>
  <c r="D145" i="37"/>
  <c r="D145" i="41" s="1"/>
  <c r="B145" i="37"/>
  <c r="B145" i="41" s="1"/>
  <c r="F145" i="37"/>
  <c r="F145" i="41" s="1"/>
  <c r="A146" i="37"/>
  <c r="D146" i="37"/>
  <c r="D146" i="41" s="1"/>
  <c r="B146" i="37"/>
  <c r="B146" i="41" s="1"/>
  <c r="F146" i="37"/>
  <c r="F146" i="41" s="1"/>
  <c r="A147" i="37"/>
  <c r="D147" i="37"/>
  <c r="D147" i="41" s="1"/>
  <c r="B147" i="37"/>
  <c r="B147" i="41" s="1"/>
  <c r="F147" i="37"/>
  <c r="F147" i="41" s="1"/>
  <c r="A148" i="37"/>
  <c r="D148" i="37"/>
  <c r="D148" i="41" s="1"/>
  <c r="B148" i="37"/>
  <c r="B148" i="41" s="1"/>
  <c r="F148" i="37"/>
  <c r="F148" i="41" s="1"/>
  <c r="A149" i="37"/>
  <c r="D149" i="37"/>
  <c r="D149" i="41" s="1"/>
  <c r="B149" i="37"/>
  <c r="B149" i="41" s="1"/>
  <c r="F149" i="37"/>
  <c r="F149" i="41" s="1"/>
  <c r="A150" i="37"/>
  <c r="D150" i="37"/>
  <c r="D150" i="41" s="1"/>
  <c r="B150" i="37"/>
  <c r="B150" i="41" s="1"/>
  <c r="F150" i="37"/>
  <c r="F150" i="41" s="1"/>
  <c r="A151" i="37"/>
  <c r="D151" i="37"/>
  <c r="D151" i="41" s="1"/>
  <c r="B151" i="37"/>
  <c r="B151" i="41" s="1"/>
  <c r="F151" i="37"/>
  <c r="F151" i="41" s="1"/>
  <c r="A152" i="37"/>
  <c r="D152" i="37"/>
  <c r="D152" i="41" s="1"/>
  <c r="B152" i="37"/>
  <c r="B152" i="41" s="1"/>
  <c r="F152" i="37"/>
  <c r="F152" i="41" s="1"/>
  <c r="A153" i="37"/>
  <c r="D153" i="37"/>
  <c r="D153" i="41" s="1"/>
  <c r="B153" i="37"/>
  <c r="B153" i="41" s="1"/>
  <c r="F153" i="37"/>
  <c r="F153" i="41" s="1"/>
  <c r="A154" i="37"/>
  <c r="D154" i="37"/>
  <c r="D154" i="41" s="1"/>
  <c r="B154" i="37"/>
  <c r="B154" i="41" s="1"/>
  <c r="F154" i="37"/>
  <c r="F154" i="41" s="1"/>
  <c r="A155" i="37"/>
  <c r="D155" i="37"/>
  <c r="D155" i="41" s="1"/>
  <c r="B155" i="37"/>
  <c r="B155" i="41" s="1"/>
  <c r="F155" i="37"/>
  <c r="F155" i="41" s="1"/>
  <c r="A156" i="37"/>
  <c r="D156" i="37"/>
  <c r="D156" i="41" s="1"/>
  <c r="B156" i="37"/>
  <c r="B156" i="41" s="1"/>
  <c r="F156" i="37"/>
  <c r="F156" i="41" s="1"/>
  <c r="A157" i="37"/>
  <c r="D157" i="37"/>
  <c r="D157" i="41" s="1"/>
  <c r="B157" i="37"/>
  <c r="B157" i="41" s="1"/>
  <c r="F157" i="37"/>
  <c r="F157" i="41" s="1"/>
  <c r="A158" i="37"/>
  <c r="D158" i="37"/>
  <c r="D158" i="41" s="1"/>
  <c r="B158" i="37"/>
  <c r="B158" i="41" s="1"/>
  <c r="F158" i="37"/>
  <c r="F158" i="41" s="1"/>
  <c r="A159" i="37"/>
  <c r="D159" i="37"/>
  <c r="D159" i="41" s="1"/>
  <c r="B159" i="37"/>
  <c r="B159" i="41" s="1"/>
  <c r="F159" i="37"/>
  <c r="F159" i="41" s="1"/>
  <c r="A160" i="37"/>
  <c r="D160" i="37"/>
  <c r="D160" i="41" s="1"/>
  <c r="B160" i="37"/>
  <c r="B160" i="41" s="1"/>
  <c r="F160" i="37"/>
  <c r="F160" i="41" s="1"/>
  <c r="A161" i="37"/>
  <c r="D161" i="37"/>
  <c r="D161" i="41" s="1"/>
  <c r="B161" i="37"/>
  <c r="B161" i="41" s="1"/>
  <c r="F161" i="37"/>
  <c r="F161" i="41" s="1"/>
  <c r="A162" i="37"/>
  <c r="D162" i="37"/>
  <c r="D162" i="41" s="1"/>
  <c r="B162" i="37"/>
  <c r="B162" i="41" s="1"/>
  <c r="F162" i="37"/>
  <c r="F162" i="41" s="1"/>
  <c r="A163" i="37"/>
  <c r="D163" i="37"/>
  <c r="D163" i="41" s="1"/>
  <c r="B163" i="37"/>
  <c r="B163" i="41" s="1"/>
  <c r="F163" i="37"/>
  <c r="F163" i="41" s="1"/>
  <c r="A164" i="37"/>
  <c r="D164" i="37"/>
  <c r="D164" i="41" s="1"/>
  <c r="B164" i="37"/>
  <c r="B164" i="41" s="1"/>
  <c r="F164" i="37"/>
  <c r="F164" i="41" s="1"/>
  <c r="A165" i="37"/>
  <c r="D165" i="37"/>
  <c r="D165" i="41" s="1"/>
  <c r="B165" i="37"/>
  <c r="B165" i="41" s="1"/>
  <c r="F165" i="37"/>
  <c r="F165" i="41" s="1"/>
  <c r="A166" i="37"/>
  <c r="D166" i="37"/>
  <c r="D166" i="41" s="1"/>
  <c r="B166" i="37"/>
  <c r="B166" i="41" s="1"/>
  <c r="F166" i="37"/>
  <c r="F166" i="41" s="1"/>
  <c r="A167" i="37"/>
  <c r="D167" i="37"/>
  <c r="D167" i="41" s="1"/>
  <c r="B167" i="37"/>
  <c r="B167" i="41" s="1"/>
  <c r="F167" i="37"/>
  <c r="F167" i="41" s="1"/>
  <c r="A168" i="37"/>
  <c r="D168" i="37"/>
  <c r="D168" i="41" s="1"/>
  <c r="B168" i="37"/>
  <c r="B168" i="41" s="1"/>
  <c r="F168" i="37"/>
  <c r="F168" i="41" s="1"/>
  <c r="A169" i="37"/>
  <c r="D169" i="37"/>
  <c r="D169" i="41" s="1"/>
  <c r="B169" i="37"/>
  <c r="B169" i="41" s="1"/>
  <c r="F169" i="37"/>
  <c r="F169" i="41" s="1"/>
  <c r="A170" i="37"/>
  <c r="D170" i="37"/>
  <c r="D170" i="41" s="1"/>
  <c r="B170" i="37"/>
  <c r="B170" i="41" s="1"/>
  <c r="F170" i="37"/>
  <c r="F170" i="41" s="1"/>
  <c r="A171" i="37"/>
  <c r="D171" i="37"/>
  <c r="D171" i="41" s="1"/>
  <c r="B171" i="37"/>
  <c r="B171" i="41" s="1"/>
  <c r="F171" i="37"/>
  <c r="F171" i="41" s="1"/>
  <c r="A172" i="37"/>
  <c r="D172" i="37"/>
  <c r="D172" i="41" s="1"/>
  <c r="B172" i="37"/>
  <c r="B172" i="41" s="1"/>
  <c r="F172" i="37"/>
  <c r="F172" i="41" s="1"/>
  <c r="A173" i="37"/>
  <c r="D173" i="37"/>
  <c r="D173" i="41" s="1"/>
  <c r="B173" i="37"/>
  <c r="B173" i="41" s="1"/>
  <c r="F173" i="37"/>
  <c r="F173" i="41" s="1"/>
  <c r="A174" i="37"/>
  <c r="D174" i="37"/>
  <c r="D174" i="41" s="1"/>
  <c r="B174" i="37"/>
  <c r="B174" i="41" s="1"/>
  <c r="F174" i="37"/>
  <c r="F174" i="41" s="1"/>
  <c r="A175" i="37"/>
  <c r="D175" i="37"/>
  <c r="D175" i="41" s="1"/>
  <c r="B175" i="37"/>
  <c r="B175" i="41" s="1"/>
  <c r="F175" i="37"/>
  <c r="F175" i="41" s="1"/>
  <c r="A176" i="37"/>
  <c r="D176" i="37"/>
  <c r="D176" i="41" s="1"/>
  <c r="B176" i="37"/>
  <c r="B176" i="41" s="1"/>
  <c r="F176" i="37"/>
  <c r="F176" i="41" s="1"/>
  <c r="A177" i="37"/>
  <c r="D177" i="37"/>
  <c r="D177" i="41" s="1"/>
  <c r="B177" i="37"/>
  <c r="B177" i="41" s="1"/>
  <c r="F177" i="37"/>
  <c r="F177" i="41" s="1"/>
  <c r="A178" i="37"/>
  <c r="D178" i="37"/>
  <c r="D178" i="41" s="1"/>
  <c r="B178" i="37"/>
  <c r="B178" i="41" s="1"/>
  <c r="F178" i="37"/>
  <c r="F178" i="41" s="1"/>
  <c r="A179" i="37"/>
  <c r="D179" i="37"/>
  <c r="D179" i="41" s="1"/>
  <c r="B179" i="37"/>
  <c r="B179" i="41" s="1"/>
  <c r="F179" i="37"/>
  <c r="F179" i="41" s="1"/>
  <c r="A180" i="37"/>
  <c r="D180" i="37"/>
  <c r="D180" i="41" s="1"/>
  <c r="B180" i="37"/>
  <c r="B180" i="41" s="1"/>
  <c r="F180" i="37"/>
  <c r="F180" i="41" s="1"/>
  <c r="A181" i="37"/>
  <c r="D181" i="37"/>
  <c r="D181" i="41" s="1"/>
  <c r="B181" i="37"/>
  <c r="B181" i="41" s="1"/>
  <c r="F181" i="37"/>
  <c r="F181" i="41" s="1"/>
  <c r="A182" i="37"/>
  <c r="D182" i="37"/>
  <c r="D182" i="41" s="1"/>
  <c r="B182" i="37"/>
  <c r="B182" i="41" s="1"/>
  <c r="F182" i="37"/>
  <c r="F182" i="41" s="1"/>
  <c r="A183" i="37"/>
  <c r="D183" i="37"/>
  <c r="D183" i="41" s="1"/>
  <c r="B183" i="37"/>
  <c r="B183" i="41" s="1"/>
  <c r="C183" i="37"/>
  <c r="C183" i="41" s="1"/>
  <c r="F183" i="37"/>
  <c r="F183" i="41" s="1"/>
  <c r="A184" i="37"/>
  <c r="D184" i="37"/>
  <c r="D184" i="41" s="1"/>
  <c r="B184" i="37"/>
  <c r="B184" i="41" s="1"/>
  <c r="C184" i="37"/>
  <c r="C184" i="41" s="1"/>
  <c r="F184" i="37"/>
  <c r="F184" i="41" s="1"/>
  <c r="A185" i="37"/>
  <c r="D185" i="37"/>
  <c r="D185" i="41" s="1"/>
  <c r="B185" i="37"/>
  <c r="B185" i="41" s="1"/>
  <c r="C185" i="37"/>
  <c r="C185" i="41" s="1"/>
  <c r="F185" i="37"/>
  <c r="F185" i="41" s="1"/>
  <c r="A186" i="37"/>
  <c r="D186" i="37"/>
  <c r="D186" i="41" s="1"/>
  <c r="B186" i="37"/>
  <c r="B186" i="41" s="1"/>
  <c r="C186" i="37"/>
  <c r="C186" i="41" s="1"/>
  <c r="F186" i="37"/>
  <c r="F186" i="41" s="1"/>
  <c r="A187" i="37"/>
  <c r="D187" i="37"/>
  <c r="D187" i="41" s="1"/>
  <c r="B187" i="37"/>
  <c r="B187" i="41" s="1"/>
  <c r="C187" i="37"/>
  <c r="C187" i="41" s="1"/>
  <c r="F187" i="37"/>
  <c r="F187" i="41" s="1"/>
  <c r="A188" i="37"/>
  <c r="D188" i="37"/>
  <c r="D188" i="41" s="1"/>
  <c r="B188" i="37"/>
  <c r="B188" i="41" s="1"/>
  <c r="C188" i="37"/>
  <c r="C188" i="41" s="1"/>
  <c r="F188" i="37"/>
  <c r="F188" i="41" s="1"/>
  <c r="A189" i="37"/>
  <c r="D189" i="37"/>
  <c r="D189" i="41" s="1"/>
  <c r="B189" i="37"/>
  <c r="B189" i="41" s="1"/>
  <c r="F189" i="37"/>
  <c r="F189" i="41" s="1"/>
  <c r="A190" i="37"/>
  <c r="D190" i="37"/>
  <c r="D190" i="41" s="1"/>
  <c r="B190" i="37"/>
  <c r="B190" i="41" s="1"/>
  <c r="F190" i="37"/>
  <c r="F190" i="41" s="1"/>
  <c r="A191" i="37"/>
  <c r="D191" i="37"/>
  <c r="D191" i="41" s="1"/>
  <c r="B191" i="37"/>
  <c r="B191" i="41" s="1"/>
  <c r="F191" i="37"/>
  <c r="F191" i="41" s="1"/>
  <c r="A192" i="37"/>
  <c r="D192" i="37"/>
  <c r="D192" i="41" s="1"/>
  <c r="B192" i="37"/>
  <c r="B192" i="41" s="1"/>
  <c r="F192" i="37"/>
  <c r="F192" i="41" s="1"/>
  <c r="A193" i="37"/>
  <c r="D193" i="37"/>
  <c r="D193" i="41" s="1"/>
  <c r="B193" i="37"/>
  <c r="B193" i="41" s="1"/>
  <c r="F193" i="37"/>
  <c r="F193" i="41" s="1"/>
  <c r="A194" i="37"/>
  <c r="D194" i="37"/>
  <c r="D194" i="41" s="1"/>
  <c r="B194" i="37"/>
  <c r="B194" i="41" s="1"/>
  <c r="F194" i="37"/>
  <c r="F194" i="41" s="1"/>
  <c r="A195" i="37"/>
  <c r="D195" i="37"/>
  <c r="D195" i="41" s="1"/>
  <c r="B195" i="37"/>
  <c r="B195" i="41" s="1"/>
  <c r="F195" i="37"/>
  <c r="F195" i="41" s="1"/>
  <c r="A196" i="37"/>
  <c r="D196" i="37"/>
  <c r="D196" i="41" s="1"/>
  <c r="B196" i="37"/>
  <c r="B196" i="41" s="1"/>
  <c r="F196" i="37"/>
  <c r="F196" i="41" s="1"/>
  <c r="A197" i="37"/>
  <c r="D197" i="37"/>
  <c r="D197" i="41" s="1"/>
  <c r="B197" i="37"/>
  <c r="B197" i="41" s="1"/>
  <c r="F197" i="37"/>
  <c r="F197" i="41" s="1"/>
  <c r="A198" i="37"/>
  <c r="D198" i="37"/>
  <c r="D198" i="41" s="1"/>
  <c r="B198" i="37"/>
  <c r="B198" i="41" s="1"/>
  <c r="F198" i="37"/>
  <c r="F198" i="41" s="1"/>
  <c r="A199" i="37"/>
  <c r="D199" i="37"/>
  <c r="D199" i="41" s="1"/>
  <c r="B199" i="37"/>
  <c r="B199" i="41" s="1"/>
  <c r="F199" i="37"/>
  <c r="F199" i="41" s="1"/>
  <c r="A200" i="37"/>
  <c r="D200" i="37"/>
  <c r="D200" i="41" s="1"/>
  <c r="B200" i="37"/>
  <c r="B200" i="41" s="1"/>
  <c r="F200" i="37"/>
  <c r="F200" i="41" s="1"/>
  <c r="A201" i="37"/>
  <c r="D201" i="37"/>
  <c r="D201" i="41" s="1"/>
  <c r="B201" i="37"/>
  <c r="B201" i="41" s="1"/>
  <c r="F201" i="37"/>
  <c r="F201" i="41" s="1"/>
  <c r="A202" i="37"/>
  <c r="D202" i="37"/>
  <c r="D202" i="41" s="1"/>
  <c r="B202" i="37"/>
  <c r="B202" i="41" s="1"/>
  <c r="F202" i="37"/>
  <c r="F202" i="41" s="1"/>
  <c r="A203" i="37"/>
  <c r="D203" i="37"/>
  <c r="D203" i="41" s="1"/>
  <c r="B203" i="37"/>
  <c r="B203" i="41" s="1"/>
  <c r="F203" i="37"/>
  <c r="F203" i="41" s="1"/>
  <c r="A204" i="37"/>
  <c r="D204" i="37"/>
  <c r="D204" i="41" s="1"/>
  <c r="B204" i="37"/>
  <c r="B204" i="41" s="1"/>
  <c r="F204" i="37"/>
  <c r="F204" i="41" s="1"/>
  <c r="A205" i="37"/>
  <c r="D205" i="37"/>
  <c r="D205" i="41" s="1"/>
  <c r="B205" i="37"/>
  <c r="B205" i="41" s="1"/>
  <c r="F205" i="37"/>
  <c r="F205" i="41" s="1"/>
  <c r="A206" i="37"/>
  <c r="D206" i="37"/>
  <c r="D206" i="41" s="1"/>
  <c r="B206" i="37"/>
  <c r="B206" i="41" s="1"/>
  <c r="F206" i="37"/>
  <c r="F206" i="41" s="1"/>
  <c r="A207" i="37"/>
  <c r="D207" i="37"/>
  <c r="D207" i="41" s="1"/>
  <c r="B207" i="37"/>
  <c r="B207" i="41" s="1"/>
  <c r="F207" i="37"/>
  <c r="F207" i="41" s="1"/>
  <c r="A208" i="37"/>
  <c r="D208" i="37"/>
  <c r="D208" i="41" s="1"/>
  <c r="B208" i="37"/>
  <c r="B208" i="41" s="1"/>
  <c r="F208" i="37"/>
  <c r="F208" i="41" s="1"/>
  <c r="A209" i="37"/>
  <c r="D209" i="37"/>
  <c r="D209" i="41" s="1"/>
  <c r="B209" i="37"/>
  <c r="B209" i="41" s="1"/>
  <c r="F209" i="37"/>
  <c r="F209" i="41" s="1"/>
  <c r="A210" i="37"/>
  <c r="D210" i="37"/>
  <c r="D210" i="41" s="1"/>
  <c r="B210" i="37"/>
  <c r="B210" i="41" s="1"/>
  <c r="F210" i="37"/>
  <c r="F210" i="41" s="1"/>
  <c r="A211" i="37"/>
  <c r="D211" i="37"/>
  <c r="D211" i="41" s="1"/>
  <c r="B211" i="37"/>
  <c r="B211" i="41" s="1"/>
  <c r="F211" i="37"/>
  <c r="F211" i="41" s="1"/>
  <c r="A212" i="37"/>
  <c r="D212" i="37"/>
  <c r="D212" i="41" s="1"/>
  <c r="B212" i="37"/>
  <c r="B212" i="41" s="1"/>
  <c r="F212" i="37"/>
  <c r="F212" i="41" s="1"/>
  <c r="A213" i="37"/>
  <c r="D213" i="37"/>
  <c r="D213" i="41" s="1"/>
  <c r="B213" i="37"/>
  <c r="B213" i="41" s="1"/>
  <c r="F213" i="37"/>
  <c r="F213" i="41" s="1"/>
  <c r="A214" i="37"/>
  <c r="D214" i="37"/>
  <c r="D214" i="41" s="1"/>
  <c r="B214" i="37"/>
  <c r="B214" i="41" s="1"/>
  <c r="F214" i="37"/>
  <c r="F214" i="41" s="1"/>
  <c r="A215" i="37"/>
  <c r="D215" i="37"/>
  <c r="D215" i="41" s="1"/>
  <c r="B215" i="37"/>
  <c r="B215" i="41" s="1"/>
  <c r="F215" i="37"/>
  <c r="F215" i="41" s="1"/>
  <c r="A216" i="37"/>
  <c r="D216" i="37"/>
  <c r="D216" i="41" s="1"/>
  <c r="B216" i="37"/>
  <c r="B216" i="41" s="1"/>
  <c r="F216" i="37"/>
  <c r="F216" i="41" s="1"/>
  <c r="A217" i="37"/>
  <c r="D217" i="37"/>
  <c r="D217" i="41" s="1"/>
  <c r="B217" i="37"/>
  <c r="B217" i="41" s="1"/>
  <c r="F217" i="37"/>
  <c r="F217" i="41" s="1"/>
  <c r="A218" i="37"/>
  <c r="D218" i="37"/>
  <c r="D218" i="41" s="1"/>
  <c r="B218" i="37"/>
  <c r="B218" i="41" s="1"/>
  <c r="F218" i="37"/>
  <c r="F218" i="41" s="1"/>
  <c r="A219" i="37"/>
  <c r="D219" i="37"/>
  <c r="D219" i="41" s="1"/>
  <c r="B219" i="37"/>
  <c r="B219" i="41" s="1"/>
  <c r="F219" i="37"/>
  <c r="F219" i="41" s="1"/>
  <c r="A220" i="37"/>
  <c r="D220" i="37"/>
  <c r="D220" i="41" s="1"/>
  <c r="B220" i="37"/>
  <c r="B220" i="41" s="1"/>
  <c r="F220" i="37"/>
  <c r="F220" i="41" s="1"/>
  <c r="A221" i="37"/>
  <c r="D221" i="37"/>
  <c r="D221" i="41" s="1"/>
  <c r="B221" i="37"/>
  <c r="B221" i="41" s="1"/>
  <c r="F221" i="37"/>
  <c r="F221" i="41" s="1"/>
  <c r="A222" i="37"/>
  <c r="D222" i="37"/>
  <c r="D222" i="41" s="1"/>
  <c r="B222" i="37"/>
  <c r="B222" i="41" s="1"/>
  <c r="F222" i="37"/>
  <c r="F222" i="41" s="1"/>
  <c r="A223" i="37"/>
  <c r="D223" i="37"/>
  <c r="D223" i="41" s="1"/>
  <c r="B223" i="37"/>
  <c r="B223" i="41" s="1"/>
  <c r="F223" i="37"/>
  <c r="F223" i="41" s="1"/>
  <c r="A224" i="37"/>
  <c r="D224" i="37"/>
  <c r="D224" i="41" s="1"/>
  <c r="B224" i="37"/>
  <c r="B224" i="41" s="1"/>
  <c r="F224" i="37"/>
  <c r="F224" i="41" s="1"/>
  <c r="A225" i="37"/>
  <c r="D225" i="37"/>
  <c r="D225" i="41" s="1"/>
  <c r="B225" i="37"/>
  <c r="B225" i="41" s="1"/>
  <c r="F225" i="37"/>
  <c r="F225" i="41" s="1"/>
  <c r="A226" i="37"/>
  <c r="D226" i="37"/>
  <c r="D226" i="41" s="1"/>
  <c r="B226" i="37"/>
  <c r="B226" i="41" s="1"/>
  <c r="F226" i="37"/>
  <c r="F226" i="41" s="1"/>
  <c r="A227" i="37"/>
  <c r="D227" i="37"/>
  <c r="D227" i="41" s="1"/>
  <c r="B227" i="37"/>
  <c r="B227" i="41" s="1"/>
  <c r="F227" i="37"/>
  <c r="F227" i="41" s="1"/>
  <c r="A228" i="37"/>
  <c r="D228" i="37"/>
  <c r="D228" i="41" s="1"/>
  <c r="B228" i="37"/>
  <c r="B228" i="41" s="1"/>
  <c r="F228" i="37"/>
  <c r="F228" i="41" s="1"/>
  <c r="A229" i="37"/>
  <c r="D229" i="37"/>
  <c r="D229" i="41" s="1"/>
  <c r="B229" i="37"/>
  <c r="B229" i="41" s="1"/>
  <c r="F229" i="37"/>
  <c r="F229" i="41" s="1"/>
  <c r="A230" i="37"/>
  <c r="D230" i="37"/>
  <c r="D230" i="41" s="1"/>
  <c r="B230" i="37"/>
  <c r="B230" i="41" s="1"/>
  <c r="F230" i="37"/>
  <c r="F230" i="41" s="1"/>
  <c r="A231" i="37"/>
  <c r="D231" i="37"/>
  <c r="D231" i="41" s="1"/>
  <c r="B231" i="37"/>
  <c r="B231" i="41" s="1"/>
  <c r="F231" i="37"/>
  <c r="F231" i="41" s="1"/>
  <c r="A232" i="37"/>
  <c r="D232" i="37"/>
  <c r="D232" i="41" s="1"/>
  <c r="B232" i="37"/>
  <c r="B232" i="41" s="1"/>
  <c r="F232" i="37"/>
  <c r="F232" i="41" s="1"/>
  <c r="A233" i="37"/>
  <c r="D233" i="37"/>
  <c r="D233" i="41" s="1"/>
  <c r="B233" i="37"/>
  <c r="B233" i="41" s="1"/>
  <c r="F233" i="37"/>
  <c r="F233" i="41" s="1"/>
  <c r="A234" i="37"/>
  <c r="D234" i="37"/>
  <c r="D234" i="41" s="1"/>
  <c r="B234" i="37"/>
  <c r="B234" i="41" s="1"/>
  <c r="F234" i="37"/>
  <c r="F234" i="41" s="1"/>
  <c r="A235" i="37"/>
  <c r="D235" i="37"/>
  <c r="D235" i="41" s="1"/>
  <c r="B235" i="37"/>
  <c r="B235" i="41" s="1"/>
  <c r="F235" i="37"/>
  <c r="F235" i="41" s="1"/>
  <c r="A236" i="37"/>
  <c r="D236" i="37"/>
  <c r="D236" i="41" s="1"/>
  <c r="B236" i="37"/>
  <c r="B236" i="41" s="1"/>
  <c r="F236" i="37"/>
  <c r="F236" i="41" s="1"/>
  <c r="A237" i="37"/>
  <c r="D237" i="37"/>
  <c r="D237" i="41" s="1"/>
  <c r="B237" i="37"/>
  <c r="B237" i="41" s="1"/>
  <c r="F237" i="37"/>
  <c r="F237" i="41" s="1"/>
  <c r="A238" i="37"/>
  <c r="D238" i="37"/>
  <c r="D238" i="41" s="1"/>
  <c r="B238" i="37"/>
  <c r="B238" i="41" s="1"/>
  <c r="F238" i="37"/>
  <c r="F238" i="41" s="1"/>
  <c r="A239" i="37"/>
  <c r="D239" i="37"/>
  <c r="D239" i="41" s="1"/>
  <c r="B239" i="37"/>
  <c r="B239" i="41" s="1"/>
  <c r="F239" i="37"/>
  <c r="F239" i="41" s="1"/>
  <c r="A240" i="37"/>
  <c r="D240" i="37"/>
  <c r="D240" i="41" s="1"/>
  <c r="B240" i="37"/>
  <c r="B240" i="41" s="1"/>
  <c r="F240" i="37"/>
  <c r="F240" i="41" s="1"/>
  <c r="A241" i="37"/>
  <c r="D241" i="37"/>
  <c r="D241" i="41" s="1"/>
  <c r="B241" i="37"/>
  <c r="B241" i="41" s="1"/>
  <c r="F241" i="37"/>
  <c r="F241" i="41" s="1"/>
  <c r="A242" i="37"/>
  <c r="D242" i="37"/>
  <c r="D242" i="41" s="1"/>
  <c r="B242" i="37"/>
  <c r="B242" i="41" s="1"/>
  <c r="F242" i="37"/>
  <c r="F242" i="41" s="1"/>
  <c r="A243" i="37"/>
  <c r="D243" i="37"/>
  <c r="D243" i="41" s="1"/>
  <c r="B243" i="37"/>
  <c r="B243" i="41" s="1"/>
  <c r="F243" i="37"/>
  <c r="F243" i="41" s="1"/>
  <c r="A244" i="37"/>
  <c r="D244" i="37"/>
  <c r="D244" i="41" s="1"/>
  <c r="B244" i="37"/>
  <c r="B244" i="41" s="1"/>
  <c r="F244" i="37"/>
  <c r="F244" i="41" s="1"/>
  <c r="A245" i="37"/>
  <c r="D245" i="37"/>
  <c r="D245" i="41" s="1"/>
  <c r="B245" i="37"/>
  <c r="B245" i="41" s="1"/>
  <c r="F245" i="37"/>
  <c r="F245" i="41" s="1"/>
  <c r="A246" i="37"/>
  <c r="D246" i="37"/>
  <c r="D246" i="41" s="1"/>
  <c r="B246" i="37"/>
  <c r="B246" i="41" s="1"/>
  <c r="F246" i="37"/>
  <c r="F246" i="41" s="1"/>
  <c r="A247" i="37"/>
  <c r="D247" i="37"/>
  <c r="D247" i="41" s="1"/>
  <c r="B247" i="37"/>
  <c r="B247" i="41" s="1"/>
  <c r="F247" i="37"/>
  <c r="F247" i="41" s="1"/>
  <c r="A248" i="37"/>
  <c r="D248" i="37"/>
  <c r="D248" i="41" s="1"/>
  <c r="B248" i="37"/>
  <c r="B248" i="41" s="1"/>
  <c r="F248" i="37"/>
  <c r="F248" i="41" s="1"/>
  <c r="A249" i="37"/>
  <c r="D249" i="37"/>
  <c r="D249" i="41" s="1"/>
  <c r="B249" i="37"/>
  <c r="B249" i="41" s="1"/>
  <c r="F249" i="37"/>
  <c r="F249" i="41" s="1"/>
  <c r="A250" i="37"/>
  <c r="D250" i="37"/>
  <c r="D250" i="41" s="1"/>
  <c r="B250" i="37"/>
  <c r="B250" i="41" s="1"/>
  <c r="F250" i="37"/>
  <c r="F250" i="41" s="1"/>
  <c r="A251" i="37"/>
  <c r="D251" i="37"/>
  <c r="D251" i="41" s="1"/>
  <c r="B251" i="37"/>
  <c r="B251" i="41" s="1"/>
  <c r="F251" i="37"/>
  <c r="F251" i="41" s="1"/>
  <c r="A252" i="37"/>
  <c r="D252" i="37"/>
  <c r="D252" i="41" s="1"/>
  <c r="B252" i="37"/>
  <c r="B252" i="41" s="1"/>
  <c r="F252" i="37"/>
  <c r="F252" i="41" s="1"/>
  <c r="A253" i="37"/>
  <c r="D253" i="37"/>
  <c r="D253" i="41" s="1"/>
  <c r="B253" i="37"/>
  <c r="B253" i="41" s="1"/>
  <c r="F253" i="37"/>
  <c r="F253" i="41" s="1"/>
  <c r="A254" i="37"/>
  <c r="D254" i="37"/>
  <c r="D254" i="41" s="1"/>
  <c r="B254" i="37"/>
  <c r="B254" i="41" s="1"/>
  <c r="F254" i="37"/>
  <c r="F254" i="41" s="1"/>
  <c r="A255" i="37"/>
  <c r="D255" i="37"/>
  <c r="D255" i="41" s="1"/>
  <c r="B255" i="37"/>
  <c r="B255" i="41" s="1"/>
  <c r="F255" i="37"/>
  <c r="F255" i="41" s="1"/>
  <c r="A256" i="37"/>
  <c r="D256" i="37"/>
  <c r="D256" i="41" s="1"/>
  <c r="B256" i="37"/>
  <c r="B256" i="41" s="1"/>
  <c r="F256" i="37"/>
  <c r="F256" i="41" s="1"/>
  <c r="A257" i="37"/>
  <c r="D257" i="37"/>
  <c r="D257" i="41" s="1"/>
  <c r="B257" i="37"/>
  <c r="B257" i="41" s="1"/>
  <c r="F257" i="37"/>
  <c r="F257" i="41" s="1"/>
  <c r="A258" i="37"/>
  <c r="D258" i="37"/>
  <c r="D258" i="41" s="1"/>
  <c r="B258" i="37"/>
  <c r="B258" i="41" s="1"/>
  <c r="F258" i="37"/>
  <c r="F258" i="41" s="1"/>
  <c r="A259" i="37"/>
  <c r="D259" i="37"/>
  <c r="D259" i="41" s="1"/>
  <c r="B259" i="37"/>
  <c r="B259" i="41" s="1"/>
  <c r="F259" i="37"/>
  <c r="F259" i="41" s="1"/>
  <c r="A260" i="37"/>
  <c r="D260" i="37"/>
  <c r="D260" i="41" s="1"/>
  <c r="B260" i="37"/>
  <c r="B260" i="41" s="1"/>
  <c r="F260" i="37"/>
  <c r="F260" i="41" s="1"/>
  <c r="A261" i="37"/>
  <c r="D261" i="37"/>
  <c r="D261" i="41" s="1"/>
  <c r="B261" i="37"/>
  <c r="B261" i="41" s="1"/>
  <c r="F261" i="37"/>
  <c r="F261" i="41" s="1"/>
  <c r="A262" i="37"/>
  <c r="D262" i="37"/>
  <c r="D262" i="41" s="1"/>
  <c r="B262" i="37"/>
  <c r="B262" i="41" s="1"/>
  <c r="F262" i="37"/>
  <c r="F262" i="41" s="1"/>
  <c r="A263" i="37"/>
  <c r="D263" i="37"/>
  <c r="D263" i="41" s="1"/>
  <c r="B263" i="37"/>
  <c r="B263" i="41" s="1"/>
  <c r="F263" i="37"/>
  <c r="F263" i="41" s="1"/>
  <c r="A264" i="37"/>
  <c r="D264" i="37"/>
  <c r="D264" i="41" s="1"/>
  <c r="B264" i="37"/>
  <c r="B264" i="41" s="1"/>
  <c r="F264" i="37"/>
  <c r="F264" i="41" s="1"/>
  <c r="A265" i="37"/>
  <c r="D265" i="37"/>
  <c r="D265" i="41" s="1"/>
  <c r="B265" i="37"/>
  <c r="B265" i="41" s="1"/>
  <c r="F265" i="37"/>
  <c r="F265" i="41" s="1"/>
  <c r="A266" i="37"/>
  <c r="D266" i="37"/>
  <c r="D266" i="41" s="1"/>
  <c r="B266" i="37"/>
  <c r="B266" i="41" s="1"/>
  <c r="F266" i="37"/>
  <c r="F266" i="41" s="1"/>
  <c r="A267" i="37"/>
  <c r="D267" i="37"/>
  <c r="D267" i="41" s="1"/>
  <c r="B267" i="37"/>
  <c r="B267" i="41" s="1"/>
  <c r="F267" i="37"/>
  <c r="F267" i="41" s="1"/>
  <c r="A268" i="37"/>
  <c r="D268" i="37"/>
  <c r="D268" i="41" s="1"/>
  <c r="B268" i="37"/>
  <c r="B268" i="41" s="1"/>
  <c r="F268" i="37"/>
  <c r="F268" i="41" s="1"/>
  <c r="A269" i="37"/>
  <c r="D269" i="37"/>
  <c r="D269" i="41" s="1"/>
  <c r="B269" i="37"/>
  <c r="B269" i="41" s="1"/>
  <c r="F269" i="37"/>
  <c r="F269" i="41" s="1"/>
  <c r="A270" i="37"/>
  <c r="D270" i="37"/>
  <c r="D270" i="41" s="1"/>
  <c r="B270" i="37"/>
  <c r="B270" i="41" s="1"/>
  <c r="F270" i="37"/>
  <c r="F270" i="41" s="1"/>
  <c r="A271" i="37"/>
  <c r="D271" i="37"/>
  <c r="D271" i="41" s="1"/>
  <c r="B271" i="37"/>
  <c r="B271" i="41" s="1"/>
  <c r="F271" i="37"/>
  <c r="F271" i="41" s="1"/>
  <c r="A272" i="37"/>
  <c r="D272" i="37"/>
  <c r="D272" i="41" s="1"/>
  <c r="B272" i="37"/>
  <c r="B272" i="41" s="1"/>
  <c r="F272" i="37"/>
  <c r="F272" i="41" s="1"/>
  <c r="A273" i="37"/>
  <c r="D273" i="37"/>
  <c r="D273" i="41" s="1"/>
  <c r="B273" i="37"/>
  <c r="B273" i="41" s="1"/>
  <c r="F273" i="37"/>
  <c r="F273" i="41" s="1"/>
  <c r="A274" i="37"/>
  <c r="D274" i="37"/>
  <c r="D274" i="41" s="1"/>
  <c r="B274" i="37"/>
  <c r="B274" i="41" s="1"/>
  <c r="F274" i="37"/>
  <c r="F274" i="41" s="1"/>
  <c r="A275" i="37"/>
  <c r="D275" i="37"/>
  <c r="D275" i="41" s="1"/>
  <c r="B275" i="37"/>
  <c r="B275" i="41" s="1"/>
  <c r="F275" i="37"/>
  <c r="F275" i="41" s="1"/>
  <c r="A276" i="37"/>
  <c r="D276" i="37"/>
  <c r="D276" i="41" s="1"/>
  <c r="B276" i="37"/>
  <c r="B276" i="41" s="1"/>
  <c r="F276" i="37"/>
  <c r="F276" i="41" s="1"/>
  <c r="A277" i="37"/>
  <c r="D277" i="37"/>
  <c r="D277" i="41" s="1"/>
  <c r="B277" i="37"/>
  <c r="B277" i="41" s="1"/>
  <c r="F277" i="37"/>
  <c r="F277" i="41" s="1"/>
  <c r="A278" i="37"/>
  <c r="D278" i="37"/>
  <c r="D278" i="41" s="1"/>
  <c r="B278" i="37"/>
  <c r="B278" i="41" s="1"/>
  <c r="F278" i="37"/>
  <c r="F278" i="41" s="1"/>
  <c r="A279" i="37"/>
  <c r="D279" i="37"/>
  <c r="D279" i="41" s="1"/>
  <c r="B279" i="37"/>
  <c r="B279" i="41" s="1"/>
  <c r="F279" i="37"/>
  <c r="F279" i="41" s="1"/>
  <c r="A280" i="37"/>
  <c r="D280" i="37"/>
  <c r="D280" i="41" s="1"/>
  <c r="B280" i="37"/>
  <c r="B280" i="41" s="1"/>
  <c r="F280" i="37"/>
  <c r="F280" i="41" s="1"/>
  <c r="A281" i="37"/>
  <c r="D281" i="37"/>
  <c r="D281" i="41" s="1"/>
  <c r="B281" i="37"/>
  <c r="B281" i="41" s="1"/>
  <c r="F281" i="37"/>
  <c r="F281" i="41" s="1"/>
  <c r="A282" i="37"/>
  <c r="D282" i="37"/>
  <c r="D282" i="41" s="1"/>
  <c r="B282" i="37"/>
  <c r="B282" i="41" s="1"/>
  <c r="F282" i="37"/>
  <c r="F282" i="41" s="1"/>
  <c r="A283" i="37"/>
  <c r="D283" i="37"/>
  <c r="D283" i="41" s="1"/>
  <c r="B283" i="37"/>
  <c r="B283" i="41" s="1"/>
  <c r="F283" i="37"/>
  <c r="F283" i="41" s="1"/>
  <c r="A284" i="37"/>
  <c r="D284" i="37"/>
  <c r="D284" i="41" s="1"/>
  <c r="B284" i="37"/>
  <c r="B284" i="41" s="1"/>
  <c r="F284" i="37"/>
  <c r="F284" i="41" s="1"/>
  <c r="A285" i="37"/>
  <c r="D285" i="37"/>
  <c r="D285" i="41" s="1"/>
  <c r="B285" i="37"/>
  <c r="B285" i="41" s="1"/>
  <c r="F285" i="37"/>
  <c r="F285" i="41" s="1"/>
  <c r="A286" i="37"/>
  <c r="D286" i="37"/>
  <c r="D286" i="41" s="1"/>
  <c r="B286" i="37"/>
  <c r="B286" i="41" s="1"/>
  <c r="F286" i="37"/>
  <c r="F286" i="41" s="1"/>
  <c r="A287" i="37"/>
  <c r="D287" i="37"/>
  <c r="D287" i="41" s="1"/>
  <c r="B287" i="37"/>
  <c r="B287" i="41" s="1"/>
  <c r="F287" i="37"/>
  <c r="F287" i="41" s="1"/>
  <c r="A288" i="37"/>
  <c r="D288" i="37"/>
  <c r="D288" i="41" s="1"/>
  <c r="B288" i="37"/>
  <c r="B288" i="41" s="1"/>
  <c r="F288" i="37"/>
  <c r="F288" i="41" s="1"/>
  <c r="A289" i="37"/>
  <c r="D289" i="37"/>
  <c r="D289" i="41" s="1"/>
  <c r="B289" i="37"/>
  <c r="B289" i="41" s="1"/>
  <c r="F289" i="37"/>
  <c r="F289" i="41" s="1"/>
  <c r="A290" i="37"/>
  <c r="D290" i="37"/>
  <c r="D290" i="41" s="1"/>
  <c r="B290" i="37"/>
  <c r="B290" i="41" s="1"/>
  <c r="F290" i="37"/>
  <c r="F290" i="41" s="1"/>
  <c r="A291" i="37"/>
  <c r="D291" i="37"/>
  <c r="D291" i="41" s="1"/>
  <c r="B291" i="37"/>
  <c r="B291" i="41" s="1"/>
  <c r="F291" i="37"/>
  <c r="F291" i="41" s="1"/>
  <c r="A292" i="37"/>
  <c r="D292" i="37"/>
  <c r="D292" i="41" s="1"/>
  <c r="B292" i="37"/>
  <c r="B292" i="41" s="1"/>
  <c r="F292" i="37"/>
  <c r="F292" i="41" s="1"/>
  <c r="A293" i="37"/>
  <c r="D293" i="37"/>
  <c r="D293" i="41" s="1"/>
  <c r="B293" i="37"/>
  <c r="B293" i="41" s="1"/>
  <c r="F293" i="37"/>
  <c r="F293" i="41" s="1"/>
  <c r="A294" i="37"/>
  <c r="D294" i="37"/>
  <c r="D294" i="41" s="1"/>
  <c r="B294" i="37"/>
  <c r="B294" i="41" s="1"/>
  <c r="F294" i="37"/>
  <c r="F294" i="41" s="1"/>
  <c r="A295" i="37"/>
  <c r="D295" i="37"/>
  <c r="D295" i="41" s="1"/>
  <c r="B295" i="37"/>
  <c r="B295" i="41" s="1"/>
  <c r="F295" i="37"/>
  <c r="F295" i="41" s="1"/>
  <c r="A296" i="37"/>
  <c r="D296" i="37"/>
  <c r="D296" i="41" s="1"/>
  <c r="B296" i="37"/>
  <c r="B296" i="41" s="1"/>
  <c r="F296" i="37"/>
  <c r="F296" i="41" s="1"/>
  <c r="A297" i="37"/>
  <c r="D297" i="37"/>
  <c r="D297" i="41" s="1"/>
  <c r="B297" i="37"/>
  <c r="B297" i="41" s="1"/>
  <c r="F297" i="37"/>
  <c r="F297" i="41" s="1"/>
  <c r="A298" i="37"/>
  <c r="D298" i="37"/>
  <c r="D298" i="41" s="1"/>
  <c r="B298" i="37"/>
  <c r="B298" i="41" s="1"/>
  <c r="F298" i="37"/>
  <c r="F298" i="41" s="1"/>
  <c r="A299" i="37"/>
  <c r="D299" i="37"/>
  <c r="D299" i="41" s="1"/>
  <c r="B299" i="37"/>
  <c r="B299" i="41" s="1"/>
  <c r="F299" i="37"/>
  <c r="F299" i="41" s="1"/>
  <c r="A300" i="37"/>
  <c r="D300" i="37"/>
  <c r="D300" i="41" s="1"/>
  <c r="B300" i="37"/>
  <c r="B300" i="41" s="1"/>
  <c r="F300" i="37"/>
  <c r="F300" i="41" s="1"/>
  <c r="A301" i="37"/>
  <c r="D301" i="37"/>
  <c r="D301" i="41" s="1"/>
  <c r="B301" i="37"/>
  <c r="B301" i="41" s="1"/>
  <c r="F301" i="37"/>
  <c r="F301" i="41" s="1"/>
  <c r="A302" i="37"/>
  <c r="D302" i="37"/>
  <c r="D302" i="41" s="1"/>
  <c r="B302" i="37"/>
  <c r="B302" i="41" s="1"/>
  <c r="F302" i="37"/>
  <c r="F302" i="41" s="1"/>
  <c r="A303" i="37"/>
  <c r="D303" i="37"/>
  <c r="D303" i="41" s="1"/>
  <c r="B303" i="37"/>
  <c r="B303" i="41" s="1"/>
  <c r="F303" i="37"/>
  <c r="F303" i="41" s="1"/>
  <c r="A304" i="37"/>
  <c r="D304" i="37"/>
  <c r="D304" i="41" s="1"/>
  <c r="B304" i="37"/>
  <c r="B304" i="41" s="1"/>
  <c r="F304" i="37"/>
  <c r="F304" i="41" s="1"/>
  <c r="A305" i="37"/>
  <c r="D305" i="37"/>
  <c r="D305" i="41" s="1"/>
  <c r="B305" i="37"/>
  <c r="B305" i="41" s="1"/>
  <c r="F305" i="37"/>
  <c r="F305" i="41" s="1"/>
  <c r="A306" i="37"/>
  <c r="D306" i="37"/>
  <c r="D306" i="41" s="1"/>
  <c r="B306" i="37"/>
  <c r="B306" i="41" s="1"/>
  <c r="F306" i="37"/>
  <c r="F306" i="41" s="1"/>
  <c r="A307" i="37"/>
  <c r="D307" i="37"/>
  <c r="D307" i="41" s="1"/>
  <c r="B307" i="37"/>
  <c r="B307" i="41" s="1"/>
  <c r="F307" i="37"/>
  <c r="F307" i="41" s="1"/>
  <c r="A308" i="37"/>
  <c r="D308" i="37"/>
  <c r="D308" i="41" s="1"/>
  <c r="B308" i="37"/>
  <c r="B308" i="41" s="1"/>
  <c r="F308" i="37"/>
  <c r="F308" i="41" s="1"/>
  <c r="A309" i="37"/>
  <c r="D309" i="37"/>
  <c r="D309" i="41" s="1"/>
  <c r="B309" i="37"/>
  <c r="B309" i="41" s="1"/>
  <c r="F309" i="37"/>
  <c r="F309" i="41" s="1"/>
  <c r="A310" i="37"/>
  <c r="D310" i="37"/>
  <c r="D310" i="41" s="1"/>
  <c r="B310" i="37"/>
  <c r="B310" i="41" s="1"/>
  <c r="F310" i="37"/>
  <c r="F310" i="41" s="1"/>
  <c r="A311" i="37"/>
  <c r="D311" i="37"/>
  <c r="D311" i="41" s="1"/>
  <c r="B311" i="37"/>
  <c r="B311" i="41" s="1"/>
  <c r="F311" i="37"/>
  <c r="F311" i="41" s="1"/>
  <c r="A312" i="37"/>
  <c r="D312" i="37"/>
  <c r="D312" i="41" s="1"/>
  <c r="B312" i="37"/>
  <c r="B312" i="41" s="1"/>
  <c r="F312" i="37"/>
  <c r="F312" i="41" s="1"/>
  <c r="A313" i="37"/>
  <c r="D313" i="37"/>
  <c r="D313" i="41" s="1"/>
  <c r="B313" i="37"/>
  <c r="B313" i="41" s="1"/>
  <c r="F313" i="37"/>
  <c r="F313" i="41" s="1"/>
  <c r="A314" i="37"/>
  <c r="D314" i="37"/>
  <c r="D314" i="41" s="1"/>
  <c r="B314" i="37"/>
  <c r="B314" i="41" s="1"/>
  <c r="F314" i="37"/>
  <c r="F314" i="41" s="1"/>
  <c r="A315" i="37"/>
  <c r="D315" i="37"/>
  <c r="D315" i="41" s="1"/>
  <c r="B315" i="37"/>
  <c r="B315" i="41" s="1"/>
  <c r="F315" i="37"/>
  <c r="F315" i="41" s="1"/>
  <c r="A316" i="37"/>
  <c r="D316" i="37"/>
  <c r="D316" i="41" s="1"/>
  <c r="B316" i="37"/>
  <c r="B316" i="41" s="1"/>
  <c r="F316" i="37"/>
  <c r="F316" i="41" s="1"/>
  <c r="A317" i="37"/>
  <c r="D317" i="37"/>
  <c r="D317" i="41" s="1"/>
  <c r="B317" i="37"/>
  <c r="B317" i="41" s="1"/>
  <c r="F317" i="37"/>
  <c r="F317" i="41" s="1"/>
  <c r="A318" i="37"/>
  <c r="D318" i="37"/>
  <c r="D318" i="41" s="1"/>
  <c r="B318" i="37"/>
  <c r="B318" i="41" s="1"/>
  <c r="F318" i="37"/>
  <c r="F318" i="41" s="1"/>
  <c r="A319" i="37"/>
  <c r="D319" i="37"/>
  <c r="D319" i="41" s="1"/>
  <c r="B319" i="37"/>
  <c r="B319" i="41" s="1"/>
  <c r="F319" i="37"/>
  <c r="F319" i="41" s="1"/>
  <c r="A320" i="37"/>
  <c r="D320" i="37"/>
  <c r="D320" i="41" s="1"/>
  <c r="B320" i="37"/>
  <c r="B320" i="41" s="1"/>
  <c r="F320" i="37"/>
  <c r="F320" i="41" s="1"/>
  <c r="A321" i="37"/>
  <c r="D321" i="37"/>
  <c r="D321" i="41" s="1"/>
  <c r="B321" i="37"/>
  <c r="B321" i="41" s="1"/>
  <c r="F321" i="37"/>
  <c r="F321" i="41" s="1"/>
  <c r="A322" i="37"/>
  <c r="D322" i="37"/>
  <c r="D322" i="41" s="1"/>
  <c r="B322" i="37"/>
  <c r="B322" i="41" s="1"/>
  <c r="F322" i="37"/>
  <c r="F322" i="41" s="1"/>
  <c r="A323" i="37"/>
  <c r="D323" i="37"/>
  <c r="D323" i="41" s="1"/>
  <c r="B323" i="37"/>
  <c r="B323" i="41" s="1"/>
  <c r="F323" i="37"/>
  <c r="F323" i="41" s="1"/>
  <c r="A324" i="37"/>
  <c r="D324" i="37"/>
  <c r="D324" i="41" s="1"/>
  <c r="B324" i="37"/>
  <c r="B324" i="41" s="1"/>
  <c r="F324" i="37"/>
  <c r="F324" i="41" s="1"/>
  <c r="A325" i="37"/>
  <c r="D325" i="37"/>
  <c r="D325" i="41" s="1"/>
  <c r="B325" i="37"/>
  <c r="B325" i="41" s="1"/>
  <c r="F325" i="37"/>
  <c r="F325" i="41" s="1"/>
  <c r="A326" i="37"/>
  <c r="D326" i="37"/>
  <c r="D326" i="41" s="1"/>
  <c r="B326" i="37"/>
  <c r="B326" i="41" s="1"/>
  <c r="F326" i="37"/>
  <c r="F326" i="41" s="1"/>
  <c r="A327" i="37"/>
  <c r="D327" i="37"/>
  <c r="D327" i="41" s="1"/>
  <c r="B327" i="37"/>
  <c r="B327" i="41" s="1"/>
  <c r="F327" i="37"/>
  <c r="F327" i="41" s="1"/>
  <c r="A328" i="37"/>
  <c r="D328" i="37"/>
  <c r="D328" i="41" s="1"/>
  <c r="B328" i="37"/>
  <c r="B328" i="41" s="1"/>
  <c r="F328" i="37"/>
  <c r="F328" i="41" s="1"/>
  <c r="A329" i="37"/>
  <c r="D329" i="37"/>
  <c r="D329" i="41" s="1"/>
  <c r="B329" i="37"/>
  <c r="B329" i="41" s="1"/>
  <c r="F329" i="37"/>
  <c r="F329" i="41" s="1"/>
  <c r="A330" i="37"/>
  <c r="D330" i="37"/>
  <c r="D330" i="41" s="1"/>
  <c r="B330" i="37"/>
  <c r="B330" i="41" s="1"/>
  <c r="F330" i="37"/>
  <c r="F330" i="41" s="1"/>
  <c r="A331" i="37"/>
  <c r="D331" i="37"/>
  <c r="D331" i="41" s="1"/>
  <c r="B331" i="37"/>
  <c r="B331" i="41" s="1"/>
  <c r="F331" i="37"/>
  <c r="F331" i="41" s="1"/>
  <c r="A332" i="37"/>
  <c r="D332" i="37"/>
  <c r="D332" i="41" s="1"/>
  <c r="B332" i="37"/>
  <c r="B332" i="41" s="1"/>
  <c r="F332" i="37"/>
  <c r="F332" i="41" s="1"/>
  <c r="A333" i="37"/>
  <c r="D333" i="37"/>
  <c r="D333" i="41" s="1"/>
  <c r="B333" i="37"/>
  <c r="B333" i="41" s="1"/>
  <c r="F333" i="37"/>
  <c r="F333" i="41" s="1"/>
  <c r="A334" i="37"/>
  <c r="D334" i="37"/>
  <c r="D334" i="41" s="1"/>
  <c r="B334" i="37"/>
  <c r="B334" i="41" s="1"/>
  <c r="F334" i="37"/>
  <c r="F334" i="41" s="1"/>
  <c r="A335" i="37"/>
  <c r="D335" i="37"/>
  <c r="D335" i="41" s="1"/>
  <c r="B335" i="37"/>
  <c r="B335" i="41" s="1"/>
  <c r="F335" i="37"/>
  <c r="F335" i="41" s="1"/>
  <c r="A336" i="37"/>
  <c r="D336" i="37"/>
  <c r="D336" i="41" s="1"/>
  <c r="B336" i="37"/>
  <c r="B336" i="41" s="1"/>
  <c r="F336" i="37"/>
  <c r="F336" i="41" s="1"/>
  <c r="A337" i="37"/>
  <c r="D337" i="37"/>
  <c r="D337" i="41" s="1"/>
  <c r="B337" i="37"/>
  <c r="B337" i="41" s="1"/>
  <c r="F337" i="37"/>
  <c r="F337" i="41" s="1"/>
  <c r="A338" i="37"/>
  <c r="D338" i="37"/>
  <c r="D338" i="41" s="1"/>
  <c r="B338" i="37"/>
  <c r="B338" i="41" s="1"/>
  <c r="F338" i="37"/>
  <c r="F338" i="41" s="1"/>
  <c r="A339" i="37"/>
  <c r="D339" i="37"/>
  <c r="D339" i="41" s="1"/>
  <c r="B339" i="37"/>
  <c r="B339" i="41" s="1"/>
  <c r="F339" i="37"/>
  <c r="F339" i="41" s="1"/>
  <c r="A340" i="37"/>
  <c r="D340" i="37"/>
  <c r="D340" i="41" s="1"/>
  <c r="B340" i="37"/>
  <c r="B340" i="41" s="1"/>
  <c r="F340" i="37"/>
  <c r="F340" i="41" s="1"/>
  <c r="A341" i="37"/>
  <c r="D341" i="37"/>
  <c r="D341" i="41" s="1"/>
  <c r="B341" i="37"/>
  <c r="B341" i="41" s="1"/>
  <c r="F341" i="37"/>
  <c r="F341" i="41" s="1"/>
  <c r="A342" i="37"/>
  <c r="D342" i="37"/>
  <c r="D342" i="41" s="1"/>
  <c r="B342" i="37"/>
  <c r="B342" i="41" s="1"/>
  <c r="F342" i="37"/>
  <c r="F342" i="41" s="1"/>
  <c r="A343" i="37"/>
  <c r="D343" i="37"/>
  <c r="D343" i="41" s="1"/>
  <c r="B343" i="37"/>
  <c r="B343" i="41" s="1"/>
  <c r="F343" i="37"/>
  <c r="F343" i="41" s="1"/>
  <c r="A344" i="37"/>
  <c r="D344" i="37"/>
  <c r="D344" i="41" s="1"/>
  <c r="B344" i="37"/>
  <c r="B344" i="41" s="1"/>
  <c r="F344" i="37"/>
  <c r="F344" i="41" s="1"/>
  <c r="A345" i="37"/>
  <c r="D345" i="37"/>
  <c r="D345" i="41" s="1"/>
  <c r="B345" i="37"/>
  <c r="B345" i="41" s="1"/>
  <c r="F345" i="37"/>
  <c r="F345" i="41" s="1"/>
  <c r="A346" i="37"/>
  <c r="D346" i="37"/>
  <c r="D346" i="41" s="1"/>
  <c r="B346" i="37"/>
  <c r="B346" i="41" s="1"/>
  <c r="F346" i="37"/>
  <c r="F346" i="41" s="1"/>
  <c r="A347" i="37"/>
  <c r="D347" i="37"/>
  <c r="D347" i="41" s="1"/>
  <c r="B347" i="37"/>
  <c r="B347" i="41" s="1"/>
  <c r="F347" i="37"/>
  <c r="F347" i="41" s="1"/>
  <c r="A348" i="37"/>
  <c r="D348" i="37"/>
  <c r="D348" i="41" s="1"/>
  <c r="B348" i="37"/>
  <c r="B348" i="41" s="1"/>
  <c r="F348" i="37"/>
  <c r="F348" i="41" s="1"/>
  <c r="A349" i="37"/>
  <c r="D349" i="37"/>
  <c r="D349" i="41" s="1"/>
  <c r="B349" i="37"/>
  <c r="B349" i="41" s="1"/>
  <c r="F349" i="37"/>
  <c r="F349" i="41" s="1"/>
  <c r="A350" i="37"/>
  <c r="D350" i="37"/>
  <c r="D350" i="41" s="1"/>
  <c r="B350" i="37"/>
  <c r="B350" i="41" s="1"/>
  <c r="F350" i="37"/>
  <c r="F350" i="41" s="1"/>
  <c r="A351" i="37"/>
  <c r="D351" i="37"/>
  <c r="D351" i="41" s="1"/>
  <c r="B351" i="37"/>
  <c r="B351" i="41" s="1"/>
  <c r="F351" i="37"/>
  <c r="F351" i="41" s="1"/>
  <c r="A352" i="37"/>
  <c r="D352" i="37"/>
  <c r="D352" i="41" s="1"/>
  <c r="B352" i="37"/>
  <c r="B352" i="41" s="1"/>
  <c r="F352" i="37"/>
  <c r="F352" i="41" s="1"/>
  <c r="A353" i="37"/>
  <c r="D353" i="37"/>
  <c r="D353" i="41" s="1"/>
  <c r="B353" i="37"/>
  <c r="B353" i="41" s="1"/>
  <c r="F353" i="37"/>
  <c r="F353" i="41" s="1"/>
  <c r="A354" i="37"/>
  <c r="D354" i="37"/>
  <c r="D354" i="41" s="1"/>
  <c r="B354" i="37"/>
  <c r="B354" i="41" s="1"/>
  <c r="F354" i="37"/>
  <c r="F354" i="41" s="1"/>
  <c r="A355" i="37"/>
  <c r="D355" i="37"/>
  <c r="D355" i="41" s="1"/>
  <c r="B355" i="37"/>
  <c r="B355" i="41" s="1"/>
  <c r="F355" i="37"/>
  <c r="F355" i="41" s="1"/>
  <c r="A356" i="37"/>
  <c r="D356" i="37"/>
  <c r="D356" i="41" s="1"/>
  <c r="B356" i="37"/>
  <c r="B356" i="41" s="1"/>
  <c r="F356" i="37"/>
  <c r="F356" i="41" s="1"/>
  <c r="A357" i="37"/>
  <c r="D357" i="37"/>
  <c r="D357" i="41" s="1"/>
  <c r="B357" i="37"/>
  <c r="B357" i="41" s="1"/>
  <c r="F357" i="37"/>
  <c r="F357" i="41" s="1"/>
  <c r="A358" i="37"/>
  <c r="D358" i="37"/>
  <c r="D358" i="41" s="1"/>
  <c r="B358" i="37"/>
  <c r="B358" i="41" s="1"/>
  <c r="F358" i="37"/>
  <c r="F358" i="41" s="1"/>
  <c r="A359" i="37"/>
  <c r="D359" i="37"/>
  <c r="D359" i="41" s="1"/>
  <c r="B359" i="37"/>
  <c r="B359" i="41" s="1"/>
  <c r="F359" i="37"/>
  <c r="F359" i="41" s="1"/>
  <c r="A360" i="37"/>
  <c r="D360" i="37"/>
  <c r="D360" i="41" s="1"/>
  <c r="B360" i="37"/>
  <c r="B360" i="41" s="1"/>
  <c r="F360" i="37"/>
  <c r="F360" i="41" s="1"/>
  <c r="A361" i="37"/>
  <c r="D361" i="37"/>
  <c r="D361" i="41" s="1"/>
  <c r="B361" i="37"/>
  <c r="B361" i="41" s="1"/>
  <c r="F361" i="37"/>
  <c r="F361" i="41" s="1"/>
  <c r="A362" i="37"/>
  <c r="D362" i="37"/>
  <c r="D362" i="41" s="1"/>
  <c r="B362" i="37"/>
  <c r="B362" i="41" s="1"/>
  <c r="F362" i="37"/>
  <c r="F362" i="41" s="1"/>
  <c r="A363" i="37"/>
  <c r="D363" i="37"/>
  <c r="D363" i="41" s="1"/>
  <c r="B363" i="37"/>
  <c r="B363" i="41" s="1"/>
  <c r="F363" i="37"/>
  <c r="F363" i="41" s="1"/>
  <c r="A364" i="37"/>
  <c r="D364" i="37"/>
  <c r="D364" i="41" s="1"/>
  <c r="B364" i="37"/>
  <c r="B364" i="41" s="1"/>
  <c r="F364" i="37"/>
  <c r="F364" i="41" s="1"/>
  <c r="A365" i="37"/>
  <c r="D365" i="37"/>
  <c r="D365" i="41" s="1"/>
  <c r="B365" i="37"/>
  <c r="B365" i="41" s="1"/>
  <c r="F365" i="37"/>
  <c r="F365" i="41" s="1"/>
  <c r="A366" i="37"/>
  <c r="D366" i="37"/>
  <c r="D366" i="41" s="1"/>
  <c r="B366" i="37"/>
  <c r="B366" i="41" s="1"/>
  <c r="F366" i="37"/>
  <c r="F366" i="41" s="1"/>
  <c r="A367" i="37"/>
  <c r="D367" i="37"/>
  <c r="D367" i="41" s="1"/>
  <c r="B367" i="37"/>
  <c r="B367" i="41" s="1"/>
  <c r="F367" i="37"/>
  <c r="F367" i="41" s="1"/>
  <c r="A368" i="37"/>
  <c r="D368" i="37"/>
  <c r="D368" i="41" s="1"/>
  <c r="B368" i="37"/>
  <c r="B368" i="41" s="1"/>
  <c r="F368" i="37"/>
  <c r="F368" i="41" s="1"/>
  <c r="A369" i="37"/>
  <c r="D369" i="37"/>
  <c r="D369" i="41" s="1"/>
  <c r="B369" i="37"/>
  <c r="B369" i="41" s="1"/>
  <c r="F369" i="37"/>
  <c r="F369" i="41" s="1"/>
  <c r="A370" i="37"/>
  <c r="D370" i="37"/>
  <c r="D370" i="41" s="1"/>
  <c r="B370" i="37"/>
  <c r="B370" i="41" s="1"/>
  <c r="F370" i="37"/>
  <c r="F370" i="41" s="1"/>
  <c r="A371" i="37"/>
  <c r="D371" i="37"/>
  <c r="D371" i="41" s="1"/>
  <c r="B371" i="37"/>
  <c r="B371" i="41" s="1"/>
  <c r="F371" i="37"/>
  <c r="F371" i="41" s="1"/>
  <c r="A372" i="37"/>
  <c r="D372" i="37"/>
  <c r="D372" i="41" s="1"/>
  <c r="B372" i="37"/>
  <c r="B372" i="41" s="1"/>
  <c r="F372" i="37"/>
  <c r="F372" i="41" s="1"/>
  <c r="A373" i="37"/>
  <c r="D373" i="37"/>
  <c r="D373" i="41" s="1"/>
  <c r="B373" i="37"/>
  <c r="B373" i="41" s="1"/>
  <c r="F373" i="37"/>
  <c r="F373" i="41" s="1"/>
  <c r="A374" i="37"/>
  <c r="D374" i="37"/>
  <c r="D374" i="41" s="1"/>
  <c r="B374" i="37"/>
  <c r="B374" i="41" s="1"/>
  <c r="F374" i="37"/>
  <c r="F374" i="41" s="1"/>
  <c r="A375" i="37"/>
  <c r="D375" i="37"/>
  <c r="D375" i="41" s="1"/>
  <c r="B375" i="37"/>
  <c r="B375" i="41" s="1"/>
  <c r="F375" i="37"/>
  <c r="F375" i="41" s="1"/>
  <c r="A376" i="37"/>
  <c r="D376" i="37"/>
  <c r="D376" i="41" s="1"/>
  <c r="B376" i="37"/>
  <c r="B376" i="41" s="1"/>
  <c r="F376" i="37"/>
  <c r="F376" i="41" s="1"/>
  <c r="A377" i="37"/>
  <c r="D377" i="37"/>
  <c r="D377" i="41" s="1"/>
  <c r="B377" i="37"/>
  <c r="B377" i="41" s="1"/>
  <c r="F377" i="37"/>
  <c r="F377" i="41" s="1"/>
  <c r="A378" i="37"/>
  <c r="D378" i="37"/>
  <c r="D378" i="41" s="1"/>
  <c r="B378" i="37"/>
  <c r="B378" i="41" s="1"/>
  <c r="F378" i="37"/>
  <c r="F378" i="41" s="1"/>
  <c r="A379" i="37"/>
  <c r="D379" i="37"/>
  <c r="D379" i="41" s="1"/>
  <c r="B379" i="37"/>
  <c r="B379" i="41" s="1"/>
  <c r="F379" i="37"/>
  <c r="F379" i="41" s="1"/>
  <c r="A380" i="37"/>
  <c r="D380" i="37"/>
  <c r="D380" i="41" s="1"/>
  <c r="B380" i="37"/>
  <c r="B380" i="41" s="1"/>
  <c r="F380" i="37"/>
  <c r="F380" i="41" s="1"/>
  <c r="A381" i="37"/>
  <c r="D381" i="37"/>
  <c r="D381" i="41" s="1"/>
  <c r="B381" i="37"/>
  <c r="B381" i="41" s="1"/>
  <c r="F381" i="37"/>
  <c r="F381" i="41" s="1"/>
  <c r="A382" i="37"/>
  <c r="D382" i="37"/>
  <c r="D382" i="41" s="1"/>
  <c r="B382" i="37"/>
  <c r="B382" i="41" s="1"/>
  <c r="F382" i="37"/>
  <c r="F382" i="41" s="1"/>
  <c r="A383" i="37"/>
  <c r="D383" i="37"/>
  <c r="D383" i="41" s="1"/>
  <c r="B383" i="37"/>
  <c r="B383" i="41" s="1"/>
  <c r="F383" i="37"/>
  <c r="F383" i="41" s="1"/>
  <c r="A384" i="37"/>
  <c r="D384" i="37"/>
  <c r="D384" i="41" s="1"/>
  <c r="B384" i="37"/>
  <c r="B384" i="41" s="1"/>
  <c r="F384" i="37"/>
  <c r="F384" i="41" s="1"/>
  <c r="A385" i="37"/>
  <c r="D385" i="37"/>
  <c r="D385" i="41" s="1"/>
  <c r="B385" i="37"/>
  <c r="B385" i="41" s="1"/>
  <c r="F385" i="37"/>
  <c r="F385" i="41" s="1"/>
  <c r="A386" i="37"/>
  <c r="D386" i="37"/>
  <c r="D386" i="41" s="1"/>
  <c r="B386" i="37"/>
  <c r="B386" i="41" s="1"/>
  <c r="F386" i="37"/>
  <c r="F386" i="41" s="1"/>
  <c r="A387" i="37"/>
  <c r="D387" i="37"/>
  <c r="D387" i="41" s="1"/>
  <c r="B387" i="37"/>
  <c r="B387" i="41" s="1"/>
  <c r="F387" i="37"/>
  <c r="F387" i="41" s="1"/>
  <c r="A388" i="37"/>
  <c r="D388" i="37"/>
  <c r="D388" i="41" s="1"/>
  <c r="B388" i="37"/>
  <c r="B388" i="41" s="1"/>
  <c r="F388" i="37"/>
  <c r="F388" i="41" s="1"/>
  <c r="A389" i="37"/>
  <c r="D389" i="37"/>
  <c r="D389" i="41" s="1"/>
  <c r="B389" i="37"/>
  <c r="B389" i="41" s="1"/>
  <c r="F389" i="37"/>
  <c r="F389" i="41" s="1"/>
  <c r="A390" i="37"/>
  <c r="D390" i="37"/>
  <c r="D390" i="41" s="1"/>
  <c r="B390" i="37"/>
  <c r="B390" i="41" s="1"/>
  <c r="F390" i="37"/>
  <c r="F390" i="41" s="1"/>
  <c r="A391" i="37"/>
  <c r="D391" i="37"/>
  <c r="D391" i="41" s="1"/>
  <c r="B391" i="37"/>
  <c r="B391" i="41" s="1"/>
  <c r="F391" i="37"/>
  <c r="F391" i="41" s="1"/>
  <c r="A392" i="37"/>
  <c r="D392" i="37"/>
  <c r="D392" i="41" s="1"/>
  <c r="B392" i="37"/>
  <c r="B392" i="41" s="1"/>
  <c r="F392" i="37"/>
  <c r="F392" i="41" s="1"/>
  <c r="A393" i="37"/>
  <c r="D393" i="37"/>
  <c r="D393" i="41" s="1"/>
  <c r="B393" i="37"/>
  <c r="B393" i="41" s="1"/>
  <c r="F393" i="37"/>
  <c r="F393" i="41" s="1"/>
  <c r="A394" i="37"/>
  <c r="D394" i="37"/>
  <c r="D394" i="41" s="1"/>
  <c r="B394" i="37"/>
  <c r="B394" i="41" s="1"/>
  <c r="F394" i="37"/>
  <c r="F394" i="41" s="1"/>
  <c r="A395" i="37"/>
  <c r="D395" i="37"/>
  <c r="D395" i="41" s="1"/>
  <c r="B395" i="37"/>
  <c r="B395" i="41" s="1"/>
  <c r="F395" i="37"/>
  <c r="F395" i="41" s="1"/>
  <c r="A396" i="37"/>
  <c r="D396" i="37"/>
  <c r="D396" i="41" s="1"/>
  <c r="B396" i="37"/>
  <c r="B396" i="41" s="1"/>
  <c r="F396" i="37"/>
  <c r="F396" i="41" s="1"/>
  <c r="A397" i="37"/>
  <c r="D397" i="37"/>
  <c r="D397" i="41" s="1"/>
  <c r="B397" i="37"/>
  <c r="B397" i="41" s="1"/>
  <c r="F397" i="37"/>
  <c r="F397" i="41" s="1"/>
  <c r="A398" i="37"/>
  <c r="D398" i="37"/>
  <c r="D398" i="41" s="1"/>
  <c r="B398" i="37"/>
  <c r="B398" i="41" s="1"/>
  <c r="F398" i="37"/>
  <c r="F398" i="41" s="1"/>
  <c r="A399" i="37"/>
  <c r="D399" i="37"/>
  <c r="D399" i="41" s="1"/>
  <c r="B399" i="37"/>
  <c r="B399" i="41" s="1"/>
  <c r="F399" i="37"/>
  <c r="F399" i="41" s="1"/>
  <c r="A400" i="37"/>
  <c r="D400" i="37"/>
  <c r="D400" i="41" s="1"/>
  <c r="B400" i="37"/>
  <c r="B400" i="41" s="1"/>
  <c r="F400" i="37"/>
  <c r="F400" i="41" s="1"/>
  <c r="A401" i="37"/>
  <c r="D401" i="37"/>
  <c r="D401" i="41" s="1"/>
  <c r="B401" i="37"/>
  <c r="B401" i="41" s="1"/>
  <c r="F401" i="37"/>
  <c r="F401" i="41" s="1"/>
  <c r="A402" i="37"/>
  <c r="D402" i="37"/>
  <c r="D402" i="41" s="1"/>
  <c r="B402" i="37"/>
  <c r="B402" i="41" s="1"/>
  <c r="F402" i="37"/>
  <c r="F402" i="41" s="1"/>
  <c r="A403" i="37"/>
  <c r="D403" i="37"/>
  <c r="D403" i="41" s="1"/>
  <c r="B403" i="37"/>
  <c r="B403" i="41" s="1"/>
  <c r="F403" i="37"/>
  <c r="F403" i="41" s="1"/>
  <c r="A404" i="37"/>
  <c r="D404" i="37"/>
  <c r="D404" i="41" s="1"/>
  <c r="B404" i="37"/>
  <c r="B404" i="41" s="1"/>
  <c r="F404" i="37"/>
  <c r="F404" i="41" s="1"/>
  <c r="A405" i="37"/>
  <c r="D405" i="37"/>
  <c r="D405" i="41" s="1"/>
  <c r="B405" i="37"/>
  <c r="B405" i="41" s="1"/>
  <c r="F405" i="37"/>
  <c r="F405" i="41" s="1"/>
  <c r="A406" i="37"/>
  <c r="D406" i="37"/>
  <c r="D406" i="41" s="1"/>
  <c r="B406" i="37"/>
  <c r="B406" i="41" s="1"/>
  <c r="F406" i="37"/>
  <c r="F406" i="41" s="1"/>
  <c r="A407" i="37"/>
  <c r="D407" i="37"/>
  <c r="D407" i="41" s="1"/>
  <c r="B407" i="37"/>
  <c r="B407" i="41" s="1"/>
  <c r="F407" i="37"/>
  <c r="F407" i="41" s="1"/>
  <c r="A408" i="37"/>
  <c r="D408" i="37"/>
  <c r="D408" i="41" s="1"/>
  <c r="B408" i="37"/>
  <c r="B408" i="41" s="1"/>
  <c r="F408" i="37"/>
  <c r="F408" i="41" s="1"/>
  <c r="A409" i="37"/>
  <c r="D409" i="37"/>
  <c r="D409" i="41" s="1"/>
  <c r="B409" i="37"/>
  <c r="B409" i="41" s="1"/>
  <c r="F409" i="37"/>
  <c r="F409" i="41" s="1"/>
  <c r="A410" i="37"/>
  <c r="D410" i="37"/>
  <c r="D410" i="41" s="1"/>
  <c r="B410" i="37"/>
  <c r="B410" i="41" s="1"/>
  <c r="F410" i="37"/>
  <c r="F410" i="41" s="1"/>
  <c r="A411" i="37"/>
  <c r="D411" i="37"/>
  <c r="D411" i="41" s="1"/>
  <c r="B411" i="37"/>
  <c r="B411" i="41" s="1"/>
  <c r="F411" i="37"/>
  <c r="F411" i="41" s="1"/>
  <c r="A412" i="37"/>
  <c r="D412" i="37"/>
  <c r="D412" i="41" s="1"/>
  <c r="B412" i="37"/>
  <c r="B412" i="41" s="1"/>
  <c r="F412" i="37"/>
  <c r="F412" i="41" s="1"/>
  <c r="A413" i="37"/>
  <c r="D413" i="37"/>
  <c r="D413" i="41" s="1"/>
  <c r="B413" i="37"/>
  <c r="B413" i="41" s="1"/>
  <c r="F413" i="37"/>
  <c r="F413" i="41" s="1"/>
  <c r="A414" i="37"/>
  <c r="D414" i="37"/>
  <c r="D414" i="41" s="1"/>
  <c r="B414" i="37"/>
  <c r="B414" i="41" s="1"/>
  <c r="F414" i="37"/>
  <c r="F414" i="41" s="1"/>
  <c r="A415" i="37"/>
  <c r="D415" i="37"/>
  <c r="D415" i="41" s="1"/>
  <c r="B415" i="37"/>
  <c r="B415" i="41" s="1"/>
  <c r="F415" i="37"/>
  <c r="F415" i="41" s="1"/>
  <c r="A416" i="37"/>
  <c r="D416" i="37"/>
  <c r="D416" i="41" s="1"/>
  <c r="B416" i="37"/>
  <c r="B416" i="41" s="1"/>
  <c r="F416" i="37"/>
  <c r="F416" i="41" s="1"/>
  <c r="A417" i="37"/>
  <c r="D417" i="37"/>
  <c r="D417" i="41" s="1"/>
  <c r="B417" i="37"/>
  <c r="B417" i="41" s="1"/>
  <c r="F417" i="37"/>
  <c r="F417" i="41" s="1"/>
  <c r="A418" i="37"/>
  <c r="D418" i="37"/>
  <c r="D418" i="41" s="1"/>
  <c r="B418" i="37"/>
  <c r="B418" i="41" s="1"/>
  <c r="F418" i="37"/>
  <c r="F418" i="41" s="1"/>
  <c r="A419" i="37"/>
  <c r="D419" i="37"/>
  <c r="D419" i="41" s="1"/>
  <c r="B419" i="37"/>
  <c r="B419" i="41" s="1"/>
  <c r="F419" i="37"/>
  <c r="F419" i="41" s="1"/>
  <c r="A420" i="37"/>
  <c r="D420" i="37"/>
  <c r="D420" i="41" s="1"/>
  <c r="B420" i="37"/>
  <c r="B420" i="41" s="1"/>
  <c r="F420" i="37"/>
  <c r="F420" i="41" s="1"/>
  <c r="A421" i="37"/>
  <c r="D421" i="37"/>
  <c r="D421" i="41" s="1"/>
  <c r="B421" i="37"/>
  <c r="B421" i="41" s="1"/>
  <c r="F421" i="37"/>
  <c r="F421" i="41" s="1"/>
  <c r="A422" i="37"/>
  <c r="D422" i="37"/>
  <c r="D422" i="41" s="1"/>
  <c r="B422" i="37"/>
  <c r="B422" i="41" s="1"/>
  <c r="F422" i="37"/>
  <c r="F422" i="41" s="1"/>
  <c r="A423" i="37"/>
  <c r="D423" i="37"/>
  <c r="D423" i="41" s="1"/>
  <c r="F1" i="37"/>
  <c r="F2" i="37"/>
  <c r="F2" i="41" s="1"/>
  <c r="F424" i="37"/>
  <c r="F424" i="41" s="1"/>
  <c r="F426" i="37"/>
  <c r="F426" i="41" s="1"/>
  <c r="F427" i="37"/>
  <c r="F427" i="41" s="1"/>
  <c r="F429" i="37"/>
  <c r="F429" i="41" s="1"/>
  <c r="F430" i="37"/>
  <c r="F430" i="41" s="1"/>
  <c r="F431" i="37"/>
  <c r="F431" i="41" s="1"/>
  <c r="F432" i="37"/>
  <c r="F432" i="41" s="1"/>
  <c r="F433" i="37"/>
  <c r="F433" i="41" s="1"/>
  <c r="F434" i="37"/>
  <c r="F434" i="41" s="1"/>
  <c r="F435" i="37"/>
  <c r="F435" i="41" s="1"/>
  <c r="F436" i="37"/>
  <c r="F436" i="41" s="1"/>
  <c r="F437" i="37"/>
  <c r="F437" i="41" s="1"/>
  <c r="F438" i="37"/>
  <c r="F438" i="41" s="1"/>
  <c r="F439" i="37"/>
  <c r="F439" i="41" s="1"/>
  <c r="F440" i="37"/>
  <c r="F440" i="41" s="1"/>
  <c r="F441" i="37"/>
  <c r="F441" i="41" s="1"/>
  <c r="F442" i="37"/>
  <c r="F442" i="41" s="1"/>
  <c r="F443" i="37"/>
  <c r="F443" i="41" s="1"/>
  <c r="F444" i="37"/>
  <c r="F444" i="41" s="1"/>
  <c r="F445" i="37"/>
  <c r="F445" i="41" s="1"/>
  <c r="F446" i="37"/>
  <c r="F446" i="41" s="1"/>
  <c r="F447" i="37"/>
  <c r="F447" i="41" s="1"/>
  <c r="F448" i="37"/>
  <c r="F448" i="41" s="1"/>
  <c r="F449" i="37"/>
  <c r="F449" i="41" s="1"/>
  <c r="F450" i="37"/>
  <c r="F450" i="41" s="1"/>
  <c r="F451" i="37"/>
  <c r="F451" i="41" s="1"/>
  <c r="F452" i="37"/>
  <c r="F452" i="41" s="1"/>
  <c r="F453" i="37"/>
  <c r="F453" i="41" s="1"/>
  <c r="F454" i="37"/>
  <c r="F454" i="41" s="1"/>
  <c r="F455" i="37"/>
  <c r="F455" i="41" s="1"/>
  <c r="F456" i="37"/>
  <c r="F456" i="41" s="1"/>
  <c r="F457" i="37"/>
  <c r="F457" i="41" s="1"/>
  <c r="F458" i="37"/>
  <c r="F458" i="41" s="1"/>
  <c r="F462" i="37"/>
  <c r="F462" i="41" s="1"/>
  <c r="F463" i="37"/>
  <c r="F463" i="41" s="1"/>
  <c r="F464" i="37"/>
  <c r="F464" i="41" s="1"/>
  <c r="F465" i="37"/>
  <c r="F465" i="41" s="1"/>
  <c r="F466" i="37"/>
  <c r="F466" i="41" s="1"/>
  <c r="F467" i="37"/>
  <c r="F467" i="41" s="1"/>
  <c r="F468" i="37"/>
  <c r="F468" i="41" s="1"/>
  <c r="F469" i="37"/>
  <c r="F469" i="41" s="1"/>
  <c r="F470" i="37"/>
  <c r="F470" i="41" s="1"/>
  <c r="F471" i="37"/>
  <c r="F471" i="41" s="1"/>
  <c r="F472" i="37"/>
  <c r="F472" i="41" s="1"/>
  <c r="F473" i="37"/>
  <c r="F473" i="41" s="1"/>
  <c r="F474" i="37"/>
  <c r="F474" i="41" s="1"/>
  <c r="F475" i="37"/>
  <c r="F475" i="41" s="1"/>
  <c r="F476" i="37"/>
  <c r="F476" i="41" s="1"/>
  <c r="F477" i="37"/>
  <c r="F477" i="41" s="1"/>
  <c r="F478" i="37"/>
  <c r="F478" i="41" s="1"/>
  <c r="F479" i="37"/>
  <c r="F479" i="41" s="1"/>
  <c r="F480" i="37"/>
  <c r="F480" i="41" s="1"/>
  <c r="F481" i="37"/>
  <c r="F481" i="41" s="1"/>
  <c r="F482" i="37"/>
  <c r="F482" i="41" s="1"/>
  <c r="F483" i="37"/>
  <c r="F483" i="41" s="1"/>
  <c r="F484" i="37"/>
  <c r="F484" i="41" s="1"/>
  <c r="F485" i="37"/>
  <c r="F485" i="41" s="1"/>
  <c r="F486" i="37"/>
  <c r="F486" i="41" s="1"/>
  <c r="F489" i="37"/>
  <c r="F489" i="41" s="1"/>
  <c r="F490" i="37"/>
  <c r="F490" i="41" s="1"/>
  <c r="F491" i="37"/>
  <c r="F491" i="41" s="1"/>
  <c r="F492" i="37"/>
  <c r="F492" i="41" s="1"/>
  <c r="F493" i="37"/>
  <c r="F493" i="41" s="1"/>
  <c r="F494" i="37"/>
  <c r="F494" i="41" s="1"/>
  <c r="A424" i="37"/>
  <c r="D424" i="37"/>
  <c r="D424" i="41" s="1"/>
  <c r="F423" i="37"/>
  <c r="F423" i="41" s="1"/>
  <c r="C424" i="37"/>
  <c r="C424" i="41" s="1"/>
  <c r="A426" i="37"/>
  <c r="D426" i="37"/>
  <c r="D426" i="41" s="1"/>
  <c r="C426" i="37"/>
  <c r="C426" i="41" s="1"/>
  <c r="A427" i="37"/>
  <c r="D427" i="37"/>
  <c r="D427" i="41" s="1"/>
  <c r="C427" i="37"/>
  <c r="C427" i="41" s="1"/>
  <c r="A429" i="37"/>
  <c r="D429" i="37"/>
  <c r="D429" i="41" s="1"/>
  <c r="C429" i="37"/>
  <c r="C429" i="41" s="1"/>
  <c r="A430" i="37"/>
  <c r="D430" i="37"/>
  <c r="D430" i="41" s="1"/>
  <c r="C430" i="37"/>
  <c r="C430" i="41" s="1"/>
  <c r="A431" i="37"/>
  <c r="D431" i="37"/>
  <c r="D431" i="41" s="1"/>
  <c r="C431" i="37"/>
  <c r="C431" i="41" s="1"/>
  <c r="A432" i="37"/>
  <c r="D432" i="37"/>
  <c r="D432" i="41" s="1"/>
  <c r="C432" i="37"/>
  <c r="C432" i="41" s="1"/>
  <c r="A433" i="37"/>
  <c r="D433" i="37"/>
  <c r="D433" i="41" s="1"/>
  <c r="C433" i="37"/>
  <c r="C433" i="41" s="1"/>
  <c r="A434" i="37"/>
  <c r="D434" i="37"/>
  <c r="D434" i="41" s="1"/>
  <c r="C434" i="37"/>
  <c r="C434" i="41" s="1"/>
  <c r="A435" i="37"/>
  <c r="D435" i="37"/>
  <c r="D435" i="41" s="1"/>
  <c r="C435" i="37"/>
  <c r="C435" i="41" s="1"/>
  <c r="A436" i="37"/>
  <c r="D436" i="37"/>
  <c r="D436" i="41" s="1"/>
  <c r="C436" i="37"/>
  <c r="C436" i="41" s="1"/>
  <c r="A437" i="37"/>
  <c r="D437" i="37"/>
  <c r="D437" i="41" s="1"/>
  <c r="C437" i="37"/>
  <c r="C437" i="41" s="1"/>
  <c r="A438" i="37"/>
  <c r="D438" i="37"/>
  <c r="D438" i="41" s="1"/>
  <c r="C438" i="37"/>
  <c r="C438" i="41" s="1"/>
  <c r="A439" i="37"/>
  <c r="D439" i="37"/>
  <c r="D439" i="41" s="1"/>
  <c r="C439" i="37"/>
  <c r="C439" i="41" s="1"/>
  <c r="D440" i="37"/>
  <c r="D440" i="41" s="1"/>
  <c r="A440" i="37"/>
  <c r="A440" i="41" s="1"/>
  <c r="A441" i="37"/>
  <c r="A441" i="41" s="1"/>
  <c r="D441" i="37"/>
  <c r="D441" i="41" s="1"/>
  <c r="A442" i="37"/>
  <c r="A442" i="41" s="1"/>
  <c r="A443" i="37"/>
  <c r="A443" i="41" s="1"/>
  <c r="A444" i="37"/>
  <c r="A444" i="41" s="1"/>
  <c r="D442" i="37"/>
  <c r="D442" i="41" s="1"/>
  <c r="A445" i="37"/>
  <c r="A445" i="41" s="1"/>
  <c r="A446" i="37"/>
  <c r="A446" i="41" s="1"/>
  <c r="A447" i="37"/>
  <c r="A447" i="41" s="1"/>
  <c r="D443" i="37"/>
  <c r="D443" i="41" s="1"/>
  <c r="A448" i="37"/>
  <c r="A448" i="41" s="1"/>
  <c r="A449" i="37"/>
  <c r="A449" i="41" s="1"/>
  <c r="A450" i="37"/>
  <c r="A450" i="41" s="1"/>
  <c r="D444" i="37"/>
  <c r="D444" i="41" s="1"/>
  <c r="C207" i="38"/>
  <c r="C222" i="38" s="1"/>
  <c r="C237" i="38" s="1"/>
  <c r="A451" i="37"/>
  <c r="A451" i="41" s="1"/>
  <c r="A452" i="37"/>
  <c r="A452" i="41" s="1"/>
  <c r="A453" i="37"/>
  <c r="A453" i="41" s="1"/>
  <c r="D445" i="37"/>
  <c r="D445" i="41" s="1"/>
  <c r="A454" i="37"/>
  <c r="A454" i="41" s="1"/>
  <c r="D446" i="37"/>
  <c r="D446" i="41" s="1"/>
  <c r="D447" i="37"/>
  <c r="D447" i="41" s="1"/>
  <c r="D448" i="37"/>
  <c r="D448" i="41" s="1"/>
  <c r="C211" i="38"/>
  <c r="C226" i="38" s="1"/>
  <c r="C241" i="38" s="1"/>
  <c r="D449" i="37"/>
  <c r="D449" i="41" s="1"/>
  <c r="C212" i="38"/>
  <c r="C227" i="38" s="1"/>
  <c r="C242" i="38" s="1"/>
  <c r="C257" i="38" s="1"/>
  <c r="C272" i="38" s="1"/>
  <c r="D450" i="37"/>
  <c r="D450" i="41" s="1"/>
  <c r="C213" i="38"/>
  <c r="C228" i="38" s="1"/>
  <c r="C243" i="38" s="1"/>
  <c r="C258" i="38" s="1"/>
  <c r="A492" i="37"/>
  <c r="A492" i="41" s="1"/>
  <c r="C492" i="37"/>
  <c r="C492" i="41" s="1"/>
  <c r="D451" i="37"/>
  <c r="D451" i="41" s="1"/>
  <c r="D452" i="37"/>
  <c r="D452" i="41" s="1"/>
  <c r="D453" i="37"/>
  <c r="D453" i="41" s="1"/>
  <c r="C216" i="38"/>
  <c r="C231" i="38" s="1"/>
  <c r="C246" i="38" s="1"/>
  <c r="C261" i="38" s="1"/>
  <c r="D454" i="37"/>
  <c r="D454" i="41" s="1"/>
  <c r="D455" i="37"/>
  <c r="D455" i="41" s="1"/>
  <c r="D456" i="37"/>
  <c r="D456" i="41" s="1"/>
  <c r="D457" i="37"/>
  <c r="D457" i="41" s="1"/>
  <c r="D458" i="37"/>
  <c r="D458" i="41" s="1"/>
  <c r="D462" i="37"/>
  <c r="D462" i="41" s="1"/>
  <c r="D462" i="58"/>
  <c r="D463" i="37"/>
  <c r="D463" i="41" s="1"/>
  <c r="D464" i="37"/>
  <c r="D464" i="41" s="1"/>
  <c r="D465" i="37"/>
  <c r="D465" i="41" s="1"/>
  <c r="D466" i="37"/>
  <c r="D466" i="41" s="1"/>
  <c r="D467" i="37"/>
  <c r="D467" i="41" s="1"/>
  <c r="D468" i="37"/>
  <c r="D468" i="41" s="1"/>
  <c r="D469" i="37"/>
  <c r="D469" i="41" s="1"/>
  <c r="D470" i="37"/>
  <c r="D470" i="41" s="1"/>
  <c r="D471" i="37"/>
  <c r="D471" i="41" s="1"/>
  <c r="D471" i="58"/>
  <c r="A492" i="58"/>
  <c r="C492" i="58"/>
  <c r="D103" i="38"/>
  <c r="D106" i="38"/>
  <c r="H183" i="35"/>
  <c r="C11" i="6"/>
  <c r="H184" i="35"/>
  <c r="H4" i="20"/>
  <c r="C423" i="37"/>
  <c r="C423" i="41" s="1"/>
  <c r="C423" i="58"/>
  <c r="D2" i="34"/>
  <c r="D204" i="38"/>
  <c r="D109" i="38"/>
  <c r="D206" i="38"/>
  <c r="D208" i="38"/>
  <c r="D116" i="38"/>
  <c r="D117" i="38"/>
  <c r="D212" i="38"/>
  <c r="D224" i="38"/>
  <c r="D472" i="37"/>
  <c r="D472" i="41" s="1"/>
  <c r="D472" i="58"/>
  <c r="D168" i="38"/>
  <c r="D473" i="37"/>
  <c r="D473" i="41" s="1"/>
  <c r="D475" i="37"/>
  <c r="D475" i="41" s="1"/>
  <c r="D476" i="37"/>
  <c r="D476" i="41" s="1"/>
  <c r="D477" i="37"/>
  <c r="D477" i="41" s="1"/>
  <c r="D477" i="58"/>
  <c r="D478" i="37"/>
  <c r="D478" i="41" s="1"/>
  <c r="A475" i="37"/>
  <c r="A475" i="41" s="1"/>
  <c r="A476" i="37"/>
  <c r="A476" i="41" s="1"/>
  <c r="A477" i="37"/>
  <c r="A477" i="41" s="1"/>
  <c r="A478" i="37"/>
  <c r="A478" i="41" s="1"/>
  <c r="D481" i="37"/>
  <c r="D481" i="41" s="1"/>
  <c r="A9" i="8"/>
  <c r="A16" i="8" s="1"/>
  <c r="D482" i="37"/>
  <c r="D482" i="41" s="1"/>
  <c r="A10" i="8"/>
  <c r="A17" i="8" s="1"/>
  <c r="A494" i="37"/>
  <c r="A494" i="41" s="1"/>
  <c r="D494" i="37"/>
  <c r="D494" i="41" s="1"/>
  <c r="C494" i="37"/>
  <c r="C494" i="41" s="1"/>
  <c r="A11" i="8"/>
  <c r="C280" i="38" s="1"/>
  <c r="A12" i="8"/>
  <c r="C282" i="38" s="1"/>
  <c r="A13" i="8"/>
  <c r="D483" i="37"/>
  <c r="D483" i="41" s="1"/>
  <c r="A494" i="58"/>
  <c r="D494" i="58"/>
  <c r="C494" i="58"/>
  <c r="D484" i="37"/>
  <c r="D484" i="41" s="1"/>
  <c r="D485" i="37"/>
  <c r="D485" i="41" s="1"/>
  <c r="D486" i="37"/>
  <c r="D486" i="41" s="1"/>
  <c r="A490" i="37"/>
  <c r="A490" i="41" s="1"/>
  <c r="C490" i="37"/>
  <c r="C490" i="41" s="1"/>
  <c r="A490" i="58"/>
  <c r="C490" i="58"/>
  <c r="A491" i="37"/>
  <c r="A491" i="41" s="1"/>
  <c r="C491" i="37"/>
  <c r="C491" i="41" s="1"/>
  <c r="A491" i="58"/>
  <c r="C491" i="58"/>
  <c r="A493" i="37"/>
  <c r="A493" i="41" s="1"/>
  <c r="D493" i="37"/>
  <c r="D493" i="41" s="1"/>
  <c r="C493" i="37"/>
  <c r="C493" i="41" s="1"/>
  <c r="A493" i="58"/>
  <c r="D493" i="58"/>
  <c r="C493" i="58"/>
  <c r="L38" i="39"/>
  <c r="D156" i="38"/>
  <c r="D157" i="38"/>
  <c r="D158" i="38"/>
  <c r="D164" i="38"/>
  <c r="D167" i="38"/>
  <c r="D170" i="38"/>
  <c r="D185" i="38"/>
  <c r="D248" i="38"/>
  <c r="D250" i="38"/>
  <c r="D251" i="38"/>
  <c r="D255" i="38"/>
  <c r="D258" i="38"/>
  <c r="D261" i="38"/>
  <c r="D262" i="38"/>
  <c r="C16" i="53"/>
  <c r="C19" i="53"/>
  <c r="C22" i="53"/>
  <c r="C24" i="53"/>
  <c r="A455" i="37"/>
  <c r="A455" i="41" s="1"/>
  <c r="A456" i="37"/>
  <c r="A456" i="41" s="1"/>
  <c r="A457" i="37"/>
  <c r="A457" i="41" s="1"/>
  <c r="A458" i="37"/>
  <c r="A458" i="41" s="1"/>
  <c r="A462" i="37"/>
  <c r="A462" i="41" s="1"/>
  <c r="A463" i="37"/>
  <c r="A463" i="41" s="1"/>
  <c r="A464" i="37"/>
  <c r="A464" i="41" s="1"/>
  <c r="A465" i="37"/>
  <c r="A465" i="41" s="1"/>
  <c r="A466" i="37"/>
  <c r="A466" i="41" s="1"/>
  <c r="A467" i="37"/>
  <c r="A467" i="41" s="1"/>
  <c r="A468" i="37"/>
  <c r="A468" i="41" s="1"/>
  <c r="A469" i="37"/>
  <c r="A469" i="41" s="1"/>
  <c r="A470" i="37"/>
  <c r="A470" i="41" s="1"/>
  <c r="A471" i="37"/>
  <c r="A471" i="41" s="1"/>
  <c r="A472" i="37"/>
  <c r="A472" i="41" s="1"/>
  <c r="A473" i="37"/>
  <c r="A473" i="41" s="1"/>
  <c r="A474" i="37"/>
  <c r="A474" i="41" s="1"/>
  <c r="A479" i="37"/>
  <c r="A479" i="41" s="1"/>
  <c r="A480" i="37"/>
  <c r="A480" i="41" s="1"/>
  <c r="A481" i="37"/>
  <c r="A481" i="41" s="1"/>
  <c r="A482" i="37"/>
  <c r="A482" i="41" s="1"/>
  <c r="A483" i="37"/>
  <c r="A483" i="41" s="1"/>
  <c r="A484" i="37"/>
  <c r="A484" i="41" s="1"/>
  <c r="A485" i="37"/>
  <c r="A485" i="41" s="1"/>
  <c r="A486" i="37"/>
  <c r="A486" i="41" s="1"/>
  <c r="A489" i="37"/>
  <c r="A489" i="41" s="1"/>
  <c r="D303" i="38"/>
  <c r="D305" i="38"/>
  <c r="D306" i="38"/>
  <c r="D307" i="38"/>
  <c r="D316" i="38"/>
  <c r="D318" i="38"/>
  <c r="D319" i="38"/>
  <c r="D326" i="38"/>
  <c r="D474" i="37"/>
  <c r="D474" i="41" s="1"/>
  <c r="D479" i="37"/>
  <c r="D479" i="41" s="1"/>
  <c r="D480" i="37"/>
  <c r="D480" i="41" s="1"/>
  <c r="D489" i="37"/>
  <c r="D489" i="41" s="1"/>
  <c r="D490" i="37"/>
  <c r="D490" i="41" s="1"/>
  <c r="D491" i="37"/>
  <c r="D491" i="41" s="1"/>
  <c r="D492" i="37"/>
  <c r="D492" i="41" s="1"/>
  <c r="D357" i="38"/>
  <c r="D358" i="38"/>
  <c r="D359" i="38"/>
  <c r="D360" i="38"/>
  <c r="D475" i="58"/>
  <c r="D476" i="58"/>
  <c r="D478" i="58"/>
  <c r="A475" i="58"/>
  <c r="A476" i="58"/>
  <c r="A477" i="58"/>
  <c r="A478" i="58"/>
  <c r="D441" i="58"/>
  <c r="D442" i="58"/>
  <c r="D443" i="58"/>
  <c r="D444" i="58"/>
  <c r="D445" i="58"/>
  <c r="D446" i="58"/>
  <c r="D447" i="58"/>
  <c r="D448" i="58"/>
  <c r="D449" i="58"/>
  <c r="D450" i="58"/>
  <c r="D451" i="58"/>
  <c r="D452" i="58"/>
  <c r="D453" i="58"/>
  <c r="D454" i="58"/>
  <c r="D455" i="58"/>
  <c r="D456" i="58"/>
  <c r="D457" i="58"/>
  <c r="D458" i="58"/>
  <c r="D463" i="58"/>
  <c r="D464" i="58"/>
  <c r="D465" i="58"/>
  <c r="D466" i="58"/>
  <c r="D467" i="58"/>
  <c r="D468" i="58"/>
  <c r="D469" i="58"/>
  <c r="D470" i="58"/>
  <c r="D473" i="58"/>
  <c r="D481" i="58"/>
  <c r="D482" i="58"/>
  <c r="D483" i="58"/>
  <c r="D484" i="58"/>
  <c r="D485" i="58"/>
  <c r="D486" i="58"/>
  <c r="A440" i="58"/>
  <c r="A441" i="58"/>
  <c r="A442" i="58"/>
  <c r="A443" i="58"/>
  <c r="A444" i="58"/>
  <c r="A445" i="58"/>
  <c r="A446" i="58"/>
  <c r="A447" i="58"/>
  <c r="A448" i="58"/>
  <c r="A449" i="58"/>
  <c r="A450" i="58"/>
  <c r="A451" i="58"/>
  <c r="A452" i="58"/>
  <c r="A453" i="58"/>
  <c r="A454" i="58"/>
  <c r="A455" i="58"/>
  <c r="A456" i="58"/>
  <c r="A457" i="58"/>
  <c r="A458" i="58"/>
  <c r="A462" i="58"/>
  <c r="A463" i="58"/>
  <c r="A464" i="58"/>
  <c r="A465" i="58"/>
  <c r="A466" i="58"/>
  <c r="A467" i="58"/>
  <c r="A468" i="58"/>
  <c r="A469" i="58"/>
  <c r="A470" i="58"/>
  <c r="A471" i="58"/>
  <c r="A472" i="58"/>
  <c r="A473" i="58"/>
  <c r="A474" i="58"/>
  <c r="A479" i="58"/>
  <c r="A480" i="58"/>
  <c r="A481" i="58"/>
  <c r="A482" i="58"/>
  <c r="A483" i="58"/>
  <c r="A484" i="58"/>
  <c r="A485" i="58"/>
  <c r="A486" i="58"/>
  <c r="A489" i="58"/>
  <c r="D374" i="38"/>
  <c r="D375" i="38"/>
  <c r="D379" i="38"/>
  <c r="D396" i="38"/>
  <c r="Y2" i="20"/>
  <c r="C18" i="39"/>
  <c r="C19" i="39"/>
  <c r="A40" i="39"/>
  <c r="I40" i="39" s="1"/>
  <c r="N40" i="39" s="1"/>
  <c r="A41" i="39"/>
  <c r="I41" i="39" s="1"/>
  <c r="N41" i="39" s="1"/>
  <c r="A42" i="39"/>
  <c r="I42" i="39" s="1"/>
  <c r="N42" i="39" s="1"/>
  <c r="A43" i="39"/>
  <c r="I43" i="39" s="1"/>
  <c r="N43" i="39" s="1"/>
  <c r="A44" i="39"/>
  <c r="I44" i="39" s="1"/>
  <c r="N44" i="39" s="1"/>
  <c r="A45" i="39"/>
  <c r="I45" i="39" s="1"/>
  <c r="N45" i="39" s="1"/>
  <c r="A46" i="39"/>
  <c r="I46" i="39" s="1"/>
  <c r="N46" i="39" s="1"/>
  <c r="A47" i="39"/>
  <c r="I47" i="39" s="1"/>
  <c r="N47" i="39" s="1"/>
  <c r="A48" i="39"/>
  <c r="I48" i="39" s="1"/>
  <c r="N48" i="39" s="1"/>
  <c r="A49" i="39"/>
  <c r="I49" i="39" s="1"/>
  <c r="N49" i="39" s="1"/>
  <c r="A50" i="39"/>
  <c r="I50" i="39" s="1"/>
  <c r="N50" i="39" s="1"/>
  <c r="A51" i="39"/>
  <c r="I51" i="39" s="1"/>
  <c r="N51" i="39" s="1"/>
  <c r="A52" i="39"/>
  <c r="I52" i="39" s="1"/>
  <c r="N52" i="39" s="1"/>
  <c r="A53" i="39"/>
  <c r="I53" i="39" s="1"/>
  <c r="N53" i="39" s="1"/>
  <c r="A54" i="39"/>
  <c r="I54" i="39" s="1"/>
  <c r="N54" i="39" s="1"/>
  <c r="A55" i="39"/>
  <c r="I55" i="39" s="1"/>
  <c r="N55" i="39" s="1"/>
  <c r="A39" i="39"/>
  <c r="I39" i="39" s="1"/>
  <c r="N39" i="39" s="1"/>
  <c r="I18" i="39"/>
  <c r="O45" i="39" s="1"/>
  <c r="C2" i="38"/>
  <c r="C3" i="38"/>
  <c r="C4" i="38"/>
  <c r="C5" i="38"/>
  <c r="C6" i="38"/>
  <c r="C7" i="38"/>
  <c r="C8" i="38"/>
  <c r="C9" i="38"/>
  <c r="C10" i="38"/>
  <c r="C11" i="38"/>
  <c r="C12" i="38"/>
  <c r="C13" i="38"/>
  <c r="C14" i="38"/>
  <c r="C15" i="38"/>
  <c r="C16" i="38"/>
  <c r="C17" i="38"/>
  <c r="C18" i="38"/>
  <c r="C19" i="38"/>
  <c r="C20" i="38"/>
  <c r="C21" i="38"/>
  <c r="C22" i="38"/>
  <c r="C23" i="38"/>
  <c r="C24" i="38"/>
  <c r="C25" i="38"/>
  <c r="C26" i="38"/>
  <c r="C27" i="38"/>
  <c r="C28" i="38"/>
  <c r="C29" i="38"/>
  <c r="C30" i="38"/>
  <c r="C31" i="38"/>
  <c r="C32" i="38"/>
  <c r="C33" i="38"/>
  <c r="C34" i="38"/>
  <c r="C35" i="38"/>
  <c r="C36" i="38"/>
  <c r="C37" i="38"/>
  <c r="C38" i="38"/>
  <c r="C39" i="38"/>
  <c r="C40" i="38"/>
  <c r="C41" i="38"/>
  <c r="C42" i="38"/>
  <c r="C43" i="38"/>
  <c r="C44" i="38"/>
  <c r="C45" i="38"/>
  <c r="C46" i="38"/>
  <c r="C47" i="38"/>
  <c r="C48" i="38"/>
  <c r="C49" i="38"/>
  <c r="C50" i="38"/>
  <c r="C51" i="38"/>
  <c r="C52" i="38"/>
  <c r="C53" i="38"/>
  <c r="C54" i="38"/>
  <c r="C55" i="38"/>
  <c r="C56" i="38"/>
  <c r="C57" i="38"/>
  <c r="C58" i="38"/>
  <c r="C59" i="38"/>
  <c r="C60" i="38"/>
  <c r="C61" i="38"/>
  <c r="C62" i="38"/>
  <c r="C63" i="38"/>
  <c r="C64" i="38"/>
  <c r="C65" i="38"/>
  <c r="C66" i="38"/>
  <c r="C67" i="38"/>
  <c r="C68" i="38"/>
  <c r="C69" i="38"/>
  <c r="C70" i="38"/>
  <c r="C71" i="38"/>
  <c r="C72" i="38"/>
  <c r="C73" i="38"/>
  <c r="C74" i="38"/>
  <c r="C75" i="38"/>
  <c r="C76" i="38"/>
  <c r="C77" i="38"/>
  <c r="C78" i="38"/>
  <c r="C79" i="38"/>
  <c r="C80" i="38"/>
  <c r="C81" i="38"/>
  <c r="C82" i="38"/>
  <c r="C83" i="38"/>
  <c r="C84" i="38"/>
  <c r="C85" i="38"/>
  <c r="C86" i="38"/>
  <c r="C87" i="38"/>
  <c r="C88" i="38"/>
  <c r="C89" i="38"/>
  <c r="C90" i="38"/>
  <c r="C91" i="38"/>
  <c r="C92" i="38"/>
  <c r="C202" i="38"/>
  <c r="C217" i="38" s="1"/>
  <c r="C232" i="38" s="1"/>
  <c r="C247" i="38" s="1"/>
  <c r="C262" i="38" s="1"/>
  <c r="C277" i="38" s="1"/>
  <c r="C93" i="38"/>
  <c r="C94" i="38"/>
  <c r="C95" i="38"/>
  <c r="C96" i="38"/>
  <c r="C97" i="38"/>
  <c r="C98" i="38"/>
  <c r="C99" i="38"/>
  <c r="C100" i="38"/>
  <c r="C101" i="38"/>
  <c r="C102" i="38"/>
  <c r="C103" i="38"/>
  <c r="C104" i="38"/>
  <c r="C105" i="38"/>
  <c r="C106" i="38"/>
  <c r="C107" i="38"/>
  <c r="C108" i="38"/>
  <c r="C109" i="38"/>
  <c r="C110" i="38"/>
  <c r="C111" i="38"/>
  <c r="C112" i="38"/>
  <c r="C113" i="38"/>
  <c r="C114" i="38"/>
  <c r="C115" i="38"/>
  <c r="C116" i="38"/>
  <c r="C117" i="38"/>
  <c r="C118" i="38"/>
  <c r="C119" i="38"/>
  <c r="C120" i="38"/>
  <c r="C121" i="38"/>
  <c r="C122" i="38"/>
  <c r="C123" i="38"/>
  <c r="C124" i="38"/>
  <c r="C125" i="38"/>
  <c r="C126" i="38"/>
  <c r="C127" i="38"/>
  <c r="C128" i="38"/>
  <c r="C129" i="38"/>
  <c r="C130" i="38"/>
  <c r="C131" i="38"/>
  <c r="C132" i="38"/>
  <c r="C133" i="38"/>
  <c r="C134" i="38"/>
  <c r="C135" i="38"/>
  <c r="C136" i="38"/>
  <c r="C137" i="38"/>
  <c r="C138" i="38"/>
  <c r="C139" i="38"/>
  <c r="C140" i="38"/>
  <c r="C141" i="38"/>
  <c r="C142" i="38"/>
  <c r="C143" i="38"/>
  <c r="C144" i="38"/>
  <c r="C145" i="38"/>
  <c r="C146" i="38"/>
  <c r="C147" i="38"/>
  <c r="C148" i="38"/>
  <c r="C149" i="38"/>
  <c r="C150" i="38"/>
  <c r="C151" i="38"/>
  <c r="C152" i="38"/>
  <c r="C153" i="38"/>
  <c r="C154" i="38"/>
  <c r="C155" i="38"/>
  <c r="C156" i="38"/>
  <c r="C157" i="38"/>
  <c r="C158" i="38"/>
  <c r="C159" i="38"/>
  <c r="C160" i="38"/>
  <c r="C161" i="38"/>
  <c r="C162" i="38"/>
  <c r="C163" i="38"/>
  <c r="C164" i="38"/>
  <c r="C165" i="38"/>
  <c r="C166" i="38"/>
  <c r="C167" i="38"/>
  <c r="C168" i="38"/>
  <c r="C169" i="38"/>
  <c r="C170" i="38"/>
  <c r="C171" i="38"/>
  <c r="C172" i="38"/>
  <c r="C173" i="38"/>
  <c r="C174" i="38"/>
  <c r="C175" i="38"/>
  <c r="C176" i="38"/>
  <c r="C177" i="38"/>
  <c r="C178" i="38"/>
  <c r="C179" i="38"/>
  <c r="C180" i="38"/>
  <c r="C181" i="38"/>
  <c r="C182" i="38"/>
  <c r="C183" i="38"/>
  <c r="C184" i="38"/>
  <c r="C185" i="38"/>
  <c r="C186" i="38"/>
  <c r="C187" i="38"/>
  <c r="C20" i="39"/>
  <c r="N12" i="39"/>
  <c r="N13" i="39"/>
  <c r="N15" i="39"/>
  <c r="C21" i="39"/>
  <c r="N22" i="39"/>
  <c r="C23" i="39"/>
  <c r="C24" i="39"/>
  <c r="C25" i="39"/>
  <c r="C26" i="39"/>
  <c r="K53" i="39" s="1"/>
  <c r="C27" i="39"/>
  <c r="C28" i="39"/>
  <c r="I19" i="39"/>
  <c r="B20" i="6"/>
  <c r="B21" i="6"/>
  <c r="D21" i="6" s="1"/>
  <c r="C30" i="6"/>
  <c r="C17" i="6"/>
  <c r="C18" i="6"/>
  <c r="C19" i="6"/>
  <c r="C27" i="6"/>
  <c r="C28" i="6"/>
  <c r="C29" i="6"/>
  <c r="C13" i="6"/>
  <c r="D13" i="6" s="1"/>
  <c r="D30" i="6"/>
  <c r="D17" i="6"/>
  <c r="D18" i="6"/>
  <c r="D19" i="6"/>
  <c r="D27" i="6"/>
  <c r="D28" i="6"/>
  <c r="D29" i="6"/>
  <c r="C5" i="17"/>
  <c r="F171" i="35"/>
  <c r="F172" i="35"/>
  <c r="F173" i="35"/>
  <c r="F174" i="35"/>
  <c r="F175" i="35"/>
  <c r="F176" i="35"/>
  <c r="F177" i="35"/>
  <c r="F178" i="35"/>
  <c r="F179" i="35"/>
  <c r="F180" i="35"/>
  <c r="F181" i="35"/>
  <c r="F182" i="35"/>
  <c r="F183" i="35"/>
  <c r="F184" i="35"/>
  <c r="F185" i="35"/>
  <c r="F186" i="35"/>
  <c r="F187" i="35"/>
  <c r="F188" i="35"/>
  <c r="F189" i="35"/>
  <c r="F190" i="35"/>
  <c r="F191" i="35"/>
  <c r="F192" i="35"/>
  <c r="F193" i="35"/>
  <c r="F194" i="35"/>
  <c r="F195" i="35"/>
  <c r="F196" i="35"/>
  <c r="F197" i="35"/>
  <c r="F198" i="35"/>
  <c r="F199" i="35"/>
  <c r="F200" i="35"/>
  <c r="F201" i="35"/>
  <c r="F202" i="35"/>
  <c r="F203" i="35"/>
  <c r="F204" i="35"/>
  <c r="F205" i="35"/>
  <c r="F206" i="35"/>
  <c r="F207" i="35"/>
  <c r="F208" i="35"/>
  <c r="F209" i="35"/>
  <c r="F210" i="35"/>
  <c r="F211" i="35"/>
  <c r="F212" i="35"/>
  <c r="F213" i="35"/>
  <c r="F214" i="35"/>
  <c r="F215" i="35"/>
  <c r="F216" i="35"/>
  <c r="F217" i="35"/>
  <c r="F218" i="35"/>
  <c r="F219" i="35"/>
  <c r="F220" i="35"/>
  <c r="F221" i="35"/>
  <c r="F222" i="35"/>
  <c r="F223" i="35"/>
  <c r="F224" i="35"/>
  <c r="F225" i="35"/>
  <c r="F226" i="35"/>
  <c r="F227" i="35"/>
  <c r="F228" i="35"/>
  <c r="F229" i="35"/>
  <c r="F230" i="35"/>
  <c r="C51" i="17"/>
  <c r="D51" i="17" s="1"/>
  <c r="E51" i="17" s="1"/>
  <c r="D15" i="17"/>
  <c r="J1" i="58"/>
  <c r="D492" i="58"/>
  <c r="D490" i="58"/>
  <c r="D491" i="58"/>
  <c r="D4" i="17"/>
  <c r="C15" i="8"/>
  <c r="C15" i="57"/>
  <c r="C16" i="57"/>
  <c r="C17" i="57"/>
  <c r="C18" i="57"/>
  <c r="C19" i="57"/>
  <c r="C20" i="57"/>
  <c r="C21" i="57"/>
  <c r="C22" i="57"/>
  <c r="C23" i="57"/>
  <c r="C24" i="57"/>
  <c r="C25" i="57"/>
  <c r="C26" i="57"/>
  <c r="C27" i="57"/>
  <c r="C54" i="57"/>
  <c r="C55" i="57"/>
  <c r="C56" i="57"/>
  <c r="C57" i="57"/>
  <c r="C58" i="57"/>
  <c r="C59" i="57"/>
  <c r="C60" i="57"/>
  <c r="C61" i="57"/>
  <c r="C62" i="57"/>
  <c r="C63" i="57"/>
  <c r="C64" i="57"/>
  <c r="C65" i="57"/>
  <c r="C66" i="57"/>
  <c r="C76" i="22"/>
  <c r="C75" i="22"/>
  <c r="C74" i="22"/>
  <c r="C73" i="22"/>
  <c r="C72" i="22"/>
  <c r="C71" i="22"/>
  <c r="C70" i="22"/>
  <c r="C69" i="22"/>
  <c r="C68" i="22"/>
  <c r="C67" i="22"/>
  <c r="C66" i="22"/>
  <c r="C65" i="22"/>
  <c r="C64" i="22"/>
  <c r="C63" i="22"/>
  <c r="C6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A51" i="66"/>
  <c r="D51" i="66"/>
  <c r="A52" i="66"/>
  <c r="A100" i="66" s="1"/>
  <c r="D52" i="66"/>
  <c r="D53" i="66"/>
  <c r="A53" i="66"/>
  <c r="A101" i="66" s="1"/>
  <c r="D197" i="66"/>
  <c r="A197" i="66"/>
  <c r="D54" i="66"/>
  <c r="A54" i="66"/>
  <c r="A102" i="66" s="1"/>
  <c r="D198" i="66"/>
  <c r="A198" i="66"/>
  <c r="R198" i="66" s="1"/>
  <c r="A55" i="66"/>
  <c r="D55" i="66"/>
  <c r="D56" i="66"/>
  <c r="A56" i="66"/>
  <c r="D200" i="66"/>
  <c r="A200" i="66"/>
  <c r="A248" i="66" s="1"/>
  <c r="D57" i="66"/>
  <c r="A57" i="66"/>
  <c r="A105" i="66" s="1"/>
  <c r="D201" i="66"/>
  <c r="A201" i="66"/>
  <c r="A249" i="66" s="1"/>
  <c r="A58" i="66"/>
  <c r="A59" i="66"/>
  <c r="A60" i="66"/>
  <c r="A108" i="66" s="1"/>
  <c r="A61" i="66"/>
  <c r="H3" i="66"/>
  <c r="H4" i="66"/>
  <c r="H5" i="66"/>
  <c r="H8" i="66"/>
  <c r="H9" i="66"/>
  <c r="H10" i="66"/>
  <c r="H11" i="66"/>
  <c r="H12" i="66"/>
  <c r="H13" i="66"/>
  <c r="H14" i="66"/>
  <c r="H15" i="66"/>
  <c r="H16" i="66"/>
  <c r="H17" i="66"/>
  <c r="H18" i="66"/>
  <c r="H20" i="66"/>
  <c r="H21" i="66"/>
  <c r="H22" i="66"/>
  <c r="H23" i="66"/>
  <c r="H24" i="66"/>
  <c r="H25" i="66"/>
  <c r="H26" i="66"/>
  <c r="H27" i="66"/>
  <c r="H28" i="66"/>
  <c r="H29" i="66"/>
  <c r="H30" i="66"/>
  <c r="H31" i="66"/>
  <c r="H32" i="66"/>
  <c r="H33" i="66"/>
  <c r="H34" i="66"/>
  <c r="H37" i="66"/>
  <c r="H38" i="66"/>
  <c r="H39" i="66"/>
  <c r="H40" i="66"/>
  <c r="H41" i="66"/>
  <c r="H42" i="66"/>
  <c r="H43" i="66"/>
  <c r="H44" i="66"/>
  <c r="H45" i="66"/>
  <c r="H46" i="66"/>
  <c r="H47" i="66"/>
  <c r="H48" i="66"/>
  <c r="H49" i="66"/>
  <c r="H50" i="66"/>
  <c r="D58" i="66"/>
  <c r="D59" i="66"/>
  <c r="D60" i="66"/>
  <c r="D61" i="66"/>
  <c r="D62" i="66"/>
  <c r="A62" i="66"/>
  <c r="D63" i="66"/>
  <c r="A63" i="66"/>
  <c r="D64" i="66"/>
  <c r="A64" i="66"/>
  <c r="D65" i="66"/>
  <c r="A65" i="66"/>
  <c r="A113" i="66" s="1"/>
  <c r="D66" i="66"/>
  <c r="A66" i="66"/>
  <c r="D67" i="66"/>
  <c r="A67" i="66"/>
  <c r="D68" i="66"/>
  <c r="A68" i="66"/>
  <c r="A116" i="66" s="1"/>
  <c r="D69" i="66"/>
  <c r="A69" i="66"/>
  <c r="D70" i="66"/>
  <c r="A70" i="66"/>
  <c r="D71" i="66"/>
  <c r="A71" i="66"/>
  <c r="A119" i="66" s="1"/>
  <c r="D72" i="66"/>
  <c r="A72" i="66"/>
  <c r="D73" i="66"/>
  <c r="A73" i="66"/>
  <c r="A121" i="66" s="1"/>
  <c r="D74" i="66"/>
  <c r="A74" i="66"/>
  <c r="D75" i="66"/>
  <c r="A75" i="66"/>
  <c r="D76" i="66"/>
  <c r="A76" i="66"/>
  <c r="A124" i="66" s="1"/>
  <c r="D77" i="66"/>
  <c r="A77" i="66"/>
  <c r="A125" i="66" s="1"/>
  <c r="D78" i="66"/>
  <c r="A78" i="66"/>
  <c r="D79" i="66"/>
  <c r="A79" i="66"/>
  <c r="D80" i="66"/>
  <c r="A80" i="66"/>
  <c r="D81" i="66"/>
  <c r="A81" i="66"/>
  <c r="A129" i="66" s="1"/>
  <c r="D82" i="66"/>
  <c r="A82" i="66"/>
  <c r="A130" i="66" s="1"/>
  <c r="D85" i="66"/>
  <c r="A85" i="66"/>
  <c r="A133" i="66" s="1"/>
  <c r="D86" i="66"/>
  <c r="A86" i="66"/>
  <c r="D87" i="66"/>
  <c r="A87" i="66"/>
  <c r="D88" i="66"/>
  <c r="A88" i="66"/>
  <c r="A136" i="66" s="1"/>
  <c r="D89" i="66"/>
  <c r="A89" i="66"/>
  <c r="D90" i="66"/>
  <c r="A90" i="66"/>
  <c r="A138" i="66" s="1"/>
  <c r="D91" i="66"/>
  <c r="A91" i="66"/>
  <c r="A139" i="66" s="1"/>
  <c r="D92" i="66"/>
  <c r="A92" i="66"/>
  <c r="D93" i="66"/>
  <c r="A93" i="66"/>
  <c r="D94" i="66"/>
  <c r="A94" i="66"/>
  <c r="D95" i="66"/>
  <c r="A95" i="66"/>
  <c r="A143" i="66" s="1"/>
  <c r="D96" i="66"/>
  <c r="A96" i="66"/>
  <c r="D97" i="66"/>
  <c r="A97" i="66"/>
  <c r="A145" i="66" s="1"/>
  <c r="D98" i="66"/>
  <c r="A98" i="66"/>
  <c r="D117" i="66"/>
  <c r="D121" i="66"/>
  <c r="D195" i="66"/>
  <c r="A195" i="66"/>
  <c r="A243" i="66" s="1"/>
  <c r="D196" i="66"/>
  <c r="A196" i="66"/>
  <c r="A244" i="66" s="1"/>
  <c r="D199" i="66"/>
  <c r="A199" i="66"/>
  <c r="D202" i="66"/>
  <c r="A202" i="66"/>
  <c r="A250" i="66" s="1"/>
  <c r="D203" i="66"/>
  <c r="A203" i="66"/>
  <c r="D204" i="66"/>
  <c r="A204" i="66"/>
  <c r="A252" i="66" s="1"/>
  <c r="D205" i="66"/>
  <c r="A205" i="66"/>
  <c r="D206" i="66"/>
  <c r="A206" i="66"/>
  <c r="D207" i="66"/>
  <c r="A207" i="66"/>
  <c r="A255" i="66" s="1"/>
  <c r="D208" i="66"/>
  <c r="A208" i="66"/>
  <c r="A256" i="66" s="1"/>
  <c r="D209" i="66"/>
  <c r="A209" i="66"/>
  <c r="D210" i="66"/>
  <c r="A210" i="66"/>
  <c r="D211" i="66"/>
  <c r="A211" i="66"/>
  <c r="D212" i="66"/>
  <c r="A212" i="66"/>
  <c r="A260" i="66" s="1"/>
  <c r="D213" i="66"/>
  <c r="A213" i="66"/>
  <c r="D214" i="66"/>
  <c r="A214" i="66"/>
  <c r="D215" i="66"/>
  <c r="A215" i="66"/>
  <c r="D216" i="66"/>
  <c r="A216" i="66"/>
  <c r="D217" i="66"/>
  <c r="A217" i="66"/>
  <c r="D218" i="66"/>
  <c r="A218" i="66"/>
  <c r="A266" i="66" s="1"/>
  <c r="D219" i="66"/>
  <c r="A219" i="66"/>
  <c r="D220" i="66"/>
  <c r="A220" i="66"/>
  <c r="A268" i="66" s="1"/>
  <c r="D221" i="66"/>
  <c r="A221" i="66"/>
  <c r="D222" i="66"/>
  <c r="A222" i="66"/>
  <c r="D223" i="66"/>
  <c r="A223" i="66"/>
  <c r="A271" i="66" s="1"/>
  <c r="D224" i="66"/>
  <c r="A224" i="66"/>
  <c r="A272" i="66" s="1"/>
  <c r="D225" i="66"/>
  <c r="A225" i="66"/>
  <c r="D226" i="66"/>
  <c r="A226" i="66"/>
  <c r="D229" i="66"/>
  <c r="A229" i="66"/>
  <c r="D230" i="66"/>
  <c r="A230" i="66"/>
  <c r="D231" i="66"/>
  <c r="A231" i="66"/>
  <c r="D232" i="66"/>
  <c r="A232" i="66"/>
  <c r="A280" i="66" s="1"/>
  <c r="D233" i="66"/>
  <c r="A233" i="66"/>
  <c r="D234" i="66"/>
  <c r="A234" i="66"/>
  <c r="D235" i="66"/>
  <c r="A235" i="66"/>
  <c r="D236" i="66"/>
  <c r="A236" i="66"/>
  <c r="D237" i="66"/>
  <c r="A237" i="66"/>
  <c r="D238" i="66"/>
  <c r="A238" i="66"/>
  <c r="A286" i="66" s="1"/>
  <c r="D239" i="66"/>
  <c r="A239" i="66"/>
  <c r="D240" i="66"/>
  <c r="A240" i="66"/>
  <c r="D241" i="66"/>
  <c r="A241" i="66"/>
  <c r="D242" i="66"/>
  <c r="A242" i="66"/>
  <c r="D264" i="66"/>
  <c r="D268" i="66"/>
  <c r="R6" i="66"/>
  <c r="R150" i="66"/>
  <c r="H6" i="66"/>
  <c r="H7" i="66"/>
  <c r="B242" i="66"/>
  <c r="B290" i="66" s="1"/>
  <c r="B241" i="66"/>
  <c r="B289" i="66" s="1"/>
  <c r="B240" i="66"/>
  <c r="B288" i="66" s="1"/>
  <c r="B239" i="66"/>
  <c r="B287" i="66" s="1"/>
  <c r="B238" i="66"/>
  <c r="B286" i="66" s="1"/>
  <c r="B237" i="66"/>
  <c r="B285" i="66" s="1"/>
  <c r="B236" i="66"/>
  <c r="B284" i="66" s="1"/>
  <c r="B235" i="66"/>
  <c r="B283" i="66" s="1"/>
  <c r="B234" i="66"/>
  <c r="B282" i="66" s="1"/>
  <c r="B64" i="66"/>
  <c r="B112" i="66" s="1"/>
  <c r="B208" i="66"/>
  <c r="B256" i="66" s="1"/>
  <c r="B77" i="66"/>
  <c r="B125" i="66" s="1"/>
  <c r="B221" i="66"/>
  <c r="B269" i="66" s="1"/>
  <c r="B89" i="66"/>
  <c r="B137" i="66" s="1"/>
  <c r="B233" i="66"/>
  <c r="B281" i="66" s="1"/>
  <c r="B232" i="66"/>
  <c r="B280" i="66" s="1"/>
  <c r="B231" i="66"/>
  <c r="B279" i="66" s="1"/>
  <c r="B230" i="66"/>
  <c r="B278" i="66" s="1"/>
  <c r="B229" i="66"/>
  <c r="B277" i="66" s="1"/>
  <c r="B226" i="66"/>
  <c r="B274" i="66" s="1"/>
  <c r="B225" i="66"/>
  <c r="B273" i="66" s="1"/>
  <c r="B224" i="66"/>
  <c r="B272" i="66" s="1"/>
  <c r="B223" i="66"/>
  <c r="B271" i="66" s="1"/>
  <c r="B222" i="66"/>
  <c r="B270" i="66" s="1"/>
  <c r="B220" i="66"/>
  <c r="B268" i="66" s="1"/>
  <c r="B219" i="66"/>
  <c r="B267" i="66" s="1"/>
  <c r="B218" i="66"/>
  <c r="B266" i="66" s="1"/>
  <c r="B217" i="66"/>
  <c r="B265" i="66" s="1"/>
  <c r="B216" i="66"/>
  <c r="B264" i="66" s="1"/>
  <c r="B215" i="66"/>
  <c r="B263" i="66" s="1"/>
  <c r="B214" i="66"/>
  <c r="B262" i="66" s="1"/>
  <c r="B213" i="66"/>
  <c r="B261" i="66" s="1"/>
  <c r="B212" i="66"/>
  <c r="B260" i="66" s="1"/>
  <c r="B211" i="66"/>
  <c r="B259" i="66" s="1"/>
  <c r="B210" i="66"/>
  <c r="B258" i="66" s="1"/>
  <c r="B209" i="66"/>
  <c r="B257" i="66" s="1"/>
  <c r="B207" i="66"/>
  <c r="B255" i="66" s="1"/>
  <c r="B206" i="66"/>
  <c r="B254" i="66" s="1"/>
  <c r="B205" i="66"/>
  <c r="B253" i="66" s="1"/>
  <c r="B204" i="66"/>
  <c r="B252" i="66" s="1"/>
  <c r="B203" i="66"/>
  <c r="B251" i="66" s="1"/>
  <c r="B202" i="66"/>
  <c r="B250" i="66" s="1"/>
  <c r="B201" i="66"/>
  <c r="B249" i="66" s="1"/>
  <c r="B200" i="66"/>
  <c r="B248" i="66" s="1"/>
  <c r="B199" i="66"/>
  <c r="B247" i="66" s="1"/>
  <c r="B198" i="66"/>
  <c r="B246" i="66" s="1"/>
  <c r="B197" i="66"/>
  <c r="B245" i="66" s="1"/>
  <c r="B196" i="66"/>
  <c r="B244" i="66" s="1"/>
  <c r="B195" i="66"/>
  <c r="B243" i="66" s="1"/>
  <c r="B98" i="66"/>
  <c r="B146" i="66" s="1"/>
  <c r="B97" i="66"/>
  <c r="B145" i="66" s="1"/>
  <c r="B96" i="66"/>
  <c r="B144" i="66" s="1"/>
  <c r="B95" i="66"/>
  <c r="B143" i="66" s="1"/>
  <c r="B94" i="66"/>
  <c r="B142" i="66" s="1"/>
  <c r="B93" i="66"/>
  <c r="B141" i="66" s="1"/>
  <c r="B92" i="66"/>
  <c r="B140" i="66" s="1"/>
  <c r="B91" i="66"/>
  <c r="B139" i="66" s="1"/>
  <c r="B90" i="66"/>
  <c r="B138" i="66" s="1"/>
  <c r="B88" i="66"/>
  <c r="B136" i="66" s="1"/>
  <c r="B87" i="66"/>
  <c r="B135" i="66" s="1"/>
  <c r="B86" i="66"/>
  <c r="B134" i="66" s="1"/>
  <c r="B85" i="66"/>
  <c r="B133" i="66" s="1"/>
  <c r="B82" i="66"/>
  <c r="B130" i="66" s="1"/>
  <c r="B81" i="66"/>
  <c r="B129" i="66" s="1"/>
  <c r="B80" i="66"/>
  <c r="B128" i="66" s="1"/>
  <c r="B79" i="66"/>
  <c r="B127" i="66" s="1"/>
  <c r="B78" i="66"/>
  <c r="B126" i="66" s="1"/>
  <c r="B76" i="66"/>
  <c r="B124" i="66" s="1"/>
  <c r="B75" i="66"/>
  <c r="B123" i="66" s="1"/>
  <c r="B74" i="66"/>
  <c r="B122" i="66" s="1"/>
  <c r="B73" i="66"/>
  <c r="B121" i="66" s="1"/>
  <c r="B72" i="66"/>
  <c r="B120" i="66" s="1"/>
  <c r="B71" i="66"/>
  <c r="B119" i="66" s="1"/>
  <c r="B70" i="66"/>
  <c r="B118" i="66" s="1"/>
  <c r="B69" i="66"/>
  <c r="B117" i="66" s="1"/>
  <c r="B68" i="66"/>
  <c r="B116" i="66" s="1"/>
  <c r="B67" i="66"/>
  <c r="B115" i="66" s="1"/>
  <c r="B66" i="66"/>
  <c r="B114" i="66" s="1"/>
  <c r="B65" i="66"/>
  <c r="B113" i="66" s="1"/>
  <c r="B63" i="66"/>
  <c r="B111" i="66" s="1"/>
  <c r="B62" i="66"/>
  <c r="B110" i="66" s="1"/>
  <c r="B61" i="66"/>
  <c r="B109" i="66" s="1"/>
  <c r="B60" i="66"/>
  <c r="B108" i="66" s="1"/>
  <c r="B59" i="66"/>
  <c r="B107" i="66" s="1"/>
  <c r="B58" i="66"/>
  <c r="B106" i="66" s="1"/>
  <c r="B57" i="66"/>
  <c r="B105" i="66" s="1"/>
  <c r="B56" i="66"/>
  <c r="B104" i="66" s="1"/>
  <c r="B55" i="66"/>
  <c r="B103" i="66" s="1"/>
  <c r="B54" i="66"/>
  <c r="B102" i="66" s="1"/>
  <c r="B53" i="66"/>
  <c r="B101" i="66" s="1"/>
  <c r="B52" i="66"/>
  <c r="B100" i="66" s="1"/>
  <c r="B51" i="66"/>
  <c r="B99" i="66" s="1"/>
  <c r="Q31" i="20"/>
  <c r="P31" i="20"/>
  <c r="O31" i="20"/>
  <c r="H31" i="20"/>
  <c r="G31" i="20"/>
  <c r="F31" i="20"/>
  <c r="B3" i="18"/>
  <c r="B4" i="18"/>
  <c r="B5" i="18"/>
  <c r="B6" i="18"/>
  <c r="B7" i="18"/>
  <c r="B8" i="18"/>
  <c r="B9" i="18"/>
  <c r="B10" i="18"/>
  <c r="B11" i="18"/>
  <c r="B12" i="18"/>
  <c r="B13" i="18"/>
  <c r="B14" i="18"/>
  <c r="B15" i="18"/>
  <c r="B44" i="18"/>
  <c r="B45" i="18"/>
  <c r="B46" i="18"/>
  <c r="B47" i="18"/>
  <c r="B48" i="18"/>
  <c r="B49" i="18"/>
  <c r="B50" i="18"/>
  <c r="B51" i="18"/>
  <c r="B52" i="18"/>
  <c r="B53" i="18"/>
  <c r="B54" i="18"/>
  <c r="B55" i="18"/>
  <c r="B56" i="18"/>
  <c r="B57" i="18"/>
  <c r="B86" i="18"/>
  <c r="B87" i="18"/>
  <c r="B88" i="18"/>
  <c r="B89" i="18"/>
  <c r="B90" i="18"/>
  <c r="B91" i="18"/>
  <c r="B92" i="18"/>
  <c r="B93" i="18"/>
  <c r="B94" i="18"/>
  <c r="B95" i="18"/>
  <c r="B96" i="18"/>
  <c r="B97" i="18"/>
  <c r="B98" i="18"/>
  <c r="B99" i="18"/>
  <c r="B100" i="18"/>
  <c r="B101" i="18"/>
  <c r="B102" i="18"/>
  <c r="B103" i="18"/>
  <c r="B104" i="18"/>
  <c r="B105" i="18"/>
  <c r="B106" i="18"/>
  <c r="B107" i="18"/>
  <c r="B108" i="18"/>
  <c r="B109" i="18"/>
  <c r="B110" i="18"/>
  <c r="B111" i="18"/>
  <c r="B112" i="18"/>
  <c r="B113" i="18"/>
  <c r="B114" i="18"/>
  <c r="B115" i="18"/>
  <c r="B116" i="18"/>
  <c r="B117" i="18"/>
  <c r="B118" i="18"/>
  <c r="B119" i="18"/>
  <c r="B120" i="18"/>
  <c r="B121" i="18"/>
  <c r="B122" i="18"/>
  <c r="B123" i="18"/>
  <c r="B124" i="18"/>
  <c r="B125" i="18"/>
  <c r="B126" i="18"/>
  <c r="B127" i="18"/>
  <c r="B128" i="18"/>
  <c r="B129" i="18"/>
  <c r="B130" i="18"/>
  <c r="B131" i="18"/>
  <c r="B132" i="18"/>
  <c r="B133" i="18"/>
  <c r="B134" i="18"/>
  <c r="B135" i="18"/>
  <c r="B136" i="18"/>
  <c r="B137" i="18"/>
  <c r="B138" i="18"/>
  <c r="B139" i="18"/>
  <c r="B140" i="18"/>
  <c r="B141" i="18"/>
  <c r="B142" i="18"/>
  <c r="B143" i="18"/>
  <c r="B144" i="18"/>
  <c r="B145" i="18"/>
  <c r="B146" i="18"/>
  <c r="B147" i="18"/>
  <c r="B148" i="18"/>
  <c r="B149" i="18"/>
  <c r="B150" i="18"/>
  <c r="B151" i="18"/>
  <c r="B152" i="18"/>
  <c r="B153" i="18"/>
  <c r="B154" i="18"/>
  <c r="B155" i="18"/>
  <c r="B156" i="18"/>
  <c r="B157" i="18"/>
  <c r="B158" i="18"/>
  <c r="B159" i="18"/>
  <c r="B160" i="18"/>
  <c r="B161" i="18"/>
  <c r="B162" i="18"/>
  <c r="B163" i="18"/>
  <c r="B164" i="18"/>
  <c r="B165" i="18"/>
  <c r="B166" i="18"/>
  <c r="B167" i="18"/>
  <c r="B168" i="18"/>
  <c r="B169" i="18"/>
  <c r="B170" i="18"/>
  <c r="B171" i="18"/>
  <c r="B172" i="18"/>
  <c r="B173" i="18"/>
  <c r="B174" i="18"/>
  <c r="B175" i="18"/>
  <c r="B176" i="18"/>
  <c r="B177" i="18"/>
  <c r="B178" i="18"/>
  <c r="B179" i="18"/>
  <c r="B180" i="18"/>
  <c r="B181" i="18"/>
  <c r="B182" i="18"/>
  <c r="B183" i="18"/>
  <c r="B184" i="18"/>
  <c r="B185" i="18"/>
  <c r="B186" i="18"/>
  <c r="B187" i="18"/>
  <c r="B188" i="18"/>
  <c r="B189" i="18"/>
  <c r="B190" i="18"/>
  <c r="B191" i="18"/>
  <c r="B192" i="18"/>
  <c r="B193" i="18"/>
  <c r="B194" i="18"/>
  <c r="B195" i="18"/>
  <c r="B196" i="18"/>
  <c r="B197" i="18"/>
  <c r="B198" i="18"/>
  <c r="B199" i="18"/>
  <c r="B200" i="18"/>
  <c r="B201" i="18"/>
  <c r="B202" i="18"/>
  <c r="B203" i="18"/>
  <c r="B204" i="18"/>
  <c r="B205" i="18"/>
  <c r="B206" i="18"/>
  <c r="B207" i="18"/>
  <c r="B208" i="18"/>
  <c r="B209" i="18"/>
  <c r="B210" i="18"/>
  <c r="B211" i="18"/>
  <c r="B212" i="18"/>
  <c r="B213" i="18"/>
  <c r="B214" i="18"/>
  <c r="B215" i="18"/>
  <c r="B216" i="18"/>
  <c r="B217" i="18"/>
  <c r="B218" i="18"/>
  <c r="B219" i="18"/>
  <c r="B220" i="18"/>
  <c r="B221" i="18"/>
  <c r="B222" i="18"/>
  <c r="B223" i="18"/>
  <c r="B224" i="18"/>
  <c r="B225" i="18"/>
  <c r="B226" i="18"/>
  <c r="B227" i="18"/>
  <c r="B228" i="18"/>
  <c r="B229" i="18"/>
  <c r="B230" i="18"/>
  <c r="B231" i="18"/>
  <c r="B232" i="18"/>
  <c r="B233" i="18"/>
  <c r="B234" i="18"/>
  <c r="B235" i="18"/>
  <c r="B236" i="18"/>
  <c r="B237" i="18"/>
  <c r="B238" i="18"/>
  <c r="B239" i="18"/>
  <c r="B240" i="18"/>
  <c r="B241" i="18"/>
  <c r="B242" i="18"/>
  <c r="B243" i="18"/>
  <c r="B244" i="18"/>
  <c r="B245" i="18"/>
  <c r="B246" i="18"/>
  <c r="B247" i="18"/>
  <c r="B248" i="18"/>
  <c r="B249" i="18"/>
  <c r="B250" i="18"/>
  <c r="B251" i="18"/>
  <c r="B252" i="18"/>
  <c r="B253" i="18"/>
  <c r="B254" i="18"/>
  <c r="B255" i="18"/>
  <c r="B256" i="18"/>
  <c r="B257" i="18"/>
  <c r="B258" i="18"/>
  <c r="B259" i="18"/>
  <c r="B260" i="18"/>
  <c r="B261" i="18"/>
  <c r="B262" i="18"/>
  <c r="B263" i="18"/>
  <c r="B264" i="18"/>
  <c r="B265" i="18"/>
  <c r="B266" i="18"/>
  <c r="B267" i="18"/>
  <c r="B296" i="18"/>
  <c r="B297" i="18"/>
  <c r="B298" i="18"/>
  <c r="B299" i="18"/>
  <c r="B300" i="18"/>
  <c r="B301" i="18"/>
  <c r="B302" i="18"/>
  <c r="B303" i="18"/>
  <c r="B304" i="18"/>
  <c r="B305" i="18"/>
  <c r="B306" i="18"/>
  <c r="B307" i="18"/>
  <c r="B308" i="18"/>
  <c r="B309" i="18"/>
  <c r="B338" i="18"/>
  <c r="B339" i="18"/>
  <c r="B340" i="18"/>
  <c r="B341" i="18"/>
  <c r="B342" i="18"/>
  <c r="B343" i="18"/>
  <c r="B344" i="18"/>
  <c r="B345" i="18"/>
  <c r="B346" i="18"/>
  <c r="B347" i="18"/>
  <c r="B348" i="18"/>
  <c r="B349" i="18"/>
  <c r="B350" i="18"/>
  <c r="B351" i="18"/>
  <c r="B352" i="18"/>
  <c r="B353" i="18"/>
  <c r="B354" i="18"/>
  <c r="B355" i="18"/>
  <c r="B356" i="18"/>
  <c r="B357" i="18"/>
  <c r="B358" i="18"/>
  <c r="B359" i="18"/>
  <c r="B360" i="18"/>
  <c r="B361" i="18"/>
  <c r="B362" i="18"/>
  <c r="B363" i="18"/>
  <c r="B364" i="18"/>
  <c r="B365" i="18"/>
  <c r="B366" i="18"/>
  <c r="B367" i="18"/>
  <c r="B368" i="18"/>
  <c r="B369" i="18"/>
  <c r="B370" i="18"/>
  <c r="B371" i="18"/>
  <c r="B372" i="18"/>
  <c r="B373" i="18"/>
  <c r="B374" i="18"/>
  <c r="B375" i="18"/>
  <c r="B376" i="18"/>
  <c r="B377" i="18"/>
  <c r="B378" i="18"/>
  <c r="B379" i="18"/>
  <c r="B380" i="18"/>
  <c r="B381" i="18"/>
  <c r="B382" i="18"/>
  <c r="B383" i="18"/>
  <c r="B384" i="18"/>
  <c r="B385" i="18"/>
  <c r="B386" i="18"/>
  <c r="B387" i="18"/>
  <c r="B388" i="18"/>
  <c r="B389" i="18"/>
  <c r="B390" i="18"/>
  <c r="B391" i="18"/>
  <c r="B392" i="18"/>
  <c r="B393" i="18"/>
  <c r="B394" i="18"/>
  <c r="B395" i="18"/>
  <c r="B396" i="18"/>
  <c r="B397" i="18"/>
  <c r="B398" i="18"/>
  <c r="B399" i="18"/>
  <c r="B400" i="18"/>
  <c r="B401" i="18"/>
  <c r="B402" i="18"/>
  <c r="B403" i="18"/>
  <c r="B404" i="18"/>
  <c r="B405" i="18"/>
  <c r="B406" i="18"/>
  <c r="B407" i="18"/>
  <c r="B408" i="18"/>
  <c r="B409" i="18"/>
  <c r="B410" i="18"/>
  <c r="B411" i="18"/>
  <c r="B412" i="18"/>
  <c r="B413" i="18"/>
  <c r="B414" i="18"/>
  <c r="B415" i="18"/>
  <c r="B416" i="18"/>
  <c r="B417" i="18"/>
  <c r="B418" i="18"/>
  <c r="B419" i="18"/>
  <c r="B420" i="18"/>
  <c r="B421" i="18"/>
  <c r="B422" i="18"/>
  <c r="B423" i="18"/>
  <c r="B424" i="18"/>
  <c r="B425" i="18"/>
  <c r="B426" i="18"/>
  <c r="B427" i="18"/>
  <c r="B428" i="18"/>
  <c r="B429" i="18"/>
  <c r="B430" i="18"/>
  <c r="B431" i="18"/>
  <c r="B432" i="18"/>
  <c r="B433" i="18"/>
  <c r="B434" i="18"/>
  <c r="B435" i="18"/>
  <c r="B436" i="18"/>
  <c r="B437" i="18"/>
  <c r="B438" i="18"/>
  <c r="B439" i="18"/>
  <c r="B440" i="18"/>
  <c r="B441" i="18"/>
  <c r="B442" i="18"/>
  <c r="B443" i="18"/>
  <c r="B444" i="18"/>
  <c r="B445" i="18"/>
  <c r="B446" i="18"/>
  <c r="B447" i="18"/>
  <c r="B448" i="18"/>
  <c r="B449" i="18"/>
  <c r="B450" i="18"/>
  <c r="B451" i="18"/>
  <c r="B452" i="18"/>
  <c r="B453" i="18"/>
  <c r="B454" i="18"/>
  <c r="B455" i="18"/>
  <c r="B456" i="18"/>
  <c r="B457" i="18"/>
  <c r="B458" i="18"/>
  <c r="B459" i="18"/>
  <c r="B460" i="18"/>
  <c r="B461" i="18"/>
  <c r="B462" i="18"/>
  <c r="B463" i="18"/>
  <c r="B464" i="18"/>
  <c r="B465" i="18"/>
  <c r="B466" i="18"/>
  <c r="B467" i="18"/>
  <c r="B468" i="18"/>
  <c r="B469" i="18"/>
  <c r="B470" i="18"/>
  <c r="B471" i="18"/>
  <c r="B472" i="18"/>
  <c r="B473" i="18"/>
  <c r="B474" i="18"/>
  <c r="B475" i="18"/>
  <c r="B476" i="18"/>
  <c r="B477" i="18"/>
  <c r="B478" i="18"/>
  <c r="B479" i="18"/>
  <c r="B480" i="18"/>
  <c r="B481" i="18"/>
  <c r="B482" i="18"/>
  <c r="B483" i="18"/>
  <c r="B484" i="18"/>
  <c r="B485" i="18"/>
  <c r="B486" i="18"/>
  <c r="B487" i="18"/>
  <c r="B488" i="18"/>
  <c r="B489" i="18"/>
  <c r="B490" i="18"/>
  <c r="B491" i="18"/>
  <c r="B492" i="18"/>
  <c r="B493" i="18"/>
  <c r="B494" i="18"/>
  <c r="B495" i="18"/>
  <c r="B496" i="18"/>
  <c r="B497" i="18"/>
  <c r="B498" i="18"/>
  <c r="B499" i="18"/>
  <c r="B500" i="18"/>
  <c r="B501" i="18"/>
  <c r="B502" i="18"/>
  <c r="B503" i="18"/>
  <c r="B504" i="18"/>
  <c r="B505" i="18"/>
  <c r="B2" i="18"/>
  <c r="B493" i="58"/>
  <c r="B494" i="58"/>
  <c r="B493" i="37"/>
  <c r="B493" i="41" s="1"/>
  <c r="B494" i="37"/>
  <c r="B494" i="41" s="1"/>
  <c r="I12" i="39"/>
  <c r="G39" i="39" s="1"/>
  <c r="I13" i="39"/>
  <c r="I14" i="39"/>
  <c r="O41" i="39" s="1"/>
  <c r="I15" i="39"/>
  <c r="G42" i="39" s="1"/>
  <c r="I16" i="39"/>
  <c r="I17" i="39"/>
  <c r="G44" i="39" s="1"/>
  <c r="I20" i="39"/>
  <c r="G47" i="39" s="1"/>
  <c r="I21" i="39"/>
  <c r="I22" i="39"/>
  <c r="O49" i="39" s="1"/>
  <c r="I23" i="39"/>
  <c r="I24" i="39"/>
  <c r="P24" i="39" s="1"/>
  <c r="Q24" i="39" s="1"/>
  <c r="I25" i="39"/>
  <c r="O52" i="39" s="1"/>
  <c r="I26" i="39"/>
  <c r="I27" i="39"/>
  <c r="I28" i="39"/>
  <c r="F44" i="39"/>
  <c r="B451" i="58"/>
  <c r="C451" i="58"/>
  <c r="B451" i="37"/>
  <c r="B451" i="41" s="1"/>
  <c r="C451" i="37"/>
  <c r="C451" i="41" s="1"/>
  <c r="H17" i="39"/>
  <c r="B471" i="58"/>
  <c r="C471" i="58"/>
  <c r="B471" i="37"/>
  <c r="B471" i="41" s="1"/>
  <c r="C471" i="37"/>
  <c r="C471" i="41" s="1"/>
  <c r="F6" i="6"/>
  <c r="F7" i="6"/>
  <c r="F5" i="6"/>
  <c r="B489" i="58"/>
  <c r="C489" i="58"/>
  <c r="D489" i="58"/>
  <c r="B490" i="58"/>
  <c r="B491" i="58"/>
  <c r="B492" i="58"/>
  <c r="B489" i="37"/>
  <c r="B489" i="41" s="1"/>
  <c r="C489" i="37"/>
  <c r="C489" i="41" s="1"/>
  <c r="B490" i="37"/>
  <c r="B490" i="41" s="1"/>
  <c r="B491" i="37"/>
  <c r="B491" i="41" s="1"/>
  <c r="B492" i="37"/>
  <c r="B492" i="41" s="1"/>
  <c r="B50" i="26"/>
  <c r="B51" i="26"/>
  <c r="B52" i="26"/>
  <c r="B53" i="26"/>
  <c r="B54" i="26"/>
  <c r="D18" i="26"/>
  <c r="C18" i="26"/>
  <c r="O20" i="39"/>
  <c r="O23" i="39"/>
  <c r="O24" i="39"/>
  <c r="O26" i="39"/>
  <c r="O27" i="39"/>
  <c r="O28" i="39"/>
  <c r="C486" i="58"/>
  <c r="B486" i="58"/>
  <c r="C485" i="58"/>
  <c r="B485" i="58"/>
  <c r="C484" i="58"/>
  <c r="B484" i="58"/>
  <c r="C483" i="58"/>
  <c r="B483" i="58"/>
  <c r="C482" i="58"/>
  <c r="B482" i="58"/>
  <c r="C481" i="58"/>
  <c r="B481" i="58"/>
  <c r="D480" i="58"/>
  <c r="C480" i="58"/>
  <c r="B480" i="58"/>
  <c r="D479" i="58"/>
  <c r="C479" i="58"/>
  <c r="B479" i="58"/>
  <c r="C478" i="58"/>
  <c r="B478" i="58"/>
  <c r="C477" i="58"/>
  <c r="B477" i="58"/>
  <c r="C476" i="58"/>
  <c r="B476" i="58"/>
  <c r="C475" i="58"/>
  <c r="B475" i="58"/>
  <c r="D474" i="58"/>
  <c r="C474" i="58"/>
  <c r="B474" i="58"/>
  <c r="C473" i="58"/>
  <c r="B473" i="58"/>
  <c r="C472" i="58"/>
  <c r="B472" i="58"/>
  <c r="C470" i="58"/>
  <c r="B470" i="58"/>
  <c r="C469" i="58"/>
  <c r="B469" i="58"/>
  <c r="C468" i="58"/>
  <c r="B468" i="58"/>
  <c r="C467" i="58"/>
  <c r="B467" i="58"/>
  <c r="C466" i="58"/>
  <c r="B466" i="58"/>
  <c r="C465" i="58"/>
  <c r="B465" i="58"/>
  <c r="C464" i="58"/>
  <c r="B464" i="58"/>
  <c r="C463" i="58"/>
  <c r="B463" i="58"/>
  <c r="C462" i="58"/>
  <c r="B462" i="58"/>
  <c r="C458" i="58"/>
  <c r="B458" i="58"/>
  <c r="C457" i="58"/>
  <c r="B457" i="58"/>
  <c r="C456" i="58"/>
  <c r="B456" i="58"/>
  <c r="C455" i="58"/>
  <c r="B455" i="58"/>
  <c r="C454" i="58"/>
  <c r="B454" i="58"/>
  <c r="C453" i="58"/>
  <c r="B453" i="58"/>
  <c r="C452" i="58"/>
  <c r="B452" i="58"/>
  <c r="C450" i="58"/>
  <c r="B450" i="58"/>
  <c r="C449" i="58"/>
  <c r="B449" i="58"/>
  <c r="C448" i="58"/>
  <c r="B448" i="58"/>
  <c r="C447" i="58"/>
  <c r="B447" i="58"/>
  <c r="C446" i="58"/>
  <c r="B446" i="58"/>
  <c r="C445" i="58"/>
  <c r="B445" i="58"/>
  <c r="C444" i="58"/>
  <c r="B444" i="58"/>
  <c r="C443" i="58"/>
  <c r="B443" i="58"/>
  <c r="C442" i="58"/>
  <c r="B442" i="58"/>
  <c r="C441" i="58"/>
  <c r="B441" i="58"/>
  <c r="C440" i="58"/>
  <c r="B440" i="58"/>
  <c r="B439" i="58"/>
  <c r="B438" i="58"/>
  <c r="B437" i="58"/>
  <c r="B436" i="58"/>
  <c r="B435" i="58"/>
  <c r="B434" i="58"/>
  <c r="B433" i="58"/>
  <c r="B432" i="58"/>
  <c r="B431" i="58"/>
  <c r="B430" i="58"/>
  <c r="B429" i="58"/>
  <c r="B427" i="58"/>
  <c r="B426" i="58"/>
  <c r="B424" i="58"/>
  <c r="B423" i="58"/>
  <c r="U2" i="58"/>
  <c r="K2" i="58"/>
  <c r="G2" i="58"/>
  <c r="E2" i="58"/>
  <c r="D2" i="58"/>
  <c r="C2" i="58"/>
  <c r="B2" i="58"/>
  <c r="A2" i="58"/>
  <c r="U1" i="58"/>
  <c r="K1" i="58"/>
  <c r="I1" i="58"/>
  <c r="G1" i="58"/>
  <c r="E1" i="58"/>
  <c r="D1" i="58"/>
  <c r="C1" i="58"/>
  <c r="B1" i="58"/>
  <c r="B423" i="37"/>
  <c r="B423" i="41" s="1"/>
  <c r="B424" i="37"/>
  <c r="B424" i="41" s="1"/>
  <c r="B426" i="37"/>
  <c r="B426" i="41" s="1"/>
  <c r="B427" i="37"/>
  <c r="B427" i="41" s="1"/>
  <c r="B429" i="37"/>
  <c r="B429" i="41" s="1"/>
  <c r="B430" i="37"/>
  <c r="B430" i="41" s="1"/>
  <c r="B431" i="37"/>
  <c r="B431" i="41" s="1"/>
  <c r="B432" i="37"/>
  <c r="B432" i="41" s="1"/>
  <c r="B433" i="37"/>
  <c r="B433" i="41" s="1"/>
  <c r="B434" i="37"/>
  <c r="B434" i="41" s="1"/>
  <c r="B435" i="37"/>
  <c r="B435" i="41" s="1"/>
  <c r="B436" i="37"/>
  <c r="B436" i="41" s="1"/>
  <c r="B437" i="37"/>
  <c r="B437" i="41" s="1"/>
  <c r="B438" i="37"/>
  <c r="B438" i="41" s="1"/>
  <c r="B439" i="37"/>
  <c r="B439" i="41" s="1"/>
  <c r="B440" i="37"/>
  <c r="B440" i="41" s="1"/>
  <c r="C440" i="37"/>
  <c r="C440" i="41" s="1"/>
  <c r="B441" i="37"/>
  <c r="B441" i="41" s="1"/>
  <c r="C441" i="37"/>
  <c r="C441" i="41" s="1"/>
  <c r="B442" i="37"/>
  <c r="B442" i="41" s="1"/>
  <c r="C442" i="37"/>
  <c r="C442" i="41" s="1"/>
  <c r="B443" i="37"/>
  <c r="B443" i="41" s="1"/>
  <c r="C443" i="37"/>
  <c r="C443" i="41" s="1"/>
  <c r="B444" i="37"/>
  <c r="B444" i="41" s="1"/>
  <c r="C444" i="37"/>
  <c r="C444" i="41" s="1"/>
  <c r="B445" i="37"/>
  <c r="B445" i="41" s="1"/>
  <c r="C445" i="37"/>
  <c r="C445" i="41" s="1"/>
  <c r="B446" i="37"/>
  <c r="B446" i="41" s="1"/>
  <c r="C446" i="37"/>
  <c r="C446" i="41" s="1"/>
  <c r="B447" i="37"/>
  <c r="B447" i="41" s="1"/>
  <c r="C447" i="37"/>
  <c r="C447" i="41" s="1"/>
  <c r="B448" i="37"/>
  <c r="B448" i="41" s="1"/>
  <c r="C448" i="37"/>
  <c r="C448" i="41" s="1"/>
  <c r="B449" i="37"/>
  <c r="B449" i="41" s="1"/>
  <c r="C449" i="37"/>
  <c r="C449" i="41" s="1"/>
  <c r="B450" i="37"/>
  <c r="B450" i="41" s="1"/>
  <c r="C450" i="37"/>
  <c r="C450" i="41" s="1"/>
  <c r="B452" i="37"/>
  <c r="B452" i="41" s="1"/>
  <c r="C452" i="37"/>
  <c r="C452" i="41" s="1"/>
  <c r="B453" i="37"/>
  <c r="B453" i="41" s="1"/>
  <c r="C453" i="37"/>
  <c r="C453" i="41" s="1"/>
  <c r="B454" i="37"/>
  <c r="B454" i="41" s="1"/>
  <c r="C454" i="37"/>
  <c r="C454" i="41" s="1"/>
  <c r="B455" i="37"/>
  <c r="B455" i="41" s="1"/>
  <c r="C455" i="37"/>
  <c r="C455" i="41" s="1"/>
  <c r="B456" i="37"/>
  <c r="B456" i="41" s="1"/>
  <c r="C456" i="37"/>
  <c r="C456" i="41" s="1"/>
  <c r="B457" i="37"/>
  <c r="B457" i="41" s="1"/>
  <c r="C457" i="37"/>
  <c r="C457" i="41" s="1"/>
  <c r="B458" i="37"/>
  <c r="B458" i="41" s="1"/>
  <c r="C458" i="37"/>
  <c r="C458" i="41" s="1"/>
  <c r="B462" i="37"/>
  <c r="B462" i="41" s="1"/>
  <c r="C462" i="37"/>
  <c r="C462" i="41" s="1"/>
  <c r="B463" i="37"/>
  <c r="B463" i="41" s="1"/>
  <c r="C463" i="37"/>
  <c r="C463" i="41" s="1"/>
  <c r="B464" i="37"/>
  <c r="B464" i="41" s="1"/>
  <c r="C464" i="37"/>
  <c r="C464" i="41" s="1"/>
  <c r="B465" i="37"/>
  <c r="B465" i="41" s="1"/>
  <c r="C465" i="37"/>
  <c r="C465" i="41" s="1"/>
  <c r="B466" i="37"/>
  <c r="B466" i="41" s="1"/>
  <c r="C466" i="37"/>
  <c r="C466" i="41" s="1"/>
  <c r="B467" i="37"/>
  <c r="B467" i="41" s="1"/>
  <c r="C467" i="37"/>
  <c r="C467" i="41" s="1"/>
  <c r="B468" i="37"/>
  <c r="B468" i="41" s="1"/>
  <c r="C468" i="37"/>
  <c r="C468" i="41" s="1"/>
  <c r="B469" i="37"/>
  <c r="B469" i="41" s="1"/>
  <c r="C469" i="37"/>
  <c r="C469" i="41" s="1"/>
  <c r="B470" i="37"/>
  <c r="B470" i="41" s="1"/>
  <c r="C470" i="37"/>
  <c r="C470" i="41" s="1"/>
  <c r="B472" i="37"/>
  <c r="B472" i="41" s="1"/>
  <c r="C472" i="37"/>
  <c r="C472" i="41" s="1"/>
  <c r="B473" i="37"/>
  <c r="B473" i="41" s="1"/>
  <c r="C473" i="37"/>
  <c r="C473" i="41" s="1"/>
  <c r="B474" i="37"/>
  <c r="B474" i="41" s="1"/>
  <c r="C474" i="37"/>
  <c r="C474" i="41" s="1"/>
  <c r="B475" i="37"/>
  <c r="B475" i="41" s="1"/>
  <c r="C475" i="37"/>
  <c r="C475" i="41" s="1"/>
  <c r="B476" i="37"/>
  <c r="B476" i="41" s="1"/>
  <c r="C476" i="37"/>
  <c r="C476" i="41" s="1"/>
  <c r="B477" i="37"/>
  <c r="B477" i="41" s="1"/>
  <c r="C477" i="37"/>
  <c r="C477" i="41" s="1"/>
  <c r="B478" i="37"/>
  <c r="B478" i="41" s="1"/>
  <c r="C478" i="37"/>
  <c r="C478" i="41" s="1"/>
  <c r="B479" i="37"/>
  <c r="B479" i="41" s="1"/>
  <c r="C479" i="37"/>
  <c r="C479" i="41" s="1"/>
  <c r="B480" i="37"/>
  <c r="B480" i="41" s="1"/>
  <c r="C480" i="37"/>
  <c r="C480" i="41" s="1"/>
  <c r="B481" i="37"/>
  <c r="B481" i="41" s="1"/>
  <c r="C481" i="37"/>
  <c r="C481" i="41" s="1"/>
  <c r="B482" i="37"/>
  <c r="B482" i="41" s="1"/>
  <c r="C482" i="37"/>
  <c r="C482" i="41" s="1"/>
  <c r="B483" i="37"/>
  <c r="B483" i="41" s="1"/>
  <c r="C483" i="37"/>
  <c r="C483" i="41" s="1"/>
  <c r="B484" i="37"/>
  <c r="B484" i="41" s="1"/>
  <c r="C484" i="37"/>
  <c r="C484" i="41" s="1"/>
  <c r="B485" i="37"/>
  <c r="B485" i="41" s="1"/>
  <c r="C485" i="37"/>
  <c r="C485" i="41" s="1"/>
  <c r="B486" i="37"/>
  <c r="B486" i="41" s="1"/>
  <c r="C486" i="37"/>
  <c r="C486" i="41" s="1"/>
  <c r="B2" i="37"/>
  <c r="B2" i="41" s="1"/>
  <c r="C2" i="37"/>
  <c r="C2" i="41" s="1"/>
  <c r="D2" i="37"/>
  <c r="D2" i="41" s="1"/>
  <c r="E2" i="37"/>
  <c r="E2" i="41" s="1"/>
  <c r="G2" i="37"/>
  <c r="G2" i="41" s="1"/>
  <c r="A2" i="37"/>
  <c r="A2" i="41" s="1"/>
  <c r="D11" i="1" a="1"/>
  <c r="D11" i="1" s="1"/>
  <c r="D14" i="1" a="1"/>
  <c r="D14" i="1" s="1"/>
  <c r="I8" i="9" s="1"/>
  <c r="D15" i="1" a="1"/>
  <c r="D15" i="1" s="1"/>
  <c r="I9" i="9" s="1"/>
  <c r="F52" i="39"/>
  <c r="H25" i="39"/>
  <c r="H26" i="39"/>
  <c r="F53" i="39"/>
  <c r="F55" i="39"/>
  <c r="F54" i="39"/>
  <c r="F51" i="39"/>
  <c r="F50" i="39"/>
  <c r="F43" i="39"/>
  <c r="F48" i="39"/>
  <c r="F42" i="39"/>
  <c r="F41" i="39"/>
  <c r="H21" i="39"/>
  <c r="H19" i="39"/>
  <c r="H18" i="39"/>
  <c r="H20" i="39"/>
  <c r="H13" i="39"/>
  <c r="H14" i="39"/>
  <c r="H12" i="39"/>
  <c r="H16" i="39"/>
  <c r="H23" i="39"/>
  <c r="H24" i="39"/>
  <c r="H27" i="39"/>
  <c r="H28" i="39"/>
  <c r="H15" i="39"/>
  <c r="K2" i="41"/>
  <c r="R1" i="41"/>
  <c r="K1" i="41"/>
  <c r="J1" i="41"/>
  <c r="I1" i="41"/>
  <c r="G1" i="41"/>
  <c r="F1" i="41"/>
  <c r="E1" i="41"/>
  <c r="D1" i="41"/>
  <c r="C1" i="41"/>
  <c r="B1" i="41"/>
  <c r="U2" i="37"/>
  <c r="K2" i="37"/>
  <c r="U1" i="37"/>
  <c r="K1" i="37"/>
  <c r="J1" i="37"/>
  <c r="I1" i="37"/>
  <c r="G1" i="37"/>
  <c r="E1" i="37"/>
  <c r="D1" i="37"/>
  <c r="C1" i="37"/>
  <c r="B1" i="37"/>
  <c r="B337" i="18"/>
  <c r="B336" i="18"/>
  <c r="B335" i="18"/>
  <c r="B334" i="18"/>
  <c r="B333" i="18"/>
  <c r="B332" i="18"/>
  <c r="B331" i="18"/>
  <c r="B330" i="18"/>
  <c r="B329" i="18"/>
  <c r="B328" i="18"/>
  <c r="B327" i="18"/>
  <c r="B326" i="18"/>
  <c r="B325" i="18"/>
  <c r="B324" i="18"/>
  <c r="B323" i="18"/>
  <c r="B322" i="18"/>
  <c r="B321" i="18"/>
  <c r="B320" i="18"/>
  <c r="B319" i="18"/>
  <c r="B318" i="18"/>
  <c r="B317" i="18"/>
  <c r="B316" i="18"/>
  <c r="B315" i="18"/>
  <c r="B314" i="18"/>
  <c r="B313" i="18"/>
  <c r="B312" i="18"/>
  <c r="B311" i="18"/>
  <c r="B310" i="18"/>
  <c r="B295" i="18"/>
  <c r="B294" i="18"/>
  <c r="B293" i="18"/>
  <c r="B292" i="18"/>
  <c r="B291" i="18"/>
  <c r="B290" i="18"/>
  <c r="B289" i="18"/>
  <c r="B288" i="18"/>
  <c r="B287" i="18"/>
  <c r="B286" i="18"/>
  <c r="B285" i="18"/>
  <c r="B284" i="18"/>
  <c r="B283" i="18"/>
  <c r="B282" i="18"/>
  <c r="B281" i="18"/>
  <c r="B280" i="18"/>
  <c r="B279" i="18"/>
  <c r="B278" i="18"/>
  <c r="B277" i="18"/>
  <c r="B276" i="18"/>
  <c r="B275" i="18"/>
  <c r="B274" i="18"/>
  <c r="B273" i="18"/>
  <c r="B272" i="18"/>
  <c r="B271" i="18"/>
  <c r="B270" i="18"/>
  <c r="B269" i="18"/>
  <c r="B268" i="18"/>
  <c r="B84" i="18"/>
  <c r="B70" i="18"/>
  <c r="B28" i="18"/>
  <c r="B42" i="18"/>
  <c r="B41" i="18"/>
  <c r="C4" i="6"/>
  <c r="I4" i="6"/>
  <c r="D50" i="17"/>
  <c r="AB2" i="39"/>
  <c r="D11" i="39"/>
  <c r="K11" i="39"/>
  <c r="G23" i="20"/>
  <c r="G50" i="20"/>
  <c r="D23" i="20"/>
  <c r="O4" i="20"/>
  <c r="F4" i="20"/>
  <c r="D50" i="20"/>
  <c r="D10" i="17"/>
  <c r="B85" i="18"/>
  <c r="B83" i="18"/>
  <c r="B82" i="18"/>
  <c r="B81" i="18"/>
  <c r="B80" i="18"/>
  <c r="B79" i="18"/>
  <c r="B78" i="18"/>
  <c r="B77" i="18"/>
  <c r="B76" i="18"/>
  <c r="B75" i="18"/>
  <c r="B74" i="18"/>
  <c r="B73" i="18"/>
  <c r="B72" i="18"/>
  <c r="B71" i="18"/>
  <c r="B69" i="18"/>
  <c r="B68" i="18"/>
  <c r="B67" i="18"/>
  <c r="B66" i="18"/>
  <c r="B65" i="18"/>
  <c r="B64" i="18"/>
  <c r="B63" i="18"/>
  <c r="B62" i="18"/>
  <c r="B61" i="18"/>
  <c r="B60" i="18"/>
  <c r="B59" i="18"/>
  <c r="B58" i="18"/>
  <c r="B43" i="18"/>
  <c r="B40" i="18"/>
  <c r="B39" i="18"/>
  <c r="B38" i="18"/>
  <c r="B37" i="18"/>
  <c r="B36" i="18"/>
  <c r="B35" i="18"/>
  <c r="B34" i="18"/>
  <c r="B33" i="18"/>
  <c r="B32" i="18"/>
  <c r="B31" i="18"/>
  <c r="B30" i="18"/>
  <c r="B29" i="18"/>
  <c r="B27" i="18"/>
  <c r="B26" i="18"/>
  <c r="B25" i="18"/>
  <c r="B24" i="18"/>
  <c r="B23" i="18"/>
  <c r="B22" i="18"/>
  <c r="B21" i="18"/>
  <c r="B20" i="18"/>
  <c r="B19" i="18"/>
  <c r="B18" i="18"/>
  <c r="B17" i="18"/>
  <c r="B16" i="18"/>
  <c r="E52" i="22"/>
  <c r="E57" i="22"/>
  <c r="E54" i="22"/>
  <c r="E59" i="22"/>
  <c r="E56" i="22"/>
  <c r="E61" i="22"/>
  <c r="E7" i="22"/>
  <c r="E12" i="22"/>
  <c r="E9" i="22"/>
  <c r="E14" i="22"/>
  <c r="E11" i="22"/>
  <c r="E16" i="22"/>
  <c r="F49" i="39"/>
  <c r="H22" i="39"/>
  <c r="C11" i="32"/>
  <c r="F48" i="26"/>
  <c r="C48" i="26"/>
  <c r="F11" i="32"/>
  <c r="Q38" i="70"/>
  <c r="Q36" i="70"/>
  <c r="Q37" i="70"/>
  <c r="R36" i="70" l="1"/>
  <c r="R38" i="70"/>
  <c r="R37" i="70"/>
  <c r="H3" i="72"/>
  <c r="T3" i="72"/>
  <c r="AF3" i="72"/>
  <c r="P4" i="72"/>
  <c r="AB4" i="72"/>
  <c r="M5" i="72"/>
  <c r="Y5" i="72"/>
  <c r="K6" i="72"/>
  <c r="W6" i="72"/>
  <c r="AI6" i="72"/>
  <c r="V7" i="72"/>
  <c r="AH7" i="72"/>
  <c r="V8" i="72"/>
  <c r="AH8" i="72"/>
  <c r="W9" i="72"/>
  <c r="AI9" i="72"/>
  <c r="Y10" i="72"/>
  <c r="P11" i="72"/>
  <c r="AB11" i="72"/>
  <c r="T12" i="72"/>
  <c r="AF12" i="72"/>
  <c r="Y13" i="72"/>
  <c r="S14" i="72"/>
  <c r="AE14" i="72"/>
  <c r="Z15" i="72"/>
  <c r="V16" i="72"/>
  <c r="AH16" i="72"/>
  <c r="AE17" i="72"/>
  <c r="AC18" i="72"/>
  <c r="AB19" i="72"/>
  <c r="AB20" i="72"/>
  <c r="AC21" i="72"/>
  <c r="AE22" i="72"/>
  <c r="AH23" i="72"/>
  <c r="AE25" i="72"/>
  <c r="AF27" i="72"/>
  <c r="AI30" i="72"/>
  <c r="P33" i="72"/>
  <c r="AB33" i="72"/>
  <c r="K34" i="72"/>
  <c r="W34" i="72"/>
  <c r="AI34" i="72"/>
  <c r="S35" i="72"/>
  <c r="AE35" i="72"/>
  <c r="P36" i="72"/>
  <c r="AB36" i="72"/>
  <c r="N37" i="72"/>
  <c r="Z37" i="72"/>
  <c r="M38" i="72"/>
  <c r="Y38" i="72"/>
  <c r="M39" i="72"/>
  <c r="Y39" i="72"/>
  <c r="N40" i="72"/>
  <c r="Z40" i="72"/>
  <c r="P41" i="72"/>
  <c r="AB41" i="72"/>
  <c r="S42" i="72"/>
  <c r="AE42" i="72"/>
  <c r="W43" i="72"/>
  <c r="AI43" i="72"/>
  <c r="AB44" i="72"/>
  <c r="V45" i="72"/>
  <c r="AH45" i="72"/>
  <c r="AC46" i="72"/>
  <c r="Y47" i="72"/>
  <c r="V48" i="72"/>
  <c r="AH48" i="72"/>
  <c r="AF49" i="72"/>
  <c r="AE50" i="72"/>
  <c r="AE51" i="72"/>
  <c r="AF52" i="72"/>
  <c r="AH53" i="72"/>
  <c r="AC55" i="72"/>
  <c r="AH56" i="72"/>
  <c r="AI58" i="72"/>
  <c r="G64" i="72"/>
  <c r="S64" i="72"/>
  <c r="AE64" i="72"/>
  <c r="N65" i="72"/>
  <c r="Z65" i="72"/>
  <c r="J66" i="72"/>
  <c r="V66" i="72"/>
  <c r="AH66" i="72"/>
  <c r="B39" i="63"/>
  <c r="I3" i="72"/>
  <c r="U3" i="72"/>
  <c r="AG3" i="72"/>
  <c r="Q4" i="72"/>
  <c r="AC4" i="72"/>
  <c r="N5" i="72"/>
  <c r="Z5" i="72"/>
  <c r="L6" i="72"/>
  <c r="X6" i="72"/>
  <c r="AJ6" i="72"/>
  <c r="W7" i="72"/>
  <c r="AI7" i="72"/>
  <c r="W8" i="72"/>
  <c r="AI8" i="72"/>
  <c r="X9" i="72"/>
  <c r="AJ9" i="72"/>
  <c r="Z10" i="72"/>
  <c r="Q11" i="72"/>
  <c r="AC11" i="72"/>
  <c r="U12" i="72"/>
  <c r="AG12" i="72"/>
  <c r="Z13" i="72"/>
  <c r="T14" i="72"/>
  <c r="AF14" i="72"/>
  <c r="AA15" i="72"/>
  <c r="W16" i="72"/>
  <c r="AI16" i="72"/>
  <c r="AF17" i="72"/>
  <c r="AD18" i="72"/>
  <c r="AC19" i="72"/>
  <c r="AC20" i="72"/>
  <c r="AD21" i="72"/>
  <c r="AF22" i="72"/>
  <c r="AI23" i="72"/>
  <c r="AF25" i="72"/>
  <c r="AG27" i="72"/>
  <c r="AJ30" i="72"/>
  <c r="Q33" i="72"/>
  <c r="AC33" i="72"/>
  <c r="L34" i="72"/>
  <c r="X34" i="72"/>
  <c r="AJ34" i="72"/>
  <c r="T35" i="72"/>
  <c r="AF35" i="72"/>
  <c r="Q36" i="72"/>
  <c r="AC36" i="72"/>
  <c r="O37" i="72"/>
  <c r="AA37" i="72"/>
  <c r="N38" i="72"/>
  <c r="Z38" i="72"/>
  <c r="N39" i="72"/>
  <c r="Z39" i="72"/>
  <c r="O40" i="72"/>
  <c r="AA40" i="72"/>
  <c r="Q41" i="72"/>
  <c r="AC41" i="72"/>
  <c r="T42" i="72"/>
  <c r="AF42" i="72"/>
  <c r="X43" i="72"/>
  <c r="AJ43" i="72"/>
  <c r="AC44" i="72"/>
  <c r="W45" i="72"/>
  <c r="AI45" i="72"/>
  <c r="AD46" i="72"/>
  <c r="Z47" i="72"/>
  <c r="W48" i="72"/>
  <c r="AI48" i="72"/>
  <c r="AG49" i="72"/>
  <c r="AF50" i="72"/>
  <c r="AF51" i="72"/>
  <c r="AG52" i="72"/>
  <c r="AI53" i="72"/>
  <c r="AD55" i="72"/>
  <c r="AI56" i="72"/>
  <c r="AJ58" i="72"/>
  <c r="H64" i="72"/>
  <c r="J3" i="72"/>
  <c r="V3" i="72"/>
  <c r="AH3" i="72"/>
  <c r="R4" i="72"/>
  <c r="AD4" i="72"/>
  <c r="O5" i="72"/>
  <c r="AA5" i="72"/>
  <c r="M6" i="72"/>
  <c r="Y6" i="72"/>
  <c r="L7" i="72"/>
  <c r="X7" i="72"/>
  <c r="AJ7" i="72"/>
  <c r="X8" i="72"/>
  <c r="AJ8" i="72"/>
  <c r="Y9" i="72"/>
  <c r="O10" i="72"/>
  <c r="AA10" i="72"/>
  <c r="R11" i="72"/>
  <c r="AD11" i="72"/>
  <c r="V12" i="72"/>
  <c r="AH12" i="72"/>
  <c r="AA13" i="72"/>
  <c r="U14" i="72"/>
  <c r="AG14" i="72"/>
  <c r="AB15" i="72"/>
  <c r="X16" i="72"/>
  <c r="AJ16" i="72"/>
  <c r="AG17" i="72"/>
  <c r="AE18" i="72"/>
  <c r="AD19" i="72"/>
  <c r="AD20" i="72"/>
  <c r="AE21" i="72"/>
  <c r="AG22" i="72"/>
  <c r="AJ23" i="72"/>
  <c r="AG25" i="72"/>
  <c r="AH27" i="72"/>
  <c r="AJ31" i="72"/>
  <c r="R33" i="72"/>
  <c r="AD33" i="72"/>
  <c r="M34" i="72"/>
  <c r="Y34" i="72"/>
  <c r="I35" i="72"/>
  <c r="U35" i="72"/>
  <c r="AG35" i="72"/>
  <c r="R36" i="72"/>
  <c r="AD36" i="72"/>
  <c r="P37" i="72"/>
  <c r="AB37" i="72"/>
  <c r="O38" i="72"/>
  <c r="AA38" i="72"/>
  <c r="O39" i="72"/>
  <c r="AA39" i="72"/>
  <c r="P40" i="72"/>
  <c r="AB40" i="72"/>
  <c r="R41" i="72"/>
  <c r="AD41" i="72"/>
  <c r="U42" i="72"/>
  <c r="AG42" i="72"/>
  <c r="Y43" i="72"/>
  <c r="R44" i="72"/>
  <c r="AD44" i="72"/>
  <c r="X45" i="72"/>
  <c r="AJ45" i="72"/>
  <c r="AE46" i="72"/>
  <c r="AA47" i="72"/>
  <c r="X48" i="72"/>
  <c r="AJ48" i="72"/>
  <c r="AH49" i="72"/>
  <c r="AG50" i="72"/>
  <c r="AG51" i="72"/>
  <c r="AH52" i="72"/>
  <c r="AJ53" i="72"/>
  <c r="AE55" i="72"/>
  <c r="AJ56" i="72"/>
  <c r="AG59" i="72"/>
  <c r="I64" i="72"/>
  <c r="U64" i="72"/>
  <c r="AG64" i="72"/>
  <c r="P65" i="72"/>
  <c r="AB65" i="72"/>
  <c r="L66" i="72"/>
  <c r="X66" i="72"/>
  <c r="AJ66" i="72"/>
  <c r="U67" i="72"/>
  <c r="K3" i="72"/>
  <c r="W3" i="72"/>
  <c r="AI3" i="72"/>
  <c r="S4" i="72"/>
  <c r="AE4" i="72"/>
  <c r="P5" i="72"/>
  <c r="AB5" i="72"/>
  <c r="N6" i="72"/>
  <c r="Z6" i="72"/>
  <c r="M7" i="72"/>
  <c r="Y7" i="72"/>
  <c r="M8" i="72"/>
  <c r="Y8" i="72"/>
  <c r="N9" i="72"/>
  <c r="Z9" i="72"/>
  <c r="P10" i="72"/>
  <c r="AB10" i="72"/>
  <c r="S11" i="72"/>
  <c r="AE11" i="72"/>
  <c r="W12" i="72"/>
  <c r="AI12" i="72"/>
  <c r="AB13" i="72"/>
  <c r="V14" i="72"/>
  <c r="AH14" i="72"/>
  <c r="AC15" i="72"/>
  <c r="Y16" i="72"/>
  <c r="V17" i="72"/>
  <c r="AH17" i="72"/>
  <c r="AF18" i="72"/>
  <c r="AE19" i="72"/>
  <c r="AE20" i="72"/>
  <c r="AF21" i="72"/>
  <c r="AH22" i="72"/>
  <c r="AC24" i="72"/>
  <c r="AH25" i="72"/>
  <c r="AI27" i="72"/>
  <c r="G33" i="72"/>
  <c r="S33" i="72"/>
  <c r="AE33" i="72"/>
  <c r="N34" i="72"/>
  <c r="Z34" i="72"/>
  <c r="J35" i="72"/>
  <c r="V35" i="72"/>
  <c r="AH35" i="72"/>
  <c r="S36" i="72"/>
  <c r="AE36" i="72"/>
  <c r="Q37" i="72"/>
  <c r="AC37" i="72"/>
  <c r="P38" i="72"/>
  <c r="AB38" i="72"/>
  <c r="P39" i="72"/>
  <c r="AB39" i="72"/>
  <c r="Q40" i="72"/>
  <c r="AC40" i="72"/>
  <c r="S41" i="72"/>
  <c r="AE41" i="72"/>
  <c r="V42" i="72"/>
  <c r="AH42" i="72"/>
  <c r="Z43" i="72"/>
  <c r="S44" i="72"/>
  <c r="AE44" i="72"/>
  <c r="Y45" i="72"/>
  <c r="T46" i="72"/>
  <c r="AF46" i="72"/>
  <c r="AB47" i="72"/>
  <c r="Y48" i="72"/>
  <c r="W49" i="72"/>
  <c r="AI49" i="72"/>
  <c r="AH50" i="72"/>
  <c r="AH51" i="72"/>
  <c r="AI52" i="72"/>
  <c r="AB54" i="72"/>
  <c r="AF55" i="72"/>
  <c r="AE57" i="72"/>
  <c r="AH59" i="72"/>
  <c r="J64" i="72"/>
  <c r="V64" i="72"/>
  <c r="AH64" i="72"/>
  <c r="Q65" i="72"/>
  <c r="AC65" i="72"/>
  <c r="M66" i="72"/>
  <c r="Y66" i="72"/>
  <c r="J67" i="72"/>
  <c r="B9" i="63"/>
  <c r="L3" i="72"/>
  <c r="X3" i="72"/>
  <c r="AJ3" i="72"/>
  <c r="T4" i="72"/>
  <c r="AF4" i="72"/>
  <c r="Q5" i="72"/>
  <c r="AC5" i="72"/>
  <c r="O6" i="72"/>
  <c r="AA6" i="72"/>
  <c r="N7" i="72"/>
  <c r="Z7" i="72"/>
  <c r="N8" i="72"/>
  <c r="Z8" i="72"/>
  <c r="O9" i="72"/>
  <c r="AA9" i="72"/>
  <c r="Q10" i="72"/>
  <c r="AC10" i="72"/>
  <c r="T11" i="72"/>
  <c r="AF11" i="72"/>
  <c r="X12" i="72"/>
  <c r="AJ12" i="72"/>
  <c r="AC13" i="72"/>
  <c r="W14" i="72"/>
  <c r="AI14" i="72"/>
  <c r="AD15" i="72"/>
  <c r="Z16" i="72"/>
  <c r="W17" i="72"/>
  <c r="AI17" i="72"/>
  <c r="AG18" i="72"/>
  <c r="AF19" i="72"/>
  <c r="AF20" i="72"/>
  <c r="AG21" i="72"/>
  <c r="AI22" i="72"/>
  <c r="AD24" i="72"/>
  <c r="AI25" i="72"/>
  <c r="AJ27" i="72"/>
  <c r="H33" i="72"/>
  <c r="T33" i="72"/>
  <c r="AF33" i="72"/>
  <c r="O34" i="72"/>
  <c r="AA34" i="72"/>
  <c r="K35" i="72"/>
  <c r="W35" i="72"/>
  <c r="AI35" i="72"/>
  <c r="T36" i="72"/>
  <c r="AF36" i="72"/>
  <c r="R37" i="72"/>
  <c r="AD37" i="72"/>
  <c r="Q38" i="72"/>
  <c r="AC38" i="72"/>
  <c r="Q39" i="72"/>
  <c r="AC39" i="72"/>
  <c r="R40" i="72"/>
  <c r="AD40" i="72"/>
  <c r="T41" i="72"/>
  <c r="AF41" i="72"/>
  <c r="W42" i="72"/>
  <c r="AI42" i="72"/>
  <c r="AA43" i="72"/>
  <c r="T44" i="72"/>
  <c r="AF44" i="72"/>
  <c r="Z45" i="72"/>
  <c r="U46" i="72"/>
  <c r="AG46" i="72"/>
  <c r="AC47" i="72"/>
  <c r="Z48" i="72"/>
  <c r="X49" i="72"/>
  <c r="AJ49" i="72"/>
  <c r="AI50" i="72"/>
  <c r="AI51" i="72"/>
  <c r="AJ52" i="72"/>
  <c r="AC54" i="72"/>
  <c r="AG55" i="72"/>
  <c r="AF57" i="72"/>
  <c r="AI59" i="72"/>
  <c r="K64" i="72"/>
  <c r="W64" i="72"/>
  <c r="AI64" i="72"/>
  <c r="R65" i="72"/>
  <c r="AD65" i="72"/>
  <c r="N66" i="72"/>
  <c r="Z66" i="72"/>
  <c r="K67" i="72"/>
  <c r="M3" i="72"/>
  <c r="Y3" i="72"/>
  <c r="I4" i="72"/>
  <c r="U4" i="72"/>
  <c r="AG4" i="72"/>
  <c r="R5" i="72"/>
  <c r="AD5" i="72"/>
  <c r="P6" i="72"/>
  <c r="AB6" i="72"/>
  <c r="O7" i="72"/>
  <c r="AA7" i="72"/>
  <c r="O8" i="72"/>
  <c r="AA8" i="72"/>
  <c r="P9" i="72"/>
  <c r="AB9" i="72"/>
  <c r="R10" i="72"/>
  <c r="AD10" i="72"/>
  <c r="U11" i="72"/>
  <c r="AG11" i="72"/>
  <c r="Y12" i="72"/>
  <c r="R13" i="72"/>
  <c r="AD13" i="72"/>
  <c r="X14" i="72"/>
  <c r="AJ14" i="72"/>
  <c r="AE15" i="72"/>
  <c r="AA16" i="72"/>
  <c r="X17" i="72"/>
  <c r="AJ17" i="72"/>
  <c r="AH18" i="72"/>
  <c r="AG19" i="72"/>
  <c r="AG20" i="72"/>
  <c r="AH21" i="72"/>
  <c r="AJ22" i="72"/>
  <c r="AE24" i="72"/>
  <c r="AJ25" i="72"/>
  <c r="AG28" i="72"/>
  <c r="I33" i="72"/>
  <c r="U33" i="72"/>
  <c r="AG33" i="72"/>
  <c r="P34" i="72"/>
  <c r="AB34" i="72"/>
  <c r="L35" i="72"/>
  <c r="X35" i="72"/>
  <c r="AJ35" i="72"/>
  <c r="U36" i="72"/>
  <c r="AG36" i="72"/>
  <c r="S37" i="72"/>
  <c r="AE37" i="72"/>
  <c r="R38" i="72"/>
  <c r="AD38" i="72"/>
  <c r="R39" i="72"/>
  <c r="AD39" i="72"/>
  <c r="S40" i="72"/>
  <c r="AE40" i="72"/>
  <c r="U41" i="72"/>
  <c r="AG41" i="72"/>
  <c r="X42" i="72"/>
  <c r="AJ42" i="72"/>
  <c r="AB43" i="72"/>
  <c r="U44" i="72"/>
  <c r="AG44" i="72"/>
  <c r="AA45" i="72"/>
  <c r="V46" i="72"/>
  <c r="AH46" i="72"/>
  <c r="AD47" i="72"/>
  <c r="AA48" i="72"/>
  <c r="Y49" i="72"/>
  <c r="X50" i="72"/>
  <c r="AJ50" i="72"/>
  <c r="AJ51" i="72"/>
  <c r="AA53" i="72"/>
  <c r="AD54" i="72"/>
  <c r="AH55" i="72"/>
  <c r="AG57" i="72"/>
  <c r="AJ59" i="72"/>
  <c r="L64" i="72"/>
  <c r="X64" i="72"/>
  <c r="AJ64" i="72"/>
  <c r="S65" i="72"/>
  <c r="AE65" i="72"/>
  <c r="O66" i="72"/>
  <c r="AA66" i="72"/>
  <c r="L67" i="72"/>
  <c r="N3" i="72"/>
  <c r="Z3" i="72"/>
  <c r="J4" i="72"/>
  <c r="V4" i="72"/>
  <c r="AH4" i="72"/>
  <c r="S5" i="72"/>
  <c r="AE5" i="72"/>
  <c r="Q6" i="72"/>
  <c r="AC6" i="72"/>
  <c r="P7" i="72"/>
  <c r="AB7" i="72"/>
  <c r="P8" i="72"/>
  <c r="AB8" i="72"/>
  <c r="Q9" i="72"/>
  <c r="AC9" i="72"/>
  <c r="S10" i="72"/>
  <c r="AE10" i="72"/>
  <c r="V11" i="72"/>
  <c r="AH11" i="72"/>
  <c r="Z12" i="72"/>
  <c r="S13" i="72"/>
  <c r="AE13" i="72"/>
  <c r="Y14" i="72"/>
  <c r="T15" i="72"/>
  <c r="AF15" i="72"/>
  <c r="AB16" i="72"/>
  <c r="Y17" i="72"/>
  <c r="W18" i="72"/>
  <c r="AI18" i="72"/>
  <c r="AH19" i="72"/>
  <c r="AH20" i="72"/>
  <c r="AI21" i="72"/>
  <c r="AB23" i="72"/>
  <c r="AF24" i="72"/>
  <c r="AE26" i="72"/>
  <c r="AH28" i="72"/>
  <c r="J33" i="72"/>
  <c r="V33" i="72"/>
  <c r="AH33" i="72"/>
  <c r="Q34" i="72"/>
  <c r="AC34" i="72"/>
  <c r="M35" i="72"/>
  <c r="Y35" i="72"/>
  <c r="J36" i="72"/>
  <c r="V36" i="72"/>
  <c r="AH36" i="72"/>
  <c r="T37" i="72"/>
  <c r="AF37" i="72"/>
  <c r="S38" i="72"/>
  <c r="AE38" i="72"/>
  <c r="S39" i="72"/>
  <c r="AE39" i="72"/>
  <c r="T40" i="72"/>
  <c r="AF40" i="72"/>
  <c r="V41" i="72"/>
  <c r="AH41" i="72"/>
  <c r="Y42" i="72"/>
  <c r="Q43" i="72"/>
  <c r="AC43" i="72"/>
  <c r="V44" i="72"/>
  <c r="AH44" i="72"/>
  <c r="AB45" i="72"/>
  <c r="W46" i="72"/>
  <c r="AI46" i="72"/>
  <c r="AE47" i="72"/>
  <c r="AB48" i="72"/>
  <c r="Z49" i="72"/>
  <c r="Y50" i="72"/>
  <c r="Y51" i="72"/>
  <c r="Z52" i="72"/>
  <c r="AB53" i="72"/>
  <c r="AE54" i="72"/>
  <c r="AI55" i="72"/>
  <c r="AH57" i="72"/>
  <c r="AH60" i="72"/>
  <c r="M64" i="72"/>
  <c r="Y64" i="72"/>
  <c r="H65" i="72"/>
  <c r="T65" i="72"/>
  <c r="AF65" i="72"/>
  <c r="P66" i="72"/>
  <c r="AB66" i="72"/>
  <c r="O3" i="72"/>
  <c r="AA3" i="72"/>
  <c r="K4" i="72"/>
  <c r="W4" i="72"/>
  <c r="AI4" i="72"/>
  <c r="T5" i="72"/>
  <c r="AF5" i="72"/>
  <c r="R6" i="72"/>
  <c r="AD6" i="72"/>
  <c r="Q7" i="72"/>
  <c r="AC7" i="72"/>
  <c r="Q8" i="72"/>
  <c r="AC8" i="72"/>
  <c r="R9" i="72"/>
  <c r="AD9" i="72"/>
  <c r="T10" i="72"/>
  <c r="AF10" i="72"/>
  <c r="W11" i="72"/>
  <c r="AI11" i="72"/>
  <c r="AA12" i="72"/>
  <c r="T13" i="72"/>
  <c r="AF13" i="72"/>
  <c r="Z14" i="72"/>
  <c r="U15" i="72"/>
  <c r="AG15" i="72"/>
  <c r="AC16" i="72"/>
  <c r="Z17" i="72"/>
  <c r="X18" i="72"/>
  <c r="AJ18" i="72"/>
  <c r="AI19" i="72"/>
  <c r="AI20" i="72"/>
  <c r="AJ21" i="72"/>
  <c r="AC23" i="72"/>
  <c r="AG24" i="72"/>
  <c r="AF26" i="72"/>
  <c r="AI28" i="72"/>
  <c r="K33" i="72"/>
  <c r="W33" i="72"/>
  <c r="AI33" i="72"/>
  <c r="R34" i="72"/>
  <c r="AD34" i="72"/>
  <c r="N35" i="72"/>
  <c r="Z35" i="72"/>
  <c r="K36" i="72"/>
  <c r="W36" i="72"/>
  <c r="AI36" i="72"/>
  <c r="U37" i="72"/>
  <c r="AG37" i="72"/>
  <c r="T38" i="72"/>
  <c r="AF38" i="72"/>
  <c r="T39" i="72"/>
  <c r="AF39" i="72"/>
  <c r="U40" i="72"/>
  <c r="AG40" i="72"/>
  <c r="W41" i="72"/>
  <c r="AI41" i="72"/>
  <c r="Z42" i="72"/>
  <c r="R43" i="72"/>
  <c r="AD43" i="72"/>
  <c r="W44" i="72"/>
  <c r="AI44" i="72"/>
  <c r="AC45" i="72"/>
  <c r="X46" i="72"/>
  <c r="AJ46" i="72"/>
  <c r="AF47" i="72"/>
  <c r="AC48" i="72"/>
  <c r="AA49" i="72"/>
  <c r="Z50" i="72"/>
  <c r="Z51" i="72"/>
  <c r="AA52" i="72"/>
  <c r="AC53" i="72"/>
  <c r="AF54" i="72"/>
  <c r="AJ55" i="72"/>
  <c r="AI57" i="72"/>
  <c r="AI60" i="72"/>
  <c r="N64" i="72"/>
  <c r="Z64" i="72"/>
  <c r="I65" i="72"/>
  <c r="U65" i="72"/>
  <c r="AG65" i="72"/>
  <c r="Q66" i="72"/>
  <c r="AC66" i="72"/>
  <c r="N67" i="72"/>
  <c r="P3" i="72"/>
  <c r="AB3" i="72"/>
  <c r="L4" i="72"/>
  <c r="X4" i="72"/>
  <c r="AJ4" i="72"/>
  <c r="U5" i="72"/>
  <c r="AG5" i="72"/>
  <c r="S6" i="72"/>
  <c r="AE6" i="72"/>
  <c r="R7" i="72"/>
  <c r="AD7" i="72"/>
  <c r="R8" i="72"/>
  <c r="AD8" i="72"/>
  <c r="S9" i="72"/>
  <c r="AE9" i="72"/>
  <c r="U10" i="72"/>
  <c r="AG10" i="72"/>
  <c r="X11" i="72"/>
  <c r="AJ11" i="72"/>
  <c r="AB12" i="72"/>
  <c r="U13" i="72"/>
  <c r="AG13" i="72"/>
  <c r="AA14" i="72"/>
  <c r="V15" i="72"/>
  <c r="AH15" i="72"/>
  <c r="AD16" i="72"/>
  <c r="AA17" i="72"/>
  <c r="Y18" i="72"/>
  <c r="X19" i="72"/>
  <c r="AJ19" i="72"/>
  <c r="AJ20" i="72"/>
  <c r="AA22" i="72"/>
  <c r="AD23" i="72"/>
  <c r="AH24" i="72"/>
  <c r="AG26" i="72"/>
  <c r="AJ28" i="72"/>
  <c r="L33" i="72"/>
  <c r="X33" i="72"/>
  <c r="AJ33" i="72"/>
  <c r="S34" i="72"/>
  <c r="AE34" i="72"/>
  <c r="O35" i="72"/>
  <c r="AA35" i="72"/>
  <c r="L36" i="72"/>
  <c r="X36" i="72"/>
  <c r="AJ36" i="72"/>
  <c r="V37" i="72"/>
  <c r="AH37" i="72"/>
  <c r="U38" i="72"/>
  <c r="AG38" i="72"/>
  <c r="U39" i="72"/>
  <c r="AG39" i="72"/>
  <c r="V40" i="72"/>
  <c r="AH40" i="72"/>
  <c r="X41" i="72"/>
  <c r="AJ41" i="72"/>
  <c r="AA42" i="72"/>
  <c r="S43" i="72"/>
  <c r="AE43" i="72"/>
  <c r="X44" i="72"/>
  <c r="AJ44" i="72"/>
  <c r="AD45" i="72"/>
  <c r="Y46" i="72"/>
  <c r="U47" i="72"/>
  <c r="AG47" i="72"/>
  <c r="AD48" i="72"/>
  <c r="AB49" i="72"/>
  <c r="AA50" i="72"/>
  <c r="AA51" i="72"/>
  <c r="AB52" i="72"/>
  <c r="AD53" i="72"/>
  <c r="AG54" i="72"/>
  <c r="AD56" i="72"/>
  <c r="AJ57" i="72"/>
  <c r="AJ60" i="72"/>
  <c r="O64" i="72"/>
  <c r="AA64" i="72"/>
  <c r="J65" i="72"/>
  <c r="V65" i="72"/>
  <c r="AH65" i="72"/>
  <c r="R66" i="72"/>
  <c r="AD66" i="72"/>
  <c r="Q3" i="72"/>
  <c r="AC3" i="72"/>
  <c r="M4" i="72"/>
  <c r="Y4" i="72"/>
  <c r="J5" i="72"/>
  <c r="V5" i="72"/>
  <c r="AH5" i="72"/>
  <c r="T6" i="72"/>
  <c r="AF6" i="72"/>
  <c r="S7" i="72"/>
  <c r="AE7" i="72"/>
  <c r="S8" i="72"/>
  <c r="AE8" i="72"/>
  <c r="T9" i="72"/>
  <c r="AF9" i="72"/>
  <c r="V10" i="72"/>
  <c r="AH10" i="72"/>
  <c r="Y11" i="72"/>
  <c r="Q12" i="72"/>
  <c r="AC12" i="72"/>
  <c r="V13" i="72"/>
  <c r="AH13" i="72"/>
  <c r="AB14" i="72"/>
  <c r="W15" i="72"/>
  <c r="AI15" i="72"/>
  <c r="AE16" i="72"/>
  <c r="AB17" i="72"/>
  <c r="Z18" i="72"/>
  <c r="Y19" i="72"/>
  <c r="Y20" i="72"/>
  <c r="Z21" i="72"/>
  <c r="AB22" i="72"/>
  <c r="AE23" i="72"/>
  <c r="AI24" i="72"/>
  <c r="AH26" i="72"/>
  <c r="AH29" i="72"/>
  <c r="M33" i="72"/>
  <c r="Y33" i="72"/>
  <c r="H34" i="72"/>
  <c r="T34" i="72"/>
  <c r="AF34" i="72"/>
  <c r="P35" i="72"/>
  <c r="AB35" i="72"/>
  <c r="M36" i="72"/>
  <c r="Y36" i="72"/>
  <c r="K37" i="72"/>
  <c r="W37" i="72"/>
  <c r="AI37" i="72"/>
  <c r="V38" i="72"/>
  <c r="AH38" i="72"/>
  <c r="V39" i="72"/>
  <c r="AH39" i="72"/>
  <c r="W40" i="72"/>
  <c r="AI40" i="72"/>
  <c r="Y41" i="72"/>
  <c r="P42" i="72"/>
  <c r="AB42" i="72"/>
  <c r="T43" i="72"/>
  <c r="AF43" i="72"/>
  <c r="Y44" i="72"/>
  <c r="S45" i="72"/>
  <c r="AE45" i="72"/>
  <c r="Z46" i="72"/>
  <c r="V47" i="72"/>
  <c r="AH47" i="72"/>
  <c r="AE48" i="72"/>
  <c r="AC49" i="72"/>
  <c r="AB50" i="72"/>
  <c r="AB51" i="72"/>
  <c r="AC52" i="72"/>
  <c r="AE53" i="72"/>
  <c r="AH54" i="72"/>
  <c r="AE56" i="72"/>
  <c r="AF58" i="72"/>
  <c r="AI61" i="72"/>
  <c r="P64" i="72"/>
  <c r="AB64" i="72"/>
  <c r="K65" i="72"/>
  <c r="W65" i="72"/>
  <c r="AI65" i="72"/>
  <c r="S66" i="72"/>
  <c r="AE66" i="72"/>
  <c r="S3" i="72"/>
  <c r="AE3" i="72"/>
  <c r="O4" i="72"/>
  <c r="AA4" i="72"/>
  <c r="L5" i="72"/>
  <c r="X5" i="72"/>
  <c r="AJ5" i="72"/>
  <c r="V6" i="72"/>
  <c r="AH6" i="72"/>
  <c r="U7" i="72"/>
  <c r="AG7" i="72"/>
  <c r="U8" i="72"/>
  <c r="AG8" i="72"/>
  <c r="V9" i="72"/>
  <c r="AH9" i="72"/>
  <c r="X10" i="72"/>
  <c r="AJ10" i="72"/>
  <c r="AA11" i="72"/>
  <c r="S12" i="72"/>
  <c r="AE12" i="72"/>
  <c r="X13" i="72"/>
  <c r="AJ13" i="72"/>
  <c r="AD14" i="72"/>
  <c r="Y15" i="72"/>
  <c r="U16" i="72"/>
  <c r="AG16" i="72"/>
  <c r="AD17" i="72"/>
  <c r="AB18" i="72"/>
  <c r="AA19" i="72"/>
  <c r="AA20" i="72"/>
  <c r="AB21" i="72"/>
  <c r="AD22" i="72"/>
  <c r="AG23" i="72"/>
  <c r="AD25" i="72"/>
  <c r="AJ26" i="72"/>
  <c r="AJ29" i="72"/>
  <c r="O33" i="72"/>
  <c r="AA33" i="72"/>
  <c r="J34" i="72"/>
  <c r="V34" i="72"/>
  <c r="AH34" i="72"/>
  <c r="R35" i="72"/>
  <c r="AD35" i="72"/>
  <c r="O36" i="72"/>
  <c r="AA36" i="72"/>
  <c r="M37" i="72"/>
  <c r="Y37" i="72"/>
  <c r="L38" i="72"/>
  <c r="X38" i="72"/>
  <c r="AJ38" i="72"/>
  <c r="X39" i="72"/>
  <c r="AJ39" i="72"/>
  <c r="AG6" i="72"/>
  <c r="W13" i="72"/>
  <c r="AF23" i="72"/>
  <c r="Z36" i="72"/>
  <c r="Z41" i="72"/>
  <c r="T45" i="72"/>
  <c r="AD49" i="72"/>
  <c r="AF56" i="72"/>
  <c r="L65" i="72"/>
  <c r="AF66" i="72"/>
  <c r="X67" i="72"/>
  <c r="AJ67" i="72"/>
  <c r="V68" i="72"/>
  <c r="AH68" i="72"/>
  <c r="U69" i="72"/>
  <c r="AG69" i="72"/>
  <c r="U70" i="72"/>
  <c r="AG70" i="72"/>
  <c r="V71" i="72"/>
  <c r="AH71" i="72"/>
  <c r="X72" i="72"/>
  <c r="AJ72" i="72"/>
  <c r="AA73" i="72"/>
  <c r="S74" i="72"/>
  <c r="AE74" i="72"/>
  <c r="X75" i="72"/>
  <c r="AJ75" i="72"/>
  <c r="AD76" i="72"/>
  <c r="Y77" i="72"/>
  <c r="U78" i="72"/>
  <c r="AG78" i="72"/>
  <c r="AD79" i="72"/>
  <c r="AB80" i="72"/>
  <c r="AA81" i="72"/>
  <c r="AA82" i="72"/>
  <c r="AB83" i="72"/>
  <c r="AD84" i="72"/>
  <c r="AG85" i="72"/>
  <c r="AD87" i="72"/>
  <c r="AJ88" i="72"/>
  <c r="AJ91" i="72"/>
  <c r="O95" i="72"/>
  <c r="AA95" i="72"/>
  <c r="J96" i="72"/>
  <c r="V96" i="72"/>
  <c r="AH96" i="72"/>
  <c r="R97" i="72"/>
  <c r="AD97" i="72"/>
  <c r="O98" i="72"/>
  <c r="AA98" i="72"/>
  <c r="M99" i="72"/>
  <c r="Y99" i="72"/>
  <c r="L100" i="72"/>
  <c r="X100" i="72"/>
  <c r="AJ100" i="72"/>
  <c r="X101" i="72"/>
  <c r="AJ101" i="72"/>
  <c r="Y102" i="72"/>
  <c r="O103" i="72"/>
  <c r="AA103" i="72"/>
  <c r="R104" i="72"/>
  <c r="AD104" i="72"/>
  <c r="V105" i="72"/>
  <c r="AH105" i="72"/>
  <c r="AA106" i="72"/>
  <c r="U107" i="72"/>
  <c r="AG107" i="72"/>
  <c r="AB108" i="72"/>
  <c r="X109" i="72"/>
  <c r="AJ109" i="72"/>
  <c r="AG110" i="72"/>
  <c r="AE111" i="72"/>
  <c r="AD112" i="72"/>
  <c r="AD113" i="72"/>
  <c r="AE114" i="72"/>
  <c r="AG115" i="72"/>
  <c r="AJ116" i="72"/>
  <c r="AG118" i="72"/>
  <c r="AH120" i="72"/>
  <c r="AJ124" i="72"/>
  <c r="R126" i="72"/>
  <c r="AD126" i="72"/>
  <c r="M127" i="72"/>
  <c r="Y127" i="72"/>
  <c r="I128" i="72"/>
  <c r="T7" i="72"/>
  <c r="AI13" i="72"/>
  <c r="AJ24" i="72"/>
  <c r="L37" i="72"/>
  <c r="AA41" i="72"/>
  <c r="U45" i="72"/>
  <c r="AE49" i="72"/>
  <c r="AG56" i="72"/>
  <c r="M65" i="72"/>
  <c r="AG66" i="72"/>
  <c r="Y67" i="72"/>
  <c r="K68" i="72"/>
  <c r="W68" i="72"/>
  <c r="AI68" i="72"/>
  <c r="V69" i="72"/>
  <c r="AH69" i="72"/>
  <c r="V70" i="72"/>
  <c r="AH70" i="72"/>
  <c r="W71" i="72"/>
  <c r="AI71" i="72"/>
  <c r="Y72" i="72"/>
  <c r="P73" i="72"/>
  <c r="AB73" i="72"/>
  <c r="T74" i="72"/>
  <c r="AF74" i="72"/>
  <c r="Y75" i="72"/>
  <c r="S76" i="72"/>
  <c r="AE76" i="72"/>
  <c r="Z77" i="72"/>
  <c r="V78" i="72"/>
  <c r="AH78" i="72"/>
  <c r="AE79" i="72"/>
  <c r="AC80" i="72"/>
  <c r="AB81" i="72"/>
  <c r="AB82" i="72"/>
  <c r="AC83" i="72"/>
  <c r="AE84" i="72"/>
  <c r="AH85" i="72"/>
  <c r="AE87" i="72"/>
  <c r="AF89" i="72"/>
  <c r="AI92" i="72"/>
  <c r="P95" i="72"/>
  <c r="AB95" i="72"/>
  <c r="K96" i="72"/>
  <c r="W96" i="72"/>
  <c r="AI96" i="72"/>
  <c r="S97" i="72"/>
  <c r="AE97" i="72"/>
  <c r="P98" i="72"/>
  <c r="AB98" i="72"/>
  <c r="N99" i="72"/>
  <c r="Z99" i="72"/>
  <c r="M100" i="72"/>
  <c r="Y100" i="72"/>
  <c r="M101" i="72"/>
  <c r="Y101" i="72"/>
  <c r="N102" i="72"/>
  <c r="Z102" i="72"/>
  <c r="P103" i="72"/>
  <c r="AB103" i="72"/>
  <c r="S104" i="72"/>
  <c r="AE104" i="72"/>
  <c r="W105" i="72"/>
  <c r="AI105" i="72"/>
  <c r="AB106" i="72"/>
  <c r="V107" i="72"/>
  <c r="AH107" i="72"/>
  <c r="AC108" i="72"/>
  <c r="Y109" i="72"/>
  <c r="V110" i="72"/>
  <c r="AH110" i="72"/>
  <c r="AF111" i="72"/>
  <c r="AE112" i="72"/>
  <c r="AE113" i="72"/>
  <c r="AF114" i="72"/>
  <c r="AH115" i="72"/>
  <c r="AC117" i="72"/>
  <c r="AH118" i="72"/>
  <c r="AI120" i="72"/>
  <c r="G126" i="72"/>
  <c r="S126" i="72"/>
  <c r="AE126" i="72"/>
  <c r="N127" i="72"/>
  <c r="Z127" i="72"/>
  <c r="T8" i="72"/>
  <c r="X15" i="72"/>
  <c r="AI29" i="72"/>
  <c r="AJ37" i="72"/>
  <c r="R42" i="72"/>
  <c r="AG45" i="72"/>
  <c r="AD50" i="72"/>
  <c r="AH58" i="72"/>
  <c r="X65" i="72"/>
  <c r="M67" i="72"/>
  <c r="AA67" i="72"/>
  <c r="M68" i="72"/>
  <c r="Y68" i="72"/>
  <c r="L69" i="72"/>
  <c r="X69" i="72"/>
  <c r="AJ69" i="72"/>
  <c r="X70" i="72"/>
  <c r="AJ70" i="72"/>
  <c r="Y71" i="72"/>
  <c r="O72" i="72"/>
  <c r="AA72" i="72"/>
  <c r="R73" i="72"/>
  <c r="AD73" i="72"/>
  <c r="V74" i="72"/>
  <c r="AH74" i="72"/>
  <c r="AA75" i="72"/>
  <c r="U76" i="72"/>
  <c r="AG76" i="72"/>
  <c r="AB77" i="72"/>
  <c r="X78" i="72"/>
  <c r="AJ78" i="72"/>
  <c r="AG79" i="72"/>
  <c r="AE80" i="72"/>
  <c r="AD81" i="72"/>
  <c r="AD82" i="72"/>
  <c r="AE83" i="72"/>
  <c r="AG84" i="72"/>
  <c r="AJ85" i="72"/>
  <c r="AG87" i="72"/>
  <c r="AH89" i="72"/>
  <c r="AJ93" i="72"/>
  <c r="R95" i="72"/>
  <c r="AD95" i="72"/>
  <c r="M96" i="72"/>
  <c r="Y96" i="72"/>
  <c r="I97" i="72"/>
  <c r="U97" i="72"/>
  <c r="AG97" i="72"/>
  <c r="R98" i="72"/>
  <c r="AD98" i="72"/>
  <c r="P99" i="72"/>
  <c r="AB99" i="72"/>
  <c r="O100" i="72"/>
  <c r="AA100" i="72"/>
  <c r="O101" i="72"/>
  <c r="AA101" i="72"/>
  <c r="P102" i="72"/>
  <c r="AB102" i="72"/>
  <c r="R103" i="72"/>
  <c r="AD103" i="72"/>
  <c r="U104" i="72"/>
  <c r="AG104" i="72"/>
  <c r="Y105" i="72"/>
  <c r="R106" i="72"/>
  <c r="AD106" i="72"/>
  <c r="X107" i="72"/>
  <c r="AJ107" i="72"/>
  <c r="AE108" i="72"/>
  <c r="AA109" i="72"/>
  <c r="X110" i="72"/>
  <c r="AJ110" i="72"/>
  <c r="AH111" i="72"/>
  <c r="AG112" i="72"/>
  <c r="AG113" i="72"/>
  <c r="AH114" i="72"/>
  <c r="AJ115" i="72"/>
  <c r="AE117" i="72"/>
  <c r="AJ118" i="72"/>
  <c r="AG121" i="72"/>
  <c r="I126" i="72"/>
  <c r="U126" i="72"/>
  <c r="AG126" i="72"/>
  <c r="P127" i="72"/>
  <c r="AB127" i="72"/>
  <c r="R3" i="72"/>
  <c r="AF8" i="72"/>
  <c r="AJ15" i="72"/>
  <c r="N33" i="72"/>
  <c r="W38" i="72"/>
  <c r="AC42" i="72"/>
  <c r="AA46" i="72"/>
  <c r="AC51" i="72"/>
  <c r="AJ61" i="72"/>
  <c r="Y65" i="72"/>
  <c r="O67" i="72"/>
  <c r="AB67" i="72"/>
  <c r="N68" i="72"/>
  <c r="Z68" i="72"/>
  <c r="M69" i="72"/>
  <c r="Y69" i="72"/>
  <c r="M70" i="72"/>
  <c r="Y70" i="72"/>
  <c r="N71" i="72"/>
  <c r="Z71" i="72"/>
  <c r="P72" i="72"/>
  <c r="AB72" i="72"/>
  <c r="S73" i="72"/>
  <c r="AE73" i="72"/>
  <c r="W74" i="72"/>
  <c r="AI74" i="72"/>
  <c r="AB75" i="72"/>
  <c r="V76" i="72"/>
  <c r="AH76" i="72"/>
  <c r="AC77" i="72"/>
  <c r="Y78" i="72"/>
  <c r="V79" i="72"/>
  <c r="AH79" i="72"/>
  <c r="AF80" i="72"/>
  <c r="AE81" i="72"/>
  <c r="AE82" i="72"/>
  <c r="AF83" i="72"/>
  <c r="AH84" i="72"/>
  <c r="AC86" i="72"/>
  <c r="AH87" i="72"/>
  <c r="AI89" i="72"/>
  <c r="G95" i="72"/>
  <c r="S95" i="72"/>
  <c r="AE95" i="72"/>
  <c r="N96" i="72"/>
  <c r="Z96" i="72"/>
  <c r="J97" i="72"/>
  <c r="V97" i="72"/>
  <c r="AH97" i="72"/>
  <c r="S98" i="72"/>
  <c r="AE98" i="72"/>
  <c r="Q99" i="72"/>
  <c r="AC99" i="72"/>
  <c r="P100" i="72"/>
  <c r="AB100" i="72"/>
  <c r="P101" i="72"/>
  <c r="AB101" i="72"/>
  <c r="Q102" i="72"/>
  <c r="AC102" i="72"/>
  <c r="S103" i="72"/>
  <c r="AE103" i="72"/>
  <c r="V104" i="72"/>
  <c r="AH104" i="72"/>
  <c r="Z105" i="72"/>
  <c r="S106" i="72"/>
  <c r="AE106" i="72"/>
  <c r="Y107" i="72"/>
  <c r="T108" i="72"/>
  <c r="AF108" i="72"/>
  <c r="AB109" i="72"/>
  <c r="Y110" i="72"/>
  <c r="W111" i="72"/>
  <c r="AI111" i="72"/>
  <c r="AH112" i="72"/>
  <c r="AH113" i="72"/>
  <c r="AD3" i="72"/>
  <c r="U9" i="72"/>
  <c r="AF16" i="72"/>
  <c r="Z33" i="72"/>
  <c r="AI38" i="72"/>
  <c r="AD42" i="72"/>
  <c r="AB46" i="72"/>
  <c r="AD51" i="72"/>
  <c r="AJ62" i="72"/>
  <c r="AA65" i="72"/>
  <c r="P67" i="72"/>
  <c r="AC67" i="72"/>
  <c r="O68" i="72"/>
  <c r="AA68" i="72"/>
  <c r="N69" i="72"/>
  <c r="Z69" i="72"/>
  <c r="N70" i="72"/>
  <c r="Z70" i="72"/>
  <c r="O71" i="72"/>
  <c r="AA71" i="72"/>
  <c r="Q72" i="72"/>
  <c r="AC72" i="72"/>
  <c r="T73" i="72"/>
  <c r="AF73" i="72"/>
  <c r="X74" i="72"/>
  <c r="AJ74" i="72"/>
  <c r="AC75" i="72"/>
  <c r="W76" i="72"/>
  <c r="AI76" i="72"/>
  <c r="AD77" i="72"/>
  <c r="Z78" i="72"/>
  <c r="W79" i="72"/>
  <c r="AI79" i="72"/>
  <c r="AG80" i="72"/>
  <c r="AF81" i="72"/>
  <c r="AF82" i="72"/>
  <c r="AG83" i="72"/>
  <c r="AI84" i="72"/>
  <c r="AD86" i="72"/>
  <c r="AI87" i="72"/>
  <c r="AJ89" i="72"/>
  <c r="H95" i="72"/>
  <c r="T95" i="72"/>
  <c r="AF95" i="72"/>
  <c r="O96" i="72"/>
  <c r="AA96" i="72"/>
  <c r="K97" i="72"/>
  <c r="W97" i="72"/>
  <c r="AI97" i="72"/>
  <c r="T98" i="72"/>
  <c r="AF98" i="72"/>
  <c r="R99" i="72"/>
  <c r="AD99" i="72"/>
  <c r="Q100" i="72"/>
  <c r="AC100" i="72"/>
  <c r="Q101" i="72"/>
  <c r="AC101" i="72"/>
  <c r="R102" i="72"/>
  <c r="AD102" i="72"/>
  <c r="T103" i="72"/>
  <c r="AF103" i="72"/>
  <c r="W104" i="72"/>
  <c r="AI104" i="72"/>
  <c r="AA105" i="72"/>
  <c r="T106" i="72"/>
  <c r="AF106" i="72"/>
  <c r="Z107" i="72"/>
  <c r="U108" i="72"/>
  <c r="AG108" i="72"/>
  <c r="Z4" i="72"/>
  <c r="W10" i="72"/>
  <c r="AA18" i="72"/>
  <c r="U34" i="72"/>
  <c r="AI39" i="72"/>
  <c r="V43" i="72"/>
  <c r="X47" i="72"/>
  <c r="AE52" i="72"/>
  <c r="R64" i="72"/>
  <c r="I66" i="72"/>
  <c r="R67" i="72"/>
  <c r="AE67" i="72"/>
  <c r="Q68" i="72"/>
  <c r="AC68" i="72"/>
  <c r="P69" i="72"/>
  <c r="AB69" i="72"/>
  <c r="P70" i="72"/>
  <c r="AB70" i="72"/>
  <c r="Q71" i="72"/>
  <c r="AC71" i="72"/>
  <c r="S72" i="72"/>
  <c r="AE72" i="72"/>
  <c r="V73" i="72"/>
  <c r="AH73" i="72"/>
  <c r="Z74" i="72"/>
  <c r="S75" i="72"/>
  <c r="AE75" i="72"/>
  <c r="Y76" i="72"/>
  <c r="T77" i="72"/>
  <c r="AF77" i="72"/>
  <c r="AB78" i="72"/>
  <c r="Y79" i="72"/>
  <c r="W80" i="72"/>
  <c r="AI80" i="72"/>
  <c r="AH81" i="72"/>
  <c r="AH82" i="72"/>
  <c r="AI83" i="72"/>
  <c r="AB85" i="72"/>
  <c r="AF86" i="72"/>
  <c r="AE88" i="72"/>
  <c r="AH90" i="72"/>
  <c r="J95" i="72"/>
  <c r="V95" i="72"/>
  <c r="AH95" i="72"/>
  <c r="Q96" i="72"/>
  <c r="AC96" i="72"/>
  <c r="M97" i="72"/>
  <c r="Y97" i="72"/>
  <c r="J98" i="72"/>
  <c r="V98" i="72"/>
  <c r="AH98" i="72"/>
  <c r="T99" i="72"/>
  <c r="AF99" i="72"/>
  <c r="S100" i="72"/>
  <c r="AE100" i="72"/>
  <c r="S101" i="72"/>
  <c r="AE101" i="72"/>
  <c r="T102" i="72"/>
  <c r="AF102" i="72"/>
  <c r="V103" i="72"/>
  <c r="AH103" i="72"/>
  <c r="Y104" i="72"/>
  <c r="Q105" i="72"/>
  <c r="AC105" i="72"/>
  <c r="V106" i="72"/>
  <c r="AH106" i="72"/>
  <c r="AB107" i="72"/>
  <c r="W108" i="72"/>
  <c r="AI108" i="72"/>
  <c r="AE109" i="72"/>
  <c r="AB110" i="72"/>
  <c r="Z111" i="72"/>
  <c r="Y112" i="72"/>
  <c r="Y113" i="72"/>
  <c r="Z114" i="72"/>
  <c r="AB115" i="72"/>
  <c r="AE116" i="72"/>
  <c r="AI117" i="72"/>
  <c r="AH119" i="72"/>
  <c r="AH122" i="72"/>
  <c r="M126" i="72"/>
  <c r="K5" i="72"/>
  <c r="AI10" i="72"/>
  <c r="Z19" i="72"/>
  <c r="AG34" i="72"/>
  <c r="X40" i="72"/>
  <c r="AG43" i="72"/>
  <c r="AI47" i="72"/>
  <c r="AF53" i="72"/>
  <c r="T64" i="72"/>
  <c r="K66" i="72"/>
  <c r="S67" i="72"/>
  <c r="AF67" i="72"/>
  <c r="R68" i="72"/>
  <c r="AD68" i="72"/>
  <c r="Q69" i="72"/>
  <c r="AC69" i="72"/>
  <c r="Q70" i="72"/>
  <c r="AC70" i="72"/>
  <c r="R71" i="72"/>
  <c r="AD71" i="72"/>
  <c r="T72" i="72"/>
  <c r="AF72" i="72"/>
  <c r="W73" i="72"/>
  <c r="AI73" i="72"/>
  <c r="AA74" i="72"/>
  <c r="T75" i="72"/>
  <c r="AF75" i="72"/>
  <c r="Z76" i="72"/>
  <c r="U77" i="72"/>
  <c r="AG77" i="72"/>
  <c r="AC78" i="72"/>
  <c r="Z79" i="72"/>
  <c r="X80" i="72"/>
  <c r="AJ80" i="72"/>
  <c r="AI81" i="72"/>
  <c r="AI82" i="72"/>
  <c r="AJ83" i="72"/>
  <c r="AC85" i="72"/>
  <c r="AG86" i="72"/>
  <c r="AF88" i="72"/>
  <c r="AI90" i="72"/>
  <c r="K95" i="72"/>
  <c r="W95" i="72"/>
  <c r="AI95" i="72"/>
  <c r="R96" i="72"/>
  <c r="AD96" i="72"/>
  <c r="N97" i="72"/>
  <c r="Z97" i="72"/>
  <c r="K98" i="72"/>
  <c r="W98" i="72"/>
  <c r="AI98" i="72"/>
  <c r="U99" i="72"/>
  <c r="AG99" i="72"/>
  <c r="T100" i="72"/>
  <c r="AF100" i="72"/>
  <c r="T101" i="72"/>
  <c r="AF101" i="72"/>
  <c r="U102" i="72"/>
  <c r="AG102" i="72"/>
  <c r="W103" i="72"/>
  <c r="AI103" i="72"/>
  <c r="Z104" i="72"/>
  <c r="R105" i="72"/>
  <c r="AD105" i="72"/>
  <c r="W106" i="72"/>
  <c r="AI106" i="72"/>
  <c r="W5" i="72"/>
  <c r="Z11" i="72"/>
  <c r="Z20" i="72"/>
  <c r="Q35" i="72"/>
  <c r="Y40" i="72"/>
  <c r="AH43" i="72"/>
  <c r="AJ47" i="72"/>
  <c r="AG53" i="72"/>
  <c r="AC64" i="72"/>
  <c r="T66" i="72"/>
  <c r="T67" i="72"/>
  <c r="AG67" i="72"/>
  <c r="S68" i="72"/>
  <c r="AE68" i="72"/>
  <c r="R69" i="72"/>
  <c r="AD69" i="72"/>
  <c r="R70" i="72"/>
  <c r="AD70" i="72"/>
  <c r="S71" i="72"/>
  <c r="AE71" i="72"/>
  <c r="U72" i="72"/>
  <c r="AG72" i="72"/>
  <c r="X73" i="72"/>
  <c r="AJ73" i="72"/>
  <c r="AB74" i="72"/>
  <c r="U75" i="72"/>
  <c r="AG75" i="72"/>
  <c r="AA76" i="72"/>
  <c r="V77" i="72"/>
  <c r="AH77" i="72"/>
  <c r="AD78" i="72"/>
  <c r="AA79" i="72"/>
  <c r="Y80" i="72"/>
  <c r="X81" i="72"/>
  <c r="AJ81" i="72"/>
  <c r="AJ82" i="72"/>
  <c r="AA84" i="72"/>
  <c r="AD85" i="72"/>
  <c r="AH86" i="72"/>
  <c r="AG88" i="72"/>
  <c r="AJ90" i="72"/>
  <c r="L95" i="72"/>
  <c r="X95" i="72"/>
  <c r="AJ95" i="72"/>
  <c r="S96" i="72"/>
  <c r="AE96" i="72"/>
  <c r="O97" i="72"/>
  <c r="AA97" i="72"/>
  <c r="L98" i="72"/>
  <c r="X98" i="72"/>
  <c r="AJ98" i="72"/>
  <c r="V99" i="72"/>
  <c r="AH99" i="72"/>
  <c r="U100" i="72"/>
  <c r="AG100" i="72"/>
  <c r="U101" i="72"/>
  <c r="AG101" i="72"/>
  <c r="V102" i="72"/>
  <c r="AH102" i="72"/>
  <c r="X103" i="72"/>
  <c r="AJ103" i="72"/>
  <c r="AA104" i="72"/>
  <c r="S105" i="72"/>
  <c r="AE105" i="72"/>
  <c r="X106" i="72"/>
  <c r="AJ106" i="72"/>
  <c r="AD107" i="72"/>
  <c r="Y108" i="72"/>
  <c r="U109" i="72"/>
  <c r="AG109" i="72"/>
  <c r="AI5" i="72"/>
  <c r="R12" i="72"/>
  <c r="AA21" i="72"/>
  <c r="AC35" i="72"/>
  <c r="AJ40" i="72"/>
  <c r="Z44" i="72"/>
  <c r="AF48" i="72"/>
  <c r="AI54" i="72"/>
  <c r="AD64" i="72"/>
  <c r="U66" i="72"/>
  <c r="V67" i="72"/>
  <c r="AH67" i="72"/>
  <c r="T68" i="72"/>
  <c r="AF68" i="72"/>
  <c r="S69" i="72"/>
  <c r="AE69" i="72"/>
  <c r="S70" i="72"/>
  <c r="AE70" i="72"/>
  <c r="T71" i="72"/>
  <c r="AF71" i="72"/>
  <c r="V72" i="72"/>
  <c r="AH72" i="72"/>
  <c r="Y73" i="72"/>
  <c r="Q74" i="72"/>
  <c r="AC74" i="72"/>
  <c r="V75" i="72"/>
  <c r="AH75" i="72"/>
  <c r="AB76" i="72"/>
  <c r="W77" i="72"/>
  <c r="AI77" i="72"/>
  <c r="AE78" i="72"/>
  <c r="AB79" i="72"/>
  <c r="Z80" i="72"/>
  <c r="Y81" i="72"/>
  <c r="Y82" i="72"/>
  <c r="Z83" i="72"/>
  <c r="AB84" i="72"/>
  <c r="AE85" i="72"/>
  <c r="AI86" i="72"/>
  <c r="AH88" i="72"/>
  <c r="AH91" i="72"/>
  <c r="M95" i="72"/>
  <c r="Y95" i="72"/>
  <c r="H96" i="72"/>
  <c r="T96" i="72"/>
  <c r="AF96" i="72"/>
  <c r="P97" i="72"/>
  <c r="AB97" i="72"/>
  <c r="M98" i="72"/>
  <c r="Y98" i="72"/>
  <c r="K99" i="72"/>
  <c r="W99" i="72"/>
  <c r="AI99" i="72"/>
  <c r="V100" i="72"/>
  <c r="AH100" i="72"/>
  <c r="V101" i="72"/>
  <c r="AH101" i="72"/>
  <c r="W102" i="72"/>
  <c r="AI102" i="72"/>
  <c r="Y103" i="72"/>
  <c r="P104" i="72"/>
  <c r="AB104" i="72"/>
  <c r="T105" i="72"/>
  <c r="AF105" i="72"/>
  <c r="Y106" i="72"/>
  <c r="S107" i="72"/>
  <c r="AE107" i="72"/>
  <c r="Z108" i="72"/>
  <c r="V109" i="72"/>
  <c r="AH109" i="72"/>
  <c r="AE110" i="72"/>
  <c r="AC111" i="72"/>
  <c r="AB112" i="72"/>
  <c r="AB113" i="72"/>
  <c r="AC114" i="72"/>
  <c r="AE115" i="72"/>
  <c r="AH116" i="72"/>
  <c r="AE118" i="72"/>
  <c r="AF120" i="72"/>
  <c r="AI26" i="72"/>
  <c r="AC50" i="72"/>
  <c r="Z67" i="72"/>
  <c r="W69" i="72"/>
  <c r="X71" i="72"/>
  <c r="AC73" i="72"/>
  <c r="T76" i="72"/>
  <c r="AI78" i="72"/>
  <c r="AC82" i="72"/>
  <c r="AF87" i="72"/>
  <c r="AC95" i="72"/>
  <c r="T97" i="72"/>
  <c r="O99" i="72"/>
  <c r="N101" i="72"/>
  <c r="Q103" i="72"/>
  <c r="X105" i="72"/>
  <c r="AF107" i="72"/>
  <c r="AF109" i="72"/>
  <c r="AB111" i="72"/>
  <c r="AA113" i="72"/>
  <c r="AC115" i="72"/>
  <c r="AG117" i="72"/>
  <c r="AJ120" i="72"/>
  <c r="N126" i="72"/>
  <c r="AC126" i="72"/>
  <c r="R127" i="72"/>
  <c r="AG127" i="72"/>
  <c r="R128" i="72"/>
  <c r="AD128" i="72"/>
  <c r="O129" i="72"/>
  <c r="AA129" i="72"/>
  <c r="M130" i="72"/>
  <c r="Y130" i="72"/>
  <c r="L131" i="72"/>
  <c r="X131" i="72"/>
  <c r="AJ131" i="72"/>
  <c r="X132" i="72"/>
  <c r="AJ132" i="72"/>
  <c r="Y133" i="72"/>
  <c r="O134" i="72"/>
  <c r="AA134" i="72"/>
  <c r="R135" i="72"/>
  <c r="AD135" i="72"/>
  <c r="V136" i="72"/>
  <c r="AH136" i="72"/>
  <c r="AA137" i="72"/>
  <c r="U138" i="72"/>
  <c r="AG138" i="72"/>
  <c r="AB139" i="72"/>
  <c r="X140" i="72"/>
  <c r="AJ140" i="72"/>
  <c r="AG141" i="72"/>
  <c r="AE142" i="72"/>
  <c r="AD143" i="72"/>
  <c r="AD144" i="72"/>
  <c r="AE145" i="72"/>
  <c r="AG146" i="72"/>
  <c r="AJ147" i="72"/>
  <c r="AG149" i="72"/>
  <c r="AH151" i="72"/>
  <c r="AJ155" i="72"/>
  <c r="R157" i="72"/>
  <c r="AD157" i="72"/>
  <c r="M158" i="72"/>
  <c r="Y158" i="72"/>
  <c r="I159" i="72"/>
  <c r="U159" i="72"/>
  <c r="AG159" i="72"/>
  <c r="R160" i="72"/>
  <c r="AD160" i="72"/>
  <c r="P161" i="72"/>
  <c r="AB161" i="72"/>
  <c r="O162" i="72"/>
  <c r="AA162" i="72"/>
  <c r="O163" i="72"/>
  <c r="AA163" i="72"/>
  <c r="P164" i="72"/>
  <c r="AB164" i="72"/>
  <c r="R165" i="72"/>
  <c r="AD165" i="72"/>
  <c r="U166" i="72"/>
  <c r="AG166" i="72"/>
  <c r="Y167" i="72"/>
  <c r="R168" i="72"/>
  <c r="AD168" i="72"/>
  <c r="X169" i="72"/>
  <c r="AJ169" i="72"/>
  <c r="AE170" i="72"/>
  <c r="I34" i="72"/>
  <c r="AD52" i="72"/>
  <c r="AD67" i="72"/>
  <c r="AA69" i="72"/>
  <c r="AB71" i="72"/>
  <c r="AG73" i="72"/>
  <c r="X76" i="72"/>
  <c r="X79" i="72"/>
  <c r="AG82" i="72"/>
  <c r="AJ87" i="72"/>
  <c r="AG95" i="72"/>
  <c r="X97" i="72"/>
  <c r="S99" i="72"/>
  <c r="R101" i="72"/>
  <c r="U103" i="72"/>
  <c r="AB105" i="72"/>
  <c r="AI107" i="72"/>
  <c r="AI109" i="72"/>
  <c r="AD111" i="72"/>
  <c r="AC113" i="72"/>
  <c r="AD115" i="72"/>
  <c r="AH117" i="72"/>
  <c r="AH121" i="72"/>
  <c r="O126" i="72"/>
  <c r="AF126" i="72"/>
  <c r="S127" i="72"/>
  <c r="AH127" i="72"/>
  <c r="S128" i="72"/>
  <c r="AE128" i="72"/>
  <c r="P129" i="72"/>
  <c r="AB129" i="72"/>
  <c r="N130" i="72"/>
  <c r="Z130" i="72"/>
  <c r="M131" i="72"/>
  <c r="Y131" i="72"/>
  <c r="M132" i="72"/>
  <c r="Y132" i="72"/>
  <c r="N133" i="72"/>
  <c r="Z133" i="72"/>
  <c r="P134" i="72"/>
  <c r="AB134" i="72"/>
  <c r="S135" i="72"/>
  <c r="AE135" i="72"/>
  <c r="W136" i="72"/>
  <c r="AI136" i="72"/>
  <c r="AB137" i="72"/>
  <c r="V138" i="72"/>
  <c r="AH138" i="72"/>
  <c r="AC139" i="72"/>
  <c r="Y140" i="72"/>
  <c r="V141" i="72"/>
  <c r="AH141" i="72"/>
  <c r="AF142" i="72"/>
  <c r="N36" i="72"/>
  <c r="AJ54" i="72"/>
  <c r="AI67" i="72"/>
  <c r="X37" i="72"/>
  <c r="AG58" i="72"/>
  <c r="L68" i="72"/>
  <c r="AI69" i="72"/>
  <c r="AJ71" i="72"/>
  <c r="U74" i="72"/>
  <c r="AF76" i="72"/>
  <c r="AF79" i="72"/>
  <c r="AD83" i="72"/>
  <c r="AG89" i="72"/>
  <c r="L96" i="72"/>
  <c r="AF97" i="72"/>
  <c r="AA99" i="72"/>
  <c r="Z101" i="72"/>
  <c r="AC103" i="72"/>
  <c r="AJ105" i="72"/>
  <c r="X108" i="72"/>
  <c r="Z110" i="72"/>
  <c r="AJ111" i="72"/>
  <c r="AI113" i="72"/>
  <c r="AI115" i="72"/>
  <c r="AD118" i="72"/>
  <c r="AJ121" i="72"/>
  <c r="Q126" i="72"/>
  <c r="AI126" i="72"/>
  <c r="U127" i="72"/>
  <c r="AJ127" i="72"/>
  <c r="U128" i="72"/>
  <c r="AG128" i="72"/>
  <c r="R129" i="72"/>
  <c r="AD129" i="72"/>
  <c r="P130" i="72"/>
  <c r="AB130" i="72"/>
  <c r="O131" i="72"/>
  <c r="AA131" i="72"/>
  <c r="O132" i="72"/>
  <c r="AA132" i="72"/>
  <c r="P133" i="72"/>
  <c r="AB133" i="72"/>
  <c r="R134" i="72"/>
  <c r="AD134" i="72"/>
  <c r="U135" i="72"/>
  <c r="AG135" i="72"/>
  <c r="Y136" i="72"/>
  <c r="R137" i="72"/>
  <c r="AD137" i="72"/>
  <c r="X138" i="72"/>
  <c r="AJ138" i="72"/>
  <c r="AE139" i="72"/>
  <c r="AA140" i="72"/>
  <c r="X141" i="72"/>
  <c r="AJ141" i="72"/>
  <c r="AH142" i="72"/>
  <c r="AG143" i="72"/>
  <c r="AG144" i="72"/>
  <c r="AH145" i="72"/>
  <c r="AJ146" i="72"/>
  <c r="AE148" i="72"/>
  <c r="N4" i="72"/>
  <c r="W39" i="72"/>
  <c r="Q64" i="72"/>
  <c r="P68" i="72"/>
  <c r="O70" i="72"/>
  <c r="R72" i="72"/>
  <c r="Y74" i="72"/>
  <c r="AJ76" i="72"/>
  <c r="AJ79" i="72"/>
  <c r="AH83" i="72"/>
  <c r="AG90" i="72"/>
  <c r="P96" i="72"/>
  <c r="AJ97" i="72"/>
  <c r="AE99" i="72"/>
  <c r="AD101" i="72"/>
  <c r="AG103" i="72"/>
  <c r="U106" i="72"/>
  <c r="AA108" i="72"/>
  <c r="AA110" i="72"/>
  <c r="X112" i="72"/>
  <c r="AJ113" i="72"/>
  <c r="AB116" i="72"/>
  <c r="AF118" i="72"/>
  <c r="AI122" i="72"/>
  <c r="T126" i="72"/>
  <c r="AJ126" i="72"/>
  <c r="V127" i="72"/>
  <c r="J128" i="72"/>
  <c r="V128" i="72"/>
  <c r="AH128" i="72"/>
  <c r="S129" i="72"/>
  <c r="AE129" i="72"/>
  <c r="Q130" i="72"/>
  <c r="AC130" i="72"/>
  <c r="P131" i="72"/>
  <c r="AB131" i="72"/>
  <c r="P132" i="72"/>
  <c r="AB132" i="72"/>
  <c r="Q133" i="72"/>
  <c r="AC133" i="72"/>
  <c r="S134" i="72"/>
  <c r="AE134" i="72"/>
  <c r="V135" i="72"/>
  <c r="AH135" i="72"/>
  <c r="Z136" i="72"/>
  <c r="S137" i="72"/>
  <c r="AE137" i="72"/>
  <c r="Y138" i="72"/>
  <c r="T139" i="72"/>
  <c r="AF139" i="72"/>
  <c r="AB140" i="72"/>
  <c r="Y141" i="72"/>
  <c r="W142" i="72"/>
  <c r="AI142" i="72"/>
  <c r="AH143" i="72"/>
  <c r="AH144" i="72"/>
  <c r="AI145" i="72"/>
  <c r="AB147" i="72"/>
  <c r="AF148" i="72"/>
  <c r="AE150" i="72"/>
  <c r="AH152" i="72"/>
  <c r="J157" i="72"/>
  <c r="V157" i="72"/>
  <c r="AH157" i="72"/>
  <c r="Q158" i="72"/>
  <c r="AC158" i="72"/>
  <c r="M159" i="72"/>
  <c r="Y159" i="72"/>
  <c r="J160" i="72"/>
  <c r="V160" i="72"/>
  <c r="AH160" i="72"/>
  <c r="T161" i="72"/>
  <c r="AF161" i="72"/>
  <c r="S162" i="72"/>
  <c r="AE162" i="72"/>
  <c r="S163" i="72"/>
  <c r="AE163" i="72"/>
  <c r="T164" i="72"/>
  <c r="AF164" i="72"/>
  <c r="V165" i="72"/>
  <c r="AH165" i="72"/>
  <c r="Y166" i="72"/>
  <c r="Q167" i="72"/>
  <c r="AC167" i="72"/>
  <c r="V168" i="72"/>
  <c r="U6" i="72"/>
  <c r="O41" i="72"/>
  <c r="AF64" i="72"/>
  <c r="U68" i="72"/>
  <c r="T70" i="72"/>
  <c r="W72" i="72"/>
  <c r="AD74" i="72"/>
  <c r="X77" i="72"/>
  <c r="AA80" i="72"/>
  <c r="AC84" i="72"/>
  <c r="AI91" i="72"/>
  <c r="U96" i="72"/>
  <c r="N98" i="72"/>
  <c r="AJ99" i="72"/>
  <c r="AI101" i="72"/>
  <c r="Q104" i="72"/>
  <c r="Z106" i="72"/>
  <c r="AD108" i="72"/>
  <c r="AC110" i="72"/>
  <c r="Z112" i="72"/>
  <c r="AA114" i="72"/>
  <c r="AC116" i="72"/>
  <c r="AI118" i="72"/>
  <c r="AJ122" i="72"/>
  <c r="V126" i="72"/>
  <c r="H127" i="72"/>
  <c r="W127" i="72"/>
  <c r="K128" i="72"/>
  <c r="W128" i="72"/>
  <c r="AI128" i="72"/>
  <c r="T129" i="72"/>
  <c r="AF129" i="72"/>
  <c r="R130" i="72"/>
  <c r="AD130" i="72"/>
  <c r="Q131" i="72"/>
  <c r="AC131" i="72"/>
  <c r="Q132" i="72"/>
  <c r="AC132" i="72"/>
  <c r="R133" i="72"/>
  <c r="AD133" i="72"/>
  <c r="T134" i="72"/>
  <c r="AF134" i="72"/>
  <c r="W135" i="72"/>
  <c r="AI135" i="72"/>
  <c r="AA136" i="72"/>
  <c r="T137" i="72"/>
  <c r="AF137" i="72"/>
  <c r="Z138" i="72"/>
  <c r="U139" i="72"/>
  <c r="AG139" i="72"/>
  <c r="AC140" i="72"/>
  <c r="Z141" i="72"/>
  <c r="X142" i="72"/>
  <c r="AJ142" i="72"/>
  <c r="AI143" i="72"/>
  <c r="AI144" i="72"/>
  <c r="AJ145" i="72"/>
  <c r="AC147" i="72"/>
  <c r="AG148" i="72"/>
  <c r="AF150" i="72"/>
  <c r="AI152" i="72"/>
  <c r="K157" i="72"/>
  <c r="W157" i="72"/>
  <c r="AI157" i="72"/>
  <c r="R158" i="72"/>
  <c r="AD158" i="72"/>
  <c r="N159" i="72"/>
  <c r="Z159" i="72"/>
  <c r="K160" i="72"/>
  <c r="W160" i="72"/>
  <c r="AI160" i="72"/>
  <c r="U161" i="72"/>
  <c r="AG161" i="72"/>
  <c r="T162" i="72"/>
  <c r="AF162" i="72"/>
  <c r="T163" i="72"/>
  <c r="AF163" i="72"/>
  <c r="AF7" i="72"/>
  <c r="Q42" i="72"/>
  <c r="O65" i="72"/>
  <c r="X68" i="72"/>
  <c r="W70" i="72"/>
  <c r="Z72" i="72"/>
  <c r="AG74" i="72"/>
  <c r="AA77" i="72"/>
  <c r="AD80" i="72"/>
  <c r="AF84" i="72"/>
  <c r="AJ92" i="72"/>
  <c r="X96" i="72"/>
  <c r="Q98" i="72"/>
  <c r="N100" i="72"/>
  <c r="O102" i="72"/>
  <c r="T104" i="72"/>
  <c r="AC106" i="72"/>
  <c r="AH108" i="72"/>
  <c r="AD110" i="72"/>
  <c r="AA112" i="72"/>
  <c r="AB114" i="72"/>
  <c r="AD116" i="72"/>
  <c r="AE119" i="72"/>
  <c r="AI123" i="72"/>
  <c r="W126" i="72"/>
  <c r="I127" i="72"/>
  <c r="X127" i="72"/>
  <c r="L128" i="72"/>
  <c r="X128" i="72"/>
  <c r="AJ128" i="72"/>
  <c r="U129" i="72"/>
  <c r="AG129" i="72"/>
  <c r="S130" i="72"/>
  <c r="AE130" i="72"/>
  <c r="R131" i="72"/>
  <c r="AD131" i="72"/>
  <c r="R132" i="72"/>
  <c r="AD132" i="72"/>
  <c r="S133" i="72"/>
  <c r="AE133" i="72"/>
  <c r="U134" i="72"/>
  <c r="AG134" i="72"/>
  <c r="X135" i="72"/>
  <c r="AJ135" i="72"/>
  <c r="AB136" i="72"/>
  <c r="U137" i="72"/>
  <c r="AG137" i="72"/>
  <c r="AA138" i="72"/>
  <c r="V139" i="72"/>
  <c r="AH139" i="72"/>
  <c r="AD140" i="72"/>
  <c r="AA141" i="72"/>
  <c r="Y142" i="72"/>
  <c r="X143" i="72"/>
  <c r="AJ143" i="72"/>
  <c r="AJ144" i="72"/>
  <c r="AA146" i="72"/>
  <c r="AD147" i="72"/>
  <c r="AH148" i="72"/>
  <c r="AG150" i="72"/>
  <c r="AJ152" i="72"/>
  <c r="L157" i="72"/>
  <c r="X157" i="72"/>
  <c r="AJ157" i="72"/>
  <c r="S158" i="72"/>
  <c r="AE158" i="72"/>
  <c r="O159" i="72"/>
  <c r="AA159" i="72"/>
  <c r="L160" i="72"/>
  <c r="X160" i="72"/>
  <c r="AJ160" i="72"/>
  <c r="V161" i="72"/>
  <c r="AH161" i="72"/>
  <c r="U162" i="72"/>
  <c r="AG162" i="72"/>
  <c r="U163" i="72"/>
  <c r="AG163" i="72"/>
  <c r="V164" i="72"/>
  <c r="AH164" i="72"/>
  <c r="X165" i="72"/>
  <c r="AJ165" i="72"/>
  <c r="AA166" i="72"/>
  <c r="S167" i="72"/>
  <c r="AE167" i="72"/>
  <c r="X168" i="72"/>
  <c r="AG9" i="72"/>
  <c r="U43" i="72"/>
  <c r="AJ65" i="72"/>
  <c r="AB68" i="72"/>
  <c r="AA70" i="72"/>
  <c r="AD72" i="72"/>
  <c r="R75" i="72"/>
  <c r="AE77" i="72"/>
  <c r="AH80" i="72"/>
  <c r="AJ84" i="72"/>
  <c r="I95" i="72"/>
  <c r="AB96" i="72"/>
  <c r="U98" i="72"/>
  <c r="R100" i="72"/>
  <c r="S102" i="72"/>
  <c r="X104" i="72"/>
  <c r="AG106" i="72"/>
  <c r="AJ108" i="72"/>
  <c r="AF110" i="72"/>
  <c r="AC112" i="72"/>
  <c r="AD114" i="72"/>
  <c r="AF116" i="72"/>
  <c r="AF119" i="72"/>
  <c r="AJ123" i="72"/>
  <c r="X126" i="72"/>
  <c r="J127" i="72"/>
  <c r="AA127" i="72"/>
  <c r="M128" i="72"/>
  <c r="Y128" i="72"/>
  <c r="J129" i="72"/>
  <c r="V129" i="72"/>
  <c r="AH129" i="72"/>
  <c r="T130" i="72"/>
  <c r="AF130" i="72"/>
  <c r="S131" i="72"/>
  <c r="AE131" i="72"/>
  <c r="S132" i="72"/>
  <c r="AE132" i="72"/>
  <c r="T133" i="72"/>
  <c r="AF133" i="72"/>
  <c r="V134" i="72"/>
  <c r="AH134" i="72"/>
  <c r="Y135" i="72"/>
  <c r="Q136" i="72"/>
  <c r="AC136" i="72"/>
  <c r="V137" i="72"/>
  <c r="AH137" i="72"/>
  <c r="AB138" i="72"/>
  <c r="W139" i="72"/>
  <c r="AI139" i="72"/>
  <c r="AE140" i="72"/>
  <c r="AB141" i="72"/>
  <c r="Z142" i="72"/>
  <c r="Y143" i="72"/>
  <c r="Y144" i="72"/>
  <c r="Z145" i="72"/>
  <c r="AB146" i="72"/>
  <c r="AE147" i="72"/>
  <c r="AI148" i="72"/>
  <c r="AH150" i="72"/>
  <c r="AH153" i="72"/>
  <c r="M157" i="72"/>
  <c r="Y157" i="72"/>
  <c r="H158" i="72"/>
  <c r="T158" i="72"/>
  <c r="AF158" i="72"/>
  <c r="P159" i="72"/>
  <c r="AB159" i="72"/>
  <c r="M160" i="72"/>
  <c r="Y160" i="72"/>
  <c r="K161" i="72"/>
  <c r="W161" i="72"/>
  <c r="AI161" i="72"/>
  <c r="V162" i="72"/>
  <c r="AH162" i="72"/>
  <c r="V163" i="72"/>
  <c r="AH163" i="72"/>
  <c r="W164" i="72"/>
  <c r="AI164" i="72"/>
  <c r="AD12" i="72"/>
  <c r="AA44" i="72"/>
  <c r="W66" i="72"/>
  <c r="AG68" i="72"/>
  <c r="AF70" i="72"/>
  <c r="AI72" i="72"/>
  <c r="W75" i="72"/>
  <c r="AJ77" i="72"/>
  <c r="Z81" i="72"/>
  <c r="AF85" i="72"/>
  <c r="N95" i="72"/>
  <c r="AG96" i="72"/>
  <c r="Z98" i="72"/>
  <c r="W100" i="72"/>
  <c r="X102" i="72"/>
  <c r="AC104" i="72"/>
  <c r="T107" i="72"/>
  <c r="W109" i="72"/>
  <c r="AI110" i="72"/>
  <c r="AF112" i="72"/>
  <c r="AG114" i="72"/>
  <c r="AG116" i="72"/>
  <c r="AG119" i="72"/>
  <c r="H126" i="72"/>
  <c r="Y126" i="72"/>
  <c r="K127" i="72"/>
  <c r="AC127" i="72"/>
  <c r="N128" i="72"/>
  <c r="Z128" i="72"/>
  <c r="K129" i="72"/>
  <c r="W129" i="72"/>
  <c r="AI129" i="72"/>
  <c r="U130" i="72"/>
  <c r="AG130" i="72"/>
  <c r="T131" i="72"/>
  <c r="AF131" i="72"/>
  <c r="T132" i="72"/>
  <c r="AF132" i="72"/>
  <c r="U133" i="72"/>
  <c r="AG133" i="72"/>
  <c r="W134" i="72"/>
  <c r="AI134" i="72"/>
  <c r="Z135" i="72"/>
  <c r="R136" i="72"/>
  <c r="AD136" i="72"/>
  <c r="W137" i="72"/>
  <c r="AI137" i="72"/>
  <c r="AC138" i="72"/>
  <c r="X139" i="72"/>
  <c r="AJ139" i="72"/>
  <c r="AF140" i="72"/>
  <c r="AC141" i="72"/>
  <c r="AA142" i="72"/>
  <c r="Z143" i="72"/>
  <c r="Z144" i="72"/>
  <c r="AA145" i="72"/>
  <c r="AC146" i="72"/>
  <c r="AF147" i="72"/>
  <c r="AJ148" i="72"/>
  <c r="AI150" i="72"/>
  <c r="AI153" i="72"/>
  <c r="N157" i="72"/>
  <c r="Z157" i="72"/>
  <c r="I158" i="72"/>
  <c r="U158" i="72"/>
  <c r="AG158" i="72"/>
  <c r="Q159" i="72"/>
  <c r="AC159" i="72"/>
  <c r="N160" i="72"/>
  <c r="Z160" i="72"/>
  <c r="L161" i="72"/>
  <c r="X161" i="72"/>
  <c r="AJ161" i="72"/>
  <c r="W162" i="72"/>
  <c r="AI162" i="72"/>
  <c r="W163" i="72"/>
  <c r="AI163" i="72"/>
  <c r="X164" i="72"/>
  <c r="AJ164" i="72"/>
  <c r="Z165" i="72"/>
  <c r="Q166" i="72"/>
  <c r="AC166" i="72"/>
  <c r="U167" i="72"/>
  <c r="AG167" i="72"/>
  <c r="AC14" i="72"/>
  <c r="AF45" i="72"/>
  <c r="AI66" i="72"/>
  <c r="AJ68" i="72"/>
  <c r="AI70" i="72"/>
  <c r="Q73" i="72"/>
  <c r="Z75" i="72"/>
  <c r="W78" i="72"/>
  <c r="AC81" i="72"/>
  <c r="AI85" i="72"/>
  <c r="Q95" i="72"/>
  <c r="AJ96" i="72"/>
  <c r="AC98" i="72"/>
  <c r="Z100" i="72"/>
  <c r="AA102" i="72"/>
  <c r="AF104" i="72"/>
  <c r="W107" i="72"/>
  <c r="Z109" i="72"/>
  <c r="X111" i="72"/>
  <c r="AI112" i="72"/>
  <c r="AI114" i="72"/>
  <c r="AI116" i="72"/>
  <c r="AI119" i="72"/>
  <c r="J126" i="72"/>
  <c r="Z126" i="72"/>
  <c r="L127" i="72"/>
  <c r="AD127" i="72"/>
  <c r="O128" i="72"/>
  <c r="AA128" i="72"/>
  <c r="L129" i="72"/>
  <c r="X129" i="72"/>
  <c r="AJ129" i="72"/>
  <c r="V130" i="72"/>
  <c r="AH130" i="72"/>
  <c r="U131" i="72"/>
  <c r="AG131" i="72"/>
  <c r="U132" i="72"/>
  <c r="AG132" i="72"/>
  <c r="V133" i="72"/>
  <c r="AH133" i="72"/>
  <c r="X134" i="72"/>
  <c r="AJ134" i="72"/>
  <c r="AA135" i="72"/>
  <c r="S136" i="72"/>
  <c r="AE136" i="72"/>
  <c r="X137" i="72"/>
  <c r="AJ137" i="72"/>
  <c r="AD138" i="72"/>
  <c r="Y139" i="72"/>
  <c r="U140" i="72"/>
  <c r="AG140" i="72"/>
  <c r="AD141" i="72"/>
  <c r="AB142" i="72"/>
  <c r="AA143" i="72"/>
  <c r="AA144" i="72"/>
  <c r="AB145" i="72"/>
  <c r="AD146" i="72"/>
  <c r="AG147" i="72"/>
  <c r="AD149" i="72"/>
  <c r="AJ150" i="72"/>
  <c r="AJ153" i="72"/>
  <c r="O157" i="72"/>
  <c r="AA157" i="72"/>
  <c r="J158" i="72"/>
  <c r="V158" i="72"/>
  <c r="AH158" i="72"/>
  <c r="R159" i="72"/>
  <c r="AD159" i="72"/>
  <c r="O160" i="72"/>
  <c r="AA160" i="72"/>
  <c r="M161" i="72"/>
  <c r="Y161" i="72"/>
  <c r="L162" i="72"/>
  <c r="X162" i="72"/>
  <c r="AJ162" i="72"/>
  <c r="X163" i="72"/>
  <c r="AJ163" i="72"/>
  <c r="Y164" i="72"/>
  <c r="O165" i="72"/>
  <c r="AA165" i="72"/>
  <c r="R166" i="72"/>
  <c r="AD166" i="72"/>
  <c r="V167" i="72"/>
  <c r="AC17" i="72"/>
  <c r="W47" i="72"/>
  <c r="Q67" i="72"/>
  <c r="O69" i="72"/>
  <c r="P71" i="72"/>
  <c r="U73" i="72"/>
  <c r="AD75" i="72"/>
  <c r="AA78" i="72"/>
  <c r="AG81" i="72"/>
  <c r="AE86" i="72"/>
  <c r="U95" i="72"/>
  <c r="L97" i="72"/>
  <c r="AG98" i="72"/>
  <c r="AD100" i="72"/>
  <c r="AE102" i="72"/>
  <c r="AJ104" i="72"/>
  <c r="AA107" i="72"/>
  <c r="AC109" i="72"/>
  <c r="Y111" i="72"/>
  <c r="AJ112" i="72"/>
  <c r="AJ114" i="72"/>
  <c r="AD117" i="72"/>
  <c r="AJ119" i="72"/>
  <c r="K126" i="72"/>
  <c r="AA126" i="72"/>
  <c r="O127" i="72"/>
  <c r="AE127" i="72"/>
  <c r="P128" i="72"/>
  <c r="AB128" i="72"/>
  <c r="M129" i="72"/>
  <c r="Y129" i="72"/>
  <c r="K130" i="72"/>
  <c r="W130" i="72"/>
  <c r="AI130" i="72"/>
  <c r="V131" i="72"/>
  <c r="AH131" i="72"/>
  <c r="V132" i="72"/>
  <c r="AH132" i="72"/>
  <c r="W133" i="72"/>
  <c r="AI133" i="72"/>
  <c r="Y134" i="72"/>
  <c r="P135" i="72"/>
  <c r="AB135" i="72"/>
  <c r="T136" i="72"/>
  <c r="AF136" i="72"/>
  <c r="Y137" i="72"/>
  <c r="S138" i="72"/>
  <c r="AE138" i="72"/>
  <c r="Z139" i="72"/>
  <c r="V140" i="72"/>
  <c r="AH140" i="72"/>
  <c r="AE141" i="72"/>
  <c r="AC142" i="72"/>
  <c r="AB143" i="72"/>
  <c r="AB144" i="72"/>
  <c r="AC145" i="72"/>
  <c r="AE146" i="72"/>
  <c r="AH147" i="72"/>
  <c r="R74" i="72"/>
  <c r="AC97" i="72"/>
  <c r="W110" i="72"/>
  <c r="P126" i="72"/>
  <c r="Q129" i="72"/>
  <c r="N132" i="72"/>
  <c r="T135" i="72"/>
  <c r="AI138" i="72"/>
  <c r="AE143" i="72"/>
  <c r="AC148" i="72"/>
  <c r="AI154" i="72"/>
  <c r="AE157" i="72"/>
  <c r="AB158" i="72"/>
  <c r="AF159" i="72"/>
  <c r="AF160" i="72"/>
  <c r="M162" i="72"/>
  <c r="P163" i="72"/>
  <c r="S164" i="72"/>
  <c r="U165" i="72"/>
  <c r="V166" i="72"/>
  <c r="W167" i="72"/>
  <c r="U168" i="72"/>
  <c r="AJ168" i="72"/>
  <c r="AE169" i="72"/>
  <c r="AA170" i="72"/>
  <c r="X171" i="72"/>
  <c r="AJ171" i="72"/>
  <c r="AG172" i="72"/>
  <c r="AE173" i="72"/>
  <c r="AD174" i="72"/>
  <c r="AD175" i="72"/>
  <c r="AE176" i="72"/>
  <c r="AG177" i="72"/>
  <c r="AJ178" i="72"/>
  <c r="AG180" i="72"/>
  <c r="AH182" i="72"/>
  <c r="AJ186" i="72"/>
  <c r="R188" i="72"/>
  <c r="AD188" i="72"/>
  <c r="M189" i="72"/>
  <c r="Y189" i="72"/>
  <c r="I190" i="72"/>
  <c r="U190" i="72"/>
  <c r="AG190" i="72"/>
  <c r="R191" i="72"/>
  <c r="AD191" i="72"/>
  <c r="P192" i="72"/>
  <c r="AB192" i="72"/>
  <c r="O193" i="72"/>
  <c r="AA193" i="72"/>
  <c r="O194" i="72"/>
  <c r="AA194" i="72"/>
  <c r="P195" i="72"/>
  <c r="AB195" i="72"/>
  <c r="R196" i="72"/>
  <c r="AD196" i="72"/>
  <c r="U197" i="72"/>
  <c r="AG197" i="72"/>
  <c r="Y198" i="72"/>
  <c r="R199" i="72"/>
  <c r="AD199" i="72"/>
  <c r="X200" i="72"/>
  <c r="AJ200" i="72"/>
  <c r="AE201" i="72"/>
  <c r="AA202" i="72"/>
  <c r="X203" i="72"/>
  <c r="AJ203" i="72"/>
  <c r="AH204" i="72"/>
  <c r="AG205" i="72"/>
  <c r="AG206" i="72"/>
  <c r="AH207" i="72"/>
  <c r="AJ208" i="72"/>
  <c r="AE210" i="72"/>
  <c r="AJ211" i="72"/>
  <c r="AG214" i="72"/>
  <c r="I219" i="72"/>
  <c r="U219" i="72"/>
  <c r="AG219" i="72"/>
  <c r="P220" i="72"/>
  <c r="AB220" i="72"/>
  <c r="L221" i="72"/>
  <c r="X221" i="72"/>
  <c r="AJ221" i="72"/>
  <c r="U222" i="72"/>
  <c r="AG222" i="72"/>
  <c r="AI75" i="72"/>
  <c r="L99" i="72"/>
  <c r="AA111" i="72"/>
  <c r="AB126" i="72"/>
  <c r="Z129" i="72"/>
  <c r="W132" i="72"/>
  <c r="AC135" i="72"/>
  <c r="AA139" i="72"/>
  <c r="AF143" i="72"/>
  <c r="AD148" i="72"/>
  <c r="AJ154" i="72"/>
  <c r="AF157" i="72"/>
  <c r="AI158" i="72"/>
  <c r="AH159" i="72"/>
  <c r="AG160" i="72"/>
  <c r="N162" i="72"/>
  <c r="Q163" i="72"/>
  <c r="U164" i="72"/>
  <c r="W165" i="72"/>
  <c r="W166" i="72"/>
  <c r="X167" i="72"/>
  <c r="W168" i="72"/>
  <c r="S169" i="72"/>
  <c r="AF169" i="72"/>
  <c r="AB170" i="72"/>
  <c r="Y171" i="72"/>
  <c r="V172" i="72"/>
  <c r="AH172" i="72"/>
  <c r="AF173" i="72"/>
  <c r="AE174" i="72"/>
  <c r="AE175" i="72"/>
  <c r="AF176" i="72"/>
  <c r="AH177" i="72"/>
  <c r="AC179" i="72"/>
  <c r="AH180" i="72"/>
  <c r="AI182" i="72"/>
  <c r="AC76" i="72"/>
  <c r="X99" i="72"/>
  <c r="AG111" i="72"/>
  <c r="AH126" i="72"/>
  <c r="AC129" i="72"/>
  <c r="Z132" i="72"/>
  <c r="AF135" i="72"/>
  <c r="AD139" i="72"/>
  <c r="AC144" i="72"/>
  <c r="AE149" i="72"/>
  <c r="G157" i="72"/>
  <c r="AG157" i="72"/>
  <c r="AJ158" i="72"/>
  <c r="AI159" i="72"/>
  <c r="N161" i="72"/>
  <c r="P162" i="72"/>
  <c r="R163" i="72"/>
  <c r="Z164" i="72"/>
  <c r="Y165" i="72"/>
  <c r="X166" i="72"/>
  <c r="Z167" i="72"/>
  <c r="Y168" i="72"/>
  <c r="T169" i="72"/>
  <c r="AG169" i="72"/>
  <c r="AC170" i="72"/>
  <c r="Z171" i="72"/>
  <c r="W172" i="72"/>
  <c r="AI172" i="72"/>
  <c r="AG173" i="72"/>
  <c r="AF174" i="72"/>
  <c r="AF175" i="72"/>
  <c r="AG176" i="72"/>
  <c r="AI177" i="72"/>
  <c r="AD179" i="72"/>
  <c r="AI180" i="72"/>
  <c r="AJ182" i="72"/>
  <c r="H188" i="72"/>
  <c r="T188" i="72"/>
  <c r="AF188" i="72"/>
  <c r="O189" i="72"/>
  <c r="AA189" i="72"/>
  <c r="K190" i="72"/>
  <c r="W190" i="72"/>
  <c r="AI190" i="72"/>
  <c r="T191" i="72"/>
  <c r="AF191" i="72"/>
  <c r="R192" i="72"/>
  <c r="AD192" i="72"/>
  <c r="Q193" i="72"/>
  <c r="AC193" i="72"/>
  <c r="Q194" i="72"/>
  <c r="AC194" i="72"/>
  <c r="R195" i="72"/>
  <c r="AD195" i="72"/>
  <c r="T196" i="72"/>
  <c r="AF196" i="72"/>
  <c r="W197" i="72"/>
  <c r="AI197" i="72"/>
  <c r="AA198" i="72"/>
  <c r="T199" i="72"/>
  <c r="AF199" i="72"/>
  <c r="Z200" i="72"/>
  <c r="U201" i="72"/>
  <c r="AG201" i="72"/>
  <c r="AC202" i="72"/>
  <c r="Z203" i="72"/>
  <c r="X204" i="72"/>
  <c r="AJ204" i="72"/>
  <c r="AI205" i="72"/>
  <c r="AI206" i="72"/>
  <c r="AJ207" i="72"/>
  <c r="AC209" i="72"/>
  <c r="AG210" i="72"/>
  <c r="AF212" i="72"/>
  <c r="AI214" i="72"/>
  <c r="K219" i="72"/>
  <c r="W219" i="72"/>
  <c r="AI219" i="72"/>
  <c r="R220" i="72"/>
  <c r="AD220" i="72"/>
  <c r="N221" i="72"/>
  <c r="Z221" i="72"/>
  <c r="K222" i="72"/>
  <c r="W222" i="72"/>
  <c r="AI222" i="72"/>
  <c r="AF78" i="72"/>
  <c r="AI100" i="72"/>
  <c r="Z113" i="72"/>
  <c r="Q127" i="72"/>
  <c r="L130" i="72"/>
  <c r="AI132" i="72"/>
  <c r="U136" i="72"/>
  <c r="W140" i="72"/>
  <c r="AE144" i="72"/>
  <c r="AF149" i="72"/>
  <c r="H157" i="72"/>
  <c r="K158" i="72"/>
  <c r="J159" i="72"/>
  <c r="AJ159" i="72"/>
  <c r="O161" i="72"/>
  <c r="Q162" i="72"/>
  <c r="Y163" i="72"/>
  <c r="AA164" i="72"/>
  <c r="AB165" i="72"/>
  <c r="Z166" i="72"/>
  <c r="AA167" i="72"/>
  <c r="Z168" i="72"/>
  <c r="U169" i="72"/>
  <c r="AH169" i="72"/>
  <c r="AD170" i="72"/>
  <c r="AA171" i="72"/>
  <c r="X172" i="72"/>
  <c r="AJ172" i="72"/>
  <c r="AH173" i="72"/>
  <c r="AG174" i="72"/>
  <c r="AG175" i="72"/>
  <c r="AH176" i="72"/>
  <c r="AJ177" i="72"/>
  <c r="AE179" i="72"/>
  <c r="AJ180" i="72"/>
  <c r="AG183" i="72"/>
  <c r="AC22" i="72"/>
  <c r="AC79" i="72"/>
  <c r="W101" i="72"/>
  <c r="AF113" i="72"/>
  <c r="T127" i="72"/>
  <c r="O130" i="72"/>
  <c r="O133" i="72"/>
  <c r="X136" i="72"/>
  <c r="Z140" i="72"/>
  <c r="AF144" i="72"/>
  <c r="AH149" i="72"/>
  <c r="I157" i="72"/>
  <c r="L158" i="72"/>
  <c r="K159" i="72"/>
  <c r="P160" i="72"/>
  <c r="Q161" i="72"/>
  <c r="R162" i="72"/>
  <c r="Z163" i="72"/>
  <c r="AC164" i="72"/>
  <c r="AC165" i="72"/>
  <c r="AB166" i="72"/>
  <c r="AB167" i="72"/>
  <c r="AA168" i="72"/>
  <c r="V169" i="72"/>
  <c r="AI169" i="72"/>
  <c r="AF170" i="72"/>
  <c r="AB171" i="72"/>
  <c r="Y172" i="72"/>
  <c r="W173" i="72"/>
  <c r="AI173" i="72"/>
  <c r="AH174" i="72"/>
  <c r="AH175" i="72"/>
  <c r="AI176" i="72"/>
  <c r="AB178" i="72"/>
  <c r="AF179" i="72"/>
  <c r="AE181" i="72"/>
  <c r="AH183" i="72"/>
  <c r="J188" i="72"/>
  <c r="V188" i="72"/>
  <c r="AH188" i="72"/>
  <c r="Q189" i="72"/>
  <c r="AC189" i="72"/>
  <c r="M190" i="72"/>
  <c r="Y190" i="72"/>
  <c r="J191" i="72"/>
  <c r="V191" i="72"/>
  <c r="AH191" i="72"/>
  <c r="T192" i="72"/>
  <c r="AF192" i="72"/>
  <c r="S193" i="72"/>
  <c r="AE193" i="72"/>
  <c r="S194" i="72"/>
  <c r="AE194" i="72"/>
  <c r="T195" i="72"/>
  <c r="AF195" i="72"/>
  <c r="V196" i="72"/>
  <c r="AH196" i="72"/>
  <c r="Y197" i="72"/>
  <c r="Q198" i="72"/>
  <c r="AC198" i="72"/>
  <c r="V199" i="72"/>
  <c r="AH199" i="72"/>
  <c r="AB200" i="72"/>
  <c r="W201" i="72"/>
  <c r="AI201" i="72"/>
  <c r="AE202" i="72"/>
  <c r="AB203" i="72"/>
  <c r="Z204" i="72"/>
  <c r="Y205" i="72"/>
  <c r="Y206" i="72"/>
  <c r="Z207" i="72"/>
  <c r="AB208" i="72"/>
  <c r="AE209" i="72"/>
  <c r="AI210" i="72"/>
  <c r="AH212" i="72"/>
  <c r="AH215" i="72"/>
  <c r="M219" i="72"/>
  <c r="Y219" i="72"/>
  <c r="H220" i="72"/>
  <c r="T220" i="72"/>
  <c r="AF220" i="72"/>
  <c r="AG48" i="72"/>
  <c r="Z82" i="72"/>
  <c r="AJ102" i="72"/>
  <c r="AA115" i="72"/>
  <c r="AF127" i="72"/>
  <c r="X130" i="72"/>
  <c r="X133" i="72"/>
  <c r="AG136" i="72"/>
  <c r="AI140" i="72"/>
  <c r="AD145" i="72"/>
  <c r="AI149" i="72"/>
  <c r="P157" i="72"/>
  <c r="N158" i="72"/>
  <c r="L159" i="72"/>
  <c r="Q160" i="72"/>
  <c r="R161" i="72"/>
  <c r="Y162" i="72"/>
  <c r="AB163" i="72"/>
  <c r="AD164" i="72"/>
  <c r="AE165" i="72"/>
  <c r="AE166" i="72"/>
  <c r="AD167" i="72"/>
  <c r="AB168" i="72"/>
  <c r="W169" i="72"/>
  <c r="T170" i="72"/>
  <c r="AG170" i="72"/>
  <c r="AC171" i="72"/>
  <c r="Z172" i="72"/>
  <c r="X173" i="72"/>
  <c r="AJ173" i="72"/>
  <c r="AI174" i="72"/>
  <c r="AI175" i="72"/>
  <c r="AJ176" i="72"/>
  <c r="AC178" i="72"/>
  <c r="AG179" i="72"/>
  <c r="AF181" i="72"/>
  <c r="AI183" i="72"/>
  <c r="K188" i="72"/>
  <c r="W188" i="72"/>
  <c r="AI188" i="72"/>
  <c r="R189" i="72"/>
  <c r="AD189" i="72"/>
  <c r="N190" i="72"/>
  <c r="Z190" i="72"/>
  <c r="K191" i="72"/>
  <c r="W191" i="72"/>
  <c r="AI191" i="72"/>
  <c r="U192" i="72"/>
  <c r="AG192" i="72"/>
  <c r="T193" i="72"/>
  <c r="AF193" i="72"/>
  <c r="T194" i="72"/>
  <c r="AF194" i="72"/>
  <c r="U195" i="72"/>
  <c r="AG195" i="72"/>
  <c r="W196" i="72"/>
  <c r="AI196" i="72"/>
  <c r="Z197" i="72"/>
  <c r="R198" i="72"/>
  <c r="AD198" i="72"/>
  <c r="W199" i="72"/>
  <c r="AI199" i="72"/>
  <c r="AC200" i="72"/>
  <c r="X201" i="72"/>
  <c r="AJ201" i="72"/>
  <c r="AF202" i="72"/>
  <c r="AC203" i="72"/>
  <c r="AA204" i="72"/>
  <c r="Z205" i="72"/>
  <c r="Z206" i="72"/>
  <c r="AA207" i="72"/>
  <c r="AC208" i="72"/>
  <c r="AF209" i="72"/>
  <c r="AJ210" i="72"/>
  <c r="AI212" i="72"/>
  <c r="AI215" i="72"/>
  <c r="N219" i="72"/>
  <c r="Z219" i="72"/>
  <c r="I220" i="72"/>
  <c r="U220" i="72"/>
  <c r="AG220" i="72"/>
  <c r="Q221" i="72"/>
  <c r="AC221" i="72"/>
  <c r="N222" i="72"/>
  <c r="Z222" i="72"/>
  <c r="W67" i="72"/>
  <c r="AA83" i="72"/>
  <c r="Z103" i="72"/>
  <c r="AF115" i="72"/>
  <c r="AI127" i="72"/>
  <c r="AA130" i="72"/>
  <c r="AA133" i="72"/>
  <c r="AJ136" i="72"/>
  <c r="W141" i="72"/>
  <c r="AF145" i="72"/>
  <c r="AJ149" i="72"/>
  <c r="Q157" i="72"/>
  <c r="O158" i="72"/>
  <c r="S159" i="72"/>
  <c r="S160" i="72"/>
  <c r="S161" i="72"/>
  <c r="Z162" i="72"/>
  <c r="AC163" i="72"/>
  <c r="AE164" i="72"/>
  <c r="AF165" i="72"/>
  <c r="AF166" i="72"/>
  <c r="AF167" i="72"/>
  <c r="AC168" i="72"/>
  <c r="Y169" i="72"/>
  <c r="U170" i="72"/>
  <c r="AH170" i="72"/>
  <c r="AD171" i="72"/>
  <c r="AA172" i="72"/>
  <c r="Y173" i="72"/>
  <c r="X174" i="72"/>
  <c r="AJ174" i="72"/>
  <c r="AJ175" i="72"/>
  <c r="AA177" i="72"/>
  <c r="AD178" i="72"/>
  <c r="AH179" i="72"/>
  <c r="AG181" i="72"/>
  <c r="AJ183" i="72"/>
  <c r="L188" i="72"/>
  <c r="X188" i="72"/>
  <c r="AJ188" i="72"/>
  <c r="S189" i="72"/>
  <c r="AE189" i="72"/>
  <c r="O190" i="72"/>
  <c r="AA190" i="72"/>
  <c r="L191" i="72"/>
  <c r="X191" i="72"/>
  <c r="AJ191" i="72"/>
  <c r="V192" i="72"/>
  <c r="AH192" i="72"/>
  <c r="U193" i="72"/>
  <c r="AG193" i="72"/>
  <c r="U194" i="72"/>
  <c r="AG194" i="72"/>
  <c r="V195" i="72"/>
  <c r="AH195" i="72"/>
  <c r="X196" i="72"/>
  <c r="AJ196" i="72"/>
  <c r="AA197" i="72"/>
  <c r="S198" i="72"/>
  <c r="AE198" i="72"/>
  <c r="X199" i="72"/>
  <c r="AJ199" i="72"/>
  <c r="AD200" i="72"/>
  <c r="Y201" i="72"/>
  <c r="U202" i="72"/>
  <c r="AG202" i="72"/>
  <c r="AD203" i="72"/>
  <c r="AB204" i="72"/>
  <c r="AA205" i="72"/>
  <c r="AA206" i="72"/>
  <c r="AB207" i="72"/>
  <c r="AD208" i="72"/>
  <c r="AG209" i="72"/>
  <c r="AD211" i="72"/>
  <c r="AJ212" i="72"/>
  <c r="AJ215" i="72"/>
  <c r="O219" i="72"/>
  <c r="AA219" i="72"/>
  <c r="J220" i="72"/>
  <c r="V220" i="72"/>
  <c r="AH220" i="72"/>
  <c r="R221" i="72"/>
  <c r="T69" i="72"/>
  <c r="AJ86" i="72"/>
  <c r="U105" i="72"/>
  <c r="AF117" i="72"/>
  <c r="Q128" i="72"/>
  <c r="AJ130" i="72"/>
  <c r="AJ133" i="72"/>
  <c r="Z137" i="72"/>
  <c r="AF141" i="72"/>
  <c r="AG145" i="72"/>
  <c r="AF151" i="72"/>
  <c r="S157" i="72"/>
  <c r="P158" i="72"/>
  <c r="T159" i="72"/>
  <c r="T160" i="72"/>
  <c r="Z161" i="72"/>
  <c r="AB162" i="72"/>
  <c r="AD163" i="72"/>
  <c r="AG164" i="72"/>
  <c r="AG165" i="72"/>
  <c r="AH166" i="72"/>
  <c r="AH167" i="72"/>
  <c r="AE168" i="72"/>
  <c r="Z169" i="72"/>
  <c r="V170" i="72"/>
  <c r="AI170" i="72"/>
  <c r="AE171" i="72"/>
  <c r="AB172" i="72"/>
  <c r="Z173" i="72"/>
  <c r="Y174" i="72"/>
  <c r="Y175" i="72"/>
  <c r="Z176" i="72"/>
  <c r="AB177" i="72"/>
  <c r="AE178" i="72"/>
  <c r="AI179" i="72"/>
  <c r="AH181" i="72"/>
  <c r="AH184" i="72"/>
  <c r="M188" i="72"/>
  <c r="Y188" i="72"/>
  <c r="H189" i="72"/>
  <c r="T189" i="72"/>
  <c r="AF189" i="72"/>
  <c r="P190" i="72"/>
  <c r="AB190" i="72"/>
  <c r="M191" i="72"/>
  <c r="Y191" i="72"/>
  <c r="K192" i="72"/>
  <c r="W192" i="72"/>
  <c r="AI192" i="72"/>
  <c r="V193" i="72"/>
  <c r="AH193" i="72"/>
  <c r="V194" i="72"/>
  <c r="AH194" i="72"/>
  <c r="W195" i="72"/>
  <c r="AI195" i="72"/>
  <c r="Y196" i="72"/>
  <c r="P197" i="72"/>
  <c r="AB197" i="72"/>
  <c r="T198" i="72"/>
  <c r="AF198" i="72"/>
  <c r="Y199" i="72"/>
  <c r="S200" i="72"/>
  <c r="AE200" i="72"/>
  <c r="Z201" i="72"/>
  <c r="V202" i="72"/>
  <c r="AH202" i="72"/>
  <c r="AE203" i="72"/>
  <c r="AC204" i="72"/>
  <c r="AB205" i="72"/>
  <c r="AB206" i="72"/>
  <c r="AC207" i="72"/>
  <c r="AE208" i="72"/>
  <c r="AH209" i="72"/>
  <c r="AE211" i="72"/>
  <c r="AF213" i="72"/>
  <c r="AI216" i="72"/>
  <c r="P219" i="72"/>
  <c r="AB219" i="72"/>
  <c r="K220" i="72"/>
  <c r="W220" i="72"/>
  <c r="AI220" i="72"/>
  <c r="S221" i="72"/>
  <c r="AE221" i="72"/>
  <c r="P222" i="72"/>
  <c r="AB222" i="72"/>
  <c r="AF69" i="72"/>
  <c r="AI88" i="72"/>
  <c r="AG105" i="72"/>
  <c r="AJ117" i="72"/>
  <c r="T128" i="72"/>
  <c r="N131" i="72"/>
  <c r="Q134" i="72"/>
  <c r="AC137" i="72"/>
  <c r="AI141" i="72"/>
  <c r="AF146" i="72"/>
  <c r="AG151" i="72"/>
  <c r="T157" i="72"/>
  <c r="W158" i="72"/>
  <c r="V159" i="72"/>
  <c r="U160" i="72"/>
  <c r="AA161" i="72"/>
  <c r="AC162" i="72"/>
  <c r="N164" i="72"/>
  <c r="P165" i="72"/>
  <c r="AI165" i="72"/>
  <c r="AI166" i="72"/>
  <c r="AI167" i="72"/>
  <c r="AF168" i="72"/>
  <c r="AA169" i="72"/>
  <c r="W170" i="72"/>
  <c r="AJ170" i="72"/>
  <c r="AF171" i="72"/>
  <c r="AC172" i="72"/>
  <c r="AA173" i="72"/>
  <c r="Z174" i="72"/>
  <c r="Z175" i="72"/>
  <c r="AA176" i="72"/>
  <c r="AC177" i="72"/>
  <c r="AF178" i="72"/>
  <c r="AJ179" i="72"/>
  <c r="AI181" i="72"/>
  <c r="AI184" i="72"/>
  <c r="N188" i="72"/>
  <c r="Z188" i="72"/>
  <c r="I189" i="72"/>
  <c r="U189" i="72"/>
  <c r="AG189" i="72"/>
  <c r="Q190" i="72"/>
  <c r="AC190" i="72"/>
  <c r="N191" i="72"/>
  <c r="Z191" i="72"/>
  <c r="L192" i="72"/>
  <c r="X192" i="72"/>
  <c r="AJ192" i="72"/>
  <c r="W193" i="72"/>
  <c r="AI193" i="72"/>
  <c r="W194" i="72"/>
  <c r="AI194" i="72"/>
  <c r="X195" i="72"/>
  <c r="AJ195" i="72"/>
  <c r="Z196" i="72"/>
  <c r="Q197" i="72"/>
  <c r="AC197" i="72"/>
  <c r="U198" i="72"/>
  <c r="AG198" i="72"/>
  <c r="Z199" i="72"/>
  <c r="T200" i="72"/>
  <c r="AF200" i="72"/>
  <c r="AA201" i="72"/>
  <c r="W202" i="72"/>
  <c r="AI202" i="72"/>
  <c r="U71" i="72"/>
  <c r="Z95" i="72"/>
  <c r="AC107" i="72"/>
  <c r="AG120" i="72"/>
  <c r="AC128" i="72"/>
  <c r="W131" i="72"/>
  <c r="Z134" i="72"/>
  <c r="T138" i="72"/>
  <c r="AD142" i="72"/>
  <c r="AH146" i="72"/>
  <c r="AI151" i="72"/>
  <c r="U157" i="72"/>
  <c r="X158" i="72"/>
  <c r="W159" i="72"/>
  <c r="AB160" i="72"/>
  <c r="AC161" i="72"/>
  <c r="AD162" i="72"/>
  <c r="O164" i="72"/>
  <c r="Q165" i="72"/>
  <c r="P166" i="72"/>
  <c r="AJ166" i="72"/>
  <c r="AJ167" i="72"/>
  <c r="AG168" i="72"/>
  <c r="AB169" i="72"/>
  <c r="X170" i="72"/>
  <c r="U171" i="72"/>
  <c r="AG171" i="72"/>
  <c r="AD172" i="72"/>
  <c r="AB173" i="72"/>
  <c r="AA174" i="72"/>
  <c r="AA175" i="72"/>
  <c r="AB176" i="72"/>
  <c r="AD177" i="72"/>
  <c r="AG178" i="72"/>
  <c r="AD180" i="72"/>
  <c r="AJ181" i="72"/>
  <c r="AJ184" i="72"/>
  <c r="O188" i="72"/>
  <c r="AA188" i="72"/>
  <c r="J189" i="72"/>
  <c r="V189" i="72"/>
  <c r="AH189" i="72"/>
  <c r="R190" i="72"/>
  <c r="AD190" i="72"/>
  <c r="O191" i="72"/>
  <c r="AA191" i="72"/>
  <c r="M192" i="72"/>
  <c r="Y192" i="72"/>
  <c r="L193" i="72"/>
  <c r="X193" i="72"/>
  <c r="AJ193" i="72"/>
  <c r="X194" i="72"/>
  <c r="AJ194" i="72"/>
  <c r="Y195" i="72"/>
  <c r="O196" i="72"/>
  <c r="AA196" i="72"/>
  <c r="R197" i="72"/>
  <c r="AD197" i="72"/>
  <c r="V198" i="72"/>
  <c r="AH198" i="72"/>
  <c r="AA199" i="72"/>
  <c r="U200" i="72"/>
  <c r="AG200" i="72"/>
  <c r="AB201" i="72"/>
  <c r="X202" i="72"/>
  <c r="AJ202" i="72"/>
  <c r="AG203" i="72"/>
  <c r="AE204" i="72"/>
  <c r="AD205" i="72"/>
  <c r="AD206" i="72"/>
  <c r="AE207" i="72"/>
  <c r="AG208" i="72"/>
  <c r="Z73" i="72"/>
  <c r="Q97" i="72"/>
  <c r="AD109" i="72"/>
  <c r="L126" i="72"/>
  <c r="N129" i="72"/>
  <c r="AI131" i="72"/>
  <c r="Q135" i="72"/>
  <c r="AF138" i="72"/>
  <c r="AC143" i="72"/>
  <c r="AI147" i="72"/>
  <c r="AG152" i="72"/>
  <c r="AC157" i="72"/>
  <c r="AA158" i="72"/>
  <c r="AE159" i="72"/>
  <c r="AE160" i="72"/>
  <c r="AE161" i="72"/>
  <c r="N163" i="72"/>
  <c r="R164" i="72"/>
  <c r="T165" i="72"/>
  <c r="T166" i="72"/>
  <c r="T167" i="72"/>
  <c r="T168" i="72"/>
  <c r="AI168" i="72"/>
  <c r="AD169" i="72"/>
  <c r="Z170" i="72"/>
  <c r="W171" i="72"/>
  <c r="AI171" i="72"/>
  <c r="AF172" i="72"/>
  <c r="AD173" i="72"/>
  <c r="AC174" i="72"/>
  <c r="AC175" i="72"/>
  <c r="AD176" i="72"/>
  <c r="AF177" i="72"/>
  <c r="AI178" i="72"/>
  <c r="AF180" i="72"/>
  <c r="AG182" i="72"/>
  <c r="AJ185" i="72"/>
  <c r="Q188" i="72"/>
  <c r="AC188" i="72"/>
  <c r="L189" i="72"/>
  <c r="X189" i="72"/>
  <c r="AJ189" i="72"/>
  <c r="T190" i="72"/>
  <c r="AF190" i="72"/>
  <c r="Q191" i="72"/>
  <c r="AC191" i="72"/>
  <c r="O192" i="72"/>
  <c r="AA192" i="72"/>
  <c r="N193" i="72"/>
  <c r="Z193" i="72"/>
  <c r="N194" i="72"/>
  <c r="Z194" i="72"/>
  <c r="O195" i="72"/>
  <c r="AA195" i="72"/>
  <c r="Q196" i="72"/>
  <c r="AC196" i="72"/>
  <c r="T197" i="72"/>
  <c r="AF197" i="72"/>
  <c r="X198" i="72"/>
  <c r="AJ198" i="72"/>
  <c r="AC199" i="72"/>
  <c r="W200" i="72"/>
  <c r="AI200" i="72"/>
  <c r="AD201" i="72"/>
  <c r="Z202" i="72"/>
  <c r="W203" i="72"/>
  <c r="AI203" i="72"/>
  <c r="AG204" i="72"/>
  <c r="AF205" i="72"/>
  <c r="AF206" i="72"/>
  <c r="AG207" i="72"/>
  <c r="AI208" i="72"/>
  <c r="AD210" i="72"/>
  <c r="AI211" i="72"/>
  <c r="AJ213" i="72"/>
  <c r="H219" i="72"/>
  <c r="T219" i="72"/>
  <c r="AF219" i="72"/>
  <c r="O220" i="72"/>
  <c r="AA220" i="72"/>
  <c r="K221" i="72"/>
  <c r="W221" i="72"/>
  <c r="AG142" i="72"/>
  <c r="R167" i="72"/>
  <c r="AE177" i="72"/>
  <c r="AG188" i="72"/>
  <c r="X190" i="72"/>
  <c r="S192" i="72"/>
  <c r="AI146" i="72"/>
  <c r="S168" i="72"/>
  <c r="AH178" i="72"/>
  <c r="K189" i="72"/>
  <c r="AE190" i="72"/>
  <c r="Z192" i="72"/>
  <c r="Y194" i="72"/>
  <c r="AB196" i="72"/>
  <c r="AI198" i="72"/>
  <c r="AC201" i="72"/>
  <c r="Y204" i="72"/>
  <c r="AJ206" i="72"/>
  <c r="AF210" i="72"/>
  <c r="AJ216" i="72"/>
  <c r="AE219" i="72"/>
  <c r="AE220" i="72"/>
  <c r="AB221" i="72"/>
  <c r="S222" i="72"/>
  <c r="K223" i="72"/>
  <c r="W223" i="72"/>
  <c r="AI223" i="72"/>
  <c r="V224" i="72"/>
  <c r="AH224" i="72"/>
  <c r="V225" i="72"/>
  <c r="AH225" i="72"/>
  <c r="W226" i="72"/>
  <c r="AI226" i="72"/>
  <c r="Y227" i="72"/>
  <c r="P228" i="72"/>
  <c r="AB228" i="72"/>
  <c r="T229" i="72"/>
  <c r="AF229" i="72"/>
  <c r="Y230" i="72"/>
  <c r="S231" i="72"/>
  <c r="AE231" i="72"/>
  <c r="Z232" i="72"/>
  <c r="V233" i="72"/>
  <c r="AH233" i="72"/>
  <c r="AE234" i="72"/>
  <c r="AC235" i="72"/>
  <c r="AB236" i="72"/>
  <c r="AB237" i="72"/>
  <c r="AC238" i="72"/>
  <c r="AE239" i="72"/>
  <c r="AH240" i="72"/>
  <c r="AE242" i="72"/>
  <c r="AF244" i="72"/>
  <c r="AI247" i="72"/>
  <c r="P250" i="72"/>
  <c r="AB250" i="72"/>
  <c r="K251" i="72"/>
  <c r="W251" i="72"/>
  <c r="AI251" i="72"/>
  <c r="S252" i="72"/>
  <c r="AE252" i="72"/>
  <c r="P253" i="72"/>
  <c r="AB253" i="72"/>
  <c r="N254" i="72"/>
  <c r="Z254" i="72"/>
  <c r="M255" i="72"/>
  <c r="Y255" i="72"/>
  <c r="M256" i="72"/>
  <c r="Y256" i="72"/>
  <c r="N257" i="72"/>
  <c r="Z257" i="72"/>
  <c r="P258" i="72"/>
  <c r="AB258" i="72"/>
  <c r="S259" i="72"/>
  <c r="AE259" i="72"/>
  <c r="W260" i="72"/>
  <c r="AI260" i="72"/>
  <c r="AB261" i="72"/>
  <c r="V262" i="72"/>
  <c r="AH262" i="72"/>
  <c r="AC263" i="72"/>
  <c r="Y264" i="72"/>
  <c r="V265" i="72"/>
  <c r="AH265" i="72"/>
  <c r="AF266" i="72"/>
  <c r="AE267" i="72"/>
  <c r="AE268" i="72"/>
  <c r="AF269" i="72"/>
  <c r="AH270" i="72"/>
  <c r="AC272" i="72"/>
  <c r="AJ151" i="72"/>
  <c r="AH168" i="72"/>
  <c r="AE180" i="72"/>
  <c r="N189" i="72"/>
  <c r="AH190" i="72"/>
  <c r="AC192" i="72"/>
  <c r="AB194" i="72"/>
  <c r="AE196" i="72"/>
  <c r="S199" i="72"/>
  <c r="AF201" i="72"/>
  <c r="AD204" i="72"/>
  <c r="AD207" i="72"/>
  <c r="AH210" i="72"/>
  <c r="AJ217" i="72"/>
  <c r="AH219" i="72"/>
  <c r="AJ220" i="72"/>
  <c r="AD221" i="72"/>
  <c r="T222" i="72"/>
  <c r="L223" i="72"/>
  <c r="X223" i="72"/>
  <c r="AJ223" i="72"/>
  <c r="W224" i="72"/>
  <c r="AI224" i="72"/>
  <c r="W225" i="72"/>
  <c r="AI225" i="72"/>
  <c r="X226" i="72"/>
  <c r="AJ226" i="72"/>
  <c r="Z227" i="72"/>
  <c r="Q228" i="72"/>
  <c r="AC228" i="72"/>
  <c r="U229" i="72"/>
  <c r="AG229" i="72"/>
  <c r="Z230" i="72"/>
  <c r="T231" i="72"/>
  <c r="AF231" i="72"/>
  <c r="AA232" i="72"/>
  <c r="W233" i="72"/>
  <c r="AI233" i="72"/>
  <c r="AF234" i="72"/>
  <c r="AD235" i="72"/>
  <c r="AC236" i="72"/>
  <c r="AC237" i="72"/>
  <c r="AD238" i="72"/>
  <c r="AF239" i="72"/>
  <c r="AI240" i="72"/>
  <c r="AF242" i="72"/>
  <c r="AG244" i="72"/>
  <c r="AJ247" i="72"/>
  <c r="Q250" i="72"/>
  <c r="AC250" i="72"/>
  <c r="L251" i="72"/>
  <c r="X251" i="72"/>
  <c r="AJ251" i="72"/>
  <c r="T252" i="72"/>
  <c r="AF252" i="72"/>
  <c r="Q253" i="72"/>
  <c r="AC253" i="72"/>
  <c r="O254" i="72"/>
  <c r="AA254" i="72"/>
  <c r="N255" i="72"/>
  <c r="Z255" i="72"/>
  <c r="N256" i="72"/>
  <c r="Z256" i="72"/>
  <c r="O257" i="72"/>
  <c r="AA257" i="72"/>
  <c r="Q258" i="72"/>
  <c r="AC258" i="72"/>
  <c r="T259" i="72"/>
  <c r="AF259" i="72"/>
  <c r="X260" i="72"/>
  <c r="AJ260" i="72"/>
  <c r="AC261" i="72"/>
  <c r="W262" i="72"/>
  <c r="AI262" i="72"/>
  <c r="AD263" i="72"/>
  <c r="Z264" i="72"/>
  <c r="W265" i="72"/>
  <c r="AI265" i="72"/>
  <c r="AG266" i="72"/>
  <c r="AF267" i="72"/>
  <c r="AF268" i="72"/>
  <c r="AG269" i="72"/>
  <c r="AI270" i="72"/>
  <c r="AB157" i="72"/>
  <c r="AC169" i="72"/>
  <c r="AF182" i="72"/>
  <c r="P189" i="72"/>
  <c r="AJ190" i="72"/>
  <c r="AE192" i="72"/>
  <c r="AG71" i="72"/>
  <c r="Z158" i="72"/>
  <c r="Y170" i="72"/>
  <c r="AI185" i="72"/>
  <c r="W189" i="72"/>
  <c r="P191" i="72"/>
  <c r="M193" i="72"/>
  <c r="N195" i="72"/>
  <c r="S197" i="72"/>
  <c r="AB199" i="72"/>
  <c r="Y202" i="72"/>
  <c r="AI204" i="72"/>
  <c r="AI207" i="72"/>
  <c r="AG211" i="72"/>
  <c r="J219" i="72"/>
  <c r="L220" i="72"/>
  <c r="J221" i="72"/>
  <c r="AG221" i="72"/>
  <c r="X222" i="72"/>
  <c r="N223" i="72"/>
  <c r="Z223" i="72"/>
  <c r="M224" i="72"/>
  <c r="Y224" i="72"/>
  <c r="M225" i="72"/>
  <c r="Y225" i="72"/>
  <c r="N226" i="72"/>
  <c r="Z226" i="72"/>
  <c r="P227" i="72"/>
  <c r="AB227" i="72"/>
  <c r="S228" i="72"/>
  <c r="AE228" i="72"/>
  <c r="W229" i="72"/>
  <c r="AI229" i="72"/>
  <c r="AB230" i="72"/>
  <c r="V231" i="72"/>
  <c r="AH231" i="72"/>
  <c r="AC232" i="72"/>
  <c r="Y233" i="72"/>
  <c r="V234" i="72"/>
  <c r="AH234" i="72"/>
  <c r="AF235" i="72"/>
  <c r="AE236" i="72"/>
  <c r="AE237" i="72"/>
  <c r="AF238" i="72"/>
  <c r="AH239" i="72"/>
  <c r="AC241" i="72"/>
  <c r="AH242" i="72"/>
  <c r="AI244" i="72"/>
  <c r="G250" i="72"/>
  <c r="S250" i="72"/>
  <c r="AE250" i="72"/>
  <c r="N251" i="72"/>
  <c r="Z251" i="72"/>
  <c r="J252" i="72"/>
  <c r="V252" i="72"/>
  <c r="AH252" i="72"/>
  <c r="S253" i="72"/>
  <c r="AE253" i="72"/>
  <c r="Q254" i="72"/>
  <c r="AC254" i="72"/>
  <c r="P255" i="72"/>
  <c r="AB255" i="72"/>
  <c r="P256" i="72"/>
  <c r="AB256" i="72"/>
  <c r="Q257" i="72"/>
  <c r="AC257" i="72"/>
  <c r="S258" i="72"/>
  <c r="AE258" i="72"/>
  <c r="V259" i="72"/>
  <c r="AH259" i="72"/>
  <c r="Z260" i="72"/>
  <c r="S261" i="72"/>
  <c r="AE261" i="72"/>
  <c r="Y262" i="72"/>
  <c r="T263" i="72"/>
  <c r="AF263" i="72"/>
  <c r="AB264" i="72"/>
  <c r="Y265" i="72"/>
  <c r="W266" i="72"/>
  <c r="AI266" i="72"/>
  <c r="AH267" i="72"/>
  <c r="AH268" i="72"/>
  <c r="AI269" i="72"/>
  <c r="AB271" i="72"/>
  <c r="AF272" i="72"/>
  <c r="I96" i="72"/>
  <c r="X159" i="72"/>
  <c r="V171" i="72"/>
  <c r="G188" i="72"/>
  <c r="Z189" i="72"/>
  <c r="S191" i="72"/>
  <c r="P193" i="72"/>
  <c r="Q195" i="72"/>
  <c r="V197" i="72"/>
  <c r="AE199" i="72"/>
  <c r="AB202" i="72"/>
  <c r="X205" i="72"/>
  <c r="AA208" i="72"/>
  <c r="AH211" i="72"/>
  <c r="L219" i="72"/>
  <c r="M220" i="72"/>
  <c r="M221" i="72"/>
  <c r="AH221" i="72"/>
  <c r="Y222" i="72"/>
  <c r="O223" i="72"/>
  <c r="AA223" i="72"/>
  <c r="N224" i="72"/>
  <c r="Z224" i="72"/>
  <c r="N225" i="72"/>
  <c r="Z225" i="72"/>
  <c r="O226" i="72"/>
  <c r="AA226" i="72"/>
  <c r="Q227" i="72"/>
  <c r="AC227" i="72"/>
  <c r="T228" i="72"/>
  <c r="AF228" i="72"/>
  <c r="X229" i="72"/>
  <c r="AJ229" i="72"/>
  <c r="AC230" i="72"/>
  <c r="W231" i="72"/>
  <c r="AI231" i="72"/>
  <c r="AD232" i="72"/>
  <c r="Z233" i="72"/>
  <c r="W234" i="72"/>
  <c r="AI234" i="72"/>
  <c r="AG235" i="72"/>
  <c r="AF236" i="72"/>
  <c r="AF237" i="72"/>
  <c r="AG238" i="72"/>
  <c r="AI239" i="72"/>
  <c r="AD241" i="72"/>
  <c r="AI242" i="72"/>
  <c r="AJ244" i="72"/>
  <c r="H250" i="72"/>
  <c r="T250" i="72"/>
  <c r="AF250" i="72"/>
  <c r="O251" i="72"/>
  <c r="AA251" i="72"/>
  <c r="K252" i="72"/>
  <c r="W252" i="72"/>
  <c r="AI252" i="72"/>
  <c r="T253" i="72"/>
  <c r="AF253" i="72"/>
  <c r="R254" i="72"/>
  <c r="AD254" i="72"/>
  <c r="Q255" i="72"/>
  <c r="AC255" i="72"/>
  <c r="Q256" i="72"/>
  <c r="AC256" i="72"/>
  <c r="R257" i="72"/>
  <c r="AD257" i="72"/>
  <c r="T258" i="72"/>
  <c r="AF258" i="72"/>
  <c r="W259" i="72"/>
  <c r="AI259" i="72"/>
  <c r="AA260" i="72"/>
  <c r="T261" i="72"/>
  <c r="AF261" i="72"/>
  <c r="Z262" i="72"/>
  <c r="U263" i="72"/>
  <c r="AG263" i="72"/>
  <c r="AC264" i="72"/>
  <c r="Z265" i="72"/>
  <c r="X266" i="72"/>
  <c r="AJ266" i="72"/>
  <c r="AI267" i="72"/>
  <c r="AI268" i="72"/>
  <c r="AJ269" i="72"/>
  <c r="AC271" i="72"/>
  <c r="AG272" i="72"/>
  <c r="V108" i="72"/>
  <c r="AC160" i="72"/>
  <c r="AH171" i="72"/>
  <c r="I188" i="72"/>
  <c r="AB189" i="72"/>
  <c r="U191" i="72"/>
  <c r="R193" i="72"/>
  <c r="S195" i="72"/>
  <c r="X197" i="72"/>
  <c r="AG199" i="72"/>
  <c r="AD202" i="72"/>
  <c r="AC205" i="72"/>
  <c r="AF208" i="72"/>
  <c r="AE212" i="72"/>
  <c r="Q219" i="72"/>
  <c r="N220" i="72"/>
  <c r="O221" i="72"/>
  <c r="AI221" i="72"/>
  <c r="AA222" i="72"/>
  <c r="P223" i="72"/>
  <c r="AB223" i="72"/>
  <c r="O224" i="72"/>
  <c r="AA224" i="72"/>
  <c r="O225" i="72"/>
  <c r="AA225" i="72"/>
  <c r="P226" i="72"/>
  <c r="AB226" i="72"/>
  <c r="R227" i="72"/>
  <c r="AD227" i="72"/>
  <c r="U228" i="72"/>
  <c r="AG228" i="72"/>
  <c r="Y229" i="72"/>
  <c r="R230" i="72"/>
  <c r="AD230" i="72"/>
  <c r="X231" i="72"/>
  <c r="AJ231" i="72"/>
  <c r="AE232" i="72"/>
  <c r="AA233" i="72"/>
  <c r="X234" i="72"/>
  <c r="AJ234" i="72"/>
  <c r="AH235" i="72"/>
  <c r="AG236" i="72"/>
  <c r="AG237" i="72"/>
  <c r="AH238" i="72"/>
  <c r="AJ239" i="72"/>
  <c r="AE241" i="72"/>
  <c r="AJ242" i="72"/>
  <c r="AG245" i="72"/>
  <c r="I250" i="72"/>
  <c r="U250" i="72"/>
  <c r="AG250" i="72"/>
  <c r="P251" i="72"/>
  <c r="AB251" i="72"/>
  <c r="L252" i="72"/>
  <c r="X252" i="72"/>
  <c r="AJ252" i="72"/>
  <c r="U253" i="72"/>
  <c r="AG253" i="72"/>
  <c r="S254" i="72"/>
  <c r="AE254" i="72"/>
  <c r="R255" i="72"/>
  <c r="AD255" i="72"/>
  <c r="R256" i="72"/>
  <c r="AD256" i="72"/>
  <c r="S257" i="72"/>
  <c r="AE257" i="72"/>
  <c r="U258" i="72"/>
  <c r="AG258" i="72"/>
  <c r="X259" i="72"/>
  <c r="AJ259" i="72"/>
  <c r="AB260" i="72"/>
  <c r="U261" i="72"/>
  <c r="AG261" i="72"/>
  <c r="AA262" i="72"/>
  <c r="V263" i="72"/>
  <c r="AH263" i="72"/>
  <c r="AD264" i="72"/>
  <c r="AA265" i="72"/>
  <c r="Y266" i="72"/>
  <c r="X267" i="72"/>
  <c r="AJ267" i="72"/>
  <c r="AJ268" i="72"/>
  <c r="AA270" i="72"/>
  <c r="AD271" i="72"/>
  <c r="AH272" i="72"/>
  <c r="AI121" i="72"/>
  <c r="AD161" i="72"/>
  <c r="AE172" i="72"/>
  <c r="P188" i="72"/>
  <c r="AI189" i="72"/>
  <c r="AB191" i="72"/>
  <c r="Y193" i="72"/>
  <c r="Z195" i="72"/>
  <c r="AE197" i="72"/>
  <c r="V200" i="72"/>
  <c r="V203" i="72"/>
  <c r="AE205" i="72"/>
  <c r="AH208" i="72"/>
  <c r="AG212" i="72"/>
  <c r="R219" i="72"/>
  <c r="Q220" i="72"/>
  <c r="P221" i="72"/>
  <c r="J222" i="72"/>
  <c r="AC222" i="72"/>
  <c r="Q223" i="72"/>
  <c r="AC223" i="72"/>
  <c r="P224" i="72"/>
  <c r="AB224" i="72"/>
  <c r="P225" i="72"/>
  <c r="AB225" i="72"/>
  <c r="Q226" i="72"/>
  <c r="AC226" i="72"/>
  <c r="S227" i="72"/>
  <c r="AE227" i="72"/>
  <c r="V228" i="72"/>
  <c r="AH228" i="72"/>
  <c r="Z229" i="72"/>
  <c r="S230" i="72"/>
  <c r="AE230" i="72"/>
  <c r="Y231" i="72"/>
  <c r="T232" i="72"/>
  <c r="AF232" i="72"/>
  <c r="AB233" i="72"/>
  <c r="Y234" i="72"/>
  <c r="W235" i="72"/>
  <c r="AI235" i="72"/>
  <c r="AH236" i="72"/>
  <c r="AH237" i="72"/>
  <c r="AI238" i="72"/>
  <c r="AB240" i="72"/>
  <c r="AF241" i="72"/>
  <c r="AE243" i="72"/>
  <c r="AH245" i="72"/>
  <c r="J250" i="72"/>
  <c r="V250" i="72"/>
  <c r="AH250" i="72"/>
  <c r="Q251" i="72"/>
  <c r="AC251" i="72"/>
  <c r="M252" i="72"/>
  <c r="Y252" i="72"/>
  <c r="J253" i="72"/>
  <c r="V253" i="72"/>
  <c r="AH253" i="72"/>
  <c r="T254" i="72"/>
  <c r="AF254" i="72"/>
  <c r="S255" i="72"/>
  <c r="AE255" i="72"/>
  <c r="S256" i="72"/>
  <c r="AE256" i="72"/>
  <c r="T257" i="72"/>
  <c r="AF257" i="72"/>
  <c r="V258" i="72"/>
  <c r="AH258" i="72"/>
  <c r="Y259" i="72"/>
  <c r="Q260" i="72"/>
  <c r="AC260" i="72"/>
  <c r="V261" i="72"/>
  <c r="AH261" i="72"/>
  <c r="AB262" i="72"/>
  <c r="W263" i="72"/>
  <c r="AI263" i="72"/>
  <c r="AE264" i="72"/>
  <c r="AB265" i="72"/>
  <c r="Z266" i="72"/>
  <c r="Y267" i="72"/>
  <c r="Y268" i="72"/>
  <c r="Z269" i="72"/>
  <c r="AB270" i="72"/>
  <c r="AE271" i="72"/>
  <c r="AI272" i="72"/>
  <c r="AF128" i="72"/>
  <c r="M163" i="72"/>
  <c r="AC173" i="72"/>
  <c r="S188" i="72"/>
  <c r="J190" i="72"/>
  <c r="AE191" i="72"/>
  <c r="AB193" i="72"/>
  <c r="AC195" i="72"/>
  <c r="AH197" i="72"/>
  <c r="Y200" i="72"/>
  <c r="Y203" i="72"/>
  <c r="AH205" i="72"/>
  <c r="AB209" i="72"/>
  <c r="AG213" i="72"/>
  <c r="S219" i="72"/>
  <c r="S220" i="72"/>
  <c r="T221" i="72"/>
  <c r="L222" i="72"/>
  <c r="AD222" i="72"/>
  <c r="R223" i="72"/>
  <c r="AD223" i="72"/>
  <c r="Q224" i="72"/>
  <c r="AC224" i="72"/>
  <c r="Q225" i="72"/>
  <c r="AC225" i="72"/>
  <c r="R226" i="72"/>
  <c r="AD226" i="72"/>
  <c r="T227" i="72"/>
  <c r="AF227" i="72"/>
  <c r="W228" i="72"/>
  <c r="AI228" i="72"/>
  <c r="AA229" i="72"/>
  <c r="T230" i="72"/>
  <c r="AF230" i="72"/>
  <c r="Z231" i="72"/>
  <c r="U232" i="72"/>
  <c r="AG232" i="72"/>
  <c r="AC233" i="72"/>
  <c r="Z234" i="72"/>
  <c r="X235" i="72"/>
  <c r="AJ235" i="72"/>
  <c r="AI236" i="72"/>
  <c r="AI237" i="72"/>
  <c r="AJ238" i="72"/>
  <c r="AC240" i="72"/>
  <c r="AG241" i="72"/>
  <c r="AF243" i="72"/>
  <c r="AI245" i="72"/>
  <c r="K250" i="72"/>
  <c r="W250" i="72"/>
  <c r="AI250" i="72"/>
  <c r="R251" i="72"/>
  <c r="AD251" i="72"/>
  <c r="N252" i="72"/>
  <c r="Z252" i="72"/>
  <c r="K253" i="72"/>
  <c r="W253" i="72"/>
  <c r="AI253" i="72"/>
  <c r="U254" i="72"/>
  <c r="AG254" i="72"/>
  <c r="T255" i="72"/>
  <c r="AF255" i="72"/>
  <c r="T256" i="72"/>
  <c r="AF256" i="72"/>
  <c r="U257" i="72"/>
  <c r="AG257" i="72"/>
  <c r="W258" i="72"/>
  <c r="AI258" i="72"/>
  <c r="Z259" i="72"/>
  <c r="R260" i="72"/>
  <c r="AD260" i="72"/>
  <c r="W261" i="72"/>
  <c r="AI261" i="72"/>
  <c r="Z131" i="72"/>
  <c r="Q164" i="72"/>
  <c r="AB174" i="72"/>
  <c r="U188" i="72"/>
  <c r="L190" i="72"/>
  <c r="AG191" i="72"/>
  <c r="AD193" i="72"/>
  <c r="AE195" i="72"/>
  <c r="AJ197" i="72"/>
  <c r="AA200" i="72"/>
  <c r="AA203" i="72"/>
  <c r="AJ205" i="72"/>
  <c r="AD209" i="72"/>
  <c r="AH213" i="72"/>
  <c r="V219" i="72"/>
  <c r="X220" i="72"/>
  <c r="U221" i="72"/>
  <c r="M222" i="72"/>
  <c r="AE222" i="72"/>
  <c r="S223" i="72"/>
  <c r="AE223" i="72"/>
  <c r="R224" i="72"/>
  <c r="AD224" i="72"/>
  <c r="R225" i="72"/>
  <c r="AD225" i="72"/>
  <c r="S226" i="72"/>
  <c r="AE226" i="72"/>
  <c r="U227" i="72"/>
  <c r="AG227" i="72"/>
  <c r="X228" i="72"/>
  <c r="AJ228" i="72"/>
  <c r="AB229" i="72"/>
  <c r="U230" i="72"/>
  <c r="AG230" i="72"/>
  <c r="AA231" i="72"/>
  <c r="V232" i="72"/>
  <c r="AH232" i="72"/>
  <c r="AD233" i="72"/>
  <c r="AA234" i="72"/>
  <c r="Y235" i="72"/>
  <c r="X236" i="72"/>
  <c r="AJ236" i="72"/>
  <c r="AJ237" i="72"/>
  <c r="AA239" i="72"/>
  <c r="AD240" i="72"/>
  <c r="AH241" i="72"/>
  <c r="AG243" i="72"/>
  <c r="AJ245" i="72"/>
  <c r="L250" i="72"/>
  <c r="X250" i="72"/>
  <c r="AJ250" i="72"/>
  <c r="S251" i="72"/>
  <c r="AE251" i="72"/>
  <c r="O252" i="72"/>
  <c r="AA252" i="72"/>
  <c r="L253" i="72"/>
  <c r="X253" i="72"/>
  <c r="AJ253" i="72"/>
  <c r="V254" i="72"/>
  <c r="AH254" i="72"/>
  <c r="U255" i="72"/>
  <c r="AG255" i="72"/>
  <c r="U256" i="72"/>
  <c r="AG256" i="72"/>
  <c r="V257" i="72"/>
  <c r="AH257" i="72"/>
  <c r="X258" i="72"/>
  <c r="AJ258" i="72"/>
  <c r="AA259" i="72"/>
  <c r="S260" i="72"/>
  <c r="AE260" i="72"/>
  <c r="X261" i="72"/>
  <c r="AJ261" i="72"/>
  <c r="AD262" i="72"/>
  <c r="Y263" i="72"/>
  <c r="U264" i="72"/>
  <c r="AG264" i="72"/>
  <c r="AD265" i="72"/>
  <c r="AB266" i="72"/>
  <c r="AA267" i="72"/>
  <c r="AA268" i="72"/>
  <c r="AB269" i="72"/>
  <c r="AD270" i="72"/>
  <c r="AG271" i="72"/>
  <c r="AD273" i="72"/>
  <c r="W138" i="72"/>
  <c r="S166" i="72"/>
  <c r="AC176" i="72"/>
  <c r="AE188" i="72"/>
  <c r="V190" i="72"/>
  <c r="Q192" i="72"/>
  <c r="P194" i="72"/>
  <c r="S196" i="72"/>
  <c r="Z198" i="72"/>
  <c r="T201" i="72"/>
  <c r="AH203" i="72"/>
  <c r="AE206" i="72"/>
  <c r="AJ209" i="72"/>
  <c r="AH214" i="72"/>
  <c r="AC219" i="72"/>
  <c r="Z220" i="72"/>
  <c r="Y221" i="72"/>
  <c r="Q222" i="72"/>
  <c r="AH222" i="72"/>
  <c r="U223" i="72"/>
  <c r="AG223" i="72"/>
  <c r="T224" i="72"/>
  <c r="AF224" i="72"/>
  <c r="T225" i="72"/>
  <c r="AF225" i="72"/>
  <c r="U226" i="72"/>
  <c r="AG226" i="72"/>
  <c r="W227" i="72"/>
  <c r="AI227" i="72"/>
  <c r="Z228" i="72"/>
  <c r="R229" i="72"/>
  <c r="AD229" i="72"/>
  <c r="W230" i="72"/>
  <c r="AI230" i="72"/>
  <c r="AC231" i="72"/>
  <c r="X232" i="72"/>
  <c r="AJ232" i="72"/>
  <c r="AF233" i="72"/>
  <c r="AC234" i="72"/>
  <c r="AA235" i="72"/>
  <c r="Z236" i="72"/>
  <c r="Z237" i="72"/>
  <c r="AA238" i="72"/>
  <c r="AC239" i="72"/>
  <c r="AF240" i="72"/>
  <c r="AJ241" i="72"/>
  <c r="AI243" i="72"/>
  <c r="AI246" i="72"/>
  <c r="N250" i="72"/>
  <c r="Z250" i="72"/>
  <c r="I251" i="72"/>
  <c r="U251" i="72"/>
  <c r="AG251" i="72"/>
  <c r="Q252" i="72"/>
  <c r="AC252" i="72"/>
  <c r="N253" i="72"/>
  <c r="Z253" i="72"/>
  <c r="L254" i="72"/>
  <c r="X254" i="72"/>
  <c r="AJ254" i="72"/>
  <c r="W255" i="72"/>
  <c r="AI255" i="72"/>
  <c r="W256" i="72"/>
  <c r="AI256" i="72"/>
  <c r="X257" i="72"/>
  <c r="AJ257" i="72"/>
  <c r="Z258" i="72"/>
  <c r="Q259" i="72"/>
  <c r="AC259" i="72"/>
  <c r="U260" i="72"/>
  <c r="AG260" i="72"/>
  <c r="Z261" i="72"/>
  <c r="T262" i="72"/>
  <c r="AF262" i="72"/>
  <c r="AA263" i="72"/>
  <c r="W264" i="72"/>
  <c r="AI264" i="72"/>
  <c r="AF265" i="72"/>
  <c r="AD266" i="72"/>
  <c r="AD194" i="72"/>
  <c r="AF204" i="72"/>
  <c r="AJ219" i="72"/>
  <c r="M223" i="72"/>
  <c r="AJ224" i="72"/>
  <c r="O227" i="72"/>
  <c r="V229" i="72"/>
  <c r="AG231" i="72"/>
  <c r="AG234" i="72"/>
  <c r="AE238" i="72"/>
  <c r="AH244" i="72"/>
  <c r="M251" i="72"/>
  <c r="AG252" i="72"/>
  <c r="AB254" i="72"/>
  <c r="AA256" i="72"/>
  <c r="AD258" i="72"/>
  <c r="R261" i="72"/>
  <c r="Z263" i="72"/>
  <c r="AE265" i="72"/>
  <c r="Z268" i="72"/>
  <c r="AF270" i="72"/>
  <c r="AG273" i="72"/>
  <c r="AH275" i="72"/>
  <c r="AJ279" i="72"/>
  <c r="R281" i="72"/>
  <c r="AD281" i="72"/>
  <c r="M282" i="72"/>
  <c r="Y282" i="72"/>
  <c r="I283" i="72"/>
  <c r="U283" i="72"/>
  <c r="AG283" i="72"/>
  <c r="R284" i="72"/>
  <c r="AD284" i="72"/>
  <c r="P285" i="72"/>
  <c r="AB285" i="72"/>
  <c r="O286" i="72"/>
  <c r="AA286" i="72"/>
  <c r="O287" i="72"/>
  <c r="AA287" i="72"/>
  <c r="P288" i="72"/>
  <c r="AB288" i="72"/>
  <c r="R289" i="72"/>
  <c r="AD289" i="72"/>
  <c r="U290" i="72"/>
  <c r="AG290" i="72"/>
  <c r="Y291" i="72"/>
  <c r="R292" i="72"/>
  <c r="AD292" i="72"/>
  <c r="X293" i="72"/>
  <c r="AJ293" i="72"/>
  <c r="AE294" i="72"/>
  <c r="AA295" i="72"/>
  <c r="X296" i="72"/>
  <c r="AJ296" i="72"/>
  <c r="AH297" i="72"/>
  <c r="AG298" i="72"/>
  <c r="AG299" i="72"/>
  <c r="AH300" i="72"/>
  <c r="AJ301" i="72"/>
  <c r="U259" i="72"/>
  <c r="AG276" i="72"/>
  <c r="AB282" i="72"/>
  <c r="AG284" i="72"/>
  <c r="R287" i="72"/>
  <c r="AE288" i="72"/>
  <c r="AJ290" i="72"/>
  <c r="AG292" i="72"/>
  <c r="AD295" i="72"/>
  <c r="AJ298" i="72"/>
  <c r="AH303" i="72"/>
  <c r="G2" i="72"/>
  <c r="AJ302" i="72"/>
  <c r="P196" i="72"/>
  <c r="AC206" i="72"/>
  <c r="Y220" i="72"/>
  <c r="T223" i="72"/>
  <c r="S225" i="72"/>
  <c r="V227" i="72"/>
  <c r="AC229" i="72"/>
  <c r="W232" i="72"/>
  <c r="Z235" i="72"/>
  <c r="AB239" i="72"/>
  <c r="AH246" i="72"/>
  <c r="T251" i="72"/>
  <c r="M253" i="72"/>
  <c r="AI254" i="72"/>
  <c r="AH256" i="72"/>
  <c r="P259" i="72"/>
  <c r="Y261" i="72"/>
  <c r="AB263" i="72"/>
  <c r="AG265" i="72"/>
  <c r="AB268" i="72"/>
  <c r="AG270" i="72"/>
  <c r="AH273" i="72"/>
  <c r="AI275" i="72"/>
  <c r="G281" i="72"/>
  <c r="S281" i="72"/>
  <c r="AE281" i="72"/>
  <c r="N282" i="72"/>
  <c r="Z282" i="72"/>
  <c r="J283" i="72"/>
  <c r="V283" i="72"/>
  <c r="AH283" i="72"/>
  <c r="S284" i="72"/>
  <c r="AE284" i="72"/>
  <c r="Q285" i="72"/>
  <c r="AC285" i="72"/>
  <c r="P286" i="72"/>
  <c r="AB286" i="72"/>
  <c r="P287" i="72"/>
  <c r="AB287" i="72"/>
  <c r="Q288" i="72"/>
  <c r="AC288" i="72"/>
  <c r="S289" i="72"/>
  <c r="AE289" i="72"/>
  <c r="V290" i="72"/>
  <c r="AH290" i="72"/>
  <c r="Z291" i="72"/>
  <c r="S292" i="72"/>
  <c r="AE292" i="72"/>
  <c r="Y293" i="72"/>
  <c r="T294" i="72"/>
  <c r="AF294" i="72"/>
  <c r="AB295" i="72"/>
  <c r="Y296" i="72"/>
  <c r="W297" i="72"/>
  <c r="AI297" i="72"/>
  <c r="AH298" i="72"/>
  <c r="AH299" i="72"/>
  <c r="AI300" i="72"/>
  <c r="AB302" i="72"/>
  <c r="AF303" i="72"/>
  <c r="AE305" i="72"/>
  <c r="AH307" i="72"/>
  <c r="K2" i="72"/>
  <c r="W2" i="72"/>
  <c r="R253" i="72"/>
  <c r="AD268" i="72"/>
  <c r="I281" i="72"/>
  <c r="X283" i="72"/>
  <c r="AE285" i="72"/>
  <c r="AG289" i="72"/>
  <c r="AA293" i="72"/>
  <c r="X298" i="72"/>
  <c r="AJ307" i="72"/>
  <c r="AG304" i="72"/>
  <c r="U196" i="72"/>
  <c r="AH206" i="72"/>
  <c r="AC220" i="72"/>
  <c r="V223" i="72"/>
  <c r="U225" i="72"/>
  <c r="X227" i="72"/>
  <c r="AE229" i="72"/>
  <c r="Y232" i="72"/>
  <c r="AB235" i="72"/>
  <c r="AD239" i="72"/>
  <c r="AJ246" i="72"/>
  <c r="V251" i="72"/>
  <c r="O253" i="72"/>
  <c r="L255" i="72"/>
  <c r="AJ256" i="72"/>
  <c r="R259" i="72"/>
  <c r="AA261" i="72"/>
  <c r="AE263" i="72"/>
  <c r="AJ265" i="72"/>
  <c r="AC268" i="72"/>
  <c r="AJ270" i="72"/>
  <c r="AI273" i="72"/>
  <c r="AJ275" i="72"/>
  <c r="H281" i="72"/>
  <c r="T281" i="72"/>
  <c r="AF281" i="72"/>
  <c r="O282" i="72"/>
  <c r="AA282" i="72"/>
  <c r="K283" i="72"/>
  <c r="W283" i="72"/>
  <c r="AI283" i="72"/>
  <c r="T284" i="72"/>
  <c r="AF284" i="72"/>
  <c r="R285" i="72"/>
  <c r="AD285" i="72"/>
  <c r="Q286" i="72"/>
  <c r="AC286" i="72"/>
  <c r="Q287" i="72"/>
  <c r="AC287" i="72"/>
  <c r="R288" i="72"/>
  <c r="AD288" i="72"/>
  <c r="T289" i="72"/>
  <c r="AF289" i="72"/>
  <c r="W290" i="72"/>
  <c r="AI290" i="72"/>
  <c r="AA291" i="72"/>
  <c r="T292" i="72"/>
  <c r="AF292" i="72"/>
  <c r="Z293" i="72"/>
  <c r="U294" i="72"/>
  <c r="AG294" i="72"/>
  <c r="AC295" i="72"/>
  <c r="Z296" i="72"/>
  <c r="X297" i="72"/>
  <c r="AJ297" i="72"/>
  <c r="AI298" i="72"/>
  <c r="AI299" i="72"/>
  <c r="AJ300" i="72"/>
  <c r="AC302" i="72"/>
  <c r="AG303" i="72"/>
  <c r="AF305" i="72"/>
  <c r="AI307" i="72"/>
  <c r="L2" i="72"/>
  <c r="X2" i="72"/>
  <c r="AJ2" i="72"/>
  <c r="P257" i="72"/>
  <c r="U281" i="72"/>
  <c r="L283" i="72"/>
  <c r="U284" i="72"/>
  <c r="AD286" i="72"/>
  <c r="AD287" i="72"/>
  <c r="X290" i="72"/>
  <c r="U292" i="72"/>
  <c r="AA296" i="72"/>
  <c r="AJ299" i="72"/>
  <c r="AG305" i="72"/>
  <c r="AG296" i="72"/>
  <c r="AG196" i="72"/>
  <c r="AF207" i="72"/>
  <c r="I221" i="72"/>
  <c r="Y223" i="72"/>
  <c r="X225" i="72"/>
  <c r="AA227" i="72"/>
  <c r="AH229" i="72"/>
  <c r="AB232" i="72"/>
  <c r="AE235" i="72"/>
  <c r="AG239" i="72"/>
  <c r="AJ248" i="72"/>
  <c r="O255" i="72"/>
  <c r="AD261" i="72"/>
  <c r="AJ263" i="72"/>
  <c r="AF271" i="72"/>
  <c r="AG281" i="72"/>
  <c r="S285" i="72"/>
  <c r="U289" i="72"/>
  <c r="V294" i="72"/>
  <c r="AA301" i="72"/>
  <c r="Y2" i="72"/>
  <c r="AE2" i="72"/>
  <c r="AC134" i="72"/>
  <c r="W198" i="72"/>
  <c r="AI209" i="72"/>
  <c r="V221" i="72"/>
  <c r="AF223" i="72"/>
  <c r="AE225" i="72"/>
  <c r="AH227" i="72"/>
  <c r="V230" i="72"/>
  <c r="AI232" i="72"/>
  <c r="Y236" i="72"/>
  <c r="AE240" i="72"/>
  <c r="M250" i="72"/>
  <c r="AF251" i="72"/>
  <c r="Y253" i="72"/>
  <c r="V255" i="72"/>
  <c r="W257" i="72"/>
  <c r="AB259" i="72"/>
  <c r="S262" i="72"/>
  <c r="V264" i="72"/>
  <c r="AC266" i="72"/>
  <c r="AG268" i="72"/>
  <c r="AH271" i="72"/>
  <c r="AE274" i="72"/>
  <c r="AH276" i="72"/>
  <c r="J281" i="72"/>
  <c r="V281" i="72"/>
  <c r="AH281" i="72"/>
  <c r="Q282" i="72"/>
  <c r="AC282" i="72"/>
  <c r="M283" i="72"/>
  <c r="Y283" i="72"/>
  <c r="J284" i="72"/>
  <c r="V284" i="72"/>
  <c r="AH284" i="72"/>
  <c r="T285" i="72"/>
  <c r="AF285" i="72"/>
  <c r="S286" i="72"/>
  <c r="AE286" i="72"/>
  <c r="S287" i="72"/>
  <c r="AE287" i="72"/>
  <c r="T288" i="72"/>
  <c r="AF288" i="72"/>
  <c r="V289" i="72"/>
  <c r="AH289" i="72"/>
  <c r="Y290" i="72"/>
  <c r="Q291" i="72"/>
  <c r="AC291" i="72"/>
  <c r="V292" i="72"/>
  <c r="AH292" i="72"/>
  <c r="AB293" i="72"/>
  <c r="W294" i="72"/>
  <c r="AI294" i="72"/>
  <c r="AE295" i="72"/>
  <c r="AB296" i="72"/>
  <c r="Z297" i="72"/>
  <c r="Y298" i="72"/>
  <c r="Y299" i="72"/>
  <c r="Z300" i="72"/>
  <c r="AB301" i="72"/>
  <c r="AE302" i="72"/>
  <c r="AI303" i="72"/>
  <c r="AH305" i="72"/>
  <c r="AH308" i="72"/>
  <c r="N2" i="72"/>
  <c r="Z2" i="72"/>
  <c r="AJ308" i="72"/>
  <c r="Q2" i="72"/>
  <c r="Y226" i="72"/>
  <c r="P254" i="72"/>
  <c r="AC267" i="72"/>
  <c r="AA281" i="72"/>
  <c r="AA284" i="72"/>
  <c r="X287" i="72"/>
  <c r="AD290" i="72"/>
  <c r="AG293" i="72"/>
  <c r="AD299" i="72"/>
  <c r="S165" i="72"/>
  <c r="AB198" i="72"/>
  <c r="AC210" i="72"/>
  <c r="AA221" i="72"/>
  <c r="AH223" i="72"/>
  <c r="AG225" i="72"/>
  <c r="AJ227" i="72"/>
  <c r="X230" i="72"/>
  <c r="U233" i="72"/>
  <c r="AA236" i="72"/>
  <c r="AG240" i="72"/>
  <c r="O250" i="72"/>
  <c r="AH251" i="72"/>
  <c r="AA253" i="72"/>
  <c r="X255" i="72"/>
  <c r="Y257" i="72"/>
  <c r="AD259" i="72"/>
  <c r="U262" i="72"/>
  <c r="X264" i="72"/>
  <c r="AE266" i="72"/>
  <c r="AA269" i="72"/>
  <c r="AI271" i="72"/>
  <c r="AF274" i="72"/>
  <c r="AI276" i="72"/>
  <c r="K281" i="72"/>
  <c r="W281" i="72"/>
  <c r="AI281" i="72"/>
  <c r="R282" i="72"/>
  <c r="AD282" i="72"/>
  <c r="N283" i="72"/>
  <c r="Z283" i="72"/>
  <c r="K284" i="72"/>
  <c r="W284" i="72"/>
  <c r="AI284" i="72"/>
  <c r="U285" i="72"/>
  <c r="AG285" i="72"/>
  <c r="T286" i="72"/>
  <c r="AF286" i="72"/>
  <c r="T287" i="72"/>
  <c r="AF287" i="72"/>
  <c r="U288" i="72"/>
  <c r="AG288" i="72"/>
  <c r="W289" i="72"/>
  <c r="AI289" i="72"/>
  <c r="Z290" i="72"/>
  <c r="R291" i="72"/>
  <c r="AD291" i="72"/>
  <c r="W292" i="72"/>
  <c r="AI292" i="72"/>
  <c r="AC293" i="72"/>
  <c r="X294" i="72"/>
  <c r="AJ294" i="72"/>
  <c r="AF295" i="72"/>
  <c r="AC296" i="72"/>
  <c r="AA297" i="72"/>
  <c r="Z298" i="72"/>
  <c r="Z299" i="72"/>
  <c r="AA300" i="72"/>
  <c r="AC301" i="72"/>
  <c r="AF302" i="72"/>
  <c r="AJ303" i="72"/>
  <c r="AI305" i="72"/>
  <c r="AI308" i="72"/>
  <c r="O2" i="72"/>
  <c r="AA2" i="72"/>
  <c r="AJ305" i="72"/>
  <c r="AB2" i="72"/>
  <c r="AI309" i="72"/>
  <c r="X224" i="72"/>
  <c r="AD237" i="72"/>
  <c r="O256" i="72"/>
  <c r="AJ264" i="72"/>
  <c r="AJ274" i="72"/>
  <c r="V282" i="72"/>
  <c r="O284" i="72"/>
  <c r="L286" i="72"/>
  <c r="O289" i="72"/>
  <c r="AH291" i="72"/>
  <c r="X295" i="72"/>
  <c r="AH306" i="72"/>
  <c r="AB175" i="72"/>
  <c r="U199" i="72"/>
  <c r="AF211" i="72"/>
  <c r="AF221" i="72"/>
  <c r="L224" i="72"/>
  <c r="AJ225" i="72"/>
  <c r="R228" i="72"/>
  <c r="AA230" i="72"/>
  <c r="X233" i="72"/>
  <c r="AD236" i="72"/>
  <c r="AJ240" i="72"/>
  <c r="R250" i="72"/>
  <c r="I252" i="72"/>
  <c r="AD253" i="72"/>
  <c r="AA255" i="72"/>
  <c r="AB257" i="72"/>
  <c r="AG259" i="72"/>
  <c r="X262" i="72"/>
  <c r="AA264" i="72"/>
  <c r="AH266" i="72"/>
  <c r="AC269" i="72"/>
  <c r="AJ271" i="72"/>
  <c r="AG274" i="72"/>
  <c r="AJ276" i="72"/>
  <c r="L281" i="72"/>
  <c r="X281" i="72"/>
  <c r="AJ281" i="72"/>
  <c r="S282" i="72"/>
  <c r="AE282" i="72"/>
  <c r="O283" i="72"/>
  <c r="AA283" i="72"/>
  <c r="L284" i="72"/>
  <c r="X284" i="72"/>
  <c r="AJ284" i="72"/>
  <c r="V285" i="72"/>
  <c r="AH285" i="72"/>
  <c r="U286" i="72"/>
  <c r="AG286" i="72"/>
  <c r="U287" i="72"/>
  <c r="AG287" i="72"/>
  <c r="V288" i="72"/>
  <c r="AH288" i="72"/>
  <c r="X289" i="72"/>
  <c r="AJ289" i="72"/>
  <c r="AA290" i="72"/>
  <c r="S291" i="72"/>
  <c r="AE291" i="72"/>
  <c r="X292" i="72"/>
  <c r="AJ292" i="72"/>
  <c r="AD293" i="72"/>
  <c r="Y294" i="72"/>
  <c r="U295" i="72"/>
  <c r="AG295" i="72"/>
  <c r="AD296" i="72"/>
  <c r="AB297" i="72"/>
  <c r="AA298" i="72"/>
  <c r="AA299" i="72"/>
  <c r="AB300" i="72"/>
  <c r="AD301" i="72"/>
  <c r="AG302" i="72"/>
  <c r="AD304" i="72"/>
  <c r="P2" i="72"/>
  <c r="AC2" i="72"/>
  <c r="AJ233" i="72"/>
  <c r="R258" i="72"/>
  <c r="AH269" i="72"/>
  <c r="O281" i="72"/>
  <c r="AD283" i="72"/>
  <c r="X286" i="72"/>
  <c r="R290" i="72"/>
  <c r="AB294" i="72"/>
  <c r="AG301" i="72"/>
  <c r="AB188" i="72"/>
  <c r="AH200" i="72"/>
  <c r="AI213" i="72"/>
  <c r="O222" i="72"/>
  <c r="S224" i="72"/>
  <c r="T226" i="72"/>
  <c r="Y228" i="72"/>
  <c r="AH230" i="72"/>
  <c r="AE233" i="72"/>
  <c r="Y237" i="72"/>
  <c r="AI241" i="72"/>
  <c r="Y250" i="72"/>
  <c r="P252" i="72"/>
  <c r="K254" i="72"/>
  <c r="AH255" i="72"/>
  <c r="AI257" i="72"/>
  <c r="T260" i="72"/>
  <c r="AC262" i="72"/>
  <c r="AF264" i="72"/>
  <c r="Z267" i="72"/>
  <c r="AD269" i="72"/>
  <c r="AD272" i="72"/>
  <c r="AH274" i="72"/>
  <c r="AH277" i="72"/>
  <c r="M281" i="72"/>
  <c r="Y281" i="72"/>
  <c r="H282" i="72"/>
  <c r="T282" i="72"/>
  <c r="AF282" i="72"/>
  <c r="P283" i="72"/>
  <c r="AB283" i="72"/>
  <c r="M284" i="72"/>
  <c r="Y284" i="72"/>
  <c r="K285" i="72"/>
  <c r="W285" i="72"/>
  <c r="AI285" i="72"/>
  <c r="V286" i="72"/>
  <c r="AH286" i="72"/>
  <c r="V287" i="72"/>
  <c r="AH287" i="72"/>
  <c r="W288" i="72"/>
  <c r="AI288" i="72"/>
  <c r="Y289" i="72"/>
  <c r="P290" i="72"/>
  <c r="AB290" i="72"/>
  <c r="T291" i="72"/>
  <c r="AF291" i="72"/>
  <c r="Y292" i="72"/>
  <c r="S293" i="72"/>
  <c r="AE293" i="72"/>
  <c r="Z294" i="72"/>
  <c r="V295" i="72"/>
  <c r="AH295" i="72"/>
  <c r="AE296" i="72"/>
  <c r="AC297" i="72"/>
  <c r="AB298" i="72"/>
  <c r="AB299" i="72"/>
  <c r="AC300" i="72"/>
  <c r="AE301" i="72"/>
  <c r="AH302" i="72"/>
  <c r="AE304" i="72"/>
  <c r="AF306" i="72"/>
  <c r="U231" i="72"/>
  <c r="U252" i="72"/>
  <c r="AG262" i="72"/>
  <c r="AJ277" i="72"/>
  <c r="AH282" i="72"/>
  <c r="Y285" i="72"/>
  <c r="Y288" i="72"/>
  <c r="AA292" i="72"/>
  <c r="AE300" i="72"/>
  <c r="S190" i="72"/>
  <c r="V201" i="72"/>
  <c r="AJ214" i="72"/>
  <c r="R222" i="72"/>
  <c r="U224" i="72"/>
  <c r="V226" i="72"/>
  <c r="AA228" i="72"/>
  <c r="AJ230" i="72"/>
  <c r="AG233" i="72"/>
  <c r="AA237" i="72"/>
  <c r="AD242" i="72"/>
  <c r="AA250" i="72"/>
  <c r="R252" i="72"/>
  <c r="M254" i="72"/>
  <c r="AJ255" i="72"/>
  <c r="O258" i="72"/>
  <c r="V260" i="72"/>
  <c r="AE262" i="72"/>
  <c r="AH264" i="72"/>
  <c r="AB267" i="72"/>
  <c r="AE269" i="72"/>
  <c r="AE272" i="72"/>
  <c r="AI274" i="72"/>
  <c r="AI277" i="72"/>
  <c r="N281" i="72"/>
  <c r="Z281" i="72"/>
  <c r="I282" i="72"/>
  <c r="U282" i="72"/>
  <c r="AG282" i="72"/>
  <c r="Q283" i="72"/>
  <c r="AC283" i="72"/>
  <c r="N284" i="72"/>
  <c r="Z284" i="72"/>
  <c r="L285" i="72"/>
  <c r="X285" i="72"/>
  <c r="AJ285" i="72"/>
  <c r="W286" i="72"/>
  <c r="AI286" i="72"/>
  <c r="W287" i="72"/>
  <c r="AI287" i="72"/>
  <c r="X288" i="72"/>
  <c r="AJ288" i="72"/>
  <c r="Z289" i="72"/>
  <c r="Q290" i="72"/>
  <c r="AC290" i="72"/>
  <c r="U291" i="72"/>
  <c r="AG291" i="72"/>
  <c r="Z292" i="72"/>
  <c r="T293" i="72"/>
  <c r="AF293" i="72"/>
  <c r="AA294" i="72"/>
  <c r="W295" i="72"/>
  <c r="AI295" i="72"/>
  <c r="AF296" i="72"/>
  <c r="AD297" i="72"/>
  <c r="AC298" i="72"/>
  <c r="AC299" i="72"/>
  <c r="AD300" i="72"/>
  <c r="AF301" i="72"/>
  <c r="AI302" i="72"/>
  <c r="AF304" i="72"/>
  <c r="AG306" i="72"/>
  <c r="AJ309" i="72"/>
  <c r="R2" i="72"/>
  <c r="AD2" i="72"/>
  <c r="AD250" i="72"/>
  <c r="R283" i="72"/>
  <c r="AJ286" i="72"/>
  <c r="AA289" i="72"/>
  <c r="U293" i="72"/>
  <c r="AE297" i="72"/>
  <c r="S2" i="72"/>
  <c r="N192" i="72"/>
  <c r="AH201" i="72"/>
  <c r="G219" i="72"/>
  <c r="V222" i="72"/>
  <c r="AD228" i="72"/>
  <c r="AG242" i="72"/>
  <c r="Y260" i="72"/>
  <c r="AJ272" i="72"/>
  <c r="J282" i="72"/>
  <c r="M285" i="72"/>
  <c r="AJ287" i="72"/>
  <c r="V291" i="72"/>
  <c r="AJ295" i="72"/>
  <c r="AJ310" i="72"/>
  <c r="R194" i="72"/>
  <c r="W204" i="72"/>
  <c r="AD219" i="72"/>
  <c r="AJ222" i="72"/>
  <c r="AG224" i="72"/>
  <c r="AH226" i="72"/>
  <c r="S229" i="72"/>
  <c r="AD231" i="72"/>
  <c r="AD234" i="72"/>
  <c r="AB238" i="72"/>
  <c r="AJ243" i="72"/>
  <c r="J251" i="72"/>
  <c r="AD252" i="72"/>
  <c r="Y254" i="72"/>
  <c r="X256" i="72"/>
  <c r="AA258" i="72"/>
  <c r="AH260" i="72"/>
  <c r="X263" i="72"/>
  <c r="AC265" i="72"/>
  <c r="AG267" i="72"/>
  <c r="AE270" i="72"/>
  <c r="AF273" i="72"/>
  <c r="AG275" i="72"/>
  <c r="AJ278" i="72"/>
  <c r="Q281" i="72"/>
  <c r="AC281" i="72"/>
  <c r="L282" i="72"/>
  <c r="X282" i="72"/>
  <c r="AJ282" i="72"/>
  <c r="T283" i="72"/>
  <c r="AF283" i="72"/>
  <c r="Q284" i="72"/>
  <c r="AC284" i="72"/>
  <c r="O285" i="72"/>
  <c r="AA285" i="72"/>
  <c r="N286" i="72"/>
  <c r="Z286" i="72"/>
  <c r="N287" i="72"/>
  <c r="Z287" i="72"/>
  <c r="O288" i="72"/>
  <c r="AA288" i="72"/>
  <c r="Q289" i="72"/>
  <c r="AC289" i="72"/>
  <c r="T290" i="72"/>
  <c r="AF290" i="72"/>
  <c r="X291" i="72"/>
  <c r="AJ291" i="72"/>
  <c r="AC292" i="72"/>
  <c r="W293" i="72"/>
  <c r="AI293" i="72"/>
  <c r="AD294" i="72"/>
  <c r="Z295" i="72"/>
  <c r="W296" i="72"/>
  <c r="AI296" i="72"/>
  <c r="AG297" i="72"/>
  <c r="AF298" i="72"/>
  <c r="AF299" i="72"/>
  <c r="AG300" i="72"/>
  <c r="AI301" i="72"/>
  <c r="AD303" i="72"/>
  <c r="AI304" i="72"/>
  <c r="AJ306" i="72"/>
  <c r="I2" i="72"/>
  <c r="U2" i="72"/>
  <c r="AG2" i="72"/>
  <c r="AE303" i="72"/>
  <c r="AJ304" i="72"/>
  <c r="AG307" i="72"/>
  <c r="J2" i="72"/>
  <c r="V2" i="72"/>
  <c r="AH2" i="72"/>
  <c r="AI2" i="72"/>
  <c r="Y251" i="72"/>
  <c r="AA266" i="72"/>
  <c r="AJ273" i="72"/>
  <c r="P282" i="72"/>
  <c r="AJ283" i="72"/>
  <c r="R286" i="72"/>
  <c r="S288" i="72"/>
  <c r="AB291" i="72"/>
  <c r="AH294" i="72"/>
  <c r="Y297" i="72"/>
  <c r="AD302" i="72"/>
  <c r="M2" i="72"/>
  <c r="AD298" i="72"/>
  <c r="AB234" i="72"/>
  <c r="AC270" i="72"/>
  <c r="AB284" i="72"/>
  <c r="AE290" i="72"/>
  <c r="AE299" i="72"/>
  <c r="AE273" i="72"/>
  <c r="N285" i="72"/>
  <c r="AF300" i="72"/>
  <c r="Z285" i="72"/>
  <c r="AI291" i="72"/>
  <c r="AI278" i="72"/>
  <c r="AC303" i="72"/>
  <c r="AB289" i="72"/>
  <c r="Z238" i="72"/>
  <c r="W291" i="72"/>
  <c r="H251" i="72"/>
  <c r="AB292" i="72"/>
  <c r="AH243" i="72"/>
  <c r="AF275" i="72"/>
  <c r="AH301" i="72"/>
  <c r="M286" i="72"/>
  <c r="AJ262" i="72"/>
  <c r="M194" i="72"/>
  <c r="AB252" i="72"/>
  <c r="P281" i="72"/>
  <c r="Y286" i="72"/>
  <c r="V293" i="72"/>
  <c r="AH304" i="72"/>
  <c r="K282" i="72"/>
  <c r="AC294" i="72"/>
  <c r="AI282" i="72"/>
  <c r="AF2" i="72"/>
  <c r="P289" i="72"/>
  <c r="AF203" i="72"/>
  <c r="W254" i="72"/>
  <c r="AB281" i="72"/>
  <c r="M287" i="72"/>
  <c r="AH293" i="72"/>
  <c r="AI306" i="72"/>
  <c r="V256" i="72"/>
  <c r="H2" i="72"/>
  <c r="Z288" i="72"/>
  <c r="AF226" i="72"/>
  <c r="Q229" i="72"/>
  <c r="X219" i="72"/>
  <c r="Y287" i="72"/>
  <c r="V296" i="72"/>
  <c r="AF222" i="72"/>
  <c r="Y258" i="72"/>
  <c r="W282" i="72"/>
  <c r="N288" i="72"/>
  <c r="Y295" i="72"/>
  <c r="T2" i="72"/>
  <c r="AF260" i="72"/>
  <c r="AH296" i="72"/>
  <c r="AE283" i="72"/>
  <c r="AE224" i="72"/>
  <c r="S283" i="72"/>
  <c r="X265" i="72"/>
  <c r="AB231" i="72"/>
  <c r="AD267" i="72"/>
  <c r="P284" i="72"/>
  <c r="S290" i="72"/>
  <c r="AE298" i="72"/>
  <c r="AF297" i="72"/>
  <c r="B29" i="63"/>
  <c r="B59" i="63"/>
  <c r="B49" i="63"/>
  <c r="B19" i="63"/>
  <c r="C288" i="38"/>
  <c r="C300" i="38" s="1"/>
  <c r="C312" i="38" s="1"/>
  <c r="C324" i="38" s="1"/>
  <c r="C336" i="38" s="1"/>
  <c r="C348" i="38" s="1"/>
  <c r="C294" i="38"/>
  <c r="C306" i="38" s="1"/>
  <c r="C318" i="38" s="1"/>
  <c r="C330" i="38" s="1"/>
  <c r="C342" i="38" s="1"/>
  <c r="C286" i="38"/>
  <c r="C298" i="38" s="1"/>
  <c r="C310" i="38" s="1"/>
  <c r="C322" i="38" s="1"/>
  <c r="C334" i="38" s="1"/>
  <c r="C346" i="38" s="1"/>
  <c r="C292" i="38"/>
  <c r="C304" i="38" s="1"/>
  <c r="C316" i="38" s="1"/>
  <c r="C328" i="38" s="1"/>
  <c r="C340" i="38" s="1"/>
  <c r="A438" i="41"/>
  <c r="A434" i="41"/>
  <c r="A430" i="41"/>
  <c r="A186" i="41"/>
  <c r="A132" i="41"/>
  <c r="A120" i="41"/>
  <c r="A108" i="41"/>
  <c r="A96" i="41"/>
  <c r="A3" i="41"/>
  <c r="H48" i="26"/>
  <c r="D299" i="38"/>
  <c r="B58" i="26"/>
  <c r="D287" i="38"/>
  <c r="A424" i="41"/>
  <c r="A422" i="41"/>
  <c r="A419" i="41"/>
  <c r="A416" i="41"/>
  <c r="A413" i="41"/>
  <c r="A410" i="41"/>
  <c r="A407" i="41"/>
  <c r="A404" i="41"/>
  <c r="A401" i="41"/>
  <c r="A398" i="41"/>
  <c r="A395" i="41"/>
  <c r="A392" i="41"/>
  <c r="A389" i="41"/>
  <c r="A386" i="41"/>
  <c r="A383" i="41"/>
  <c r="A380" i="41"/>
  <c r="A377" i="41"/>
  <c r="A374" i="41"/>
  <c r="A371" i="41"/>
  <c r="A368" i="41"/>
  <c r="A365" i="41"/>
  <c r="A362" i="41"/>
  <c r="A359" i="41"/>
  <c r="A356" i="41"/>
  <c r="A353" i="41"/>
  <c r="A350" i="41"/>
  <c r="A347" i="41"/>
  <c r="A344" i="41"/>
  <c r="A341" i="41"/>
  <c r="A338" i="41"/>
  <c r="A335" i="41"/>
  <c r="A332" i="41"/>
  <c r="A329" i="41"/>
  <c r="A326" i="41"/>
  <c r="A323" i="41"/>
  <c r="A320" i="41"/>
  <c r="A317" i="41"/>
  <c r="A314" i="41"/>
  <c r="A311" i="41"/>
  <c r="A308" i="41"/>
  <c r="A305" i="41"/>
  <c r="A302" i="41"/>
  <c r="A299" i="41"/>
  <c r="A296" i="41"/>
  <c r="A293" i="41"/>
  <c r="A290" i="41"/>
  <c r="A287" i="41"/>
  <c r="A284" i="41"/>
  <c r="A281" i="41"/>
  <c r="A278" i="41"/>
  <c r="A275" i="41"/>
  <c r="A272" i="41"/>
  <c r="A269" i="41"/>
  <c r="A266" i="41"/>
  <c r="A263" i="41"/>
  <c r="A260" i="41"/>
  <c r="A257" i="41"/>
  <c r="A254" i="41"/>
  <c r="A251" i="41"/>
  <c r="A248" i="41"/>
  <c r="A245" i="41"/>
  <c r="A242" i="41"/>
  <c r="A239" i="41"/>
  <c r="A236" i="41"/>
  <c r="A233" i="41"/>
  <c r="A230" i="41"/>
  <c r="A227" i="41"/>
  <c r="A224" i="41"/>
  <c r="A221" i="41"/>
  <c r="A218" i="41"/>
  <c r="A215" i="41"/>
  <c r="A212" i="41"/>
  <c r="A209" i="41"/>
  <c r="A206" i="41"/>
  <c r="A203" i="41"/>
  <c r="A200" i="41"/>
  <c r="A197" i="41"/>
  <c r="A194" i="41"/>
  <c r="A191" i="41"/>
  <c r="A139" i="41"/>
  <c r="A127" i="41"/>
  <c r="A115" i="41"/>
  <c r="A103" i="41"/>
  <c r="A10" i="41"/>
  <c r="A188" i="41"/>
  <c r="A134" i="41"/>
  <c r="A122" i="41"/>
  <c r="A110" i="41"/>
  <c r="A98" i="41"/>
  <c r="A7" i="41"/>
  <c r="A437" i="41"/>
  <c r="A433" i="41"/>
  <c r="A429" i="41"/>
  <c r="A183" i="41"/>
  <c r="A180" i="41"/>
  <c r="A177" i="41"/>
  <c r="A174" i="41"/>
  <c r="A171" i="41"/>
  <c r="A168" i="41"/>
  <c r="A165" i="41"/>
  <c r="A162" i="41"/>
  <c r="A159" i="41"/>
  <c r="A156" i="41"/>
  <c r="A153" i="41"/>
  <c r="A150" i="41"/>
  <c r="A147" i="41"/>
  <c r="A144" i="41"/>
  <c r="A141" i="41"/>
  <c r="A129" i="41"/>
  <c r="A117" i="41"/>
  <c r="A105" i="41"/>
  <c r="A12" i="41"/>
  <c r="A136" i="41"/>
  <c r="A124" i="41"/>
  <c r="A112" i="41"/>
  <c r="A100" i="41"/>
  <c r="A421" i="41"/>
  <c r="A418" i="41"/>
  <c r="A415" i="41"/>
  <c r="A412" i="41"/>
  <c r="A409" i="41"/>
  <c r="A406" i="41"/>
  <c r="A403" i="41"/>
  <c r="A400" i="41"/>
  <c r="A397" i="41"/>
  <c r="A394" i="41"/>
  <c r="A391" i="41"/>
  <c r="A388" i="41"/>
  <c r="A385" i="41"/>
  <c r="A382" i="41"/>
  <c r="A379" i="41"/>
  <c r="A376" i="41"/>
  <c r="A373" i="41"/>
  <c r="A370" i="41"/>
  <c r="A367" i="41"/>
  <c r="A364" i="41"/>
  <c r="A361" i="41"/>
  <c r="A358" i="41"/>
  <c r="A355" i="41"/>
  <c r="A352" i="41"/>
  <c r="A349" i="41"/>
  <c r="A346" i="41"/>
  <c r="A343" i="41"/>
  <c r="A340" i="41"/>
  <c r="A337" i="41"/>
  <c r="A334" i="41"/>
  <c r="A331" i="41"/>
  <c r="A328" i="41"/>
  <c r="A325" i="41"/>
  <c r="A322" i="41"/>
  <c r="A319" i="41"/>
  <c r="A316" i="41"/>
  <c r="A313" i="41"/>
  <c r="A310" i="41"/>
  <c r="A307" i="41"/>
  <c r="A304" i="41"/>
  <c r="A301" i="41"/>
  <c r="A298" i="41"/>
  <c r="A295" i="41"/>
  <c r="A292" i="41"/>
  <c r="A289" i="41"/>
  <c r="A286" i="41"/>
  <c r="A283" i="41"/>
  <c r="A280" i="41"/>
  <c r="A277" i="41"/>
  <c r="A274" i="41"/>
  <c r="A271" i="41"/>
  <c r="A268" i="41"/>
  <c r="A265" i="41"/>
  <c r="A262" i="41"/>
  <c r="A259" i="41"/>
  <c r="A256" i="41"/>
  <c r="A253" i="41"/>
  <c r="A250" i="41"/>
  <c r="A247" i="41"/>
  <c r="A244" i="41"/>
  <c r="A241" i="41"/>
  <c r="A238" i="41"/>
  <c r="A235" i="41"/>
  <c r="A232" i="41"/>
  <c r="A229" i="41"/>
  <c r="A226" i="41"/>
  <c r="A223" i="41"/>
  <c r="A220" i="41"/>
  <c r="A217" i="41"/>
  <c r="A214" i="41"/>
  <c r="A211" i="41"/>
  <c r="A208" i="41"/>
  <c r="A205" i="41"/>
  <c r="A202" i="41"/>
  <c r="A199" i="41"/>
  <c r="A196" i="41"/>
  <c r="A193" i="41"/>
  <c r="A190" i="41"/>
  <c r="A185" i="41"/>
  <c r="A131" i="41"/>
  <c r="A119" i="41"/>
  <c r="A107" i="41"/>
  <c r="A95" i="41"/>
  <c r="A436" i="41"/>
  <c r="A432" i="41"/>
  <c r="A427" i="41"/>
  <c r="A138" i="41"/>
  <c r="A126" i="41"/>
  <c r="A114" i="41"/>
  <c r="A102" i="41"/>
  <c r="A9" i="41"/>
  <c r="A5" i="41"/>
  <c r="A187" i="41"/>
  <c r="A182" i="41"/>
  <c r="A179" i="41"/>
  <c r="A176" i="41"/>
  <c r="A173" i="41"/>
  <c r="A170" i="41"/>
  <c r="A167" i="41"/>
  <c r="A164" i="41"/>
  <c r="A161" i="41"/>
  <c r="A158" i="41"/>
  <c r="A155" i="41"/>
  <c r="A152" i="41"/>
  <c r="A149" i="41"/>
  <c r="A146" i="41"/>
  <c r="A143" i="41"/>
  <c r="A133" i="41"/>
  <c r="A121" i="41"/>
  <c r="A109" i="41"/>
  <c r="A97" i="41"/>
  <c r="J48" i="26"/>
  <c r="D335" i="38"/>
  <c r="D347" i="38"/>
  <c r="D58" i="26"/>
  <c r="A140" i="41"/>
  <c r="A128" i="41"/>
  <c r="A116" i="41"/>
  <c r="A104" i="41"/>
  <c r="A11" i="41"/>
  <c r="A439" i="41"/>
  <c r="A435" i="41"/>
  <c r="A431" i="41"/>
  <c r="A426" i="41"/>
  <c r="A423" i="41"/>
  <c r="A420" i="41"/>
  <c r="A417" i="41"/>
  <c r="A414" i="41"/>
  <c r="A411" i="41"/>
  <c r="A408" i="41"/>
  <c r="A405" i="41"/>
  <c r="A402" i="41"/>
  <c r="A399" i="41"/>
  <c r="A396" i="41"/>
  <c r="A393" i="41"/>
  <c r="A390" i="41"/>
  <c r="A387" i="41"/>
  <c r="A384" i="41"/>
  <c r="A381" i="41"/>
  <c r="A378" i="41"/>
  <c r="A375" i="41"/>
  <c r="A372" i="41"/>
  <c r="A369" i="41"/>
  <c r="A366" i="41"/>
  <c r="A363" i="41"/>
  <c r="A360" i="41"/>
  <c r="A357" i="41"/>
  <c r="A354" i="41"/>
  <c r="A351" i="41"/>
  <c r="A348" i="41"/>
  <c r="A345" i="41"/>
  <c r="A342" i="41"/>
  <c r="A339" i="41"/>
  <c r="A336" i="41"/>
  <c r="A333" i="41"/>
  <c r="A330" i="41"/>
  <c r="A327" i="41"/>
  <c r="A324" i="41"/>
  <c r="A321" i="41"/>
  <c r="A318" i="41"/>
  <c r="A315" i="41"/>
  <c r="A312" i="41"/>
  <c r="A309" i="41"/>
  <c r="A306" i="41"/>
  <c r="A303" i="41"/>
  <c r="A300" i="41"/>
  <c r="A297" i="41"/>
  <c r="A294" i="41"/>
  <c r="A291" i="41"/>
  <c r="A288" i="41"/>
  <c r="A285" i="41"/>
  <c r="A282" i="41"/>
  <c r="A279" i="41"/>
  <c r="A276" i="41"/>
  <c r="A273" i="41"/>
  <c r="A270" i="41"/>
  <c r="A267" i="41"/>
  <c r="A264" i="41"/>
  <c r="A261" i="41"/>
  <c r="A258" i="41"/>
  <c r="A255" i="41"/>
  <c r="A252" i="41"/>
  <c r="A249" i="41"/>
  <c r="A246" i="41"/>
  <c r="A243" i="41"/>
  <c r="A240" i="41"/>
  <c r="A237" i="41"/>
  <c r="A234" i="41"/>
  <c r="A231" i="41"/>
  <c r="A228" i="41"/>
  <c r="A225" i="41"/>
  <c r="A222" i="41"/>
  <c r="A219" i="41"/>
  <c r="A216" i="41"/>
  <c r="A213" i="41"/>
  <c r="A210" i="41"/>
  <c r="A207" i="41"/>
  <c r="A204" i="41"/>
  <c r="A201" i="41"/>
  <c r="A198" i="41"/>
  <c r="A195" i="41"/>
  <c r="A192" i="41"/>
  <c r="A189" i="41"/>
  <c r="A135" i="41"/>
  <c r="A123" i="41"/>
  <c r="A111" i="41"/>
  <c r="A99" i="41"/>
  <c r="A184" i="41"/>
  <c r="A130" i="41"/>
  <c r="A118" i="41"/>
  <c r="A106" i="41"/>
  <c r="A13" i="41"/>
  <c r="A8" i="41"/>
  <c r="A181" i="41"/>
  <c r="A178" i="41"/>
  <c r="A175" i="41"/>
  <c r="A172" i="41"/>
  <c r="A169" i="41"/>
  <c r="A166" i="41"/>
  <c r="A163" i="41"/>
  <c r="A160" i="41"/>
  <c r="A157" i="41"/>
  <c r="A154" i="41"/>
  <c r="A151" i="41"/>
  <c r="A148" i="41"/>
  <c r="A145" i="41"/>
  <c r="A142" i="41"/>
  <c r="A137" i="41"/>
  <c r="A125" i="41"/>
  <c r="A113" i="41"/>
  <c r="A101" i="41"/>
  <c r="C58" i="26"/>
  <c r="D311" i="38"/>
  <c r="D323" i="38"/>
  <c r="D62" i="38"/>
  <c r="I48" i="26"/>
  <c r="E23" i="17"/>
  <c r="C24" i="20"/>
  <c r="P2" i="18" s="1"/>
  <c r="F3" i="35"/>
  <c r="F87" i="35"/>
  <c r="R54" i="66"/>
  <c r="C31" i="17"/>
  <c r="C3" i="32"/>
  <c r="C10" i="17"/>
  <c r="D269" i="38"/>
  <c r="E31" i="17"/>
  <c r="E3" i="32"/>
  <c r="D22" i="17"/>
  <c r="D68" i="38"/>
  <c r="D31" i="17"/>
  <c r="D3" i="32"/>
  <c r="D24" i="38"/>
  <c r="D20" i="38"/>
  <c r="D356" i="38"/>
  <c r="D317" i="38"/>
  <c r="C23" i="53"/>
  <c r="D249" i="38"/>
  <c r="D210" i="38"/>
  <c r="D314" i="38"/>
  <c r="C21" i="53"/>
  <c r="D215" i="38"/>
  <c r="D209" i="38"/>
  <c r="D107" i="38"/>
  <c r="D390" i="38"/>
  <c r="D304" i="38"/>
  <c r="D260" i="38"/>
  <c r="D159" i="38"/>
  <c r="D108" i="38"/>
  <c r="C21" i="6"/>
  <c r="C22" i="6"/>
  <c r="D26" i="6"/>
  <c r="D24" i="6"/>
  <c r="B25" i="6"/>
  <c r="C23" i="6"/>
  <c r="D278" i="66"/>
  <c r="D243" i="66"/>
  <c r="D129" i="66"/>
  <c r="D348" i="38"/>
  <c r="D43" i="38"/>
  <c r="D272" i="66"/>
  <c r="D125" i="66"/>
  <c r="D337" i="38"/>
  <c r="D230" i="38"/>
  <c r="D260" i="66"/>
  <c r="D113" i="66"/>
  <c r="C37" i="57"/>
  <c r="E4" i="17"/>
  <c r="D174" i="38"/>
  <c r="B28" i="63"/>
  <c r="D290" i="66"/>
  <c r="D256" i="66"/>
  <c r="D143" i="66"/>
  <c r="D109" i="66"/>
  <c r="C74" i="57"/>
  <c r="C36" i="57"/>
  <c r="D173" i="38"/>
  <c r="D48" i="26"/>
  <c r="J4" i="6"/>
  <c r="L11" i="39"/>
  <c r="D286" i="66"/>
  <c r="D252" i="66"/>
  <c r="D139" i="66"/>
  <c r="C73" i="57"/>
  <c r="G11" i="32"/>
  <c r="I4" i="20"/>
  <c r="D282" i="66"/>
  <c r="D135" i="66"/>
  <c r="D100" i="66"/>
  <c r="D349" i="38"/>
  <c r="A246" i="66"/>
  <c r="R246" i="66" s="1"/>
  <c r="H52" i="66"/>
  <c r="C98" i="66"/>
  <c r="O98" i="66" s="1"/>
  <c r="C92" i="66"/>
  <c r="C78" i="66"/>
  <c r="O78" i="66" s="1"/>
  <c r="C66" i="66"/>
  <c r="O66" i="66" s="1"/>
  <c r="B37" i="63"/>
  <c r="B32" i="63"/>
  <c r="B7" i="63"/>
  <c r="B35" i="63"/>
  <c r="B4" i="63"/>
  <c r="B41" i="63"/>
  <c r="B33" i="63"/>
  <c r="B6" i="63"/>
  <c r="B8" i="63"/>
  <c r="B10" i="63"/>
  <c r="B3" i="63"/>
  <c r="B34" i="63"/>
  <c r="B11" i="63"/>
  <c r="B2" i="63"/>
  <c r="D411" i="38"/>
  <c r="B40" i="63"/>
  <c r="D410" i="38"/>
  <c r="B36" i="63"/>
  <c r="B5" i="63"/>
  <c r="B38" i="63"/>
  <c r="D405" i="38"/>
  <c r="D404" i="38"/>
  <c r="B61" i="63"/>
  <c r="B53" i="63"/>
  <c r="B60" i="63"/>
  <c r="B31" i="63"/>
  <c r="D414" i="38"/>
  <c r="B58" i="63"/>
  <c r="B52" i="63"/>
  <c r="B57" i="63"/>
  <c r="B56" i="63"/>
  <c r="B55" i="63"/>
  <c r="D409" i="38"/>
  <c r="D408" i="38"/>
  <c r="B54" i="63"/>
  <c r="D415" i="38"/>
  <c r="B12" i="63"/>
  <c r="B51" i="63"/>
  <c r="B50" i="63"/>
  <c r="B47" i="63"/>
  <c r="B13" i="63"/>
  <c r="B45" i="63"/>
  <c r="B15" i="63"/>
  <c r="B44" i="63"/>
  <c r="B16" i="63"/>
  <c r="D413" i="38"/>
  <c r="D407" i="38"/>
  <c r="D406" i="38"/>
  <c r="B48" i="63"/>
  <c r="B43" i="63"/>
  <c r="B17" i="63"/>
  <c r="D412" i="38"/>
  <c r="B42" i="63"/>
  <c r="B20" i="63"/>
  <c r="B18" i="63"/>
  <c r="B21" i="63"/>
  <c r="B46" i="63"/>
  <c r="B14" i="63"/>
  <c r="C55" i="66"/>
  <c r="O55" i="66" s="1"/>
  <c r="C96" i="66"/>
  <c r="C64" i="66"/>
  <c r="C235" i="66"/>
  <c r="O235" i="66" s="1"/>
  <c r="U235" i="66" s="1"/>
  <c r="C221" i="66"/>
  <c r="C215" i="66"/>
  <c r="O215" i="66" s="1"/>
  <c r="U215" i="66" s="1"/>
  <c r="C75" i="66"/>
  <c r="C54" i="66"/>
  <c r="C102" i="66"/>
  <c r="C80" i="66"/>
  <c r="O80" i="66" s="1"/>
  <c r="C74" i="66"/>
  <c r="O74" i="66" s="1"/>
  <c r="C239" i="66"/>
  <c r="C233" i="66"/>
  <c r="C225" i="66"/>
  <c r="O225" i="66" s="1"/>
  <c r="U225" i="66" s="1"/>
  <c r="C52" i="66"/>
  <c r="O52" i="66" s="1"/>
  <c r="C217" i="66"/>
  <c r="C93" i="66"/>
  <c r="B3" i="8"/>
  <c r="D179" i="66"/>
  <c r="D180" i="66"/>
  <c r="D35" i="66"/>
  <c r="D36" i="66"/>
  <c r="D401" i="38"/>
  <c r="D398" i="38"/>
  <c r="D3" i="8"/>
  <c r="D275" i="66"/>
  <c r="D276" i="66"/>
  <c r="D403" i="38"/>
  <c r="D131" i="66"/>
  <c r="D132" i="66"/>
  <c r="D400" i="38"/>
  <c r="C9" i="66"/>
  <c r="C21" i="66"/>
  <c r="O21" i="66" s="1"/>
  <c r="C33" i="66"/>
  <c r="O33" i="66" s="1"/>
  <c r="C45" i="66"/>
  <c r="C153" i="66"/>
  <c r="C165" i="66"/>
  <c r="O165" i="66" s="1"/>
  <c r="C177" i="66"/>
  <c r="O177" i="66" s="1"/>
  <c r="C191" i="66"/>
  <c r="C25" i="66"/>
  <c r="C3" i="66"/>
  <c r="O3" i="66" s="1"/>
  <c r="C179" i="66"/>
  <c r="C10" i="66"/>
  <c r="O10" i="66" s="1"/>
  <c r="C22" i="66"/>
  <c r="C34" i="66"/>
  <c r="C46" i="66"/>
  <c r="O46" i="66" s="1"/>
  <c r="C154" i="66"/>
  <c r="O154" i="66" s="1"/>
  <c r="C166" i="66"/>
  <c r="C178" i="66"/>
  <c r="C192" i="66"/>
  <c r="C169" i="66"/>
  <c r="C11" i="66"/>
  <c r="C23" i="66"/>
  <c r="O23" i="66" s="1"/>
  <c r="C35" i="66"/>
  <c r="C47" i="66"/>
  <c r="C155" i="66"/>
  <c r="C167" i="66"/>
  <c r="O167" i="66" s="1"/>
  <c r="C193" i="66"/>
  <c r="C49" i="66"/>
  <c r="C183" i="66"/>
  <c r="O183" i="66" s="1"/>
  <c r="C12" i="66"/>
  <c r="O12" i="66" s="1"/>
  <c r="C24" i="66"/>
  <c r="O24" i="66" s="1"/>
  <c r="C36" i="66"/>
  <c r="C48" i="66"/>
  <c r="C156" i="66"/>
  <c r="O156" i="66" s="1"/>
  <c r="C168" i="66"/>
  <c r="O168" i="66" s="1"/>
  <c r="C182" i="66"/>
  <c r="O182" i="66" s="1"/>
  <c r="C194" i="66"/>
  <c r="O194" i="66" s="1"/>
  <c r="C13" i="66"/>
  <c r="O13" i="66" s="1"/>
  <c r="C157" i="66"/>
  <c r="O157" i="66" s="1"/>
  <c r="C180" i="66"/>
  <c r="C14" i="66"/>
  <c r="O14" i="66" s="1"/>
  <c r="C26" i="66"/>
  <c r="O26" i="66" s="1"/>
  <c r="C38" i="66"/>
  <c r="O38" i="66" s="1"/>
  <c r="C50" i="66"/>
  <c r="O50" i="66" s="1"/>
  <c r="C158" i="66"/>
  <c r="O158" i="66" s="1"/>
  <c r="C170" i="66"/>
  <c r="O170" i="66" s="1"/>
  <c r="C184" i="66"/>
  <c r="C151" i="66"/>
  <c r="O151" i="66" s="1"/>
  <c r="U151" i="66" s="1"/>
  <c r="C44" i="66"/>
  <c r="C15" i="66"/>
  <c r="C27" i="66"/>
  <c r="C39" i="66"/>
  <c r="O39" i="66" s="1"/>
  <c r="C147" i="66"/>
  <c r="O147" i="66" s="1"/>
  <c r="C159" i="66"/>
  <c r="C171" i="66"/>
  <c r="C185" i="66"/>
  <c r="C31" i="66"/>
  <c r="C20" i="66"/>
  <c r="C190" i="66"/>
  <c r="O190" i="66" s="1"/>
  <c r="C4" i="66"/>
  <c r="O4" i="66" s="1"/>
  <c r="C16" i="66"/>
  <c r="C28" i="66"/>
  <c r="O28" i="66" s="1"/>
  <c r="C40" i="66"/>
  <c r="C148" i="66"/>
  <c r="C160" i="66"/>
  <c r="C172" i="66"/>
  <c r="O172" i="66" s="1"/>
  <c r="C186" i="66"/>
  <c r="O186" i="66" s="1"/>
  <c r="C43" i="66"/>
  <c r="O43" i="66" s="1"/>
  <c r="C189" i="66"/>
  <c r="C152" i="66"/>
  <c r="C227" i="66"/>
  <c r="C5" i="66"/>
  <c r="C17" i="66"/>
  <c r="O17" i="66" s="1"/>
  <c r="C29" i="66"/>
  <c r="C41" i="66"/>
  <c r="C149" i="66"/>
  <c r="C161" i="66"/>
  <c r="O161" i="66" s="1"/>
  <c r="C173" i="66"/>
  <c r="C187" i="66"/>
  <c r="O187" i="66" s="1"/>
  <c r="C19" i="66"/>
  <c r="C175" i="66"/>
  <c r="C32" i="66"/>
  <c r="O32" i="66" s="1"/>
  <c r="C176" i="66"/>
  <c r="O176" i="66" s="1"/>
  <c r="C6" i="66"/>
  <c r="C18" i="66"/>
  <c r="O18" i="66" s="1"/>
  <c r="C30" i="66"/>
  <c r="O30" i="66" s="1"/>
  <c r="C42" i="66"/>
  <c r="O42" i="66" s="1"/>
  <c r="C150" i="66"/>
  <c r="C162" i="66"/>
  <c r="O162" i="66" s="1"/>
  <c r="C174" i="66"/>
  <c r="O174" i="66" s="1"/>
  <c r="C188" i="66"/>
  <c r="C163" i="66"/>
  <c r="C164" i="66"/>
  <c r="C7" i="66"/>
  <c r="O7" i="66" s="1"/>
  <c r="C8" i="66"/>
  <c r="C84" i="66"/>
  <c r="C275" i="66"/>
  <c r="C228" i="66"/>
  <c r="C83" i="66"/>
  <c r="C276" i="66"/>
  <c r="C132" i="66"/>
  <c r="C131" i="66"/>
  <c r="C3" i="8"/>
  <c r="D228" i="66"/>
  <c r="D402" i="38"/>
  <c r="D227" i="66"/>
  <c r="D83" i="66"/>
  <c r="D399" i="38"/>
  <c r="D84" i="66"/>
  <c r="A11" i="53"/>
  <c r="A17" i="53" s="1"/>
  <c r="H55" i="66"/>
  <c r="H51" i="66"/>
  <c r="A103" i="66"/>
  <c r="H103" i="66" s="1"/>
  <c r="A99" i="66"/>
  <c r="H99" i="66" s="1"/>
  <c r="H136" i="66"/>
  <c r="C136" i="66"/>
  <c r="H130" i="66"/>
  <c r="C130" i="66"/>
  <c r="H129" i="66"/>
  <c r="C129" i="66"/>
  <c r="O129" i="66" s="1"/>
  <c r="H256" i="66"/>
  <c r="C256" i="66"/>
  <c r="H72" i="66"/>
  <c r="C72" i="66"/>
  <c r="O72" i="66" s="1"/>
  <c r="H260" i="66"/>
  <c r="C260" i="66"/>
  <c r="H243" i="66"/>
  <c r="C243" i="66"/>
  <c r="O243" i="66" s="1"/>
  <c r="H237" i="66"/>
  <c r="C237" i="66"/>
  <c r="H231" i="66"/>
  <c r="C231" i="66"/>
  <c r="O231" i="66" s="1"/>
  <c r="H223" i="66"/>
  <c r="C223" i="66"/>
  <c r="A259" i="66"/>
  <c r="C259" i="66" s="1"/>
  <c r="C211" i="66"/>
  <c r="H195" i="66"/>
  <c r="C195" i="66"/>
  <c r="O195" i="66" s="1"/>
  <c r="H113" i="66"/>
  <c r="C113" i="66"/>
  <c r="O113" i="66" s="1"/>
  <c r="H60" i="66"/>
  <c r="C60" i="66"/>
  <c r="O60" i="66" s="1"/>
  <c r="A285" i="66"/>
  <c r="H97" i="66"/>
  <c r="C97" i="66"/>
  <c r="H91" i="66"/>
  <c r="C91" i="66"/>
  <c r="O91" i="66" s="1"/>
  <c r="H85" i="66"/>
  <c r="H77" i="66"/>
  <c r="C77" i="66"/>
  <c r="H71" i="66"/>
  <c r="C71" i="66"/>
  <c r="O71" i="66" s="1"/>
  <c r="H65" i="66"/>
  <c r="C65" i="66"/>
  <c r="O65" i="66" s="1"/>
  <c r="H59" i="66"/>
  <c r="C59" i="66"/>
  <c r="H198" i="66"/>
  <c r="C198" i="66"/>
  <c r="C51" i="66"/>
  <c r="O51" i="66" s="1"/>
  <c r="H205" i="66"/>
  <c r="C205" i="66"/>
  <c r="O205" i="66" s="1"/>
  <c r="H242" i="66"/>
  <c r="C242" i="66"/>
  <c r="O242" i="66" s="1"/>
  <c r="H236" i="66"/>
  <c r="C236" i="66"/>
  <c r="H230" i="66"/>
  <c r="C230" i="66"/>
  <c r="O230" i="66" s="1"/>
  <c r="H222" i="66"/>
  <c r="C222" i="66"/>
  <c r="O222" i="66" s="1"/>
  <c r="U222" i="66" s="1"/>
  <c r="H216" i="66"/>
  <c r="C216" i="66"/>
  <c r="O216" i="66" s="1"/>
  <c r="H210" i="66"/>
  <c r="C210" i="66"/>
  <c r="O210" i="66" s="1"/>
  <c r="U210" i="66" s="1"/>
  <c r="H204" i="66"/>
  <c r="C204" i="66"/>
  <c r="O204" i="66" s="1"/>
  <c r="H145" i="66"/>
  <c r="C145" i="66"/>
  <c r="H58" i="66"/>
  <c r="C58" i="66"/>
  <c r="O58" i="66" s="1"/>
  <c r="H280" i="66"/>
  <c r="C280" i="66"/>
  <c r="H143" i="66"/>
  <c r="C143" i="66"/>
  <c r="H125" i="66"/>
  <c r="C125" i="66"/>
  <c r="H108" i="66"/>
  <c r="C108" i="66"/>
  <c r="O108" i="66" s="1"/>
  <c r="U108" i="66" s="1"/>
  <c r="H90" i="66"/>
  <c r="C90" i="66"/>
  <c r="O90" i="66" s="1"/>
  <c r="H82" i="66"/>
  <c r="C82" i="66"/>
  <c r="H76" i="66"/>
  <c r="C76" i="66"/>
  <c r="O76" i="66" s="1"/>
  <c r="H70" i="66"/>
  <c r="C70" i="66"/>
  <c r="H201" i="66"/>
  <c r="C201" i="66"/>
  <c r="H54" i="66"/>
  <c r="H94" i="66"/>
  <c r="C94" i="66"/>
  <c r="O94" i="66" s="1"/>
  <c r="H255" i="66"/>
  <c r="C255" i="66"/>
  <c r="H241" i="66"/>
  <c r="C241" i="66"/>
  <c r="H209" i="66"/>
  <c r="C209" i="66"/>
  <c r="O209" i="66" s="1"/>
  <c r="H203" i="66"/>
  <c r="C203" i="66"/>
  <c r="H105" i="66"/>
  <c r="C105" i="66"/>
  <c r="H229" i="66"/>
  <c r="H272" i="66"/>
  <c r="C272" i="66"/>
  <c r="O272" i="66" s="1"/>
  <c r="H252" i="66"/>
  <c r="C252" i="66"/>
  <c r="O252" i="66" s="1"/>
  <c r="H139" i="66"/>
  <c r="C139" i="66"/>
  <c r="O139" i="66" s="1"/>
  <c r="H124" i="66"/>
  <c r="C124" i="66"/>
  <c r="O124" i="66" s="1"/>
  <c r="H95" i="66"/>
  <c r="C95" i="66"/>
  <c r="H89" i="66"/>
  <c r="C89" i="66"/>
  <c r="H81" i="66"/>
  <c r="C81" i="66"/>
  <c r="O81" i="66" s="1"/>
  <c r="H69" i="66"/>
  <c r="C69" i="66"/>
  <c r="O69" i="66" s="1"/>
  <c r="H63" i="66"/>
  <c r="C63" i="66"/>
  <c r="H57" i="66"/>
  <c r="C57" i="66"/>
  <c r="H240" i="66"/>
  <c r="C240" i="66"/>
  <c r="H234" i="66"/>
  <c r="C234" i="66"/>
  <c r="O234" i="66" s="1"/>
  <c r="H226" i="66"/>
  <c r="C226" i="66"/>
  <c r="H220" i="66"/>
  <c r="C220" i="66"/>
  <c r="O220" i="66" s="1"/>
  <c r="H214" i="66"/>
  <c r="C214" i="66"/>
  <c r="H208" i="66"/>
  <c r="C208" i="66"/>
  <c r="H202" i="66"/>
  <c r="C202" i="66"/>
  <c r="O202" i="66" s="1"/>
  <c r="H121" i="66"/>
  <c r="C121" i="66"/>
  <c r="H197" i="66"/>
  <c r="C197" i="66"/>
  <c r="H271" i="66"/>
  <c r="C271" i="66"/>
  <c r="H138" i="66"/>
  <c r="C138" i="66"/>
  <c r="O138" i="66" s="1"/>
  <c r="H68" i="66"/>
  <c r="C68" i="66"/>
  <c r="A110" i="66"/>
  <c r="C62" i="66"/>
  <c r="O62" i="66" s="1"/>
  <c r="H200" i="66"/>
  <c r="C200" i="66"/>
  <c r="H219" i="66"/>
  <c r="C219" i="66"/>
  <c r="H213" i="66"/>
  <c r="C213" i="66"/>
  <c r="O213" i="66" s="1"/>
  <c r="H207" i="66"/>
  <c r="C207" i="66"/>
  <c r="H199" i="66"/>
  <c r="C199" i="66"/>
  <c r="O199" i="66" s="1"/>
  <c r="A137" i="66"/>
  <c r="H119" i="66"/>
  <c r="C119" i="66"/>
  <c r="O119" i="66" s="1"/>
  <c r="H100" i="66"/>
  <c r="C100" i="66"/>
  <c r="O100" i="66" s="1"/>
  <c r="H53" i="66"/>
  <c r="C53" i="66"/>
  <c r="H87" i="66"/>
  <c r="C87" i="66"/>
  <c r="O87" i="66" s="1"/>
  <c r="H79" i="66"/>
  <c r="C79" i="66"/>
  <c r="H73" i="66"/>
  <c r="C73" i="66"/>
  <c r="A115" i="66"/>
  <c r="C115" i="66" s="1"/>
  <c r="C67" i="66"/>
  <c r="A104" i="66"/>
  <c r="C56" i="66"/>
  <c r="H250" i="66"/>
  <c r="C250" i="66"/>
  <c r="O250" i="66" s="1"/>
  <c r="H101" i="66"/>
  <c r="C101" i="66"/>
  <c r="H268" i="66"/>
  <c r="C268" i="66"/>
  <c r="O268" i="66" s="1"/>
  <c r="H249" i="66"/>
  <c r="C249" i="66"/>
  <c r="H248" i="66"/>
  <c r="C248" i="66"/>
  <c r="A118" i="66"/>
  <c r="H266" i="66"/>
  <c r="C266" i="66"/>
  <c r="O266" i="66" s="1"/>
  <c r="C246" i="66"/>
  <c r="H238" i="66"/>
  <c r="C238" i="66"/>
  <c r="O238" i="66" s="1"/>
  <c r="U238" i="66" s="1"/>
  <c r="H232" i="66"/>
  <c r="C232" i="66"/>
  <c r="H224" i="66"/>
  <c r="C224" i="66"/>
  <c r="O224" i="66" s="1"/>
  <c r="H218" i="66"/>
  <c r="C218" i="66"/>
  <c r="O218" i="66" s="1"/>
  <c r="H212" i="66"/>
  <c r="C212" i="66"/>
  <c r="H206" i="66"/>
  <c r="C206" i="66"/>
  <c r="O206" i="66" s="1"/>
  <c r="H196" i="66"/>
  <c r="C196" i="66"/>
  <c r="O196" i="66" s="1"/>
  <c r="H88" i="66"/>
  <c r="C88" i="66"/>
  <c r="H286" i="66"/>
  <c r="C286" i="66"/>
  <c r="O286" i="66" s="1"/>
  <c r="H244" i="66"/>
  <c r="C244" i="66"/>
  <c r="O244" i="66" s="1"/>
  <c r="H133" i="66"/>
  <c r="H116" i="66"/>
  <c r="C116" i="66"/>
  <c r="H61" i="66"/>
  <c r="C61" i="66"/>
  <c r="O61" i="66" s="1"/>
  <c r="H86" i="66"/>
  <c r="C86" i="66"/>
  <c r="O86" i="66" s="1"/>
  <c r="A278" i="66"/>
  <c r="A258" i="66"/>
  <c r="A282" i="66"/>
  <c r="A262" i="66"/>
  <c r="D4" i="38"/>
  <c r="J3" i="9"/>
  <c r="L3" i="9"/>
  <c r="K3" i="9"/>
  <c r="O4" i="9"/>
  <c r="L4" i="9"/>
  <c r="R4" i="9"/>
  <c r="B24" i="17"/>
  <c r="K4" i="9"/>
  <c r="N4" i="9"/>
  <c r="Q4" i="9"/>
  <c r="B74" i="22"/>
  <c r="I7" i="9"/>
  <c r="E317" i="18"/>
  <c r="P4" i="9"/>
  <c r="J4" i="9"/>
  <c r="M4" i="9"/>
  <c r="B62" i="22"/>
  <c r="I5" i="9"/>
  <c r="D31" i="38"/>
  <c r="R3" i="9"/>
  <c r="Q3" i="9"/>
  <c r="P3" i="9"/>
  <c r="D29" i="38"/>
  <c r="M3" i="9"/>
  <c r="O3" i="9"/>
  <c r="N3" i="9"/>
  <c r="F39" i="39"/>
  <c r="F45" i="39"/>
  <c r="D393" i="38"/>
  <c r="C2" i="39"/>
  <c r="D336" i="38"/>
  <c r="D315" i="38"/>
  <c r="C8" i="8"/>
  <c r="C20" i="53"/>
  <c r="D259" i="38"/>
  <c r="D231" i="38"/>
  <c r="D169" i="38"/>
  <c r="D155" i="38"/>
  <c r="D225" i="38"/>
  <c r="D115" i="38"/>
  <c r="D203" i="38"/>
  <c r="D104" i="38"/>
  <c r="D28" i="38"/>
  <c r="G21" i="26"/>
  <c r="D388" i="38"/>
  <c r="D325" i="38"/>
  <c r="D313" i="38"/>
  <c r="D302" i="38"/>
  <c r="C18" i="53"/>
  <c r="D257" i="38"/>
  <c r="D217" i="38"/>
  <c r="D166" i="38"/>
  <c r="D154" i="38"/>
  <c r="D219" i="38"/>
  <c r="D114" i="38"/>
  <c r="D161" i="38"/>
  <c r="D23" i="38"/>
  <c r="D387" i="38"/>
  <c r="D324" i="38"/>
  <c r="D312" i="38"/>
  <c r="C17" i="53"/>
  <c r="D256" i="38"/>
  <c r="D216" i="38"/>
  <c r="D165" i="38"/>
  <c r="E2" i="34"/>
  <c r="D207" i="38"/>
  <c r="Q4" i="20"/>
  <c r="D22" i="38"/>
  <c r="D378" i="38"/>
  <c r="D322" i="38"/>
  <c r="D310" i="38"/>
  <c r="C30" i="53"/>
  <c r="C15" i="53"/>
  <c r="D254" i="38"/>
  <c r="D214" i="38"/>
  <c r="D163" i="38"/>
  <c r="D119" i="38"/>
  <c r="D112" i="38"/>
  <c r="G4" i="20"/>
  <c r="D105" i="38"/>
  <c r="D377" i="38"/>
  <c r="D321" i="38"/>
  <c r="D309" i="38"/>
  <c r="C29" i="53"/>
  <c r="C14" i="53"/>
  <c r="D253" i="38"/>
  <c r="D213" i="38"/>
  <c r="D162" i="38"/>
  <c r="D211" i="38"/>
  <c r="D205" i="38"/>
  <c r="H2" i="35"/>
  <c r="D110" i="38"/>
  <c r="D70" i="38"/>
  <c r="D376" i="38"/>
  <c r="D361" i="38"/>
  <c r="D320" i="38"/>
  <c r="D308" i="38"/>
  <c r="C25" i="53"/>
  <c r="D270" i="38"/>
  <c r="D252" i="38"/>
  <c r="D186" i="38"/>
  <c r="D160" i="38"/>
  <c r="D118" i="38"/>
  <c r="D111" i="38"/>
  <c r="D69" i="38"/>
  <c r="D64" i="38"/>
  <c r="D21" i="38"/>
  <c r="N23" i="9"/>
  <c r="D61" i="38"/>
  <c r="D17" i="38"/>
  <c r="D60" i="38"/>
  <c r="C16" i="6"/>
  <c r="D32" i="38"/>
  <c r="D83" i="38"/>
  <c r="D71" i="38"/>
  <c r="E79" i="18"/>
  <c r="A283" i="66"/>
  <c r="H235" i="66"/>
  <c r="A263" i="66"/>
  <c r="H215" i="66"/>
  <c r="A126" i="66"/>
  <c r="H78" i="66"/>
  <c r="A284" i="66"/>
  <c r="A267" i="66"/>
  <c r="A142" i="66"/>
  <c r="A127" i="66"/>
  <c r="A146" i="66"/>
  <c r="H98" i="66"/>
  <c r="F47" i="39"/>
  <c r="A251" i="66"/>
  <c r="A109" i="66"/>
  <c r="A264" i="66"/>
  <c r="A269" i="66"/>
  <c r="H221" i="66"/>
  <c r="A140" i="66"/>
  <c r="H92" i="66"/>
  <c r="A114" i="66"/>
  <c r="H66" i="66"/>
  <c r="A287" i="66"/>
  <c r="H239" i="66"/>
  <c r="A281" i="66"/>
  <c r="H233" i="66"/>
  <c r="A273" i="66"/>
  <c r="H225" i="66"/>
  <c r="A144" i="66"/>
  <c r="H96" i="66"/>
  <c r="A112" i="66"/>
  <c r="H64" i="66"/>
  <c r="D25" i="6"/>
  <c r="O25" i="39"/>
  <c r="A123" i="66"/>
  <c r="H75" i="66"/>
  <c r="D23" i="6"/>
  <c r="C26" i="6"/>
  <c r="B24" i="6"/>
  <c r="A290" i="66"/>
  <c r="A277" i="66"/>
  <c r="A120" i="66"/>
  <c r="R102" i="66"/>
  <c r="H102" i="66"/>
  <c r="C25" i="6"/>
  <c r="B23" i="6"/>
  <c r="N29" i="39"/>
  <c r="A265" i="66"/>
  <c r="H217" i="66"/>
  <c r="A134" i="66"/>
  <c r="A128" i="66"/>
  <c r="H80" i="66"/>
  <c r="A122" i="66"/>
  <c r="H74" i="66"/>
  <c r="D20" i="6"/>
  <c r="C24" i="6"/>
  <c r="A289" i="66"/>
  <c r="A141" i="66"/>
  <c r="H93" i="66"/>
  <c r="H56" i="66"/>
  <c r="P11" i="18"/>
  <c r="D63" i="22"/>
  <c r="E70" i="18"/>
  <c r="E316" i="18"/>
  <c r="E319" i="18"/>
  <c r="F32" i="20"/>
  <c r="R23" i="9"/>
  <c r="B30" i="63"/>
  <c r="C2" i="9"/>
  <c r="C5" i="9" s="1"/>
  <c r="C22" i="39"/>
  <c r="B64" i="22"/>
  <c r="P19" i="39"/>
  <c r="Q19" i="39" s="1"/>
  <c r="F3" i="41"/>
  <c r="E502" i="18"/>
  <c r="B23" i="17"/>
  <c r="B25" i="17"/>
  <c r="K34" i="9"/>
  <c r="B22" i="17"/>
  <c r="B26" i="17"/>
  <c r="B27" i="17"/>
  <c r="D59" i="38"/>
  <c r="D19" i="38"/>
  <c r="D84" i="38"/>
  <c r="D58" i="38"/>
  <c r="D18" i="38"/>
  <c r="O18" i="39"/>
  <c r="O19" i="39"/>
  <c r="A279" i="66"/>
  <c r="A261" i="66"/>
  <c r="H62" i="66"/>
  <c r="A107" i="66"/>
  <c r="O22" i="39"/>
  <c r="P28" i="39"/>
  <c r="Q28" i="39" s="1"/>
  <c r="A254" i="66"/>
  <c r="B22" i="6"/>
  <c r="C53" i="39"/>
  <c r="O21" i="39"/>
  <c r="A288" i="66"/>
  <c r="A270" i="66"/>
  <c r="A135" i="66"/>
  <c r="A117" i="66"/>
  <c r="F117" i="66" s="1"/>
  <c r="A106" i="66"/>
  <c r="C20" i="6"/>
  <c r="A253" i="66"/>
  <c r="A111" i="66"/>
  <c r="A247" i="66"/>
  <c r="F46" i="39"/>
  <c r="A274" i="66"/>
  <c r="A257" i="66"/>
  <c r="D22" i="6"/>
  <c r="A245" i="66"/>
  <c r="F40" i="39"/>
  <c r="D66" i="38"/>
  <c r="D26" i="38"/>
  <c r="E352" i="18"/>
  <c r="D63" i="38"/>
  <c r="D25" i="38"/>
  <c r="D84" i="22"/>
  <c r="P29" i="18"/>
  <c r="X6" i="20"/>
  <c r="D11" i="32"/>
  <c r="Q33" i="9"/>
  <c r="AC2" i="39"/>
  <c r="D248" i="66"/>
  <c r="D105" i="66"/>
  <c r="C75" i="57"/>
  <c r="C38" i="57"/>
  <c r="D15" i="8"/>
  <c r="D391" i="38"/>
  <c r="D338" i="38"/>
  <c r="D327" i="38"/>
  <c r="C31" i="53"/>
  <c r="D271" i="38"/>
  <c r="D232" i="38"/>
  <c r="D187" i="38"/>
  <c r="D175" i="38"/>
  <c r="D134" i="38"/>
  <c r="D126" i="38"/>
  <c r="D85" i="38"/>
  <c r="D72" i="38"/>
  <c r="D33" i="38"/>
  <c r="B27" i="63"/>
  <c r="G48" i="26"/>
  <c r="R33" i="9"/>
  <c r="R31" i="20"/>
  <c r="D247" i="66"/>
  <c r="D104" i="66"/>
  <c r="C72" i="57"/>
  <c r="C35" i="57"/>
  <c r="C28" i="53"/>
  <c r="D268" i="38"/>
  <c r="D184" i="38"/>
  <c r="D172" i="38"/>
  <c r="D132" i="38"/>
  <c r="D218" i="38"/>
  <c r="D127" i="38"/>
  <c r="D82" i="38"/>
  <c r="D42" i="38"/>
  <c r="D16" i="6"/>
  <c r="B22" i="63"/>
  <c r="H50" i="20"/>
  <c r="S31" i="20"/>
  <c r="D259" i="66"/>
  <c r="D255" i="66"/>
  <c r="D251" i="66"/>
  <c r="D112" i="66"/>
  <c r="D108" i="66"/>
  <c r="D99" i="66"/>
  <c r="C71" i="57"/>
  <c r="C34" i="57"/>
  <c r="D385" i="38"/>
  <c r="D367" i="38"/>
  <c r="D346" i="38"/>
  <c r="D334" i="38"/>
  <c r="C27" i="53"/>
  <c r="D267" i="38"/>
  <c r="D229" i="38"/>
  <c r="D183" i="38"/>
  <c r="M38" i="39"/>
  <c r="D223" i="38"/>
  <c r="D122" i="38"/>
  <c r="D81" i="38"/>
  <c r="D41" i="38"/>
  <c r="D30" i="38"/>
  <c r="D11" i="6"/>
  <c r="B26" i="63"/>
  <c r="E50" i="17"/>
  <c r="T31" i="20"/>
  <c r="D289" i="66"/>
  <c r="D285" i="66"/>
  <c r="D281" i="66"/>
  <c r="D277" i="66"/>
  <c r="D271" i="66"/>
  <c r="D267" i="66"/>
  <c r="D263" i="66"/>
  <c r="D246" i="66"/>
  <c r="D146" i="66"/>
  <c r="D142" i="66"/>
  <c r="D138" i="66"/>
  <c r="D134" i="66"/>
  <c r="D128" i="66"/>
  <c r="D124" i="66"/>
  <c r="D120" i="66"/>
  <c r="D116" i="66"/>
  <c r="C70" i="57"/>
  <c r="C33" i="57"/>
  <c r="Z2" i="20"/>
  <c r="D384" i="38"/>
  <c r="D366" i="38"/>
  <c r="D345" i="38"/>
  <c r="D333" i="38"/>
  <c r="C26" i="53"/>
  <c r="D266" i="38"/>
  <c r="D228" i="38"/>
  <c r="D182" i="38"/>
  <c r="D171" i="38"/>
  <c r="D131" i="38"/>
  <c r="D80" i="38"/>
  <c r="D40" i="38"/>
  <c r="E23" i="20"/>
  <c r="D103" i="66"/>
  <c r="C69" i="57"/>
  <c r="C32" i="57"/>
  <c r="D383" i="38"/>
  <c r="D365" i="38"/>
  <c r="D344" i="38"/>
  <c r="D332" i="38"/>
  <c r="C37" i="53"/>
  <c r="D277" i="38"/>
  <c r="D265" i="38"/>
  <c r="D181" i="38"/>
  <c r="D222" i="38"/>
  <c r="D124" i="38"/>
  <c r="D79" i="38"/>
  <c r="D39" i="38"/>
  <c r="B25" i="63"/>
  <c r="R4" i="20"/>
  <c r="D258" i="66"/>
  <c r="D254" i="66"/>
  <c r="D250" i="66"/>
  <c r="D115" i="66"/>
  <c r="D111" i="66"/>
  <c r="D107" i="66"/>
  <c r="C68" i="57"/>
  <c r="C31" i="57"/>
  <c r="D382" i="38"/>
  <c r="D364" i="38"/>
  <c r="D343" i="38"/>
  <c r="D331" i="38"/>
  <c r="C36" i="53"/>
  <c r="D276" i="38"/>
  <c r="D264" i="38"/>
  <c r="D180" i="38"/>
  <c r="D227" i="38"/>
  <c r="D130" i="38"/>
  <c r="D123" i="38"/>
  <c r="D78" i="38"/>
  <c r="D38" i="38"/>
  <c r="Q23" i="9"/>
  <c r="E50" i="20"/>
  <c r="D288" i="66"/>
  <c r="D284" i="66"/>
  <c r="D280" i="66"/>
  <c r="D274" i="66"/>
  <c r="D270" i="66"/>
  <c r="D266" i="66"/>
  <c r="D262" i="66"/>
  <c r="D245" i="66"/>
  <c r="D145" i="66"/>
  <c r="D141" i="66"/>
  <c r="D137" i="66"/>
  <c r="D133" i="66"/>
  <c r="D127" i="66"/>
  <c r="D123" i="66"/>
  <c r="D119" i="66"/>
  <c r="D102" i="66"/>
  <c r="C79" i="57"/>
  <c r="C67" i="57"/>
  <c r="C30" i="57"/>
  <c r="D397" i="38"/>
  <c r="D381" i="38"/>
  <c r="D363" i="38"/>
  <c r="D342" i="38"/>
  <c r="D330" i="38"/>
  <c r="C35" i="53"/>
  <c r="D275" i="38"/>
  <c r="D263" i="38"/>
  <c r="D179" i="38"/>
  <c r="D136" i="38"/>
  <c r="D221" i="38"/>
  <c r="E38" i="39"/>
  <c r="D77" i="38"/>
  <c r="D37" i="38"/>
  <c r="P23" i="9"/>
  <c r="B24" i="63"/>
  <c r="H23" i="20"/>
  <c r="E11" i="39"/>
  <c r="P30" i="18"/>
  <c r="I31" i="20"/>
  <c r="D101" i="66"/>
  <c r="C78" i="57"/>
  <c r="C29" i="57"/>
  <c r="D380" i="38"/>
  <c r="D2" i="39"/>
  <c r="D341" i="38"/>
  <c r="D329" i="38"/>
  <c r="C34" i="53"/>
  <c r="D274" i="38"/>
  <c r="D178" i="38"/>
  <c r="D226" i="38"/>
  <c r="D129" i="38"/>
  <c r="D120" i="38"/>
  <c r="D76" i="38"/>
  <c r="D36" i="38"/>
  <c r="P33" i="9"/>
  <c r="J31" i="20"/>
  <c r="D257" i="66"/>
  <c r="D253" i="66"/>
  <c r="D114" i="66"/>
  <c r="D110" i="66"/>
  <c r="D106" i="66"/>
  <c r="C77" i="57"/>
  <c r="C40" i="57"/>
  <c r="C28" i="57"/>
  <c r="E15" i="17"/>
  <c r="D394" i="38"/>
  <c r="D362" i="38"/>
  <c r="D340" i="38"/>
  <c r="D328" i="38"/>
  <c r="C33" i="53"/>
  <c r="D273" i="38"/>
  <c r="D177" i="38"/>
  <c r="D220" i="38"/>
  <c r="D74" i="38"/>
  <c r="D35" i="38"/>
  <c r="E21" i="26"/>
  <c r="B23" i="63"/>
  <c r="D4" i="6"/>
  <c r="E10" i="17"/>
  <c r="K31" i="20"/>
  <c r="D287" i="66"/>
  <c r="D283" i="66"/>
  <c r="D279" i="66"/>
  <c r="D273" i="66"/>
  <c r="D269" i="66"/>
  <c r="D265" i="66"/>
  <c r="D261" i="66"/>
  <c r="D244" i="66"/>
  <c r="D144" i="66"/>
  <c r="D140" i="66"/>
  <c r="D136" i="66"/>
  <c r="D130" i="66"/>
  <c r="D126" i="66"/>
  <c r="D122" i="66"/>
  <c r="D118" i="66"/>
  <c r="D249" i="66"/>
  <c r="C76" i="57"/>
  <c r="C39" i="57"/>
  <c r="D339" i="38"/>
  <c r="D8" i="8"/>
  <c r="C32" i="53"/>
  <c r="D272" i="38"/>
  <c r="D176" i="38"/>
  <c r="D135" i="38"/>
  <c r="D128" i="38"/>
  <c r="D73" i="38"/>
  <c r="D34" i="38"/>
  <c r="D83" i="22"/>
  <c r="E341" i="18"/>
  <c r="E353" i="18"/>
  <c r="D7" i="22"/>
  <c r="E364" i="18"/>
  <c r="E365" i="18"/>
  <c r="E155" i="18"/>
  <c r="E413" i="18"/>
  <c r="E144" i="18"/>
  <c r="E143" i="18"/>
  <c r="E132" i="18"/>
  <c r="E131" i="18"/>
  <c r="D80" i="22"/>
  <c r="E67" i="18"/>
  <c r="E328" i="18"/>
  <c r="D81" i="22"/>
  <c r="E58" i="18"/>
  <c r="E329" i="18"/>
  <c r="D19" i="22"/>
  <c r="J34" i="9"/>
  <c r="C32" i="20"/>
  <c r="E57" i="18"/>
  <c r="E257" i="18"/>
  <c r="D20" i="22"/>
  <c r="E44" i="18"/>
  <c r="E267" i="18"/>
  <c r="D5" i="22"/>
  <c r="D21" i="22"/>
  <c r="E34" i="18"/>
  <c r="E269" i="18"/>
  <c r="D4" i="22"/>
  <c r="B29" i="22"/>
  <c r="E32" i="18"/>
  <c r="E270" i="18"/>
  <c r="D3" i="22"/>
  <c r="D32" i="22"/>
  <c r="E31" i="18"/>
  <c r="E283" i="18"/>
  <c r="D50" i="22"/>
  <c r="E11" i="18"/>
  <c r="E293" i="18"/>
  <c r="D51" i="22"/>
  <c r="E83" i="18"/>
  <c r="E8" i="18"/>
  <c r="E295" i="18"/>
  <c r="D62" i="22"/>
  <c r="E81" i="18"/>
  <c r="E303" i="18"/>
  <c r="P18" i="39"/>
  <c r="Q18" i="39" s="1"/>
  <c r="C15" i="17"/>
  <c r="E68" i="18"/>
  <c r="E35" i="18"/>
  <c r="E9" i="18"/>
  <c r="E259" i="18"/>
  <c r="E292" i="18"/>
  <c r="E318" i="18"/>
  <c r="D94" i="35"/>
  <c r="D51" i="35"/>
  <c r="E59" i="18"/>
  <c r="E33" i="18"/>
  <c r="E7" i="18"/>
  <c r="E268" i="18"/>
  <c r="E294" i="18"/>
  <c r="E327" i="18"/>
  <c r="E82" i="18"/>
  <c r="E56" i="18"/>
  <c r="E23" i="18"/>
  <c r="E271" i="18"/>
  <c r="E304" i="18"/>
  <c r="E330" i="18"/>
  <c r="O5" i="20"/>
  <c r="E55" i="18"/>
  <c r="E22" i="18"/>
  <c r="E279" i="18"/>
  <c r="E305" i="18"/>
  <c r="E331" i="18"/>
  <c r="M24" i="9"/>
  <c r="E80" i="18"/>
  <c r="E47" i="18"/>
  <c r="E21" i="18"/>
  <c r="E280" i="18"/>
  <c r="E306" i="18"/>
  <c r="E46" i="18"/>
  <c r="E20" i="18"/>
  <c r="E255" i="18"/>
  <c r="E281" i="18"/>
  <c r="E307" i="18"/>
  <c r="F5" i="20"/>
  <c r="E71" i="18"/>
  <c r="E45" i="18"/>
  <c r="E19" i="18"/>
  <c r="E256" i="18"/>
  <c r="E282" i="18"/>
  <c r="E315" i="18"/>
  <c r="E69" i="18"/>
  <c r="E43" i="18"/>
  <c r="E10" i="18"/>
  <c r="E258" i="18"/>
  <c r="E291" i="18"/>
  <c r="D19" i="35"/>
  <c r="E412" i="18"/>
  <c r="E340" i="18"/>
  <c r="E156" i="18"/>
  <c r="E401" i="18"/>
  <c r="E95" i="18"/>
  <c r="E167" i="18"/>
  <c r="E400" i="18"/>
  <c r="E96" i="18"/>
  <c r="E168" i="18"/>
  <c r="M5" i="20"/>
  <c r="E389" i="18"/>
  <c r="E107" i="18"/>
  <c r="P32" i="20"/>
  <c r="D67" i="22"/>
  <c r="E388" i="18"/>
  <c r="E108" i="18"/>
  <c r="E377" i="18"/>
  <c r="E119" i="18"/>
  <c r="E376" i="18"/>
  <c r="E120" i="18"/>
  <c r="D32" i="20"/>
  <c r="D15" i="35"/>
  <c r="D129" i="35"/>
  <c r="M34" i="9"/>
  <c r="E326" i="18"/>
  <c r="E314" i="18"/>
  <c r="E302" i="18"/>
  <c r="E290" i="18"/>
  <c r="E278" i="18"/>
  <c r="E266" i="18"/>
  <c r="E254" i="18"/>
  <c r="E12" i="18"/>
  <c r="E24" i="18"/>
  <c r="E36" i="18"/>
  <c r="E48" i="18"/>
  <c r="E60" i="18"/>
  <c r="E72" i="18"/>
  <c r="E84" i="18"/>
  <c r="I32" i="20"/>
  <c r="D79" i="22"/>
  <c r="D49" i="22"/>
  <c r="D18" i="22"/>
  <c r="D6" i="22"/>
  <c r="C5" i="20"/>
  <c r="E337" i="18"/>
  <c r="E325" i="18"/>
  <c r="E313" i="18"/>
  <c r="E301" i="18"/>
  <c r="E289" i="18"/>
  <c r="E277" i="18"/>
  <c r="E265" i="18"/>
  <c r="E13" i="18"/>
  <c r="E25" i="18"/>
  <c r="E37" i="18"/>
  <c r="E49" i="18"/>
  <c r="E61" i="18"/>
  <c r="E73" i="18"/>
  <c r="E85" i="18"/>
  <c r="L32" i="20"/>
  <c r="D78" i="22"/>
  <c r="D48" i="22"/>
  <c r="D17" i="22"/>
  <c r="D2" i="22"/>
  <c r="L5" i="20"/>
  <c r="E336" i="18"/>
  <c r="E324" i="18"/>
  <c r="E312" i="18"/>
  <c r="E300" i="18"/>
  <c r="E288" i="18"/>
  <c r="E276" i="18"/>
  <c r="E264" i="18"/>
  <c r="E14" i="18"/>
  <c r="E26" i="18"/>
  <c r="E38" i="18"/>
  <c r="E50" i="18"/>
  <c r="E62" i="18"/>
  <c r="E74" i="18"/>
  <c r="E2" i="18"/>
  <c r="D77" i="22"/>
  <c r="D47" i="22"/>
  <c r="E335" i="18"/>
  <c r="E323" i="18"/>
  <c r="E311" i="18"/>
  <c r="E299" i="18"/>
  <c r="E287" i="18"/>
  <c r="E275" i="18"/>
  <c r="E263" i="18"/>
  <c r="E3" i="18"/>
  <c r="E15" i="18"/>
  <c r="E27" i="18"/>
  <c r="E39" i="18"/>
  <c r="E51" i="18"/>
  <c r="E63" i="18"/>
  <c r="E75" i="18"/>
  <c r="J24" i="9"/>
  <c r="D36" i="22"/>
  <c r="D58" i="35"/>
  <c r="D142" i="35"/>
  <c r="E334" i="18"/>
  <c r="E322" i="18"/>
  <c r="E310" i="18"/>
  <c r="E298" i="18"/>
  <c r="E286" i="18"/>
  <c r="E274" i="18"/>
  <c r="E262" i="18"/>
  <c r="E4" i="18"/>
  <c r="E16" i="18"/>
  <c r="E28" i="18"/>
  <c r="E40" i="18"/>
  <c r="E52" i="18"/>
  <c r="E64" i="18"/>
  <c r="E76" i="18"/>
  <c r="F4" i="63"/>
  <c r="F14" i="63" s="1"/>
  <c r="F24" i="63" s="1"/>
  <c r="F34" i="63" s="1"/>
  <c r="F44" i="63" s="1"/>
  <c r="F54" i="63" s="1"/>
  <c r="O32" i="20"/>
  <c r="D66" i="22"/>
  <c r="D35" i="22"/>
  <c r="D90" i="35"/>
  <c r="D99" i="35"/>
  <c r="E333" i="18"/>
  <c r="E321" i="18"/>
  <c r="E309" i="18"/>
  <c r="E297" i="18"/>
  <c r="E285" i="18"/>
  <c r="E273" i="18"/>
  <c r="E261" i="18"/>
  <c r="E5" i="18"/>
  <c r="E17" i="18"/>
  <c r="E29" i="18"/>
  <c r="E41" i="18"/>
  <c r="E53" i="18"/>
  <c r="E65" i="18"/>
  <c r="E77" i="18"/>
  <c r="R32" i="20"/>
  <c r="D65" i="22"/>
  <c r="D34" i="22"/>
  <c r="D134" i="35"/>
  <c r="E332" i="18"/>
  <c r="E320" i="18"/>
  <c r="E308" i="18"/>
  <c r="E296" i="18"/>
  <c r="E284" i="18"/>
  <c r="E272" i="18"/>
  <c r="E260" i="18"/>
  <c r="E6" i="18"/>
  <c r="E18" i="18"/>
  <c r="E30" i="18"/>
  <c r="E42" i="18"/>
  <c r="E54" i="18"/>
  <c r="E66" i="18"/>
  <c r="E78" i="18"/>
  <c r="D64" i="22"/>
  <c r="D33" i="22"/>
  <c r="D91" i="35"/>
  <c r="D135" i="35"/>
  <c r="D82" i="22"/>
  <c r="E169" i="18"/>
  <c r="E157" i="18"/>
  <c r="E145" i="18"/>
  <c r="E133" i="18"/>
  <c r="E121" i="18"/>
  <c r="E109" i="18"/>
  <c r="E97" i="18"/>
  <c r="E339" i="18"/>
  <c r="E351" i="18"/>
  <c r="E363" i="18"/>
  <c r="E375" i="18"/>
  <c r="E387" i="18"/>
  <c r="E399" i="18"/>
  <c r="E411" i="18"/>
  <c r="D11" i="22"/>
  <c r="D52" i="22"/>
  <c r="D68" i="22"/>
  <c r="D85" i="22"/>
  <c r="E166" i="18"/>
  <c r="E154" i="18"/>
  <c r="E142" i="18"/>
  <c r="E130" i="18"/>
  <c r="E118" i="18"/>
  <c r="E106" i="18"/>
  <c r="E94" i="18"/>
  <c r="E342" i="18"/>
  <c r="E354" i="18"/>
  <c r="E366" i="18"/>
  <c r="E378" i="18"/>
  <c r="E390" i="18"/>
  <c r="E402" i="18"/>
  <c r="E414" i="18"/>
  <c r="D10" i="22"/>
  <c r="D53" i="22"/>
  <c r="D69" i="22"/>
  <c r="D86" i="22"/>
  <c r="M32" i="20"/>
  <c r="E165" i="18"/>
  <c r="E153" i="18"/>
  <c r="E141" i="18"/>
  <c r="E129" i="18"/>
  <c r="E117" i="18"/>
  <c r="E105" i="18"/>
  <c r="E93" i="18"/>
  <c r="E343" i="18"/>
  <c r="E355" i="18"/>
  <c r="E367" i="18"/>
  <c r="E379" i="18"/>
  <c r="E391" i="18"/>
  <c r="E403" i="18"/>
  <c r="E415" i="18"/>
  <c r="D9" i="22"/>
  <c r="D37" i="22"/>
  <c r="D54" i="22"/>
  <c r="D70" i="22"/>
  <c r="E164" i="18"/>
  <c r="E152" i="18"/>
  <c r="E140" i="18"/>
  <c r="E128" i="18"/>
  <c r="E116" i="18"/>
  <c r="E104" i="18"/>
  <c r="E92" i="18"/>
  <c r="E344" i="18"/>
  <c r="E356" i="18"/>
  <c r="E368" i="18"/>
  <c r="E380" i="18"/>
  <c r="E392" i="18"/>
  <c r="E404" i="18"/>
  <c r="E416" i="18"/>
  <c r="P5" i="20"/>
  <c r="D155" i="35"/>
  <c r="D8" i="22"/>
  <c r="D22" i="22"/>
  <c r="D38" i="22"/>
  <c r="D55" i="22"/>
  <c r="D71" i="22"/>
  <c r="E163" i="18"/>
  <c r="E151" i="18"/>
  <c r="E139" i="18"/>
  <c r="E127" i="18"/>
  <c r="E115" i="18"/>
  <c r="E103" i="18"/>
  <c r="E91" i="18"/>
  <c r="E345" i="18"/>
  <c r="E357" i="18"/>
  <c r="E369" i="18"/>
  <c r="E381" i="18"/>
  <c r="E393" i="18"/>
  <c r="E405" i="18"/>
  <c r="E417" i="18"/>
  <c r="F5" i="63"/>
  <c r="F15" i="63" s="1"/>
  <c r="F25" i="63" s="1"/>
  <c r="F35" i="63" s="1"/>
  <c r="F45" i="63" s="1"/>
  <c r="F55" i="63" s="1"/>
  <c r="D23" i="22"/>
  <c r="D39" i="22"/>
  <c r="D56" i="22"/>
  <c r="J32" i="20"/>
  <c r="E162" i="18"/>
  <c r="E150" i="18"/>
  <c r="E138" i="18"/>
  <c r="E126" i="18"/>
  <c r="E114" i="18"/>
  <c r="E102" i="18"/>
  <c r="E90" i="18"/>
  <c r="E346" i="18"/>
  <c r="E358" i="18"/>
  <c r="E370" i="18"/>
  <c r="E382" i="18"/>
  <c r="E394" i="18"/>
  <c r="E406" i="18"/>
  <c r="E418" i="18"/>
  <c r="D24" i="22"/>
  <c r="D40" i="22"/>
  <c r="E161" i="18"/>
  <c r="E149" i="18"/>
  <c r="E137" i="18"/>
  <c r="E125" i="18"/>
  <c r="E113" i="18"/>
  <c r="E101" i="18"/>
  <c r="E89" i="18"/>
  <c r="E347" i="18"/>
  <c r="E359" i="18"/>
  <c r="E371" i="18"/>
  <c r="E383" i="18"/>
  <c r="E395" i="18"/>
  <c r="E407" i="18"/>
  <c r="E419" i="18"/>
  <c r="D25" i="22"/>
  <c r="D41" i="22"/>
  <c r="K24" i="9"/>
  <c r="E160" i="18"/>
  <c r="E148" i="18"/>
  <c r="E136" i="18"/>
  <c r="E124" i="18"/>
  <c r="E112" i="18"/>
  <c r="E100" i="18"/>
  <c r="E88" i="18"/>
  <c r="E348" i="18"/>
  <c r="E360" i="18"/>
  <c r="E372" i="18"/>
  <c r="E384" i="18"/>
  <c r="E396" i="18"/>
  <c r="E408" i="18"/>
  <c r="E420" i="18"/>
  <c r="G5" i="20"/>
  <c r="D26" i="22"/>
  <c r="S32" i="20"/>
  <c r="G32" i="20"/>
  <c r="E159" i="18"/>
  <c r="E147" i="18"/>
  <c r="E135" i="18"/>
  <c r="E123" i="18"/>
  <c r="E111" i="18"/>
  <c r="E99" i="18"/>
  <c r="E87" i="18"/>
  <c r="E349" i="18"/>
  <c r="E361" i="18"/>
  <c r="E373" i="18"/>
  <c r="E385" i="18"/>
  <c r="E397" i="18"/>
  <c r="E409" i="18"/>
  <c r="E421" i="18"/>
  <c r="E86" i="18"/>
  <c r="E158" i="18"/>
  <c r="E146" i="18"/>
  <c r="E134" i="18"/>
  <c r="E122" i="18"/>
  <c r="E110" i="18"/>
  <c r="E98" i="18"/>
  <c r="E338" i="18"/>
  <c r="E350" i="18"/>
  <c r="E362" i="18"/>
  <c r="E374" i="18"/>
  <c r="E386" i="18"/>
  <c r="E398" i="18"/>
  <c r="E410" i="18"/>
  <c r="B4" i="6"/>
  <c r="D9" i="66"/>
  <c r="D40" i="66"/>
  <c r="E209" i="18"/>
  <c r="C13" i="53"/>
  <c r="D141" i="38"/>
  <c r="D199" i="38"/>
  <c r="D98" i="35"/>
  <c r="D50" i="35"/>
  <c r="D193" i="66"/>
  <c r="E462" i="18"/>
  <c r="D373" i="38"/>
  <c r="D140" i="38"/>
  <c r="D7" i="66"/>
  <c r="D166" i="66"/>
  <c r="C8" i="22"/>
  <c r="D372" i="38"/>
  <c r="D54" i="38"/>
  <c r="D31" i="20"/>
  <c r="C9" i="22"/>
  <c r="D91" i="38"/>
  <c r="D53" i="38"/>
  <c r="P31" i="18"/>
  <c r="D95" i="38"/>
  <c r="E31" i="20"/>
  <c r="C50" i="22"/>
  <c r="C48" i="57"/>
  <c r="D196" i="38"/>
  <c r="D89" i="38"/>
  <c r="D187" i="66"/>
  <c r="C51" i="22"/>
  <c r="C47" i="57"/>
  <c r="D11" i="35"/>
  <c r="D87" i="35"/>
  <c r="D54" i="35"/>
  <c r="R5" i="20"/>
  <c r="D39" i="66"/>
  <c r="D172" i="66"/>
  <c r="D38" i="66"/>
  <c r="D292" i="38"/>
  <c r="D244" i="38"/>
  <c r="D150" i="38"/>
  <c r="D24" i="66"/>
  <c r="C12" i="57"/>
  <c r="D354" i="38"/>
  <c r="D291" i="38"/>
  <c r="D243" i="38"/>
  <c r="D149" i="38"/>
  <c r="D5" i="38"/>
  <c r="C11" i="39"/>
  <c r="D30" i="22"/>
  <c r="D159" i="66"/>
  <c r="D23" i="66"/>
  <c r="C11" i="57"/>
  <c r="D353" i="38"/>
  <c r="D98" i="38"/>
  <c r="P12" i="18"/>
  <c r="X7" i="20"/>
  <c r="I25" i="9"/>
  <c r="J25" i="9" s="1"/>
  <c r="B87" i="22"/>
  <c r="B12" i="22"/>
  <c r="B22" i="22"/>
  <c r="D45" i="22"/>
  <c r="E221" i="18"/>
  <c r="E450" i="18"/>
  <c r="D6" i="38"/>
  <c r="D56" i="38"/>
  <c r="B11" i="6"/>
  <c r="D191" i="38"/>
  <c r="D193" i="38"/>
  <c r="D198" i="38"/>
  <c r="D139" i="38"/>
  <c r="D137" i="38"/>
  <c r="C4" i="53"/>
  <c r="D281" i="38"/>
  <c r="D152" i="38"/>
  <c r="D233" i="38"/>
  <c r="D245" i="38"/>
  <c r="B8" i="8"/>
  <c r="D350" i="38"/>
  <c r="D355" i="38"/>
  <c r="D389" i="38"/>
  <c r="C13" i="57"/>
  <c r="C49" i="57"/>
  <c r="C61" i="22"/>
  <c r="C49" i="22"/>
  <c r="C7" i="22"/>
  <c r="D184" i="66"/>
  <c r="D10" i="66"/>
  <c r="D25" i="66"/>
  <c r="D41" i="66"/>
  <c r="D154" i="66"/>
  <c r="D160" i="66"/>
  <c r="D181" i="66"/>
  <c r="D194" i="66"/>
  <c r="C31" i="20"/>
  <c r="B11" i="32"/>
  <c r="J33" i="9"/>
  <c r="F21" i="26"/>
  <c r="D7" i="38"/>
  <c r="D57" i="38"/>
  <c r="D93" i="38"/>
  <c r="K38" i="39"/>
  <c r="D101" i="38"/>
  <c r="D280" i="38"/>
  <c r="C11" i="53"/>
  <c r="D153" i="38"/>
  <c r="D234" i="38"/>
  <c r="D246" i="38"/>
  <c r="D293" i="38"/>
  <c r="B15" i="8"/>
  <c r="C14" i="57"/>
  <c r="C50" i="57"/>
  <c r="C60" i="22"/>
  <c r="C48" i="22"/>
  <c r="C6" i="22"/>
  <c r="D5" i="66"/>
  <c r="D11" i="66"/>
  <c r="D26" i="66"/>
  <c r="D42" i="66"/>
  <c r="D167" i="66"/>
  <c r="D173" i="66"/>
  <c r="D188" i="66"/>
  <c r="N31" i="20"/>
  <c r="M4" i="20"/>
  <c r="L4" i="20"/>
  <c r="C50" i="20"/>
  <c r="D8" i="38"/>
  <c r="D44" i="38"/>
  <c r="G2" i="35"/>
  <c r="G192" i="35" s="1"/>
  <c r="D87" i="38"/>
  <c r="D195" i="38"/>
  <c r="D201" i="38"/>
  <c r="D99" i="38"/>
  <c r="C5" i="53"/>
  <c r="C9" i="53"/>
  <c r="D146" i="38"/>
  <c r="D235" i="38"/>
  <c r="D247" i="38"/>
  <c r="D284" i="38"/>
  <c r="D294" i="38"/>
  <c r="D351" i="38"/>
  <c r="C3" i="57"/>
  <c r="C51" i="57"/>
  <c r="C59" i="22"/>
  <c r="C47" i="22"/>
  <c r="C5" i="22"/>
  <c r="D149" i="66"/>
  <c r="D12" i="66"/>
  <c r="D27" i="66"/>
  <c r="D43" i="66"/>
  <c r="D147" i="66"/>
  <c r="D155" i="66"/>
  <c r="D161" i="66"/>
  <c r="D182" i="66"/>
  <c r="M31" i="20"/>
  <c r="N4" i="20"/>
  <c r="C50" i="17"/>
  <c r="H4" i="6"/>
  <c r="B12" i="26"/>
  <c r="D9" i="38"/>
  <c r="D45" i="38"/>
  <c r="D90" i="38"/>
  <c r="D278" i="38"/>
  <c r="C10" i="53"/>
  <c r="D236" i="38"/>
  <c r="D285" i="38"/>
  <c r="D295" i="38"/>
  <c r="D352" i="38"/>
  <c r="D368" i="38"/>
  <c r="D392" i="38"/>
  <c r="C4" i="57"/>
  <c r="C52" i="57"/>
  <c r="C58" i="22"/>
  <c r="C16" i="22"/>
  <c r="C4" i="22"/>
  <c r="D8" i="66"/>
  <c r="D13" i="66"/>
  <c r="D28" i="66"/>
  <c r="D45" i="66"/>
  <c r="D153" i="66"/>
  <c r="D168" i="66"/>
  <c r="D174" i="66"/>
  <c r="D189" i="66"/>
  <c r="L31" i="20"/>
  <c r="D4" i="20"/>
  <c r="AA2" i="39"/>
  <c r="F50" i="20"/>
  <c r="E11" i="32"/>
  <c r="J23" i="9"/>
  <c r="D10" i="38"/>
  <c r="D46" i="38"/>
  <c r="D94" i="38"/>
  <c r="D144" i="38"/>
  <c r="B2" i="39"/>
  <c r="C2" i="53"/>
  <c r="C6" i="53"/>
  <c r="D237" i="38"/>
  <c r="D286" i="38"/>
  <c r="D296" i="38"/>
  <c r="C5" i="57"/>
  <c r="C41" i="57"/>
  <c r="C53" i="57"/>
  <c r="C57" i="22"/>
  <c r="C15" i="22"/>
  <c r="C3" i="22"/>
  <c r="D20" i="66"/>
  <c r="D14" i="66"/>
  <c r="D29" i="66"/>
  <c r="D46" i="66"/>
  <c r="D148" i="66"/>
  <c r="D156" i="66"/>
  <c r="D162" i="66"/>
  <c r="D183" i="66"/>
  <c r="E4" i="20"/>
  <c r="F23" i="20"/>
  <c r="K23" i="9"/>
  <c r="D11" i="38"/>
  <c r="D48" i="38"/>
  <c r="C38" i="39"/>
  <c r="D197" i="38"/>
  <c r="D238" i="38"/>
  <c r="D297" i="38"/>
  <c r="D369" i="38"/>
  <c r="X2" i="20"/>
  <c r="C6" i="57"/>
  <c r="C42" i="57"/>
  <c r="C56" i="22"/>
  <c r="C14" i="22"/>
  <c r="C2" i="22"/>
  <c r="D22" i="66"/>
  <c r="D15" i="66"/>
  <c r="D30" i="66"/>
  <c r="D47" i="66"/>
  <c r="D169" i="66"/>
  <c r="D175" i="66"/>
  <c r="D190" i="66"/>
  <c r="C23" i="20"/>
  <c r="E48" i="26"/>
  <c r="L23" i="9"/>
  <c r="D12" i="38"/>
  <c r="D49" i="38"/>
  <c r="D190" i="38"/>
  <c r="D192" i="38"/>
  <c r="D92" i="38"/>
  <c r="D200" i="38"/>
  <c r="C7" i="53"/>
  <c r="D282" i="38"/>
  <c r="D239" i="38"/>
  <c r="D298" i="38"/>
  <c r="D395" i="38"/>
  <c r="C7" i="57"/>
  <c r="C43" i="57"/>
  <c r="C55" i="22"/>
  <c r="C13" i="22"/>
  <c r="D19" i="66"/>
  <c r="D44" i="66"/>
  <c r="D16" i="66"/>
  <c r="D31" i="66"/>
  <c r="D48" i="66"/>
  <c r="D157" i="66"/>
  <c r="D163" i="66"/>
  <c r="L33" i="9"/>
  <c r="D2" i="38"/>
  <c r="D13" i="38"/>
  <c r="D50" i="38"/>
  <c r="D188" i="38"/>
  <c r="D96" i="38"/>
  <c r="D102" i="38"/>
  <c r="D151" i="38"/>
  <c r="D279" i="38"/>
  <c r="D142" i="38"/>
  <c r="D240" i="38"/>
  <c r="D288" i="38"/>
  <c r="D370" i="38"/>
  <c r="C8" i="57"/>
  <c r="C44" i="57"/>
  <c r="C2" i="57"/>
  <c r="C54" i="22"/>
  <c r="C12" i="22"/>
  <c r="D34" i="66"/>
  <c r="D3" i="66"/>
  <c r="D17" i="66"/>
  <c r="D32" i="66"/>
  <c r="D50" i="66"/>
  <c r="D150" i="66"/>
  <c r="D164" i="66"/>
  <c r="D170" i="66"/>
  <c r="D176" i="66"/>
  <c r="D185" i="66"/>
  <c r="D191" i="66"/>
  <c r="K33" i="9"/>
  <c r="B16" i="6"/>
  <c r="D14" i="38"/>
  <c r="D51" i="38"/>
  <c r="C2" i="34"/>
  <c r="D194" i="38"/>
  <c r="D202" i="38"/>
  <c r="D100" i="38"/>
  <c r="C3" i="53"/>
  <c r="D145" i="38"/>
  <c r="D283" i="38"/>
  <c r="D147" i="38"/>
  <c r="D241" i="38"/>
  <c r="D289" i="38"/>
  <c r="D300" i="38"/>
  <c r="D371" i="38"/>
  <c r="C4" i="17"/>
  <c r="C9" i="57"/>
  <c r="C45" i="57"/>
  <c r="C53" i="22"/>
  <c r="C11" i="22"/>
  <c r="D49" i="66"/>
  <c r="D4" i="66"/>
  <c r="D18" i="66"/>
  <c r="D33" i="66"/>
  <c r="D151" i="66"/>
  <c r="D158" i="66"/>
  <c r="C4" i="20"/>
  <c r="D3" i="38"/>
  <c r="D15" i="38"/>
  <c r="D52" i="38"/>
  <c r="D88" i="38"/>
  <c r="D138" i="38"/>
  <c r="D148" i="38"/>
  <c r="D242" i="38"/>
  <c r="C12" i="53"/>
  <c r="D290" i="38"/>
  <c r="D301" i="38"/>
  <c r="D386" i="38"/>
  <c r="C10" i="57"/>
  <c r="C46" i="57"/>
  <c r="C52" i="22"/>
  <c r="C10" i="22"/>
  <c r="D178" i="66"/>
  <c r="D6" i="66"/>
  <c r="D21" i="66"/>
  <c r="D37" i="66"/>
  <c r="D152" i="66"/>
  <c r="D165" i="66"/>
  <c r="D171" i="66"/>
  <c r="D177" i="66"/>
  <c r="D186" i="66"/>
  <c r="D192" i="66"/>
  <c r="J11" i="39"/>
  <c r="B48" i="26"/>
  <c r="X5" i="20"/>
  <c r="P4" i="18"/>
  <c r="E208" i="18"/>
  <c r="E196" i="18"/>
  <c r="E475" i="18"/>
  <c r="P13" i="18"/>
  <c r="E463" i="18"/>
  <c r="E194" i="18"/>
  <c r="E476" i="18"/>
  <c r="X8" i="20"/>
  <c r="E182" i="18"/>
  <c r="E488" i="18"/>
  <c r="E248" i="18"/>
  <c r="E423" i="18"/>
  <c r="E501" i="18"/>
  <c r="D76" i="22"/>
  <c r="E247" i="18"/>
  <c r="E424" i="18"/>
  <c r="D35" i="35"/>
  <c r="E500" i="18"/>
  <c r="E487" i="18"/>
  <c r="E474" i="18"/>
  <c r="E461" i="18"/>
  <c r="E448" i="18"/>
  <c r="E435" i="18"/>
  <c r="E422" i="18"/>
  <c r="E184" i="18"/>
  <c r="E197" i="18"/>
  <c r="E210" i="18"/>
  <c r="E223" i="18"/>
  <c r="E236" i="18"/>
  <c r="E249" i="18"/>
  <c r="H32" i="20"/>
  <c r="T32" i="20"/>
  <c r="D89" i="22"/>
  <c r="D74" i="22"/>
  <c r="D60" i="22"/>
  <c r="D44" i="22"/>
  <c r="L24" i="9"/>
  <c r="D42" i="22"/>
  <c r="E499" i="18"/>
  <c r="E486" i="18"/>
  <c r="E473" i="18"/>
  <c r="E460" i="18"/>
  <c r="E447" i="18"/>
  <c r="E434" i="18"/>
  <c r="E172" i="18"/>
  <c r="E185" i="18"/>
  <c r="E198" i="18"/>
  <c r="E211" i="18"/>
  <c r="E224" i="18"/>
  <c r="E237" i="18"/>
  <c r="E250" i="18"/>
  <c r="D88" i="22"/>
  <c r="D28" i="22"/>
  <c r="D13" i="22"/>
  <c r="D59" i="22"/>
  <c r="H5" i="20"/>
  <c r="E498" i="18"/>
  <c r="E485" i="18"/>
  <c r="E472" i="18"/>
  <c r="E459" i="18"/>
  <c r="E446" i="18"/>
  <c r="E432" i="18"/>
  <c r="E173" i="18"/>
  <c r="E186" i="18"/>
  <c r="E199" i="18"/>
  <c r="E212" i="18"/>
  <c r="E225" i="18"/>
  <c r="E238" i="18"/>
  <c r="E251" i="18"/>
  <c r="D27" i="22"/>
  <c r="D73" i="22"/>
  <c r="E497" i="18"/>
  <c r="E484" i="18"/>
  <c r="E471" i="18"/>
  <c r="E458" i="18"/>
  <c r="E444" i="18"/>
  <c r="E431" i="18"/>
  <c r="E174" i="18"/>
  <c r="E187" i="18"/>
  <c r="E200" i="18"/>
  <c r="E213" i="18"/>
  <c r="E226" i="18"/>
  <c r="E239" i="18"/>
  <c r="E252" i="18"/>
  <c r="K32" i="20"/>
  <c r="D90" i="22"/>
  <c r="E5" i="20"/>
  <c r="E496" i="18"/>
  <c r="E483" i="18"/>
  <c r="E470" i="18"/>
  <c r="E456" i="18"/>
  <c r="E443" i="18"/>
  <c r="E430" i="18"/>
  <c r="E175" i="18"/>
  <c r="E188" i="18"/>
  <c r="E201" i="18"/>
  <c r="E214" i="18"/>
  <c r="E227" i="18"/>
  <c r="E240" i="18"/>
  <c r="E253" i="18"/>
  <c r="D29" i="22"/>
  <c r="E495" i="18"/>
  <c r="E482" i="18"/>
  <c r="E468" i="18"/>
  <c r="E455" i="18"/>
  <c r="E442" i="18"/>
  <c r="E429" i="18"/>
  <c r="E176" i="18"/>
  <c r="E189" i="18"/>
  <c r="E202" i="18"/>
  <c r="E215" i="18"/>
  <c r="E228" i="18"/>
  <c r="E241" i="18"/>
  <c r="E170" i="18"/>
  <c r="D57" i="22"/>
  <c r="E494" i="18"/>
  <c r="E480" i="18"/>
  <c r="E467" i="18"/>
  <c r="E454" i="18"/>
  <c r="E441" i="18"/>
  <c r="E428" i="18"/>
  <c r="E177" i="18"/>
  <c r="E190" i="18"/>
  <c r="E203" i="18"/>
  <c r="E216" i="18"/>
  <c r="E229" i="18"/>
  <c r="E242" i="18"/>
  <c r="N32" i="20"/>
  <c r="D43" i="22"/>
  <c r="D91" i="22"/>
  <c r="E492" i="18"/>
  <c r="E479" i="18"/>
  <c r="E466" i="18"/>
  <c r="E453" i="18"/>
  <c r="E440" i="18"/>
  <c r="E427" i="18"/>
  <c r="E178" i="18"/>
  <c r="E191" i="18"/>
  <c r="E204" i="18"/>
  <c r="E217" i="18"/>
  <c r="E230" i="18"/>
  <c r="E244" i="18"/>
  <c r="D14" i="22"/>
  <c r="D61" i="22"/>
  <c r="L34" i="9"/>
  <c r="F6" i="63"/>
  <c r="F16" i="63" s="1"/>
  <c r="F26" i="63" s="1"/>
  <c r="F36" i="63" s="1"/>
  <c r="F46" i="63" s="1"/>
  <c r="F56" i="63" s="1"/>
  <c r="E504" i="18"/>
  <c r="E491" i="18"/>
  <c r="E478" i="18"/>
  <c r="E465" i="18"/>
  <c r="E452" i="18"/>
  <c r="E439" i="18"/>
  <c r="E426" i="18"/>
  <c r="E179" i="18"/>
  <c r="E192" i="18"/>
  <c r="E205" i="18"/>
  <c r="E218" i="18"/>
  <c r="E232" i="18"/>
  <c r="E245" i="18"/>
  <c r="D16" i="22"/>
  <c r="D87" i="22"/>
  <c r="D31" i="22"/>
  <c r="E503" i="18"/>
  <c r="E490" i="18"/>
  <c r="E477" i="18"/>
  <c r="E464" i="18"/>
  <c r="E451" i="18"/>
  <c r="E438" i="18"/>
  <c r="E425" i="18"/>
  <c r="E180" i="18"/>
  <c r="E193" i="18"/>
  <c r="E206" i="18"/>
  <c r="E220" i="18"/>
  <c r="E233" i="18"/>
  <c r="E246" i="18"/>
  <c r="E32" i="20"/>
  <c r="Q32" i="20"/>
  <c r="D12" i="22"/>
  <c r="D15" i="22"/>
  <c r="D58" i="22"/>
  <c r="E181" i="18"/>
  <c r="D75" i="22"/>
  <c r="G40" i="39"/>
  <c r="O40" i="39"/>
  <c r="E235" i="18"/>
  <c r="E436" i="18"/>
  <c r="E489" i="18"/>
  <c r="D72" i="22"/>
  <c r="E234" i="18"/>
  <c r="E437" i="18"/>
  <c r="D46" i="22"/>
  <c r="E222" i="18"/>
  <c r="E449" i="18"/>
  <c r="F213" i="66"/>
  <c r="B2" i="22"/>
  <c r="G49" i="39"/>
  <c r="O55" i="39"/>
  <c r="D17" i="34"/>
  <c r="E17" i="34" s="1"/>
  <c r="O39" i="39"/>
  <c r="D46" i="35"/>
  <c r="A18" i="8"/>
  <c r="A4" i="53"/>
  <c r="D43" i="35"/>
  <c r="P22" i="39"/>
  <c r="Q22" i="39" s="1"/>
  <c r="X4" i="20"/>
  <c r="P3" i="18"/>
  <c r="B23" i="22"/>
  <c r="B68" i="22"/>
  <c r="B33" i="22"/>
  <c r="B43" i="22"/>
  <c r="B13" i="22"/>
  <c r="B8" i="22"/>
  <c r="B78" i="22"/>
  <c r="B3" i="22"/>
  <c r="B28" i="22"/>
  <c r="B88" i="22"/>
  <c r="B18" i="22"/>
  <c r="B38" i="22"/>
  <c r="B63" i="22"/>
  <c r="B73" i="22"/>
  <c r="B48" i="22"/>
  <c r="B83" i="22"/>
  <c r="B58" i="22"/>
  <c r="B53" i="22"/>
  <c r="O51" i="39"/>
  <c r="F63" i="66"/>
  <c r="F8" i="41"/>
  <c r="F96" i="66"/>
  <c r="F74" i="66"/>
  <c r="A19" i="8"/>
  <c r="C203" i="38"/>
  <c r="O44" i="39"/>
  <c r="F69" i="66"/>
  <c r="D72" i="35"/>
  <c r="D7" i="35"/>
  <c r="B76" i="22"/>
  <c r="B61" i="22"/>
  <c r="B16" i="22"/>
  <c r="B36" i="22"/>
  <c r="B41" i="22"/>
  <c r="B86" i="22"/>
  <c r="B51" i="22"/>
  <c r="O148" i="66"/>
  <c r="B7" i="22"/>
  <c r="B15" i="22"/>
  <c r="B25" i="22"/>
  <c r="B35" i="22"/>
  <c r="B90" i="22"/>
  <c r="I27" i="9"/>
  <c r="J27" i="9" s="1"/>
  <c r="I37" i="9"/>
  <c r="J37" i="9" s="1"/>
  <c r="B69" i="22"/>
  <c r="B59" i="22"/>
  <c r="B49" i="22"/>
  <c r="B79" i="22"/>
  <c r="B44" i="22"/>
  <c r="B19" i="22"/>
  <c r="B9" i="22"/>
  <c r="B52" i="22"/>
  <c r="B14" i="22"/>
  <c r="B70" i="22"/>
  <c r="B54" i="22"/>
  <c r="P21" i="39"/>
  <c r="Q21" i="39" s="1"/>
  <c r="O48" i="39"/>
  <c r="G48" i="39"/>
  <c r="B20" i="22"/>
  <c r="B89" i="22"/>
  <c r="B65" i="22"/>
  <c r="B24" i="22"/>
  <c r="B34" i="22"/>
  <c r="B60" i="22"/>
  <c r="B75" i="22"/>
  <c r="P26" i="39"/>
  <c r="Q26" i="39" s="1"/>
  <c r="O53" i="39"/>
  <c r="B77" i="22"/>
  <c r="B39" i="22"/>
  <c r="B4" i="22"/>
  <c r="B84" i="22"/>
  <c r="G55" i="39"/>
  <c r="C214" i="38"/>
  <c r="C229" i="38" s="1"/>
  <c r="C244" i="38" s="1"/>
  <c r="C259" i="38" s="1"/>
  <c r="P25" i="39"/>
  <c r="Q25" i="39" s="1"/>
  <c r="C206" i="38"/>
  <c r="C221" i="38" s="1"/>
  <c r="C236" i="38" s="1"/>
  <c r="C251" i="38" s="1"/>
  <c r="C266" i="38" s="1"/>
  <c r="G52" i="39"/>
  <c r="C209" i="38"/>
  <c r="C224" i="38" s="1"/>
  <c r="C239" i="38" s="1"/>
  <c r="G46" i="39"/>
  <c r="O46" i="39"/>
  <c r="O42" i="39"/>
  <c r="C210" i="38"/>
  <c r="C225" i="38" s="1"/>
  <c r="C240" i="38" s="1"/>
  <c r="C255" i="38" s="1"/>
  <c r="C270" i="38" s="1"/>
  <c r="A7" i="53"/>
  <c r="A13" i="53" s="1"/>
  <c r="A19" i="53" s="1"/>
  <c r="A25" i="53" s="1"/>
  <c r="A31" i="53" s="1"/>
  <c r="A37" i="53" s="1"/>
  <c r="C283" i="38"/>
  <c r="A20" i="8"/>
  <c r="Q5" i="20"/>
  <c r="D12" i="26"/>
  <c r="D125" i="35"/>
  <c r="D80" i="35"/>
  <c r="D47" i="38"/>
  <c r="D55" i="38"/>
  <c r="D86" i="38"/>
  <c r="D189" i="38"/>
  <c r="D97" i="38"/>
  <c r="C8" i="53"/>
  <c r="D143" i="38"/>
  <c r="D32" i="35"/>
  <c r="D40" i="35"/>
  <c r="D115" i="35"/>
  <c r="D158" i="35"/>
  <c r="D166" i="35"/>
  <c r="D75" i="35"/>
  <c r="D83" i="35"/>
  <c r="D116" i="35"/>
  <c r="D124" i="35"/>
  <c r="D159" i="35"/>
  <c r="D167" i="35"/>
  <c r="D21" i="26"/>
  <c r="D163" i="35"/>
  <c r="D79" i="35"/>
  <c r="D107" i="35"/>
  <c r="D106" i="35"/>
  <c r="D5" i="20"/>
  <c r="Q24" i="9"/>
  <c r="J5" i="20"/>
  <c r="D60" i="35"/>
  <c r="O24" i="9"/>
  <c r="A3" i="53"/>
  <c r="D162" i="35"/>
  <c r="D4" i="35"/>
  <c r="D12" i="35"/>
  <c r="D47" i="35"/>
  <c r="D55" i="35"/>
  <c r="D95" i="35"/>
  <c r="D130" i="35"/>
  <c r="D138" i="35"/>
  <c r="D131" i="35"/>
  <c r="D139" i="35"/>
  <c r="D8" i="35"/>
  <c r="D16" i="35"/>
  <c r="D121" i="35"/>
  <c r="D31" i="35"/>
  <c r="C279" i="38"/>
  <c r="D170" i="35"/>
  <c r="D76" i="35"/>
  <c r="D39" i="35"/>
  <c r="C8" i="17"/>
  <c r="D8" i="17" s="1"/>
  <c r="E8" i="17" s="1"/>
  <c r="D120" i="35"/>
  <c r="D84" i="35"/>
  <c r="T4" i="20"/>
  <c r="H21" i="26"/>
  <c r="D75" i="38"/>
  <c r="D121" i="38"/>
  <c r="D125" i="38"/>
  <c r="D133" i="38"/>
  <c r="N5" i="20"/>
  <c r="D128" i="35"/>
  <c r="E243" i="18"/>
  <c r="E231" i="18"/>
  <c r="E219" i="18"/>
  <c r="E207" i="18"/>
  <c r="E195" i="18"/>
  <c r="E183" i="18"/>
  <c r="E171" i="18"/>
  <c r="E433" i="18"/>
  <c r="E445" i="18"/>
  <c r="E457" i="18"/>
  <c r="E469" i="18"/>
  <c r="E481" i="18"/>
  <c r="E493" i="18"/>
  <c r="E505" i="18"/>
  <c r="T5" i="20"/>
  <c r="D36" i="35"/>
  <c r="O34" i="9"/>
  <c r="D117" i="35"/>
  <c r="D44" i="35"/>
  <c r="D21" i="17"/>
  <c r="C12" i="26"/>
  <c r="D16" i="38"/>
  <c r="D27" i="38"/>
  <c r="D65" i="38"/>
  <c r="D38" i="39"/>
  <c r="P4" i="20"/>
  <c r="D113" i="38"/>
  <c r="B42" i="22"/>
  <c r="B32" i="22"/>
  <c r="O50" i="39"/>
  <c r="G50" i="39"/>
  <c r="P23" i="39"/>
  <c r="Q23" i="39" s="1"/>
  <c r="B27" i="22"/>
  <c r="B10" i="22"/>
  <c r="B91" i="22"/>
  <c r="B17" i="22"/>
  <c r="B57" i="22"/>
  <c r="B40" i="22"/>
  <c r="G41" i="39"/>
  <c r="B11" i="22"/>
  <c r="B31" i="22"/>
  <c r="B56" i="22"/>
  <c r="B81" i="22"/>
  <c r="B66" i="22"/>
  <c r="B6" i="22"/>
  <c r="B21" i="22"/>
  <c r="B46" i="22"/>
  <c r="I39" i="9"/>
  <c r="B71" i="22"/>
  <c r="I29" i="9"/>
  <c r="G54" i="39"/>
  <c r="P27" i="39"/>
  <c r="Q27" i="39" s="1"/>
  <c r="O54" i="39"/>
  <c r="P20" i="39"/>
  <c r="Q20" i="39" s="1"/>
  <c r="O47" i="39"/>
  <c r="I35" i="9"/>
  <c r="B85" i="22"/>
  <c r="B26" i="22"/>
  <c r="B67" i="22"/>
  <c r="B47" i="22"/>
  <c r="O43" i="39"/>
  <c r="G43" i="39"/>
  <c r="B72" i="22"/>
  <c r="B37" i="22"/>
  <c r="B82" i="22"/>
  <c r="I28" i="9"/>
  <c r="B80" i="22"/>
  <c r="B45" i="22"/>
  <c r="B55" i="22"/>
  <c r="B5" i="22"/>
  <c r="B30" i="22"/>
  <c r="I38" i="9"/>
  <c r="B50" i="22"/>
  <c r="G51" i="39"/>
  <c r="G53" i="39"/>
  <c r="F240" i="66"/>
  <c r="F218" i="66"/>
  <c r="F207" i="66"/>
  <c r="C252" i="38"/>
  <c r="C276" i="38"/>
  <c r="C256" i="38"/>
  <c r="G45" i="39"/>
  <c r="C278" i="38"/>
  <c r="C290" i="38" s="1"/>
  <c r="C302" i="38" s="1"/>
  <c r="C314" i="38" s="1"/>
  <c r="C326" i="38" s="1"/>
  <c r="C338" i="38" s="1"/>
  <c r="A2" i="53"/>
  <c r="C273" i="38"/>
  <c r="A6" i="53"/>
  <c r="F107" i="35"/>
  <c r="D73" i="35"/>
  <c r="R34" i="9"/>
  <c r="K5" i="20"/>
  <c r="D77" i="35"/>
  <c r="D81" i="35"/>
  <c r="D85" i="35"/>
  <c r="D118" i="35"/>
  <c r="D122" i="35"/>
  <c r="D126" i="35"/>
  <c r="D160" i="35"/>
  <c r="D164" i="35"/>
  <c r="D168" i="35"/>
  <c r="D33" i="35"/>
  <c r="D37" i="35"/>
  <c r="D41" i="35"/>
  <c r="D157" i="35"/>
  <c r="R24" i="9"/>
  <c r="D74" i="35"/>
  <c r="D78" i="35"/>
  <c r="D82" i="35"/>
  <c r="D86" i="35"/>
  <c r="D119" i="35"/>
  <c r="D123" i="35"/>
  <c r="D127" i="35"/>
  <c r="D161" i="35"/>
  <c r="D165" i="35"/>
  <c r="D169" i="35"/>
  <c r="D34" i="35"/>
  <c r="D38" i="35"/>
  <c r="D42" i="35"/>
  <c r="D61" i="35"/>
  <c r="D65" i="35"/>
  <c r="D69" i="35"/>
  <c r="S5" i="20"/>
  <c r="D62" i="35"/>
  <c r="D66" i="35"/>
  <c r="D70" i="35"/>
  <c r="D101" i="35"/>
  <c r="Q34" i="9"/>
  <c r="D17" i="35"/>
  <c r="D21" i="35"/>
  <c r="D25" i="35"/>
  <c r="D29" i="35"/>
  <c r="D104" i="35"/>
  <c r="D108" i="35"/>
  <c r="D112" i="35"/>
  <c r="D145" i="35"/>
  <c r="D149" i="35"/>
  <c r="D153" i="35"/>
  <c r="D18" i="35"/>
  <c r="D22" i="35"/>
  <c r="D26" i="35"/>
  <c r="D30" i="35"/>
  <c r="D105" i="35"/>
  <c r="D109" i="35"/>
  <c r="D113" i="35"/>
  <c r="D146" i="35"/>
  <c r="D150" i="35"/>
  <c r="D154" i="35"/>
  <c r="N34" i="9"/>
  <c r="C7" i="17"/>
  <c r="D7" i="17" s="1"/>
  <c r="E7" i="17" s="1"/>
  <c r="D148" i="35"/>
  <c r="D71" i="35"/>
  <c r="D24" i="35"/>
  <c r="I26" i="9"/>
  <c r="I36" i="9"/>
  <c r="D111" i="35"/>
  <c r="I5" i="20"/>
  <c r="D88" i="35"/>
  <c r="D92" i="35"/>
  <c r="D96" i="35"/>
  <c r="D100" i="35"/>
  <c r="D132" i="35"/>
  <c r="D136" i="35"/>
  <c r="D140" i="35"/>
  <c r="D89" i="35"/>
  <c r="D93" i="35"/>
  <c r="D97" i="35"/>
  <c r="D133" i="35"/>
  <c r="D137" i="35"/>
  <c r="D141" i="35"/>
  <c r="P24" i="9"/>
  <c r="P34" i="9"/>
  <c r="D5" i="35"/>
  <c r="D9" i="35"/>
  <c r="D13" i="35"/>
  <c r="D45" i="35"/>
  <c r="D48" i="35"/>
  <c r="D52" i="35"/>
  <c r="D56" i="35"/>
  <c r="D3" i="35"/>
  <c r="D6" i="35"/>
  <c r="D10" i="35"/>
  <c r="D14" i="35"/>
  <c r="D49" i="35"/>
  <c r="D53" i="35"/>
  <c r="D57" i="35"/>
  <c r="D147" i="35"/>
  <c r="D64" i="35"/>
  <c r="D23" i="35"/>
  <c r="N24" i="9"/>
  <c r="D110" i="35"/>
  <c r="D152" i="35"/>
  <c r="D63" i="35"/>
  <c r="D28" i="35"/>
  <c r="E21" i="17"/>
  <c r="I2" i="35"/>
  <c r="S4" i="20"/>
  <c r="J4" i="20"/>
  <c r="K4" i="20"/>
  <c r="D2" i="9"/>
  <c r="D5" i="9" s="1"/>
  <c r="F7" i="35"/>
  <c r="D103" i="35"/>
  <c r="D151" i="35"/>
  <c r="D143" i="35"/>
  <c r="D68" i="35"/>
  <c r="D27" i="35"/>
  <c r="D114" i="35"/>
  <c r="D102" i="35"/>
  <c r="D59" i="35"/>
  <c r="M23" i="9"/>
  <c r="O23" i="9"/>
  <c r="D156" i="35"/>
  <c r="D144" i="35"/>
  <c r="D67" i="35"/>
  <c r="D20" i="35"/>
  <c r="C21" i="26"/>
  <c r="C21" i="17"/>
  <c r="E188" i="72" l="1"/>
  <c r="E281" i="72"/>
  <c r="E250" i="72"/>
  <c r="E126" i="72"/>
  <c r="X3" i="20"/>
  <c r="E2" i="72"/>
  <c r="E95" i="72"/>
  <c r="E157" i="72"/>
  <c r="E33" i="72"/>
  <c r="C6" i="17"/>
  <c r="D6" i="17" s="1"/>
  <c r="E6" i="17" s="1"/>
  <c r="E64" i="72"/>
  <c r="E219" i="72"/>
  <c r="H40" i="37"/>
  <c r="H41" i="37"/>
  <c r="H39" i="37"/>
  <c r="H42" i="37"/>
  <c r="C133" i="66"/>
  <c r="O133" i="66" s="1"/>
  <c r="U133" i="66" s="1"/>
  <c r="C229" i="66"/>
  <c r="O229" i="66" s="1"/>
  <c r="U229" i="66" s="1"/>
  <c r="C37" i="66"/>
  <c r="O37" i="66" s="1"/>
  <c r="U37" i="66" s="1"/>
  <c r="C85" i="66"/>
  <c r="O85" i="66" s="1"/>
  <c r="U85" i="66" s="1"/>
  <c r="C181" i="66"/>
  <c r="O181" i="66" s="1"/>
  <c r="U181" i="66" s="1"/>
  <c r="C285" i="38"/>
  <c r="C297" i="38" s="1"/>
  <c r="C309" i="38" s="1"/>
  <c r="C321" i="38" s="1"/>
  <c r="C333" i="38" s="1"/>
  <c r="C345" i="38" s="1"/>
  <c r="C291" i="38"/>
  <c r="C303" i="38" s="1"/>
  <c r="C315" i="38" s="1"/>
  <c r="C327" i="38" s="1"/>
  <c r="C339" i="38" s="1"/>
  <c r="C289" i="38"/>
  <c r="C301" i="38" s="1"/>
  <c r="C313" i="38" s="1"/>
  <c r="C325" i="38" s="1"/>
  <c r="C337" i="38" s="1"/>
  <c r="C349" i="38" s="1"/>
  <c r="C295" i="38"/>
  <c r="C307" i="38" s="1"/>
  <c r="C319" i="38" s="1"/>
  <c r="C331" i="38" s="1"/>
  <c r="C343" i="38" s="1"/>
  <c r="H6" i="37"/>
  <c r="I6" i="37"/>
  <c r="J6" i="37"/>
  <c r="J7" i="37"/>
  <c r="I7" i="37"/>
  <c r="H7" i="37"/>
  <c r="I3" i="37"/>
  <c r="H10" i="37"/>
  <c r="J3" i="37"/>
  <c r="I10" i="37"/>
  <c r="H3" i="37"/>
  <c r="J10" i="37"/>
  <c r="H9" i="37"/>
  <c r="J9" i="37"/>
  <c r="I9" i="37"/>
  <c r="J8" i="37"/>
  <c r="I8" i="37"/>
  <c r="H8" i="37"/>
  <c r="J5" i="37"/>
  <c r="I5" i="37"/>
  <c r="H5" i="37"/>
  <c r="E22" i="17"/>
  <c r="C99" i="66"/>
  <c r="O99" i="66" s="1"/>
  <c r="U99" i="66" s="1"/>
  <c r="C103" i="66"/>
  <c r="O103" i="66" s="1"/>
  <c r="U103" i="66" s="1"/>
  <c r="H246" i="66"/>
  <c r="B31" i="6"/>
  <c r="B12" i="6"/>
  <c r="D31" i="6"/>
  <c r="C31" i="6"/>
  <c r="C12" i="6"/>
  <c r="F266" i="66"/>
  <c r="F255" i="66"/>
  <c r="F261" i="66"/>
  <c r="F170" i="66"/>
  <c r="F26" i="66"/>
  <c r="C218" i="38"/>
  <c r="C233" i="38" s="1"/>
  <c r="C248" i="38" s="1"/>
  <c r="C263" i="38" s="1"/>
  <c r="A10" i="53"/>
  <c r="A16" i="53" s="1"/>
  <c r="A9" i="53"/>
  <c r="A15" i="53" s="1"/>
  <c r="H257" i="66"/>
  <c r="C257" i="66"/>
  <c r="O257" i="66" s="1"/>
  <c r="U257" i="66" s="1"/>
  <c r="H270" i="66"/>
  <c r="C270" i="66"/>
  <c r="O270" i="66" s="1"/>
  <c r="U270" i="66" s="1"/>
  <c r="H279" i="66"/>
  <c r="C279" i="66"/>
  <c r="O279" i="66" s="1"/>
  <c r="H120" i="66"/>
  <c r="C120" i="66"/>
  <c r="O120" i="66" s="1"/>
  <c r="H112" i="66"/>
  <c r="C112" i="66"/>
  <c r="H267" i="66"/>
  <c r="C267" i="66"/>
  <c r="H258" i="66"/>
  <c r="C258" i="66"/>
  <c r="O258" i="66" s="1"/>
  <c r="U258" i="66" s="1"/>
  <c r="H118" i="66"/>
  <c r="C118" i="66"/>
  <c r="H104" i="66"/>
  <c r="C104" i="66"/>
  <c r="H261" i="66"/>
  <c r="C261" i="66"/>
  <c r="O261" i="66" s="1"/>
  <c r="U261" i="66" s="1"/>
  <c r="H114" i="66"/>
  <c r="C114" i="66"/>
  <c r="O114" i="66" s="1"/>
  <c r="U114" i="66" s="1"/>
  <c r="H282" i="66"/>
  <c r="C282" i="66"/>
  <c r="O282" i="66" s="1"/>
  <c r="U282" i="66" s="1"/>
  <c r="H274" i="66"/>
  <c r="C274" i="66"/>
  <c r="H288" i="66"/>
  <c r="C288" i="66"/>
  <c r="H122" i="66"/>
  <c r="C122" i="66"/>
  <c r="O122" i="66" s="1"/>
  <c r="U122" i="66" s="1"/>
  <c r="H277" i="66"/>
  <c r="C277" i="66"/>
  <c r="O277" i="66" s="1"/>
  <c r="U277" i="66" s="1"/>
  <c r="H140" i="66"/>
  <c r="C140" i="66"/>
  <c r="H284" i="66"/>
  <c r="C284" i="66"/>
  <c r="H278" i="66"/>
  <c r="C278" i="66"/>
  <c r="O278" i="66" s="1"/>
  <c r="H135" i="66"/>
  <c r="C135" i="66"/>
  <c r="O135" i="66" s="1"/>
  <c r="H142" i="66"/>
  <c r="C142" i="66"/>
  <c r="O142" i="66" s="1"/>
  <c r="U142" i="66" s="1"/>
  <c r="H262" i="66"/>
  <c r="C262" i="66"/>
  <c r="H290" i="66"/>
  <c r="C290" i="66"/>
  <c r="O290" i="66" s="1"/>
  <c r="U290" i="66" s="1"/>
  <c r="H144" i="66"/>
  <c r="C144" i="66"/>
  <c r="H128" i="66"/>
  <c r="C128" i="66"/>
  <c r="O128" i="66" s="1"/>
  <c r="U128" i="66" s="1"/>
  <c r="H269" i="66"/>
  <c r="C269" i="66"/>
  <c r="H126" i="66"/>
  <c r="C126" i="66"/>
  <c r="O126" i="66" s="1"/>
  <c r="U126" i="66" s="1"/>
  <c r="H137" i="66"/>
  <c r="C137" i="66"/>
  <c r="H110" i="66"/>
  <c r="C110" i="66"/>
  <c r="O110" i="66" s="1"/>
  <c r="U110" i="66" s="1"/>
  <c r="H247" i="66"/>
  <c r="C247" i="66"/>
  <c r="O247" i="66" s="1"/>
  <c r="U247" i="66" s="1"/>
  <c r="H134" i="66"/>
  <c r="C134" i="66"/>
  <c r="O134" i="66" s="1"/>
  <c r="H273" i="66"/>
  <c r="C273" i="66"/>
  <c r="O273" i="66" s="1"/>
  <c r="U273" i="66" s="1"/>
  <c r="H264" i="66"/>
  <c r="C264" i="66"/>
  <c r="O264" i="66" s="1"/>
  <c r="H111" i="66"/>
  <c r="C111" i="66"/>
  <c r="H254" i="66"/>
  <c r="C254" i="66"/>
  <c r="O254" i="66" s="1"/>
  <c r="U254" i="66" s="1"/>
  <c r="H109" i="66"/>
  <c r="C109" i="66"/>
  <c r="O109" i="66" s="1"/>
  <c r="U109" i="66" s="1"/>
  <c r="H263" i="66"/>
  <c r="C263" i="66"/>
  <c r="O263" i="66" s="1"/>
  <c r="U263" i="66" s="1"/>
  <c r="H253" i="66"/>
  <c r="C253" i="66"/>
  <c r="O253" i="66" s="1"/>
  <c r="U253" i="66" s="1"/>
  <c r="H265" i="66"/>
  <c r="C265" i="66"/>
  <c r="H281" i="66"/>
  <c r="C281" i="66"/>
  <c r="H251" i="66"/>
  <c r="C251" i="66"/>
  <c r="H285" i="66"/>
  <c r="C285" i="66"/>
  <c r="H123" i="66"/>
  <c r="C123" i="66"/>
  <c r="H283" i="66"/>
  <c r="C283" i="66"/>
  <c r="O283" i="66" s="1"/>
  <c r="U283" i="66" s="1"/>
  <c r="H107" i="66"/>
  <c r="C107" i="66"/>
  <c r="H141" i="66"/>
  <c r="C141" i="66"/>
  <c r="H287" i="66"/>
  <c r="C287" i="66"/>
  <c r="H106" i="66"/>
  <c r="C106" i="66"/>
  <c r="O106" i="66" s="1"/>
  <c r="U106" i="66" s="1"/>
  <c r="H289" i="66"/>
  <c r="C289" i="66"/>
  <c r="H146" i="66"/>
  <c r="C146" i="66"/>
  <c r="O146" i="66" s="1"/>
  <c r="U146" i="66" s="1"/>
  <c r="H245" i="66"/>
  <c r="C245" i="66"/>
  <c r="H117" i="66"/>
  <c r="C117" i="66"/>
  <c r="O117" i="66" s="1"/>
  <c r="U117" i="66" s="1"/>
  <c r="H127" i="66"/>
  <c r="C127" i="66"/>
  <c r="F144" i="66"/>
  <c r="F122" i="66"/>
  <c r="F288" i="66"/>
  <c r="J7" i="9"/>
  <c r="E20" i="38"/>
  <c r="D53" i="39"/>
  <c r="E117" i="38" s="1"/>
  <c r="L53" i="39"/>
  <c r="E168" i="38" s="1"/>
  <c r="E16" i="38"/>
  <c r="E33" i="38"/>
  <c r="E4" i="22"/>
  <c r="C22" i="26"/>
  <c r="M53" i="39"/>
  <c r="E185" i="38" s="1"/>
  <c r="E53" i="39"/>
  <c r="E134" i="38" s="1"/>
  <c r="D12" i="6"/>
  <c r="E53" i="38"/>
  <c r="E78" i="38"/>
  <c r="E83" i="38"/>
  <c r="E80" i="38"/>
  <c r="F165" i="66"/>
  <c r="F48" i="66"/>
  <c r="F21" i="66"/>
  <c r="F159" i="66"/>
  <c r="F192" i="66"/>
  <c r="F15" i="66"/>
  <c r="F111" i="66"/>
  <c r="G189" i="35"/>
  <c r="G190" i="35"/>
  <c r="G196" i="35"/>
  <c r="G193" i="35"/>
  <c r="G188" i="35"/>
  <c r="G198" i="35"/>
  <c r="G195" i="35"/>
  <c r="G205" i="35"/>
  <c r="G186" i="35"/>
  <c r="G187" i="35"/>
  <c r="G194" i="35"/>
  <c r="G197" i="35"/>
  <c r="G199" i="35"/>
  <c r="G202" i="35"/>
  <c r="G203" i="35"/>
  <c r="G204" i="35"/>
  <c r="G191" i="35"/>
  <c r="G200" i="35"/>
  <c r="U187" i="66"/>
  <c r="U177" i="66"/>
  <c r="E151" i="38"/>
  <c r="E77" i="38"/>
  <c r="E57" i="38"/>
  <c r="E22" i="38"/>
  <c r="E43" i="38"/>
  <c r="E32" i="38"/>
  <c r="E26" i="38"/>
  <c r="E15" i="38"/>
  <c r="E68" i="38"/>
  <c r="E41" i="38"/>
  <c r="E28" i="38"/>
  <c r="E84" i="38"/>
  <c r="E71" i="38"/>
  <c r="E59" i="38"/>
  <c r="E66" i="38"/>
  <c r="E64" i="38"/>
  <c r="E74" i="38"/>
  <c r="E67" i="38"/>
  <c r="E38" i="38"/>
  <c r="E36" i="38"/>
  <c r="E29" i="38"/>
  <c r="E25" i="38"/>
  <c r="E75" i="38"/>
  <c r="E46" i="38"/>
  <c r="E6" i="38"/>
  <c r="E3" i="38"/>
  <c r="E49" i="38"/>
  <c r="E37" i="38"/>
  <c r="E47" i="38"/>
  <c r="E76" i="38"/>
  <c r="E79" i="38"/>
  <c r="E85" i="38"/>
  <c r="E56" i="38"/>
  <c r="E63" i="38"/>
  <c r="E54" i="38"/>
  <c r="U176" i="66"/>
  <c r="E48" i="38"/>
  <c r="E44" i="38"/>
  <c r="E5" i="38"/>
  <c r="E14" i="38"/>
  <c r="E10" i="38"/>
  <c r="E7" i="38"/>
  <c r="U147" i="66"/>
  <c r="U194" i="66"/>
  <c r="E51" i="38"/>
  <c r="E13" i="38"/>
  <c r="E2" i="38"/>
  <c r="E12" i="38"/>
  <c r="E11" i="38"/>
  <c r="E45" i="38"/>
  <c r="E8" i="38"/>
  <c r="E9" i="38"/>
  <c r="E100" i="38"/>
  <c r="G201" i="35"/>
  <c r="E69" i="38"/>
  <c r="E62" i="38"/>
  <c r="U190" i="66"/>
  <c r="E50" i="38"/>
  <c r="U76" i="66"/>
  <c r="U129" i="66"/>
  <c r="U157" i="66"/>
  <c r="U272" i="66"/>
  <c r="U156" i="66"/>
  <c r="U60" i="66"/>
  <c r="U218" i="66"/>
  <c r="U195" i="66"/>
  <c r="U28" i="66"/>
  <c r="U113" i="66"/>
  <c r="U50" i="66"/>
  <c r="G53" i="20"/>
  <c r="U26" i="66"/>
  <c r="U206" i="66"/>
  <c r="U17" i="66"/>
  <c r="U158" i="66"/>
  <c r="U13" i="66"/>
  <c r="U74" i="66"/>
  <c r="U165" i="66"/>
  <c r="U21" i="66"/>
  <c r="U252" i="66"/>
  <c r="U80" i="66"/>
  <c r="U224" i="66"/>
  <c r="U62" i="66"/>
  <c r="U199" i="66"/>
  <c r="U61" i="66"/>
  <c r="U220" i="66"/>
  <c r="U154" i="66"/>
  <c r="U243" i="66"/>
  <c r="U242" i="66"/>
  <c r="U42" i="66"/>
  <c r="U213" i="66"/>
  <c r="U139" i="66"/>
  <c r="U186" i="66"/>
  <c r="U46" i="66"/>
  <c r="U58" i="66"/>
  <c r="U10" i="66"/>
  <c r="U18" i="66"/>
  <c r="U202" i="66"/>
  <c r="U14" i="66"/>
  <c r="U32" i="66"/>
  <c r="U7" i="66"/>
  <c r="U204" i="66"/>
  <c r="U205" i="66"/>
  <c r="U3" i="66"/>
  <c r="U91" i="66"/>
  <c r="U234" i="66"/>
  <c r="U23" i="66"/>
  <c r="U286" i="66"/>
  <c r="U30" i="66"/>
  <c r="U71" i="66"/>
  <c r="U172" i="66"/>
  <c r="U250" i="66"/>
  <c r="U170" i="66"/>
  <c r="U78" i="66"/>
  <c r="U209" i="66"/>
  <c r="U90" i="66"/>
  <c r="U162" i="66"/>
  <c r="U266" i="66"/>
  <c r="U174" i="66"/>
  <c r="U161" i="66"/>
  <c r="U69" i="66"/>
  <c r="U12" i="66"/>
  <c r="U268" i="66"/>
  <c r="U119" i="66"/>
  <c r="U138" i="66"/>
  <c r="U33" i="66"/>
  <c r="U65" i="66"/>
  <c r="U94" i="66"/>
  <c r="U98" i="66"/>
  <c r="U43" i="66"/>
  <c r="U81" i="66"/>
  <c r="U66" i="66"/>
  <c r="U167" i="66"/>
  <c r="U124" i="66"/>
  <c r="C208" i="38"/>
  <c r="C215" i="38"/>
  <c r="H10" i="58"/>
  <c r="I10" i="58"/>
  <c r="C267" i="38"/>
  <c r="J10" i="58"/>
  <c r="J29" i="9"/>
  <c r="F22" i="26"/>
  <c r="E49" i="22"/>
  <c r="G52" i="20"/>
  <c r="G51" i="20"/>
  <c r="D51" i="20" s="1"/>
  <c r="C205" i="38"/>
  <c r="C284" i="38"/>
  <c r="C296" i="38" s="1"/>
  <c r="C308" i="38" s="1"/>
  <c r="C320" i="38" s="1"/>
  <c r="C332" i="38" s="1"/>
  <c r="C344" i="38" s="1"/>
  <c r="U55" i="66"/>
  <c r="A23" i="53"/>
  <c r="J39" i="9"/>
  <c r="A12" i="53"/>
  <c r="C274" i="38"/>
  <c r="U51" i="66"/>
  <c r="C271" i="38"/>
  <c r="E2" i="22"/>
  <c r="C254" i="38"/>
  <c r="A8" i="53"/>
  <c r="J35" i="9"/>
  <c r="J5" i="9" s="1"/>
  <c r="D24" i="20" l="1"/>
  <c r="H15" i="37"/>
  <c r="H17" i="37"/>
  <c r="H16" i="37"/>
  <c r="H18" i="37"/>
  <c r="H61" i="37"/>
  <c r="H60" i="37"/>
  <c r="H62" i="37"/>
  <c r="H59" i="37"/>
  <c r="H91" i="37"/>
  <c r="H93" i="37"/>
  <c r="H92" i="37"/>
  <c r="H94" i="37"/>
  <c r="H52" i="37"/>
  <c r="H53" i="37"/>
  <c r="H51" i="37"/>
  <c r="H54" i="37"/>
  <c r="H37" i="37"/>
  <c r="H35" i="37"/>
  <c r="H36" i="37"/>
  <c r="H38" i="37"/>
  <c r="H71" i="37"/>
  <c r="H73" i="37"/>
  <c r="H72" i="37"/>
  <c r="H74" i="37"/>
  <c r="H89" i="37"/>
  <c r="H88" i="37"/>
  <c r="H87" i="37"/>
  <c r="H90" i="37"/>
  <c r="H45" i="37"/>
  <c r="H43" i="37"/>
  <c r="H46" i="37"/>
  <c r="H44" i="37"/>
  <c r="H63" i="37"/>
  <c r="H64" i="37"/>
  <c r="H65" i="37"/>
  <c r="H66" i="37"/>
  <c r="H24" i="37"/>
  <c r="H25" i="37"/>
  <c r="H23" i="37"/>
  <c r="H26" i="37"/>
  <c r="H85" i="37"/>
  <c r="H86" i="37"/>
  <c r="H83" i="37"/>
  <c r="H84" i="37"/>
  <c r="H55" i="37"/>
  <c r="H58" i="37"/>
  <c r="H57" i="37"/>
  <c r="H56" i="37"/>
  <c r="H77" i="37"/>
  <c r="H76" i="37"/>
  <c r="H78" i="37"/>
  <c r="H75" i="37"/>
  <c r="H79" i="37"/>
  <c r="H82" i="37"/>
  <c r="H81" i="37"/>
  <c r="H80" i="37"/>
  <c r="H31" i="37"/>
  <c r="H33" i="37"/>
  <c r="H32" i="37"/>
  <c r="H34" i="37"/>
  <c r="H67" i="37"/>
  <c r="H69" i="37"/>
  <c r="H70" i="37"/>
  <c r="H68" i="37"/>
  <c r="H29" i="37"/>
  <c r="H28" i="37"/>
  <c r="H30" i="37"/>
  <c r="H27" i="37"/>
  <c r="H48" i="37"/>
  <c r="H47" i="37"/>
  <c r="H50" i="37"/>
  <c r="H49" i="37"/>
  <c r="H21" i="37"/>
  <c r="H19" i="37"/>
  <c r="H20" i="37"/>
  <c r="H22" i="37"/>
  <c r="G22" i="26"/>
  <c r="H22" i="26" s="1"/>
  <c r="D22" i="26"/>
  <c r="E22" i="26" s="1"/>
  <c r="E73" i="38"/>
  <c r="E72" i="38"/>
  <c r="E61" i="38"/>
  <c r="E55" i="38"/>
  <c r="E65" i="38"/>
  <c r="E82" i="38"/>
  <c r="E52" i="38"/>
  <c r="E58" i="38"/>
  <c r="E39" i="38"/>
  <c r="E40" i="38"/>
  <c r="E34" i="38"/>
  <c r="E35" i="38"/>
  <c r="E31" i="38"/>
  <c r="E27" i="38"/>
  <c r="J9" i="9"/>
  <c r="E18" i="38"/>
  <c r="E81" i="38"/>
  <c r="E21" i="38"/>
  <c r="E60" i="38"/>
  <c r="E70" i="38"/>
  <c r="E24" i="38"/>
  <c r="E30" i="38"/>
  <c r="E42" i="38"/>
  <c r="E23" i="38"/>
  <c r="E4" i="38"/>
  <c r="E17" i="38"/>
  <c r="E19" i="38"/>
  <c r="G185" i="35"/>
  <c r="H14" i="37" s="1"/>
  <c r="B49" i="26"/>
  <c r="H10" i="41"/>
  <c r="D53" i="20"/>
  <c r="P34" i="18"/>
  <c r="G26" i="20"/>
  <c r="D26" i="20"/>
  <c r="P7" i="18" s="1"/>
  <c r="E47" i="22"/>
  <c r="C269" i="38"/>
  <c r="D52" i="20"/>
  <c r="P24" i="18" s="1"/>
  <c r="P33" i="18"/>
  <c r="A14" i="53"/>
  <c r="A21" i="53"/>
  <c r="E51" i="22"/>
  <c r="P23" i="18"/>
  <c r="P32" i="18"/>
  <c r="A18" i="53"/>
  <c r="G24" i="20"/>
  <c r="A29" i="53"/>
  <c r="D25" i="20"/>
  <c r="G25" i="20"/>
  <c r="E49" i="26"/>
  <c r="G206" i="35"/>
  <c r="H14" i="58" s="1"/>
  <c r="C220" i="38"/>
  <c r="E6" i="22"/>
  <c r="A22" i="53"/>
  <c r="C230" i="38"/>
  <c r="I10" i="41"/>
  <c r="C223" i="38"/>
  <c r="J10" i="41"/>
  <c r="H14" i="41" l="1"/>
  <c r="AL126" i="72"/>
  <c r="C49" i="26"/>
  <c r="H185" i="35"/>
  <c r="I14" i="37" s="1"/>
  <c r="H49" i="26"/>
  <c r="D29" i="53"/>
  <c r="D5" i="53"/>
  <c r="D17" i="53"/>
  <c r="D15" i="53"/>
  <c r="D4" i="53"/>
  <c r="D3" i="53"/>
  <c r="D16" i="53"/>
  <c r="P16" i="18"/>
  <c r="Y8" i="20"/>
  <c r="E26" i="20"/>
  <c r="P10" i="18" s="1"/>
  <c r="H26" i="20"/>
  <c r="H53" i="20"/>
  <c r="Y5" i="20"/>
  <c r="P25" i="18"/>
  <c r="A35" i="53"/>
  <c r="Y7" i="20"/>
  <c r="P15" i="18"/>
  <c r="Y4" i="20"/>
  <c r="P6" i="18"/>
  <c r="H24" i="20"/>
  <c r="E24" i="20"/>
  <c r="H51" i="20"/>
  <c r="C235" i="38"/>
  <c r="C245" i="38"/>
  <c r="H25" i="20"/>
  <c r="E25" i="20"/>
  <c r="H52" i="20"/>
  <c r="H206" i="35"/>
  <c r="I14" i="58" s="1"/>
  <c r="F49" i="26"/>
  <c r="D49" i="26"/>
  <c r="I185" i="35"/>
  <c r="J14" i="37" s="1"/>
  <c r="A28" i="53"/>
  <c r="D28" i="53" s="1"/>
  <c r="Y3" i="20"/>
  <c r="P5" i="18"/>
  <c r="Y6" i="20"/>
  <c r="P14" i="18"/>
  <c r="A24" i="53"/>
  <c r="A20" i="53"/>
  <c r="C238" i="38"/>
  <c r="A27" i="53"/>
  <c r="D27" i="53" s="1"/>
  <c r="I14" i="41" l="1"/>
  <c r="I49" i="26"/>
  <c r="E53" i="20"/>
  <c r="P37" i="18"/>
  <c r="Z8" i="20"/>
  <c r="P19" i="18"/>
  <c r="A26" i="53"/>
  <c r="C253" i="38"/>
  <c r="A33" i="53"/>
  <c r="A30" i="53"/>
  <c r="C260" i="38"/>
  <c r="P9" i="18"/>
  <c r="P8" i="18"/>
  <c r="Z7" i="20"/>
  <c r="P18" i="18"/>
  <c r="Z6" i="20"/>
  <c r="P17" i="18"/>
  <c r="A34" i="53"/>
  <c r="C250" i="38"/>
  <c r="G49" i="26"/>
  <c r="J49" i="26" s="1"/>
  <c r="I206" i="35"/>
  <c r="J14" i="58" s="1"/>
  <c r="J14" i="41" s="1"/>
  <c r="E52" i="20"/>
  <c r="P27" i="18" s="1"/>
  <c r="P36" i="18"/>
  <c r="E51" i="20"/>
  <c r="P35" i="18"/>
  <c r="Z5" i="20" l="1"/>
  <c r="P28" i="18"/>
  <c r="P26" i="18"/>
  <c r="Z3" i="20"/>
  <c r="Z4" i="20"/>
  <c r="C265" i="38"/>
  <c r="C268" i="38"/>
  <c r="A32" i="53"/>
  <c r="A36" i="53"/>
  <c r="C275" i="38"/>
  <c r="L16" i="66" s="1"/>
  <c r="D10" i="53" l="1"/>
  <c r="D11" i="53"/>
  <c r="D34" i="53"/>
  <c r="D9" i="53"/>
  <c r="D23" i="53"/>
  <c r="D22" i="53"/>
  <c r="D35" i="53"/>
  <c r="D33" i="53"/>
  <c r="D21" i="53"/>
  <c r="M204" i="66" l="1"/>
  <c r="M56" i="66"/>
  <c r="M272" i="66"/>
  <c r="M143" i="66"/>
  <c r="M59" i="66"/>
  <c r="M93" i="66"/>
  <c r="M210" i="66"/>
  <c r="M92" i="66"/>
  <c r="M75" i="66"/>
  <c r="M238" i="66"/>
  <c r="M63" i="66"/>
  <c r="M78" i="66"/>
  <c r="M70" i="66"/>
  <c r="M125" i="66"/>
  <c r="M195" i="66"/>
  <c r="M201" i="66"/>
  <c r="M62" i="66"/>
  <c r="M270" i="66"/>
  <c r="M66" i="66"/>
  <c r="M222" i="66"/>
  <c r="M203" i="66"/>
  <c r="M236" i="66"/>
  <c r="M200" i="66"/>
  <c r="M94" i="66"/>
  <c r="M80" i="66"/>
  <c r="M135" i="66"/>
  <c r="M51" i="66"/>
  <c r="M60" i="66"/>
  <c r="M55" i="66"/>
  <c r="M224" i="66"/>
  <c r="M264" i="66"/>
  <c r="M100" i="66"/>
  <c r="M74" i="66"/>
  <c r="M206" i="66"/>
  <c r="M207" i="66"/>
  <c r="M240" i="66"/>
  <c r="M243" i="66"/>
  <c r="M282" i="66"/>
  <c r="M215" i="66"/>
  <c r="M218" i="66"/>
  <c r="M81" i="66"/>
  <c r="M85" i="66"/>
  <c r="M129" i="66"/>
  <c r="M234" i="66"/>
  <c r="M199" i="66"/>
  <c r="M229" i="66"/>
  <c r="M121" i="66"/>
  <c r="M237" i="66"/>
  <c r="M198" i="66"/>
  <c r="M113" i="66"/>
  <c r="M268" i="66"/>
  <c r="M90" i="66"/>
  <c r="M109" i="66"/>
  <c r="M139" i="66"/>
  <c r="M219" i="66"/>
  <c r="M286" i="66"/>
  <c r="M96" i="66"/>
  <c r="M117" i="66"/>
  <c r="M71" i="66"/>
  <c r="M61" i="66"/>
  <c r="M57" i="66"/>
  <c r="M214" i="66"/>
  <c r="M225" i="66"/>
  <c r="M54" i="66"/>
  <c r="M252" i="66"/>
  <c r="M205" i="66"/>
  <c r="M26" i="66"/>
  <c r="M159" i="66"/>
  <c r="M152" i="66"/>
  <c r="M168" i="66"/>
  <c r="M161" i="66"/>
  <c r="M24" i="66"/>
  <c r="M137" i="66"/>
  <c r="M13" i="66"/>
  <c r="M36" i="66"/>
  <c r="M21" i="66"/>
  <c r="M43" i="66"/>
  <c r="M287" i="66"/>
  <c r="M151" i="66"/>
  <c r="M265" i="66"/>
  <c r="M126" i="66"/>
  <c r="M119" i="66"/>
  <c r="M276" i="66"/>
  <c r="M9" i="66"/>
  <c r="M17" i="66"/>
  <c r="M105" i="66"/>
  <c r="M176" i="66"/>
  <c r="M150" i="66"/>
  <c r="M283" i="66"/>
  <c r="M102" i="66"/>
  <c r="M248" i="66"/>
  <c r="M246" i="66"/>
  <c r="M175" i="66"/>
  <c r="M249" i="66"/>
  <c r="M177" i="66"/>
  <c r="M138" i="66"/>
  <c r="M158" i="66"/>
  <c r="M14" i="66"/>
  <c r="M123" i="66"/>
  <c r="M227" i="66"/>
  <c r="M127" i="66"/>
  <c r="M190" i="66"/>
  <c r="M42" i="66"/>
  <c r="M228" i="66"/>
  <c r="M22" i="66"/>
  <c r="M247" i="66"/>
  <c r="M191" i="66"/>
  <c r="M128" i="66"/>
  <c r="M144" i="66"/>
  <c r="M18" i="66"/>
  <c r="M10" i="66"/>
  <c r="M281" i="66"/>
  <c r="M35" i="66"/>
  <c r="M39" i="66"/>
  <c r="M131" i="66"/>
  <c r="M114" i="66"/>
  <c r="M30" i="66"/>
  <c r="M185" i="66"/>
  <c r="M254" i="66"/>
  <c r="M124" i="66"/>
  <c r="M133" i="66"/>
  <c r="M253" i="66"/>
  <c r="M132" i="66"/>
  <c r="M111" i="66"/>
  <c r="M11" i="66"/>
  <c r="M186" i="66"/>
  <c r="M46" i="66"/>
  <c r="M3" i="66"/>
  <c r="M288" i="66"/>
  <c r="M106" i="66"/>
  <c r="M120" i="66"/>
  <c r="M172" i="66"/>
  <c r="M167" i="66"/>
  <c r="M23" i="66"/>
  <c r="M45" i="66"/>
  <c r="M157" i="66"/>
  <c r="M8" i="66"/>
  <c r="M250" i="66"/>
  <c r="M188" i="66"/>
  <c r="M4" i="66"/>
  <c r="M180" i="66"/>
  <c r="M257" i="66"/>
  <c r="M141" i="66"/>
  <c r="M192" i="66"/>
  <c r="M83" i="66"/>
  <c r="M148" i="66"/>
  <c r="M154" i="66"/>
  <c r="M47" i="66"/>
  <c r="M279" i="66"/>
  <c r="M104" i="66"/>
  <c r="M284" i="66"/>
  <c r="M84" i="66"/>
  <c r="M41" i="66"/>
  <c r="M258" i="66"/>
  <c r="M28" i="66"/>
  <c r="M44" i="66"/>
  <c r="M33" i="66"/>
  <c r="M173" i="66"/>
  <c r="M147" i="66"/>
  <c r="M162" i="66"/>
  <c r="M181" i="66"/>
  <c r="M103" i="66"/>
  <c r="M171" i="66"/>
  <c r="M12" i="66"/>
  <c r="M110" i="66"/>
  <c r="M251" i="66"/>
  <c r="M37" i="66"/>
  <c r="M273" i="66"/>
  <c r="M32" i="66"/>
  <c r="M244" i="66"/>
  <c r="M29" i="66"/>
  <c r="M48" i="66"/>
  <c r="M174" i="66"/>
  <c r="M6" i="66"/>
  <c r="M183" i="66"/>
  <c r="M15" i="66"/>
  <c r="M187" i="66"/>
  <c r="M108" i="66"/>
  <c r="M31" i="66"/>
  <c r="M156" i="66"/>
  <c r="M275" i="66"/>
  <c r="M262" i="66"/>
  <c r="M118" i="66"/>
  <c r="M142" i="66"/>
  <c r="M153" i="66"/>
  <c r="M122" i="66"/>
  <c r="M27" i="66"/>
  <c r="M269" i="66"/>
  <c r="M263" i="66"/>
  <c r="M285" i="66"/>
  <c r="M165" i="66"/>
  <c r="M155" i="66"/>
  <c r="M267" i="66"/>
  <c r="M179" i="66"/>
  <c r="M7" i="66"/>
  <c r="M189" i="66"/>
  <c r="M99" i="66"/>
  <c r="M166" i="66"/>
  <c r="M107" i="66"/>
  <c r="M271" i="66"/>
  <c r="M277" i="66"/>
  <c r="M140" i="66"/>
  <c r="M266" i="66"/>
  <c r="M261" i="66"/>
  <c r="M170" i="66"/>
  <c r="M255" i="66"/>
  <c r="G3" i="66"/>
  <c r="K132" i="66"/>
  <c r="I131" i="66"/>
  <c r="J180" i="66"/>
  <c r="G132" i="66"/>
  <c r="G228" i="66"/>
  <c r="J36" i="66"/>
  <c r="K180" i="66"/>
  <c r="I84" i="66"/>
  <c r="I227" i="66"/>
  <c r="I132" i="66"/>
  <c r="I276" i="66"/>
  <c r="I35" i="66"/>
  <c r="J84" i="66"/>
  <c r="K131" i="66"/>
  <c r="G227" i="66"/>
  <c r="I179" i="66"/>
  <c r="J132" i="66"/>
  <c r="K227" i="66"/>
  <c r="K84" i="66"/>
  <c r="K36" i="66"/>
  <c r="G83" i="66"/>
  <c r="K83" i="66"/>
  <c r="J275" i="66"/>
  <c r="K35" i="66"/>
  <c r="G180" i="66"/>
  <c r="K179" i="66"/>
  <c r="G131" i="66"/>
  <c r="I180" i="66"/>
  <c r="J35" i="66"/>
  <c r="K228" i="66"/>
  <c r="G275" i="66"/>
  <c r="I228" i="66"/>
  <c r="G35" i="66"/>
  <c r="J179" i="66"/>
  <c r="J83" i="66"/>
  <c r="K275" i="66"/>
  <c r="J227" i="66"/>
  <c r="I36" i="66"/>
  <c r="J131" i="66"/>
  <c r="G276" i="66"/>
  <c r="G84" i="66"/>
  <c r="G179" i="66"/>
  <c r="J228" i="66"/>
  <c r="J276" i="66"/>
  <c r="K276" i="66"/>
  <c r="G36" i="66"/>
  <c r="I275" i="66"/>
  <c r="I83" i="66"/>
  <c r="I216" i="66"/>
  <c r="J34" i="66"/>
  <c r="I66" i="66"/>
  <c r="J247" i="66"/>
  <c r="I222" i="66"/>
  <c r="I189" i="66"/>
  <c r="I127" i="66"/>
  <c r="I79" i="66"/>
  <c r="G284" i="66"/>
  <c r="G147" i="66"/>
  <c r="I100" i="66"/>
  <c r="I244" i="66"/>
  <c r="I51" i="66"/>
  <c r="I114" i="66"/>
  <c r="I73" i="66"/>
  <c r="I95" i="66"/>
  <c r="L282" i="66"/>
  <c r="I133" i="66"/>
  <c r="I264" i="66"/>
  <c r="K217" i="66"/>
  <c r="G20" i="66"/>
  <c r="G60" i="66"/>
  <c r="K255" i="66"/>
  <c r="I55" i="66"/>
  <c r="J50" i="66"/>
  <c r="K142" i="66"/>
  <c r="I3" i="66"/>
  <c r="J225" i="66"/>
  <c r="J6" i="66"/>
  <c r="K127" i="66"/>
  <c r="I72" i="66"/>
  <c r="J66" i="66"/>
  <c r="I262" i="66"/>
  <c r="L205" i="66"/>
  <c r="L41" i="66"/>
  <c r="I282" i="66"/>
  <c r="L170" i="66"/>
  <c r="L9" i="66"/>
  <c r="I142" i="66"/>
  <c r="I106" i="66"/>
  <c r="L186" i="66"/>
  <c r="L39" i="66"/>
  <c r="G200" i="66"/>
  <c r="G63" i="66"/>
  <c r="G26" i="66"/>
  <c r="L18" i="66"/>
  <c r="I56" i="66"/>
  <c r="I198" i="66"/>
  <c r="G263" i="66"/>
  <c r="I229" i="66"/>
  <c r="I121" i="66"/>
  <c r="G157" i="66"/>
  <c r="I233" i="66"/>
  <c r="J49" i="66"/>
  <c r="L7" i="66"/>
  <c r="L185" i="66"/>
  <c r="I97" i="66"/>
  <c r="K176" i="66"/>
  <c r="G80" i="66"/>
  <c r="J10" i="66"/>
  <c r="J48" i="66"/>
  <c r="L139" i="66"/>
  <c r="J272" i="66"/>
  <c r="G234" i="66"/>
  <c r="J195" i="66"/>
  <c r="I252" i="66"/>
  <c r="L167" i="66"/>
  <c r="L144" i="66"/>
  <c r="I103" i="66"/>
  <c r="K290" i="66"/>
  <c r="K130" i="66"/>
  <c r="J182" i="66"/>
  <c r="K173" i="66"/>
  <c r="I15" i="66"/>
  <c r="J196" i="66"/>
  <c r="L22" i="66"/>
  <c r="J135" i="66"/>
  <c r="I261" i="66"/>
  <c r="G71" i="66"/>
  <c r="K37" i="66"/>
  <c r="G194" i="66"/>
  <c r="K172" i="66"/>
  <c r="L25" i="66"/>
  <c r="G258" i="66"/>
  <c r="K92" i="66"/>
  <c r="L55" i="66"/>
  <c r="J94" i="66"/>
  <c r="G54" i="66"/>
  <c r="L43" i="66"/>
  <c r="I201" i="66"/>
  <c r="G99" i="66"/>
  <c r="K204" i="66"/>
  <c r="K236" i="66"/>
  <c r="K3" i="66"/>
  <c r="I277" i="66"/>
  <c r="J37" i="66"/>
  <c r="I63" i="66"/>
  <c r="I238" i="66"/>
  <c r="G188" i="66"/>
  <c r="I60" i="66"/>
  <c r="J243" i="66"/>
  <c r="K138" i="66"/>
  <c r="K183" i="66"/>
  <c r="K58" i="66"/>
  <c r="L109" i="66"/>
  <c r="L256" i="66"/>
  <c r="I144" i="66"/>
  <c r="G195" i="66"/>
  <c r="I243" i="66"/>
  <c r="L81" i="66"/>
  <c r="I52" i="66"/>
  <c r="K261" i="66"/>
  <c r="K287" i="66"/>
  <c r="L45" i="66"/>
  <c r="J33" i="66"/>
  <c r="J198" i="66"/>
  <c r="G226" i="66"/>
  <c r="L137" i="66"/>
  <c r="I290" i="66"/>
  <c r="I137" i="66"/>
  <c r="L125" i="66"/>
  <c r="J280" i="66"/>
  <c r="I120" i="66"/>
  <c r="I206" i="66"/>
  <c r="L15" i="66"/>
  <c r="K22" i="66"/>
  <c r="I88" i="66"/>
  <c r="J40" i="66"/>
  <c r="K68" i="66"/>
  <c r="G49" i="66"/>
  <c r="L200" i="66"/>
  <c r="J178" i="66"/>
  <c r="I265" i="66"/>
  <c r="I58" i="66"/>
  <c r="L229" i="66"/>
  <c r="I211" i="66"/>
  <c r="J286" i="66"/>
  <c r="L17" i="66"/>
  <c r="J51" i="66"/>
  <c r="G241" i="66"/>
  <c r="G159" i="66"/>
  <c r="I219" i="66"/>
  <c r="G199" i="66"/>
  <c r="L47" i="66"/>
  <c r="J52" i="66"/>
  <c r="I258" i="66"/>
  <c r="I123" i="66"/>
  <c r="L80" i="66"/>
  <c r="J4" i="66"/>
  <c r="I154" i="66"/>
  <c r="L166" i="66"/>
  <c r="I183" i="66"/>
  <c r="I99" i="66"/>
  <c r="J207" i="66"/>
  <c r="I129" i="66"/>
  <c r="L8" i="66"/>
  <c r="G104" i="66"/>
  <c r="K111" i="66"/>
  <c r="J257" i="66"/>
  <c r="I272" i="66"/>
  <c r="L221" i="66"/>
  <c r="I108" i="66"/>
  <c r="J26" i="66"/>
  <c r="I203" i="66"/>
  <c r="G146" i="66"/>
  <c r="J270" i="66"/>
  <c r="K40" i="66"/>
  <c r="I77" i="66"/>
  <c r="I270" i="66"/>
  <c r="I237" i="66"/>
  <c r="K165" i="66"/>
  <c r="I8" i="66"/>
  <c r="J124" i="66"/>
  <c r="J46" i="66"/>
  <c r="K114" i="66"/>
  <c r="L281" i="66"/>
  <c r="J58" i="66"/>
  <c r="L96" i="66"/>
  <c r="I199" i="66"/>
  <c r="G212" i="66"/>
  <c r="L286" i="66"/>
  <c r="I107" i="66"/>
  <c r="G254" i="66"/>
  <c r="J98" i="66"/>
  <c r="K208" i="66"/>
  <c r="G186" i="66"/>
  <c r="L100" i="66"/>
  <c r="I232" i="66"/>
  <c r="G207" i="66"/>
  <c r="L148" i="66"/>
  <c r="L76" i="66"/>
  <c r="I254" i="66"/>
  <c r="L111" i="66"/>
  <c r="G177" i="66"/>
  <c r="G88" i="66"/>
  <c r="L287" i="66"/>
  <c r="G61" i="66"/>
  <c r="L119" i="66"/>
  <c r="K96" i="66"/>
  <c r="K197" i="66"/>
  <c r="I18" i="66"/>
  <c r="K259" i="66"/>
  <c r="K88" i="66"/>
  <c r="I162" i="66"/>
  <c r="L208" i="66"/>
  <c r="L244" i="66"/>
  <c r="K13" i="66"/>
  <c r="I75" i="66"/>
  <c r="G51" i="66"/>
  <c r="J263" i="66"/>
  <c r="L60" i="66"/>
  <c r="G66" i="66"/>
  <c r="J244" i="66"/>
  <c r="G129" i="66"/>
  <c r="L75" i="66"/>
  <c r="K210" i="66"/>
  <c r="I157" i="66"/>
  <c r="L288" i="66"/>
  <c r="K112" i="66"/>
  <c r="L135" i="66"/>
  <c r="K113" i="66"/>
  <c r="I223" i="66"/>
  <c r="I202" i="66"/>
  <c r="J282" i="66"/>
  <c r="K136" i="66"/>
  <c r="L62" i="66"/>
  <c r="G97" i="66"/>
  <c r="K14" i="66"/>
  <c r="L121" i="66"/>
  <c r="L154" i="66"/>
  <c r="J69" i="66"/>
  <c r="I224" i="66"/>
  <c r="J96" i="66"/>
  <c r="L32" i="66"/>
  <c r="K148" i="66"/>
  <c r="K106" i="66"/>
  <c r="K195" i="66"/>
  <c r="I225" i="66"/>
  <c r="I239" i="66"/>
  <c r="G138" i="66"/>
  <c r="G278" i="66"/>
  <c r="I280" i="66"/>
  <c r="L63" i="66"/>
  <c r="I80" i="66"/>
  <c r="K66" i="66"/>
  <c r="I260" i="66"/>
  <c r="I135" i="66"/>
  <c r="L182" i="66"/>
  <c r="G92" i="66"/>
  <c r="G56" i="66"/>
  <c r="J159" i="66"/>
  <c r="J43" i="66"/>
  <c r="J80" i="66"/>
  <c r="K69" i="66"/>
  <c r="J119" i="66"/>
  <c r="J254" i="66"/>
  <c r="K177" i="66"/>
  <c r="L134" i="66"/>
  <c r="I281" i="66"/>
  <c r="L124" i="66"/>
  <c r="L127" i="66"/>
  <c r="J204" i="66"/>
  <c r="J129" i="66"/>
  <c r="I218" i="66"/>
  <c r="K23" i="66"/>
  <c r="L128" i="66"/>
  <c r="J165" i="66"/>
  <c r="K222" i="66"/>
  <c r="J255" i="66"/>
  <c r="L254" i="66"/>
  <c r="J91" i="66"/>
  <c r="J264" i="66"/>
  <c r="G114" i="66"/>
  <c r="I177" i="66"/>
  <c r="K281" i="66"/>
  <c r="J230" i="66"/>
  <c r="I62" i="66"/>
  <c r="L103" i="66"/>
  <c r="K144" i="66"/>
  <c r="J60" i="66"/>
  <c r="L159" i="66"/>
  <c r="G119" i="66"/>
  <c r="G286" i="66"/>
  <c r="J240" i="66"/>
  <c r="L207" i="66"/>
  <c r="K268" i="66"/>
  <c r="I214" i="66"/>
  <c r="K51" i="66"/>
  <c r="K157" i="66"/>
  <c r="I268" i="66"/>
  <c r="I69" i="66"/>
  <c r="I173" i="66"/>
  <c r="I284" i="66"/>
  <c r="K159" i="66"/>
  <c r="L239" i="66"/>
  <c r="J108" i="66"/>
  <c r="I148" i="66"/>
  <c r="I182" i="66"/>
  <c r="I236" i="66"/>
  <c r="K244" i="66"/>
  <c r="I130" i="66"/>
  <c r="L129" i="66"/>
  <c r="L155" i="66"/>
  <c r="K198" i="66"/>
  <c r="G62" i="66"/>
  <c r="G222" i="66"/>
  <c r="J63" i="66"/>
  <c r="K240" i="66"/>
  <c r="K120" i="66"/>
  <c r="L216" i="66"/>
  <c r="L225" i="66"/>
  <c r="L257" i="66"/>
  <c r="K116" i="66"/>
  <c r="L175" i="66"/>
  <c r="K156" i="66"/>
  <c r="K53" i="66"/>
  <c r="G277" i="66"/>
  <c r="G252" i="66"/>
  <c r="G164" i="66"/>
  <c r="K269" i="66"/>
  <c r="J199" i="66"/>
  <c r="K250" i="66"/>
  <c r="I98" i="66"/>
  <c r="G116" i="66"/>
  <c r="L196" i="66"/>
  <c r="J261" i="66"/>
  <c r="J114" i="66"/>
  <c r="K272" i="66"/>
  <c r="K124" i="66"/>
  <c r="I263" i="66"/>
  <c r="K288" i="66"/>
  <c r="J147" i="66"/>
  <c r="I116" i="66"/>
  <c r="J62" i="66"/>
  <c r="I74" i="66"/>
  <c r="G126" i="66"/>
  <c r="G240" i="66"/>
  <c r="L269" i="66"/>
  <c r="J232" i="66"/>
  <c r="I169" i="66"/>
  <c r="I119" i="66"/>
  <c r="L46" i="66"/>
  <c r="I208" i="66"/>
  <c r="I217" i="66"/>
  <c r="L59" i="66"/>
  <c r="I136" i="66"/>
  <c r="I29" i="66"/>
  <c r="L113" i="66"/>
  <c r="K87" i="66"/>
  <c r="L262" i="66"/>
  <c r="J136" i="66"/>
  <c r="I205" i="66"/>
  <c r="I250" i="66"/>
  <c r="L219" i="66"/>
  <c r="L69" i="66"/>
  <c r="L272" i="66"/>
  <c r="I91" i="66"/>
  <c r="I4" i="66"/>
  <c r="J268" i="66"/>
  <c r="J222" i="66"/>
  <c r="L114" i="66"/>
  <c r="I278" i="66"/>
  <c r="K128" i="66"/>
  <c r="J120" i="66"/>
  <c r="I143" i="66"/>
  <c r="I26" i="66"/>
  <c r="I212" i="66"/>
  <c r="J226" i="66"/>
  <c r="L28" i="66"/>
  <c r="I78" i="66"/>
  <c r="K264" i="66"/>
  <c r="L199" i="66"/>
  <c r="K81" i="66"/>
  <c r="I253" i="66"/>
  <c r="K129" i="66"/>
  <c r="G98" i="66"/>
  <c r="I94" i="66"/>
  <c r="I288" i="66"/>
  <c r="L156" i="66"/>
  <c r="J252" i="66"/>
  <c r="K18" i="66"/>
  <c r="K257" i="66"/>
  <c r="L23" i="66"/>
  <c r="J97" i="66"/>
  <c r="I207" i="66"/>
  <c r="L253" i="66"/>
  <c r="L240" i="66"/>
  <c r="L162" i="66"/>
  <c r="I155" i="66"/>
  <c r="I266" i="66"/>
  <c r="L51" i="66"/>
  <c r="J111" i="66"/>
  <c r="I10" i="66"/>
  <c r="I195" i="66"/>
  <c r="L172" i="66"/>
  <c r="J216" i="66"/>
  <c r="G181" i="66"/>
  <c r="G224" i="66"/>
  <c r="J148" i="66"/>
  <c r="L71" i="66"/>
  <c r="K214" i="66"/>
  <c r="I286" i="66"/>
  <c r="L10" i="66"/>
  <c r="J215" i="66"/>
  <c r="L265" i="66"/>
  <c r="L266" i="66"/>
  <c r="J229" i="66"/>
  <c r="J277" i="66"/>
  <c r="J167" i="66"/>
  <c r="L230" i="66"/>
  <c r="K62" i="66"/>
  <c r="K274" i="66"/>
  <c r="L190" i="66"/>
  <c r="K252" i="66"/>
  <c r="L215" i="66"/>
  <c r="L24" i="66"/>
  <c r="I138" i="66"/>
  <c r="L147" i="66"/>
  <c r="G266" i="66"/>
  <c r="K242" i="66"/>
  <c r="I53" i="66"/>
  <c r="L264" i="66"/>
  <c r="I111" i="66"/>
  <c r="I215" i="66"/>
  <c r="K54" i="66"/>
  <c r="G242" i="66"/>
  <c r="K15" i="66"/>
  <c r="K108" i="66"/>
  <c r="L224" i="66"/>
  <c r="K119" i="66"/>
  <c r="J278" i="66"/>
  <c r="K282" i="66"/>
  <c r="I164" i="66"/>
  <c r="J250" i="66"/>
  <c r="G136" i="66"/>
  <c r="K213" i="66"/>
  <c r="L268" i="66"/>
  <c r="L173" i="66"/>
  <c r="L204" i="66"/>
  <c r="K283" i="66"/>
  <c r="L66" i="66"/>
  <c r="K164" i="66"/>
  <c r="I274" i="66"/>
  <c r="J288" i="66"/>
  <c r="L195" i="66"/>
  <c r="G229" i="66"/>
  <c r="L29" i="66"/>
  <c r="L108" i="66"/>
  <c r="I240" i="66"/>
  <c r="I191" i="66"/>
  <c r="I110" i="66"/>
  <c r="K162" i="66"/>
  <c r="I259" i="66"/>
  <c r="L91" i="66"/>
  <c r="I159" i="66"/>
  <c r="I147" i="66"/>
  <c r="L217" i="66"/>
  <c r="J76" i="66"/>
  <c r="I257" i="66"/>
  <c r="I128" i="66"/>
  <c r="J218" i="66"/>
  <c r="K245" i="66"/>
  <c r="L123" i="66"/>
  <c r="G74" i="66"/>
  <c r="J74" i="66"/>
  <c r="K215" i="66"/>
  <c r="L236" i="66"/>
  <c r="K230" i="66"/>
  <c r="L202" i="66"/>
  <c r="L177" i="66"/>
  <c r="G215" i="66"/>
  <c r="G152" i="66"/>
  <c r="K76" i="66"/>
  <c r="K91" i="66"/>
  <c r="G210" i="66"/>
  <c r="J181" i="66"/>
  <c r="G111" i="66"/>
  <c r="J177" i="66"/>
  <c r="K212" i="66"/>
  <c r="G272" i="66"/>
  <c r="L203" i="66"/>
  <c r="G15" i="66"/>
  <c r="K277" i="66"/>
  <c r="G156" i="66"/>
  <c r="K98" i="66"/>
  <c r="K254" i="66"/>
  <c r="J266" i="66"/>
  <c r="J162" i="66"/>
  <c r="J190" i="66"/>
  <c r="K224" i="66"/>
  <c r="J157" i="66"/>
  <c r="J13" i="66"/>
  <c r="L250" i="66"/>
  <c r="K60" i="66"/>
  <c r="J88" i="66"/>
  <c r="K289" i="66"/>
  <c r="G37" i="66"/>
  <c r="I165" i="66"/>
  <c r="K229" i="66"/>
  <c r="I57" i="66"/>
  <c r="L87" i="66"/>
  <c r="I89" i="66"/>
  <c r="J28" i="66"/>
  <c r="J17" i="66"/>
  <c r="I174" i="66"/>
  <c r="J234" i="66"/>
  <c r="G145" i="66"/>
  <c r="K78" i="66"/>
  <c r="K10" i="66"/>
  <c r="L77" i="66"/>
  <c r="K61" i="66"/>
  <c r="G150" i="66"/>
  <c r="K39" i="66"/>
  <c r="G48" i="66"/>
  <c r="K174" i="66"/>
  <c r="L201" i="66"/>
  <c r="L64" i="66"/>
  <c r="L110" i="66"/>
  <c r="L255" i="66"/>
  <c r="K216" i="66"/>
  <c r="I50" i="66"/>
  <c r="I175" i="66"/>
  <c r="L31" i="66"/>
  <c r="L176" i="66"/>
  <c r="J103" i="66"/>
  <c r="J274" i="66"/>
  <c r="K147" i="66"/>
  <c r="J241" i="66"/>
  <c r="K29" i="66"/>
  <c r="L258" i="66"/>
  <c r="K79" i="66"/>
  <c r="L122" i="66"/>
  <c r="K273" i="66"/>
  <c r="K196" i="66"/>
  <c r="J23" i="66"/>
  <c r="L252" i="66"/>
  <c r="I34" i="66"/>
  <c r="L231" i="66"/>
  <c r="J122" i="66"/>
  <c r="L38" i="66"/>
  <c r="L223" i="66"/>
  <c r="K31" i="66"/>
  <c r="L21" i="66"/>
  <c r="K150" i="66"/>
  <c r="L120" i="66"/>
  <c r="K64" i="66"/>
  <c r="I241" i="66"/>
  <c r="K25" i="66"/>
  <c r="J161" i="66"/>
  <c r="K97" i="66"/>
  <c r="I76" i="66"/>
  <c r="K43" i="66"/>
  <c r="L214" i="66"/>
  <c r="L189" i="66"/>
  <c r="I31" i="66"/>
  <c r="G248" i="66"/>
  <c r="K121" i="66"/>
  <c r="G122" i="66"/>
  <c r="K152" i="66"/>
  <c r="I220" i="66"/>
  <c r="L26" i="66"/>
  <c r="K102" i="66"/>
  <c r="I193" i="66"/>
  <c r="I54" i="66"/>
  <c r="I197" i="66"/>
  <c r="K16" i="66"/>
  <c r="K137" i="66"/>
  <c r="I42" i="66"/>
  <c r="G55" i="66"/>
  <c r="J205" i="66"/>
  <c r="I289" i="66"/>
  <c r="K248" i="66"/>
  <c r="L112" i="66"/>
  <c r="G38" i="66"/>
  <c r="G290" i="66"/>
  <c r="G230" i="66"/>
  <c r="I124" i="66"/>
  <c r="L263" i="66"/>
  <c r="K110" i="66"/>
  <c r="K95" i="66"/>
  <c r="J15" i="66"/>
  <c r="G225" i="66"/>
  <c r="G34" i="66"/>
  <c r="L157" i="66"/>
  <c r="K271" i="66"/>
  <c r="K181" i="66"/>
  <c r="I9" i="66"/>
  <c r="K175" i="66"/>
  <c r="I113" i="66"/>
  <c r="I188" i="66"/>
  <c r="K65" i="66"/>
  <c r="J100" i="66"/>
  <c r="I19" i="66"/>
  <c r="I102" i="66"/>
  <c r="L93" i="66"/>
  <c r="J86" i="66"/>
  <c r="I25" i="66"/>
  <c r="K24" i="66"/>
  <c r="K12" i="66"/>
  <c r="I115" i="66"/>
  <c r="I287" i="66"/>
  <c r="J113" i="66"/>
  <c r="I126" i="66"/>
  <c r="I151" i="66"/>
  <c r="L247" i="66"/>
  <c r="G94" i="66"/>
  <c r="K262" i="66"/>
  <c r="L79" i="66"/>
  <c r="I235" i="66"/>
  <c r="J154" i="66"/>
  <c r="I38" i="66"/>
  <c r="K169" i="66"/>
  <c r="I234" i="66"/>
  <c r="J186" i="66"/>
  <c r="J138" i="66"/>
  <c r="K190" i="66"/>
  <c r="J72" i="66"/>
  <c r="I7" i="66"/>
  <c r="K4" i="66"/>
  <c r="K286" i="66"/>
  <c r="L61" i="66"/>
  <c r="K73" i="66"/>
  <c r="I47" i="66"/>
  <c r="I149" i="66"/>
  <c r="L72" i="66"/>
  <c r="K32" i="66"/>
  <c r="K146" i="66"/>
  <c r="L248" i="66"/>
  <c r="G247" i="66"/>
  <c r="J99" i="66"/>
  <c r="I248" i="66"/>
  <c r="J194" i="66"/>
  <c r="I184" i="66"/>
  <c r="K178" i="66"/>
  <c r="I105" i="66"/>
  <c r="K8" i="66"/>
  <c r="K118" i="66"/>
  <c r="G110" i="66"/>
  <c r="J61" i="66"/>
  <c r="K253" i="66"/>
  <c r="G133" i="66"/>
  <c r="J85" i="66"/>
  <c r="L277" i="66"/>
  <c r="J55" i="66"/>
  <c r="L261" i="66"/>
  <c r="G270" i="66"/>
  <c r="J81" i="66"/>
  <c r="L57" i="66"/>
  <c r="G255" i="66"/>
  <c r="K226" i="66"/>
  <c r="K77" i="66"/>
  <c r="K284" i="66"/>
  <c r="G23" i="66"/>
  <c r="L89" i="66"/>
  <c r="K205" i="66"/>
  <c r="G68" i="66"/>
  <c r="G44" i="66"/>
  <c r="K125" i="66"/>
  <c r="I48" i="66"/>
  <c r="K17" i="66"/>
  <c r="I160" i="66"/>
  <c r="L267" i="66"/>
  <c r="K126" i="66"/>
  <c r="G236" i="66"/>
  <c r="L44" i="66"/>
  <c r="K232" i="66"/>
  <c r="I200" i="66"/>
  <c r="L183" i="66"/>
  <c r="K209" i="66"/>
  <c r="I181" i="66"/>
  <c r="I82" i="66"/>
  <c r="G253" i="66"/>
  <c r="K186" i="66"/>
  <c r="J30" i="66"/>
  <c r="L153" i="66"/>
  <c r="K202" i="66"/>
  <c r="J209" i="66"/>
  <c r="K221" i="66"/>
  <c r="K163" i="66"/>
  <c r="K30" i="66"/>
  <c r="L52" i="66"/>
  <c r="K20" i="66"/>
  <c r="G40" i="66"/>
  <c r="I187" i="66"/>
  <c r="L4" i="66"/>
  <c r="L279" i="66"/>
  <c r="L174" i="66"/>
  <c r="J24" i="66"/>
  <c r="I70" i="66"/>
  <c r="I246" i="66"/>
  <c r="J220" i="66"/>
  <c r="K49" i="66"/>
  <c r="K19" i="66"/>
  <c r="L94" i="66"/>
  <c r="I256" i="66"/>
  <c r="G178" i="66"/>
  <c r="K71" i="66"/>
  <c r="J32" i="66"/>
  <c r="K134" i="66"/>
  <c r="J144" i="66"/>
  <c r="I134" i="66"/>
  <c r="I22" i="66"/>
  <c r="K90" i="66"/>
  <c r="L222" i="66"/>
  <c r="I166" i="66"/>
  <c r="K99" i="66"/>
  <c r="L140" i="66"/>
  <c r="G85" i="66"/>
  <c r="I14" i="66"/>
  <c r="K38" i="66"/>
  <c r="J193" i="66"/>
  <c r="I245" i="66"/>
  <c r="I125" i="66"/>
  <c r="L160" i="66"/>
  <c r="K260" i="66"/>
  <c r="K63" i="66"/>
  <c r="I168" i="66"/>
  <c r="I118" i="66"/>
  <c r="L187" i="66"/>
  <c r="J202" i="66"/>
  <c r="L181" i="66"/>
  <c r="I86" i="66"/>
  <c r="G90" i="66"/>
  <c r="I204" i="66"/>
  <c r="I273" i="66"/>
  <c r="L143" i="66"/>
  <c r="I61" i="66"/>
  <c r="G81" i="66"/>
  <c r="I167" i="66"/>
  <c r="G42" i="66"/>
  <c r="I242" i="66"/>
  <c r="I65" i="66"/>
  <c r="K70" i="66"/>
  <c r="G170" i="66"/>
  <c r="K46" i="66"/>
  <c r="I81" i="66"/>
  <c r="I140" i="66"/>
  <c r="K188" i="66"/>
  <c r="J110" i="66"/>
  <c r="K184" i="66"/>
  <c r="J242" i="66"/>
  <c r="J231" i="66"/>
  <c r="I178" i="66"/>
  <c r="I85" i="66"/>
  <c r="L78" i="66"/>
  <c r="K101" i="66"/>
  <c r="L11" i="66"/>
  <c r="K258" i="66"/>
  <c r="I92" i="66"/>
  <c r="I6" i="66"/>
  <c r="I196" i="66"/>
  <c r="G86" i="66"/>
  <c r="G162" i="66"/>
  <c r="K34" i="66"/>
  <c r="I150" i="66"/>
  <c r="L58" i="66"/>
  <c r="G7" i="66"/>
  <c r="I209" i="66"/>
  <c r="J7" i="66"/>
  <c r="L285" i="66"/>
  <c r="G109" i="66"/>
  <c r="I104" i="66"/>
  <c r="L152" i="66"/>
  <c r="L27" i="66"/>
  <c r="K256" i="66"/>
  <c r="K41" i="66"/>
  <c r="G193" i="66"/>
  <c r="J3" i="66"/>
  <c r="L270" i="66"/>
  <c r="L237" i="66"/>
  <c r="I251" i="66"/>
  <c r="K145" i="66"/>
  <c r="G273" i="66"/>
  <c r="J273" i="66"/>
  <c r="L74" i="66"/>
  <c r="I101" i="66"/>
  <c r="G30" i="66"/>
  <c r="L117" i="66"/>
  <c r="L33" i="66"/>
  <c r="J168" i="66"/>
  <c r="L188" i="66"/>
  <c r="G103" i="66"/>
  <c r="J206" i="66"/>
  <c r="L284" i="66"/>
  <c r="K280" i="66"/>
  <c r="L158" i="66"/>
  <c r="K80" i="66"/>
  <c r="G289" i="66"/>
  <c r="G102" i="66"/>
  <c r="I231" i="66"/>
  <c r="I185" i="66"/>
  <c r="L141" i="66"/>
  <c r="K168" i="66"/>
  <c r="G6" i="66"/>
  <c r="J65" i="66"/>
  <c r="K211" i="66"/>
  <c r="K82" i="66"/>
  <c r="I163" i="66"/>
  <c r="K104" i="66"/>
  <c r="J117" i="66"/>
  <c r="J14" i="66"/>
  <c r="I152" i="66"/>
  <c r="I145" i="66"/>
  <c r="I23" i="66"/>
  <c r="G198" i="66"/>
  <c r="G128" i="66"/>
  <c r="I112" i="66"/>
  <c r="J146" i="66"/>
  <c r="K200" i="66"/>
  <c r="J82" i="66"/>
  <c r="J192" i="66"/>
  <c r="K85" i="66"/>
  <c r="K140" i="66"/>
  <c r="L209" i="66"/>
  <c r="J235" i="66"/>
  <c r="L105" i="66"/>
  <c r="I109" i="66"/>
  <c r="I27" i="66"/>
  <c r="I267" i="66"/>
  <c r="K194" i="66"/>
  <c r="I117" i="66"/>
  <c r="L210" i="66"/>
  <c r="I271" i="66"/>
  <c r="J176" i="66"/>
  <c r="K133" i="66"/>
  <c r="J158" i="66"/>
  <c r="G32" i="66"/>
  <c r="K246" i="66"/>
  <c r="G260" i="66"/>
  <c r="K28" i="66"/>
  <c r="J90" i="66"/>
  <c r="J39" i="66"/>
  <c r="K117" i="66"/>
  <c r="G140" i="66"/>
  <c r="G246" i="66"/>
  <c r="I213" i="66"/>
  <c r="J170" i="66"/>
  <c r="G33" i="66"/>
  <c r="L271" i="66"/>
  <c r="J213" i="66"/>
  <c r="G14" i="66"/>
  <c r="J87" i="66"/>
  <c r="I192" i="66"/>
  <c r="I11" i="66"/>
  <c r="K100" i="66"/>
  <c r="I20" i="66"/>
  <c r="I46" i="66"/>
  <c r="I269" i="66"/>
  <c r="G192" i="66"/>
  <c r="K192" i="66"/>
  <c r="I283" i="66"/>
  <c r="K206" i="66"/>
  <c r="L90" i="66"/>
  <c r="I5" i="66"/>
  <c r="I43" i="66"/>
  <c r="J210" i="66"/>
  <c r="L243" i="66"/>
  <c r="L95" i="66"/>
  <c r="J156" i="66"/>
  <c r="I71" i="66"/>
  <c r="K225" i="66"/>
  <c r="I230" i="66"/>
  <c r="L70" i="66"/>
  <c r="J126" i="66"/>
  <c r="J12" i="66"/>
  <c r="G280" i="66"/>
  <c r="K161" i="66"/>
  <c r="J150" i="66"/>
  <c r="J38" i="66"/>
  <c r="J18" i="66"/>
  <c r="J106" i="66"/>
  <c r="L168" i="66"/>
  <c r="I59" i="66"/>
  <c r="J128" i="66"/>
  <c r="I49" i="66"/>
  <c r="I13" i="66"/>
  <c r="J246" i="66"/>
  <c r="L126" i="66"/>
  <c r="L234" i="66"/>
  <c r="K139" i="66"/>
  <c r="G134" i="66"/>
  <c r="J42" i="66"/>
  <c r="K42" i="66"/>
  <c r="G176" i="66"/>
  <c r="I226" i="66"/>
  <c r="L142" i="66"/>
  <c r="K109" i="66"/>
  <c r="G151" i="66"/>
  <c r="L3" i="66"/>
  <c r="K56" i="66"/>
  <c r="L151" i="66"/>
  <c r="I210" i="66"/>
  <c r="G218" i="66"/>
  <c r="I28" i="66"/>
  <c r="J187" i="66"/>
  <c r="I44" i="66"/>
  <c r="L48" i="66"/>
  <c r="G184" i="66"/>
  <c r="J145" i="66"/>
  <c r="I87" i="66"/>
  <c r="L249" i="66"/>
  <c r="I93" i="66"/>
  <c r="K231" i="66"/>
  <c r="I194" i="66"/>
  <c r="I64" i="66"/>
  <c r="I158" i="66"/>
  <c r="I255" i="66"/>
  <c r="L104" i="66"/>
  <c r="K193" i="66"/>
  <c r="K220" i="66"/>
  <c r="L278" i="66"/>
  <c r="I221" i="66"/>
  <c r="J139" i="66"/>
  <c r="J142" i="66"/>
  <c r="K72" i="66"/>
  <c r="G174" i="66"/>
  <c r="I40" i="66"/>
  <c r="I37" i="66"/>
  <c r="K48" i="66"/>
  <c r="L171" i="66"/>
  <c r="I171" i="66"/>
  <c r="L191" i="66"/>
  <c r="K185" i="66"/>
  <c r="G182" i="66"/>
  <c r="L92" i="66"/>
  <c r="L206" i="66"/>
  <c r="I39" i="66"/>
  <c r="K44" i="66"/>
  <c r="J151" i="66"/>
  <c r="L192" i="66"/>
  <c r="G288" i="66"/>
  <c r="I90" i="66"/>
  <c r="G12" i="66"/>
  <c r="G274" i="66"/>
  <c r="G206" i="66"/>
  <c r="I96" i="66"/>
  <c r="K182" i="66"/>
  <c r="J238" i="66"/>
  <c r="I156" i="66"/>
  <c r="J224" i="66"/>
  <c r="L106" i="66"/>
  <c r="L220" i="66"/>
  <c r="I186" i="66"/>
  <c r="K233" i="66"/>
  <c r="G205" i="66"/>
  <c r="G204" i="66"/>
  <c r="G18" i="66"/>
  <c r="L37" i="66"/>
  <c r="G144" i="66"/>
  <c r="I249" i="66"/>
  <c r="G232" i="66"/>
  <c r="L118" i="66"/>
  <c r="G190" i="66"/>
  <c r="I67" i="66"/>
  <c r="G50" i="66"/>
  <c r="J133" i="66"/>
  <c r="K47" i="66"/>
  <c r="K6" i="66"/>
  <c r="L251" i="66"/>
  <c r="L14" i="66"/>
  <c r="J172" i="66"/>
  <c r="I17" i="66"/>
  <c r="J71" i="66"/>
  <c r="G238" i="66"/>
  <c r="L283" i="66"/>
  <c r="L85" i="66"/>
  <c r="L13" i="66"/>
  <c r="K143" i="66"/>
  <c r="K115" i="66"/>
  <c r="J130" i="66"/>
  <c r="K263" i="66"/>
  <c r="J279" i="66"/>
  <c r="L169" i="66"/>
  <c r="I21" i="66"/>
  <c r="K135" i="66"/>
  <c r="G46" i="66"/>
  <c r="I279" i="66"/>
  <c r="K278" i="66"/>
  <c r="L12" i="66"/>
  <c r="L273" i="66"/>
  <c r="K89" i="66"/>
  <c r="K86" i="66"/>
  <c r="J134" i="66"/>
  <c r="J78" i="66"/>
  <c r="L238" i="66"/>
  <c r="K21" i="66"/>
  <c r="L213" i="66"/>
  <c r="K241" i="66"/>
  <c r="G243" i="66"/>
  <c r="L73" i="66"/>
  <c r="I190" i="66"/>
  <c r="L50" i="66"/>
  <c r="I30" i="66"/>
  <c r="K238" i="66"/>
  <c r="K67" i="66"/>
  <c r="K149" i="66"/>
  <c r="J258" i="66"/>
  <c r="I16" i="66"/>
  <c r="L161" i="66"/>
  <c r="K160" i="66"/>
  <c r="K234" i="66"/>
  <c r="J290" i="66"/>
  <c r="L233" i="66"/>
  <c r="K265" i="66"/>
  <c r="I12" i="66"/>
  <c r="I33" i="66"/>
  <c r="L133" i="66"/>
  <c r="G96" i="66"/>
  <c r="L99" i="66"/>
  <c r="G130" i="66"/>
  <c r="G78" i="66"/>
  <c r="I146" i="66"/>
  <c r="J102" i="66"/>
  <c r="K243" i="66"/>
  <c r="K279" i="66"/>
  <c r="I285" i="66"/>
  <c r="J21" i="66"/>
  <c r="I32" i="66"/>
  <c r="I170" i="66"/>
  <c r="I153" i="66"/>
  <c r="K207" i="66"/>
  <c r="I172" i="66"/>
  <c r="K5" i="66"/>
  <c r="K223" i="66"/>
  <c r="K239" i="66"/>
  <c r="J109" i="66"/>
  <c r="G82" i="66"/>
  <c r="K158" i="66"/>
  <c r="L165" i="66"/>
  <c r="K52" i="66"/>
  <c r="J54" i="66"/>
  <c r="G142" i="66"/>
  <c r="I161" i="66"/>
  <c r="G158" i="66"/>
  <c r="J289" i="66"/>
  <c r="J184" i="66"/>
  <c r="K50" i="66"/>
  <c r="K270" i="66"/>
  <c r="J174" i="66"/>
  <c r="K235" i="66"/>
  <c r="G108" i="66"/>
  <c r="I139" i="66"/>
  <c r="L42" i="66"/>
  <c r="L65" i="66"/>
  <c r="I176" i="66"/>
  <c r="J283" i="66"/>
  <c r="J253" i="66"/>
  <c r="I41" i="66"/>
  <c r="L138" i="66"/>
  <c r="G13" i="66"/>
  <c r="I141" i="66"/>
  <c r="K154" i="66"/>
  <c r="G167" i="66"/>
  <c r="I68" i="66"/>
  <c r="K33" i="66"/>
  <c r="L86" i="66"/>
  <c r="G8" i="66"/>
  <c r="I24" i="66"/>
  <c r="K167" i="66"/>
  <c r="I122" i="66"/>
  <c r="G282" i="66"/>
  <c r="L30" i="66"/>
  <c r="K94" i="66"/>
  <c r="L235" i="66"/>
  <c r="L218" i="66"/>
  <c r="I45" i="66"/>
  <c r="K191" i="66"/>
  <c r="K166" i="66"/>
  <c r="J183" i="66"/>
  <c r="I247" i="66"/>
  <c r="K187" i="66"/>
  <c r="L107" i="66"/>
  <c r="L56" i="66"/>
  <c r="G26" i="39" l="1"/>
  <c r="F26" i="39"/>
  <c r="W275" i="66"/>
  <c r="S275" i="66"/>
  <c r="S35" i="66"/>
  <c r="W35" i="66"/>
  <c r="W84" i="66"/>
  <c r="S84" i="66"/>
  <c r="W227" i="66"/>
  <c r="S227" i="66"/>
  <c r="S83" i="66"/>
  <c r="W83" i="66"/>
  <c r="S180" i="66"/>
  <c r="W180" i="66"/>
  <c r="S276" i="66"/>
  <c r="W276" i="66"/>
  <c r="S179" i="66"/>
  <c r="W179" i="66"/>
  <c r="W228" i="66"/>
  <c r="S228" i="66"/>
  <c r="S132" i="66"/>
  <c r="W132" i="66"/>
  <c r="W36" i="66"/>
  <c r="S36" i="66"/>
  <c r="S131" i="66"/>
  <c r="W131" i="66"/>
  <c r="N144" i="66"/>
  <c r="N96" i="66"/>
  <c r="P279" i="66"/>
  <c r="P133" i="66"/>
  <c r="V133" i="66" s="1"/>
  <c r="W133" i="66"/>
  <c r="P38" i="66"/>
  <c r="W176" i="66"/>
  <c r="P176" i="66"/>
  <c r="V176" i="66" s="1"/>
  <c r="W235" i="66"/>
  <c r="P235" i="66"/>
  <c r="V235" i="66" s="1"/>
  <c r="W65" i="66"/>
  <c r="P65" i="66"/>
  <c r="V65" i="66" s="1"/>
  <c r="P168" i="66"/>
  <c r="P99" i="66"/>
  <c r="V99" i="66" s="1"/>
  <c r="W99" i="66"/>
  <c r="P205" i="66"/>
  <c r="V205" i="66" s="1"/>
  <c r="W205" i="66"/>
  <c r="W13" i="66"/>
  <c r="P13" i="66"/>
  <c r="V13" i="66" s="1"/>
  <c r="N15" i="66"/>
  <c r="P218" i="66"/>
  <c r="V218" i="66" s="1"/>
  <c r="W218" i="66"/>
  <c r="W261" i="66"/>
  <c r="P261" i="66"/>
  <c r="V261" i="66" s="1"/>
  <c r="P63" i="66"/>
  <c r="P80" i="66"/>
  <c r="V80" i="66" s="1"/>
  <c r="W80" i="66"/>
  <c r="P270" i="66"/>
  <c r="V270" i="66" s="1"/>
  <c r="W270" i="66"/>
  <c r="P135" i="66"/>
  <c r="P10" i="66"/>
  <c r="V10" i="66" s="1"/>
  <c r="W10" i="66"/>
  <c r="P66" i="66"/>
  <c r="V66" i="66" s="1"/>
  <c r="W66" i="66"/>
  <c r="W102" i="66"/>
  <c r="W258" i="66"/>
  <c r="P258" i="66"/>
  <c r="V258" i="66" s="1"/>
  <c r="W71" i="66"/>
  <c r="P71" i="66"/>
  <c r="V71" i="66" s="1"/>
  <c r="P238" i="66"/>
  <c r="V238" i="66" s="1"/>
  <c r="W238" i="66"/>
  <c r="W150" i="66"/>
  <c r="W170" i="66"/>
  <c r="P170" i="66"/>
  <c r="V170" i="66" s="1"/>
  <c r="P7" i="66"/>
  <c r="V7" i="66" s="1"/>
  <c r="W7" i="66"/>
  <c r="P231" i="66"/>
  <c r="P32" i="66"/>
  <c r="V32" i="66" s="1"/>
  <c r="W32" i="66"/>
  <c r="P24" i="66"/>
  <c r="W17" i="66"/>
  <c r="P17" i="66"/>
  <c r="V17" i="66" s="1"/>
  <c r="P157" i="66"/>
  <c r="V157" i="66" s="1"/>
  <c r="W157" i="66"/>
  <c r="P250" i="66"/>
  <c r="V250" i="66" s="1"/>
  <c r="W250" i="66"/>
  <c r="P264" i="66"/>
  <c r="P263" i="66"/>
  <c r="V263" i="66" s="1"/>
  <c r="W263" i="66"/>
  <c r="P286" i="66"/>
  <c r="V286" i="66" s="1"/>
  <c r="W286" i="66"/>
  <c r="W94" i="66"/>
  <c r="P94" i="66"/>
  <c r="V94" i="66" s="1"/>
  <c r="P142" i="66"/>
  <c r="V142" i="66" s="1"/>
  <c r="W142" i="66"/>
  <c r="W246" i="66"/>
  <c r="P14" i="66"/>
  <c r="V14" i="66" s="1"/>
  <c r="W14" i="66"/>
  <c r="P3" i="66"/>
  <c r="V3" i="66" s="1"/>
  <c r="W3" i="66"/>
  <c r="W222" i="66"/>
  <c r="P222" i="66"/>
  <c r="V222" i="66" s="1"/>
  <c r="W62" i="66"/>
  <c r="P62" i="66"/>
  <c r="V62" i="66" s="1"/>
  <c r="W91" i="66"/>
  <c r="P91" i="66"/>
  <c r="V91" i="66" s="1"/>
  <c r="W129" i="66"/>
  <c r="P129" i="66"/>
  <c r="V129" i="66" s="1"/>
  <c r="W43" i="66"/>
  <c r="P43" i="66"/>
  <c r="V43" i="66" s="1"/>
  <c r="W98" i="66"/>
  <c r="P46" i="66"/>
  <c r="V46" i="66" s="1"/>
  <c r="W46" i="66"/>
  <c r="P52" i="66"/>
  <c r="W198" i="66"/>
  <c r="W37" i="66"/>
  <c r="P37" i="66"/>
  <c r="V37" i="66" s="1"/>
  <c r="W283" i="66"/>
  <c r="P283" i="66"/>
  <c r="V283" i="66" s="1"/>
  <c r="P78" i="66"/>
  <c r="V78" i="66" s="1"/>
  <c r="W78" i="66"/>
  <c r="P151" i="66"/>
  <c r="V151" i="66" s="1"/>
  <c r="W151" i="66"/>
  <c r="P139" i="66"/>
  <c r="V139" i="66" s="1"/>
  <c r="W139" i="66"/>
  <c r="P187" i="66"/>
  <c r="V187" i="66" s="1"/>
  <c r="W187" i="66"/>
  <c r="P117" i="66"/>
  <c r="V117" i="66" s="1"/>
  <c r="W117" i="66"/>
  <c r="W242" i="66"/>
  <c r="P209" i="66"/>
  <c r="V209" i="66" s="1"/>
  <c r="W209" i="66"/>
  <c r="P138" i="66"/>
  <c r="V138" i="66" s="1"/>
  <c r="W138" i="66"/>
  <c r="P86" i="66"/>
  <c r="P23" i="66"/>
  <c r="V23" i="66" s="1"/>
  <c r="W23" i="66"/>
  <c r="P216" i="66"/>
  <c r="P268" i="66"/>
  <c r="V268" i="66" s="1"/>
  <c r="W268" i="66"/>
  <c r="P60" i="66"/>
  <c r="V60" i="66" s="1"/>
  <c r="W60" i="66"/>
  <c r="W204" i="66"/>
  <c r="P204" i="66"/>
  <c r="V204" i="66" s="1"/>
  <c r="P159" i="66"/>
  <c r="P124" i="66"/>
  <c r="V124" i="66" s="1"/>
  <c r="W124" i="66"/>
  <c r="W26" i="66"/>
  <c r="P26" i="66"/>
  <c r="V26" i="66" s="1"/>
  <c r="P207" i="66"/>
  <c r="W6" i="66"/>
  <c r="P87" i="66"/>
  <c r="P192" i="66"/>
  <c r="V192" i="66" s="1"/>
  <c r="W192" i="66"/>
  <c r="W202" i="66"/>
  <c r="P202" i="66"/>
  <c r="V202" i="66" s="1"/>
  <c r="P28" i="66"/>
  <c r="V28" i="66" s="1"/>
  <c r="W28" i="66"/>
  <c r="W76" i="66"/>
  <c r="P76" i="66"/>
  <c r="V76" i="66" s="1"/>
  <c r="P215" i="66"/>
  <c r="V215" i="66" s="1"/>
  <c r="W215" i="66"/>
  <c r="P252" i="66"/>
  <c r="V252" i="66" s="1"/>
  <c r="W252" i="66"/>
  <c r="P147" i="66"/>
  <c r="V147" i="66" s="1"/>
  <c r="W147" i="66"/>
  <c r="P33" i="66"/>
  <c r="V33" i="66" s="1"/>
  <c r="W33" i="66"/>
  <c r="P225" i="66"/>
  <c r="V225" i="66" s="1"/>
  <c r="W225" i="66"/>
  <c r="W290" i="66"/>
  <c r="P134" i="66"/>
  <c r="W156" i="66"/>
  <c r="P156" i="66"/>
  <c r="V156" i="66" s="1"/>
  <c r="W110" i="66"/>
  <c r="P110" i="66"/>
  <c r="V110" i="66" s="1"/>
  <c r="P55" i="66"/>
  <c r="V55" i="66" s="1"/>
  <c r="W55" i="66"/>
  <c r="P186" i="66"/>
  <c r="V186" i="66" s="1"/>
  <c r="W186" i="66"/>
  <c r="P161" i="66"/>
  <c r="V161" i="66" s="1"/>
  <c r="W161" i="66"/>
  <c r="P190" i="66"/>
  <c r="V190" i="66" s="1"/>
  <c r="W190" i="66"/>
  <c r="P278" i="66"/>
  <c r="P255" i="66"/>
  <c r="P196" i="66"/>
  <c r="P253" i="66"/>
  <c r="V253" i="66" s="1"/>
  <c r="W253" i="66"/>
  <c r="P172" i="66"/>
  <c r="V172" i="66" s="1"/>
  <c r="W172" i="66"/>
  <c r="W42" i="66"/>
  <c r="P42" i="66"/>
  <c r="V42" i="66" s="1"/>
  <c r="P213" i="66"/>
  <c r="V213" i="66" s="1"/>
  <c r="W213" i="66"/>
  <c r="P103" i="66"/>
  <c r="V103" i="66" s="1"/>
  <c r="W103" i="66"/>
  <c r="P162" i="66"/>
  <c r="V162" i="66" s="1"/>
  <c r="W162" i="66"/>
  <c r="P177" i="66"/>
  <c r="V177" i="66" s="1"/>
  <c r="W177" i="66"/>
  <c r="W74" i="66"/>
  <c r="P74" i="66"/>
  <c r="V74" i="66" s="1"/>
  <c r="P120" i="66"/>
  <c r="W199" i="66"/>
  <c r="P199" i="66"/>
  <c r="V199" i="66" s="1"/>
  <c r="W108" i="66"/>
  <c r="P108" i="66"/>
  <c r="V108" i="66" s="1"/>
  <c r="P195" i="66"/>
  <c r="V195" i="66" s="1"/>
  <c r="W195" i="66"/>
  <c r="P128" i="66"/>
  <c r="V128" i="66" s="1"/>
  <c r="W128" i="66"/>
  <c r="N192" i="66"/>
  <c r="P158" i="66"/>
  <c r="V158" i="66" s="1"/>
  <c r="W158" i="66"/>
  <c r="W146" i="66"/>
  <c r="W206" i="66"/>
  <c r="P206" i="66"/>
  <c r="V206" i="66" s="1"/>
  <c r="W30" i="66"/>
  <c r="P30" i="66"/>
  <c r="V30" i="66" s="1"/>
  <c r="P85" i="66"/>
  <c r="V85" i="66" s="1"/>
  <c r="W85" i="66"/>
  <c r="W266" i="66"/>
  <c r="P266" i="66"/>
  <c r="V266" i="66" s="1"/>
  <c r="P230" i="66"/>
  <c r="W96" i="66"/>
  <c r="P96" i="66"/>
  <c r="P282" i="66"/>
  <c r="V282" i="66" s="1"/>
  <c r="W282" i="66"/>
  <c r="N207" i="66"/>
  <c r="P50" i="66"/>
  <c r="V50" i="66" s="1"/>
  <c r="W50" i="66"/>
  <c r="P183" i="66"/>
  <c r="P109" i="66"/>
  <c r="V109" i="66" s="1"/>
  <c r="W109" i="66"/>
  <c r="P39" i="66"/>
  <c r="W273" i="66"/>
  <c r="P273" i="66"/>
  <c r="V273" i="66" s="1"/>
  <c r="N255" i="66"/>
  <c r="P100" i="66"/>
  <c r="N48" i="66"/>
  <c r="N240" i="66"/>
  <c r="W165" i="66"/>
  <c r="P165" i="66"/>
  <c r="V165" i="66" s="1"/>
  <c r="P4" i="66"/>
  <c r="N159" i="66"/>
  <c r="P182" i="66"/>
  <c r="P272" i="66"/>
  <c r="V272" i="66" s="1"/>
  <c r="W272" i="66"/>
  <c r="N63" i="66"/>
  <c r="P21" i="66"/>
  <c r="V21" i="66" s="1"/>
  <c r="W21" i="66"/>
  <c r="W12" i="66"/>
  <c r="P12" i="66"/>
  <c r="V12" i="66" s="1"/>
  <c r="P90" i="66"/>
  <c r="V90" i="66" s="1"/>
  <c r="W90" i="66"/>
  <c r="P72" i="66"/>
  <c r="W113" i="66"/>
  <c r="P113" i="66"/>
  <c r="V113" i="66" s="1"/>
  <c r="P122" i="66"/>
  <c r="V122" i="66" s="1"/>
  <c r="W122" i="66"/>
  <c r="P234" i="66"/>
  <c r="V234" i="66" s="1"/>
  <c r="W234" i="66"/>
  <c r="P167" i="66"/>
  <c r="V167" i="66" s="1"/>
  <c r="W167" i="66"/>
  <c r="P148" i="66"/>
  <c r="P111" i="66"/>
  <c r="P254" i="66"/>
  <c r="V254" i="66" s="1"/>
  <c r="W254" i="66"/>
  <c r="P58" i="66"/>
  <c r="V58" i="66" s="1"/>
  <c r="W58" i="66"/>
  <c r="W257" i="66"/>
  <c r="P257" i="66"/>
  <c r="V257" i="66" s="1"/>
  <c r="P243" i="66"/>
  <c r="V243" i="66" s="1"/>
  <c r="W243" i="66"/>
  <c r="W224" i="66"/>
  <c r="P224" i="66"/>
  <c r="V224" i="66" s="1"/>
  <c r="W106" i="66"/>
  <c r="P106" i="66"/>
  <c r="V106" i="66" s="1"/>
  <c r="W210" i="66"/>
  <c r="P210" i="66"/>
  <c r="V210" i="66" s="1"/>
  <c r="P220" i="66"/>
  <c r="V220" i="66" s="1"/>
  <c r="W220" i="66"/>
  <c r="W194" i="66"/>
  <c r="P154" i="66"/>
  <c r="V154" i="66" s="1"/>
  <c r="W154" i="66"/>
  <c r="P15" i="66"/>
  <c r="N111" i="66"/>
  <c r="W288" i="66"/>
  <c r="P288" i="66"/>
  <c r="P277" i="66"/>
  <c r="V277" i="66" s="1"/>
  <c r="W277" i="66"/>
  <c r="P240" i="66"/>
  <c r="W240" i="66"/>
  <c r="W119" i="66"/>
  <c r="P119" i="66"/>
  <c r="V119" i="66" s="1"/>
  <c r="P69" i="66"/>
  <c r="V69" i="66" s="1"/>
  <c r="W69" i="66"/>
  <c r="P244" i="66"/>
  <c r="P51" i="66"/>
  <c r="V51" i="66" s="1"/>
  <c r="W51" i="66"/>
  <c r="W48" i="66"/>
  <c r="P48" i="66"/>
  <c r="V48" i="66" s="1"/>
  <c r="P247" i="66"/>
  <c r="V247" i="66" s="1"/>
  <c r="W247" i="66"/>
  <c r="P174" i="66"/>
  <c r="V174" i="66" s="1"/>
  <c r="W174" i="66"/>
  <c r="W54" i="66"/>
  <c r="N288" i="66"/>
  <c r="W18" i="66"/>
  <c r="P18" i="66"/>
  <c r="V18" i="66" s="1"/>
  <c r="P126" i="66"/>
  <c r="V126" i="66" s="1"/>
  <c r="W126" i="66"/>
  <c r="W144" i="66"/>
  <c r="P144" i="66"/>
  <c r="P81" i="66"/>
  <c r="V81" i="66" s="1"/>
  <c r="W81" i="66"/>
  <c r="P61" i="66"/>
  <c r="V61" i="66" s="1"/>
  <c r="W61" i="66"/>
  <c r="P181" i="66"/>
  <c r="V181" i="66" s="1"/>
  <c r="W181" i="66"/>
  <c r="P229" i="66"/>
  <c r="V229" i="66" s="1"/>
  <c r="W229" i="66"/>
  <c r="W114" i="66"/>
  <c r="P114" i="66"/>
  <c r="V114" i="66" s="1"/>
  <c r="O288" i="66" l="1"/>
  <c r="V288" i="66" s="1"/>
  <c r="X288" i="66" s="1"/>
  <c r="Z48" i="66"/>
  <c r="Z192" i="66"/>
  <c r="Z255" i="66"/>
  <c r="Z111" i="66"/>
  <c r="Z63" i="66"/>
  <c r="Z207" i="66"/>
  <c r="Z159" i="66"/>
  <c r="Z15" i="66"/>
  <c r="Z240" i="66"/>
  <c r="Z96" i="66"/>
  <c r="Z144" i="66"/>
  <c r="Z288" i="66"/>
  <c r="Y63" i="66"/>
  <c r="Y207" i="66"/>
  <c r="Y288" i="66"/>
  <c r="Y144" i="66"/>
  <c r="Y48" i="66"/>
  <c r="Y192" i="66"/>
  <c r="O159" i="66"/>
  <c r="Y111" i="66"/>
  <c r="Y255" i="66"/>
  <c r="Y96" i="66"/>
  <c r="Y240" i="66"/>
  <c r="Y159" i="66"/>
  <c r="Y15" i="66"/>
  <c r="X129" i="66"/>
  <c r="X30" i="66"/>
  <c r="X23" i="66"/>
  <c r="X61" i="66"/>
  <c r="O111" i="66"/>
  <c r="X108" i="66"/>
  <c r="X3" i="66"/>
  <c r="X253" i="66"/>
  <c r="X33" i="66"/>
  <c r="X157" i="66"/>
  <c r="X167" i="66"/>
  <c r="X10" i="66"/>
  <c r="X205" i="66"/>
  <c r="X218" i="66"/>
  <c r="O240" i="66"/>
  <c r="V240" i="66" s="1"/>
  <c r="X240" i="66" s="1"/>
  <c r="X170" i="66"/>
  <c r="X110" i="66"/>
  <c r="X69" i="66"/>
  <c r="X117" i="66"/>
  <c r="X119" i="66"/>
  <c r="X48" i="66"/>
  <c r="X80" i="66"/>
  <c r="X133" i="66"/>
  <c r="X247" i="66"/>
  <c r="O192" i="66"/>
  <c r="X195" i="66"/>
  <c r="X257" i="66"/>
  <c r="X206" i="66"/>
  <c r="X204" i="66"/>
  <c r="X76" i="66"/>
  <c r="X46" i="66"/>
  <c r="X258" i="66"/>
  <c r="X65" i="66"/>
  <c r="X220" i="66"/>
  <c r="X106" i="66"/>
  <c r="X12" i="66"/>
  <c r="X109" i="66"/>
  <c r="X213" i="66"/>
  <c r="X215" i="66"/>
  <c r="X151" i="66"/>
  <c r="X192" i="66"/>
  <c r="O63" i="66"/>
  <c r="X225" i="66"/>
  <c r="X99" i="66"/>
  <c r="X124" i="66"/>
  <c r="X7" i="66"/>
  <c r="X238" i="66"/>
  <c r="X42" i="66"/>
  <c r="X55" i="66"/>
  <c r="X142" i="66"/>
  <c r="X94" i="66"/>
  <c r="X202" i="66"/>
  <c r="X50" i="66"/>
  <c r="X156" i="66"/>
  <c r="X81" i="66"/>
  <c r="X224" i="66"/>
  <c r="X91" i="66"/>
  <c r="X263" i="66"/>
  <c r="X210" i="66"/>
  <c r="X254" i="66"/>
  <c r="X172" i="66"/>
  <c r="X229" i="66"/>
  <c r="X18" i="66"/>
  <c r="X51" i="66"/>
  <c r="X243" i="66"/>
  <c r="X58" i="66"/>
  <c r="X165" i="66"/>
  <c r="X282" i="66"/>
  <c r="X266" i="66"/>
  <c r="X85" i="66"/>
  <c r="X128" i="66"/>
  <c r="X60" i="66"/>
  <c r="X250" i="66"/>
  <c r="X32" i="66"/>
  <c r="X66" i="66"/>
  <c r="X174" i="66"/>
  <c r="X162" i="66"/>
  <c r="X187" i="66"/>
  <c r="X37" i="66"/>
  <c r="X43" i="66"/>
  <c r="X122" i="66"/>
  <c r="X277" i="66"/>
  <c r="X114" i="66"/>
  <c r="X113" i="66"/>
  <c r="X199" i="66"/>
  <c r="O144" i="66"/>
  <c r="X74" i="66"/>
  <c r="X147" i="66"/>
  <c r="X26" i="66"/>
  <c r="X138" i="66"/>
  <c r="X139" i="66"/>
  <c r="X78" i="66"/>
  <c r="X270" i="66"/>
  <c r="X261" i="66"/>
  <c r="X176" i="66"/>
  <c r="X161" i="66"/>
  <c r="X71" i="66"/>
  <c r="O96" i="66"/>
  <c r="X62" i="66"/>
  <c r="X14" i="66"/>
  <c r="X286" i="66"/>
  <c r="X181" i="66"/>
  <c r="X154" i="66"/>
  <c r="X234" i="66"/>
  <c r="X21" i="66"/>
  <c r="O48" i="66"/>
  <c r="O255" i="66"/>
  <c r="X273" i="66"/>
  <c r="O207" i="66"/>
  <c r="X158" i="66"/>
  <c r="X103" i="66"/>
  <c r="X190" i="66"/>
  <c r="X252" i="66"/>
  <c r="X126" i="66"/>
  <c r="X283" i="66"/>
  <c r="X17" i="66"/>
  <c r="O15" i="66"/>
  <c r="X222" i="66"/>
  <c r="X90" i="66"/>
  <c r="X272" i="66"/>
  <c r="X177" i="66"/>
  <c r="X186" i="66"/>
  <c r="X28" i="66"/>
  <c r="X268" i="66"/>
  <c r="X209" i="66"/>
  <c r="X13" i="66"/>
  <c r="X235" i="66"/>
  <c r="U288" i="66" l="1"/>
  <c r="U192" i="66"/>
  <c r="U240" i="66"/>
  <c r="V144" i="66"/>
  <c r="X144" i="66" s="1"/>
  <c r="U144" i="66"/>
  <c r="V96" i="66"/>
  <c r="X96" i="66" s="1"/>
  <c r="U96" i="66"/>
  <c r="U48" i="66"/>
  <c r="D3" i="34" l="1"/>
  <c r="D4" i="34"/>
  <c r="E4" i="34" s="1"/>
  <c r="D5" i="34"/>
  <c r="E5" i="34" s="1"/>
  <c r="D6" i="34"/>
  <c r="E6" i="34" s="1"/>
  <c r="D7" i="34"/>
  <c r="E7" i="34" s="1"/>
  <c r="D8" i="34"/>
  <c r="E8" i="34" s="1"/>
  <c r="D9" i="34"/>
  <c r="E9" i="34" s="1"/>
  <c r="D10" i="34"/>
  <c r="E10" i="34" s="1"/>
  <c r="D11" i="34"/>
  <c r="E11" i="34" s="1"/>
  <c r="D12" i="34"/>
  <c r="E12" i="34" s="1"/>
  <c r="D13" i="34"/>
  <c r="E13" i="34" s="1"/>
  <c r="D16" i="34"/>
  <c r="E16" i="34" s="1"/>
  <c r="E3" i="34" l="1"/>
  <c r="E18" i="34" s="1"/>
  <c r="D18" i="34"/>
  <c r="C18" i="34"/>
  <c r="G173" i="35" l="1" a="1"/>
  <c r="G173" i="35" s="1"/>
  <c r="G174" i="35" a="1"/>
  <c r="G174" i="35" s="1"/>
  <c r="G177" i="35" a="1"/>
  <c r="G177" i="35" s="1"/>
  <c r="G178" i="35" a="1"/>
  <c r="G178" i="35" s="1"/>
  <c r="G181" i="35" a="1"/>
  <c r="G181" i="35" s="1"/>
  <c r="G182" i="35" a="1"/>
  <c r="G182" i="35" s="1"/>
  <c r="H137" i="37" l="1"/>
  <c r="H139" i="37"/>
  <c r="H135" i="37"/>
  <c r="H134" i="37"/>
  <c r="H133" i="37"/>
  <c r="H138" i="37"/>
  <c r="H136" i="37"/>
  <c r="H140" i="37"/>
  <c r="H106" i="37"/>
  <c r="H108" i="37"/>
  <c r="H103" i="37"/>
  <c r="H107" i="37"/>
  <c r="H104" i="37"/>
  <c r="H105" i="37"/>
  <c r="H102" i="37"/>
  <c r="H117" i="37"/>
  <c r="H121" i="37"/>
  <c r="H119" i="37"/>
  <c r="H118" i="37"/>
  <c r="H122" i="37"/>
  <c r="H120" i="37"/>
  <c r="H124" i="37"/>
  <c r="H123" i="37"/>
  <c r="W88" i="66"/>
  <c r="W40" i="66"/>
  <c r="W280" i="66"/>
  <c r="W136" i="66"/>
  <c r="W184" i="66"/>
  <c r="W232" i="66"/>
  <c r="G172" i="35" a="1"/>
  <c r="G172" i="35" s="1"/>
  <c r="G171" i="35" a="1"/>
  <c r="G171" i="35" s="1"/>
  <c r="G180" i="35" a="1"/>
  <c r="G180" i="35" s="1"/>
  <c r="G179" i="35" a="1"/>
  <c r="G179" i="35" s="1"/>
  <c r="G176" i="35" a="1"/>
  <c r="G176" i="35" s="1"/>
  <c r="G175" i="35" a="1"/>
  <c r="G175" i="35" s="1"/>
  <c r="H125" i="37" l="1"/>
  <c r="H126" i="37"/>
  <c r="H128" i="37"/>
  <c r="H127" i="37"/>
  <c r="H131" i="37"/>
  <c r="H130" i="37"/>
  <c r="H132" i="37"/>
  <c r="H129" i="37"/>
  <c r="H115" i="37"/>
  <c r="H112" i="37"/>
  <c r="H109" i="37"/>
  <c r="H111" i="37"/>
  <c r="H116" i="37"/>
  <c r="H114" i="37"/>
  <c r="H110" i="37"/>
  <c r="H113" i="37"/>
  <c r="H100" i="37"/>
  <c r="H101" i="37"/>
  <c r="H99" i="37"/>
  <c r="H98" i="37"/>
  <c r="H95" i="37"/>
  <c r="H96" i="37"/>
  <c r="H97" i="37"/>
  <c r="I181" i="35"/>
  <c r="H181" i="35"/>
  <c r="I179" i="35"/>
  <c r="H179" i="35"/>
  <c r="I180" i="35"/>
  <c r="I182" i="35"/>
  <c r="J134" i="58" s="1"/>
  <c r="H182" i="35"/>
  <c r="I136" i="58" s="1"/>
  <c r="H180" i="35"/>
  <c r="I178" i="35"/>
  <c r="J122" i="58" s="1"/>
  <c r="H178" i="35"/>
  <c r="I118" i="58" s="1"/>
  <c r="H176" i="35"/>
  <c r="I115" i="58" s="1"/>
  <c r="I176" i="35"/>
  <c r="J114" i="58" s="1"/>
  <c r="H171" i="35"/>
  <c r="I173" i="35"/>
  <c r="H173" i="35"/>
  <c r="I171" i="35"/>
  <c r="I175" i="35"/>
  <c r="H175" i="35"/>
  <c r="I177" i="35"/>
  <c r="H177" i="35"/>
  <c r="I172" i="35"/>
  <c r="J99" i="58" s="1"/>
  <c r="H172" i="35"/>
  <c r="I99" i="58" s="1"/>
  <c r="H174" i="35"/>
  <c r="I102" i="58" s="1"/>
  <c r="I174" i="35"/>
  <c r="J107" i="58" s="1"/>
  <c r="Q176" i="66"/>
  <c r="Q238" i="66"/>
  <c r="R238" i="66" s="1"/>
  <c r="Q157" i="66"/>
  <c r="Q270" i="66"/>
  <c r="R270" i="66" s="1"/>
  <c r="Q74" i="66"/>
  <c r="R74" i="66" s="1"/>
  <c r="Q80" i="66"/>
  <c r="R80" i="66" s="1"/>
  <c r="Q154" i="66"/>
  <c r="Q42" i="66"/>
  <c r="Q146" i="66"/>
  <c r="Q196" i="66"/>
  <c r="R196" i="66" s="1"/>
  <c r="Q182" i="66"/>
  <c r="Q261" i="66"/>
  <c r="R261" i="66" s="1"/>
  <c r="Q43" i="66"/>
  <c r="Q86" i="66"/>
  <c r="R86" i="66" s="1"/>
  <c r="Q128" i="66"/>
  <c r="R128" i="66" s="1"/>
  <c r="Q258" i="66"/>
  <c r="R258" i="66" s="1"/>
  <c r="Q142" i="66"/>
  <c r="R142" i="66" s="1"/>
  <c r="Q33" i="66"/>
  <c r="Q167" i="66"/>
  <c r="Q110" i="66"/>
  <c r="R110" i="66" s="1"/>
  <c r="Q61" i="66"/>
  <c r="R61" i="66" s="1"/>
  <c r="Q234" i="66"/>
  <c r="R234" i="66" s="1"/>
  <c r="Q37" i="66"/>
  <c r="Q222" i="66"/>
  <c r="R222" i="66" s="1"/>
  <c r="Q250" i="66"/>
  <c r="R250" i="66" s="1"/>
  <c r="Q177" i="66"/>
  <c r="Q215" i="66"/>
  <c r="R215" i="66" s="1"/>
  <c r="Q135" i="66"/>
  <c r="R135" i="66" s="1"/>
  <c r="Q272" i="66"/>
  <c r="R272" i="66" s="1"/>
  <c r="Q113" i="66"/>
  <c r="R113" i="66" s="1"/>
  <c r="Q206" i="66"/>
  <c r="R206" i="66" s="1"/>
  <c r="Q213" i="66"/>
  <c r="R213" i="66" s="1"/>
  <c r="Q183" i="66"/>
  <c r="Q286" i="66"/>
  <c r="R286" i="66" s="1"/>
  <c r="Q170" i="66"/>
  <c r="Q90" i="66"/>
  <c r="R90" i="66" s="1"/>
  <c r="Q279" i="66"/>
  <c r="R279" i="66" s="1"/>
  <c r="Q244" i="66"/>
  <c r="R244" i="66" s="1"/>
  <c r="Q14" i="66"/>
  <c r="Q273" i="66"/>
  <c r="R273" i="66" s="1"/>
  <c r="Q174" i="66"/>
  <c r="Q264" i="66"/>
  <c r="R264" i="66" s="1"/>
  <c r="Q87" i="66"/>
  <c r="R87" i="66" s="1"/>
  <c r="Q108" i="66"/>
  <c r="R108" i="66" s="1"/>
  <c r="Q117" i="66"/>
  <c r="R117" i="66" s="1"/>
  <c r="Q257" i="66"/>
  <c r="R257" i="66" s="1"/>
  <c r="Q165" i="66"/>
  <c r="Q72" i="66"/>
  <c r="R72" i="66" s="1"/>
  <c r="Q32" i="66"/>
  <c r="Q69" i="66"/>
  <c r="R69" i="66" s="1"/>
  <c r="Q119" i="66"/>
  <c r="R119" i="66" s="1"/>
  <c r="Q138" i="66"/>
  <c r="R138" i="66" s="1"/>
  <c r="Q224" i="66"/>
  <c r="R224" i="66" s="1"/>
  <c r="Q106" i="66"/>
  <c r="R106" i="66" s="1"/>
  <c r="Q139" i="66"/>
  <c r="R139" i="66" s="1"/>
  <c r="Q78" i="66"/>
  <c r="R78" i="66" s="1"/>
  <c r="Q66" i="66"/>
  <c r="R66" i="66" s="1"/>
  <c r="Q12" i="66"/>
  <c r="Q194" i="66"/>
  <c r="Q10" i="66"/>
  <c r="Q30" i="66"/>
  <c r="Q230" i="66"/>
  <c r="R230" i="66" s="1"/>
  <c r="Q148" i="66"/>
  <c r="Q220" i="66"/>
  <c r="R220" i="66" s="1"/>
  <c r="Q103" i="66"/>
  <c r="R103" i="66" s="1"/>
  <c r="Q187" i="66"/>
  <c r="Q277" i="66"/>
  <c r="R277" i="66" s="1"/>
  <c r="Q156" i="66"/>
  <c r="Q122" i="66"/>
  <c r="R122" i="66" s="1"/>
  <c r="Q99" i="66"/>
  <c r="R99" i="66" s="1"/>
  <c r="Q62" i="66"/>
  <c r="R62" i="66" s="1"/>
  <c r="Q100" i="66"/>
  <c r="R100" i="66" s="1"/>
  <c r="Q55" i="66"/>
  <c r="R55" i="66" s="1"/>
  <c r="Q85" i="66"/>
  <c r="R85" i="66" s="1"/>
  <c r="Q195" i="66"/>
  <c r="R195" i="66" s="1"/>
  <c r="Q133" i="66"/>
  <c r="R133" i="66" s="1"/>
  <c r="Q147" i="66"/>
  <c r="Q76" i="66"/>
  <c r="R76" i="66" s="1"/>
  <c r="Q283" i="66"/>
  <c r="R283" i="66" s="1"/>
  <c r="Q218" i="66"/>
  <c r="R218" i="66" s="1"/>
  <c r="Q18" i="66"/>
  <c r="Q71" i="66"/>
  <c r="R71" i="66" s="1"/>
  <c r="Q209" i="66"/>
  <c r="R209" i="66" s="1"/>
  <c r="Q190" i="66"/>
  <c r="Q181" i="66"/>
  <c r="Q229" i="66"/>
  <c r="R229" i="66" s="1"/>
  <c r="Q109" i="66"/>
  <c r="R109" i="66" s="1"/>
  <c r="Q38" i="66"/>
  <c r="Q253" i="66"/>
  <c r="R253" i="66" s="1"/>
  <c r="Q17" i="66"/>
  <c r="Q231" i="66"/>
  <c r="R231" i="66" s="1"/>
  <c r="Q199" i="66"/>
  <c r="R199" i="66" s="1"/>
  <c r="Q186" i="66"/>
  <c r="Q204" i="66"/>
  <c r="R204" i="66" s="1"/>
  <c r="Q91" i="66"/>
  <c r="R91" i="66" s="1"/>
  <c r="Q172" i="66"/>
  <c r="Q247" i="66"/>
  <c r="R247" i="66" s="1"/>
  <c r="Q162" i="66"/>
  <c r="Q65" i="66"/>
  <c r="R65" i="66" s="1"/>
  <c r="Q52" i="66"/>
  <c r="R52" i="66" s="1"/>
  <c r="Q21" i="66"/>
  <c r="Q263" i="66"/>
  <c r="R263" i="66" s="1"/>
  <c r="Q13" i="66"/>
  <c r="Q268" i="66"/>
  <c r="R268" i="66" s="1"/>
  <c r="Q151" i="66"/>
  <c r="Q278" i="66"/>
  <c r="R278" i="66" s="1"/>
  <c r="Q235" i="66"/>
  <c r="R235" i="66" s="1"/>
  <c r="Q60" i="66"/>
  <c r="R60" i="66" s="1"/>
  <c r="Q243" i="66"/>
  <c r="R243" i="66" s="1"/>
  <c r="Q202" i="66"/>
  <c r="R202" i="66" s="1"/>
  <c r="Q266" i="66"/>
  <c r="R266" i="66" s="1"/>
  <c r="Q134" i="66"/>
  <c r="R134" i="66" s="1"/>
  <c r="Q158" i="66"/>
  <c r="Q46" i="66"/>
  <c r="Q124" i="66"/>
  <c r="R124" i="66" s="1"/>
  <c r="Q290" i="66"/>
  <c r="Q129" i="66"/>
  <c r="R129" i="66" s="1"/>
  <c r="Q126" i="66"/>
  <c r="R126" i="66" s="1"/>
  <c r="Q216" i="66"/>
  <c r="R216" i="66" s="1"/>
  <c r="Q242" i="66"/>
  <c r="Q210" i="66"/>
  <c r="R210" i="66" s="1"/>
  <c r="Q225" i="66"/>
  <c r="R225" i="66" s="1"/>
  <c r="Q28" i="66"/>
  <c r="Q26" i="66"/>
  <c r="Q24" i="66"/>
  <c r="Q4" i="66"/>
  <c r="Q168" i="66"/>
  <c r="Q3" i="66"/>
  <c r="Q23" i="66"/>
  <c r="Q161" i="66"/>
  <c r="Q114" i="66"/>
  <c r="R114" i="66" s="1"/>
  <c r="Q98" i="66"/>
  <c r="Q51" i="66"/>
  <c r="R51" i="66" s="1"/>
  <c r="Q282" i="66"/>
  <c r="R282" i="66" s="1"/>
  <c r="Q39" i="66"/>
  <c r="Q7" i="66"/>
  <c r="Q81" i="66"/>
  <c r="R81" i="66" s="1"/>
  <c r="Q254" i="66"/>
  <c r="R254" i="66" s="1"/>
  <c r="Q50" i="66"/>
  <c r="Q120" i="66"/>
  <c r="R120" i="66" s="1"/>
  <c r="Q94" i="66"/>
  <c r="R94" i="66" s="1"/>
  <c r="Q252" i="66"/>
  <c r="R252" i="66" s="1"/>
  <c r="Q205" i="66"/>
  <c r="R205" i="66" s="1"/>
  <c r="Q58" i="66"/>
  <c r="R58" i="66" s="1"/>
  <c r="R176" i="66"/>
  <c r="S168" i="66"/>
  <c r="S263" i="66"/>
  <c r="R3" i="66"/>
  <c r="R26" i="66"/>
  <c r="R147" i="66"/>
  <c r="S273" i="66"/>
  <c r="S13" i="66"/>
  <c r="S63" i="66"/>
  <c r="S258" i="66"/>
  <c r="S3" i="66"/>
  <c r="S91" i="66"/>
  <c r="S98" i="66"/>
  <c r="S37" i="66"/>
  <c r="S216" i="66"/>
  <c r="S204" i="66"/>
  <c r="S26" i="66"/>
  <c r="S147" i="66"/>
  <c r="S110" i="66"/>
  <c r="R172" i="66"/>
  <c r="S103" i="66"/>
  <c r="S158" i="66"/>
  <c r="S30" i="66"/>
  <c r="S50" i="66"/>
  <c r="S272" i="66"/>
  <c r="R12" i="66"/>
  <c r="R167" i="66"/>
  <c r="R15" i="66"/>
  <c r="S240" i="66"/>
  <c r="S18" i="66"/>
  <c r="R158" i="66"/>
  <c r="R30" i="66"/>
  <c r="S183" i="66"/>
  <c r="S165" i="66"/>
  <c r="S49" i="66"/>
  <c r="S148" i="66"/>
  <c r="S224" i="66"/>
  <c r="S15" i="66"/>
  <c r="S247" i="66"/>
  <c r="S126" i="66"/>
  <c r="S114" i="66"/>
  <c r="S279" i="66"/>
  <c r="R168" i="66"/>
  <c r="R13" i="66"/>
  <c r="S170" i="66"/>
  <c r="S32" i="66"/>
  <c r="S157" i="66"/>
  <c r="R37" i="66"/>
  <c r="S151" i="66"/>
  <c r="S138" i="66"/>
  <c r="S202" i="66"/>
  <c r="R161" i="66"/>
  <c r="S40" i="66"/>
  <c r="S172" i="66"/>
  <c r="S74" i="66"/>
  <c r="S122" i="66"/>
  <c r="S58" i="66"/>
  <c r="R18" i="66"/>
  <c r="S90" i="66"/>
  <c r="R148" i="66"/>
  <c r="S176" i="66"/>
  <c r="S10" i="66"/>
  <c r="R170" i="66"/>
  <c r="R32" i="66"/>
  <c r="R157" i="66"/>
  <c r="S286" i="66"/>
  <c r="S142" i="66"/>
  <c r="S222" i="66"/>
  <c r="R151" i="66"/>
  <c r="S117" i="66"/>
  <c r="S159" i="66"/>
  <c r="S207" i="66"/>
  <c r="S274" i="66"/>
  <c r="S280" i="66"/>
  <c r="S162" i="66"/>
  <c r="S195" i="66"/>
  <c r="S80" i="66"/>
  <c r="R10" i="66"/>
  <c r="S71" i="66"/>
  <c r="S129" i="66"/>
  <c r="R46" i="66"/>
  <c r="S268" i="66"/>
  <c r="R159" i="66"/>
  <c r="S6" i="66"/>
  <c r="T6" i="66" s="1"/>
  <c r="S215" i="66"/>
  <c r="S33" i="66"/>
  <c r="S134" i="66"/>
  <c r="S96" i="66"/>
  <c r="R183" i="66"/>
  <c r="S193" i="66"/>
  <c r="S4" i="66"/>
  <c r="S99" i="66"/>
  <c r="R24" i="66"/>
  <c r="S246" i="66"/>
  <c r="T246" i="66" s="1"/>
  <c r="S46" i="66"/>
  <c r="S283" i="66"/>
  <c r="R33" i="66"/>
  <c r="S190" i="66"/>
  <c r="S42" i="66"/>
  <c r="S120" i="66"/>
  <c r="S85" i="66"/>
  <c r="R4" i="66"/>
  <c r="S106" i="66"/>
  <c r="S174" i="66"/>
  <c r="S76" i="66"/>
  <c r="S232" i="66"/>
  <c r="R39" i="66"/>
  <c r="R48" i="66"/>
  <c r="S108" i="66"/>
  <c r="S97" i="66"/>
  <c r="S61" i="66"/>
  <c r="S133" i="66"/>
  <c r="S235" i="66"/>
  <c r="S24" i="66"/>
  <c r="S86" i="66"/>
  <c r="S136" i="66"/>
  <c r="S184" i="66"/>
  <c r="S55" i="66"/>
  <c r="S196" i="66"/>
  <c r="R42" i="66"/>
  <c r="R162" i="66"/>
  <c r="S146" i="66"/>
  <c r="S72" i="66"/>
  <c r="S111" i="66"/>
  <c r="S257" i="66"/>
  <c r="S194" i="66"/>
  <c r="S288" i="66"/>
  <c r="S119" i="66"/>
  <c r="S51" i="66"/>
  <c r="S264" i="66"/>
  <c r="S198" i="66"/>
  <c r="T198" i="66" s="1"/>
  <c r="S60" i="66"/>
  <c r="S69" i="66"/>
  <c r="S229" i="66"/>
  <c r="S65" i="66"/>
  <c r="S150" i="66"/>
  <c r="T150" i="66" s="1"/>
  <c r="S187" i="66"/>
  <c r="S161" i="66"/>
  <c r="S277" i="66"/>
  <c r="S167" i="66"/>
  <c r="S244" i="66"/>
  <c r="S218" i="66"/>
  <c r="R7" i="66"/>
  <c r="S241" i="66"/>
  <c r="S250" i="66"/>
  <c r="S52" i="66"/>
  <c r="S139" i="66"/>
  <c r="S242" i="66"/>
  <c r="S124" i="66"/>
  <c r="R156" i="66"/>
  <c r="R190" i="66"/>
  <c r="S266" i="66"/>
  <c r="S109" i="66"/>
  <c r="R21" i="66"/>
  <c r="S234" i="66"/>
  <c r="S226" i="66"/>
  <c r="S178" i="66"/>
  <c r="R174" i="66"/>
  <c r="S144" i="66"/>
  <c r="S181" i="66"/>
  <c r="S192" i="66"/>
  <c r="S82" i="66"/>
  <c r="S278" i="66"/>
  <c r="R177" i="66"/>
  <c r="S255" i="66"/>
  <c r="S12" i="66"/>
  <c r="S220" i="66"/>
  <c r="S270" i="66"/>
  <c r="S66" i="66"/>
  <c r="S7" i="66"/>
  <c r="R14" i="66"/>
  <c r="S62" i="66"/>
  <c r="S43" i="66"/>
  <c r="S78" i="66"/>
  <c r="R28" i="66"/>
  <c r="S252" i="66"/>
  <c r="R186" i="66"/>
  <c r="S199" i="66"/>
  <c r="S128" i="66"/>
  <c r="S206" i="66"/>
  <c r="S282" i="66"/>
  <c r="S100" i="66"/>
  <c r="S182" i="66"/>
  <c r="S21" i="66"/>
  <c r="S254" i="66"/>
  <c r="S210" i="66"/>
  <c r="S289" i="66"/>
  <c r="S48" i="66"/>
  <c r="S38" i="66"/>
  <c r="S135" i="66"/>
  <c r="R17" i="66"/>
  <c r="S130" i="66"/>
  <c r="R192" i="66"/>
  <c r="S230" i="66"/>
  <c r="S113" i="66"/>
  <c r="S205" i="66"/>
  <c r="S238" i="66"/>
  <c r="S94" i="66"/>
  <c r="S14" i="66"/>
  <c r="R43" i="66"/>
  <c r="R187" i="66"/>
  <c r="R23" i="66"/>
  <c r="S87" i="66"/>
  <c r="S28" i="66"/>
  <c r="S225" i="66"/>
  <c r="S156" i="66"/>
  <c r="S253" i="66"/>
  <c r="S213" i="66"/>
  <c r="S177" i="66"/>
  <c r="R182" i="66"/>
  <c r="S145" i="66"/>
  <c r="S88" i="66"/>
  <c r="S243" i="66"/>
  <c r="S154" i="66"/>
  <c r="S54" i="66"/>
  <c r="T54" i="66" s="1"/>
  <c r="R181" i="66"/>
  <c r="R38" i="66"/>
  <c r="S261" i="66"/>
  <c r="S102" i="66"/>
  <c r="T102" i="66" s="1"/>
  <c r="S231" i="66"/>
  <c r="S17" i="66"/>
  <c r="S23" i="66"/>
  <c r="S186" i="66"/>
  <c r="S39" i="66"/>
  <c r="S290" i="66"/>
  <c r="R154" i="66"/>
  <c r="S81" i="66"/>
  <c r="R165" i="66"/>
  <c r="S34" i="66"/>
  <c r="S209" i="66"/>
  <c r="R50" i="66"/>
  <c r="Q288" i="66"/>
  <c r="R288" i="66" s="1"/>
  <c r="Q159" i="66"/>
  <c r="Q15" i="66"/>
  <c r="Q63" i="66"/>
  <c r="R63" i="66" s="1"/>
  <c r="Q192" i="66"/>
  <c r="Q48" i="66"/>
  <c r="Q111" i="66"/>
  <c r="R111" i="66" s="1"/>
  <c r="Q207" i="66"/>
  <c r="R207" i="66" s="1"/>
  <c r="Q240" i="66"/>
  <c r="R240" i="66" s="1"/>
  <c r="Q96" i="66"/>
  <c r="R96" i="66" s="1"/>
  <c r="Q144" i="66"/>
  <c r="R144" i="66" s="1"/>
  <c r="Q255" i="66"/>
  <c r="R255" i="66" s="1"/>
  <c r="H7" i="58"/>
  <c r="H139" i="58"/>
  <c r="H114" i="58"/>
  <c r="C420" i="58"/>
  <c r="C420" i="37"/>
  <c r="C409" i="37"/>
  <c r="C409" i="58"/>
  <c r="C397" i="58"/>
  <c r="C397" i="37"/>
  <c r="C387" i="58"/>
  <c r="C387" i="37"/>
  <c r="C375" i="58"/>
  <c r="C375" i="37"/>
  <c r="C364" i="58"/>
  <c r="C364" i="37"/>
  <c r="C352" i="58"/>
  <c r="C352" i="37"/>
  <c r="C341" i="37"/>
  <c r="C341" i="58"/>
  <c r="C329" i="58"/>
  <c r="C329" i="37"/>
  <c r="C319" i="58"/>
  <c r="C319" i="37"/>
  <c r="C296" i="58"/>
  <c r="C296" i="37"/>
  <c r="C286" i="58"/>
  <c r="C286" i="37"/>
  <c r="C275" i="58"/>
  <c r="C275" i="37"/>
  <c r="C265" i="58"/>
  <c r="C265" i="37"/>
  <c r="C243" i="37"/>
  <c r="C243" i="58"/>
  <c r="C220" i="58"/>
  <c r="C220" i="37"/>
  <c r="C209" i="37"/>
  <c r="C209" i="58"/>
  <c r="C197" i="58"/>
  <c r="C197" i="37"/>
  <c r="C171" i="58"/>
  <c r="C171" i="37"/>
  <c r="C160" i="58"/>
  <c r="C160" i="37"/>
  <c r="C149" i="58"/>
  <c r="C149" i="37"/>
  <c r="J9" i="58"/>
  <c r="C421" i="58"/>
  <c r="C421" i="37"/>
  <c r="C330" i="58"/>
  <c r="C330" i="37"/>
  <c r="C221" i="58"/>
  <c r="C221" i="37"/>
  <c r="I7" i="58"/>
  <c r="H138" i="58"/>
  <c r="H106" i="58"/>
  <c r="C419" i="37"/>
  <c r="C419" i="58"/>
  <c r="C408" i="37"/>
  <c r="C408" i="58"/>
  <c r="C396" i="58"/>
  <c r="C396" i="37"/>
  <c r="C386" i="58"/>
  <c r="C386" i="37"/>
  <c r="C374" i="37"/>
  <c r="C374" i="58"/>
  <c r="C363" i="58"/>
  <c r="C363" i="37"/>
  <c r="C340" i="58"/>
  <c r="C340" i="37"/>
  <c r="C328" i="58"/>
  <c r="C328" i="37"/>
  <c r="C318" i="58"/>
  <c r="C318" i="37"/>
  <c r="C307" i="58"/>
  <c r="C307" i="37"/>
  <c r="C295" i="58"/>
  <c r="C295" i="37"/>
  <c r="C274" i="58"/>
  <c r="C274" i="37"/>
  <c r="C264" i="58"/>
  <c r="C264" i="37"/>
  <c r="C253" i="58"/>
  <c r="C253" i="37"/>
  <c r="C242" i="37"/>
  <c r="C242" i="58"/>
  <c r="C231" i="58"/>
  <c r="C231" i="37"/>
  <c r="C219" i="58"/>
  <c r="C219" i="37"/>
  <c r="C208" i="58"/>
  <c r="C208" i="37"/>
  <c r="C196" i="58"/>
  <c r="C196" i="37"/>
  <c r="C182" i="58"/>
  <c r="C182" i="37"/>
  <c r="C170" i="37"/>
  <c r="C170" i="58"/>
  <c r="C159" i="58"/>
  <c r="C159" i="37"/>
  <c r="C143" i="58"/>
  <c r="C143" i="37"/>
  <c r="C398" i="58"/>
  <c r="C398" i="37"/>
  <c r="C297" i="58"/>
  <c r="C297" i="37"/>
  <c r="C161" i="58"/>
  <c r="C161" i="37"/>
  <c r="C150" i="58"/>
  <c r="C150" i="37"/>
  <c r="J7" i="58"/>
  <c r="F271" i="66" s="1"/>
  <c r="J133" i="58"/>
  <c r="H136" i="58"/>
  <c r="H103" i="58"/>
  <c r="H135" i="58"/>
  <c r="H107" i="58"/>
  <c r="J2" i="58"/>
  <c r="J2" i="37"/>
  <c r="C418" i="58"/>
  <c r="C418" i="37"/>
  <c r="C407" i="58"/>
  <c r="C407" i="37"/>
  <c r="C395" i="58"/>
  <c r="C395" i="37"/>
  <c r="C385" i="58"/>
  <c r="C385" i="37"/>
  <c r="C362" i="37"/>
  <c r="C362" i="58"/>
  <c r="C351" i="58"/>
  <c r="C351" i="37"/>
  <c r="C339" i="58"/>
  <c r="C339" i="37"/>
  <c r="C317" i="58"/>
  <c r="C317" i="37"/>
  <c r="C306" i="58"/>
  <c r="C306" i="37"/>
  <c r="C294" i="37"/>
  <c r="C294" i="58"/>
  <c r="C285" i="37"/>
  <c r="C285" i="58"/>
  <c r="C273" i="37"/>
  <c r="C273" i="58"/>
  <c r="C263" i="58"/>
  <c r="C263" i="37"/>
  <c r="C252" i="58"/>
  <c r="C252" i="37"/>
  <c r="C241" i="58"/>
  <c r="C241" i="37"/>
  <c r="C230" i="37"/>
  <c r="C230" i="58"/>
  <c r="C218" i="37"/>
  <c r="C218" i="58"/>
  <c r="C207" i="37"/>
  <c r="C207" i="58"/>
  <c r="C195" i="58"/>
  <c r="C195" i="37"/>
  <c r="C181" i="58"/>
  <c r="C181" i="37"/>
  <c r="C158" i="37"/>
  <c r="C158" i="58"/>
  <c r="C148" i="58"/>
  <c r="C148" i="37"/>
  <c r="C276" i="58"/>
  <c r="C276" i="37"/>
  <c r="J130" i="58"/>
  <c r="H134" i="58"/>
  <c r="H102" i="58"/>
  <c r="H104" i="58"/>
  <c r="C417" i="37"/>
  <c r="C417" i="58"/>
  <c r="C406" i="58"/>
  <c r="C406" i="37"/>
  <c r="C394" i="58"/>
  <c r="C394" i="37"/>
  <c r="C384" i="58"/>
  <c r="C384" i="37"/>
  <c r="C373" i="58"/>
  <c r="C373" i="37"/>
  <c r="C361" i="58"/>
  <c r="C361" i="37"/>
  <c r="C350" i="58"/>
  <c r="C350" i="37"/>
  <c r="C338" i="58"/>
  <c r="C338" i="37"/>
  <c r="C327" i="58"/>
  <c r="C327" i="37"/>
  <c r="C316" i="37"/>
  <c r="C316" i="58"/>
  <c r="C305" i="58"/>
  <c r="C305" i="37"/>
  <c r="C293" i="37"/>
  <c r="C293" i="58"/>
  <c r="C284" i="58"/>
  <c r="C284" i="37"/>
  <c r="C272" i="58"/>
  <c r="C272" i="37"/>
  <c r="C262" i="58"/>
  <c r="C262" i="37"/>
  <c r="C251" i="58"/>
  <c r="C251" i="37"/>
  <c r="C240" i="58"/>
  <c r="C240" i="37"/>
  <c r="C229" i="58"/>
  <c r="C229" i="37"/>
  <c r="C217" i="37"/>
  <c r="C217" i="58"/>
  <c r="C206" i="37"/>
  <c r="C206" i="58"/>
  <c r="C194" i="37"/>
  <c r="C194" i="58"/>
  <c r="C180" i="37"/>
  <c r="C180" i="58"/>
  <c r="C169" i="58"/>
  <c r="C169" i="37"/>
  <c r="C157" i="37"/>
  <c r="C157" i="58"/>
  <c r="C142" i="37"/>
  <c r="C142" i="58"/>
  <c r="C365" i="58"/>
  <c r="C365" i="37"/>
  <c r="C210" i="58"/>
  <c r="C210" i="37"/>
  <c r="J3" i="58"/>
  <c r="I3" i="58"/>
  <c r="H133" i="58"/>
  <c r="H101" i="58"/>
  <c r="I2" i="58"/>
  <c r="I2" i="37"/>
  <c r="C416" i="58"/>
  <c r="C416" i="37"/>
  <c r="C405" i="58"/>
  <c r="C405" i="37"/>
  <c r="C393" i="37"/>
  <c r="C393" i="58"/>
  <c r="C383" i="37"/>
  <c r="C383" i="58"/>
  <c r="C372" i="58"/>
  <c r="C372" i="37"/>
  <c r="C360" i="37"/>
  <c r="C360" i="58"/>
  <c r="C349" i="37"/>
  <c r="C349" i="58"/>
  <c r="C337" i="58"/>
  <c r="C337" i="37"/>
  <c r="C326" i="58"/>
  <c r="C326" i="37"/>
  <c r="C315" i="37"/>
  <c r="C315" i="58"/>
  <c r="C304" i="37"/>
  <c r="C304" i="58"/>
  <c r="C292" i="58"/>
  <c r="C292" i="37"/>
  <c r="C283" i="58"/>
  <c r="C283" i="37"/>
  <c r="C261" i="58"/>
  <c r="C261" i="37"/>
  <c r="C250" i="58"/>
  <c r="C250" i="37"/>
  <c r="C239" i="37"/>
  <c r="C239" i="58"/>
  <c r="C228" i="58"/>
  <c r="C228" i="37"/>
  <c r="C216" i="58"/>
  <c r="C216" i="37"/>
  <c r="C205" i="58"/>
  <c r="C205" i="37"/>
  <c r="C179" i="58"/>
  <c r="C179" i="37"/>
  <c r="C168" i="58"/>
  <c r="C168" i="37"/>
  <c r="C156" i="37"/>
  <c r="C156" i="58"/>
  <c r="C147" i="58"/>
  <c r="C147" i="37"/>
  <c r="C320" i="58"/>
  <c r="C320" i="37"/>
  <c r="H131" i="58"/>
  <c r="H99" i="58"/>
  <c r="C415" i="58"/>
  <c r="C415" i="37"/>
  <c r="C404" i="37"/>
  <c r="C404" i="58"/>
  <c r="C392" i="37"/>
  <c r="C392" i="58"/>
  <c r="C382" i="37"/>
  <c r="C382" i="58"/>
  <c r="C371" i="58"/>
  <c r="C371" i="37"/>
  <c r="C359" i="37"/>
  <c r="C359" i="58"/>
  <c r="C348" i="37"/>
  <c r="C348" i="58"/>
  <c r="C336" i="58"/>
  <c r="C336" i="37"/>
  <c r="C325" i="37"/>
  <c r="C325" i="58"/>
  <c r="C314" i="58"/>
  <c r="C314" i="37"/>
  <c r="C303" i="58"/>
  <c r="C303" i="37"/>
  <c r="C291" i="58"/>
  <c r="C291" i="37"/>
  <c r="C282" i="58"/>
  <c r="C282" i="37"/>
  <c r="C271" i="58"/>
  <c r="C271" i="37"/>
  <c r="C260" i="37"/>
  <c r="C260" i="58"/>
  <c r="C238" i="37"/>
  <c r="C238" i="58"/>
  <c r="C227" i="58"/>
  <c r="C227" i="37"/>
  <c r="C215" i="37"/>
  <c r="C215" i="58"/>
  <c r="C204" i="58"/>
  <c r="C204" i="37"/>
  <c r="C193" i="37"/>
  <c r="C193" i="58"/>
  <c r="C178" i="58"/>
  <c r="C178" i="37"/>
  <c r="C167" i="37"/>
  <c r="C167" i="58"/>
  <c r="C155" i="58"/>
  <c r="C155" i="37"/>
  <c r="C146" i="58"/>
  <c r="C146" i="37"/>
  <c r="C141" i="58"/>
  <c r="C141" i="37"/>
  <c r="C376" i="37"/>
  <c r="C376" i="58"/>
  <c r="C308" i="58"/>
  <c r="C308" i="37"/>
  <c r="C266" i="58"/>
  <c r="C266" i="37"/>
  <c r="C244" i="58"/>
  <c r="C244" i="37"/>
  <c r="C198" i="58"/>
  <c r="C198" i="37"/>
  <c r="C172" i="58"/>
  <c r="C172" i="37"/>
  <c r="C144" i="37"/>
  <c r="C144" i="58"/>
  <c r="H129" i="58"/>
  <c r="C414" i="58"/>
  <c r="C414" i="37"/>
  <c r="C403" i="37"/>
  <c r="C403" i="58"/>
  <c r="C381" i="37"/>
  <c r="C381" i="58"/>
  <c r="C370" i="37"/>
  <c r="C370" i="58"/>
  <c r="C358" i="37"/>
  <c r="C358" i="58"/>
  <c r="C347" i="58"/>
  <c r="C347" i="37"/>
  <c r="C335" i="58"/>
  <c r="C335" i="37"/>
  <c r="C324" i="37"/>
  <c r="C324" i="58"/>
  <c r="C313" i="37"/>
  <c r="C313" i="58"/>
  <c r="C302" i="58"/>
  <c r="C302" i="37"/>
  <c r="C290" i="58"/>
  <c r="C290" i="37"/>
  <c r="C281" i="37"/>
  <c r="C281" i="58"/>
  <c r="C270" i="37"/>
  <c r="C270" i="58"/>
  <c r="C259" i="58"/>
  <c r="C259" i="37"/>
  <c r="C249" i="37"/>
  <c r="C249" i="58"/>
  <c r="C237" i="37"/>
  <c r="C237" i="58"/>
  <c r="C226" i="37"/>
  <c r="C226" i="58"/>
  <c r="C214" i="58"/>
  <c r="C214" i="37"/>
  <c r="C203" i="58"/>
  <c r="C203" i="37"/>
  <c r="C192" i="58"/>
  <c r="C192" i="37"/>
  <c r="C177" i="37"/>
  <c r="C177" i="58"/>
  <c r="C166" i="58"/>
  <c r="C166" i="37"/>
  <c r="C154" i="37"/>
  <c r="C154" i="58"/>
  <c r="C145" i="37"/>
  <c r="C145" i="58"/>
  <c r="J138" i="58"/>
  <c r="H122" i="58"/>
  <c r="J132" i="58"/>
  <c r="C413" i="58"/>
  <c r="C413" i="37"/>
  <c r="C402" i="58"/>
  <c r="C402" i="37"/>
  <c r="C391" i="37"/>
  <c r="C391" i="58"/>
  <c r="C380" i="58"/>
  <c r="C380" i="37"/>
  <c r="C369" i="58"/>
  <c r="C369" i="37"/>
  <c r="C357" i="37"/>
  <c r="C357" i="58"/>
  <c r="C346" i="37"/>
  <c r="C346" i="58"/>
  <c r="C334" i="37"/>
  <c r="C334" i="58"/>
  <c r="C323" i="37"/>
  <c r="C323" i="58"/>
  <c r="C312" i="37"/>
  <c r="C312" i="58"/>
  <c r="C301" i="58"/>
  <c r="C301" i="37"/>
  <c r="C280" i="58"/>
  <c r="C280" i="37"/>
  <c r="C258" i="58"/>
  <c r="C258" i="37"/>
  <c r="C248" i="58"/>
  <c r="C248" i="37"/>
  <c r="C236" i="58"/>
  <c r="C236" i="37"/>
  <c r="C225" i="58"/>
  <c r="C225" i="37"/>
  <c r="C213" i="58"/>
  <c r="C213" i="37"/>
  <c r="C202" i="58"/>
  <c r="C202" i="37"/>
  <c r="C191" i="37"/>
  <c r="C191" i="58"/>
  <c r="C176" i="37"/>
  <c r="C176" i="58"/>
  <c r="C165" i="37"/>
  <c r="C165" i="58"/>
  <c r="C153" i="37"/>
  <c r="C153" i="58"/>
  <c r="H117" i="58"/>
  <c r="I122" i="58"/>
  <c r="C342" i="58"/>
  <c r="C342" i="37"/>
  <c r="C232" i="58"/>
  <c r="C232" i="37"/>
  <c r="H9" i="58"/>
  <c r="H120" i="58"/>
  <c r="I131" i="58"/>
  <c r="C412" i="37"/>
  <c r="C412" i="58"/>
  <c r="C401" i="58"/>
  <c r="C401" i="37"/>
  <c r="C390" i="37"/>
  <c r="C390" i="58"/>
  <c r="C379" i="58"/>
  <c r="C379" i="37"/>
  <c r="C368" i="58"/>
  <c r="C368" i="37"/>
  <c r="C356" i="58"/>
  <c r="C356" i="37"/>
  <c r="C345" i="58"/>
  <c r="C345" i="37"/>
  <c r="C333" i="37"/>
  <c r="C333" i="58"/>
  <c r="C311" i="58"/>
  <c r="C311" i="37"/>
  <c r="C300" i="58"/>
  <c r="C300" i="37"/>
  <c r="C289" i="37"/>
  <c r="C289" i="58"/>
  <c r="C279" i="58"/>
  <c r="C279" i="37"/>
  <c r="C269" i="37"/>
  <c r="C269" i="58"/>
  <c r="C257" i="58"/>
  <c r="C257" i="37"/>
  <c r="C247" i="37"/>
  <c r="C247" i="58"/>
  <c r="C235" i="58"/>
  <c r="C235" i="37"/>
  <c r="C224" i="58"/>
  <c r="C224" i="37"/>
  <c r="C212" i="58"/>
  <c r="C212" i="37"/>
  <c r="C201" i="58"/>
  <c r="C201" i="37"/>
  <c r="C190" i="58"/>
  <c r="C190" i="37"/>
  <c r="C175" i="37"/>
  <c r="C175" i="58"/>
  <c r="C164" i="37"/>
  <c r="C164" i="58"/>
  <c r="C353" i="37"/>
  <c r="C353" i="58"/>
  <c r="C254" i="37"/>
  <c r="C254" i="58"/>
  <c r="H119" i="58"/>
  <c r="H130" i="58"/>
  <c r="H2" i="58"/>
  <c r="H2" i="37"/>
  <c r="C411" i="58"/>
  <c r="C411" i="37"/>
  <c r="C400" i="58"/>
  <c r="C400" i="37"/>
  <c r="C389" i="37"/>
  <c r="C389" i="58"/>
  <c r="C378" i="58"/>
  <c r="C378" i="37"/>
  <c r="C367" i="37"/>
  <c r="C367" i="58"/>
  <c r="C355" i="37"/>
  <c r="C355" i="58"/>
  <c r="C344" i="58"/>
  <c r="C344" i="37"/>
  <c r="C332" i="37"/>
  <c r="C332" i="58"/>
  <c r="C322" i="58"/>
  <c r="C322" i="37"/>
  <c r="C310" i="58"/>
  <c r="C310" i="37"/>
  <c r="C299" i="37"/>
  <c r="C299" i="58"/>
  <c r="C288" i="37"/>
  <c r="C288" i="58"/>
  <c r="C278" i="58"/>
  <c r="C278" i="37"/>
  <c r="C268" i="58"/>
  <c r="C268" i="37"/>
  <c r="C256" i="37"/>
  <c r="C256" i="58"/>
  <c r="C246" i="58"/>
  <c r="C246" i="37"/>
  <c r="C234" i="37"/>
  <c r="C234" i="58"/>
  <c r="C223" i="58"/>
  <c r="C223" i="37"/>
  <c r="C200" i="58"/>
  <c r="C200" i="37"/>
  <c r="C174" i="58"/>
  <c r="C174" i="37"/>
  <c r="C163" i="37"/>
  <c r="C163" i="58"/>
  <c r="C152" i="58"/>
  <c r="C152" i="37"/>
  <c r="I9" i="58"/>
  <c r="J139" i="58"/>
  <c r="H118" i="58"/>
  <c r="J129" i="58"/>
  <c r="C422" i="58"/>
  <c r="C422" i="37"/>
  <c r="C410" i="58"/>
  <c r="C410" i="37"/>
  <c r="C399" i="58"/>
  <c r="C399" i="37"/>
  <c r="C388" i="58"/>
  <c r="C388" i="37"/>
  <c r="C377" i="58"/>
  <c r="C377" i="37"/>
  <c r="C366" i="58"/>
  <c r="C366" i="37"/>
  <c r="C354" i="58"/>
  <c r="C354" i="37"/>
  <c r="C343" i="37"/>
  <c r="C343" i="58"/>
  <c r="C331" i="58"/>
  <c r="C331" i="37"/>
  <c r="C321" i="58"/>
  <c r="C321" i="37"/>
  <c r="C309" i="58"/>
  <c r="C309" i="37"/>
  <c r="C298" i="37"/>
  <c r="C298" i="58"/>
  <c r="C287" i="58"/>
  <c r="C287" i="37"/>
  <c r="C277" i="58"/>
  <c r="C277" i="37"/>
  <c r="C267" i="58"/>
  <c r="C267" i="37"/>
  <c r="C255" i="58"/>
  <c r="C255" i="37"/>
  <c r="C245" i="58"/>
  <c r="C245" i="37"/>
  <c r="C233" i="37"/>
  <c r="C233" i="58"/>
  <c r="C222" i="58"/>
  <c r="C222" i="37"/>
  <c r="C211" i="58"/>
  <c r="C211" i="37"/>
  <c r="C199" i="37"/>
  <c r="C199" i="58"/>
  <c r="C189" i="58"/>
  <c r="C189" i="37"/>
  <c r="C173" i="58"/>
  <c r="C173" i="37"/>
  <c r="C162" i="58"/>
  <c r="C162" i="37"/>
  <c r="C151" i="58"/>
  <c r="C151" i="37"/>
  <c r="J120" i="58" l="1"/>
  <c r="J118" i="58"/>
  <c r="J117" i="58"/>
  <c r="J119" i="58"/>
  <c r="I101" i="58"/>
  <c r="I119" i="58"/>
  <c r="I123" i="58"/>
  <c r="I120" i="58"/>
  <c r="J135" i="58"/>
  <c r="I117" i="58"/>
  <c r="I139" i="58"/>
  <c r="I134" i="58"/>
  <c r="I137" i="58"/>
  <c r="I138" i="58"/>
  <c r="I133" i="58"/>
  <c r="J100" i="58"/>
  <c r="J101" i="58"/>
  <c r="J106" i="58"/>
  <c r="E277" i="38" s="1"/>
  <c r="I98" i="37"/>
  <c r="I97" i="37"/>
  <c r="I95" i="37"/>
  <c r="I96" i="37"/>
  <c r="I101" i="37"/>
  <c r="I99" i="37"/>
  <c r="I99" i="41" s="1"/>
  <c r="I100" i="37"/>
  <c r="J139" i="37"/>
  <c r="J139" i="41" s="1"/>
  <c r="J136" i="37"/>
  <c r="J138" i="37"/>
  <c r="J138" i="41" s="1"/>
  <c r="J140" i="37"/>
  <c r="J133" i="37"/>
  <c r="J133" i="41" s="1"/>
  <c r="J135" i="37"/>
  <c r="J134" i="37"/>
  <c r="J134" i="41" s="1"/>
  <c r="J137" i="37"/>
  <c r="H434" i="37"/>
  <c r="H437" i="37"/>
  <c r="H436" i="37"/>
  <c r="H435" i="37"/>
  <c r="H429" i="37"/>
  <c r="H428" i="37"/>
  <c r="H426" i="37"/>
  <c r="H427" i="37"/>
  <c r="H430" i="37"/>
  <c r="H433" i="37"/>
  <c r="H432" i="37"/>
  <c r="H431" i="37"/>
  <c r="I120" i="37"/>
  <c r="I118" i="37"/>
  <c r="I118" i="41" s="1"/>
  <c r="I124" i="37"/>
  <c r="I122" i="37"/>
  <c r="I122" i="41" s="1"/>
  <c r="I121" i="37"/>
  <c r="I117" i="37"/>
  <c r="I123" i="37"/>
  <c r="I119" i="37"/>
  <c r="J120" i="37"/>
  <c r="J120" i="41" s="1"/>
  <c r="J124" i="37"/>
  <c r="J122" i="37"/>
  <c r="J122" i="41" s="1"/>
  <c r="J119" i="37"/>
  <c r="J119" i="41" s="1"/>
  <c r="J123" i="37"/>
  <c r="J121" i="37"/>
  <c r="J117" i="37"/>
  <c r="J117" i="41" s="1"/>
  <c r="J118" i="37"/>
  <c r="J118" i="41" s="1"/>
  <c r="I113" i="37"/>
  <c r="I111" i="37"/>
  <c r="I114" i="37"/>
  <c r="I109" i="37"/>
  <c r="I112" i="37"/>
  <c r="I110" i="37"/>
  <c r="I115" i="37"/>
  <c r="I115" i="41" s="1"/>
  <c r="I116" i="37"/>
  <c r="J112" i="37"/>
  <c r="J111" i="37"/>
  <c r="J110" i="37"/>
  <c r="J113" i="37"/>
  <c r="J115" i="37"/>
  <c r="J114" i="37"/>
  <c r="J114" i="41" s="1"/>
  <c r="J109" i="37"/>
  <c r="J116" i="37"/>
  <c r="J96" i="37"/>
  <c r="J95" i="37"/>
  <c r="J100" i="37"/>
  <c r="J97" i="37"/>
  <c r="J99" i="37"/>
  <c r="J99" i="41" s="1"/>
  <c r="J98" i="37"/>
  <c r="J101" i="37"/>
  <c r="I128" i="37"/>
  <c r="I130" i="37"/>
  <c r="I127" i="37"/>
  <c r="I131" i="37"/>
  <c r="I131" i="41" s="1"/>
  <c r="I132" i="37"/>
  <c r="I129" i="37"/>
  <c r="I126" i="37"/>
  <c r="I125" i="37"/>
  <c r="I105" i="37"/>
  <c r="I103" i="37"/>
  <c r="I107" i="37"/>
  <c r="I104" i="37"/>
  <c r="I106" i="37"/>
  <c r="I108" i="37"/>
  <c r="I102" i="37"/>
  <c r="I102" i="41" s="1"/>
  <c r="J131" i="37"/>
  <c r="J130" i="37"/>
  <c r="J130" i="41" s="1"/>
  <c r="J126" i="37"/>
  <c r="J129" i="37"/>
  <c r="J129" i="41" s="1"/>
  <c r="J128" i="37"/>
  <c r="J125" i="37"/>
  <c r="J132" i="37"/>
  <c r="J132" i="41" s="1"/>
  <c r="J127" i="37"/>
  <c r="J103" i="37"/>
  <c r="J107" i="37"/>
  <c r="J107" i="41" s="1"/>
  <c r="J106" i="37"/>
  <c r="J102" i="37"/>
  <c r="J105" i="37"/>
  <c r="J104" i="37"/>
  <c r="J108" i="37"/>
  <c r="I134" i="37"/>
  <c r="I133" i="37"/>
  <c r="I140" i="37"/>
  <c r="I135" i="37"/>
  <c r="I138" i="37"/>
  <c r="I137" i="37"/>
  <c r="I136" i="37"/>
  <c r="I136" i="41" s="1"/>
  <c r="I139" i="37"/>
  <c r="H438" i="37"/>
  <c r="H439" i="37"/>
  <c r="I103" i="58"/>
  <c r="I106" i="58"/>
  <c r="I114" i="58"/>
  <c r="J102" i="58"/>
  <c r="J104" i="58"/>
  <c r="E188" i="38"/>
  <c r="E189" i="38"/>
  <c r="E201" i="38"/>
  <c r="E190" i="38"/>
  <c r="E202" i="38"/>
  <c r="E191" i="38"/>
  <c r="E192" i="38"/>
  <c r="E193" i="38"/>
  <c r="E199" i="38"/>
  <c r="E194" i="38"/>
  <c r="E195" i="38"/>
  <c r="E196" i="38"/>
  <c r="E197" i="38"/>
  <c r="E198" i="38"/>
  <c r="E200" i="38"/>
  <c r="R189" i="38"/>
  <c r="T63" i="66"/>
  <c r="T240" i="66"/>
  <c r="H114" i="41"/>
  <c r="T110" i="66"/>
  <c r="T50" i="66"/>
  <c r="T205" i="66"/>
  <c r="T216" i="66"/>
  <c r="T165" i="66"/>
  <c r="T30" i="66"/>
  <c r="T138" i="66"/>
  <c r="T202" i="66"/>
  <c r="T181" i="66"/>
  <c r="T144" i="66"/>
  <c r="T183" i="66"/>
  <c r="T182" i="66"/>
  <c r="T215" i="66"/>
  <c r="T99" i="66"/>
  <c r="T272" i="66"/>
  <c r="T222" i="66"/>
  <c r="T288" i="66"/>
  <c r="T243" i="66"/>
  <c r="T263" i="66"/>
  <c r="T279" i="66"/>
  <c r="T72" i="66"/>
  <c r="T207" i="66"/>
  <c r="T43" i="66"/>
  <c r="T264" i="66"/>
  <c r="T10" i="66"/>
  <c r="T37" i="66"/>
  <c r="T81" i="66"/>
  <c r="T187" i="66"/>
  <c r="T174" i="66"/>
  <c r="T3" i="66"/>
  <c r="T159" i="66"/>
  <c r="T14" i="66"/>
  <c r="T114" i="66"/>
  <c r="T235" i="66"/>
  <c r="T91" i="66"/>
  <c r="T94" i="66"/>
  <c r="T100" i="66"/>
  <c r="T252" i="66"/>
  <c r="T278" i="66"/>
  <c r="T204" i="66"/>
  <c r="T71" i="66"/>
  <c r="T196" i="66"/>
  <c r="T213" i="66"/>
  <c r="T23" i="66"/>
  <c r="T28" i="66"/>
  <c r="T199" i="66"/>
  <c r="T122" i="66"/>
  <c r="T229" i="66"/>
  <c r="T190" i="66"/>
  <c r="T39" i="66"/>
  <c r="T126" i="66"/>
  <c r="T257" i="66"/>
  <c r="T286" i="66"/>
  <c r="T234" i="66"/>
  <c r="T62" i="66"/>
  <c r="T60" i="66"/>
  <c r="T113" i="66"/>
  <c r="T218" i="66"/>
  <c r="T18" i="66"/>
  <c r="T129" i="66"/>
  <c r="T66" i="66"/>
  <c r="T117" i="66"/>
  <c r="T61" i="66"/>
  <c r="T119" i="66"/>
  <c r="T134" i="66"/>
  <c r="T220" i="66"/>
  <c r="T151" i="66"/>
  <c r="T15" i="66"/>
  <c r="T109" i="66"/>
  <c r="T58" i="66"/>
  <c r="T167" i="66"/>
  <c r="T133" i="66"/>
  <c r="T103" i="66"/>
  <c r="T270" i="66"/>
  <c r="T21" i="66"/>
  <c r="T283" i="66"/>
  <c r="T258" i="66"/>
  <c r="T46" i="66"/>
  <c r="T266" i="66"/>
  <c r="T65" i="66"/>
  <c r="T128" i="66"/>
  <c r="T186" i="66"/>
  <c r="T282" i="66"/>
  <c r="T225" i="66"/>
  <c r="T85" i="66"/>
  <c r="T230" i="66"/>
  <c r="T69" i="66"/>
  <c r="T244" i="66"/>
  <c r="T86" i="66"/>
  <c r="T238" i="66"/>
  <c r="T206" i="66"/>
  <c r="T195" i="66"/>
  <c r="T158" i="66"/>
  <c r="T108" i="66"/>
  <c r="T157" i="66"/>
  <c r="T192" i="66"/>
  <c r="T209" i="66"/>
  <c r="T24" i="66"/>
  <c r="T120" i="66"/>
  <c r="T32" i="66"/>
  <c r="T12" i="66"/>
  <c r="T76" i="66"/>
  <c r="T147" i="66"/>
  <c r="T154" i="66"/>
  <c r="T7" i="66"/>
  <c r="T250" i="66"/>
  <c r="T170" i="66"/>
  <c r="T26" i="66"/>
  <c r="T87" i="66"/>
  <c r="T55" i="66"/>
  <c r="T80" i="66"/>
  <c r="T161" i="66"/>
  <c r="T13" i="66"/>
  <c r="T38" i="66"/>
  <c r="T124" i="66"/>
  <c r="T277" i="66"/>
  <c r="T162" i="66"/>
  <c r="T268" i="66"/>
  <c r="T168" i="66"/>
  <c r="T255" i="66"/>
  <c r="T231" i="66"/>
  <c r="T17" i="66"/>
  <c r="T42" i="66"/>
  <c r="T33" i="66"/>
  <c r="T148" i="66"/>
  <c r="T156" i="66"/>
  <c r="T51" i="66"/>
  <c r="T135" i="66"/>
  <c r="T96" i="66"/>
  <c r="T52" i="66"/>
  <c r="T261" i="66"/>
  <c r="T210" i="66"/>
  <c r="T90" i="66"/>
  <c r="T74" i="66"/>
  <c r="T176" i="66"/>
  <c r="T224" i="66"/>
  <c r="T254" i="66"/>
  <c r="T253" i="66"/>
  <c r="T177" i="66"/>
  <c r="T4" i="66"/>
  <c r="T273" i="66"/>
  <c r="T142" i="66"/>
  <c r="T247" i="66"/>
  <c r="T111" i="66"/>
  <c r="T78" i="66"/>
  <c r="T106" i="66"/>
  <c r="T48" i="66"/>
  <c r="T139" i="66"/>
  <c r="T172" i="66"/>
  <c r="H107" i="41"/>
  <c r="H135" i="41"/>
  <c r="H103" i="41"/>
  <c r="H136" i="41"/>
  <c r="H138" i="41"/>
  <c r="H130" i="41"/>
  <c r="H119" i="41"/>
  <c r="H131" i="41"/>
  <c r="H134" i="41"/>
  <c r="H129" i="41"/>
  <c r="H101" i="41"/>
  <c r="I132" i="58"/>
  <c r="H132" i="58"/>
  <c r="C232" i="41"/>
  <c r="C342" i="41"/>
  <c r="H117" i="41"/>
  <c r="H140" i="58"/>
  <c r="J131" i="58"/>
  <c r="J103" i="58"/>
  <c r="H116" i="58"/>
  <c r="H115" i="58"/>
  <c r="J140" i="58"/>
  <c r="J136" i="58"/>
  <c r="I140" i="58"/>
  <c r="H95" i="58"/>
  <c r="I100" i="58"/>
  <c r="I95" i="58"/>
  <c r="C151" i="41"/>
  <c r="C162" i="41"/>
  <c r="C173" i="41"/>
  <c r="C189" i="41"/>
  <c r="C211" i="41"/>
  <c r="C222" i="41"/>
  <c r="C245" i="41"/>
  <c r="C255" i="41"/>
  <c r="C267" i="41"/>
  <c r="C277" i="41"/>
  <c r="C287" i="41"/>
  <c r="C309" i="41"/>
  <c r="C321" i="41"/>
  <c r="C331" i="41"/>
  <c r="C354" i="41"/>
  <c r="C366" i="41"/>
  <c r="C377" i="41"/>
  <c r="C388" i="41"/>
  <c r="C399" i="41"/>
  <c r="C410" i="41"/>
  <c r="C422" i="41"/>
  <c r="I135" i="58"/>
  <c r="I104" i="58"/>
  <c r="J95" i="58"/>
  <c r="C199" i="41"/>
  <c r="C233" i="41"/>
  <c r="C298" i="41"/>
  <c r="C343" i="41"/>
  <c r="H118" i="41"/>
  <c r="F95" i="66"/>
  <c r="I9" i="41"/>
  <c r="D55" i="39" s="1"/>
  <c r="E119" i="38" s="1"/>
  <c r="J95" i="66" s="1"/>
  <c r="C152" i="41"/>
  <c r="C174" i="41"/>
  <c r="C200" i="41"/>
  <c r="C223" i="41"/>
  <c r="C246" i="41"/>
  <c r="C268" i="41"/>
  <c r="C278" i="41"/>
  <c r="C310" i="41"/>
  <c r="C322" i="41"/>
  <c r="C344" i="41"/>
  <c r="C378" i="41"/>
  <c r="C400" i="41"/>
  <c r="C411" i="41"/>
  <c r="H2" i="41"/>
  <c r="J115" i="58"/>
  <c r="I129" i="58"/>
  <c r="I116" i="58"/>
  <c r="F239" i="66"/>
  <c r="C163" i="41"/>
  <c r="C234" i="41"/>
  <c r="C256" i="41"/>
  <c r="C288" i="41"/>
  <c r="C299" i="41"/>
  <c r="C332" i="41"/>
  <c r="C355" i="41"/>
  <c r="C367" i="41"/>
  <c r="C389" i="41"/>
  <c r="C254" i="41"/>
  <c r="C353" i="41"/>
  <c r="C190" i="41"/>
  <c r="C201" i="41"/>
  <c r="C212" i="41"/>
  <c r="C224" i="41"/>
  <c r="C235" i="41"/>
  <c r="C257" i="41"/>
  <c r="C279" i="41"/>
  <c r="C300" i="41"/>
  <c r="C311" i="41"/>
  <c r="C345" i="41"/>
  <c r="C356" i="41"/>
  <c r="C368" i="41"/>
  <c r="C379" i="41"/>
  <c r="C401" i="41"/>
  <c r="H120" i="41"/>
  <c r="H9" i="41"/>
  <c r="C55" i="39" s="1"/>
  <c r="E102" i="38" s="1"/>
  <c r="F47" i="66"/>
  <c r="C164" i="41"/>
  <c r="C175" i="41"/>
  <c r="C247" i="41"/>
  <c r="C269" i="41"/>
  <c r="C289" i="41"/>
  <c r="C333" i="41"/>
  <c r="C390" i="41"/>
  <c r="C412" i="41"/>
  <c r="F191" i="66"/>
  <c r="I108" i="58"/>
  <c r="J123" i="58"/>
  <c r="J108" i="58"/>
  <c r="I107" i="58"/>
  <c r="J137" i="58"/>
  <c r="H108" i="58"/>
  <c r="I130" i="58"/>
  <c r="H137" i="58"/>
  <c r="J116" i="58"/>
  <c r="H123" i="58"/>
  <c r="H100" i="58"/>
  <c r="C153" i="41"/>
  <c r="C165" i="41"/>
  <c r="C176" i="41"/>
  <c r="C191" i="41"/>
  <c r="C312" i="41"/>
  <c r="C323" i="41"/>
  <c r="C334" i="41"/>
  <c r="C346" i="41"/>
  <c r="C357" i="41"/>
  <c r="C391" i="41"/>
  <c r="H133" i="41"/>
  <c r="C142" i="41"/>
  <c r="C157" i="41"/>
  <c r="C180" i="41"/>
  <c r="C194" i="41"/>
  <c r="C206" i="41"/>
  <c r="C217" i="41"/>
  <c r="C293" i="41"/>
  <c r="C316" i="41"/>
  <c r="C417" i="41"/>
  <c r="H139" i="41"/>
  <c r="F175" i="66"/>
  <c r="H7" i="41"/>
  <c r="C54" i="39" s="1"/>
  <c r="E101" i="38" s="1"/>
  <c r="F31" i="66"/>
  <c r="C148" i="41"/>
  <c r="C181" i="41"/>
  <c r="C195" i="41"/>
  <c r="C241" i="41"/>
  <c r="C252" i="41"/>
  <c r="C263" i="41"/>
  <c r="C306" i="41"/>
  <c r="C317" i="41"/>
  <c r="C339" i="41"/>
  <c r="C351" i="41"/>
  <c r="C385" i="41"/>
  <c r="C395" i="41"/>
  <c r="C407" i="41"/>
  <c r="C418" i="41"/>
  <c r="J2" i="41"/>
  <c r="C158" i="41"/>
  <c r="C207" i="41"/>
  <c r="C218" i="41"/>
  <c r="C230" i="41"/>
  <c r="C273" i="41"/>
  <c r="C285" i="41"/>
  <c r="C294" i="41"/>
  <c r="C362" i="41"/>
  <c r="C150" i="41"/>
  <c r="C161" i="41"/>
  <c r="C297" i="41"/>
  <c r="C398" i="41"/>
  <c r="H122" i="41"/>
  <c r="C147" i="41"/>
  <c r="C168" i="41"/>
  <c r="C179" i="41"/>
  <c r="C205" i="41"/>
  <c r="C216" i="41"/>
  <c r="C228" i="41"/>
  <c r="C250" i="41"/>
  <c r="C261" i="41"/>
  <c r="C283" i="41"/>
  <c r="C292" i="41"/>
  <c r="C326" i="41"/>
  <c r="C337" i="41"/>
  <c r="C372" i="41"/>
  <c r="C405" i="41"/>
  <c r="C416" i="41"/>
  <c r="I2" i="41"/>
  <c r="H104" i="41"/>
  <c r="H102" i="41"/>
  <c r="C276" i="41"/>
  <c r="C143" i="41"/>
  <c r="C159" i="41"/>
  <c r="C182" i="41"/>
  <c r="C196" i="41"/>
  <c r="C208" i="41"/>
  <c r="C219" i="41"/>
  <c r="C231" i="41"/>
  <c r="C253" i="41"/>
  <c r="C264" i="41"/>
  <c r="C274" i="41"/>
  <c r="C295" i="41"/>
  <c r="C307" i="41"/>
  <c r="C318" i="41"/>
  <c r="C328" i="41"/>
  <c r="C340" i="41"/>
  <c r="C363" i="41"/>
  <c r="C386" i="41"/>
  <c r="C396" i="41"/>
  <c r="I7" i="41"/>
  <c r="D54" i="39" s="1"/>
  <c r="E118" i="38" s="1"/>
  <c r="J79" i="66" s="1"/>
  <c r="F79" i="66"/>
  <c r="C221" i="41"/>
  <c r="C330" i="41"/>
  <c r="C421" i="41"/>
  <c r="J9" i="41"/>
  <c r="E55" i="39" s="1"/>
  <c r="E136" i="38" s="1"/>
  <c r="J143" i="66" s="1"/>
  <c r="F143" i="66"/>
  <c r="C141" i="41"/>
  <c r="C146" i="41"/>
  <c r="C155" i="41"/>
  <c r="C178" i="41"/>
  <c r="C204" i="41"/>
  <c r="C227" i="41"/>
  <c r="C271" i="41"/>
  <c r="C282" i="41"/>
  <c r="C291" i="41"/>
  <c r="C303" i="41"/>
  <c r="C314" i="41"/>
  <c r="C336" i="41"/>
  <c r="C371" i="41"/>
  <c r="C415" i="41"/>
  <c r="C320" i="41"/>
  <c r="C156" i="41"/>
  <c r="C239" i="41"/>
  <c r="C304" i="41"/>
  <c r="C315" i="41"/>
  <c r="C349" i="41"/>
  <c r="C360" i="41"/>
  <c r="C383" i="41"/>
  <c r="C393" i="41"/>
  <c r="C170" i="41"/>
  <c r="C242" i="41"/>
  <c r="C374" i="41"/>
  <c r="C408" i="41"/>
  <c r="C419" i="41"/>
  <c r="H106" i="41"/>
  <c r="F223" i="66"/>
  <c r="F287" i="66"/>
  <c r="C149" i="41"/>
  <c r="C160" i="41"/>
  <c r="C171" i="41"/>
  <c r="C197" i="41"/>
  <c r="C220" i="41"/>
  <c r="C265" i="41"/>
  <c r="C275" i="41"/>
  <c r="C286" i="41"/>
  <c r="C296" i="41"/>
  <c r="C319" i="41"/>
  <c r="C329" i="41"/>
  <c r="C352" i="41"/>
  <c r="C364" i="41"/>
  <c r="C375" i="41"/>
  <c r="C387" i="41"/>
  <c r="C397" i="41"/>
  <c r="C420" i="41"/>
  <c r="C167" i="41"/>
  <c r="C193" i="41"/>
  <c r="C215" i="41"/>
  <c r="C238" i="41"/>
  <c r="C260" i="41"/>
  <c r="C325" i="41"/>
  <c r="C348" i="41"/>
  <c r="C359" i="41"/>
  <c r="C382" i="41"/>
  <c r="C392" i="41"/>
  <c r="C404" i="41"/>
  <c r="H99" i="41"/>
  <c r="C209" i="41"/>
  <c r="C243" i="41"/>
  <c r="C341" i="41"/>
  <c r="C409" i="41"/>
  <c r="C166" i="41"/>
  <c r="C192" i="41"/>
  <c r="C203" i="41"/>
  <c r="C214" i="41"/>
  <c r="C259" i="41"/>
  <c r="C290" i="41"/>
  <c r="C302" i="41"/>
  <c r="C335" i="41"/>
  <c r="C347" i="41"/>
  <c r="C414" i="41"/>
  <c r="C172" i="41"/>
  <c r="C198" i="41"/>
  <c r="C244" i="41"/>
  <c r="C266" i="41"/>
  <c r="C308" i="41"/>
  <c r="F127" i="66"/>
  <c r="J7" i="41"/>
  <c r="M54" i="39" s="1"/>
  <c r="E186" i="38" s="1"/>
  <c r="C145" i="41"/>
  <c r="C154" i="41"/>
  <c r="C177" i="41"/>
  <c r="C226" i="41"/>
  <c r="C237" i="41"/>
  <c r="C249" i="41"/>
  <c r="C270" i="41"/>
  <c r="C281" i="41"/>
  <c r="C313" i="41"/>
  <c r="C324" i="41"/>
  <c r="C358" i="41"/>
  <c r="C370" i="41"/>
  <c r="C381" i="41"/>
  <c r="C403" i="41"/>
  <c r="C144" i="41"/>
  <c r="C376" i="41"/>
  <c r="C202" i="41"/>
  <c r="C213" i="41"/>
  <c r="C225" i="41"/>
  <c r="C236" i="41"/>
  <c r="C248" i="41"/>
  <c r="C258" i="41"/>
  <c r="C280" i="41"/>
  <c r="C301" i="41"/>
  <c r="C369" i="41"/>
  <c r="C380" i="41"/>
  <c r="C402" i="41"/>
  <c r="C413" i="41"/>
  <c r="I3" i="41"/>
  <c r="J3" i="41"/>
  <c r="C210" i="41"/>
  <c r="C365" i="41"/>
  <c r="C169" i="41"/>
  <c r="C229" i="41"/>
  <c r="C240" i="41"/>
  <c r="C251" i="41"/>
  <c r="C262" i="41"/>
  <c r="C272" i="41"/>
  <c r="C284" i="41"/>
  <c r="C305" i="41"/>
  <c r="C327" i="41"/>
  <c r="C338" i="41"/>
  <c r="C350" i="41"/>
  <c r="C361" i="41"/>
  <c r="C373" i="41"/>
  <c r="C384" i="41"/>
  <c r="C394" i="41"/>
  <c r="C406" i="41"/>
  <c r="I119" i="41" l="1"/>
  <c r="I101" i="41"/>
  <c r="J101" i="41"/>
  <c r="I139" i="41"/>
  <c r="I134" i="41"/>
  <c r="J135" i="41"/>
  <c r="I117" i="41"/>
  <c r="I137" i="41"/>
  <c r="I120" i="41"/>
  <c r="I123" i="41"/>
  <c r="I138" i="41"/>
  <c r="I133" i="41"/>
  <c r="J100" i="41"/>
  <c r="I103" i="41"/>
  <c r="J106" i="41"/>
  <c r="I106" i="41"/>
  <c r="J102" i="41"/>
  <c r="J104" i="41"/>
  <c r="I114" i="41"/>
  <c r="I438" i="37"/>
  <c r="I439" i="37"/>
  <c r="J430" i="37"/>
  <c r="J433" i="37"/>
  <c r="J431" i="37"/>
  <c r="J432" i="37"/>
  <c r="J434" i="37"/>
  <c r="J437" i="37"/>
  <c r="J436" i="37"/>
  <c r="J435" i="37"/>
  <c r="J438" i="37"/>
  <c r="J439" i="37"/>
  <c r="I430" i="37"/>
  <c r="I433" i="37"/>
  <c r="I431" i="37"/>
  <c r="I432" i="37"/>
  <c r="I429" i="37"/>
  <c r="I428" i="37"/>
  <c r="I427" i="37"/>
  <c r="I426" i="37"/>
  <c r="I434" i="37"/>
  <c r="I437" i="37"/>
  <c r="I436" i="37"/>
  <c r="I435" i="37"/>
  <c r="J429" i="37"/>
  <c r="J427" i="37"/>
  <c r="J428" i="37"/>
  <c r="J426" i="37"/>
  <c r="I132" i="41"/>
  <c r="L54" i="39"/>
  <c r="E169" i="38" s="1"/>
  <c r="J223" i="66" s="1"/>
  <c r="P223" i="66" s="1"/>
  <c r="M55" i="39"/>
  <c r="E187" i="38" s="1"/>
  <c r="J287" i="66" s="1"/>
  <c r="L55" i="39"/>
  <c r="E170" i="38" s="1"/>
  <c r="E54" i="39"/>
  <c r="E135" i="38" s="1"/>
  <c r="J127" i="66" s="1"/>
  <c r="I130" i="41"/>
  <c r="H108" i="41"/>
  <c r="M4" i="41" s="1"/>
  <c r="K55" i="39"/>
  <c r="E153" i="38" s="1"/>
  <c r="J191" i="66" s="1"/>
  <c r="J116" i="41"/>
  <c r="I116" i="41"/>
  <c r="I129" i="41"/>
  <c r="J115" i="41"/>
  <c r="I104" i="41"/>
  <c r="I135" i="41"/>
  <c r="J131" i="41"/>
  <c r="H140" i="41"/>
  <c r="I124" i="58"/>
  <c r="C43" i="63" s="1"/>
  <c r="J271" i="66"/>
  <c r="J128" i="58"/>
  <c r="F243" i="66" s="1"/>
  <c r="N243" i="66" s="1"/>
  <c r="J98" i="58"/>
  <c r="J124" i="58"/>
  <c r="H98" i="58"/>
  <c r="I98" i="58"/>
  <c r="I128" i="58"/>
  <c r="F195" i="66" s="1"/>
  <c r="N195" i="66" s="1"/>
  <c r="H97" i="58"/>
  <c r="H124" i="58"/>
  <c r="C33" i="63" s="1"/>
  <c r="H126" i="58"/>
  <c r="H477" i="58" s="1"/>
  <c r="H477" i="37"/>
  <c r="J97" i="58"/>
  <c r="J475" i="37"/>
  <c r="J96" i="58"/>
  <c r="J475" i="58" s="1"/>
  <c r="I97" i="58"/>
  <c r="I477" i="37"/>
  <c r="I126" i="58"/>
  <c r="I477" i="58" s="1"/>
  <c r="I96" i="58"/>
  <c r="I475" i="58" s="1"/>
  <c r="I475" i="37"/>
  <c r="J477" i="37"/>
  <c r="J126" i="58"/>
  <c r="J477" i="58" s="1"/>
  <c r="H128" i="58"/>
  <c r="F147" i="66" s="1"/>
  <c r="N147" i="66" s="1"/>
  <c r="H96" i="58"/>
  <c r="P79" i="66"/>
  <c r="S79" i="66"/>
  <c r="S143" i="66"/>
  <c r="P143" i="66"/>
  <c r="K54" i="39"/>
  <c r="E152" i="38" s="1"/>
  <c r="J31" i="66"/>
  <c r="J137" i="41"/>
  <c r="J47" i="66"/>
  <c r="J123" i="41"/>
  <c r="I108" i="41"/>
  <c r="N4" i="41" s="1"/>
  <c r="I107" i="41"/>
  <c r="J108" i="41"/>
  <c r="O4" i="41" s="1"/>
  <c r="H123" i="41"/>
  <c r="H137" i="41"/>
  <c r="H100" i="41"/>
  <c r="J432" i="58"/>
  <c r="J430" i="58"/>
  <c r="F286" i="66" s="1"/>
  <c r="N286" i="66" s="1"/>
  <c r="J433" i="58"/>
  <c r="J431" i="58"/>
  <c r="I95" i="41"/>
  <c r="I100" i="41"/>
  <c r="H132" i="41"/>
  <c r="I432" i="58"/>
  <c r="I433" i="58"/>
  <c r="I431" i="58"/>
  <c r="I430" i="58"/>
  <c r="F238" i="66" s="1"/>
  <c r="N238" i="66" s="1"/>
  <c r="H95" i="41"/>
  <c r="J103" i="41"/>
  <c r="H432" i="58"/>
  <c r="H430" i="58"/>
  <c r="F190" i="66" s="1"/>
  <c r="N190" i="66" s="1"/>
  <c r="H433" i="58"/>
  <c r="I140" i="41"/>
  <c r="J136" i="41"/>
  <c r="J140" i="41"/>
  <c r="O6" i="41" s="1"/>
  <c r="H115" i="41"/>
  <c r="H116" i="41"/>
  <c r="P95" i="66"/>
  <c r="S95" i="66"/>
  <c r="J95" i="41"/>
  <c r="S223" i="66" l="1"/>
  <c r="M6" i="41"/>
  <c r="N6" i="41"/>
  <c r="J239" i="66"/>
  <c r="I431" i="41"/>
  <c r="H127" i="58"/>
  <c r="J109" i="58"/>
  <c r="J112" i="58"/>
  <c r="J127" i="58"/>
  <c r="H105" i="58"/>
  <c r="J125" i="58"/>
  <c r="J105" i="58"/>
  <c r="H432" i="41"/>
  <c r="P127" i="66"/>
  <c r="S127" i="66"/>
  <c r="H433" i="41"/>
  <c r="I476" i="37"/>
  <c r="I110" i="58"/>
  <c r="I476" i="58" s="1"/>
  <c r="I432" i="41"/>
  <c r="K41" i="39"/>
  <c r="E139" i="38" s="1"/>
  <c r="F155" i="66"/>
  <c r="E370" i="38"/>
  <c r="K155" i="66" s="1"/>
  <c r="I125" i="58"/>
  <c r="I430" i="41"/>
  <c r="F94" i="66"/>
  <c r="N94" i="66" s="1"/>
  <c r="J113" i="58"/>
  <c r="J110" i="58"/>
  <c r="J476" i="58" s="1"/>
  <c r="J476" i="37"/>
  <c r="H113" i="58"/>
  <c r="I111" i="58"/>
  <c r="J431" i="41"/>
  <c r="H125" i="58"/>
  <c r="H110" i="58"/>
  <c r="I433" i="41"/>
  <c r="H111" i="58"/>
  <c r="F142" i="66"/>
  <c r="N142" i="66" s="1"/>
  <c r="J430" i="41"/>
  <c r="S47" i="66"/>
  <c r="P47" i="66"/>
  <c r="R47" i="66"/>
  <c r="H96" i="41"/>
  <c r="F45" i="66"/>
  <c r="J97" i="41"/>
  <c r="H109" i="58"/>
  <c r="I112" i="58"/>
  <c r="J433" i="41"/>
  <c r="F189" i="66"/>
  <c r="I113" i="58"/>
  <c r="J111" i="58"/>
  <c r="I109" i="58"/>
  <c r="H112" i="58"/>
  <c r="J432" i="41"/>
  <c r="J175" i="66"/>
  <c r="I96" i="41"/>
  <c r="D12" i="39" s="1"/>
  <c r="F93" i="66"/>
  <c r="D39" i="39"/>
  <c r="E103" i="38" s="1"/>
  <c r="R191" i="66"/>
  <c r="P191" i="66"/>
  <c r="S191" i="66"/>
  <c r="F237" i="66"/>
  <c r="L39" i="39"/>
  <c r="E154" i="38" s="1"/>
  <c r="I127" i="58"/>
  <c r="I105" i="58"/>
  <c r="F46" i="66"/>
  <c r="N46" i="66" s="1"/>
  <c r="H430" i="41"/>
  <c r="R31" i="66"/>
  <c r="P31" i="66"/>
  <c r="S31" i="66"/>
  <c r="P287" i="66"/>
  <c r="S287" i="66"/>
  <c r="C53" i="63"/>
  <c r="H98" i="41"/>
  <c r="J124" i="41"/>
  <c r="O5" i="41" s="1"/>
  <c r="C23" i="63"/>
  <c r="J98" i="41"/>
  <c r="S271" i="66"/>
  <c r="P271" i="66"/>
  <c r="I97" i="41"/>
  <c r="M41" i="39"/>
  <c r="E173" i="38" s="1"/>
  <c r="F251" i="66"/>
  <c r="E41" i="39"/>
  <c r="E122" i="38" s="1"/>
  <c r="J126" i="41"/>
  <c r="E14" i="39" s="1"/>
  <c r="F107" i="66"/>
  <c r="F203" i="66"/>
  <c r="L41" i="39"/>
  <c r="E156" i="38" s="1"/>
  <c r="H128" i="41"/>
  <c r="F3" i="66"/>
  <c r="N3" i="66" s="1"/>
  <c r="I126" i="41"/>
  <c r="D14" i="39" s="1"/>
  <c r="D41" i="39"/>
  <c r="E105" i="38" s="1"/>
  <c r="F59" i="66"/>
  <c r="H97" i="41"/>
  <c r="I128" i="41"/>
  <c r="F51" i="66"/>
  <c r="N51" i="66" s="1"/>
  <c r="I98" i="41"/>
  <c r="J128" i="41"/>
  <c r="F99" i="66"/>
  <c r="N99" i="66" s="1"/>
  <c r="I124" i="41"/>
  <c r="C13" i="63"/>
  <c r="F285" i="66"/>
  <c r="M39" i="39"/>
  <c r="E171" i="38" s="1"/>
  <c r="C3" i="63"/>
  <c r="H124" i="41"/>
  <c r="M5" i="41" s="1"/>
  <c r="E39" i="39"/>
  <c r="E120" i="38" s="1"/>
  <c r="J96" i="41"/>
  <c r="E12" i="39" s="1"/>
  <c r="F141" i="66"/>
  <c r="H126" i="41"/>
  <c r="C14" i="39" s="1"/>
  <c r="C41" i="39"/>
  <c r="E88" i="38" s="1"/>
  <c r="F11" i="66"/>
  <c r="F9" i="66" l="1"/>
  <c r="F153" i="66"/>
  <c r="D43" i="39"/>
  <c r="E109" i="38" s="1"/>
  <c r="J57" i="66" s="1"/>
  <c r="F201" i="66"/>
  <c r="M43" i="39"/>
  <c r="E177" i="38" s="1"/>
  <c r="L43" i="39"/>
  <c r="E160" i="38" s="1"/>
  <c r="F57" i="66"/>
  <c r="I111" i="41"/>
  <c r="H105" i="41"/>
  <c r="J127" i="41"/>
  <c r="P239" i="66"/>
  <c r="S239" i="66"/>
  <c r="I105" i="41"/>
  <c r="I127" i="41"/>
  <c r="H111" i="41"/>
  <c r="T191" i="66"/>
  <c r="J111" i="41"/>
  <c r="I113" i="41"/>
  <c r="J113" i="41"/>
  <c r="I121" i="58"/>
  <c r="O14" i="39"/>
  <c r="P14" i="39"/>
  <c r="Q14" i="39" s="1"/>
  <c r="M40" i="39"/>
  <c r="E172" i="38" s="1"/>
  <c r="F267" i="66"/>
  <c r="I125" i="41"/>
  <c r="T31" i="66"/>
  <c r="H427" i="58"/>
  <c r="F181" i="66"/>
  <c r="N181" i="66" s="1"/>
  <c r="H428" i="58"/>
  <c r="H429" i="58"/>
  <c r="F172" i="66" s="1"/>
  <c r="I109" i="41"/>
  <c r="I439" i="58"/>
  <c r="I438" i="58"/>
  <c r="F204" i="66" s="1"/>
  <c r="N204" i="66" s="1"/>
  <c r="I110" i="41"/>
  <c r="D13" i="39" s="1"/>
  <c r="L40" i="39"/>
  <c r="E155" i="38" s="1"/>
  <c r="F219" i="66"/>
  <c r="J105" i="41"/>
  <c r="J125" i="41"/>
  <c r="J11" i="66"/>
  <c r="Y51" i="66"/>
  <c r="Y195" i="66"/>
  <c r="Z51" i="66"/>
  <c r="Z195" i="66"/>
  <c r="J251" i="66"/>
  <c r="F37" i="66"/>
  <c r="N37" i="66" s="1"/>
  <c r="H112" i="41"/>
  <c r="I434" i="58"/>
  <c r="F224" i="66" s="1"/>
  <c r="N224" i="66" s="1"/>
  <c r="I436" i="58"/>
  <c r="F235" i="66" s="1"/>
  <c r="I435" i="58"/>
  <c r="I437" i="58"/>
  <c r="F234" i="66" s="1"/>
  <c r="N234" i="66" s="1"/>
  <c r="D40" i="39"/>
  <c r="E104" i="38" s="1"/>
  <c r="F75" i="66"/>
  <c r="J438" i="58"/>
  <c r="F252" i="66" s="1"/>
  <c r="N252" i="66" s="1"/>
  <c r="J439" i="58"/>
  <c r="H121" i="58"/>
  <c r="J459" i="58"/>
  <c r="J285" i="66"/>
  <c r="Y99" i="66"/>
  <c r="Y243" i="66"/>
  <c r="Z243" i="66"/>
  <c r="Z99" i="66"/>
  <c r="Z142" i="66"/>
  <c r="Y142" i="66"/>
  <c r="Z286" i="66"/>
  <c r="Y286" i="66"/>
  <c r="F249" i="66"/>
  <c r="Z94" i="66"/>
  <c r="Z238" i="66"/>
  <c r="Y94" i="66"/>
  <c r="Y238" i="66"/>
  <c r="J155" i="66"/>
  <c r="J112" i="41"/>
  <c r="J428" i="58"/>
  <c r="F277" i="66"/>
  <c r="N277" i="66" s="1"/>
  <c r="J429" i="58"/>
  <c r="F268" i="66" s="1"/>
  <c r="J427" i="58"/>
  <c r="J109" i="41"/>
  <c r="J459" i="37"/>
  <c r="J141" i="66"/>
  <c r="J203" i="66"/>
  <c r="T47" i="66"/>
  <c r="F133" i="66"/>
  <c r="N133" i="66" s="1"/>
  <c r="J435" i="58"/>
  <c r="J436" i="58"/>
  <c r="F283" i="66" s="1"/>
  <c r="J437" i="58"/>
  <c r="F282" i="66" s="1"/>
  <c r="N282" i="66" s="1"/>
  <c r="J434" i="58"/>
  <c r="F272" i="66" s="1"/>
  <c r="N272" i="66" s="1"/>
  <c r="H127" i="41"/>
  <c r="Y3" i="66"/>
  <c r="Y147" i="66"/>
  <c r="Z147" i="66"/>
  <c r="Z3" i="66"/>
  <c r="J107" i="66"/>
  <c r="I427" i="58"/>
  <c r="I428" i="58"/>
  <c r="I429" i="58"/>
  <c r="F220" i="66" s="1"/>
  <c r="F229" i="66"/>
  <c r="N229" i="66" s="1"/>
  <c r="H436" i="58"/>
  <c r="F187" i="66" s="1"/>
  <c r="H437" i="58"/>
  <c r="F186" i="66" s="1"/>
  <c r="N186" i="66" s="1"/>
  <c r="H434" i="58"/>
  <c r="F176" i="66" s="1"/>
  <c r="N176" i="66" s="1"/>
  <c r="B3" i="39"/>
  <c r="I459" i="37"/>
  <c r="J93" i="66"/>
  <c r="I112" i="41"/>
  <c r="F85" i="66"/>
  <c r="N85" i="66" s="1"/>
  <c r="H109" i="41"/>
  <c r="E43" i="39"/>
  <c r="E126" i="38" s="1"/>
  <c r="H110" i="41"/>
  <c r="B4" i="39" s="1"/>
  <c r="H476" i="58" s="1"/>
  <c r="F27" i="66"/>
  <c r="H438" i="58"/>
  <c r="F156" i="66" s="1"/>
  <c r="N156" i="66" s="1"/>
  <c r="H113" i="41"/>
  <c r="E40" i="39"/>
  <c r="E121" i="38" s="1"/>
  <c r="J110" i="41"/>
  <c r="E13" i="39" s="1"/>
  <c r="F123" i="66"/>
  <c r="N5" i="41"/>
  <c r="Z46" i="66"/>
  <c r="Z190" i="66"/>
  <c r="Y46" i="66"/>
  <c r="Y190" i="66"/>
  <c r="F105" i="66"/>
  <c r="F171" i="66"/>
  <c r="H125" i="41"/>
  <c r="H477" i="41"/>
  <c r="E352" i="38"/>
  <c r="K11" i="66" s="1"/>
  <c r="J59" i="66"/>
  <c r="I459" i="58"/>
  <c r="J237" i="66"/>
  <c r="J121" i="58"/>
  <c r="R175" i="66"/>
  <c r="S175" i="66"/>
  <c r="P175" i="66"/>
  <c r="H475" i="58" l="1"/>
  <c r="E368" i="38" s="1"/>
  <c r="K189" i="66" s="1"/>
  <c r="H475" i="37"/>
  <c r="E350" i="38" s="1"/>
  <c r="H476" i="37"/>
  <c r="E351" i="38" s="1"/>
  <c r="C12" i="39"/>
  <c r="P12" i="39" s="1"/>
  <c r="K40" i="39"/>
  <c r="E138" i="38" s="1"/>
  <c r="H461" i="58" s="1"/>
  <c r="E16" i="39"/>
  <c r="J249" i="66"/>
  <c r="J201" i="66"/>
  <c r="D16" i="39"/>
  <c r="B7" i="39"/>
  <c r="H478" i="37" s="1"/>
  <c r="H428" i="41"/>
  <c r="T175" i="66"/>
  <c r="J121" i="41"/>
  <c r="I428" i="41"/>
  <c r="J439" i="41"/>
  <c r="O12" i="39"/>
  <c r="J436" i="41"/>
  <c r="F139" i="66"/>
  <c r="I461" i="37"/>
  <c r="C20" i="63" s="1"/>
  <c r="J75" i="66"/>
  <c r="P59" i="66"/>
  <c r="S59" i="66"/>
  <c r="J461" i="37"/>
  <c r="C30" i="63" s="1"/>
  <c r="J123" i="66"/>
  <c r="H434" i="41"/>
  <c r="F32" i="66"/>
  <c r="N32" i="66" s="1"/>
  <c r="S251" i="66"/>
  <c r="P251" i="66"/>
  <c r="I436" i="41"/>
  <c r="F91" i="66"/>
  <c r="Z277" i="66"/>
  <c r="Y277" i="66"/>
  <c r="Z133" i="66"/>
  <c r="S203" i="66"/>
  <c r="P203" i="66"/>
  <c r="I427" i="41"/>
  <c r="D15" i="39" s="1"/>
  <c r="D42" i="39"/>
  <c r="E106" i="38" s="1"/>
  <c r="F92" i="66"/>
  <c r="Y133" i="66"/>
  <c r="I437" i="41"/>
  <c r="F90" i="66"/>
  <c r="N90" i="66" s="1"/>
  <c r="P57" i="66"/>
  <c r="S57" i="66"/>
  <c r="J461" i="58"/>
  <c r="C60" i="63" s="1"/>
  <c r="J267" i="66"/>
  <c r="H436" i="41"/>
  <c r="F43" i="66"/>
  <c r="F108" i="66"/>
  <c r="N108" i="66" s="1"/>
  <c r="J438" i="41"/>
  <c r="H438" i="41"/>
  <c r="F12" i="66"/>
  <c r="N12" i="66" s="1"/>
  <c r="Y229" i="66"/>
  <c r="Z229" i="66"/>
  <c r="Y85" i="66"/>
  <c r="Z85" i="66"/>
  <c r="J428" i="41"/>
  <c r="H427" i="41"/>
  <c r="I434" i="41"/>
  <c r="F80" i="66"/>
  <c r="N80" i="66" s="1"/>
  <c r="I121" i="41"/>
  <c r="I429" i="41"/>
  <c r="F76" i="66"/>
  <c r="J105" i="66"/>
  <c r="F236" i="66"/>
  <c r="L42" i="39"/>
  <c r="E157" i="38" s="1"/>
  <c r="C13" i="39"/>
  <c r="E369" i="38"/>
  <c r="K171" i="66" s="1"/>
  <c r="I459" i="41"/>
  <c r="R155" i="66"/>
  <c r="S155" i="66"/>
  <c r="P155" i="66"/>
  <c r="H121" i="41"/>
  <c r="P237" i="66"/>
  <c r="S237" i="66"/>
  <c r="F28" i="66"/>
  <c r="H429" i="41"/>
  <c r="I461" i="58"/>
  <c r="J219" i="66"/>
  <c r="J437" i="41"/>
  <c r="F138" i="66"/>
  <c r="N138" i="66" s="1"/>
  <c r="C40" i="39"/>
  <c r="E87" i="38" s="1"/>
  <c r="C39" i="39"/>
  <c r="E86" i="38" s="1"/>
  <c r="K39" i="39"/>
  <c r="E137" i="38" s="1"/>
  <c r="J435" i="41"/>
  <c r="S285" i="66"/>
  <c r="P285" i="66"/>
  <c r="P11" i="66"/>
  <c r="R11" i="66"/>
  <c r="S11" i="66"/>
  <c r="I439" i="41"/>
  <c r="F124" i="66"/>
  <c r="J429" i="41"/>
  <c r="J434" i="41"/>
  <c r="F128" i="66"/>
  <c r="N128" i="66" s="1"/>
  <c r="Z37" i="66"/>
  <c r="Z181" i="66"/>
  <c r="Y37" i="66"/>
  <c r="Y181" i="66"/>
  <c r="I438" i="41"/>
  <c r="F60" i="66"/>
  <c r="N60" i="66" s="1"/>
  <c r="P93" i="66"/>
  <c r="S93" i="66"/>
  <c r="H437" i="41"/>
  <c r="F42" i="66"/>
  <c r="N42" i="66" s="1"/>
  <c r="S141" i="66"/>
  <c r="P141" i="66"/>
  <c r="S107" i="66"/>
  <c r="P107" i="66"/>
  <c r="J427" i="41"/>
  <c r="E15" i="39" s="1"/>
  <c r="F140" i="66"/>
  <c r="E42" i="39"/>
  <c r="E123" i="38" s="1"/>
  <c r="J459" i="41"/>
  <c r="I435" i="41"/>
  <c r="F284" i="66"/>
  <c r="M42" i="39"/>
  <c r="E174" i="38" s="1"/>
  <c r="H460" i="37" l="1"/>
  <c r="J171" i="66"/>
  <c r="R171" i="66" s="1"/>
  <c r="P249" i="66"/>
  <c r="S249" i="66"/>
  <c r="C16" i="39"/>
  <c r="O16" i="39" s="1"/>
  <c r="K43" i="39"/>
  <c r="E143" i="38" s="1"/>
  <c r="C43" i="39"/>
  <c r="E92" i="38" s="1"/>
  <c r="J9" i="66" s="1"/>
  <c r="H478" i="58"/>
  <c r="E371" i="38" s="1"/>
  <c r="K153" i="66" s="1"/>
  <c r="S201" i="66"/>
  <c r="P201" i="66"/>
  <c r="I461" i="41"/>
  <c r="AB3" i="39"/>
  <c r="T11" i="66"/>
  <c r="C50" i="63"/>
  <c r="T155" i="66"/>
  <c r="J284" i="66"/>
  <c r="N284" i="66" s="1"/>
  <c r="K27" i="66"/>
  <c r="H476" i="41"/>
  <c r="P13" i="39"/>
  <c r="Q13" i="39" s="1"/>
  <c r="O13" i="39"/>
  <c r="Y90" i="66"/>
  <c r="Y234" i="66"/>
  <c r="Z90" i="66"/>
  <c r="Z234" i="66"/>
  <c r="AC3" i="39"/>
  <c r="Y176" i="66"/>
  <c r="Z32" i="66"/>
  <c r="Z176" i="66"/>
  <c r="Y32" i="66"/>
  <c r="S123" i="66"/>
  <c r="P123" i="66"/>
  <c r="Z204" i="66"/>
  <c r="Z60" i="66"/>
  <c r="Y204" i="66"/>
  <c r="Y60" i="66"/>
  <c r="Z108" i="66"/>
  <c r="Z252" i="66"/>
  <c r="Y108" i="66"/>
  <c r="Y252" i="66"/>
  <c r="J461" i="41"/>
  <c r="S219" i="66"/>
  <c r="P219" i="66"/>
  <c r="Y156" i="66"/>
  <c r="Z12" i="66"/>
  <c r="Z156" i="66"/>
  <c r="Y12" i="66"/>
  <c r="P75" i="66"/>
  <c r="S75" i="66"/>
  <c r="Y186" i="66"/>
  <c r="Y42" i="66"/>
  <c r="Z186" i="66"/>
  <c r="Z42" i="66"/>
  <c r="H461" i="37"/>
  <c r="J27" i="66"/>
  <c r="J92" i="66"/>
  <c r="N92" i="66" s="1"/>
  <c r="J236" i="66"/>
  <c r="N236" i="66" s="1"/>
  <c r="Z282" i="66"/>
  <c r="Z138" i="66"/>
  <c r="Y138" i="66"/>
  <c r="Y282" i="66"/>
  <c r="J189" i="66"/>
  <c r="H459" i="58"/>
  <c r="J140" i="66"/>
  <c r="N140" i="66" s="1"/>
  <c r="S105" i="66"/>
  <c r="P105" i="66"/>
  <c r="E353" i="38"/>
  <c r="K9" i="66" s="1"/>
  <c r="K45" i="66"/>
  <c r="H475" i="41"/>
  <c r="Z80" i="66"/>
  <c r="Z224" i="66"/>
  <c r="Y224" i="66"/>
  <c r="Y80" i="66"/>
  <c r="P267" i="66"/>
  <c r="S267" i="66"/>
  <c r="Q12" i="39"/>
  <c r="Z128" i="66"/>
  <c r="Y272" i="66"/>
  <c r="Z272" i="66"/>
  <c r="Y128" i="66"/>
  <c r="J45" i="66"/>
  <c r="H459" i="37"/>
  <c r="P171" i="66" l="1"/>
  <c r="S171" i="66"/>
  <c r="T171" i="66" s="1"/>
  <c r="G15" i="39"/>
  <c r="F15" i="39"/>
  <c r="J153" i="66"/>
  <c r="R153" i="66" s="1"/>
  <c r="P16" i="39"/>
  <c r="Q16" i="39" s="1"/>
  <c r="H478" i="41"/>
  <c r="H459" i="41"/>
  <c r="C40" i="63"/>
  <c r="O236" i="66"/>
  <c r="Z92" i="66"/>
  <c r="O92" i="66"/>
  <c r="Z236" i="66"/>
  <c r="Y92" i="66"/>
  <c r="Y236" i="66"/>
  <c r="P236" i="66"/>
  <c r="S236" i="66"/>
  <c r="R189" i="66"/>
  <c r="S189" i="66"/>
  <c r="P189" i="66"/>
  <c r="P140" i="66"/>
  <c r="S140" i="66"/>
  <c r="P92" i="66"/>
  <c r="S92" i="66"/>
  <c r="O284" i="66"/>
  <c r="P284" i="66"/>
  <c r="S284" i="66"/>
  <c r="P9" i="66"/>
  <c r="S9" i="66"/>
  <c r="R9" i="66"/>
  <c r="Z284" i="66"/>
  <c r="Y140" i="66"/>
  <c r="O140" i="66"/>
  <c r="Y284" i="66"/>
  <c r="Z140" i="66"/>
  <c r="S45" i="66"/>
  <c r="P45" i="66"/>
  <c r="R45" i="66"/>
  <c r="S27" i="66"/>
  <c r="P27" i="66"/>
  <c r="R27" i="66"/>
  <c r="C10" i="63"/>
  <c r="H461" i="41"/>
  <c r="S153" i="66" l="1"/>
  <c r="T153" i="66" s="1"/>
  <c r="P153" i="66"/>
  <c r="T9" i="66"/>
  <c r="T27" i="66"/>
  <c r="T189" i="66"/>
  <c r="Q92" i="66"/>
  <c r="R92" i="66" s="1"/>
  <c r="T92" i="66" s="1"/>
  <c r="T45" i="66"/>
  <c r="Q284" i="66"/>
  <c r="R284" i="66" s="1"/>
  <c r="T284" i="66" s="1"/>
  <c r="Q140" i="66"/>
  <c r="R140" i="66" s="1"/>
  <c r="T140" i="66" s="1"/>
  <c r="Q236" i="66"/>
  <c r="R236" i="66" s="1"/>
  <c r="T236" i="66" s="1"/>
  <c r="H3" i="58" l="1"/>
  <c r="M27" i="9" a="1"/>
  <c r="M27" i="9" s="1"/>
  <c r="K36" i="9"/>
  <c r="L36" i="9"/>
  <c r="K38" i="9"/>
  <c r="L38" i="9"/>
  <c r="N37" i="9" a="1"/>
  <c r="N37" i="9" s="1"/>
  <c r="E69" i="22" s="1"/>
  <c r="N39" i="9" a="1"/>
  <c r="N39" i="9" s="1"/>
  <c r="E71" i="22" s="1"/>
  <c r="Q35" i="9" a="1"/>
  <c r="Q35" i="9" s="1"/>
  <c r="R37" i="9" a="1"/>
  <c r="R37" i="9" s="1"/>
  <c r="E89" i="22" s="1"/>
  <c r="Q37" i="9" a="1"/>
  <c r="Q37" i="9" s="1"/>
  <c r="E84" i="22" s="1"/>
  <c r="M37" i="9" a="1"/>
  <c r="M37" i="9" s="1"/>
  <c r="O39" i="9" a="1"/>
  <c r="O39" i="9" s="1"/>
  <c r="E76" i="22" s="1"/>
  <c r="R39" i="9" a="1"/>
  <c r="R39" i="9" s="1"/>
  <c r="E91" i="22" s="1"/>
  <c r="O37" i="9" a="1"/>
  <c r="O37" i="9" s="1"/>
  <c r="E74" i="22" s="1"/>
  <c r="Q39" i="9" a="1"/>
  <c r="Q39" i="9" s="1"/>
  <c r="E86" i="22" s="1"/>
  <c r="N35" i="9" a="1"/>
  <c r="N35" i="9" s="1"/>
  <c r="O35" i="9" a="1"/>
  <c r="O35" i="9" s="1"/>
  <c r="R35" i="9" a="1"/>
  <c r="R35" i="9" s="1"/>
  <c r="P37" i="9" a="1"/>
  <c r="P37" i="9" s="1"/>
  <c r="M35" i="9" a="1"/>
  <c r="M35" i="9" s="1"/>
  <c r="P35" i="9" a="1"/>
  <c r="P35" i="9" s="1"/>
  <c r="M39" i="9" a="1"/>
  <c r="M39" i="9" s="1"/>
  <c r="E66" i="22" s="1"/>
  <c r="P39" i="9" a="1"/>
  <c r="P39" i="9" s="1"/>
  <c r="E81" i="22" s="1"/>
  <c r="K26" i="9"/>
  <c r="L26" i="9"/>
  <c r="R29" i="9" a="1"/>
  <c r="R29" i="9" s="1"/>
  <c r="R25" i="9" a="1"/>
  <c r="R25" i="9" s="1"/>
  <c r="O27" i="9" a="1"/>
  <c r="O27" i="9" s="1"/>
  <c r="O29" i="9" a="1"/>
  <c r="O29" i="9" s="1"/>
  <c r="O25" i="9" a="1"/>
  <c r="O25" i="9" s="1"/>
  <c r="Q25" i="9" a="1"/>
  <c r="Q25" i="9" s="1"/>
  <c r="N29" i="9" a="1"/>
  <c r="N29" i="9" s="1"/>
  <c r="N25" i="9" a="1"/>
  <c r="N25" i="9" s="1"/>
  <c r="N27" i="9" a="1"/>
  <c r="N27" i="9" s="1"/>
  <c r="Q29" i="9" a="1"/>
  <c r="Q29" i="9" s="1"/>
  <c r="M25" i="9" a="1"/>
  <c r="M25" i="9" s="1"/>
  <c r="M29" i="9" a="1"/>
  <c r="M29" i="9" s="1"/>
  <c r="P27" i="9" a="1"/>
  <c r="P27" i="9" s="1"/>
  <c r="L28" i="9"/>
  <c r="K28" i="9"/>
  <c r="F2" i="72" l="1"/>
  <c r="F64" i="72"/>
  <c r="F188" i="72"/>
  <c r="F250" i="72"/>
  <c r="F126" i="72"/>
  <c r="F33" i="72"/>
  <c r="F281" i="72"/>
  <c r="F157" i="72"/>
  <c r="F219" i="72"/>
  <c r="F95" i="72"/>
  <c r="H3" i="41"/>
  <c r="B6" i="39" s="1"/>
  <c r="C15" i="39" s="1"/>
  <c r="AA3" i="39" s="1"/>
  <c r="F44" i="66"/>
  <c r="F188" i="66"/>
  <c r="P25" i="9" a="1"/>
  <c r="P25" i="9" s="1"/>
  <c r="P5" i="9" s="1"/>
  <c r="Q27" i="9" a="1"/>
  <c r="Q27" i="9" s="1"/>
  <c r="P29" i="9" a="1"/>
  <c r="P29" i="9" s="1"/>
  <c r="E36" i="22" s="1"/>
  <c r="R27" i="9" a="1"/>
  <c r="R27" i="9" s="1"/>
  <c r="E44" i="22" s="1"/>
  <c r="E34" i="22"/>
  <c r="P7" i="9"/>
  <c r="E87" i="22"/>
  <c r="E53" i="22"/>
  <c r="K40" i="9"/>
  <c r="M39" i="20"/>
  <c r="M36" i="20"/>
  <c r="D36" i="20"/>
  <c r="D41" i="20"/>
  <c r="M46" i="20"/>
  <c r="D45" i="20"/>
  <c r="D43" i="20"/>
  <c r="D35" i="20"/>
  <c r="M40" i="20"/>
  <c r="D33" i="20"/>
  <c r="M34" i="20"/>
  <c r="D37" i="20"/>
  <c r="D38" i="20"/>
  <c r="M44" i="20"/>
  <c r="D39" i="20"/>
  <c r="D42" i="20"/>
  <c r="D46" i="20"/>
  <c r="M33" i="20"/>
  <c r="M35" i="20"/>
  <c r="M41" i="20"/>
  <c r="M42" i="20"/>
  <c r="D40" i="20"/>
  <c r="D34" i="20"/>
  <c r="M37" i="20"/>
  <c r="M45" i="20"/>
  <c r="Q36" i="9" a="1"/>
  <c r="Q36" i="9" s="1"/>
  <c r="J36" i="9"/>
  <c r="M38" i="20"/>
  <c r="M43" i="20"/>
  <c r="D44" i="20"/>
  <c r="N36" i="9" a="1"/>
  <c r="N36" i="9" s="1"/>
  <c r="M9" i="9"/>
  <c r="E21" i="22"/>
  <c r="E37" i="22"/>
  <c r="Q5" i="9"/>
  <c r="L30" i="9"/>
  <c r="E13" i="22"/>
  <c r="L6" i="9"/>
  <c r="E10" i="20"/>
  <c r="N8" i="20"/>
  <c r="N19" i="20"/>
  <c r="E7" i="20"/>
  <c r="O26" i="9" a="1"/>
  <c r="O26" i="9" s="1"/>
  <c r="N17" i="20"/>
  <c r="N16" i="20"/>
  <c r="N9" i="20"/>
  <c r="N13" i="20"/>
  <c r="N10" i="20"/>
  <c r="E16" i="20"/>
  <c r="E11" i="20"/>
  <c r="R26" i="9" a="1"/>
  <c r="R26" i="9" s="1"/>
  <c r="E6" i="20"/>
  <c r="E17" i="20"/>
  <c r="N11" i="20"/>
  <c r="E9" i="20"/>
  <c r="E18" i="20"/>
  <c r="N18" i="20"/>
  <c r="E13" i="20"/>
  <c r="N7" i="20"/>
  <c r="N14" i="20"/>
  <c r="E14" i="20"/>
  <c r="N12" i="20"/>
  <c r="E15" i="20"/>
  <c r="N15" i="20"/>
  <c r="N6" i="20"/>
  <c r="E12" i="20"/>
  <c r="E8" i="20"/>
  <c r="E19" i="20"/>
  <c r="E72" i="22"/>
  <c r="E17" i="22"/>
  <c r="O5" i="9"/>
  <c r="E27" i="22"/>
  <c r="E8" i="22"/>
  <c r="K6" i="9"/>
  <c r="K30" i="9"/>
  <c r="D13" i="20"/>
  <c r="D19" i="20"/>
  <c r="M7" i="20"/>
  <c r="M13" i="20"/>
  <c r="Q26" i="9" a="1"/>
  <c r="Q26" i="9" s="1"/>
  <c r="M10" i="20"/>
  <c r="D17" i="20"/>
  <c r="M19" i="20"/>
  <c r="D10" i="20"/>
  <c r="D18" i="20"/>
  <c r="M14" i="20"/>
  <c r="M18" i="20"/>
  <c r="M9" i="20"/>
  <c r="M12" i="20"/>
  <c r="D16" i="20"/>
  <c r="D6" i="20"/>
  <c r="M8" i="20"/>
  <c r="J26" i="9"/>
  <c r="D15" i="20"/>
  <c r="M17" i="20"/>
  <c r="M6" i="20"/>
  <c r="M16" i="20"/>
  <c r="D11" i="20"/>
  <c r="D7" i="20"/>
  <c r="D14" i="20"/>
  <c r="D8" i="20"/>
  <c r="D9" i="20"/>
  <c r="M11" i="20"/>
  <c r="D12" i="20"/>
  <c r="M15" i="20"/>
  <c r="N26" i="9" a="1"/>
  <c r="N26" i="9" s="1"/>
  <c r="E67" i="22"/>
  <c r="E82" i="22"/>
  <c r="N9" i="9"/>
  <c r="E26" i="22"/>
  <c r="E41" i="22"/>
  <c r="Q9" i="9"/>
  <c r="E31" i="22"/>
  <c r="O9" i="9"/>
  <c r="E24" i="22"/>
  <c r="N7" i="9"/>
  <c r="K8" i="9"/>
  <c r="E10" i="22"/>
  <c r="Q28" i="9" a="1"/>
  <c r="Q28" i="9" s="1"/>
  <c r="J28" i="9"/>
  <c r="N28" i="9" a="1"/>
  <c r="N28" i="9" s="1"/>
  <c r="E22" i="22"/>
  <c r="N5" i="9"/>
  <c r="E42" i="22"/>
  <c r="R5" i="9"/>
  <c r="E77" i="22"/>
  <c r="E60" i="22"/>
  <c r="O38" i="9" a="1"/>
  <c r="O38" i="9" s="1"/>
  <c r="E75" i="22" s="1"/>
  <c r="R38" i="9" a="1"/>
  <c r="R38" i="9" s="1"/>
  <c r="E90" i="22" s="1"/>
  <c r="L8" i="9"/>
  <c r="E15" i="22"/>
  <c r="O28" i="9" a="1"/>
  <c r="O28" i="9" s="1"/>
  <c r="R28" i="9" a="1"/>
  <c r="R28" i="9" s="1"/>
  <c r="M5" i="9"/>
  <c r="E62" i="22"/>
  <c r="E55" i="22"/>
  <c r="J38" i="9"/>
  <c r="Q38" i="9" a="1"/>
  <c r="Q38" i="9" s="1"/>
  <c r="E85" i="22" s="1"/>
  <c r="N38" i="9" a="1"/>
  <c r="N38" i="9" s="1"/>
  <c r="E70" i="22" s="1"/>
  <c r="E29" i="22"/>
  <c r="O7" i="9"/>
  <c r="E19" i="22"/>
  <c r="M7" i="9"/>
  <c r="E79" i="22"/>
  <c r="E64" i="22"/>
  <c r="E58" i="22"/>
  <c r="L40" i="9"/>
  <c r="N37" i="20"/>
  <c r="E44" i="20"/>
  <c r="E36" i="20"/>
  <c r="O36" i="9" a="1"/>
  <c r="O36" i="9" s="1"/>
  <c r="E43" i="20"/>
  <c r="N45" i="20"/>
  <c r="N42" i="20"/>
  <c r="E34" i="20"/>
  <c r="R36" i="9" a="1"/>
  <c r="R36" i="9" s="1"/>
  <c r="N44" i="20"/>
  <c r="E37" i="20"/>
  <c r="E39" i="20"/>
  <c r="E33" i="20"/>
  <c r="E42" i="20"/>
  <c r="E35" i="20"/>
  <c r="N34" i="20"/>
  <c r="N46" i="20"/>
  <c r="E40" i="20"/>
  <c r="N33" i="20"/>
  <c r="N43" i="20"/>
  <c r="E38" i="20"/>
  <c r="N39" i="20"/>
  <c r="N41" i="20"/>
  <c r="N38" i="20"/>
  <c r="E45" i="20"/>
  <c r="E41" i="20"/>
  <c r="E46" i="20"/>
  <c r="N35" i="20"/>
  <c r="N40" i="20"/>
  <c r="N36" i="20"/>
  <c r="E46" i="22"/>
  <c r="R9" i="9"/>
  <c r="R7" i="9" l="1"/>
  <c r="E32" i="22"/>
  <c r="R40" i="9"/>
  <c r="O40" i="9"/>
  <c r="O30" i="9"/>
  <c r="E39" i="22"/>
  <c r="P9" i="9"/>
  <c r="K42" i="39"/>
  <c r="E140" i="38" s="1"/>
  <c r="C42" i="39"/>
  <c r="E89" i="38" s="1"/>
  <c r="P15" i="39"/>
  <c r="O15" i="39"/>
  <c r="Q7" i="9"/>
  <c r="R30" i="9"/>
  <c r="N30" i="9"/>
  <c r="K10" i="9"/>
  <c r="E40" i="22"/>
  <c r="Q8" i="9"/>
  <c r="L10" i="9"/>
  <c r="P44" i="20"/>
  <c r="P46" i="20"/>
  <c r="G42" i="20"/>
  <c r="E68" i="22"/>
  <c r="G38" i="20"/>
  <c r="P34" i="20"/>
  <c r="G37" i="20"/>
  <c r="G46" i="20"/>
  <c r="P39" i="20"/>
  <c r="P38" i="20"/>
  <c r="G34" i="20"/>
  <c r="P45" i="20"/>
  <c r="P33" i="20"/>
  <c r="G41" i="20"/>
  <c r="P42" i="20"/>
  <c r="P40" i="20"/>
  <c r="G43" i="20"/>
  <c r="G33" i="20"/>
  <c r="G45" i="20"/>
  <c r="P37" i="20"/>
  <c r="G36" i="20"/>
  <c r="G39" i="20"/>
  <c r="P43" i="20"/>
  <c r="P36" i="20"/>
  <c r="P41" i="20"/>
  <c r="P35" i="20"/>
  <c r="G44" i="20"/>
  <c r="G35" i="20"/>
  <c r="G40" i="20"/>
  <c r="G70" i="35" a="1"/>
  <c r="G70" i="35" s="1"/>
  <c r="G61" i="35" a="1"/>
  <c r="G61" i="35" s="1"/>
  <c r="G72" i="35" a="1"/>
  <c r="G72" i="35" s="1"/>
  <c r="G60" i="35" a="1"/>
  <c r="G60" i="35" s="1"/>
  <c r="G62" i="35" a="1"/>
  <c r="G62" i="35" s="1"/>
  <c r="G140" i="18" a="1"/>
  <c r="G140" i="18" s="1"/>
  <c r="G133" i="18" a="1"/>
  <c r="G133" i="18" s="1"/>
  <c r="G128" i="18" a="1"/>
  <c r="G128" i="18" s="1"/>
  <c r="M20" i="20"/>
  <c r="G67" i="35" a="1"/>
  <c r="G67" i="35" s="1"/>
  <c r="G63" i="35" a="1"/>
  <c r="G63" i="35" s="1"/>
  <c r="G141" i="18" a="1"/>
  <c r="G141" i="18" s="1"/>
  <c r="G66" i="35" a="1"/>
  <c r="G66" i="35" s="1"/>
  <c r="G59" i="35" a="1"/>
  <c r="G59" i="35" s="1"/>
  <c r="G131" i="18" a="1"/>
  <c r="G131" i="18" s="1"/>
  <c r="G139" i="18" a="1"/>
  <c r="G139" i="18" s="1"/>
  <c r="G65" i="35" a="1"/>
  <c r="G65" i="35" s="1"/>
  <c r="G137" i="18" a="1"/>
  <c r="G137" i="18" s="1"/>
  <c r="G134" i="18" a="1"/>
  <c r="G134" i="18" s="1"/>
  <c r="G68" i="35" a="1"/>
  <c r="G68" i="35" s="1"/>
  <c r="G69" i="35" a="1"/>
  <c r="G69" i="35" s="1"/>
  <c r="G129" i="18" a="1"/>
  <c r="G129" i="18" s="1"/>
  <c r="G64" i="35" a="1"/>
  <c r="G64" i="35" s="1"/>
  <c r="G71" i="35" a="1"/>
  <c r="G71" i="35" s="1"/>
  <c r="G138" i="18" a="1"/>
  <c r="G138" i="18" s="1"/>
  <c r="G135" i="18" a="1"/>
  <c r="G135" i="18" s="1"/>
  <c r="G130" i="18" a="1"/>
  <c r="G130" i="18" s="1"/>
  <c r="G132" i="18" a="1"/>
  <c r="G132" i="18" s="1"/>
  <c r="G136" i="18" a="1"/>
  <c r="G136" i="18" s="1"/>
  <c r="S17" i="20"/>
  <c r="J8" i="20"/>
  <c r="S19" i="20"/>
  <c r="S8" i="20"/>
  <c r="S16" i="20"/>
  <c r="J16" i="20"/>
  <c r="E38" i="22"/>
  <c r="S6" i="20"/>
  <c r="S10" i="20"/>
  <c r="J14" i="20"/>
  <c r="S11" i="20"/>
  <c r="S18" i="20"/>
  <c r="J12" i="20"/>
  <c r="J17" i="20"/>
  <c r="S12" i="20"/>
  <c r="J11" i="20"/>
  <c r="J18" i="20"/>
  <c r="Q6" i="9"/>
  <c r="S13" i="20"/>
  <c r="J7" i="20"/>
  <c r="S14" i="20"/>
  <c r="J10" i="20"/>
  <c r="J15" i="20"/>
  <c r="J19" i="20"/>
  <c r="S15" i="20"/>
  <c r="S9" i="20"/>
  <c r="J6" i="20"/>
  <c r="S7" i="20"/>
  <c r="J13" i="20"/>
  <c r="J9" i="20"/>
  <c r="E20" i="20"/>
  <c r="G37" i="35" a="1"/>
  <c r="G37" i="35" s="1"/>
  <c r="G40" i="35" a="1"/>
  <c r="G40" i="35" s="1"/>
  <c r="G32" i="35" a="1"/>
  <c r="G32" i="35" s="1"/>
  <c r="G183" i="18" a="1"/>
  <c r="G183" i="18" s="1"/>
  <c r="G171" i="18" a="1"/>
  <c r="G171" i="18" s="1"/>
  <c r="G31" i="35" a="1"/>
  <c r="G31" i="35" s="1"/>
  <c r="G170" i="18" a="1"/>
  <c r="G170" i="18" s="1"/>
  <c r="G179" i="18" a="1"/>
  <c r="G179" i="18" s="1"/>
  <c r="G175" i="18" a="1"/>
  <c r="G175" i="18" s="1"/>
  <c r="G174" i="18" a="1"/>
  <c r="G174" i="18" s="1"/>
  <c r="G39" i="35" a="1"/>
  <c r="G39" i="35" s="1"/>
  <c r="G33" i="35" a="1"/>
  <c r="G33" i="35" s="1"/>
  <c r="G42" i="35" a="1"/>
  <c r="G42" i="35" s="1"/>
  <c r="G41" i="35" a="1"/>
  <c r="G41" i="35" s="1"/>
  <c r="G177" i="18" a="1"/>
  <c r="G177" i="18" s="1"/>
  <c r="G178" i="18" a="1"/>
  <c r="G178" i="18" s="1"/>
  <c r="G181" i="18" a="1"/>
  <c r="G181" i="18" s="1"/>
  <c r="G173" i="18" a="1"/>
  <c r="G173" i="18" s="1"/>
  <c r="G44" i="35" a="1"/>
  <c r="G44" i="35" s="1"/>
  <c r="G43" i="35" a="1"/>
  <c r="G43" i="35" s="1"/>
  <c r="G172" i="18" a="1"/>
  <c r="G172" i="18" s="1"/>
  <c r="G182" i="18" a="1"/>
  <c r="G182" i="18" s="1"/>
  <c r="G36" i="35" a="1"/>
  <c r="G36" i="35" s="1"/>
  <c r="G180" i="18" a="1"/>
  <c r="G180" i="18" s="1"/>
  <c r="G176" i="18" a="1"/>
  <c r="G176" i="18" s="1"/>
  <c r="G34" i="35" a="1"/>
  <c r="G34" i="35" s="1"/>
  <c r="G38" i="35" a="1"/>
  <c r="G38" i="35" s="1"/>
  <c r="G35" i="35" a="1"/>
  <c r="G35" i="35" s="1"/>
  <c r="R6" i="9"/>
  <c r="K11" i="20"/>
  <c r="T6" i="20"/>
  <c r="K19" i="20"/>
  <c r="T7" i="20"/>
  <c r="T17" i="20"/>
  <c r="T14" i="20"/>
  <c r="K14" i="20"/>
  <c r="T8" i="20"/>
  <c r="T18" i="20"/>
  <c r="K18" i="20"/>
  <c r="T10" i="20"/>
  <c r="T12" i="20"/>
  <c r="E43" i="22"/>
  <c r="K16" i="20"/>
  <c r="K17" i="20"/>
  <c r="K13" i="20"/>
  <c r="T9" i="20"/>
  <c r="K12" i="20"/>
  <c r="K9" i="20"/>
  <c r="K8" i="20"/>
  <c r="T19" i="20"/>
  <c r="K7" i="20"/>
  <c r="K10" i="20"/>
  <c r="T11" i="20"/>
  <c r="T15" i="20"/>
  <c r="T13" i="20"/>
  <c r="K15" i="20"/>
  <c r="K6" i="20"/>
  <c r="T16" i="20"/>
  <c r="H19" i="20"/>
  <c r="H10" i="20"/>
  <c r="H15" i="20"/>
  <c r="H14" i="20"/>
  <c r="Q19" i="20"/>
  <c r="O6" i="9"/>
  <c r="H6" i="20"/>
  <c r="Q10" i="20"/>
  <c r="Q15" i="20"/>
  <c r="Q7" i="20"/>
  <c r="H12" i="20"/>
  <c r="H18" i="20"/>
  <c r="H7" i="20"/>
  <c r="H11" i="20"/>
  <c r="Q11" i="20"/>
  <c r="Q12" i="20"/>
  <c r="Q16" i="20"/>
  <c r="Q6" i="20"/>
  <c r="Q8" i="20"/>
  <c r="Q13" i="20"/>
  <c r="Q17" i="20"/>
  <c r="H16" i="20"/>
  <c r="H17" i="20"/>
  <c r="H9" i="20"/>
  <c r="H13" i="20"/>
  <c r="Q9" i="20"/>
  <c r="Q14" i="20"/>
  <c r="Q18" i="20"/>
  <c r="E28" i="22"/>
  <c r="H8" i="20"/>
  <c r="E47" i="20"/>
  <c r="G423" i="18" a="1"/>
  <c r="G423" i="18" s="1"/>
  <c r="G117" i="35" a="1"/>
  <c r="G117" i="35" s="1"/>
  <c r="G126" i="35" a="1"/>
  <c r="G126" i="35" s="1"/>
  <c r="G434" i="18" a="1"/>
  <c r="G434" i="18" s="1"/>
  <c r="G125" i="35" a="1"/>
  <c r="G125" i="35" s="1"/>
  <c r="G119" i="35" a="1"/>
  <c r="G119" i="35" s="1"/>
  <c r="G431" i="18" a="1"/>
  <c r="G431" i="18" s="1"/>
  <c r="G430" i="18" a="1"/>
  <c r="G430" i="18" s="1"/>
  <c r="G429" i="18" a="1"/>
  <c r="G429" i="18" s="1"/>
  <c r="G435" i="18" a="1"/>
  <c r="G435" i="18" s="1"/>
  <c r="G424" i="18" a="1"/>
  <c r="G424" i="18" s="1"/>
  <c r="G115" i="35" a="1"/>
  <c r="G115" i="35" s="1"/>
  <c r="G123" i="35" a="1"/>
  <c r="G123" i="35" s="1"/>
  <c r="G428" i="18" a="1"/>
  <c r="G428" i="18" s="1"/>
  <c r="G116" i="35" a="1"/>
  <c r="G116" i="35" s="1"/>
  <c r="G128" i="35" a="1"/>
  <c r="G128" i="35" s="1"/>
  <c r="G425" i="18" a="1"/>
  <c r="G425" i="18" s="1"/>
  <c r="G427" i="18" a="1"/>
  <c r="G427" i="18" s="1"/>
  <c r="G426" i="18" a="1"/>
  <c r="G426" i="18" s="1"/>
  <c r="G121" i="35" a="1"/>
  <c r="G121" i="35" s="1"/>
  <c r="G433" i="18" a="1"/>
  <c r="G433" i="18" s="1"/>
  <c r="G422" i="18" a="1"/>
  <c r="G422" i="18" s="1"/>
  <c r="G127" i="35" a="1"/>
  <c r="G127" i="35" s="1"/>
  <c r="G122" i="35" a="1"/>
  <c r="G122" i="35" s="1"/>
  <c r="G432" i="18" a="1"/>
  <c r="G432" i="18" s="1"/>
  <c r="G124" i="35" a="1"/>
  <c r="G124" i="35" s="1"/>
  <c r="G120" i="35" a="1"/>
  <c r="G120" i="35" s="1"/>
  <c r="G118" i="35" a="1"/>
  <c r="G118" i="35" s="1"/>
  <c r="H38" i="20"/>
  <c r="Q34" i="20"/>
  <c r="Q38" i="20"/>
  <c r="H36" i="20"/>
  <c r="Q33" i="20"/>
  <c r="H41" i="20"/>
  <c r="H45" i="20"/>
  <c r="Q43" i="20"/>
  <c r="H46" i="20"/>
  <c r="Q45" i="20"/>
  <c r="Q35" i="20"/>
  <c r="Q39" i="20"/>
  <c r="H35" i="20"/>
  <c r="Q36" i="20"/>
  <c r="H37" i="20"/>
  <c r="H42" i="20"/>
  <c r="H33" i="20"/>
  <c r="Q42" i="20"/>
  <c r="Q44" i="20"/>
  <c r="H39" i="20"/>
  <c r="H43" i="20"/>
  <c r="Q40" i="20"/>
  <c r="E73" i="22"/>
  <c r="Q46" i="20"/>
  <c r="Q37" i="20"/>
  <c r="H34" i="20"/>
  <c r="H40" i="20"/>
  <c r="H44" i="20"/>
  <c r="Q41" i="20"/>
  <c r="Q40" i="9"/>
  <c r="J30" i="9"/>
  <c r="C19" i="20"/>
  <c r="C6" i="20"/>
  <c r="L10" i="20"/>
  <c r="L19" i="20"/>
  <c r="C16" i="20"/>
  <c r="C11" i="20"/>
  <c r="L6" i="20"/>
  <c r="L16" i="20"/>
  <c r="C12" i="20"/>
  <c r="L11" i="20"/>
  <c r="J6" i="9"/>
  <c r="L12" i="20"/>
  <c r="L13" i="20"/>
  <c r="M26" i="9" a="1"/>
  <c r="M26" i="9" s="1"/>
  <c r="C18" i="20"/>
  <c r="L8" i="20"/>
  <c r="L18" i="20"/>
  <c r="P26" i="9" a="1"/>
  <c r="P26" i="9" s="1"/>
  <c r="C8" i="20"/>
  <c r="C15" i="20"/>
  <c r="C9" i="20"/>
  <c r="C10" i="20"/>
  <c r="C17" i="20"/>
  <c r="L15" i="20"/>
  <c r="C7" i="20"/>
  <c r="L7" i="20"/>
  <c r="L17" i="20"/>
  <c r="C13" i="20"/>
  <c r="L9" i="20"/>
  <c r="E3" i="22"/>
  <c r="C14" i="20"/>
  <c r="L14" i="20"/>
  <c r="G217" i="18" a="1"/>
  <c r="G217" i="18" s="1"/>
  <c r="G219" i="18" a="1"/>
  <c r="G219" i="18" s="1"/>
  <c r="G84" i="35" a="1"/>
  <c r="G84" i="35" s="1"/>
  <c r="G78" i="35" a="1"/>
  <c r="G78" i="35" s="1"/>
  <c r="G73" i="35" a="1"/>
  <c r="G73" i="35" s="1"/>
  <c r="G77" i="35" a="1"/>
  <c r="G77" i="35" s="1"/>
  <c r="G86" i="35" a="1"/>
  <c r="G86" i="35" s="1"/>
  <c r="G225" i="18" a="1"/>
  <c r="G225" i="18" s="1"/>
  <c r="G80" i="35" a="1"/>
  <c r="G80" i="35" s="1"/>
  <c r="G75" i="35" a="1"/>
  <c r="G75" i="35" s="1"/>
  <c r="G216" i="18" a="1"/>
  <c r="G216" i="18" s="1"/>
  <c r="G212" i="18" a="1"/>
  <c r="G212" i="18" s="1"/>
  <c r="G221" i="18" a="1"/>
  <c r="G221" i="18" s="1"/>
  <c r="G223" i="18" a="1"/>
  <c r="G223" i="18" s="1"/>
  <c r="G213" i="18" a="1"/>
  <c r="G213" i="18" s="1"/>
  <c r="G85" i="35" a="1"/>
  <c r="G85" i="35" s="1"/>
  <c r="G82" i="35" a="1"/>
  <c r="G82" i="35" s="1"/>
  <c r="G76" i="35" a="1"/>
  <c r="G76" i="35" s="1"/>
  <c r="G81" i="35" a="1"/>
  <c r="G81" i="35" s="1"/>
  <c r="G74" i="35" a="1"/>
  <c r="G74" i="35" s="1"/>
  <c r="N20" i="20"/>
  <c r="G214" i="18" a="1"/>
  <c r="G214" i="18" s="1"/>
  <c r="G83" i="35" a="1"/>
  <c r="G83" i="35" s="1"/>
  <c r="G215" i="18" a="1"/>
  <c r="G215" i="18" s="1"/>
  <c r="G220" i="18" a="1"/>
  <c r="G220" i="18" s="1"/>
  <c r="G218" i="18" a="1"/>
  <c r="G218" i="18" s="1"/>
  <c r="G224" i="18" a="1"/>
  <c r="G224" i="18" s="1"/>
  <c r="G222" i="18" a="1"/>
  <c r="G222" i="18" s="1"/>
  <c r="G79" i="35" a="1"/>
  <c r="G79" i="35" s="1"/>
  <c r="C44" i="20"/>
  <c r="C35" i="20"/>
  <c r="C37" i="20"/>
  <c r="L35" i="20"/>
  <c r="L44" i="20"/>
  <c r="L40" i="20"/>
  <c r="C40" i="20"/>
  <c r="C42" i="20"/>
  <c r="P36" i="9" a="1"/>
  <c r="P36" i="9" s="1"/>
  <c r="L38" i="20"/>
  <c r="L46" i="20"/>
  <c r="C46" i="20"/>
  <c r="C36" i="20"/>
  <c r="J40" i="9"/>
  <c r="L41" i="20"/>
  <c r="L34" i="20"/>
  <c r="C34" i="20"/>
  <c r="C43" i="20"/>
  <c r="L45" i="20"/>
  <c r="L33" i="20"/>
  <c r="C38" i="20"/>
  <c r="C33" i="20"/>
  <c r="L39" i="20"/>
  <c r="L36" i="20"/>
  <c r="C45" i="20"/>
  <c r="M36" i="9" a="1"/>
  <c r="M36" i="9" s="1"/>
  <c r="L43" i="20"/>
  <c r="L37" i="20"/>
  <c r="C41" i="20"/>
  <c r="C39" i="20"/>
  <c r="E48" i="22"/>
  <c r="L42" i="20"/>
  <c r="G157" i="35" a="1"/>
  <c r="G157" i="35" s="1"/>
  <c r="G469" i="18" a="1"/>
  <c r="G469" i="18" s="1"/>
  <c r="G163" i="35" a="1"/>
  <c r="G163" i="35" s="1"/>
  <c r="G161" i="35" a="1"/>
  <c r="G161" i="35" s="1"/>
  <c r="G167" i="35" a="1"/>
  <c r="G167" i="35" s="1"/>
  <c r="G170" i="35" a="1"/>
  <c r="G170" i="35" s="1"/>
  <c r="G471" i="18" a="1"/>
  <c r="G471" i="18" s="1"/>
  <c r="G477" i="18" a="1"/>
  <c r="G477" i="18" s="1"/>
  <c r="G168" i="35" a="1"/>
  <c r="G168" i="35" s="1"/>
  <c r="G166" i="35" a="1"/>
  <c r="G166" i="35" s="1"/>
  <c r="G472" i="18" a="1"/>
  <c r="G472" i="18" s="1"/>
  <c r="G466" i="18" a="1"/>
  <c r="G466" i="18" s="1"/>
  <c r="G473" i="18" a="1"/>
  <c r="G473" i="18" s="1"/>
  <c r="G162" i="35" a="1"/>
  <c r="G162" i="35" s="1"/>
  <c r="N47" i="20"/>
  <c r="G160" i="35" a="1"/>
  <c r="G160" i="35" s="1"/>
  <c r="G470" i="18" a="1"/>
  <c r="G470" i="18" s="1"/>
  <c r="G474" i="18" a="1"/>
  <c r="G474" i="18" s="1"/>
  <c r="G468" i="18" a="1"/>
  <c r="G468" i="18" s="1"/>
  <c r="G464" i="18" a="1"/>
  <c r="G464" i="18" s="1"/>
  <c r="G465" i="18" a="1"/>
  <c r="G465" i="18" s="1"/>
  <c r="G169" i="35" a="1"/>
  <c r="G169" i="35" s="1"/>
  <c r="G475" i="18" a="1"/>
  <c r="G475" i="18" s="1"/>
  <c r="G164" i="35" a="1"/>
  <c r="G164" i="35" s="1"/>
  <c r="G159" i="35" a="1"/>
  <c r="G159" i="35" s="1"/>
  <c r="G165" i="35" a="1"/>
  <c r="G165" i="35" s="1"/>
  <c r="G467" i="18" a="1"/>
  <c r="G467" i="18" s="1"/>
  <c r="G476" i="18" a="1"/>
  <c r="G476" i="18" s="1"/>
  <c r="G158" i="35" a="1"/>
  <c r="G158" i="35" s="1"/>
  <c r="M38" i="9" a="1"/>
  <c r="M38" i="9" s="1"/>
  <c r="E65" i="22" s="1"/>
  <c r="P38" i="9" a="1"/>
  <c r="P38" i="9" s="1"/>
  <c r="E80" i="22" s="1"/>
  <c r="E50" i="22"/>
  <c r="N40" i="9"/>
  <c r="Q30" i="9"/>
  <c r="S33" i="20"/>
  <c r="J40" i="20"/>
  <c r="S43" i="20"/>
  <c r="J38" i="20"/>
  <c r="S45" i="20"/>
  <c r="J35" i="20"/>
  <c r="S34" i="20"/>
  <c r="J37" i="20"/>
  <c r="J44" i="20"/>
  <c r="S38" i="20"/>
  <c r="J42" i="20"/>
  <c r="S36" i="20"/>
  <c r="S46" i="20"/>
  <c r="J43" i="20"/>
  <c r="S42" i="20"/>
  <c r="S41" i="20"/>
  <c r="E83" i="22"/>
  <c r="J41" i="20"/>
  <c r="J34" i="20"/>
  <c r="J39" i="20"/>
  <c r="S35" i="20"/>
  <c r="J46" i="20"/>
  <c r="S39" i="20"/>
  <c r="J33" i="20"/>
  <c r="S44" i="20"/>
  <c r="J45" i="20"/>
  <c r="S40" i="20"/>
  <c r="J36" i="20"/>
  <c r="S37" i="20"/>
  <c r="G389" i="18" a="1"/>
  <c r="G389" i="18" s="1"/>
  <c r="G386" i="18" a="1"/>
  <c r="G386" i="18" s="1"/>
  <c r="G145" i="35" a="1"/>
  <c r="G145" i="35" s="1"/>
  <c r="G154" i="35" a="1"/>
  <c r="G154" i="35" s="1"/>
  <c r="G153" i="35" a="1"/>
  <c r="G153" i="35" s="1"/>
  <c r="G156" i="35" a="1"/>
  <c r="G156" i="35" s="1"/>
  <c r="G381" i="18" a="1"/>
  <c r="G381" i="18" s="1"/>
  <c r="G384" i="18" a="1"/>
  <c r="G384" i="18" s="1"/>
  <c r="G152" i="35" a="1"/>
  <c r="G152" i="35" s="1"/>
  <c r="G393" i="18" a="1"/>
  <c r="G393" i="18" s="1"/>
  <c r="G382" i="18" a="1"/>
  <c r="G382" i="18" s="1"/>
  <c r="G392" i="18" a="1"/>
  <c r="G392" i="18" s="1"/>
  <c r="G155" i="35" a="1"/>
  <c r="G155" i="35" s="1"/>
  <c r="G391" i="18" a="1"/>
  <c r="G391" i="18" s="1"/>
  <c r="M47" i="20"/>
  <c r="G151" i="35" a="1"/>
  <c r="G151" i="35" s="1"/>
  <c r="G144" i="35" a="1"/>
  <c r="G144" i="35" s="1"/>
  <c r="G146" i="35" a="1"/>
  <c r="G146" i="35" s="1"/>
  <c r="G385" i="18" a="1"/>
  <c r="G385" i="18" s="1"/>
  <c r="G148" i="35" a="1"/>
  <c r="G148" i="35" s="1"/>
  <c r="G147" i="35" a="1"/>
  <c r="G147" i="35" s="1"/>
  <c r="G383" i="18" a="1"/>
  <c r="G383" i="18" s="1"/>
  <c r="G380" i="18" a="1"/>
  <c r="G380" i="18" s="1"/>
  <c r="G390" i="18" a="1"/>
  <c r="G390" i="18" s="1"/>
  <c r="G143" i="35" a="1"/>
  <c r="G143" i="35" s="1"/>
  <c r="G388" i="18" a="1"/>
  <c r="G388" i="18" s="1"/>
  <c r="G150" i="35" a="1"/>
  <c r="G150" i="35" s="1"/>
  <c r="G387" i="18" a="1"/>
  <c r="G387" i="18" s="1"/>
  <c r="G149" i="35" a="1"/>
  <c r="G149" i="35" s="1"/>
  <c r="G345" i="18" a="1"/>
  <c r="G345" i="18" s="1"/>
  <c r="G110" i="35" a="1"/>
  <c r="G110" i="35" s="1"/>
  <c r="G347" i="18" a="1"/>
  <c r="G347" i="18" s="1"/>
  <c r="G339" i="18" a="1"/>
  <c r="G339" i="18" s="1"/>
  <c r="G104" i="35" a="1"/>
  <c r="G104" i="35" s="1"/>
  <c r="G102" i="35" a="1"/>
  <c r="G102" i="35" s="1"/>
  <c r="G106" i="35" a="1"/>
  <c r="G106" i="35" s="1"/>
  <c r="G112" i="35" a="1"/>
  <c r="G112" i="35" s="1"/>
  <c r="G113" i="35" a="1"/>
  <c r="G113" i="35" s="1"/>
  <c r="G107" i="35" a="1"/>
  <c r="G107" i="35" s="1"/>
  <c r="G351" i="18" a="1"/>
  <c r="G351" i="18" s="1"/>
  <c r="G109" i="35" a="1"/>
  <c r="G109" i="35" s="1"/>
  <c r="G338" i="18" a="1"/>
  <c r="G338" i="18" s="1"/>
  <c r="G340" i="18" a="1"/>
  <c r="G340" i="18" s="1"/>
  <c r="D47" i="20"/>
  <c r="G111" i="35" a="1"/>
  <c r="G111" i="35" s="1"/>
  <c r="G349" i="18" a="1"/>
  <c r="G349" i="18" s="1"/>
  <c r="G114" i="35" a="1"/>
  <c r="G114" i="35" s="1"/>
  <c r="G350" i="18" a="1"/>
  <c r="G350" i="18" s="1"/>
  <c r="G344" i="18" a="1"/>
  <c r="G344" i="18" s="1"/>
  <c r="G346" i="18" a="1"/>
  <c r="G346" i="18" s="1"/>
  <c r="G105" i="35" a="1"/>
  <c r="G105" i="35" s="1"/>
  <c r="G341" i="18" a="1"/>
  <c r="G341" i="18" s="1"/>
  <c r="G342" i="18" a="1"/>
  <c r="G342" i="18" s="1"/>
  <c r="G348" i="18" a="1"/>
  <c r="G348" i="18" s="1"/>
  <c r="G343" i="18" a="1"/>
  <c r="G343" i="18" s="1"/>
  <c r="G101" i="35" a="1"/>
  <c r="G101" i="35" s="1"/>
  <c r="G103" i="35" a="1"/>
  <c r="G103" i="35" s="1"/>
  <c r="G108" i="35" a="1"/>
  <c r="G108" i="35" s="1"/>
  <c r="E45" i="22"/>
  <c r="R8" i="9"/>
  <c r="E25" i="22"/>
  <c r="N8" i="9"/>
  <c r="G24" i="35" a="1"/>
  <c r="G24" i="35" s="1"/>
  <c r="G20" i="35" a="1"/>
  <c r="G20" i="35" s="1"/>
  <c r="G95" i="18" a="1"/>
  <c r="G95" i="18" s="1"/>
  <c r="G17" i="35" a="1"/>
  <c r="G17" i="35" s="1"/>
  <c r="G26" i="35" a="1"/>
  <c r="G26" i="35" s="1"/>
  <c r="G30" i="35" a="1"/>
  <c r="G30" i="35" s="1"/>
  <c r="G91" i="18" a="1"/>
  <c r="G91" i="18" s="1"/>
  <c r="G19" i="35" a="1"/>
  <c r="G19" i="35" s="1"/>
  <c r="G28" i="35" a="1"/>
  <c r="G28" i="35" s="1"/>
  <c r="G94" i="18" a="1"/>
  <c r="G94" i="18" s="1"/>
  <c r="G86" i="18" a="1"/>
  <c r="G86" i="18" s="1"/>
  <c r="G27" i="35" a="1"/>
  <c r="G27" i="35" s="1"/>
  <c r="G89" i="18" a="1"/>
  <c r="G89" i="18" s="1"/>
  <c r="G23" i="35" a="1"/>
  <c r="G23" i="35" s="1"/>
  <c r="G90" i="18" a="1"/>
  <c r="G90" i="18" s="1"/>
  <c r="D20" i="20"/>
  <c r="G18" i="35" a="1"/>
  <c r="G18" i="35" s="1"/>
  <c r="G21" i="35" a="1"/>
  <c r="G21" i="35" s="1"/>
  <c r="G29" i="35" a="1"/>
  <c r="G29" i="35" s="1"/>
  <c r="G22" i="35" a="1"/>
  <c r="G22" i="35" s="1"/>
  <c r="G92" i="18" a="1"/>
  <c r="G92" i="18" s="1"/>
  <c r="G93" i="18" a="1"/>
  <c r="G93" i="18" s="1"/>
  <c r="G98" i="18" a="1"/>
  <c r="G98" i="18" s="1"/>
  <c r="G25" i="35" a="1"/>
  <c r="G25" i="35" s="1"/>
  <c r="G97" i="18" a="1"/>
  <c r="G97" i="18" s="1"/>
  <c r="G99" i="18" a="1"/>
  <c r="G99" i="18" s="1"/>
  <c r="G96" i="18" a="1"/>
  <c r="G96" i="18" s="1"/>
  <c r="G88" i="18" a="1"/>
  <c r="G88" i="18" s="1"/>
  <c r="G87" i="18" a="1"/>
  <c r="G87" i="18" s="1"/>
  <c r="K37" i="20"/>
  <c r="K45" i="20"/>
  <c r="T40" i="20"/>
  <c r="T45" i="20"/>
  <c r="K44" i="20"/>
  <c r="K40" i="20"/>
  <c r="K42" i="20"/>
  <c r="E88" i="22"/>
  <c r="K41" i="20"/>
  <c r="T38" i="20"/>
  <c r="T36" i="20"/>
  <c r="T35" i="20"/>
  <c r="T39" i="20"/>
  <c r="T33" i="20"/>
  <c r="T44" i="20"/>
  <c r="K39" i="20"/>
  <c r="T34" i="20"/>
  <c r="K38" i="20"/>
  <c r="K36" i="20"/>
  <c r="K46" i="20"/>
  <c r="T42" i="20"/>
  <c r="K35" i="20"/>
  <c r="T46" i="20"/>
  <c r="K34" i="20"/>
  <c r="T41" i="20"/>
  <c r="K33" i="20"/>
  <c r="T43" i="20"/>
  <c r="T37" i="20"/>
  <c r="K43" i="20"/>
  <c r="E30" i="22"/>
  <c r="O8" i="9"/>
  <c r="J8" i="9"/>
  <c r="P28" i="9" a="1"/>
  <c r="P28" i="9" s="1"/>
  <c r="E5" i="22"/>
  <c r="M28" i="9" a="1"/>
  <c r="M28" i="9" s="1"/>
  <c r="N6" i="9"/>
  <c r="P11" i="20"/>
  <c r="G10" i="20"/>
  <c r="P13" i="20"/>
  <c r="G17" i="20"/>
  <c r="G11" i="20"/>
  <c r="G19" i="20"/>
  <c r="P14" i="20"/>
  <c r="G12" i="20"/>
  <c r="G16" i="20"/>
  <c r="E23" i="22"/>
  <c r="G18" i="20"/>
  <c r="G15" i="20"/>
  <c r="P18" i="20"/>
  <c r="G13" i="20"/>
  <c r="G7" i="20"/>
  <c r="P6" i="20"/>
  <c r="P9" i="20"/>
  <c r="P16" i="20"/>
  <c r="P7" i="20"/>
  <c r="G14" i="20"/>
  <c r="G6" i="20"/>
  <c r="G8" i="20"/>
  <c r="P15" i="20"/>
  <c r="P19" i="20"/>
  <c r="P17" i="20"/>
  <c r="P10" i="20"/>
  <c r="P8" i="20"/>
  <c r="P12" i="20"/>
  <c r="G9" i="20"/>
  <c r="O10" i="9" l="1"/>
  <c r="H230" i="37"/>
  <c r="H330" i="37"/>
  <c r="H146" i="37"/>
  <c r="H366" i="37"/>
  <c r="H342" i="37"/>
  <c r="H362" i="37"/>
  <c r="H350" i="37"/>
  <c r="H246" i="37"/>
  <c r="H150" i="37"/>
  <c r="H162" i="37"/>
  <c r="H242" i="37"/>
  <c r="H326" i="37"/>
  <c r="H234" i="37"/>
  <c r="H354" i="37"/>
  <c r="H158" i="37"/>
  <c r="H338" i="37"/>
  <c r="E26" i="17"/>
  <c r="E24" i="17"/>
  <c r="D26" i="17"/>
  <c r="D24" i="17"/>
  <c r="E27" i="17"/>
  <c r="E25" i="17"/>
  <c r="D27" i="17"/>
  <c r="D25" i="17"/>
  <c r="Q10" i="9"/>
  <c r="Q15" i="39"/>
  <c r="J44" i="66"/>
  <c r="J188" i="66"/>
  <c r="R10" i="9"/>
  <c r="H97" i="18"/>
  <c r="I97" i="18"/>
  <c r="H346" i="18"/>
  <c r="I346" i="18"/>
  <c r="H338" i="18"/>
  <c r="I338" i="18"/>
  <c r="I388" i="18"/>
  <c r="H388" i="18"/>
  <c r="I393" i="18"/>
  <c r="H393" i="18"/>
  <c r="H386" i="18"/>
  <c r="I386" i="18"/>
  <c r="G368" i="18" a="1"/>
  <c r="G368" i="18" s="1"/>
  <c r="G378" i="18" a="1"/>
  <c r="G378" i="18" s="1"/>
  <c r="G367" i="18" a="1"/>
  <c r="G367" i="18" s="1"/>
  <c r="G375" i="18" a="1"/>
  <c r="G375" i="18" s="1"/>
  <c r="G376" i="18" a="1"/>
  <c r="G376" i="18" s="1"/>
  <c r="I109" i="35" a="1"/>
  <c r="I109" i="35" s="1"/>
  <c r="J47" i="20"/>
  <c r="G373" i="18" a="1"/>
  <c r="G373" i="18" s="1"/>
  <c r="G374" i="18" a="1"/>
  <c r="G374" i="18" s="1"/>
  <c r="I103" i="35" a="1"/>
  <c r="I103" i="35" s="1"/>
  <c r="G372" i="18" a="1"/>
  <c r="G372" i="18" s="1"/>
  <c r="I111" i="35" a="1"/>
  <c r="I111" i="35" s="1"/>
  <c r="I114" i="35" a="1"/>
  <c r="I114" i="35" s="1"/>
  <c r="G377" i="18" a="1"/>
  <c r="G377" i="18" s="1"/>
  <c r="I106" i="35" a="1"/>
  <c r="I106" i="35" s="1"/>
  <c r="I104" i="35" a="1"/>
  <c r="I104" i="35" s="1"/>
  <c r="I108" i="35" a="1"/>
  <c r="I108" i="35" s="1"/>
  <c r="G366" i="18" a="1"/>
  <c r="G366" i="18" s="1"/>
  <c r="G369" i="18" a="1"/>
  <c r="G369" i="18" s="1"/>
  <c r="G379" i="18" a="1"/>
  <c r="G379" i="18" s="1"/>
  <c r="I112" i="35" a="1"/>
  <c r="I112" i="35" s="1"/>
  <c r="I113" i="35" a="1"/>
  <c r="I113" i="35" s="1"/>
  <c r="G370" i="18" a="1"/>
  <c r="G370" i="18" s="1"/>
  <c r="I102" i="35" a="1"/>
  <c r="I102" i="35" s="1"/>
  <c r="I110" i="35" a="1"/>
  <c r="I110" i="35" s="1"/>
  <c r="G371" i="18" a="1"/>
  <c r="G371" i="18" s="1"/>
  <c r="I105" i="35" a="1"/>
  <c r="I105" i="35" s="1"/>
  <c r="I107" i="35" a="1"/>
  <c r="I107" i="35" s="1"/>
  <c r="I101" i="35" a="1"/>
  <c r="I101" i="35" s="1"/>
  <c r="I154" i="35" a="1"/>
  <c r="I154" i="35" s="1"/>
  <c r="I144" i="35" a="1"/>
  <c r="I144" i="35" s="1"/>
  <c r="I146" i="35" a="1"/>
  <c r="I146" i="35" s="1"/>
  <c r="G419" i="18" a="1"/>
  <c r="G419" i="18" s="1"/>
  <c r="I143" i="35" a="1"/>
  <c r="I143" i="35" s="1"/>
  <c r="G418" i="18" a="1"/>
  <c r="G418" i="18" s="1"/>
  <c r="S47" i="20"/>
  <c r="G415" i="18" a="1"/>
  <c r="G415" i="18" s="1"/>
  <c r="I156" i="35" a="1"/>
  <c r="I156" i="35" s="1"/>
  <c r="G413" i="18" a="1"/>
  <c r="G413" i="18" s="1"/>
  <c r="I155" i="35" a="1"/>
  <c r="I155" i="35" s="1"/>
  <c r="G420" i="18" a="1"/>
  <c r="G420" i="18" s="1"/>
  <c r="G411" i="18" a="1"/>
  <c r="G411" i="18" s="1"/>
  <c r="G414" i="18" a="1"/>
  <c r="G414" i="18" s="1"/>
  <c r="I148" i="35" a="1"/>
  <c r="I148" i="35" s="1"/>
  <c r="G412" i="18" a="1"/>
  <c r="G412" i="18" s="1"/>
  <c r="I153" i="35" a="1"/>
  <c r="I153" i="35" s="1"/>
  <c r="I150" i="35" a="1"/>
  <c r="I150" i="35" s="1"/>
  <c r="I152" i="35" a="1"/>
  <c r="I152" i="35" s="1"/>
  <c r="G421" i="18" a="1"/>
  <c r="G421" i="18" s="1"/>
  <c r="G416" i="18" a="1"/>
  <c r="G416" i="18" s="1"/>
  <c r="G417" i="18" a="1"/>
  <c r="G417" i="18" s="1"/>
  <c r="I149" i="35" a="1"/>
  <c r="I149" i="35" s="1"/>
  <c r="G410" i="18" a="1"/>
  <c r="G410" i="18" s="1"/>
  <c r="I151" i="35" a="1"/>
  <c r="I151" i="35" s="1"/>
  <c r="I145" i="35" a="1"/>
  <c r="I145" i="35" s="1"/>
  <c r="G409" i="18" a="1"/>
  <c r="G409" i="18" s="1"/>
  <c r="I147" i="35" a="1"/>
  <c r="I147" i="35" s="1"/>
  <c r="G408" i="18" a="1"/>
  <c r="G408" i="18" s="1"/>
  <c r="H467" i="18"/>
  <c r="I467" i="18"/>
  <c r="H468" i="18"/>
  <c r="I468" i="18"/>
  <c r="H472" i="18"/>
  <c r="I472" i="18"/>
  <c r="E63" i="22"/>
  <c r="M40" i="9"/>
  <c r="I213" i="18"/>
  <c r="H213" i="18"/>
  <c r="H163" i="35" a="1"/>
  <c r="H163" i="35" s="1"/>
  <c r="G483" i="18" a="1"/>
  <c r="G483" i="18" s="1"/>
  <c r="G485" i="18" a="1"/>
  <c r="G485" i="18" s="1"/>
  <c r="H164" i="35" a="1"/>
  <c r="H164" i="35" s="1"/>
  <c r="H158" i="35" a="1"/>
  <c r="H158" i="35" s="1"/>
  <c r="G487" i="18" a="1"/>
  <c r="G487" i="18" s="1"/>
  <c r="Q47" i="20"/>
  <c r="H160" i="35" a="1"/>
  <c r="H160" i="35" s="1"/>
  <c r="H166" i="35" a="1"/>
  <c r="H166" i="35" s="1"/>
  <c r="G491" i="18" a="1"/>
  <c r="G491" i="18" s="1"/>
  <c r="G484" i="18" a="1"/>
  <c r="G484" i="18" s="1"/>
  <c r="H170" i="35" a="1"/>
  <c r="H170" i="35" s="1"/>
  <c r="G480" i="18" a="1"/>
  <c r="G480" i="18" s="1"/>
  <c r="H169" i="35" a="1"/>
  <c r="H169" i="35" s="1"/>
  <c r="H162" i="35" a="1"/>
  <c r="H162" i="35" s="1"/>
  <c r="G482" i="18" a="1"/>
  <c r="G482" i="18" s="1"/>
  <c r="G481" i="18" a="1"/>
  <c r="G481" i="18" s="1"/>
  <c r="H165" i="35" a="1"/>
  <c r="H165" i="35" s="1"/>
  <c r="H159" i="35" a="1"/>
  <c r="H159" i="35" s="1"/>
  <c r="G486" i="18" a="1"/>
  <c r="G486" i="18" s="1"/>
  <c r="G489" i="18" a="1"/>
  <c r="G489" i="18" s="1"/>
  <c r="H161" i="35" a="1"/>
  <c r="H161" i="35" s="1"/>
  <c r="H167" i="35" a="1"/>
  <c r="H167" i="35" s="1"/>
  <c r="G479" i="18" a="1"/>
  <c r="G479" i="18" s="1"/>
  <c r="G490" i="18" a="1"/>
  <c r="G490" i="18" s="1"/>
  <c r="H168" i="35" a="1"/>
  <c r="H168" i="35" s="1"/>
  <c r="G478" i="18" a="1"/>
  <c r="G478" i="18" s="1"/>
  <c r="G488" i="18" a="1"/>
  <c r="G488" i="18" s="1"/>
  <c r="H157" i="35" a="1"/>
  <c r="H157" i="35" s="1"/>
  <c r="I432" i="18"/>
  <c r="H432" i="18"/>
  <c r="I425" i="18"/>
  <c r="H425" i="18"/>
  <c r="H429" i="18"/>
  <c r="I429" i="18"/>
  <c r="I423" i="18"/>
  <c r="H423" i="18"/>
  <c r="H180" i="18"/>
  <c r="I180" i="18"/>
  <c r="H178" i="18"/>
  <c r="I178" i="18"/>
  <c r="I179" i="18"/>
  <c r="H179" i="18"/>
  <c r="S20" i="20"/>
  <c r="I69" i="35" a="1"/>
  <c r="I69" i="35" s="1"/>
  <c r="I65" i="35" a="1"/>
  <c r="I65" i="35" s="1"/>
  <c r="I70" i="35" a="1"/>
  <c r="I70" i="35" s="1"/>
  <c r="I63" i="35" a="1"/>
  <c r="I63" i="35" s="1"/>
  <c r="G169" i="18" a="1"/>
  <c r="G169" i="18" s="1"/>
  <c r="G160" i="18" a="1"/>
  <c r="G160" i="18" s="1"/>
  <c r="I64" i="35" a="1"/>
  <c r="I64" i="35" s="1"/>
  <c r="G157" i="18" a="1"/>
  <c r="G157" i="18" s="1"/>
  <c r="I66" i="35" a="1"/>
  <c r="I66" i="35" s="1"/>
  <c r="I60" i="35" a="1"/>
  <c r="I60" i="35" s="1"/>
  <c r="I72" i="35" a="1"/>
  <c r="I72" i="35" s="1"/>
  <c r="G162" i="18" a="1"/>
  <c r="G162" i="18" s="1"/>
  <c r="I67" i="35" a="1"/>
  <c r="I67" i="35" s="1"/>
  <c r="G167" i="18" a="1"/>
  <c r="G167" i="18" s="1"/>
  <c r="I68" i="35" a="1"/>
  <c r="I68" i="35" s="1"/>
  <c r="G156" i="18" a="1"/>
  <c r="G156" i="18" s="1"/>
  <c r="G159" i="18" a="1"/>
  <c r="G159" i="18" s="1"/>
  <c r="G163" i="18" a="1"/>
  <c r="G163" i="18" s="1"/>
  <c r="I59" i="35" a="1"/>
  <c r="I59" i="35" s="1"/>
  <c r="G166" i="18" a="1"/>
  <c r="G166" i="18" s="1"/>
  <c r="G164" i="18" a="1"/>
  <c r="G164" i="18" s="1"/>
  <c r="G168" i="18" a="1"/>
  <c r="G168" i="18" s="1"/>
  <c r="I61" i="35" a="1"/>
  <c r="I61" i="35" s="1"/>
  <c r="G165" i="18" a="1"/>
  <c r="G165" i="18" s="1"/>
  <c r="G158" i="18" a="1"/>
  <c r="G158" i="18" s="1"/>
  <c r="I62" i="35" a="1"/>
  <c r="I62" i="35" s="1"/>
  <c r="I71" i="35" a="1"/>
  <c r="I71" i="35" s="1"/>
  <c r="G161" i="18" a="1"/>
  <c r="G161" i="18" s="1"/>
  <c r="I129" i="18"/>
  <c r="H129" i="18"/>
  <c r="H140" i="18"/>
  <c r="I140" i="18"/>
  <c r="N10" i="9"/>
  <c r="H344" i="18"/>
  <c r="I344" i="18"/>
  <c r="H339" i="18"/>
  <c r="I339" i="18"/>
  <c r="I389" i="18"/>
  <c r="H389" i="18"/>
  <c r="I474" i="18"/>
  <c r="H474" i="18"/>
  <c r="H469" i="18"/>
  <c r="I469" i="18"/>
  <c r="E78" i="22"/>
  <c r="P40" i="9"/>
  <c r="I214" i="18"/>
  <c r="H214" i="18"/>
  <c r="I223" i="18"/>
  <c r="H223" i="18"/>
  <c r="G50" i="18" a="1"/>
  <c r="G50" i="18" s="1"/>
  <c r="G45" i="18" a="1"/>
  <c r="G45" i="18" s="1"/>
  <c r="G52" i="35" a="1"/>
  <c r="G52" i="35" s="1"/>
  <c r="G56" i="18" a="1"/>
  <c r="G56" i="18" s="1"/>
  <c r="G51" i="18" a="1"/>
  <c r="G51" i="18" s="1"/>
  <c r="G57" i="18" a="1"/>
  <c r="G57" i="18" s="1"/>
  <c r="G56" i="35" a="1"/>
  <c r="G56" i="35" s="1"/>
  <c r="L20" i="20"/>
  <c r="G47" i="35" a="1"/>
  <c r="G47" i="35" s="1"/>
  <c r="G57" i="35" a="1"/>
  <c r="G57" i="35" s="1"/>
  <c r="G48" i="18" a="1"/>
  <c r="G48" i="18" s="1"/>
  <c r="G58" i="35" a="1"/>
  <c r="G58" i="35" s="1"/>
  <c r="G45" i="35" a="1"/>
  <c r="G45" i="35" s="1"/>
  <c r="G55" i="18" a="1"/>
  <c r="G55" i="18" s="1"/>
  <c r="G51" i="35" a="1"/>
  <c r="G51" i="35" s="1"/>
  <c r="G55" i="35" a="1"/>
  <c r="G55" i="35" s="1"/>
  <c r="G49" i="35" a="1"/>
  <c r="G49" i="35" s="1"/>
  <c r="G52" i="18" a="1"/>
  <c r="G52" i="18" s="1"/>
  <c r="G47" i="18" a="1"/>
  <c r="G47" i="18" s="1"/>
  <c r="G46" i="35" a="1"/>
  <c r="G46" i="35" s="1"/>
  <c r="G49" i="18" a="1"/>
  <c r="G49" i="18" s="1"/>
  <c r="G54" i="35" a="1"/>
  <c r="G54" i="35" s="1"/>
  <c r="G50" i="35" a="1"/>
  <c r="G50" i="35" s="1"/>
  <c r="G46" i="18" a="1"/>
  <c r="G46" i="18" s="1"/>
  <c r="G53" i="18" a="1"/>
  <c r="G53" i="18" s="1"/>
  <c r="G48" i="35" a="1"/>
  <c r="G48" i="35" s="1"/>
  <c r="G54" i="18" a="1"/>
  <c r="G54" i="18" s="1"/>
  <c r="G44" i="18" a="1"/>
  <c r="G44" i="18" s="1"/>
  <c r="G53" i="35" a="1"/>
  <c r="G53" i="35" s="1"/>
  <c r="I430" i="18"/>
  <c r="H430" i="18"/>
  <c r="I74" i="35" a="1"/>
  <c r="I74" i="35" s="1"/>
  <c r="G249" i="18" a="1"/>
  <c r="G249" i="18" s="1"/>
  <c r="G245" i="18" a="1"/>
  <c r="G245" i="18" s="1"/>
  <c r="G251" i="18" a="1"/>
  <c r="G251" i="18" s="1"/>
  <c r="I84" i="35" a="1"/>
  <c r="I84" i="35" s="1"/>
  <c r="I80" i="35" a="1"/>
  <c r="I80" i="35" s="1"/>
  <c r="I83" i="35" a="1"/>
  <c r="I83" i="35" s="1"/>
  <c r="G248" i="18" a="1"/>
  <c r="G248" i="18" s="1"/>
  <c r="I82" i="35" a="1"/>
  <c r="I82" i="35" s="1"/>
  <c r="I81" i="35" a="1"/>
  <c r="I81" i="35" s="1"/>
  <c r="G246" i="18" a="1"/>
  <c r="G246" i="18" s="1"/>
  <c r="G253" i="18" a="1"/>
  <c r="G253" i="18" s="1"/>
  <c r="I73" i="35" a="1"/>
  <c r="I73" i="35" s="1"/>
  <c r="G243" i="18" a="1"/>
  <c r="G243" i="18" s="1"/>
  <c r="G252" i="18" a="1"/>
  <c r="G252" i="18" s="1"/>
  <c r="G240" i="18" a="1"/>
  <c r="G240" i="18" s="1"/>
  <c r="I78" i="35" a="1"/>
  <c r="I78" i="35" s="1"/>
  <c r="T20" i="20"/>
  <c r="I86" i="35" a="1"/>
  <c r="I86" i="35" s="1"/>
  <c r="G247" i="18" a="1"/>
  <c r="G247" i="18" s="1"/>
  <c r="G241" i="18" a="1"/>
  <c r="G241" i="18" s="1"/>
  <c r="G244" i="18" a="1"/>
  <c r="G244" i="18" s="1"/>
  <c r="I75" i="35" a="1"/>
  <c r="I75" i="35" s="1"/>
  <c r="I77" i="35" a="1"/>
  <c r="I77" i="35" s="1"/>
  <c r="G242" i="18" a="1"/>
  <c r="G242" i="18" s="1"/>
  <c r="I79" i="35" a="1"/>
  <c r="I79" i="35" s="1"/>
  <c r="G250" i="18" a="1"/>
  <c r="G250" i="18" s="1"/>
  <c r="I76" i="35" a="1"/>
  <c r="I76" i="35" s="1"/>
  <c r="I85" i="35" a="1"/>
  <c r="I85" i="35" s="1"/>
  <c r="I177" i="18"/>
  <c r="H177" i="18"/>
  <c r="H170" i="18"/>
  <c r="I170" i="18"/>
  <c r="I136" i="18"/>
  <c r="H136" i="18"/>
  <c r="H98" i="18"/>
  <c r="I98" i="18"/>
  <c r="I90" i="18"/>
  <c r="H90" i="18"/>
  <c r="H91" i="18"/>
  <c r="I91" i="18"/>
  <c r="I350" i="18"/>
  <c r="H350" i="18"/>
  <c r="H351" i="18"/>
  <c r="I351" i="18"/>
  <c r="H347" i="18"/>
  <c r="I347" i="18"/>
  <c r="H390" i="18"/>
  <c r="I390" i="18"/>
  <c r="H384" i="18"/>
  <c r="I384" i="18"/>
  <c r="H470" i="18"/>
  <c r="I470" i="18"/>
  <c r="I221" i="18"/>
  <c r="H221" i="18"/>
  <c r="M6" i="9"/>
  <c r="D47" i="17" s="1" a="1"/>
  <c r="D47" i="17" s="1"/>
  <c r="E18" i="22"/>
  <c r="M30" i="9"/>
  <c r="I431" i="18"/>
  <c r="H431" i="18"/>
  <c r="G234" i="18" a="1"/>
  <c r="G234" i="18" s="1"/>
  <c r="H84" i="35" a="1"/>
  <c r="H84" i="35" s="1"/>
  <c r="G235" i="18" a="1"/>
  <c r="G235" i="18" s="1"/>
  <c r="G229" i="18" a="1"/>
  <c r="G229" i="18" s="1"/>
  <c r="H75" i="35" a="1"/>
  <c r="H75" i="35" s="1"/>
  <c r="G230" i="18" a="1"/>
  <c r="G230" i="18" s="1"/>
  <c r="H85" i="35" a="1"/>
  <c r="H85" i="35" s="1"/>
  <c r="H74" i="35" a="1"/>
  <c r="H74" i="35" s="1"/>
  <c r="H83" i="35" a="1"/>
  <c r="H83" i="35" s="1"/>
  <c r="G232" i="18" a="1"/>
  <c r="G232" i="18" s="1"/>
  <c r="H77" i="35" a="1"/>
  <c r="H77" i="35" s="1"/>
  <c r="G227" i="18" a="1"/>
  <c r="G227" i="18" s="1"/>
  <c r="G228" i="18" a="1"/>
  <c r="G228" i="18" s="1"/>
  <c r="Q20" i="20"/>
  <c r="H81" i="35" a="1"/>
  <c r="H81" i="35" s="1"/>
  <c r="H76" i="35" a="1"/>
  <c r="H76" i="35" s="1"/>
  <c r="G239" i="18" a="1"/>
  <c r="G239" i="18" s="1"/>
  <c r="G231" i="18" a="1"/>
  <c r="G231" i="18" s="1"/>
  <c r="H73" i="35" a="1"/>
  <c r="H73" i="35" s="1"/>
  <c r="H86" i="35" a="1"/>
  <c r="H86" i="35" s="1"/>
  <c r="H82" i="35" a="1"/>
  <c r="H82" i="35" s="1"/>
  <c r="H79" i="35" a="1"/>
  <c r="H79" i="35" s="1"/>
  <c r="G226" i="18" a="1"/>
  <c r="G226" i="18" s="1"/>
  <c r="G238" i="18" a="1"/>
  <c r="G238" i="18" s="1"/>
  <c r="G237" i="18" a="1"/>
  <c r="G237" i="18" s="1"/>
  <c r="G233" i="18" a="1"/>
  <c r="G233" i="18" s="1"/>
  <c r="H80" i="35" a="1"/>
  <c r="H80" i="35" s="1"/>
  <c r="G236" i="18" a="1"/>
  <c r="G236" i="18" s="1"/>
  <c r="H78" i="35" a="1"/>
  <c r="H78" i="35" s="1"/>
  <c r="I182" i="18"/>
  <c r="H182" i="18"/>
  <c r="I132" i="18"/>
  <c r="H132" i="18"/>
  <c r="H141" i="18"/>
  <c r="I141" i="18"/>
  <c r="I157" i="35" a="1"/>
  <c r="I157" i="35" s="1"/>
  <c r="I170" i="35" a="1"/>
  <c r="I170" i="35" s="1"/>
  <c r="G499" i="18" a="1"/>
  <c r="G499" i="18" s="1"/>
  <c r="I163" i="35" a="1"/>
  <c r="I163" i="35" s="1"/>
  <c r="G498" i="18" a="1"/>
  <c r="G498" i="18" s="1"/>
  <c r="I166" i="35" a="1"/>
  <c r="I166" i="35" s="1"/>
  <c r="G504" i="18" a="1"/>
  <c r="G504" i="18" s="1"/>
  <c r="I160" i="35" a="1"/>
  <c r="I160" i="35" s="1"/>
  <c r="T47" i="20"/>
  <c r="G497" i="18" a="1"/>
  <c r="G497" i="18" s="1"/>
  <c r="G501" i="18" a="1"/>
  <c r="G501" i="18" s="1"/>
  <c r="I164" i="35" a="1"/>
  <c r="I164" i="35" s="1"/>
  <c r="G505" i="18" a="1"/>
  <c r="G505" i="18" s="1"/>
  <c r="I167" i="35" a="1"/>
  <c r="I167" i="35" s="1"/>
  <c r="G496" i="18" a="1"/>
  <c r="G496" i="18" s="1"/>
  <c r="I158" i="35" a="1"/>
  <c r="I158" i="35" s="1"/>
  <c r="I159" i="35" a="1"/>
  <c r="I159" i="35" s="1"/>
  <c r="G493" i="18" a="1"/>
  <c r="G493" i="18" s="1"/>
  <c r="I162" i="35" a="1"/>
  <c r="I162" i="35" s="1"/>
  <c r="G495" i="18" a="1"/>
  <c r="G495" i="18" s="1"/>
  <c r="I168" i="35" a="1"/>
  <c r="I168" i="35" s="1"/>
  <c r="G494" i="18" a="1"/>
  <c r="G494" i="18" s="1"/>
  <c r="I169" i="35" a="1"/>
  <c r="I169" i="35" s="1"/>
  <c r="G502" i="18" a="1"/>
  <c r="G502" i="18" s="1"/>
  <c r="G503" i="18" a="1"/>
  <c r="G503" i="18" s="1"/>
  <c r="G500" i="18" a="1"/>
  <c r="G500" i="18" s="1"/>
  <c r="I161" i="35" a="1"/>
  <c r="I161" i="35" s="1"/>
  <c r="G492" i="18" a="1"/>
  <c r="G492" i="18" s="1"/>
  <c r="I165" i="35" a="1"/>
  <c r="I165" i="35" s="1"/>
  <c r="I93" i="18"/>
  <c r="H93" i="18"/>
  <c r="H343" i="18"/>
  <c r="I343" i="18"/>
  <c r="I380" i="18"/>
  <c r="H380" i="18"/>
  <c r="I381" i="18"/>
  <c r="H381" i="18"/>
  <c r="I477" i="18"/>
  <c r="H477" i="18"/>
  <c r="I222" i="18"/>
  <c r="H222" i="18"/>
  <c r="H212" i="18"/>
  <c r="I212" i="18"/>
  <c r="H422" i="18"/>
  <c r="I422" i="18"/>
  <c r="H428" i="18"/>
  <c r="I428" i="18"/>
  <c r="H172" i="18"/>
  <c r="I172" i="18"/>
  <c r="H171" i="18"/>
  <c r="I171" i="18"/>
  <c r="H130" i="18"/>
  <c r="I130" i="18"/>
  <c r="H134" i="18"/>
  <c r="I134" i="18"/>
  <c r="H23" i="35" a="1"/>
  <c r="H23" i="35" s="1"/>
  <c r="H19" i="35" a="1"/>
  <c r="H19" i="35" s="1"/>
  <c r="H21" i="35" a="1"/>
  <c r="H21" i="35" s="1"/>
  <c r="H29" i="35" a="1"/>
  <c r="H29" i="35" s="1"/>
  <c r="G105" i="18" a="1"/>
  <c r="G105" i="18" s="1"/>
  <c r="H18" i="35" a="1"/>
  <c r="H18" i="35" s="1"/>
  <c r="G106" i="18" a="1"/>
  <c r="G106" i="18" s="1"/>
  <c r="H28" i="35" a="1"/>
  <c r="H28" i="35" s="1"/>
  <c r="H26" i="35" a="1"/>
  <c r="H26" i="35" s="1"/>
  <c r="G20" i="20"/>
  <c r="H30" i="35" a="1"/>
  <c r="H30" i="35" s="1"/>
  <c r="G111" i="18" a="1"/>
  <c r="G111" i="18" s="1"/>
  <c r="G109" i="18" a="1"/>
  <c r="G109" i="18" s="1"/>
  <c r="G104" i="18" a="1"/>
  <c r="G104" i="18" s="1"/>
  <c r="G108" i="18" a="1"/>
  <c r="G108" i="18" s="1"/>
  <c r="H24" i="35" a="1"/>
  <c r="H24" i="35" s="1"/>
  <c r="H22" i="35" a="1"/>
  <c r="H22" i="35" s="1"/>
  <c r="H25" i="35" a="1"/>
  <c r="H25" i="35" s="1"/>
  <c r="G103" i="18" a="1"/>
  <c r="G103" i="18" s="1"/>
  <c r="G112" i="18" a="1"/>
  <c r="G112" i="18" s="1"/>
  <c r="H20" i="35" a="1"/>
  <c r="H20" i="35" s="1"/>
  <c r="G100" i="18" a="1"/>
  <c r="G100" i="18" s="1"/>
  <c r="G107" i="18" a="1"/>
  <c r="G107" i="18" s="1"/>
  <c r="H27" i="35" a="1"/>
  <c r="H27" i="35" s="1"/>
  <c r="H17" i="35" a="1"/>
  <c r="H17" i="35" s="1"/>
  <c r="G102" i="18" a="1"/>
  <c r="G102" i="18" s="1"/>
  <c r="G101" i="18" a="1"/>
  <c r="G101" i="18" s="1"/>
  <c r="G113" i="18" a="1"/>
  <c r="G113" i="18" s="1"/>
  <c r="G110" i="18" a="1"/>
  <c r="G110" i="18" s="1"/>
  <c r="E20" i="22"/>
  <c r="M8" i="9"/>
  <c r="G458" i="18" a="1"/>
  <c r="G458" i="18" s="1"/>
  <c r="G450" i="18" a="1"/>
  <c r="G450" i="18" s="1"/>
  <c r="I127" i="35" a="1"/>
  <c r="I127" i="35" s="1"/>
  <c r="K47" i="20"/>
  <c r="G460" i="18" a="1"/>
  <c r="G460" i="18" s="1"/>
  <c r="G456" i="18" a="1"/>
  <c r="G456" i="18" s="1"/>
  <c r="I128" i="35" a="1"/>
  <c r="I128" i="35" s="1"/>
  <c r="G454" i="18" a="1"/>
  <c r="G454" i="18" s="1"/>
  <c r="G451" i="18" a="1"/>
  <c r="G451" i="18" s="1"/>
  <c r="G452" i="18" a="1"/>
  <c r="G452" i="18" s="1"/>
  <c r="I124" i="35" a="1"/>
  <c r="I124" i="35" s="1"/>
  <c r="G463" i="18" a="1"/>
  <c r="G463" i="18" s="1"/>
  <c r="I118" i="35" a="1"/>
  <c r="I118" i="35" s="1"/>
  <c r="I123" i="35" a="1"/>
  <c r="I123" i="35" s="1"/>
  <c r="G462" i="18" a="1"/>
  <c r="G462" i="18" s="1"/>
  <c r="I116" i="35" a="1"/>
  <c r="I116" i="35" s="1"/>
  <c r="G455" i="18" a="1"/>
  <c r="G455" i="18" s="1"/>
  <c r="I121" i="35" a="1"/>
  <c r="I121" i="35" s="1"/>
  <c r="I122" i="35" a="1"/>
  <c r="I122" i="35" s="1"/>
  <c r="G457" i="18" a="1"/>
  <c r="G457" i="18" s="1"/>
  <c r="I115" i="35" a="1"/>
  <c r="I115" i="35" s="1"/>
  <c r="I119" i="35" a="1"/>
  <c r="I119" i="35" s="1"/>
  <c r="G461" i="18" a="1"/>
  <c r="G461" i="18" s="1"/>
  <c r="I125" i="35" a="1"/>
  <c r="I125" i="35" s="1"/>
  <c r="G453" i="18" a="1"/>
  <c r="G453" i="18" s="1"/>
  <c r="G459" i="18" a="1"/>
  <c r="G459" i="18" s="1"/>
  <c r="I120" i="35" a="1"/>
  <c r="I120" i="35" s="1"/>
  <c r="I126" i="35" a="1"/>
  <c r="I126" i="35" s="1"/>
  <c r="I117" i="35" a="1"/>
  <c r="I117" i="35" s="1"/>
  <c r="I87" i="18"/>
  <c r="H87" i="18"/>
  <c r="I92" i="18"/>
  <c r="H92" i="18"/>
  <c r="I89" i="18"/>
  <c r="H89" i="18"/>
  <c r="H348" i="18"/>
  <c r="I348" i="18"/>
  <c r="H349" i="18"/>
  <c r="I349" i="18"/>
  <c r="H345" i="18"/>
  <c r="I345" i="18"/>
  <c r="H383" i="18"/>
  <c r="I383" i="18"/>
  <c r="I391" i="18"/>
  <c r="H391" i="18"/>
  <c r="H475" i="18"/>
  <c r="I475" i="18"/>
  <c r="H471" i="18"/>
  <c r="I471" i="18"/>
  <c r="G258" i="18" a="1"/>
  <c r="G258" i="18" s="1"/>
  <c r="G98" i="35" a="1"/>
  <c r="G98" i="35" s="1"/>
  <c r="G94" i="35" a="1"/>
  <c r="G94" i="35" s="1"/>
  <c r="G93" i="35" a="1"/>
  <c r="G93" i="35" s="1"/>
  <c r="G254" i="18" a="1"/>
  <c r="G254" i="18" s="1"/>
  <c r="G87" i="35" a="1"/>
  <c r="G87" i="35" s="1"/>
  <c r="G95" i="35" a="1"/>
  <c r="G95" i="35" s="1"/>
  <c r="G96" i="35" a="1"/>
  <c r="G96" i="35" s="1"/>
  <c r="G261" i="18" a="1"/>
  <c r="G261" i="18" s="1"/>
  <c r="G266" i="18" a="1"/>
  <c r="G266" i="18" s="1"/>
  <c r="G97" i="35" a="1"/>
  <c r="G97" i="35" s="1"/>
  <c r="C47" i="20"/>
  <c r="G259" i="18" a="1"/>
  <c r="G259" i="18" s="1"/>
  <c r="G99" i="35" a="1"/>
  <c r="G99" i="35" s="1"/>
  <c r="G91" i="35" a="1"/>
  <c r="G91" i="35" s="1"/>
  <c r="G256" i="18" a="1"/>
  <c r="G256" i="18" s="1"/>
  <c r="G267" i="18" a="1"/>
  <c r="G267" i="18" s="1"/>
  <c r="G88" i="35" a="1"/>
  <c r="G88" i="35" s="1"/>
  <c r="G257" i="18" a="1"/>
  <c r="G257" i="18" s="1"/>
  <c r="G90" i="35" a="1"/>
  <c r="G90" i="35" s="1"/>
  <c r="G262" i="18" a="1"/>
  <c r="G262" i="18" s="1"/>
  <c r="G92" i="35" a="1"/>
  <c r="G92" i="35" s="1"/>
  <c r="G264" i="18" a="1"/>
  <c r="G264" i="18" s="1"/>
  <c r="G265" i="18" a="1"/>
  <c r="G265" i="18" s="1"/>
  <c r="G255" i="18" a="1"/>
  <c r="G255" i="18" s="1"/>
  <c r="G89" i="35" a="1"/>
  <c r="G89" i="35" s="1"/>
  <c r="G263" i="18" a="1"/>
  <c r="G263" i="18" s="1"/>
  <c r="G260" i="18" a="1"/>
  <c r="G260" i="18" s="1"/>
  <c r="G100" i="35" a="1"/>
  <c r="G100" i="35" s="1"/>
  <c r="I224" i="18"/>
  <c r="H224" i="18"/>
  <c r="I216" i="18"/>
  <c r="H216" i="18"/>
  <c r="H121" i="35" a="1"/>
  <c r="H121" i="35" s="1"/>
  <c r="G446" i="18" a="1"/>
  <c r="G446" i="18" s="1"/>
  <c r="H118" i="35" a="1"/>
  <c r="H118" i="35" s="1"/>
  <c r="H120" i="35" a="1"/>
  <c r="H120" i="35" s="1"/>
  <c r="G448" i="18" a="1"/>
  <c r="G448" i="18" s="1"/>
  <c r="G436" i="18" a="1"/>
  <c r="G436" i="18" s="1"/>
  <c r="H123" i="35" a="1"/>
  <c r="H123" i="35" s="1"/>
  <c r="H115" i="35" a="1"/>
  <c r="H115" i="35" s="1"/>
  <c r="G439" i="18" a="1"/>
  <c r="G439" i="18" s="1"/>
  <c r="G437" i="18" a="1"/>
  <c r="G437" i="18" s="1"/>
  <c r="H117" i="35" a="1"/>
  <c r="H117" i="35" s="1"/>
  <c r="G449" i="18" a="1"/>
  <c r="G449" i="18" s="1"/>
  <c r="G447" i="18" a="1"/>
  <c r="G447" i="18" s="1"/>
  <c r="H119" i="35" a="1"/>
  <c r="H119" i="35" s="1"/>
  <c r="H116" i="35" a="1"/>
  <c r="H116" i="35" s="1"/>
  <c r="G440" i="18" a="1"/>
  <c r="G440" i="18" s="1"/>
  <c r="G444" i="18" a="1"/>
  <c r="G444" i="18" s="1"/>
  <c r="H122" i="35" a="1"/>
  <c r="H122" i="35" s="1"/>
  <c r="H124" i="35" a="1"/>
  <c r="H124" i="35" s="1"/>
  <c r="G442" i="18" a="1"/>
  <c r="G442" i="18" s="1"/>
  <c r="G443" i="18" a="1"/>
  <c r="G443" i="18" s="1"/>
  <c r="H128" i="35" a="1"/>
  <c r="H128" i="35" s="1"/>
  <c r="H47" i="20"/>
  <c r="G438" i="18" a="1"/>
  <c r="G438" i="18" s="1"/>
  <c r="H125" i="35" a="1"/>
  <c r="H125" i="35" s="1"/>
  <c r="G445" i="18" a="1"/>
  <c r="G445" i="18" s="1"/>
  <c r="G441" i="18" a="1"/>
  <c r="G441" i="18" s="1"/>
  <c r="H126" i="35" a="1"/>
  <c r="H126" i="35" s="1"/>
  <c r="H127" i="35" a="1"/>
  <c r="H127" i="35" s="1"/>
  <c r="H433" i="18"/>
  <c r="I433" i="18"/>
  <c r="I183" i="18"/>
  <c r="H183" i="18"/>
  <c r="G118" i="18" a="1"/>
  <c r="G118" i="18" s="1"/>
  <c r="G123" i="18" a="1"/>
  <c r="G123" i="18" s="1"/>
  <c r="I21" i="35" a="1"/>
  <c r="I21" i="35" s="1"/>
  <c r="G121" i="18" a="1"/>
  <c r="G121" i="18" s="1"/>
  <c r="I17" i="35" a="1"/>
  <c r="I17" i="35" s="1"/>
  <c r="I24" i="35" a="1"/>
  <c r="I24" i="35" s="1"/>
  <c r="G120" i="18" a="1"/>
  <c r="G120" i="18" s="1"/>
  <c r="G122" i="18" a="1"/>
  <c r="G122" i="18" s="1"/>
  <c r="G116" i="18" a="1"/>
  <c r="G116" i="18" s="1"/>
  <c r="I29" i="35" a="1"/>
  <c r="I29" i="35" s="1"/>
  <c r="G125" i="18" a="1"/>
  <c r="G125" i="18" s="1"/>
  <c r="I23" i="35" a="1"/>
  <c r="I23" i="35" s="1"/>
  <c r="I22" i="35" a="1"/>
  <c r="I22" i="35" s="1"/>
  <c r="I20" i="35" a="1"/>
  <c r="I20" i="35" s="1"/>
  <c r="I28" i="35" a="1"/>
  <c r="I28" i="35" s="1"/>
  <c r="I18" i="35" a="1"/>
  <c r="I18" i="35" s="1"/>
  <c r="J20" i="20"/>
  <c r="G119" i="18" a="1"/>
  <c r="G119" i="18" s="1"/>
  <c r="G126" i="18" a="1"/>
  <c r="G126" i="18" s="1"/>
  <c r="I25" i="35" a="1"/>
  <c r="I25" i="35" s="1"/>
  <c r="G114" i="18" a="1"/>
  <c r="G114" i="18" s="1"/>
  <c r="G115" i="18" a="1"/>
  <c r="G115" i="18" s="1"/>
  <c r="I27" i="35" a="1"/>
  <c r="I27" i="35" s="1"/>
  <c r="I30" i="35" a="1"/>
  <c r="I30" i="35" s="1"/>
  <c r="G117" i="18" a="1"/>
  <c r="G117" i="18" s="1"/>
  <c r="G124" i="18" a="1"/>
  <c r="G124" i="18" s="1"/>
  <c r="I26" i="35" a="1"/>
  <c r="I26" i="35" s="1"/>
  <c r="I19" i="35" a="1"/>
  <c r="I19" i="35" s="1"/>
  <c r="G127" i="18" a="1"/>
  <c r="G127" i="18" s="1"/>
  <c r="H135" i="18"/>
  <c r="I135" i="18"/>
  <c r="H137" i="18"/>
  <c r="I137" i="18"/>
  <c r="G149" i="18" a="1"/>
  <c r="G149" i="18" s="1"/>
  <c r="G150" i="18" a="1"/>
  <c r="G150" i="18" s="1"/>
  <c r="G155" i="18" a="1"/>
  <c r="G155" i="18" s="1"/>
  <c r="G148" i="18" a="1"/>
  <c r="G148" i="18" s="1"/>
  <c r="G145" i="18" a="1"/>
  <c r="G145" i="18" s="1"/>
  <c r="H66" i="35" a="1"/>
  <c r="H66" i="35" s="1"/>
  <c r="G144" i="18" a="1"/>
  <c r="G144" i="18" s="1"/>
  <c r="H72" i="35" a="1"/>
  <c r="H72" i="35" s="1"/>
  <c r="H63" i="35" a="1"/>
  <c r="H63" i="35" s="1"/>
  <c r="H70" i="35" a="1"/>
  <c r="H70" i="35" s="1"/>
  <c r="G142" i="18" a="1"/>
  <c r="G142" i="18" s="1"/>
  <c r="H62" i="35" a="1"/>
  <c r="H62" i="35" s="1"/>
  <c r="H68" i="35" a="1"/>
  <c r="H68" i="35" s="1"/>
  <c r="G147" i="18" a="1"/>
  <c r="G147" i="18" s="1"/>
  <c r="G154" i="18" a="1"/>
  <c r="G154" i="18" s="1"/>
  <c r="G143" i="18" a="1"/>
  <c r="G143" i="18" s="1"/>
  <c r="H64" i="35" a="1"/>
  <c r="H64" i="35" s="1"/>
  <c r="G153" i="18" a="1"/>
  <c r="G153" i="18" s="1"/>
  <c r="P20" i="20"/>
  <c r="H71" i="35" a="1"/>
  <c r="H71" i="35" s="1"/>
  <c r="G146" i="18" a="1"/>
  <c r="G146" i="18" s="1"/>
  <c r="H65" i="35" a="1"/>
  <c r="H65" i="35" s="1"/>
  <c r="G151" i="18" a="1"/>
  <c r="G151" i="18" s="1"/>
  <c r="H67" i="35" a="1"/>
  <c r="H67" i="35" s="1"/>
  <c r="H60" i="35" a="1"/>
  <c r="H60" i="35" s="1"/>
  <c r="H69" i="35" a="1"/>
  <c r="H69" i="35" s="1"/>
  <c r="G152" i="18" a="1"/>
  <c r="G152" i="18" s="1"/>
  <c r="H59" i="35" a="1"/>
  <c r="H59" i="35" s="1"/>
  <c r="H61" i="35" a="1"/>
  <c r="H61" i="35" s="1"/>
  <c r="H88" i="18"/>
  <c r="I88" i="18"/>
  <c r="I342" i="18"/>
  <c r="H342" i="18"/>
  <c r="I218" i="18"/>
  <c r="H218" i="18"/>
  <c r="I219" i="18"/>
  <c r="H219" i="18"/>
  <c r="J10" i="9"/>
  <c r="H434" i="18"/>
  <c r="I434" i="18"/>
  <c r="H43" i="35" a="1"/>
  <c r="H43" i="35" s="1"/>
  <c r="G186" i="18" a="1"/>
  <c r="G186" i="18" s="1"/>
  <c r="H41" i="35" a="1"/>
  <c r="H41" i="35" s="1"/>
  <c r="H35" i="35" a="1"/>
  <c r="H35" i="35" s="1"/>
  <c r="G191" i="18" a="1"/>
  <c r="G191" i="18" s="1"/>
  <c r="G187" i="18" a="1"/>
  <c r="G187" i="18" s="1"/>
  <c r="H34" i="35" a="1"/>
  <c r="H34" i="35" s="1"/>
  <c r="H31" i="35" a="1"/>
  <c r="H31" i="35" s="1"/>
  <c r="G188" i="18" a="1"/>
  <c r="G188" i="18" s="1"/>
  <c r="G196" i="18" a="1"/>
  <c r="G196" i="18" s="1"/>
  <c r="H42" i="35" a="1"/>
  <c r="H42" i="35" s="1"/>
  <c r="H32" i="35" a="1"/>
  <c r="H32" i="35" s="1"/>
  <c r="G185" i="18" a="1"/>
  <c r="G185" i="18" s="1"/>
  <c r="H20" i="20"/>
  <c r="H33" i="35" a="1"/>
  <c r="H33" i="35" s="1"/>
  <c r="H40" i="35" a="1"/>
  <c r="H40" i="35" s="1"/>
  <c r="G190" i="18" a="1"/>
  <c r="G190" i="18" s="1"/>
  <c r="G195" i="18" a="1"/>
  <c r="G195" i="18" s="1"/>
  <c r="H38" i="35" a="1"/>
  <c r="H38" i="35" s="1"/>
  <c r="H44" i="35" a="1"/>
  <c r="H44" i="35" s="1"/>
  <c r="G194" i="18" a="1"/>
  <c r="G194" i="18" s="1"/>
  <c r="G193" i="18" a="1"/>
  <c r="G193" i="18" s="1"/>
  <c r="H39" i="35" a="1"/>
  <c r="H39" i="35" s="1"/>
  <c r="G197" i="18" a="1"/>
  <c r="G197" i="18" s="1"/>
  <c r="G184" i="18" a="1"/>
  <c r="G184" i="18" s="1"/>
  <c r="H36" i="35" a="1"/>
  <c r="H36" i="35" s="1"/>
  <c r="G192" i="18" a="1"/>
  <c r="G192" i="18" s="1"/>
  <c r="G189" i="18" a="1"/>
  <c r="G189" i="18" s="1"/>
  <c r="H37" i="35" a="1"/>
  <c r="H37" i="35" s="1"/>
  <c r="I43" i="35" a="1"/>
  <c r="I43" i="35" s="1"/>
  <c r="I41" i="35" a="1"/>
  <c r="I41" i="35" s="1"/>
  <c r="G208" i="18" a="1"/>
  <c r="G208" i="18" s="1"/>
  <c r="G200" i="18" a="1"/>
  <c r="G200" i="18" s="1"/>
  <c r="I39" i="35" a="1"/>
  <c r="I39" i="35" s="1"/>
  <c r="I35" i="35" a="1"/>
  <c r="I35" i="35" s="1"/>
  <c r="G204" i="18" a="1"/>
  <c r="G204" i="18" s="1"/>
  <c r="I33" i="35" a="1"/>
  <c r="I33" i="35" s="1"/>
  <c r="I37" i="35" a="1"/>
  <c r="I37" i="35" s="1"/>
  <c r="K20" i="20"/>
  <c r="I40" i="35" a="1"/>
  <c r="I40" i="35" s="1"/>
  <c r="G205" i="18" a="1"/>
  <c r="G205" i="18" s="1"/>
  <c r="I38" i="35" a="1"/>
  <c r="I38" i="35" s="1"/>
  <c r="G207" i="18" a="1"/>
  <c r="G207" i="18" s="1"/>
  <c r="G203" i="18" a="1"/>
  <c r="G203" i="18" s="1"/>
  <c r="G199" i="18" a="1"/>
  <c r="G199" i="18" s="1"/>
  <c r="I31" i="35" a="1"/>
  <c r="I31" i="35" s="1"/>
  <c r="G209" i="18" a="1"/>
  <c r="G209" i="18" s="1"/>
  <c r="G202" i="18" a="1"/>
  <c r="G202" i="18" s="1"/>
  <c r="G201" i="18" a="1"/>
  <c r="G201" i="18" s="1"/>
  <c r="I44" i="35" a="1"/>
  <c r="I44" i="35" s="1"/>
  <c r="I32" i="35" a="1"/>
  <c r="I32" i="35" s="1"/>
  <c r="G198" i="18" a="1"/>
  <c r="G198" i="18" s="1"/>
  <c r="G210" i="18" a="1"/>
  <c r="G210" i="18" s="1"/>
  <c r="G211" i="18" a="1"/>
  <c r="G211" i="18" s="1"/>
  <c r="I34" i="35" a="1"/>
  <c r="I34" i="35" s="1"/>
  <c r="I42" i="35" a="1"/>
  <c r="I42" i="35" s="1"/>
  <c r="I36" i="35" a="1"/>
  <c r="I36" i="35" s="1"/>
  <c r="G206" i="18" a="1"/>
  <c r="G206" i="18" s="1"/>
  <c r="H138" i="18"/>
  <c r="I138" i="18"/>
  <c r="H154" i="35" a="1"/>
  <c r="H154" i="35" s="1"/>
  <c r="H146" i="35" a="1"/>
  <c r="H146" i="35" s="1"/>
  <c r="H153" i="35" a="1"/>
  <c r="H153" i="35" s="1"/>
  <c r="H155" i="35" a="1"/>
  <c r="H155" i="35" s="1"/>
  <c r="G395" i="18" a="1"/>
  <c r="G395" i="18" s="1"/>
  <c r="G401" i="18" a="1"/>
  <c r="G401" i="18" s="1"/>
  <c r="G404" i="18" a="1"/>
  <c r="G404" i="18" s="1"/>
  <c r="G398" i="18" a="1"/>
  <c r="G398" i="18" s="1"/>
  <c r="G402" i="18" a="1"/>
  <c r="G402" i="18" s="1"/>
  <c r="G400" i="18" a="1"/>
  <c r="G400" i="18" s="1"/>
  <c r="H151" i="35" a="1"/>
  <c r="H151" i="35" s="1"/>
  <c r="H152" i="35" a="1"/>
  <c r="H152" i="35" s="1"/>
  <c r="H150" i="35" a="1"/>
  <c r="H150" i="35" s="1"/>
  <c r="P47" i="20"/>
  <c r="G405" i="18" a="1"/>
  <c r="G405" i="18" s="1"/>
  <c r="G394" i="18" a="1"/>
  <c r="G394" i="18" s="1"/>
  <c r="H147" i="35" a="1"/>
  <c r="H147" i="35" s="1"/>
  <c r="H156" i="35" a="1"/>
  <c r="H156" i="35" s="1"/>
  <c r="G403" i="18" a="1"/>
  <c r="G403" i="18" s="1"/>
  <c r="G397" i="18" a="1"/>
  <c r="G397" i="18" s="1"/>
  <c r="H149" i="35" a="1"/>
  <c r="H149" i="35" s="1"/>
  <c r="G407" i="18" a="1"/>
  <c r="G407" i="18" s="1"/>
  <c r="G406" i="18" a="1"/>
  <c r="G406" i="18" s="1"/>
  <c r="H145" i="35" a="1"/>
  <c r="H145" i="35" s="1"/>
  <c r="G396" i="18" a="1"/>
  <c r="G396" i="18" s="1"/>
  <c r="H144" i="35" a="1"/>
  <c r="H144" i="35" s="1"/>
  <c r="H148" i="35" a="1"/>
  <c r="H148" i="35" s="1"/>
  <c r="H143" i="35" a="1"/>
  <c r="H143" i="35" s="1"/>
  <c r="G399" i="18" a="1"/>
  <c r="G399" i="18" s="1"/>
  <c r="E35" i="22"/>
  <c r="P8" i="9"/>
  <c r="H96" i="18"/>
  <c r="I96" i="18"/>
  <c r="I86" i="18"/>
  <c r="H86" i="18"/>
  <c r="H95" i="18"/>
  <c r="I95" i="18"/>
  <c r="H341" i="18"/>
  <c r="I341" i="18"/>
  <c r="I387" i="18"/>
  <c r="H387" i="18"/>
  <c r="I392" i="18"/>
  <c r="H392" i="18"/>
  <c r="I465" i="18"/>
  <c r="H465" i="18"/>
  <c r="H473" i="18"/>
  <c r="I473" i="18"/>
  <c r="G302" i="18" a="1"/>
  <c r="G302" i="18" s="1"/>
  <c r="G306" i="18" a="1"/>
  <c r="G306" i="18" s="1"/>
  <c r="G129" i="35" a="1"/>
  <c r="G129" i="35" s="1"/>
  <c r="G133" i="35" a="1"/>
  <c r="G133" i="35" s="1"/>
  <c r="G305" i="18" a="1"/>
  <c r="G305" i="18" s="1"/>
  <c r="G130" i="35" a="1"/>
  <c r="G130" i="35" s="1"/>
  <c r="G134" i="35" a="1"/>
  <c r="G134" i="35" s="1"/>
  <c r="G136" i="35" a="1"/>
  <c r="G136" i="35" s="1"/>
  <c r="G296" i="18" a="1"/>
  <c r="G296" i="18" s="1"/>
  <c r="G142" i="35" a="1"/>
  <c r="G142" i="35" s="1"/>
  <c r="G138" i="35" a="1"/>
  <c r="G138" i="35" s="1"/>
  <c r="G297" i="18" a="1"/>
  <c r="G297" i="18" s="1"/>
  <c r="G131" i="35" a="1"/>
  <c r="G131" i="35" s="1"/>
  <c r="G132" i="35" a="1"/>
  <c r="G132" i="35" s="1"/>
  <c r="G139" i="35" a="1"/>
  <c r="G139" i="35" s="1"/>
  <c r="L47" i="20"/>
  <c r="G300" i="18" a="1"/>
  <c r="G300" i="18" s="1"/>
  <c r="G140" i="35" a="1"/>
  <c r="G140" i="35" s="1"/>
  <c r="G301" i="18" a="1"/>
  <c r="G301" i="18" s="1"/>
  <c r="G299" i="18" a="1"/>
  <c r="G299" i="18" s="1"/>
  <c r="G307" i="18" a="1"/>
  <c r="G307" i="18" s="1"/>
  <c r="G137" i="35" a="1"/>
  <c r="G137" i="35" s="1"/>
  <c r="G308" i="18" a="1"/>
  <c r="G308" i="18" s="1"/>
  <c r="G309" i="18" a="1"/>
  <c r="G309" i="18" s="1"/>
  <c r="G298" i="18" a="1"/>
  <c r="G298" i="18" s="1"/>
  <c r="G141" i="35" a="1"/>
  <c r="G141" i="35" s="1"/>
  <c r="G135" i="35" a="1"/>
  <c r="G135" i="35" s="1"/>
  <c r="G304" i="18" a="1"/>
  <c r="G304" i="18" s="1"/>
  <c r="G303" i="18" a="1"/>
  <c r="G303" i="18" s="1"/>
  <c r="I220" i="18"/>
  <c r="H220" i="18"/>
  <c r="I217" i="18"/>
  <c r="H217" i="18"/>
  <c r="E33" i="22"/>
  <c r="P6" i="9"/>
  <c r="P30" i="9"/>
  <c r="G15" i="18" a="1"/>
  <c r="G15" i="18" s="1"/>
  <c r="G2" i="18" a="1"/>
  <c r="G2" i="18" s="1"/>
  <c r="G16" i="35" a="1"/>
  <c r="G16" i="35" s="1"/>
  <c r="G9" i="35" a="1"/>
  <c r="G9" i="35" s="1"/>
  <c r="G12" i="18" a="1"/>
  <c r="G12" i="18" s="1"/>
  <c r="G14" i="18" a="1"/>
  <c r="G14" i="18" s="1"/>
  <c r="G3" i="35" a="1"/>
  <c r="G3" i="35" s="1"/>
  <c r="G13" i="35" a="1"/>
  <c r="G13" i="35" s="1"/>
  <c r="G3" i="18" a="1"/>
  <c r="G3" i="18" s="1"/>
  <c r="G8" i="18" a="1"/>
  <c r="G8" i="18" s="1"/>
  <c r="G7" i="35" a="1"/>
  <c r="G7" i="35" s="1"/>
  <c r="G5" i="35" a="1"/>
  <c r="G5" i="35" s="1"/>
  <c r="G13" i="18" a="1"/>
  <c r="G13" i="18" s="1"/>
  <c r="G4" i="18" a="1"/>
  <c r="G4" i="18" s="1"/>
  <c r="G12" i="35" a="1"/>
  <c r="G12" i="35" s="1"/>
  <c r="G9" i="18" a="1"/>
  <c r="G9" i="18" s="1"/>
  <c r="G8" i="35" a="1"/>
  <c r="G8" i="35" s="1"/>
  <c r="G10" i="35" a="1"/>
  <c r="G10" i="35" s="1"/>
  <c r="G11" i="18" a="1"/>
  <c r="G11" i="18" s="1"/>
  <c r="C20" i="20"/>
  <c r="G4" i="35" a="1"/>
  <c r="G4" i="35" s="1"/>
  <c r="G6" i="35" a="1"/>
  <c r="G6" i="35" s="1"/>
  <c r="G5" i="18" a="1"/>
  <c r="G5" i="18" s="1"/>
  <c r="G10" i="18" a="1"/>
  <c r="G10" i="18" s="1"/>
  <c r="G11" i="35" a="1"/>
  <c r="G11" i="35" s="1"/>
  <c r="G14" i="35" a="1"/>
  <c r="G14" i="35" s="1"/>
  <c r="G6" i="18" a="1"/>
  <c r="G6" i="18" s="1"/>
  <c r="G7" i="18" a="1"/>
  <c r="G7" i="18" s="1"/>
  <c r="G15" i="35" a="1"/>
  <c r="G15" i="35" s="1"/>
  <c r="H426" i="18"/>
  <c r="I426" i="18"/>
  <c r="H424" i="18"/>
  <c r="I424" i="18"/>
  <c r="H173" i="18"/>
  <c r="I173" i="18"/>
  <c r="H174" i="18"/>
  <c r="I174" i="18"/>
  <c r="H139" i="18"/>
  <c r="I139" i="18"/>
  <c r="H128" i="18"/>
  <c r="I128" i="18"/>
  <c r="G353" i="18" a="1"/>
  <c r="G353" i="18" s="1"/>
  <c r="H109" i="35" a="1"/>
  <c r="H109" i="35" s="1"/>
  <c r="H113" i="35" a="1"/>
  <c r="H113" i="35" s="1"/>
  <c r="G362" i="18" a="1"/>
  <c r="G362" i="18" s="1"/>
  <c r="G361" i="18" a="1"/>
  <c r="G361" i="18" s="1"/>
  <c r="G359" i="18" a="1"/>
  <c r="G359" i="18" s="1"/>
  <c r="H101" i="35" a="1"/>
  <c r="H101" i="35" s="1"/>
  <c r="G363" i="18" a="1"/>
  <c r="G363" i="18" s="1"/>
  <c r="H105" i="35" a="1"/>
  <c r="H105" i="35" s="1"/>
  <c r="G47" i="20"/>
  <c r="H106" i="35" a="1"/>
  <c r="H106" i="35" s="1"/>
  <c r="G355" i="18" a="1"/>
  <c r="G355" i="18" s="1"/>
  <c r="H104" i="35" a="1"/>
  <c r="H104" i="35" s="1"/>
  <c r="H111" i="35" a="1"/>
  <c r="H111" i="35" s="1"/>
  <c r="G352" i="18" a="1"/>
  <c r="G352" i="18" s="1"/>
  <c r="G358" i="18" a="1"/>
  <c r="G358" i="18" s="1"/>
  <c r="H114" i="35" a="1"/>
  <c r="H114" i="35" s="1"/>
  <c r="H112" i="35" a="1"/>
  <c r="H112" i="35" s="1"/>
  <c r="G354" i="18" a="1"/>
  <c r="G354" i="18" s="1"/>
  <c r="G357" i="18" a="1"/>
  <c r="G357" i="18" s="1"/>
  <c r="H108" i="35" a="1"/>
  <c r="H108" i="35" s="1"/>
  <c r="G364" i="18" a="1"/>
  <c r="G364" i="18" s="1"/>
  <c r="G360" i="18" a="1"/>
  <c r="G360" i="18" s="1"/>
  <c r="G365" i="18" a="1"/>
  <c r="G365" i="18" s="1"/>
  <c r="H107" i="35" a="1"/>
  <c r="H107" i="35" s="1"/>
  <c r="H103" i="35" a="1"/>
  <c r="H103" i="35" s="1"/>
  <c r="H102" i="35" a="1"/>
  <c r="H102" i="35" s="1"/>
  <c r="H110" i="35" a="1"/>
  <c r="H110" i="35" s="1"/>
  <c r="G356" i="18" a="1"/>
  <c r="G356" i="18" s="1"/>
  <c r="H99" i="18"/>
  <c r="I99" i="18"/>
  <c r="I94" i="18"/>
  <c r="H94" i="18"/>
  <c r="H340" i="18"/>
  <c r="I340" i="18"/>
  <c r="I385" i="18"/>
  <c r="H385" i="18"/>
  <c r="I382" i="18"/>
  <c r="H382" i="18"/>
  <c r="H476" i="18"/>
  <c r="I476" i="18"/>
  <c r="H464" i="18"/>
  <c r="I464" i="18"/>
  <c r="I466" i="18"/>
  <c r="H466" i="18"/>
  <c r="H215" i="18"/>
  <c r="I215" i="18"/>
  <c r="H225" i="18"/>
  <c r="I225" i="18"/>
  <c r="H427" i="18"/>
  <c r="I427" i="18"/>
  <c r="H435" i="18"/>
  <c r="I435" i="18"/>
  <c r="I176" i="18"/>
  <c r="H176" i="18"/>
  <c r="I181" i="18"/>
  <c r="H181" i="18"/>
  <c r="I175" i="18"/>
  <c r="H175" i="18"/>
  <c r="I131" i="18"/>
  <c r="H131" i="18"/>
  <c r="H133" i="18"/>
  <c r="I133" i="18"/>
  <c r="O10" i="20" l="1"/>
  <c r="O45" i="20"/>
  <c r="F39" i="20"/>
  <c r="F35" i="20"/>
  <c r="O33" i="20"/>
  <c r="F19" i="20"/>
  <c r="F42" i="20"/>
  <c r="F34" i="20"/>
  <c r="F8" i="20"/>
  <c r="O44" i="20"/>
  <c r="O36" i="20"/>
  <c r="F15" i="20"/>
  <c r="O19" i="20"/>
  <c r="O11" i="20"/>
  <c r="O7" i="20"/>
  <c r="O15" i="20"/>
  <c r="F36" i="20"/>
  <c r="F13" i="20"/>
  <c r="O8" i="20"/>
  <c r="O41" i="20"/>
  <c r="F46" i="20"/>
  <c r="O35" i="20"/>
  <c r="F7" i="20"/>
  <c r="O16" i="20"/>
  <c r="F10" i="20"/>
  <c r="F38" i="20"/>
  <c r="F11" i="20"/>
  <c r="O40" i="20"/>
  <c r="F12" i="20"/>
  <c r="O43" i="20"/>
  <c r="O9" i="20"/>
  <c r="O13" i="20"/>
  <c r="O18" i="20"/>
  <c r="F33" i="20"/>
  <c r="F44" i="20"/>
  <c r="F37" i="20"/>
  <c r="F9" i="20"/>
  <c r="O42" i="20"/>
  <c r="O12" i="20"/>
  <c r="F43" i="20"/>
  <c r="O14" i="20"/>
  <c r="F6" i="20"/>
  <c r="F41" i="20"/>
  <c r="O46" i="20"/>
  <c r="O38" i="20"/>
  <c r="F14" i="20"/>
  <c r="F16" i="20"/>
  <c r="O6" i="20"/>
  <c r="F17" i="20"/>
  <c r="F40" i="20"/>
  <c r="O37" i="20"/>
  <c r="O34" i="20"/>
  <c r="O39" i="20"/>
  <c r="F18" i="20"/>
  <c r="O17" i="20"/>
  <c r="F45" i="20"/>
  <c r="E28" i="17"/>
  <c r="J326" i="37"/>
  <c r="J230" i="37"/>
  <c r="I230" i="37"/>
  <c r="J338" i="37"/>
  <c r="J330" i="37"/>
  <c r="I338" i="37"/>
  <c r="H334" i="37"/>
  <c r="J242" i="37"/>
  <c r="H226" i="37"/>
  <c r="I234" i="37"/>
  <c r="I158" i="37"/>
  <c r="J162" i="37"/>
  <c r="J246" i="37"/>
  <c r="H238" i="37"/>
  <c r="H322" i="37"/>
  <c r="H184" i="37"/>
  <c r="H185" i="37"/>
  <c r="H183" i="37"/>
  <c r="J150" i="37"/>
  <c r="I362" i="37"/>
  <c r="I326" i="37"/>
  <c r="I366" i="37"/>
  <c r="J342" i="37"/>
  <c r="J158" i="37"/>
  <c r="I242" i="37"/>
  <c r="J350" i="37"/>
  <c r="I146" i="37"/>
  <c r="I246" i="37"/>
  <c r="H188" i="37"/>
  <c r="H187" i="37"/>
  <c r="H186" i="37"/>
  <c r="I150" i="37"/>
  <c r="I350" i="37"/>
  <c r="I162" i="37"/>
  <c r="H358" i="37"/>
  <c r="H346" i="37"/>
  <c r="J354" i="37"/>
  <c r="H142" i="37"/>
  <c r="I342" i="37"/>
  <c r="J366" i="37"/>
  <c r="H154" i="37"/>
  <c r="J362" i="37"/>
  <c r="J234" i="37"/>
  <c r="I330" i="37"/>
  <c r="I354" i="37"/>
  <c r="J146" i="37"/>
  <c r="D28" i="17"/>
  <c r="E48" i="17"/>
  <c r="E47" i="17" a="1"/>
  <c r="E47" i="17" s="1"/>
  <c r="D48" i="17"/>
  <c r="P10" i="9"/>
  <c r="S188" i="66"/>
  <c r="P188" i="66"/>
  <c r="R188" i="66"/>
  <c r="N188" i="66"/>
  <c r="S44" i="66"/>
  <c r="P44" i="66"/>
  <c r="R44" i="66"/>
  <c r="N44" i="66"/>
  <c r="F464" i="18"/>
  <c r="J464" i="18"/>
  <c r="I354" i="18"/>
  <c r="H354" i="18"/>
  <c r="I7" i="18"/>
  <c r="H7" i="18"/>
  <c r="I306" i="18"/>
  <c r="H306" i="18"/>
  <c r="F95" i="18"/>
  <c r="J95" i="18"/>
  <c r="I403" i="18"/>
  <c r="H403" i="18"/>
  <c r="I207" i="18"/>
  <c r="H207" i="18"/>
  <c r="I192" i="18"/>
  <c r="H192" i="18"/>
  <c r="F342" i="18"/>
  <c r="J342" i="18"/>
  <c r="I149" i="18"/>
  <c r="H149" i="18"/>
  <c r="I122" i="18"/>
  <c r="H122" i="18"/>
  <c r="I443" i="18"/>
  <c r="H443" i="18"/>
  <c r="H447" i="18"/>
  <c r="I447" i="18"/>
  <c r="H448" i="18"/>
  <c r="I448" i="18"/>
  <c r="H264" i="18"/>
  <c r="I264" i="18"/>
  <c r="J383" i="18"/>
  <c r="F383" i="18"/>
  <c r="H453" i="18"/>
  <c r="I453" i="18"/>
  <c r="H455" i="18"/>
  <c r="I455" i="18"/>
  <c r="H451" i="18"/>
  <c r="I451" i="18"/>
  <c r="I458" i="18"/>
  <c r="H458" i="18"/>
  <c r="F212" i="18"/>
  <c r="J212" i="18"/>
  <c r="F343" i="18"/>
  <c r="J343" i="18"/>
  <c r="H496" i="18"/>
  <c r="I496" i="18"/>
  <c r="H504" i="18"/>
  <c r="I504" i="18"/>
  <c r="H238" i="18"/>
  <c r="I238" i="18"/>
  <c r="J390" i="18"/>
  <c r="F390" i="18"/>
  <c r="F98" i="18"/>
  <c r="J98" i="18"/>
  <c r="H252" i="18"/>
  <c r="I252" i="18"/>
  <c r="J430" i="18"/>
  <c r="F430" i="18"/>
  <c r="I44" i="18"/>
  <c r="H44" i="18"/>
  <c r="H56" i="18"/>
  <c r="I56" i="18"/>
  <c r="F223" i="18"/>
  <c r="J223" i="18"/>
  <c r="J339" i="18"/>
  <c r="F339" i="18"/>
  <c r="H165" i="18"/>
  <c r="I165" i="18"/>
  <c r="H156" i="18"/>
  <c r="I156" i="18"/>
  <c r="H157" i="18"/>
  <c r="I157" i="18"/>
  <c r="H491" i="18"/>
  <c r="I491" i="18"/>
  <c r="H483" i="18"/>
  <c r="I483" i="18"/>
  <c r="J468" i="18"/>
  <c r="F468" i="18"/>
  <c r="I377" i="18"/>
  <c r="H377" i="18"/>
  <c r="F176" i="18"/>
  <c r="J176" i="18"/>
  <c r="F225" i="18"/>
  <c r="J225" i="18"/>
  <c r="J382" i="18"/>
  <c r="F382" i="18"/>
  <c r="H6" i="18"/>
  <c r="I6" i="18"/>
  <c r="I11" i="18"/>
  <c r="H11" i="18"/>
  <c r="I298" i="18"/>
  <c r="H298" i="18"/>
  <c r="H300" i="18"/>
  <c r="I300" i="18"/>
  <c r="H296" i="18"/>
  <c r="I296" i="18"/>
  <c r="H302" i="18"/>
  <c r="I302" i="18"/>
  <c r="J465" i="18"/>
  <c r="F465" i="18"/>
  <c r="H400" i="18"/>
  <c r="I400" i="18"/>
  <c r="I206" i="18"/>
  <c r="H206" i="18"/>
  <c r="I195" i="18"/>
  <c r="H195" i="18"/>
  <c r="H196" i="18"/>
  <c r="I196" i="18"/>
  <c r="H186" i="18"/>
  <c r="I186" i="18"/>
  <c r="H143" i="18"/>
  <c r="I143" i="18"/>
  <c r="J135" i="18"/>
  <c r="F135" i="18"/>
  <c r="I120" i="18"/>
  <c r="H120" i="18"/>
  <c r="F183" i="18"/>
  <c r="J183" i="18"/>
  <c r="I442" i="18"/>
  <c r="H442" i="18"/>
  <c r="H449" i="18"/>
  <c r="I449" i="18"/>
  <c r="F224" i="18"/>
  <c r="J224" i="18"/>
  <c r="F475" i="18"/>
  <c r="J475" i="18"/>
  <c r="F348" i="18"/>
  <c r="J348" i="18"/>
  <c r="F92" i="18"/>
  <c r="J92" i="18"/>
  <c r="I454" i="18"/>
  <c r="H454" i="18"/>
  <c r="H107" i="18"/>
  <c r="I107" i="18"/>
  <c r="I108" i="18"/>
  <c r="H108" i="18"/>
  <c r="I106" i="18"/>
  <c r="H106" i="18"/>
  <c r="F380" i="18"/>
  <c r="J380" i="18"/>
  <c r="F93" i="18"/>
  <c r="J93" i="18"/>
  <c r="I494" i="18"/>
  <c r="H494" i="18"/>
  <c r="F141" i="18"/>
  <c r="J141" i="18"/>
  <c r="F182" i="18"/>
  <c r="J182" i="18"/>
  <c r="I226" i="18"/>
  <c r="H226" i="18"/>
  <c r="F136" i="18"/>
  <c r="J136" i="18"/>
  <c r="I244" i="18"/>
  <c r="H244" i="18"/>
  <c r="I243" i="18"/>
  <c r="H243" i="18"/>
  <c r="H54" i="18"/>
  <c r="I54" i="18"/>
  <c r="H47" i="18"/>
  <c r="I47" i="18"/>
  <c r="I48" i="18"/>
  <c r="H48" i="18"/>
  <c r="H490" i="18"/>
  <c r="I490" i="18"/>
  <c r="H481" i="18"/>
  <c r="I481" i="18"/>
  <c r="I410" i="18"/>
  <c r="H410" i="18"/>
  <c r="I412" i="18"/>
  <c r="H412" i="18"/>
  <c r="I415" i="18"/>
  <c r="H415" i="18"/>
  <c r="H376" i="18"/>
  <c r="I376" i="18"/>
  <c r="F393" i="18"/>
  <c r="J393" i="18"/>
  <c r="F133" i="18"/>
  <c r="J133" i="18"/>
  <c r="F435" i="18"/>
  <c r="J435" i="18"/>
  <c r="J476" i="18"/>
  <c r="F476" i="18"/>
  <c r="H353" i="18"/>
  <c r="I353" i="18"/>
  <c r="H8" i="18"/>
  <c r="I8" i="18"/>
  <c r="I2" i="18"/>
  <c r="H2" i="18"/>
  <c r="I309" i="18"/>
  <c r="H309" i="18"/>
  <c r="F392" i="18"/>
  <c r="J392" i="18"/>
  <c r="I396" i="18"/>
  <c r="H396" i="18"/>
  <c r="I402" i="18"/>
  <c r="H402" i="18"/>
  <c r="I201" i="18"/>
  <c r="H201" i="18"/>
  <c r="I205" i="18"/>
  <c r="H205" i="18"/>
  <c r="I200" i="18"/>
  <c r="H200" i="18"/>
  <c r="H184" i="18"/>
  <c r="I184" i="18"/>
  <c r="I190" i="18"/>
  <c r="H190" i="18"/>
  <c r="H188" i="18"/>
  <c r="I188" i="18"/>
  <c r="F219" i="18"/>
  <c r="J219" i="18"/>
  <c r="H151" i="18"/>
  <c r="I151" i="18"/>
  <c r="H154" i="18"/>
  <c r="I154" i="18"/>
  <c r="H144" i="18"/>
  <c r="I144" i="18"/>
  <c r="I115" i="18"/>
  <c r="H115" i="18"/>
  <c r="H441" i="18"/>
  <c r="I441" i="18"/>
  <c r="H262" i="18"/>
  <c r="I262" i="18"/>
  <c r="I259" i="18"/>
  <c r="H259" i="18"/>
  <c r="H254" i="18"/>
  <c r="I254" i="18"/>
  <c r="F345" i="18"/>
  <c r="J345" i="18"/>
  <c r="H461" i="18"/>
  <c r="I461" i="18"/>
  <c r="I462" i="18"/>
  <c r="H462" i="18"/>
  <c r="I100" i="18"/>
  <c r="H100" i="18"/>
  <c r="I104" i="18"/>
  <c r="H104" i="18"/>
  <c r="F171" i="18"/>
  <c r="J171" i="18"/>
  <c r="I505" i="18"/>
  <c r="H505" i="18"/>
  <c r="H498" i="18"/>
  <c r="I498" i="18"/>
  <c r="I230" i="18"/>
  <c r="H230" i="18"/>
  <c r="J470" i="18"/>
  <c r="F470" i="18"/>
  <c r="F347" i="18"/>
  <c r="J347" i="18"/>
  <c r="F170" i="18"/>
  <c r="J170" i="18"/>
  <c r="H241" i="18"/>
  <c r="I241" i="18"/>
  <c r="H52" i="18"/>
  <c r="I52" i="18"/>
  <c r="H45" i="18"/>
  <c r="I45" i="18"/>
  <c r="J214" i="18"/>
  <c r="F214" i="18"/>
  <c r="H168" i="18"/>
  <c r="I168" i="18"/>
  <c r="I167" i="18"/>
  <c r="H167" i="18"/>
  <c r="I160" i="18"/>
  <c r="H160" i="18"/>
  <c r="J179" i="18"/>
  <c r="F179" i="18"/>
  <c r="J425" i="18"/>
  <c r="F425" i="18"/>
  <c r="I479" i="18"/>
  <c r="H479" i="18"/>
  <c r="H482" i="18"/>
  <c r="I482" i="18"/>
  <c r="F467" i="18"/>
  <c r="J467" i="18"/>
  <c r="H379" i="18"/>
  <c r="I379" i="18"/>
  <c r="I375" i="18"/>
  <c r="H375" i="18"/>
  <c r="J338" i="18"/>
  <c r="F338" i="18"/>
  <c r="F385" i="18"/>
  <c r="J385" i="18"/>
  <c r="J340" i="18"/>
  <c r="F340" i="18"/>
  <c r="J99" i="18"/>
  <c r="F99" i="18"/>
  <c r="I365" i="18"/>
  <c r="H365" i="18"/>
  <c r="I358" i="18"/>
  <c r="H358" i="18"/>
  <c r="I363" i="18"/>
  <c r="H363" i="18"/>
  <c r="F128" i="18"/>
  <c r="J128" i="18"/>
  <c r="I3" i="18"/>
  <c r="H3" i="18"/>
  <c r="H15" i="18"/>
  <c r="I15" i="18"/>
  <c r="I308" i="18"/>
  <c r="H308" i="18"/>
  <c r="F341" i="18"/>
  <c r="J341" i="18"/>
  <c r="J86" i="18"/>
  <c r="F86" i="18"/>
  <c r="H394" i="18"/>
  <c r="I394" i="18"/>
  <c r="I398" i="18"/>
  <c r="H398" i="18"/>
  <c r="I202" i="18"/>
  <c r="H202" i="18"/>
  <c r="H208" i="18"/>
  <c r="I208" i="18"/>
  <c r="H197" i="18"/>
  <c r="I197" i="18"/>
  <c r="F218" i="18"/>
  <c r="J218" i="18"/>
  <c r="H147" i="18"/>
  <c r="I147" i="18"/>
  <c r="I127" i="18"/>
  <c r="H127" i="18"/>
  <c r="I114" i="18"/>
  <c r="H114" i="18"/>
  <c r="I445" i="18"/>
  <c r="H445" i="18"/>
  <c r="I437" i="18"/>
  <c r="H437" i="18"/>
  <c r="I446" i="18"/>
  <c r="H446" i="18"/>
  <c r="H260" i="18"/>
  <c r="I260" i="18"/>
  <c r="J87" i="18"/>
  <c r="F87" i="18"/>
  <c r="H456" i="18"/>
  <c r="I456" i="18"/>
  <c r="I110" i="18"/>
  <c r="H110" i="18"/>
  <c r="H109" i="18"/>
  <c r="I109" i="18"/>
  <c r="I105" i="18"/>
  <c r="H105" i="18"/>
  <c r="J428" i="18"/>
  <c r="F428" i="18"/>
  <c r="I492" i="18"/>
  <c r="H492" i="18"/>
  <c r="H495" i="18"/>
  <c r="I495" i="18"/>
  <c r="I228" i="18"/>
  <c r="H228" i="18"/>
  <c r="J384" i="18"/>
  <c r="F384" i="18"/>
  <c r="I247" i="18"/>
  <c r="H247" i="18"/>
  <c r="H253" i="18"/>
  <c r="I253" i="18"/>
  <c r="I251" i="18"/>
  <c r="H251" i="18"/>
  <c r="H53" i="18"/>
  <c r="I53" i="18"/>
  <c r="H50" i="18"/>
  <c r="I50" i="18"/>
  <c r="J129" i="18"/>
  <c r="F129" i="18"/>
  <c r="I164" i="18"/>
  <c r="H164" i="18"/>
  <c r="H169" i="18"/>
  <c r="I169" i="18"/>
  <c r="J178" i="18"/>
  <c r="F178" i="18"/>
  <c r="I417" i="18"/>
  <c r="H417" i="18"/>
  <c r="I414" i="18"/>
  <c r="H414" i="18"/>
  <c r="I418" i="18"/>
  <c r="H418" i="18"/>
  <c r="H369" i="18"/>
  <c r="I369" i="18"/>
  <c r="I372" i="18"/>
  <c r="H372" i="18"/>
  <c r="H367" i="18"/>
  <c r="I367" i="18"/>
  <c r="F97" i="18"/>
  <c r="J97" i="18"/>
  <c r="I360" i="18"/>
  <c r="H360" i="18"/>
  <c r="H352" i="18"/>
  <c r="I352" i="18"/>
  <c r="I10" i="18"/>
  <c r="H10" i="18"/>
  <c r="I9" i="18"/>
  <c r="H9" i="18"/>
  <c r="J217" i="18"/>
  <c r="F217" i="18"/>
  <c r="F220" i="18"/>
  <c r="J220" i="18"/>
  <c r="H406" i="18"/>
  <c r="I406" i="18"/>
  <c r="H405" i="18"/>
  <c r="I405" i="18"/>
  <c r="I404" i="18"/>
  <c r="H404" i="18"/>
  <c r="J138" i="18"/>
  <c r="F138" i="18"/>
  <c r="I209" i="18"/>
  <c r="H209" i="18"/>
  <c r="F88" i="18"/>
  <c r="J88" i="18"/>
  <c r="H146" i="18"/>
  <c r="I146" i="18"/>
  <c r="I145" i="18"/>
  <c r="H145" i="18"/>
  <c r="H121" i="18"/>
  <c r="I121" i="18"/>
  <c r="H444" i="18"/>
  <c r="I444" i="18"/>
  <c r="H439" i="18"/>
  <c r="I439" i="18"/>
  <c r="F216" i="18"/>
  <c r="J216" i="18"/>
  <c r="I263" i="18"/>
  <c r="H263" i="18"/>
  <c r="I257" i="18"/>
  <c r="H257" i="18"/>
  <c r="I460" i="18"/>
  <c r="H460" i="18"/>
  <c r="H113" i="18"/>
  <c r="I113" i="18"/>
  <c r="H112" i="18"/>
  <c r="I112" i="18"/>
  <c r="I111" i="18"/>
  <c r="H111" i="18"/>
  <c r="F477" i="18"/>
  <c r="J477" i="18"/>
  <c r="I501" i="18"/>
  <c r="H501" i="18"/>
  <c r="I499" i="18"/>
  <c r="H499" i="18"/>
  <c r="H236" i="18"/>
  <c r="I236" i="18"/>
  <c r="I227" i="18"/>
  <c r="H227" i="18"/>
  <c r="H229" i="18"/>
  <c r="I229" i="18"/>
  <c r="M10" i="9"/>
  <c r="F351" i="18"/>
  <c r="J351" i="18"/>
  <c r="F91" i="18"/>
  <c r="J91" i="18"/>
  <c r="H250" i="18"/>
  <c r="I250" i="18"/>
  <c r="H246" i="18"/>
  <c r="I246" i="18"/>
  <c r="H245" i="18"/>
  <c r="I245" i="18"/>
  <c r="I46" i="18"/>
  <c r="H46" i="18"/>
  <c r="J474" i="18"/>
  <c r="F474" i="18"/>
  <c r="F389" i="18"/>
  <c r="J389" i="18"/>
  <c r="F140" i="18"/>
  <c r="J140" i="18"/>
  <c r="I161" i="18"/>
  <c r="H161" i="18"/>
  <c r="H166" i="18"/>
  <c r="I166" i="18"/>
  <c r="H162" i="18"/>
  <c r="I162" i="18"/>
  <c r="J432" i="18"/>
  <c r="F432" i="18"/>
  <c r="I487" i="18"/>
  <c r="H487" i="18"/>
  <c r="H408" i="18"/>
  <c r="I408" i="18"/>
  <c r="I416" i="18"/>
  <c r="H416" i="18"/>
  <c r="H411" i="18"/>
  <c r="I411" i="18"/>
  <c r="I371" i="18"/>
  <c r="H371" i="18"/>
  <c r="I366" i="18"/>
  <c r="H366" i="18"/>
  <c r="H378" i="18"/>
  <c r="I378" i="18"/>
  <c r="J346" i="18"/>
  <c r="F346" i="18"/>
  <c r="I364" i="18"/>
  <c r="H364" i="18"/>
  <c r="H359" i="18"/>
  <c r="I359" i="18"/>
  <c r="F139" i="18"/>
  <c r="J139" i="18"/>
  <c r="F174" i="18"/>
  <c r="J174" i="18"/>
  <c r="F424" i="18"/>
  <c r="J424" i="18"/>
  <c r="I5" i="18"/>
  <c r="H5" i="18"/>
  <c r="I303" i="18"/>
  <c r="H303" i="18"/>
  <c r="H307" i="18"/>
  <c r="I307" i="18"/>
  <c r="H305" i="18"/>
  <c r="I305" i="18"/>
  <c r="I407" i="18"/>
  <c r="H407" i="18"/>
  <c r="I401" i="18"/>
  <c r="H401" i="18"/>
  <c r="I211" i="18"/>
  <c r="H211" i="18"/>
  <c r="H193" i="18"/>
  <c r="I193" i="18"/>
  <c r="H187" i="18"/>
  <c r="I187" i="18"/>
  <c r="I148" i="18"/>
  <c r="H148" i="18"/>
  <c r="H126" i="18"/>
  <c r="I126" i="18"/>
  <c r="I125" i="18"/>
  <c r="H125" i="18"/>
  <c r="H438" i="18"/>
  <c r="I438" i="18"/>
  <c r="H440" i="18"/>
  <c r="I440" i="18"/>
  <c r="I266" i="18"/>
  <c r="H266" i="18"/>
  <c r="I457" i="18"/>
  <c r="H457" i="18"/>
  <c r="H463" i="18"/>
  <c r="I463" i="18"/>
  <c r="I101" i="18"/>
  <c r="H101" i="18"/>
  <c r="I103" i="18"/>
  <c r="H103" i="18"/>
  <c r="J134" i="18"/>
  <c r="F134" i="18"/>
  <c r="F422" i="18"/>
  <c r="J422" i="18"/>
  <c r="I500" i="18"/>
  <c r="H500" i="18"/>
  <c r="H493" i="18"/>
  <c r="I493" i="18"/>
  <c r="I497" i="18"/>
  <c r="H497" i="18"/>
  <c r="I235" i="18"/>
  <c r="H235" i="18"/>
  <c r="F431" i="18"/>
  <c r="J431" i="18"/>
  <c r="F177" i="18"/>
  <c r="J177" i="18"/>
  <c r="I249" i="18"/>
  <c r="H249" i="18"/>
  <c r="F344" i="18"/>
  <c r="J344" i="18"/>
  <c r="F180" i="18"/>
  <c r="J180" i="18"/>
  <c r="H489" i="18"/>
  <c r="I489" i="18"/>
  <c r="I480" i="18"/>
  <c r="H480" i="18"/>
  <c r="H421" i="18"/>
  <c r="I421" i="18"/>
  <c r="H420" i="18"/>
  <c r="I420" i="18"/>
  <c r="H419" i="18"/>
  <c r="I419" i="18"/>
  <c r="I374" i="18"/>
  <c r="H374" i="18"/>
  <c r="I368" i="18"/>
  <c r="H368" i="18"/>
  <c r="J427" i="18"/>
  <c r="F427" i="18"/>
  <c r="F131" i="18"/>
  <c r="J131" i="18"/>
  <c r="F175" i="18"/>
  <c r="J175" i="18"/>
  <c r="J215" i="18"/>
  <c r="F215" i="18"/>
  <c r="I356" i="18"/>
  <c r="H356" i="18"/>
  <c r="I361" i="18"/>
  <c r="H361" i="18"/>
  <c r="I4" i="18"/>
  <c r="H4" i="18"/>
  <c r="I14" i="18"/>
  <c r="H14" i="18"/>
  <c r="H304" i="18"/>
  <c r="I304" i="18"/>
  <c r="I299" i="18"/>
  <c r="H299" i="18"/>
  <c r="H297" i="18"/>
  <c r="I297" i="18"/>
  <c r="F473" i="18"/>
  <c r="J473" i="18"/>
  <c r="I399" i="18"/>
  <c r="H399" i="18"/>
  <c r="I395" i="18"/>
  <c r="H395" i="18"/>
  <c r="I210" i="18"/>
  <c r="H210" i="18"/>
  <c r="I199" i="18"/>
  <c r="H199" i="18"/>
  <c r="I194" i="18"/>
  <c r="H194" i="18"/>
  <c r="I185" i="18"/>
  <c r="H185" i="18"/>
  <c r="I191" i="18"/>
  <c r="H191" i="18"/>
  <c r="F434" i="18"/>
  <c r="J434" i="18"/>
  <c r="I152" i="18"/>
  <c r="H152" i="18"/>
  <c r="H142" i="18"/>
  <c r="I142" i="18"/>
  <c r="I155" i="18"/>
  <c r="H155" i="18"/>
  <c r="I124" i="18"/>
  <c r="H124" i="18"/>
  <c r="H119" i="18"/>
  <c r="I119" i="18"/>
  <c r="H123" i="18"/>
  <c r="I123" i="18"/>
  <c r="F433" i="18"/>
  <c r="J433" i="18"/>
  <c r="H255" i="18"/>
  <c r="I255" i="18"/>
  <c r="H267" i="18"/>
  <c r="I267" i="18"/>
  <c r="H261" i="18"/>
  <c r="I261" i="18"/>
  <c r="I258" i="18"/>
  <c r="H258" i="18"/>
  <c r="H102" i="18"/>
  <c r="I102" i="18"/>
  <c r="I503" i="18"/>
  <c r="H503" i="18"/>
  <c r="I233" i="18"/>
  <c r="H233" i="18"/>
  <c r="I231" i="18"/>
  <c r="H231" i="18"/>
  <c r="I232" i="18"/>
  <c r="H232" i="18"/>
  <c r="H242" i="18"/>
  <c r="I242" i="18"/>
  <c r="H55" i="18"/>
  <c r="I55" i="18"/>
  <c r="I57" i="18"/>
  <c r="H57" i="18"/>
  <c r="F469" i="18"/>
  <c r="J469" i="18"/>
  <c r="H163" i="18"/>
  <c r="I163" i="18"/>
  <c r="F423" i="18"/>
  <c r="J423" i="18"/>
  <c r="H488" i="18"/>
  <c r="I488" i="18"/>
  <c r="I486" i="18"/>
  <c r="H486" i="18"/>
  <c r="F213" i="18"/>
  <c r="J213" i="18"/>
  <c r="F472" i="18"/>
  <c r="J472" i="18"/>
  <c r="H409" i="18"/>
  <c r="I409" i="18"/>
  <c r="H373" i="18"/>
  <c r="I373" i="18"/>
  <c r="F386" i="18"/>
  <c r="J386" i="18"/>
  <c r="F388" i="18"/>
  <c r="J388" i="18"/>
  <c r="F181" i="18"/>
  <c r="J181" i="18"/>
  <c r="F466" i="18"/>
  <c r="J466" i="18"/>
  <c r="F94" i="18"/>
  <c r="J94" i="18"/>
  <c r="I357" i="18"/>
  <c r="H357" i="18"/>
  <c r="I355" i="18"/>
  <c r="H355" i="18"/>
  <c r="I362" i="18"/>
  <c r="H362" i="18"/>
  <c r="F173" i="18"/>
  <c r="J173" i="18"/>
  <c r="F426" i="18"/>
  <c r="J426" i="18"/>
  <c r="H13" i="18"/>
  <c r="I13" i="18"/>
  <c r="H12" i="18"/>
  <c r="I12" i="18"/>
  <c r="H301" i="18"/>
  <c r="I301" i="18"/>
  <c r="F387" i="18"/>
  <c r="J387" i="18"/>
  <c r="J96" i="18"/>
  <c r="F96" i="18"/>
  <c r="I397" i="18"/>
  <c r="H397" i="18"/>
  <c r="H198" i="18"/>
  <c r="I198" i="18"/>
  <c r="I203" i="18"/>
  <c r="H203" i="18"/>
  <c r="I204" i="18"/>
  <c r="H204" i="18"/>
  <c r="H189" i="18"/>
  <c r="I189" i="18"/>
  <c r="I153" i="18"/>
  <c r="H153" i="18"/>
  <c r="I150" i="18"/>
  <c r="H150" i="18"/>
  <c r="J137" i="18"/>
  <c r="F137" i="18"/>
  <c r="I117" i="18"/>
  <c r="H117" i="18"/>
  <c r="H116" i="18"/>
  <c r="I116" i="18"/>
  <c r="I118" i="18"/>
  <c r="H118" i="18"/>
  <c r="I436" i="18"/>
  <c r="H436" i="18"/>
  <c r="H265" i="18"/>
  <c r="I265" i="18"/>
  <c r="I256" i="18"/>
  <c r="H256" i="18"/>
  <c r="F471" i="18"/>
  <c r="J471" i="18"/>
  <c r="F391" i="18"/>
  <c r="J391" i="18"/>
  <c r="F349" i="18"/>
  <c r="J349" i="18"/>
  <c r="F89" i="18"/>
  <c r="J89" i="18"/>
  <c r="I459" i="18"/>
  <c r="H459" i="18"/>
  <c r="I452" i="18"/>
  <c r="H452" i="18"/>
  <c r="H450" i="18"/>
  <c r="I450" i="18"/>
  <c r="F130" i="18"/>
  <c r="J130" i="18"/>
  <c r="F172" i="18"/>
  <c r="J172" i="18"/>
  <c r="F222" i="18"/>
  <c r="J222" i="18"/>
  <c r="J381" i="18"/>
  <c r="F381" i="18"/>
  <c r="I502" i="18"/>
  <c r="H502" i="18"/>
  <c r="J132" i="18"/>
  <c r="F132" i="18"/>
  <c r="I237" i="18"/>
  <c r="H237" i="18"/>
  <c r="H239" i="18"/>
  <c r="I239" i="18"/>
  <c r="I234" i="18"/>
  <c r="H234" i="18"/>
  <c r="F221" i="18"/>
  <c r="J221" i="18"/>
  <c r="F350" i="18"/>
  <c r="J350" i="18"/>
  <c r="F90" i="18"/>
  <c r="J90" i="18"/>
  <c r="H240" i="18"/>
  <c r="I240" i="18"/>
  <c r="H248" i="18"/>
  <c r="I248" i="18"/>
  <c r="I49" i="18"/>
  <c r="H49" i="18"/>
  <c r="I51" i="18"/>
  <c r="H51" i="18"/>
  <c r="I158" i="18"/>
  <c r="H158" i="18"/>
  <c r="H159" i="18"/>
  <c r="I159" i="18"/>
  <c r="F429" i="18"/>
  <c r="J429" i="18"/>
  <c r="I478" i="18"/>
  <c r="H478" i="18"/>
  <c r="I484" i="18"/>
  <c r="H484" i="18"/>
  <c r="I485" i="18"/>
  <c r="H485" i="18"/>
  <c r="I413" i="18"/>
  <c r="H413" i="18"/>
  <c r="I370" i="18"/>
  <c r="H370" i="18"/>
  <c r="R7" i="20" l="1"/>
  <c r="R19" i="20"/>
  <c r="I15" i="20"/>
  <c r="R40" i="20"/>
  <c r="I36" i="20"/>
  <c r="R8" i="20"/>
  <c r="R6" i="20"/>
  <c r="I16" i="20"/>
  <c r="R41" i="20"/>
  <c r="I37" i="20"/>
  <c r="R39" i="20"/>
  <c r="I33" i="20"/>
  <c r="R9" i="20"/>
  <c r="I17" i="20"/>
  <c r="R42" i="20"/>
  <c r="I38" i="20"/>
  <c r="I35" i="20"/>
  <c r="R10" i="20"/>
  <c r="I18" i="20"/>
  <c r="R43" i="20"/>
  <c r="I39" i="20"/>
  <c r="I14" i="20"/>
  <c r="R11" i="20"/>
  <c r="I7" i="20"/>
  <c r="I19" i="20"/>
  <c r="R44" i="20"/>
  <c r="I40" i="20"/>
  <c r="I44" i="20"/>
  <c r="I45" i="20"/>
  <c r="R12" i="20"/>
  <c r="I8" i="20"/>
  <c r="I6" i="20"/>
  <c r="R45" i="20"/>
  <c r="I41" i="20"/>
  <c r="R13" i="20"/>
  <c r="I9" i="20"/>
  <c r="R34" i="20"/>
  <c r="R46" i="20"/>
  <c r="I42" i="20"/>
  <c r="R14" i="20"/>
  <c r="I10" i="20"/>
  <c r="R35" i="20"/>
  <c r="R33" i="20"/>
  <c r="I43" i="20"/>
  <c r="R15" i="20"/>
  <c r="I11" i="20"/>
  <c r="R36" i="20"/>
  <c r="R16" i="20"/>
  <c r="I12" i="20"/>
  <c r="R37" i="20"/>
  <c r="R17" i="20"/>
  <c r="I13" i="20"/>
  <c r="R38" i="20"/>
  <c r="I34" i="20"/>
  <c r="I46" i="20"/>
  <c r="R18" i="20"/>
  <c r="T188" i="66"/>
  <c r="O188" i="66"/>
  <c r="Q188" i="66" s="1"/>
  <c r="T44" i="66"/>
  <c r="O44" i="66"/>
  <c r="Y44" i="66"/>
  <c r="Z188" i="66"/>
  <c r="Y188" i="66"/>
  <c r="Z44" i="66"/>
  <c r="F301" i="18"/>
  <c r="J301" i="18"/>
  <c r="J488" i="18"/>
  <c r="F488" i="18"/>
  <c r="J258" i="18"/>
  <c r="F258" i="18"/>
  <c r="F191" i="18"/>
  <c r="J191" i="18"/>
  <c r="J304" i="18"/>
  <c r="F304" i="18"/>
  <c r="F187" i="18"/>
  <c r="J187" i="18"/>
  <c r="J378" i="18"/>
  <c r="F378" i="18"/>
  <c r="J46" i="18"/>
  <c r="F46" i="18"/>
  <c r="J250" i="18"/>
  <c r="F250" i="18"/>
  <c r="F236" i="18"/>
  <c r="J236" i="18"/>
  <c r="F492" i="18"/>
  <c r="J492" i="18"/>
  <c r="J110" i="18"/>
  <c r="F110" i="18"/>
  <c r="J394" i="18"/>
  <c r="F394" i="18"/>
  <c r="J363" i="18"/>
  <c r="F363" i="18"/>
  <c r="J379" i="18"/>
  <c r="F379" i="18"/>
  <c r="J230" i="18"/>
  <c r="F230" i="18"/>
  <c r="F505" i="18"/>
  <c r="J505" i="18"/>
  <c r="J226" i="18"/>
  <c r="F226" i="18"/>
  <c r="F107" i="18"/>
  <c r="J107" i="18"/>
  <c r="J195" i="18"/>
  <c r="F195" i="18"/>
  <c r="F6" i="18"/>
  <c r="J6" i="18"/>
  <c r="J377" i="18"/>
  <c r="F377" i="18"/>
  <c r="J156" i="18"/>
  <c r="F156" i="18"/>
  <c r="F447" i="18"/>
  <c r="J447" i="18"/>
  <c r="J122" i="18"/>
  <c r="F122" i="18"/>
  <c r="J484" i="18"/>
  <c r="F484" i="18"/>
  <c r="F452" i="18"/>
  <c r="J452" i="18"/>
  <c r="J399" i="18"/>
  <c r="F399" i="18"/>
  <c r="J235" i="18"/>
  <c r="F235" i="18"/>
  <c r="F497" i="18"/>
  <c r="J497" i="18"/>
  <c r="J5" i="18"/>
  <c r="F5" i="18"/>
  <c r="J373" i="18"/>
  <c r="F373" i="18"/>
  <c r="F485" i="18"/>
  <c r="J485" i="18"/>
  <c r="J478" i="18"/>
  <c r="F478" i="18"/>
  <c r="F51" i="18"/>
  <c r="J51" i="18"/>
  <c r="J436" i="18"/>
  <c r="F436" i="18"/>
  <c r="F118" i="18"/>
  <c r="J118" i="18"/>
  <c r="J150" i="18"/>
  <c r="F150" i="18"/>
  <c r="F357" i="18"/>
  <c r="J357" i="18"/>
  <c r="J233" i="18"/>
  <c r="F233" i="18"/>
  <c r="J102" i="18"/>
  <c r="F102" i="18"/>
  <c r="J261" i="18"/>
  <c r="F261" i="18"/>
  <c r="F123" i="18"/>
  <c r="J123" i="18"/>
  <c r="J124" i="18"/>
  <c r="F124" i="18"/>
  <c r="F152" i="18"/>
  <c r="J152" i="18"/>
  <c r="F368" i="18"/>
  <c r="J368" i="18"/>
  <c r="J101" i="18"/>
  <c r="F101" i="18"/>
  <c r="F401" i="18"/>
  <c r="J401" i="18"/>
  <c r="F364" i="18"/>
  <c r="J364" i="18"/>
  <c r="F371" i="18"/>
  <c r="J371" i="18"/>
  <c r="J416" i="18"/>
  <c r="F416" i="18"/>
  <c r="F245" i="18"/>
  <c r="J245" i="18"/>
  <c r="J229" i="18"/>
  <c r="F229" i="18"/>
  <c r="F111" i="18"/>
  <c r="J111" i="18"/>
  <c r="F406" i="18"/>
  <c r="J406" i="18"/>
  <c r="F367" i="18"/>
  <c r="J367" i="18"/>
  <c r="F164" i="18"/>
  <c r="J164" i="18"/>
  <c r="F105" i="18"/>
  <c r="J105" i="18"/>
  <c r="F456" i="18"/>
  <c r="J456" i="18"/>
  <c r="F260" i="18"/>
  <c r="J260" i="18"/>
  <c r="J52" i="18"/>
  <c r="F52" i="18"/>
  <c r="F462" i="18"/>
  <c r="J462" i="18"/>
  <c r="F259" i="18"/>
  <c r="J259" i="18"/>
  <c r="J441" i="18"/>
  <c r="F441" i="18"/>
  <c r="F151" i="18"/>
  <c r="J151" i="18"/>
  <c r="J200" i="18"/>
  <c r="F200" i="18"/>
  <c r="J309" i="18"/>
  <c r="F309" i="18"/>
  <c r="F415" i="18"/>
  <c r="J415" i="18"/>
  <c r="J449" i="18"/>
  <c r="F449" i="18"/>
  <c r="F143" i="18"/>
  <c r="J143" i="18"/>
  <c r="J300" i="18"/>
  <c r="F300" i="18"/>
  <c r="F56" i="18"/>
  <c r="J56" i="18"/>
  <c r="F207" i="18"/>
  <c r="J207" i="18"/>
  <c r="J450" i="18"/>
  <c r="F450" i="18"/>
  <c r="F459" i="18"/>
  <c r="J459" i="18"/>
  <c r="J397" i="18"/>
  <c r="F397" i="18"/>
  <c r="F370" i="18"/>
  <c r="J370" i="18"/>
  <c r="J234" i="18"/>
  <c r="F234" i="18"/>
  <c r="F237" i="18"/>
  <c r="J237" i="18"/>
  <c r="F116" i="18"/>
  <c r="J116" i="18"/>
  <c r="J204" i="18"/>
  <c r="F204" i="18"/>
  <c r="F409" i="18"/>
  <c r="J409" i="18"/>
  <c r="J185" i="18"/>
  <c r="F185" i="18"/>
  <c r="F361" i="18"/>
  <c r="J361" i="18"/>
  <c r="J356" i="18"/>
  <c r="F356" i="18"/>
  <c r="J419" i="18"/>
  <c r="F419" i="18"/>
  <c r="F463" i="18"/>
  <c r="J463" i="18"/>
  <c r="F440" i="18"/>
  <c r="J440" i="18"/>
  <c r="F193" i="18"/>
  <c r="J193" i="18"/>
  <c r="F307" i="18"/>
  <c r="J307" i="18"/>
  <c r="J359" i="18"/>
  <c r="F359" i="18"/>
  <c r="J408" i="18"/>
  <c r="F408" i="18"/>
  <c r="J162" i="18"/>
  <c r="F162" i="18"/>
  <c r="F112" i="18"/>
  <c r="J112" i="18"/>
  <c r="F247" i="18"/>
  <c r="J247" i="18"/>
  <c r="F109" i="18"/>
  <c r="J109" i="18"/>
  <c r="F197" i="18"/>
  <c r="J197" i="18"/>
  <c r="F202" i="18"/>
  <c r="J202" i="18"/>
  <c r="F308" i="18"/>
  <c r="J308" i="18"/>
  <c r="J358" i="18"/>
  <c r="F358" i="18"/>
  <c r="F482" i="18"/>
  <c r="J482" i="18"/>
  <c r="J104" i="18"/>
  <c r="F104" i="18"/>
  <c r="F461" i="18"/>
  <c r="J461" i="18"/>
  <c r="F262" i="18"/>
  <c r="J262" i="18"/>
  <c r="F188" i="18"/>
  <c r="J188" i="18"/>
  <c r="F396" i="18"/>
  <c r="J396" i="18"/>
  <c r="F481" i="18"/>
  <c r="J481" i="18"/>
  <c r="F400" i="18"/>
  <c r="J400" i="18"/>
  <c r="F165" i="18"/>
  <c r="J165" i="18"/>
  <c r="F252" i="18"/>
  <c r="J252" i="18"/>
  <c r="F458" i="18"/>
  <c r="J458" i="18"/>
  <c r="J149" i="18"/>
  <c r="F149" i="18"/>
  <c r="J44" i="18"/>
  <c r="F44" i="18"/>
  <c r="J504" i="18"/>
  <c r="F504" i="18"/>
  <c r="F451" i="18"/>
  <c r="J451" i="18"/>
  <c r="F443" i="18"/>
  <c r="J443" i="18"/>
  <c r="J159" i="18"/>
  <c r="F159" i="18"/>
  <c r="F248" i="18"/>
  <c r="J248" i="18"/>
  <c r="J14" i="18"/>
  <c r="F14" i="18"/>
  <c r="J125" i="18"/>
  <c r="F125" i="18"/>
  <c r="J407" i="18"/>
  <c r="F407" i="18"/>
  <c r="F246" i="18"/>
  <c r="J246" i="18"/>
  <c r="J120" i="18"/>
  <c r="F120" i="18"/>
  <c r="J203" i="18"/>
  <c r="F203" i="18"/>
  <c r="F503" i="18"/>
  <c r="J503" i="18"/>
  <c r="J194" i="18"/>
  <c r="F194" i="18"/>
  <c r="F297" i="18"/>
  <c r="J297" i="18"/>
  <c r="J420" i="18"/>
  <c r="F420" i="18"/>
  <c r="J249" i="18"/>
  <c r="F249" i="18"/>
  <c r="J493" i="18"/>
  <c r="F493" i="18"/>
  <c r="F438" i="18"/>
  <c r="J438" i="18"/>
  <c r="F126" i="18"/>
  <c r="J126" i="18"/>
  <c r="F148" i="18"/>
  <c r="J148" i="18"/>
  <c r="J305" i="18"/>
  <c r="F305" i="18"/>
  <c r="J166" i="18"/>
  <c r="F166" i="18"/>
  <c r="J227" i="18"/>
  <c r="F227" i="18"/>
  <c r="J499" i="18"/>
  <c r="F499" i="18"/>
  <c r="J113" i="18"/>
  <c r="F113" i="18"/>
  <c r="F121" i="18"/>
  <c r="J121" i="18"/>
  <c r="J372" i="18"/>
  <c r="F372" i="18"/>
  <c r="F446" i="18"/>
  <c r="J446" i="18"/>
  <c r="J208" i="18"/>
  <c r="F208" i="18"/>
  <c r="F365" i="18"/>
  <c r="J365" i="18"/>
  <c r="F45" i="18"/>
  <c r="J45" i="18"/>
  <c r="F100" i="18"/>
  <c r="J100" i="18"/>
  <c r="J2" i="18"/>
  <c r="F2" i="18"/>
  <c r="F376" i="18"/>
  <c r="J376" i="18"/>
  <c r="J490" i="18"/>
  <c r="F490" i="18"/>
  <c r="F48" i="18"/>
  <c r="J48" i="18"/>
  <c r="F442" i="18"/>
  <c r="J442" i="18"/>
  <c r="F298" i="18"/>
  <c r="J298" i="18"/>
  <c r="J483" i="18"/>
  <c r="F483" i="18"/>
  <c r="F264" i="18"/>
  <c r="J264" i="18"/>
  <c r="J192" i="18"/>
  <c r="F192" i="18"/>
  <c r="F395" i="18"/>
  <c r="J395" i="18"/>
  <c r="J439" i="18"/>
  <c r="F439" i="18"/>
  <c r="F145" i="18"/>
  <c r="J145" i="18"/>
  <c r="J15" i="18"/>
  <c r="F15" i="18"/>
  <c r="J115" i="18"/>
  <c r="F115" i="18"/>
  <c r="J412" i="18"/>
  <c r="F412" i="18"/>
  <c r="F240" i="18"/>
  <c r="J240" i="18"/>
  <c r="F256" i="18"/>
  <c r="J256" i="18"/>
  <c r="F117" i="18"/>
  <c r="J117" i="18"/>
  <c r="F198" i="18"/>
  <c r="J198" i="18"/>
  <c r="J12" i="18"/>
  <c r="F12" i="18"/>
  <c r="F362" i="18"/>
  <c r="J362" i="18"/>
  <c r="J57" i="18"/>
  <c r="F57" i="18"/>
  <c r="F242" i="18"/>
  <c r="J242" i="18"/>
  <c r="F232" i="18"/>
  <c r="J232" i="18"/>
  <c r="J255" i="18"/>
  <c r="F255" i="18"/>
  <c r="J155" i="18"/>
  <c r="F155" i="18"/>
  <c r="J199" i="18"/>
  <c r="F199" i="18"/>
  <c r="J4" i="18"/>
  <c r="F4" i="18"/>
  <c r="J480" i="18"/>
  <c r="F480" i="18"/>
  <c r="F457" i="18"/>
  <c r="J457" i="18"/>
  <c r="F266" i="18"/>
  <c r="J266" i="18"/>
  <c r="J303" i="18"/>
  <c r="F303" i="18"/>
  <c r="J263" i="18"/>
  <c r="F263" i="18"/>
  <c r="J444" i="18"/>
  <c r="F444" i="18"/>
  <c r="J10" i="18"/>
  <c r="F10" i="18"/>
  <c r="F369" i="18"/>
  <c r="J369" i="18"/>
  <c r="F414" i="18"/>
  <c r="J414" i="18"/>
  <c r="J495" i="18"/>
  <c r="F495" i="18"/>
  <c r="F114" i="18"/>
  <c r="J114" i="18"/>
  <c r="F479" i="18"/>
  <c r="J479" i="18"/>
  <c r="J167" i="18"/>
  <c r="F167" i="18"/>
  <c r="J241" i="18"/>
  <c r="F241" i="18"/>
  <c r="F498" i="18"/>
  <c r="J498" i="18"/>
  <c r="F144" i="18"/>
  <c r="J144" i="18"/>
  <c r="F190" i="18"/>
  <c r="J190" i="18"/>
  <c r="F201" i="18"/>
  <c r="J201" i="18"/>
  <c r="F402" i="18"/>
  <c r="J402" i="18"/>
  <c r="F8" i="18"/>
  <c r="J8" i="18"/>
  <c r="J353" i="18"/>
  <c r="F353" i="18"/>
  <c r="J410" i="18"/>
  <c r="F410" i="18"/>
  <c r="F47" i="18"/>
  <c r="J47" i="18"/>
  <c r="J243" i="18"/>
  <c r="F243" i="18"/>
  <c r="J106" i="18"/>
  <c r="F106" i="18"/>
  <c r="J196" i="18"/>
  <c r="F196" i="18"/>
  <c r="J302" i="18"/>
  <c r="F302" i="18"/>
  <c r="J496" i="18"/>
  <c r="F496" i="18"/>
  <c r="F455" i="18"/>
  <c r="J455" i="18"/>
  <c r="F306" i="18"/>
  <c r="J306" i="18"/>
  <c r="F374" i="18"/>
  <c r="J374" i="18"/>
  <c r="J257" i="18"/>
  <c r="F257" i="18"/>
  <c r="J418" i="18"/>
  <c r="F418" i="18"/>
  <c r="J147" i="18"/>
  <c r="F147" i="18"/>
  <c r="J375" i="18"/>
  <c r="F375" i="18"/>
  <c r="J160" i="18"/>
  <c r="F160" i="18"/>
  <c r="J205" i="18"/>
  <c r="F205" i="18"/>
  <c r="F186" i="18"/>
  <c r="J186" i="18"/>
  <c r="J502" i="18"/>
  <c r="F502" i="18"/>
  <c r="F265" i="18"/>
  <c r="J265" i="18"/>
  <c r="F153" i="18"/>
  <c r="J153" i="18"/>
  <c r="J55" i="18"/>
  <c r="F55" i="18"/>
  <c r="J119" i="18"/>
  <c r="F119" i="18"/>
  <c r="F142" i="18"/>
  <c r="J142" i="18"/>
  <c r="J421" i="18"/>
  <c r="F421" i="18"/>
  <c r="J489" i="18"/>
  <c r="F489" i="18"/>
  <c r="J411" i="18"/>
  <c r="F411" i="18"/>
  <c r="F487" i="18"/>
  <c r="J487" i="18"/>
  <c r="F501" i="18"/>
  <c r="J501" i="18"/>
  <c r="J404" i="18"/>
  <c r="F404" i="18"/>
  <c r="F360" i="18"/>
  <c r="J360" i="18"/>
  <c r="F251" i="18"/>
  <c r="J251" i="18"/>
  <c r="F437" i="18"/>
  <c r="J437" i="18"/>
  <c r="J3" i="18"/>
  <c r="F3" i="18"/>
  <c r="F168" i="18"/>
  <c r="J168" i="18"/>
  <c r="F254" i="18"/>
  <c r="J254" i="18"/>
  <c r="J184" i="18"/>
  <c r="F184" i="18"/>
  <c r="F494" i="18"/>
  <c r="J494" i="18"/>
  <c r="J206" i="18"/>
  <c r="F206" i="18"/>
  <c r="F491" i="18"/>
  <c r="J491" i="18"/>
  <c r="F157" i="18"/>
  <c r="J157" i="18"/>
  <c r="J448" i="18"/>
  <c r="F448" i="18"/>
  <c r="F403" i="18"/>
  <c r="J403" i="18"/>
  <c r="J163" i="18"/>
  <c r="F163" i="18"/>
  <c r="J267" i="18"/>
  <c r="F267" i="18"/>
  <c r="F9" i="18"/>
  <c r="J9" i="18"/>
  <c r="J352" i="18"/>
  <c r="F352" i="18"/>
  <c r="F169" i="18"/>
  <c r="J169" i="18"/>
  <c r="J53" i="18"/>
  <c r="F53" i="18"/>
  <c r="J445" i="18"/>
  <c r="F445" i="18"/>
  <c r="F454" i="18"/>
  <c r="J454" i="18"/>
  <c r="F158" i="18"/>
  <c r="J158" i="18"/>
  <c r="F413" i="18"/>
  <c r="J413" i="18"/>
  <c r="F49" i="18"/>
  <c r="J49" i="18"/>
  <c r="F239" i="18"/>
  <c r="J239" i="18"/>
  <c r="J189" i="18"/>
  <c r="F189" i="18"/>
  <c r="J13" i="18"/>
  <c r="F13" i="18"/>
  <c r="J355" i="18"/>
  <c r="F355" i="18"/>
  <c r="J486" i="18"/>
  <c r="F486" i="18"/>
  <c r="J231" i="18"/>
  <c r="F231" i="18"/>
  <c r="F210" i="18"/>
  <c r="J210" i="18"/>
  <c r="J299" i="18"/>
  <c r="F299" i="18"/>
  <c r="F500" i="18"/>
  <c r="J500" i="18"/>
  <c r="J103" i="18"/>
  <c r="F103" i="18"/>
  <c r="F211" i="18"/>
  <c r="J211" i="18"/>
  <c r="J366" i="18"/>
  <c r="F366" i="18"/>
  <c r="J161" i="18"/>
  <c r="F161" i="18"/>
  <c r="J460" i="18"/>
  <c r="F460" i="18"/>
  <c r="J146" i="18"/>
  <c r="F146" i="18"/>
  <c r="J209" i="18"/>
  <c r="F209" i="18"/>
  <c r="J405" i="18"/>
  <c r="F405" i="18"/>
  <c r="F417" i="18"/>
  <c r="J417" i="18"/>
  <c r="J50" i="18"/>
  <c r="F50" i="18"/>
  <c r="F253" i="18"/>
  <c r="J253" i="18"/>
  <c r="F228" i="18"/>
  <c r="J228" i="18"/>
  <c r="F127" i="18"/>
  <c r="J127" i="18"/>
  <c r="F398" i="18"/>
  <c r="J398" i="18"/>
  <c r="J154" i="18"/>
  <c r="F154" i="18"/>
  <c r="J54" i="18"/>
  <c r="F54" i="18"/>
  <c r="F244" i="18"/>
  <c r="J244" i="18"/>
  <c r="J108" i="18"/>
  <c r="F108" i="18"/>
  <c r="J296" i="18"/>
  <c r="F296" i="18"/>
  <c r="J11" i="18"/>
  <c r="F11" i="18"/>
  <c r="F238" i="18"/>
  <c r="J238" i="18"/>
  <c r="F453" i="18"/>
  <c r="J453" i="18"/>
  <c r="F7" i="18"/>
  <c r="J7" i="18"/>
  <c r="J354" i="18"/>
  <c r="F354" i="18"/>
  <c r="Q44" i="66" l="1"/>
  <c r="E488" i="58" l="1"/>
  <c r="E488" i="37"/>
  <c r="E488" i="41" s="1"/>
  <c r="E487" i="37"/>
  <c r="E487" i="41" s="1"/>
  <c r="E487" i="58"/>
  <c r="G488" i="37"/>
  <c r="G488" i="41" s="1"/>
  <c r="G488" i="58"/>
  <c r="G487" i="37"/>
  <c r="G487" i="41" s="1"/>
  <c r="G487" i="58"/>
  <c r="G495" i="58" l="1"/>
  <c r="G495" i="37"/>
  <c r="G495" i="41" s="1"/>
  <c r="E496" i="58"/>
  <c r="E496" i="37"/>
  <c r="E496" i="41" s="1"/>
  <c r="G496" i="58"/>
  <c r="G496" i="37"/>
  <c r="G496" i="41" s="1"/>
  <c r="E497" i="37"/>
  <c r="E497" i="41" s="1"/>
  <c r="E497" i="58"/>
  <c r="G497" i="58"/>
  <c r="G497" i="37"/>
  <c r="G497" i="41" s="1"/>
  <c r="E495" i="58"/>
  <c r="E495" i="37"/>
  <c r="E495" i="41" s="1"/>
  <c r="G335" i="18" l="1" a="1"/>
  <c r="G335" i="18" s="1"/>
  <c r="G314" i="18" a="1"/>
  <c r="G314" i="18" s="1"/>
  <c r="G293" i="18" a="1"/>
  <c r="G293" i="18" s="1"/>
  <c r="G272" i="18" a="1"/>
  <c r="G272" i="18" s="1"/>
  <c r="H137" i="35" a="1"/>
  <c r="H137" i="35" s="1"/>
  <c r="H94" i="35" a="1"/>
  <c r="H94" i="35" s="1"/>
  <c r="I93" i="35" a="1"/>
  <c r="I93" i="35" s="1"/>
  <c r="I141" i="35" a="1"/>
  <c r="I141" i="35" s="1"/>
  <c r="I90" i="35" a="1"/>
  <c r="I90" i="35" s="1"/>
  <c r="G319" i="18" a="1"/>
  <c r="G319" i="18" s="1"/>
  <c r="G313" i="18" a="1"/>
  <c r="G313" i="18" s="1"/>
  <c r="G268" i="18" a="1"/>
  <c r="G268" i="18" s="1"/>
  <c r="I138" i="35" a="1"/>
  <c r="I138" i="35" s="1"/>
  <c r="I133" i="35" a="1"/>
  <c r="I133" i="35" s="1"/>
  <c r="H136" i="35" a="1"/>
  <c r="H136" i="35" s="1"/>
  <c r="G269" i="18" a="1"/>
  <c r="G269" i="18" s="1"/>
  <c r="H93" i="35" a="1"/>
  <c r="H93" i="35" s="1"/>
  <c r="H87" i="35" a="1"/>
  <c r="H87" i="35" s="1"/>
  <c r="G270" i="18" a="1"/>
  <c r="G270" i="18" s="1"/>
  <c r="H97" i="35" a="1"/>
  <c r="H97" i="35" s="1"/>
  <c r="G276" i="18" a="1"/>
  <c r="G276" i="18" s="1"/>
  <c r="G273" i="18" a="1"/>
  <c r="G273" i="18" s="1"/>
  <c r="H88" i="35" a="1"/>
  <c r="H88" i="35" s="1"/>
  <c r="H98" i="35" a="1"/>
  <c r="H98" i="35" s="1"/>
  <c r="H99" i="35" a="1"/>
  <c r="H99" i="35" s="1"/>
  <c r="G278" i="18" a="1"/>
  <c r="G278" i="18" s="1"/>
  <c r="G315" i="18" a="1"/>
  <c r="G315" i="18" s="1"/>
  <c r="G317" i="18" a="1"/>
  <c r="G317" i="18" s="1"/>
  <c r="H138" i="35" a="1"/>
  <c r="H138" i="35" s="1"/>
  <c r="G321" i="18" a="1"/>
  <c r="G321" i="18" s="1"/>
  <c r="G310" i="18" a="1"/>
  <c r="G310" i="18" s="1"/>
  <c r="H89" i="35" a="1"/>
  <c r="H89" i="35" s="1"/>
  <c r="I132" i="35" a="1"/>
  <c r="I132" i="35" s="1"/>
  <c r="G294" i="18" a="1"/>
  <c r="G294" i="18" s="1"/>
  <c r="I91" i="35" a="1"/>
  <c r="I91" i="35" s="1"/>
  <c r="I87" i="35" a="1"/>
  <c r="I87" i="35" s="1"/>
  <c r="I95" i="35" a="1"/>
  <c r="I95" i="35" s="1"/>
  <c r="I88" i="35" a="1"/>
  <c r="I88" i="35" s="1"/>
  <c r="G290" i="18" a="1"/>
  <c r="G290" i="18" s="1"/>
  <c r="G284" i="18" a="1"/>
  <c r="G284" i="18" s="1"/>
  <c r="G283" i="18" a="1"/>
  <c r="G283" i="18" s="1"/>
  <c r="G295" i="18" a="1"/>
  <c r="G295" i="18" s="1"/>
  <c r="I47" i="20"/>
  <c r="G286" i="18" a="1"/>
  <c r="G286" i="18" s="1"/>
  <c r="I99" i="35" a="1"/>
  <c r="I99" i="35" s="1"/>
  <c r="I89" i="35" a="1"/>
  <c r="I89" i="35" s="1"/>
  <c r="G285" i="18" a="1"/>
  <c r="G285" i="18" s="1"/>
  <c r="I98" i="35" a="1"/>
  <c r="I98" i="35" s="1"/>
  <c r="H92" i="35" a="1"/>
  <c r="H92" i="35" s="1"/>
  <c r="H95" i="35" a="1"/>
  <c r="H95" i="35" s="1"/>
  <c r="E459" i="37"/>
  <c r="E459" i="41" s="1"/>
  <c r="E459" i="58"/>
  <c r="G461" i="37"/>
  <c r="G461" i="41" s="1"/>
  <c r="G461" i="58"/>
  <c r="E461" i="37"/>
  <c r="E461" i="41" s="1"/>
  <c r="E461" i="58"/>
  <c r="G459" i="37"/>
  <c r="G459" i="41" s="1"/>
  <c r="G459" i="58"/>
  <c r="G287" i="18" l="1" a="1"/>
  <c r="G287" i="18" s="1"/>
  <c r="H287" i="18" s="1"/>
  <c r="H129" i="35" a="1"/>
  <c r="H129" i="35" s="1"/>
  <c r="G274" i="18" a="1"/>
  <c r="G274" i="18" s="1"/>
  <c r="I274" i="18" s="1"/>
  <c r="H141" i="35" a="1"/>
  <c r="H141" i="35" s="1"/>
  <c r="I100" i="35" a="1"/>
  <c r="I100" i="35" s="1"/>
  <c r="I96" i="35" a="1"/>
  <c r="I96" i="35" s="1"/>
  <c r="G324" i="18" a="1"/>
  <c r="G324" i="18" s="1"/>
  <c r="H324" i="18" s="1"/>
  <c r="F47" i="20"/>
  <c r="G277" i="18" a="1"/>
  <c r="G277" i="18" s="1"/>
  <c r="H277" i="18" s="1"/>
  <c r="G271" i="18" a="1"/>
  <c r="G271" i="18" s="1"/>
  <c r="H271" i="18" s="1"/>
  <c r="I129" i="35" a="1"/>
  <c r="I129" i="35" s="1"/>
  <c r="G288" i="18" a="1"/>
  <c r="G288" i="18" s="1"/>
  <c r="H288" i="18" s="1"/>
  <c r="G336" i="18" a="1"/>
  <c r="G336" i="18" s="1"/>
  <c r="H336" i="18" s="1"/>
  <c r="H133" i="35" a="1"/>
  <c r="H133" i="35" s="1"/>
  <c r="I139" i="35" a="1"/>
  <c r="I139" i="35" s="1"/>
  <c r="G337" i="18" a="1"/>
  <c r="G337" i="18" s="1"/>
  <c r="H337" i="18" s="1"/>
  <c r="G328" i="18" a="1"/>
  <c r="G328" i="18" s="1"/>
  <c r="H328" i="18" s="1"/>
  <c r="G323" i="18" a="1"/>
  <c r="G323" i="18" s="1"/>
  <c r="I323" i="18" s="1"/>
  <c r="H100" i="35" a="1"/>
  <c r="H100" i="35" s="1"/>
  <c r="O47" i="20"/>
  <c r="G327" i="18" a="1"/>
  <c r="G327" i="18" s="1"/>
  <c r="H327" i="18" s="1"/>
  <c r="H96" i="35" a="1"/>
  <c r="H96" i="35" s="1"/>
  <c r="G280" i="18" a="1"/>
  <c r="G280" i="18" s="1"/>
  <c r="I280" i="18" s="1"/>
  <c r="G275" i="18" a="1"/>
  <c r="G275" i="18" s="1"/>
  <c r="H275" i="18" s="1"/>
  <c r="I142" i="35" a="1"/>
  <c r="I142" i="35" s="1"/>
  <c r="G279" i="18" a="1"/>
  <c r="G279" i="18" s="1"/>
  <c r="I279" i="18" s="1"/>
  <c r="G289" i="18" a="1"/>
  <c r="G289" i="18" s="1"/>
  <c r="I289" i="18" s="1"/>
  <c r="I97" i="35" a="1"/>
  <c r="I97" i="35" s="1"/>
  <c r="I314" i="18"/>
  <c r="H314" i="18"/>
  <c r="H272" i="18"/>
  <c r="I272" i="18"/>
  <c r="H293" i="18"/>
  <c r="I293" i="18"/>
  <c r="H285" i="18"/>
  <c r="I285" i="18"/>
  <c r="H268" i="18"/>
  <c r="I268" i="18"/>
  <c r="G329" i="18" a="1"/>
  <c r="G329" i="18" s="1"/>
  <c r="G326" i="18" a="1"/>
  <c r="G326" i="18" s="1"/>
  <c r="I136" i="35" a="1"/>
  <c r="I136" i="35" s="1"/>
  <c r="I140" i="35" a="1"/>
  <c r="I140" i="35" s="1"/>
  <c r="I131" i="35" a="1"/>
  <c r="I131" i="35" s="1"/>
  <c r="I134" i="35" a="1"/>
  <c r="I134" i="35" s="1"/>
  <c r="G331" i="18" a="1"/>
  <c r="G331" i="18" s="1"/>
  <c r="G332" i="18" a="1"/>
  <c r="G332" i="18" s="1"/>
  <c r="G330" i="18" a="1"/>
  <c r="G330" i="18" s="1"/>
  <c r="I130" i="35" a="1"/>
  <c r="I130" i="35" s="1"/>
  <c r="G334" i="18" a="1"/>
  <c r="G334" i="18" s="1"/>
  <c r="G333" i="18" a="1"/>
  <c r="G333" i="18" s="1"/>
  <c r="H140" i="35" a="1"/>
  <c r="H140" i="35" s="1"/>
  <c r="I270" i="18"/>
  <c r="H270" i="18"/>
  <c r="G325" i="18" a="1"/>
  <c r="G325" i="18" s="1"/>
  <c r="I294" i="18"/>
  <c r="H294" i="18"/>
  <c r="I286" i="18"/>
  <c r="H286" i="18"/>
  <c r="I335" i="18"/>
  <c r="H335" i="18"/>
  <c r="I135" i="35" a="1"/>
  <c r="I135" i="35" s="1"/>
  <c r="H295" i="18"/>
  <c r="I295" i="18"/>
  <c r="H283" i="18"/>
  <c r="I283" i="18"/>
  <c r="I278" i="18"/>
  <c r="H278" i="18"/>
  <c r="I269" i="18"/>
  <c r="H269" i="18"/>
  <c r="H55" i="35" a="1"/>
  <c r="H55" i="35" s="1"/>
  <c r="G64" i="18" a="1"/>
  <c r="G64" i="18" s="1"/>
  <c r="G62" i="18" a="1"/>
  <c r="G62" i="18" s="1"/>
  <c r="R47" i="20"/>
  <c r="I284" i="18"/>
  <c r="H284" i="18"/>
  <c r="H310" i="18"/>
  <c r="I310" i="18"/>
  <c r="H132" i="35" a="1"/>
  <c r="H132" i="35" s="1"/>
  <c r="H290" i="18"/>
  <c r="I290" i="18"/>
  <c r="I321" i="18"/>
  <c r="H321" i="18"/>
  <c r="G63" i="18" a="1"/>
  <c r="G63" i="18" s="1"/>
  <c r="I317" i="18"/>
  <c r="H317" i="18"/>
  <c r="H273" i="18"/>
  <c r="I273" i="18"/>
  <c r="I313" i="18"/>
  <c r="H313" i="18"/>
  <c r="G281" i="18" a="1"/>
  <c r="G281" i="18" s="1"/>
  <c r="H91" i="35" a="1"/>
  <c r="H91" i="35" s="1"/>
  <c r="H276" i="18"/>
  <c r="I276" i="18"/>
  <c r="I319" i="18"/>
  <c r="H319" i="18"/>
  <c r="I94" i="35" a="1"/>
  <c r="I94" i="35" s="1"/>
  <c r="G291" i="18" a="1"/>
  <c r="G291" i="18" s="1"/>
  <c r="I92" i="35" a="1"/>
  <c r="I92" i="35" s="1"/>
  <c r="G282" i="18" a="1"/>
  <c r="G282" i="18" s="1"/>
  <c r="H90" i="35" a="1"/>
  <c r="H90" i="35" s="1"/>
  <c r="G292" i="18" a="1"/>
  <c r="G292" i="18" s="1"/>
  <c r="H315" i="18"/>
  <c r="I315" i="18"/>
  <c r="H51" i="35" a="1"/>
  <c r="H51" i="35" s="1"/>
  <c r="H142" i="35" a="1"/>
  <c r="H142" i="35" s="1"/>
  <c r="H130" i="35" a="1"/>
  <c r="H130" i="35" s="1"/>
  <c r="G316" i="18" a="1"/>
  <c r="G316" i="18" s="1"/>
  <c r="H139" i="35" a="1"/>
  <c r="H139" i="35" s="1"/>
  <c r="G312" i="18" a="1"/>
  <c r="G312" i="18" s="1"/>
  <c r="H135" i="35" a="1"/>
  <c r="H135" i="35" s="1"/>
  <c r="G311" i="18" a="1"/>
  <c r="G311" i="18" s="1"/>
  <c r="G318" i="18" a="1"/>
  <c r="G318" i="18" s="1"/>
  <c r="G322" i="18" a="1"/>
  <c r="G322" i="18" s="1"/>
  <c r="G320" i="18" a="1"/>
  <c r="G320" i="18" s="1"/>
  <c r="H131" i="35" a="1"/>
  <c r="H131" i="35" s="1"/>
  <c r="H134" i="35" a="1"/>
  <c r="H134" i="35" s="1"/>
  <c r="I137" i="35" a="1"/>
  <c r="I137" i="35" s="1"/>
  <c r="E6" i="58"/>
  <c r="E6" i="37"/>
  <c r="E6" i="41" s="1"/>
  <c r="E428" i="58"/>
  <c r="E428" i="37"/>
  <c r="E428" i="41" s="1"/>
  <c r="G428" i="58"/>
  <c r="G428" i="37"/>
  <c r="G428" i="41" s="1"/>
  <c r="H435" i="58"/>
  <c r="G6" i="58"/>
  <c r="G6" i="37"/>
  <c r="G6" i="41" s="1"/>
  <c r="H439" i="58"/>
  <c r="H431" i="58"/>
  <c r="G68" i="18" l="1" a="1"/>
  <c r="G68" i="18" s="1"/>
  <c r="H68" i="18" s="1"/>
  <c r="G70" i="18" a="1"/>
  <c r="G70" i="18" s="1"/>
  <c r="H70" i="18" s="1"/>
  <c r="O20" i="20"/>
  <c r="H49" i="35" a="1"/>
  <c r="H49" i="35" s="1"/>
  <c r="I187" i="37" s="1"/>
  <c r="G16" i="18" a="1"/>
  <c r="G16" i="18" s="1"/>
  <c r="I16" i="18" s="1"/>
  <c r="G61" i="18" a="1"/>
  <c r="G61" i="18" s="1"/>
  <c r="I61" i="18" s="1"/>
  <c r="H57" i="35" a="1"/>
  <c r="H57" i="35" s="1"/>
  <c r="G69" i="18" a="1"/>
  <c r="G69" i="18" s="1"/>
  <c r="H69" i="18" s="1"/>
  <c r="I358" i="37"/>
  <c r="H15" i="35" a="1"/>
  <c r="H15" i="35" s="1"/>
  <c r="H6" i="35" a="1"/>
  <c r="H6" i="35" s="1"/>
  <c r="H48" i="35" a="1"/>
  <c r="H48" i="35" s="1"/>
  <c r="I288" i="18"/>
  <c r="J288" i="18" s="1"/>
  <c r="G58" i="18" a="1"/>
  <c r="G58" i="18" s="1"/>
  <c r="H58" i="18" s="1"/>
  <c r="I277" i="18"/>
  <c r="J277" i="18" s="1"/>
  <c r="H4" i="35" a="1"/>
  <c r="H4" i="35" s="1"/>
  <c r="G28" i="18" a="1"/>
  <c r="G28" i="18" s="1"/>
  <c r="H28" i="18" s="1"/>
  <c r="H5" i="35" a="1"/>
  <c r="H5" i="35" s="1"/>
  <c r="H8" i="35" a="1"/>
  <c r="H8" i="35" s="1"/>
  <c r="G27" i="18" a="1"/>
  <c r="G27" i="18" s="1"/>
  <c r="H27" i="18" s="1"/>
  <c r="H58" i="35" a="1"/>
  <c r="H58" i="35" s="1"/>
  <c r="G24" i="18" a="1"/>
  <c r="G24" i="18" s="1"/>
  <c r="H24" i="18" s="1"/>
  <c r="H274" i="18"/>
  <c r="J274" i="18" s="1"/>
  <c r="I271" i="18"/>
  <c r="F271" i="18" s="1"/>
  <c r="G60" i="18" a="1"/>
  <c r="G60" i="18" s="1"/>
  <c r="H60" i="18" s="1"/>
  <c r="H56" i="35" a="1"/>
  <c r="H56" i="35" s="1"/>
  <c r="I328" i="18"/>
  <c r="F328" i="18" s="1"/>
  <c r="H47" i="35" a="1"/>
  <c r="H47" i="35" s="1"/>
  <c r="G25" i="18" a="1"/>
  <c r="G25" i="18" s="1"/>
  <c r="H25" i="18" s="1"/>
  <c r="G59" i="18" a="1"/>
  <c r="G59" i="18" s="1"/>
  <c r="H59" i="18" s="1"/>
  <c r="H13" i="35" a="1"/>
  <c r="H13" i="35" s="1"/>
  <c r="G71" i="18" a="1"/>
  <c r="G71" i="18" s="1"/>
  <c r="H71" i="18" s="1"/>
  <c r="G18" i="18" a="1"/>
  <c r="G18" i="18" s="1"/>
  <c r="H18" i="18" s="1"/>
  <c r="G67" i="18" a="1"/>
  <c r="G67" i="18" s="1"/>
  <c r="I67" i="18" s="1"/>
  <c r="F67" i="18" s="1"/>
  <c r="G17" i="18" a="1"/>
  <c r="G17" i="18" s="1"/>
  <c r="H17" i="18" s="1"/>
  <c r="H45" i="35" a="1"/>
  <c r="H45" i="35" s="1"/>
  <c r="H9" i="35" a="1"/>
  <c r="H9" i="35" s="1"/>
  <c r="H12" i="35" a="1"/>
  <c r="H12" i="35" s="1"/>
  <c r="G66" i="18" a="1"/>
  <c r="G66" i="18" s="1"/>
  <c r="I66" i="18" s="1"/>
  <c r="F66" i="18" s="1"/>
  <c r="H50" i="35" a="1"/>
  <c r="H50" i="35" s="1"/>
  <c r="G65" i="18" a="1"/>
  <c r="G65" i="18" s="1"/>
  <c r="I65" i="18" s="1"/>
  <c r="F65" i="18" s="1"/>
  <c r="H46" i="35" a="1"/>
  <c r="H46" i="35" s="1"/>
  <c r="H54" i="35" a="1"/>
  <c r="H54" i="35" s="1"/>
  <c r="H53" i="35" a="1"/>
  <c r="H53" i="35" s="1"/>
  <c r="H52" i="35" a="1"/>
  <c r="H52" i="35" s="1"/>
  <c r="F20" i="20"/>
  <c r="G22" i="18" a="1"/>
  <c r="G22" i="18" s="1"/>
  <c r="H11" i="35" a="1"/>
  <c r="H11" i="35" s="1"/>
  <c r="H10" i="35" a="1"/>
  <c r="H10" i="35" s="1"/>
  <c r="H16" i="35" a="1"/>
  <c r="H16" i="35" s="1"/>
  <c r="H7" i="35" a="1"/>
  <c r="H7" i="35" s="1"/>
  <c r="G26" i="18" a="1"/>
  <c r="G26" i="18" s="1"/>
  <c r="H3" i="35" a="1"/>
  <c r="H3" i="35" s="1"/>
  <c r="H14" i="35" a="1"/>
  <c r="H14" i="35" s="1"/>
  <c r="G20" i="18" a="1"/>
  <c r="G20" i="18" s="1"/>
  <c r="G21" i="18" a="1"/>
  <c r="G21" i="18" s="1"/>
  <c r="G23" i="18" a="1"/>
  <c r="G23" i="18" s="1"/>
  <c r="G19" i="18" a="1"/>
  <c r="G19" i="18" s="1"/>
  <c r="G82" i="18" a="1"/>
  <c r="G82" i="18" s="1"/>
  <c r="I7" i="35" a="1"/>
  <c r="I7" i="35" s="1"/>
  <c r="G29" i="18" a="1"/>
  <c r="G29" i="18" s="1"/>
  <c r="I287" i="18"/>
  <c r="J287" i="18" s="1"/>
  <c r="H280" i="18"/>
  <c r="J280" i="18" s="1"/>
  <c r="H323" i="18"/>
  <c r="J323" i="18" s="1"/>
  <c r="I336" i="18"/>
  <c r="J336" i="18" s="1"/>
  <c r="H279" i="18"/>
  <c r="J279" i="18" s="1"/>
  <c r="I327" i="18"/>
  <c r="J327" i="18" s="1"/>
  <c r="I275" i="18"/>
  <c r="J275" i="18" s="1"/>
  <c r="I324" i="18"/>
  <c r="F324" i="18" s="1"/>
  <c r="I337" i="18"/>
  <c r="J337" i="18" s="1"/>
  <c r="H289" i="18"/>
  <c r="J289" i="18" s="1"/>
  <c r="I322" i="18"/>
  <c r="H322" i="18"/>
  <c r="H318" i="18"/>
  <c r="I318" i="18"/>
  <c r="J317" i="18"/>
  <c r="F317" i="18"/>
  <c r="H311" i="18"/>
  <c r="I311" i="18"/>
  <c r="F323" i="18"/>
  <c r="J335" i="18"/>
  <c r="F335" i="18"/>
  <c r="F280" i="18"/>
  <c r="F279" i="18"/>
  <c r="J285" i="18"/>
  <c r="F285" i="18"/>
  <c r="H320" i="18"/>
  <c r="I320" i="18"/>
  <c r="I312" i="18"/>
  <c r="H312" i="18"/>
  <c r="F274" i="18"/>
  <c r="F289" i="18"/>
  <c r="I316" i="18"/>
  <c r="H316" i="18"/>
  <c r="J315" i="18"/>
  <c r="F315" i="18"/>
  <c r="J270" i="18"/>
  <c r="F270" i="18"/>
  <c r="I326" i="18"/>
  <c r="H326" i="18"/>
  <c r="J293" i="18"/>
  <c r="F293" i="18"/>
  <c r="J319" i="18"/>
  <c r="F319" i="18"/>
  <c r="F313" i="18"/>
  <c r="J313" i="18"/>
  <c r="H62" i="18"/>
  <c r="I62" i="18"/>
  <c r="F269" i="18"/>
  <c r="J269" i="18"/>
  <c r="I329" i="18"/>
  <c r="H329" i="18"/>
  <c r="I292" i="18"/>
  <c r="H292" i="18"/>
  <c r="I63" i="18"/>
  <c r="H63" i="18"/>
  <c r="J321" i="18"/>
  <c r="F321" i="18"/>
  <c r="F310" i="18"/>
  <c r="J310" i="18"/>
  <c r="J295" i="18"/>
  <c r="F295" i="18"/>
  <c r="I333" i="18"/>
  <c r="H333" i="18"/>
  <c r="F272" i="18"/>
  <c r="J272" i="18"/>
  <c r="J290" i="18"/>
  <c r="F290" i="18"/>
  <c r="H64" i="18"/>
  <c r="I64" i="18"/>
  <c r="J278" i="18"/>
  <c r="F278" i="18"/>
  <c r="I334" i="18"/>
  <c r="H334" i="18"/>
  <c r="H282" i="18"/>
  <c r="I282" i="18"/>
  <c r="J276" i="18"/>
  <c r="F276" i="18"/>
  <c r="F273" i="18"/>
  <c r="J273" i="18"/>
  <c r="F283" i="18"/>
  <c r="J283" i="18"/>
  <c r="F286" i="18"/>
  <c r="J286" i="18"/>
  <c r="J294" i="18"/>
  <c r="F294" i="18"/>
  <c r="F284" i="18"/>
  <c r="J284" i="18"/>
  <c r="I325" i="18"/>
  <c r="H325" i="18"/>
  <c r="I330" i="18"/>
  <c r="H330" i="18"/>
  <c r="H291" i="18"/>
  <c r="I291" i="18"/>
  <c r="I332" i="18"/>
  <c r="H332" i="18"/>
  <c r="F268" i="18"/>
  <c r="J268" i="18"/>
  <c r="H281" i="18"/>
  <c r="I281" i="18"/>
  <c r="I331" i="18"/>
  <c r="H331" i="18"/>
  <c r="J314" i="18"/>
  <c r="F314" i="18"/>
  <c r="H439" i="41"/>
  <c r="H431" i="41"/>
  <c r="H435" i="41"/>
  <c r="I70" i="18" l="1"/>
  <c r="H16" i="18"/>
  <c r="I69" i="18"/>
  <c r="J69" i="18" s="1"/>
  <c r="H61" i="18"/>
  <c r="J61" i="18" s="1"/>
  <c r="I68" i="18"/>
  <c r="F68" i="18" s="1"/>
  <c r="I28" i="18"/>
  <c r="F28" i="18" s="1"/>
  <c r="I186" i="37"/>
  <c r="I188" i="37"/>
  <c r="I59" i="18"/>
  <c r="F59" i="18" s="1"/>
  <c r="I238" i="37"/>
  <c r="I142" i="37"/>
  <c r="I226" i="37"/>
  <c r="I185" i="37"/>
  <c r="I183" i="37"/>
  <c r="I184" i="37"/>
  <c r="I334" i="37"/>
  <c r="J185" i="37"/>
  <c r="J184" i="37"/>
  <c r="J183" i="37"/>
  <c r="I154" i="37"/>
  <c r="I346" i="37"/>
  <c r="I322" i="37"/>
  <c r="I25" i="18"/>
  <c r="J25" i="18" s="1"/>
  <c r="F288" i="18"/>
  <c r="I71" i="18"/>
  <c r="J71" i="18" s="1"/>
  <c r="I60" i="18"/>
  <c r="F60" i="18" s="1"/>
  <c r="J328" i="18"/>
  <c r="I18" i="18"/>
  <c r="J18" i="18" s="1"/>
  <c r="I27" i="18"/>
  <c r="F27" i="18" s="1"/>
  <c r="I58" i="18"/>
  <c r="J58" i="18" s="1"/>
  <c r="F277" i="18"/>
  <c r="J271" i="18"/>
  <c r="I24" i="18"/>
  <c r="F24" i="18" s="1"/>
  <c r="I17" i="18"/>
  <c r="J17" i="18" s="1"/>
  <c r="H66" i="18"/>
  <c r="J66" i="18" s="1"/>
  <c r="H65" i="18"/>
  <c r="J65" i="18" s="1"/>
  <c r="H67" i="18"/>
  <c r="J67" i="18" s="1"/>
  <c r="F336" i="18"/>
  <c r="I9" i="35" a="1"/>
  <c r="I9" i="35" s="1"/>
  <c r="F287" i="18"/>
  <c r="G38" i="18" a="1"/>
  <c r="G38" i="18" s="1"/>
  <c r="I38" i="18" s="1"/>
  <c r="I10" i="35" a="1"/>
  <c r="I10" i="35" s="1"/>
  <c r="I14" i="35" a="1"/>
  <c r="I14" i="35" s="1"/>
  <c r="I82" i="18"/>
  <c r="H82" i="18"/>
  <c r="I12" i="35" a="1"/>
  <c r="I12" i="35" s="1"/>
  <c r="H22" i="18"/>
  <c r="I22" i="18"/>
  <c r="G31" i="18" a="1"/>
  <c r="G31" i="18" s="1"/>
  <c r="I19" i="18"/>
  <c r="H19" i="18"/>
  <c r="I11" i="35" a="1"/>
  <c r="I11" i="35" s="1"/>
  <c r="H23" i="18"/>
  <c r="I23" i="18"/>
  <c r="I16" i="35" a="1"/>
  <c r="I16" i="35" s="1"/>
  <c r="G35" i="18" a="1"/>
  <c r="G35" i="18" s="1"/>
  <c r="I21" i="18"/>
  <c r="H21" i="18"/>
  <c r="I4" i="35" a="1"/>
  <c r="I4" i="35" s="1"/>
  <c r="I13" i="35" a="1"/>
  <c r="I13" i="35" s="1"/>
  <c r="I20" i="18"/>
  <c r="H20" i="18"/>
  <c r="H29" i="18"/>
  <c r="I29" i="18"/>
  <c r="I3" i="35" a="1"/>
  <c r="I3" i="35" s="1"/>
  <c r="G34" i="18" a="1"/>
  <c r="G34" i="18" s="1"/>
  <c r="G41" i="18" a="1"/>
  <c r="G41" i="18" s="1"/>
  <c r="G33" i="18" a="1"/>
  <c r="G33" i="18" s="1"/>
  <c r="I26" i="18"/>
  <c r="H26" i="18"/>
  <c r="G43" i="18" a="1"/>
  <c r="G43" i="18" s="1"/>
  <c r="I15" i="35" a="1"/>
  <c r="I15" i="35" s="1"/>
  <c r="G39" i="18" a="1"/>
  <c r="G39" i="18" s="1"/>
  <c r="I6" i="35" a="1"/>
  <c r="I6" i="35" s="1"/>
  <c r="G30" i="18" a="1"/>
  <c r="G30" i="18" s="1"/>
  <c r="I20" i="20"/>
  <c r="G32" i="18" a="1"/>
  <c r="G32" i="18" s="1"/>
  <c r="G37" i="18" a="1"/>
  <c r="G37" i="18" s="1"/>
  <c r="I50" i="35" a="1"/>
  <c r="I50" i="35" s="1"/>
  <c r="G78" i="18" a="1"/>
  <c r="G78" i="18" s="1"/>
  <c r="G79" i="18" a="1"/>
  <c r="G79" i="18" s="1"/>
  <c r="G83" i="18" a="1"/>
  <c r="G83" i="18" s="1"/>
  <c r="I51" i="35" a="1"/>
  <c r="I51" i="35" s="1"/>
  <c r="R20" i="20"/>
  <c r="I56" i="35" a="1"/>
  <c r="I56" i="35" s="1"/>
  <c r="I45" i="35" a="1"/>
  <c r="I45" i="35" s="1"/>
  <c r="G74" i="18" a="1"/>
  <c r="G74" i="18" s="1"/>
  <c r="G85" i="18" a="1"/>
  <c r="G85" i="18" s="1"/>
  <c r="I48" i="35" a="1"/>
  <c r="I48" i="35" s="1"/>
  <c r="G77" i="18" a="1"/>
  <c r="G77" i="18" s="1"/>
  <c r="G73" i="18" a="1"/>
  <c r="G73" i="18" s="1"/>
  <c r="G76" i="18" a="1"/>
  <c r="G76" i="18" s="1"/>
  <c r="I55" i="35" a="1"/>
  <c r="I55" i="35" s="1"/>
  <c r="I54" i="35" a="1"/>
  <c r="I54" i="35" s="1"/>
  <c r="I49" i="35" a="1"/>
  <c r="I49" i="35" s="1"/>
  <c r="I46" i="35" a="1"/>
  <c r="I46" i="35" s="1"/>
  <c r="I53" i="35" a="1"/>
  <c r="I53" i="35" s="1"/>
  <c r="I47" i="35" a="1"/>
  <c r="I47" i="35" s="1"/>
  <c r="G80" i="18" a="1"/>
  <c r="G80" i="18" s="1"/>
  <c r="G75" i="18" a="1"/>
  <c r="G75" i="18" s="1"/>
  <c r="I52" i="35" a="1"/>
  <c r="I52" i="35" s="1"/>
  <c r="I58" i="35" a="1"/>
  <c r="I58" i="35" s="1"/>
  <c r="G72" i="18" a="1"/>
  <c r="G72" i="18" s="1"/>
  <c r="G81" i="18" a="1"/>
  <c r="G81" i="18" s="1"/>
  <c r="I5" i="35" a="1"/>
  <c r="I5" i="35" s="1"/>
  <c r="I8" i="35" a="1"/>
  <c r="I8" i="35" s="1"/>
  <c r="G84" i="18" a="1"/>
  <c r="G84" i="18" s="1"/>
  <c r="G40" i="18" a="1"/>
  <c r="G40" i="18" s="1"/>
  <c r="G42" i="18" a="1"/>
  <c r="G42" i="18" s="1"/>
  <c r="I57" i="35" a="1"/>
  <c r="I57" i="35" s="1"/>
  <c r="G36" i="18" a="1"/>
  <c r="G36" i="18" s="1"/>
  <c r="F327" i="18"/>
  <c r="J324" i="18"/>
  <c r="F275" i="18"/>
  <c r="F337" i="18"/>
  <c r="F332" i="18"/>
  <c r="J332" i="18"/>
  <c r="J291" i="18"/>
  <c r="F291" i="18"/>
  <c r="F64" i="18"/>
  <c r="J64" i="18"/>
  <c r="F316" i="18"/>
  <c r="J316" i="18"/>
  <c r="J68" i="18"/>
  <c r="J326" i="18"/>
  <c r="F326" i="18"/>
  <c r="J333" i="18"/>
  <c r="F333" i="18"/>
  <c r="J62" i="18"/>
  <c r="F62" i="18"/>
  <c r="J311" i="18"/>
  <c r="F311" i="18"/>
  <c r="F330" i="18"/>
  <c r="J330" i="18"/>
  <c r="F61" i="18"/>
  <c r="F63" i="18"/>
  <c r="J63" i="18"/>
  <c r="J282" i="18"/>
  <c r="F282" i="18"/>
  <c r="F292" i="18"/>
  <c r="J292" i="18"/>
  <c r="J16" i="18"/>
  <c r="F16" i="18"/>
  <c r="F281" i="18"/>
  <c r="J281" i="18"/>
  <c r="F325" i="18"/>
  <c r="J325" i="18"/>
  <c r="J329" i="18"/>
  <c r="F329" i="18"/>
  <c r="F312" i="18"/>
  <c r="J312" i="18"/>
  <c r="J320" i="18"/>
  <c r="F320" i="18"/>
  <c r="F318" i="18"/>
  <c r="J318" i="18"/>
  <c r="J70" i="18"/>
  <c r="F70" i="18"/>
  <c r="J334" i="18"/>
  <c r="F334" i="18"/>
  <c r="F331" i="18"/>
  <c r="J331" i="18"/>
  <c r="F322" i="18"/>
  <c r="J322" i="18"/>
  <c r="I451" i="41"/>
  <c r="F69" i="18" l="1"/>
  <c r="J28" i="18"/>
  <c r="J27" i="18"/>
  <c r="J59" i="18"/>
  <c r="F25" i="18"/>
  <c r="F18" i="18"/>
  <c r="F71" i="18"/>
  <c r="J334" i="37"/>
  <c r="J346" i="37"/>
  <c r="J186" i="37"/>
  <c r="J187" i="37"/>
  <c r="J188" i="37"/>
  <c r="J226" i="37"/>
  <c r="J238" i="37"/>
  <c r="J322" i="37"/>
  <c r="J358" i="37"/>
  <c r="J154" i="37"/>
  <c r="J142" i="37"/>
  <c r="J60" i="18"/>
  <c r="F17" i="18"/>
  <c r="F58" i="18"/>
  <c r="J24" i="18"/>
  <c r="H38" i="18"/>
  <c r="J38" i="18" s="1"/>
  <c r="I32" i="18"/>
  <c r="H32" i="18"/>
  <c r="H41" i="18"/>
  <c r="I41" i="18"/>
  <c r="I75" i="18"/>
  <c r="H75" i="18"/>
  <c r="I85" i="18"/>
  <c r="H85" i="18"/>
  <c r="I34" i="18"/>
  <c r="H34" i="18"/>
  <c r="F23" i="18"/>
  <c r="J23" i="18"/>
  <c r="H36" i="18"/>
  <c r="I36" i="18"/>
  <c r="H80" i="18"/>
  <c r="I80" i="18"/>
  <c r="H74" i="18"/>
  <c r="I74" i="18"/>
  <c r="I30" i="18"/>
  <c r="H30" i="18"/>
  <c r="J29" i="18"/>
  <c r="F29" i="18"/>
  <c r="H42" i="18"/>
  <c r="I42" i="18"/>
  <c r="H39" i="18"/>
  <c r="I39" i="18"/>
  <c r="I40" i="18"/>
  <c r="H40" i="18"/>
  <c r="J19" i="18"/>
  <c r="F19" i="18"/>
  <c r="I84" i="18"/>
  <c r="H84" i="18"/>
  <c r="I43" i="18"/>
  <c r="H43" i="18"/>
  <c r="F20" i="18"/>
  <c r="J20" i="18"/>
  <c r="H31" i="18"/>
  <c r="I31" i="18"/>
  <c r="I83" i="18"/>
  <c r="H83" i="18"/>
  <c r="F22" i="18"/>
  <c r="J22" i="18"/>
  <c r="I79" i="18"/>
  <c r="H79" i="18"/>
  <c r="F26" i="18"/>
  <c r="J26" i="18"/>
  <c r="I76" i="18"/>
  <c r="H76" i="18"/>
  <c r="I78" i="18"/>
  <c r="H78" i="18"/>
  <c r="I33" i="18"/>
  <c r="H33" i="18"/>
  <c r="H72" i="18"/>
  <c r="I72" i="18"/>
  <c r="H73" i="18"/>
  <c r="I73" i="18"/>
  <c r="F38" i="18"/>
  <c r="F21" i="18"/>
  <c r="J21" i="18"/>
  <c r="H81" i="18"/>
  <c r="I81" i="18"/>
  <c r="I77" i="18"/>
  <c r="F77" i="18" s="1"/>
  <c r="H77" i="18"/>
  <c r="I37" i="18"/>
  <c r="H37" i="18"/>
  <c r="I35" i="18"/>
  <c r="H35" i="18"/>
  <c r="J82" i="18"/>
  <c r="F82" i="18"/>
  <c r="G183" i="58"/>
  <c r="G183" i="37"/>
  <c r="G183" i="41" s="1"/>
  <c r="G291" i="58"/>
  <c r="G291" i="37"/>
  <c r="G241" i="58"/>
  <c r="G241" i="37"/>
  <c r="G197" i="58"/>
  <c r="G197" i="37"/>
  <c r="E468" i="37"/>
  <c r="E468" i="41" s="1"/>
  <c r="E468" i="58"/>
  <c r="E398" i="37"/>
  <c r="E398" i="41" s="1"/>
  <c r="E398" i="58"/>
  <c r="E326" i="37"/>
  <c r="E326" i="41" s="1"/>
  <c r="E326" i="58"/>
  <c r="E262" i="58"/>
  <c r="E262" i="37"/>
  <c r="E262" i="41" s="1"/>
  <c r="E216" i="58"/>
  <c r="E216" i="37"/>
  <c r="E216" i="41" s="1"/>
  <c r="E96" i="58"/>
  <c r="E96" i="37"/>
  <c r="E96" i="41" s="1"/>
  <c r="G112" i="37"/>
  <c r="G112" i="41" s="1"/>
  <c r="G112" i="58"/>
  <c r="G188" i="58"/>
  <c r="G188" i="37"/>
  <c r="G188" i="41" s="1"/>
  <c r="G436" i="58"/>
  <c r="G436" i="37"/>
  <c r="G436" i="41" s="1"/>
  <c r="G454" i="37"/>
  <c r="G454" i="41" s="1"/>
  <c r="G454" i="58"/>
  <c r="G481" i="37"/>
  <c r="G481" i="41" s="1"/>
  <c r="G481" i="58"/>
  <c r="G410" i="58"/>
  <c r="G410" i="37"/>
  <c r="G386" i="37"/>
  <c r="G386" i="58"/>
  <c r="G360" i="37"/>
  <c r="J360" i="37" s="1"/>
  <c r="G360" i="58"/>
  <c r="G339" i="58"/>
  <c r="G339" i="37"/>
  <c r="G318" i="37"/>
  <c r="G318" i="58"/>
  <c r="G286" i="58"/>
  <c r="G286" i="37"/>
  <c r="G278" i="37"/>
  <c r="G278" i="58"/>
  <c r="G254" i="58"/>
  <c r="G254" i="37"/>
  <c r="G224" i="37"/>
  <c r="G224" i="58"/>
  <c r="G192" i="58"/>
  <c r="G192" i="37"/>
  <c r="G161" i="37"/>
  <c r="G161" i="58"/>
  <c r="E472" i="58"/>
  <c r="E472" i="37"/>
  <c r="E472" i="41" s="1"/>
  <c r="E435" i="58"/>
  <c r="E435" i="37"/>
  <c r="E435" i="41" s="1"/>
  <c r="E409" i="37"/>
  <c r="E409" i="41" s="1"/>
  <c r="E409" i="58"/>
  <c r="E385" i="58"/>
  <c r="E385" i="37"/>
  <c r="E385" i="41" s="1"/>
  <c r="E353" i="37"/>
  <c r="E353" i="41" s="1"/>
  <c r="E353" i="58"/>
  <c r="E329" i="58"/>
  <c r="E329" i="37"/>
  <c r="E329" i="41" s="1"/>
  <c r="E297" i="37"/>
  <c r="E297" i="41" s="1"/>
  <c r="E297" i="58"/>
  <c r="E273" i="37"/>
  <c r="E273" i="41" s="1"/>
  <c r="E273" i="58"/>
  <c r="E249" i="58"/>
  <c r="E249" i="37"/>
  <c r="E249" i="41" s="1"/>
  <c r="E219" i="58"/>
  <c r="E219" i="37"/>
  <c r="E219" i="41" s="1"/>
  <c r="E195" i="58"/>
  <c r="E195" i="37"/>
  <c r="E195" i="41" s="1"/>
  <c r="E171" i="37"/>
  <c r="E171" i="41" s="1"/>
  <c r="E171" i="58"/>
  <c r="E147" i="58"/>
  <c r="E147" i="37"/>
  <c r="E147" i="41" s="1"/>
  <c r="E131" i="58"/>
  <c r="E131" i="37"/>
  <c r="E131" i="41" s="1"/>
  <c r="E99" i="58"/>
  <c r="E99" i="37"/>
  <c r="E99" i="41" s="1"/>
  <c r="E8" i="58"/>
  <c r="E8" i="37"/>
  <c r="E8" i="41" s="1"/>
  <c r="E12" i="37"/>
  <c r="E12" i="41" s="1"/>
  <c r="E12" i="58"/>
  <c r="G491" i="37"/>
  <c r="G491" i="41" s="1"/>
  <c r="G491" i="58"/>
  <c r="G471" i="58"/>
  <c r="G471" i="37"/>
  <c r="G471" i="41" s="1"/>
  <c r="E238" i="58"/>
  <c r="E238" i="37"/>
  <c r="E238" i="41" s="1"/>
  <c r="E494" i="37"/>
  <c r="E494" i="41" s="1"/>
  <c r="E494" i="58"/>
  <c r="I473" i="37"/>
  <c r="I473" i="58"/>
  <c r="J473" i="58"/>
  <c r="J473" i="37"/>
  <c r="E232" i="38"/>
  <c r="E224" i="38"/>
  <c r="G107" i="66" s="1"/>
  <c r="E269" i="38"/>
  <c r="G251" i="66" s="1"/>
  <c r="H460" i="58"/>
  <c r="E242" i="38"/>
  <c r="E234" i="38"/>
  <c r="I462" i="37"/>
  <c r="I462" i="58"/>
  <c r="E261" i="38"/>
  <c r="E216" i="38"/>
  <c r="E255" i="38"/>
  <c r="G201" i="66" s="1"/>
  <c r="E210" i="38"/>
  <c r="J184" i="58"/>
  <c r="G107" i="58"/>
  <c r="G107" i="37"/>
  <c r="G107" i="41" s="1"/>
  <c r="G362" i="37"/>
  <c r="G362" i="41" s="1"/>
  <c r="G362" i="58"/>
  <c r="G457" i="58"/>
  <c r="G457" i="37"/>
  <c r="G457" i="41" s="1"/>
  <c r="G383" i="37"/>
  <c r="G383" i="58"/>
  <c r="G315" i="58"/>
  <c r="G315" i="37"/>
  <c r="G259" i="58"/>
  <c r="G259" i="37"/>
  <c r="J259" i="37" s="1"/>
  <c r="G205" i="58"/>
  <c r="G205" i="37"/>
  <c r="E458" i="37"/>
  <c r="E458" i="41" s="1"/>
  <c r="E458" i="58"/>
  <c r="E422" i="58"/>
  <c r="E422" i="37"/>
  <c r="E422" i="41" s="1"/>
  <c r="E374" i="37"/>
  <c r="E374" i="41" s="1"/>
  <c r="E374" i="58"/>
  <c r="E334" i="37"/>
  <c r="E334" i="41" s="1"/>
  <c r="E334" i="58"/>
  <c r="E270" i="37"/>
  <c r="E270" i="41" s="1"/>
  <c r="E270" i="58"/>
  <c r="E224" i="58"/>
  <c r="E224" i="37"/>
  <c r="E224" i="41" s="1"/>
  <c r="E136" i="37"/>
  <c r="E136" i="41" s="1"/>
  <c r="E136" i="58"/>
  <c r="G3" i="37"/>
  <c r="G3" i="41" s="1"/>
  <c r="G3" i="58"/>
  <c r="G120" i="58"/>
  <c r="G120" i="37"/>
  <c r="G120" i="41" s="1"/>
  <c r="G128" i="58"/>
  <c r="G128" i="37"/>
  <c r="G128" i="41" s="1"/>
  <c r="G136" i="37"/>
  <c r="G136" i="41" s="1"/>
  <c r="G136" i="58"/>
  <c r="G427" i="37"/>
  <c r="G427" i="41" s="1"/>
  <c r="G427" i="58"/>
  <c r="G464" i="37"/>
  <c r="G464" i="41" s="1"/>
  <c r="G464" i="58"/>
  <c r="G418" i="37"/>
  <c r="G418" i="58"/>
  <c r="G394" i="58"/>
  <c r="G394" i="37"/>
  <c r="G370" i="37"/>
  <c r="G370" i="58"/>
  <c r="G294" i="58"/>
  <c r="G294" i="37"/>
  <c r="G270" i="37"/>
  <c r="G270" i="58"/>
  <c r="G235" i="58"/>
  <c r="G235" i="37"/>
  <c r="G208" i="58"/>
  <c r="G208" i="37"/>
  <c r="G178" i="58"/>
  <c r="G178" i="37"/>
  <c r="G151" i="37"/>
  <c r="G151" i="58"/>
  <c r="E463" i="37"/>
  <c r="E463" i="41" s="1"/>
  <c r="E463" i="58"/>
  <c r="E426" i="37"/>
  <c r="E426" i="41" s="1"/>
  <c r="E426" i="58"/>
  <c r="E401" i="58"/>
  <c r="E401" i="37"/>
  <c r="E401" i="41" s="1"/>
  <c r="E377" i="37"/>
  <c r="E377" i="41" s="1"/>
  <c r="E377" i="58"/>
  <c r="E361" i="58"/>
  <c r="E361" i="37"/>
  <c r="E361" i="41" s="1"/>
  <c r="E337" i="37"/>
  <c r="E337" i="41" s="1"/>
  <c r="E337" i="58"/>
  <c r="E313" i="37"/>
  <c r="E313" i="41" s="1"/>
  <c r="E313" i="58"/>
  <c r="E289" i="58"/>
  <c r="E289" i="37"/>
  <c r="E289" i="41" s="1"/>
  <c r="E265" i="37"/>
  <c r="E265" i="41" s="1"/>
  <c r="E265" i="58"/>
  <c r="E239" i="37"/>
  <c r="E239" i="41" s="1"/>
  <c r="E239" i="58"/>
  <c r="E211" i="37"/>
  <c r="E211" i="41" s="1"/>
  <c r="E211" i="58"/>
  <c r="E187" i="37"/>
  <c r="E187" i="41" s="1"/>
  <c r="E187" i="58"/>
  <c r="E163" i="58"/>
  <c r="E163" i="37"/>
  <c r="E163" i="41" s="1"/>
  <c r="E139" i="58"/>
  <c r="E139" i="37"/>
  <c r="E139" i="41" s="1"/>
  <c r="E107" i="58"/>
  <c r="E107" i="37"/>
  <c r="E107" i="41" s="1"/>
  <c r="G4" i="37"/>
  <c r="G4" i="41" s="1"/>
  <c r="G4" i="58"/>
  <c r="G105" i="58"/>
  <c r="G105" i="37"/>
  <c r="G105" i="41" s="1"/>
  <c r="G129" i="58"/>
  <c r="G129" i="37"/>
  <c r="G129" i="41" s="1"/>
  <c r="G158" i="58"/>
  <c r="G158" i="37"/>
  <c r="G158" i="41" s="1"/>
  <c r="G354" i="58"/>
  <c r="G354" i="37"/>
  <c r="G354" i="41" s="1"/>
  <c r="G437" i="58"/>
  <c r="G437" i="37"/>
  <c r="G437" i="41" s="1"/>
  <c r="G445" i="37"/>
  <c r="G445" i="41" s="1"/>
  <c r="G445" i="58"/>
  <c r="G455" i="58"/>
  <c r="G455" i="37"/>
  <c r="G455" i="41" s="1"/>
  <c r="G465" i="37"/>
  <c r="G465" i="41" s="1"/>
  <c r="G465" i="58"/>
  <c r="G474" i="58"/>
  <c r="G474" i="37"/>
  <c r="G474" i="41" s="1"/>
  <c r="G482" i="37"/>
  <c r="G482" i="41" s="1"/>
  <c r="G482" i="58"/>
  <c r="G417" i="37"/>
  <c r="G417" i="58"/>
  <c r="G409" i="37"/>
  <c r="G409" i="58"/>
  <c r="G401" i="37"/>
  <c r="G401" i="58"/>
  <c r="G393" i="37"/>
  <c r="G393" i="58"/>
  <c r="G385" i="58"/>
  <c r="G385" i="37"/>
  <c r="G377" i="58"/>
  <c r="G377" i="37"/>
  <c r="G369" i="37"/>
  <c r="G369" i="58"/>
  <c r="G359" i="37"/>
  <c r="G359" i="58"/>
  <c r="G348" i="58"/>
  <c r="G348" i="37"/>
  <c r="J348" i="37" s="1"/>
  <c r="G337" i="58"/>
  <c r="G337" i="37"/>
  <c r="G327" i="58"/>
  <c r="G327" i="37"/>
  <c r="G317" i="37"/>
  <c r="G317" i="58"/>
  <c r="G309" i="58"/>
  <c r="G309" i="37"/>
  <c r="G301" i="37"/>
  <c r="G301" i="58"/>
  <c r="G293" i="58"/>
  <c r="G293" i="37"/>
  <c r="G285" i="58"/>
  <c r="G285" i="37"/>
  <c r="J285" i="37" s="1"/>
  <c r="G277" i="37"/>
  <c r="G277" i="58"/>
  <c r="G269" i="58"/>
  <c r="G269" i="37"/>
  <c r="G261" i="37"/>
  <c r="G261" i="58"/>
  <c r="G253" i="37"/>
  <c r="G253" i="58"/>
  <c r="G244" i="37"/>
  <c r="G244" i="58"/>
  <c r="G233" i="37"/>
  <c r="G233" i="58"/>
  <c r="G223" i="58"/>
  <c r="G223" i="37"/>
  <c r="G215" i="58"/>
  <c r="G215" i="37"/>
  <c r="G207" i="37"/>
  <c r="G207" i="58"/>
  <c r="G199" i="58"/>
  <c r="G199" i="37"/>
  <c r="G191" i="58"/>
  <c r="G191" i="37"/>
  <c r="J191" i="37" s="1"/>
  <c r="G177" i="58"/>
  <c r="G177" i="37"/>
  <c r="G169" i="58"/>
  <c r="G169" i="37"/>
  <c r="G160" i="37"/>
  <c r="G160" i="58"/>
  <c r="G149" i="58"/>
  <c r="G149" i="37"/>
  <c r="E489" i="37"/>
  <c r="E489" i="41" s="1"/>
  <c r="E489" i="58"/>
  <c r="E479" i="58"/>
  <c r="E479" i="37"/>
  <c r="E479" i="41" s="1"/>
  <c r="E470" i="37"/>
  <c r="E470" i="41" s="1"/>
  <c r="E470" i="58"/>
  <c r="E462" i="58"/>
  <c r="E462" i="37"/>
  <c r="E462" i="41" s="1"/>
  <c r="E450" i="58"/>
  <c r="E450" i="37"/>
  <c r="E450" i="41" s="1"/>
  <c r="E442" i="58"/>
  <c r="E442" i="37"/>
  <c r="E442" i="41" s="1"/>
  <c r="E434" i="37"/>
  <c r="E434" i="41" s="1"/>
  <c r="E434" i="58"/>
  <c r="E424" i="58"/>
  <c r="E424" i="37"/>
  <c r="E424" i="41" s="1"/>
  <c r="E416" i="58"/>
  <c r="E416" i="37"/>
  <c r="E416" i="41" s="1"/>
  <c r="E408" i="58"/>
  <c r="E408" i="37"/>
  <c r="E408" i="41" s="1"/>
  <c r="E400" i="58"/>
  <c r="E400" i="37"/>
  <c r="E400" i="41" s="1"/>
  <c r="E392" i="37"/>
  <c r="E392" i="41" s="1"/>
  <c r="E392" i="58"/>
  <c r="E384" i="37"/>
  <c r="E384" i="41" s="1"/>
  <c r="E384" i="58"/>
  <c r="E376" i="37"/>
  <c r="E376" i="41" s="1"/>
  <c r="E376" i="58"/>
  <c r="E368" i="58"/>
  <c r="E368" i="37"/>
  <c r="E368" i="41" s="1"/>
  <c r="E360" i="58"/>
  <c r="E360" i="37"/>
  <c r="E360" i="41" s="1"/>
  <c r="E352" i="58"/>
  <c r="E352" i="37"/>
  <c r="E352" i="41" s="1"/>
  <c r="E344" i="58"/>
  <c r="E344" i="37"/>
  <c r="E344" i="41" s="1"/>
  <c r="E336" i="37"/>
  <c r="E336" i="41" s="1"/>
  <c r="E336" i="58"/>
  <c r="E328" i="58"/>
  <c r="E328" i="37"/>
  <c r="E328" i="41" s="1"/>
  <c r="E320" i="37"/>
  <c r="E320" i="41" s="1"/>
  <c r="E320" i="58"/>
  <c r="E312" i="58"/>
  <c r="E312" i="37"/>
  <c r="E312" i="41" s="1"/>
  <c r="E304" i="58"/>
  <c r="E304" i="37"/>
  <c r="E304" i="41" s="1"/>
  <c r="E296" i="37"/>
  <c r="E296" i="41" s="1"/>
  <c r="E296" i="58"/>
  <c r="E288" i="37"/>
  <c r="E288" i="41" s="1"/>
  <c r="E288" i="58"/>
  <c r="E280" i="58"/>
  <c r="E280" i="37"/>
  <c r="E280" i="41" s="1"/>
  <c r="E272" i="37"/>
  <c r="E272" i="41" s="1"/>
  <c r="E272" i="58"/>
  <c r="E264" i="58"/>
  <c r="E264" i="37"/>
  <c r="E264" i="41" s="1"/>
  <c r="E256" i="58"/>
  <c r="E256" i="37"/>
  <c r="E256" i="41" s="1"/>
  <c r="E248" i="37"/>
  <c r="E248" i="41" s="1"/>
  <c r="E248" i="58"/>
  <c r="E237" i="58"/>
  <c r="E237" i="37"/>
  <c r="E237" i="41" s="1"/>
  <c r="E227" i="58"/>
  <c r="E227" i="37"/>
  <c r="E227" i="41" s="1"/>
  <c r="E218" i="37"/>
  <c r="E218" i="41" s="1"/>
  <c r="E218" i="58"/>
  <c r="E210" i="58"/>
  <c r="E210" i="37"/>
  <c r="E210" i="41" s="1"/>
  <c r="E202" i="37"/>
  <c r="E202" i="41" s="1"/>
  <c r="E202" i="58"/>
  <c r="E194" i="58"/>
  <c r="E194" i="37"/>
  <c r="E194" i="41" s="1"/>
  <c r="E186" i="37"/>
  <c r="E186" i="41" s="1"/>
  <c r="E186" i="58"/>
  <c r="E178" i="58"/>
  <c r="E178" i="37"/>
  <c r="E178" i="41" s="1"/>
  <c r="E170" i="58"/>
  <c r="E170" i="37"/>
  <c r="E170" i="41" s="1"/>
  <c r="E162" i="58"/>
  <c r="E162" i="37"/>
  <c r="E162" i="41" s="1"/>
  <c r="E154" i="58"/>
  <c r="E154" i="37"/>
  <c r="E154" i="41" s="1"/>
  <c r="E146" i="37"/>
  <c r="E146" i="41" s="1"/>
  <c r="E146" i="58"/>
  <c r="E138" i="58"/>
  <c r="E138" i="37"/>
  <c r="E138" i="41" s="1"/>
  <c r="E130" i="37"/>
  <c r="E130" i="41" s="1"/>
  <c r="E130" i="58"/>
  <c r="E122" i="37"/>
  <c r="E122" i="41" s="1"/>
  <c r="E122" i="58"/>
  <c r="E114" i="37"/>
  <c r="E114" i="41" s="1"/>
  <c r="E114" i="58"/>
  <c r="E106" i="37"/>
  <c r="E106" i="41" s="1"/>
  <c r="E106" i="58"/>
  <c r="E98" i="58"/>
  <c r="E98" i="37"/>
  <c r="E98" i="41" s="1"/>
  <c r="E7" i="37"/>
  <c r="E7" i="41" s="1"/>
  <c r="E7" i="58"/>
  <c r="G11" i="37"/>
  <c r="G11" i="58"/>
  <c r="E491" i="37"/>
  <c r="E491" i="41" s="1"/>
  <c r="E491" i="58"/>
  <c r="E471" i="37"/>
  <c r="E471" i="41" s="1"/>
  <c r="E471" i="58"/>
  <c r="G226" i="37"/>
  <c r="G226" i="41" s="1"/>
  <c r="G226" i="58"/>
  <c r="E234" i="58"/>
  <c r="E234" i="37"/>
  <c r="E234" i="41" s="1"/>
  <c r="G494" i="37"/>
  <c r="G494" i="41" s="1"/>
  <c r="G494" i="58"/>
  <c r="I472" i="58"/>
  <c r="I472" i="37"/>
  <c r="J472" i="58"/>
  <c r="J472" i="37"/>
  <c r="E276" i="38"/>
  <c r="E231" i="38"/>
  <c r="E268" i="38"/>
  <c r="E223" i="38"/>
  <c r="H469" i="37"/>
  <c r="H469" i="58"/>
  <c r="H458" i="37"/>
  <c r="H458" i="58"/>
  <c r="E241" i="38"/>
  <c r="E233" i="38"/>
  <c r="I460" i="58"/>
  <c r="I460" i="37"/>
  <c r="E257" i="38"/>
  <c r="E212" i="38"/>
  <c r="G99" i="37"/>
  <c r="G99" i="41" s="1"/>
  <c r="G99" i="58"/>
  <c r="G330" i="37"/>
  <c r="G330" i="41" s="1"/>
  <c r="G330" i="58"/>
  <c r="G467" i="37"/>
  <c r="G467" i="41" s="1"/>
  <c r="G467" i="58"/>
  <c r="G407" i="58"/>
  <c r="G407" i="37"/>
  <c r="J407" i="37" s="1"/>
  <c r="G345" i="58"/>
  <c r="G345" i="37"/>
  <c r="G283" i="58"/>
  <c r="G283" i="37"/>
  <c r="G221" i="37"/>
  <c r="G221" i="58"/>
  <c r="G167" i="37"/>
  <c r="G167" i="58"/>
  <c r="E485" i="37"/>
  <c r="E485" i="41" s="1"/>
  <c r="E485" i="58"/>
  <c r="E414" i="37"/>
  <c r="E414" i="41" s="1"/>
  <c r="E414" i="58"/>
  <c r="E366" i="58"/>
  <c r="E366" i="37"/>
  <c r="E366" i="41" s="1"/>
  <c r="E294" i="37"/>
  <c r="E294" i="41" s="1"/>
  <c r="E294" i="58"/>
  <c r="E128" i="37"/>
  <c r="E128" i="41" s="1"/>
  <c r="E128" i="58"/>
  <c r="G96" i="58"/>
  <c r="G96" i="37"/>
  <c r="G96" i="41" s="1"/>
  <c r="G104" i="58"/>
  <c r="G104" i="37"/>
  <c r="G104" i="41" s="1"/>
  <c r="G154" i="37"/>
  <c r="G154" i="41" s="1"/>
  <c r="G154" i="58"/>
  <c r="G350" i="37"/>
  <c r="G350" i="41" s="1"/>
  <c r="G350" i="58"/>
  <c r="G444" i="37"/>
  <c r="G444" i="41" s="1"/>
  <c r="G444" i="58"/>
  <c r="G473" i="58"/>
  <c r="G473" i="37"/>
  <c r="G473" i="41" s="1"/>
  <c r="G402" i="58"/>
  <c r="G402" i="37"/>
  <c r="G378" i="37"/>
  <c r="J378" i="37" s="1"/>
  <c r="G378" i="58"/>
  <c r="G349" i="58"/>
  <c r="G349" i="37"/>
  <c r="G328" i="58"/>
  <c r="G328" i="37"/>
  <c r="G310" i="37"/>
  <c r="G310" i="58"/>
  <c r="G302" i="37"/>
  <c r="G302" i="58"/>
  <c r="G262" i="58"/>
  <c r="G262" i="37"/>
  <c r="G245" i="58"/>
  <c r="G245" i="37"/>
  <c r="G216" i="58"/>
  <c r="G216" i="37"/>
  <c r="G200" i="58"/>
  <c r="G200" i="37"/>
  <c r="G170" i="58"/>
  <c r="G170" i="37"/>
  <c r="E480" i="37"/>
  <c r="E480" i="41" s="1"/>
  <c r="E480" i="58"/>
  <c r="E453" i="58"/>
  <c r="E453" i="37"/>
  <c r="E453" i="41" s="1"/>
  <c r="E443" i="58"/>
  <c r="E443" i="37"/>
  <c r="E443" i="41" s="1"/>
  <c r="E417" i="37"/>
  <c r="E417" i="41" s="1"/>
  <c r="E417" i="58"/>
  <c r="E393" i="58"/>
  <c r="E393" i="37"/>
  <c r="E393" i="41" s="1"/>
  <c r="E369" i="58"/>
  <c r="E369" i="37"/>
  <c r="E369" i="41" s="1"/>
  <c r="E345" i="58"/>
  <c r="E345" i="37"/>
  <c r="E345" i="41" s="1"/>
  <c r="E321" i="37"/>
  <c r="E321" i="41" s="1"/>
  <c r="E321" i="58"/>
  <c r="E305" i="37"/>
  <c r="E305" i="41" s="1"/>
  <c r="E305" i="58"/>
  <c r="E281" i="37"/>
  <c r="E281" i="41" s="1"/>
  <c r="E281" i="58"/>
  <c r="E257" i="37"/>
  <c r="E257" i="41" s="1"/>
  <c r="E257" i="58"/>
  <c r="E228" i="37"/>
  <c r="E228" i="41" s="1"/>
  <c r="E228" i="58"/>
  <c r="E203" i="37"/>
  <c r="E203" i="41" s="1"/>
  <c r="E203" i="58"/>
  <c r="E179" i="58"/>
  <c r="E179" i="37"/>
  <c r="E179" i="41" s="1"/>
  <c r="E155" i="37"/>
  <c r="E155" i="41" s="1"/>
  <c r="E155" i="58"/>
  <c r="E123" i="58"/>
  <c r="E123" i="37"/>
  <c r="E123" i="41" s="1"/>
  <c r="E115" i="58"/>
  <c r="E115" i="37"/>
  <c r="E115" i="41" s="1"/>
  <c r="G97" i="37"/>
  <c r="G97" i="41" s="1"/>
  <c r="G97" i="58"/>
  <c r="G113" i="37"/>
  <c r="G113" i="41" s="1"/>
  <c r="G113" i="58"/>
  <c r="G121" i="58"/>
  <c r="G121" i="37"/>
  <c r="G121" i="41" s="1"/>
  <c r="G137" i="37"/>
  <c r="G137" i="41" s="1"/>
  <c r="G137" i="58"/>
  <c r="G322" i="37"/>
  <c r="G322" i="41" s="1"/>
  <c r="G322" i="58"/>
  <c r="G429" i="58"/>
  <c r="G429" i="37"/>
  <c r="G429" i="41" s="1"/>
  <c r="G5" i="58"/>
  <c r="G5" i="37"/>
  <c r="G5" i="41" s="1"/>
  <c r="G98" i="58"/>
  <c r="G98" i="37"/>
  <c r="G98" i="41" s="1"/>
  <c r="G106" i="58"/>
  <c r="G106" i="37"/>
  <c r="G106" i="41" s="1"/>
  <c r="G114" i="58"/>
  <c r="G114" i="37"/>
  <c r="G114" i="41" s="1"/>
  <c r="G122" i="37"/>
  <c r="G122" i="41" s="1"/>
  <c r="G122" i="58"/>
  <c r="G130" i="37"/>
  <c r="G130" i="41" s="1"/>
  <c r="G130" i="58"/>
  <c r="G138" i="37"/>
  <c r="G138" i="41" s="1"/>
  <c r="G138" i="58"/>
  <c r="G162" i="58"/>
  <c r="G162" i="37"/>
  <c r="G162" i="41" s="1"/>
  <c r="G326" i="37"/>
  <c r="G326" i="41" s="1"/>
  <c r="G326" i="58"/>
  <c r="G358" i="58"/>
  <c r="G358" i="37"/>
  <c r="G358" i="41" s="1"/>
  <c r="G430" i="37"/>
  <c r="G430" i="41" s="1"/>
  <c r="G430" i="58"/>
  <c r="G438" i="37"/>
  <c r="G438" i="41" s="1"/>
  <c r="G438" i="58"/>
  <c r="G446" i="37"/>
  <c r="G446" i="41" s="1"/>
  <c r="G446" i="58"/>
  <c r="G456" i="58"/>
  <c r="G456" i="37"/>
  <c r="G456" i="41" s="1"/>
  <c r="G466" i="58"/>
  <c r="G466" i="37"/>
  <c r="G466" i="41" s="1"/>
  <c r="G475" i="58"/>
  <c r="G475" i="37"/>
  <c r="G475" i="41" s="1"/>
  <c r="G483" i="37"/>
  <c r="G483" i="41" s="1"/>
  <c r="G483" i="58"/>
  <c r="G416" i="58"/>
  <c r="G416" i="37"/>
  <c r="G408" i="58"/>
  <c r="G408" i="37"/>
  <c r="G400" i="37"/>
  <c r="G400" i="58"/>
  <c r="G392" i="58"/>
  <c r="G392" i="37"/>
  <c r="G384" i="58"/>
  <c r="G384" i="37"/>
  <c r="G376" i="58"/>
  <c r="G376" i="37"/>
  <c r="G368" i="37"/>
  <c r="G368" i="58"/>
  <c r="G357" i="37"/>
  <c r="G357" i="58"/>
  <c r="G347" i="37"/>
  <c r="J347" i="37" s="1"/>
  <c r="G347" i="58"/>
  <c r="G336" i="58"/>
  <c r="G336" i="37"/>
  <c r="G325" i="37"/>
  <c r="G325" i="58"/>
  <c r="G316" i="37"/>
  <c r="G316" i="58"/>
  <c r="G308" i="58"/>
  <c r="G308" i="37"/>
  <c r="G300" i="37"/>
  <c r="G300" i="58"/>
  <c r="G292" i="58"/>
  <c r="G292" i="37"/>
  <c r="G284" i="37"/>
  <c r="G284" i="58"/>
  <c r="G276" i="58"/>
  <c r="G276" i="37"/>
  <c r="G268" i="58"/>
  <c r="G268" i="37"/>
  <c r="G260" i="58"/>
  <c r="G260" i="37"/>
  <c r="G252" i="37"/>
  <c r="G252" i="58"/>
  <c r="G243" i="37"/>
  <c r="G243" i="58"/>
  <c r="G232" i="58"/>
  <c r="G232" i="37"/>
  <c r="G222" i="58"/>
  <c r="G222" i="37"/>
  <c r="G214" i="58"/>
  <c r="G214" i="37"/>
  <c r="G206" i="37"/>
  <c r="G206" i="58"/>
  <c r="G198" i="58"/>
  <c r="G198" i="37"/>
  <c r="J198" i="37" s="1"/>
  <c r="G190" i="58"/>
  <c r="G190" i="37"/>
  <c r="J190" i="37" s="1"/>
  <c r="G176" i="58"/>
  <c r="G176" i="37"/>
  <c r="G168" i="37"/>
  <c r="G168" i="58"/>
  <c r="G159" i="37"/>
  <c r="G159" i="58"/>
  <c r="G148" i="58"/>
  <c r="G148" i="37"/>
  <c r="E486" i="37"/>
  <c r="E486" i="41" s="1"/>
  <c r="E486" i="58"/>
  <c r="E478" i="58"/>
  <c r="E478" i="37"/>
  <c r="E478" i="41" s="1"/>
  <c r="E469" i="37"/>
  <c r="E469" i="41" s="1"/>
  <c r="E469" i="58"/>
  <c r="E460" i="58"/>
  <c r="E460" i="37"/>
  <c r="E460" i="41" s="1"/>
  <c r="E449" i="37"/>
  <c r="E449" i="41" s="1"/>
  <c r="E449" i="58"/>
  <c r="E441" i="37"/>
  <c r="E441" i="41" s="1"/>
  <c r="E441" i="58"/>
  <c r="E433" i="58"/>
  <c r="E433" i="37"/>
  <c r="E433" i="41" s="1"/>
  <c r="E423" i="37"/>
  <c r="E423" i="41" s="1"/>
  <c r="E423" i="58"/>
  <c r="E415" i="58"/>
  <c r="E415" i="37"/>
  <c r="E415" i="41" s="1"/>
  <c r="E407" i="58"/>
  <c r="E407" i="37"/>
  <c r="E407" i="41" s="1"/>
  <c r="E399" i="58"/>
  <c r="E399" i="37"/>
  <c r="E399" i="41" s="1"/>
  <c r="E391" i="37"/>
  <c r="E391" i="41" s="1"/>
  <c r="E391" i="58"/>
  <c r="E383" i="58"/>
  <c r="E383" i="37"/>
  <c r="E383" i="41" s="1"/>
  <c r="E375" i="58"/>
  <c r="E375" i="37"/>
  <c r="E375" i="41" s="1"/>
  <c r="E367" i="37"/>
  <c r="E367" i="41" s="1"/>
  <c r="E367" i="58"/>
  <c r="E359" i="58"/>
  <c r="E359" i="37"/>
  <c r="E359" i="41" s="1"/>
  <c r="E351" i="58"/>
  <c r="E351" i="37"/>
  <c r="E351" i="41" s="1"/>
  <c r="E343" i="37"/>
  <c r="E343" i="41" s="1"/>
  <c r="E343" i="58"/>
  <c r="E335" i="58"/>
  <c r="E335" i="37"/>
  <c r="E335" i="41" s="1"/>
  <c r="E327" i="58"/>
  <c r="E327" i="37"/>
  <c r="E327" i="41" s="1"/>
  <c r="E319" i="58"/>
  <c r="E319" i="37"/>
  <c r="E319" i="41" s="1"/>
  <c r="E311" i="37"/>
  <c r="E311" i="41" s="1"/>
  <c r="E311" i="58"/>
  <c r="E303" i="37"/>
  <c r="E303" i="41" s="1"/>
  <c r="E303" i="58"/>
  <c r="E295" i="37"/>
  <c r="E295" i="41" s="1"/>
  <c r="E295" i="58"/>
  <c r="E287" i="58"/>
  <c r="E287" i="37"/>
  <c r="E287" i="41" s="1"/>
  <c r="E279" i="58"/>
  <c r="E279" i="37"/>
  <c r="E279" i="41" s="1"/>
  <c r="E271" i="58"/>
  <c r="E271" i="37"/>
  <c r="E271" i="41" s="1"/>
  <c r="E263" i="58"/>
  <c r="E263" i="37"/>
  <c r="E263" i="41" s="1"/>
  <c r="E255" i="58"/>
  <c r="E255" i="37"/>
  <c r="E255" i="41" s="1"/>
  <c r="E247" i="58"/>
  <c r="E247" i="37"/>
  <c r="E247" i="41" s="1"/>
  <c r="E236" i="37"/>
  <c r="E236" i="41" s="1"/>
  <c r="E236" i="58"/>
  <c r="E225" i="58"/>
  <c r="E225" i="37"/>
  <c r="E225" i="41" s="1"/>
  <c r="E217" i="37"/>
  <c r="E217" i="41" s="1"/>
  <c r="E217" i="58"/>
  <c r="E209" i="58"/>
  <c r="E209" i="37"/>
  <c r="E209" i="41" s="1"/>
  <c r="E201" i="37"/>
  <c r="E201" i="41" s="1"/>
  <c r="E201" i="58"/>
  <c r="E193" i="37"/>
  <c r="E193" i="41" s="1"/>
  <c r="E193" i="58"/>
  <c r="E185" i="37"/>
  <c r="E185" i="41" s="1"/>
  <c r="E185" i="58"/>
  <c r="E177" i="37"/>
  <c r="E177" i="41" s="1"/>
  <c r="E177" i="58"/>
  <c r="E169" i="37"/>
  <c r="E169" i="41" s="1"/>
  <c r="E169" i="58"/>
  <c r="E161" i="58"/>
  <c r="E161" i="37"/>
  <c r="E161" i="41" s="1"/>
  <c r="E153" i="58"/>
  <c r="E153" i="37"/>
  <c r="E153" i="41" s="1"/>
  <c r="E145" i="37"/>
  <c r="E145" i="41" s="1"/>
  <c r="E145" i="58"/>
  <c r="E137" i="58"/>
  <c r="E137" i="37"/>
  <c r="E137" i="41" s="1"/>
  <c r="E129" i="58"/>
  <c r="E129" i="37"/>
  <c r="E129" i="41" s="1"/>
  <c r="E121" i="58"/>
  <c r="E121" i="37"/>
  <c r="E121" i="41" s="1"/>
  <c r="E113" i="37"/>
  <c r="E113" i="41" s="1"/>
  <c r="E113" i="58"/>
  <c r="E105" i="58"/>
  <c r="E105" i="37"/>
  <c r="E105" i="41" s="1"/>
  <c r="E97" i="37"/>
  <c r="E97" i="41" s="1"/>
  <c r="E97" i="58"/>
  <c r="E5" i="58"/>
  <c r="E5" i="37"/>
  <c r="E5" i="41" s="1"/>
  <c r="G452" i="37"/>
  <c r="G452" i="41" s="1"/>
  <c r="G452" i="58"/>
  <c r="G230" i="37"/>
  <c r="G230" i="41" s="1"/>
  <c r="G230" i="58"/>
  <c r="E242" i="58"/>
  <c r="E242" i="37"/>
  <c r="E242" i="41" s="1"/>
  <c r="J463" i="37"/>
  <c r="J463" i="58"/>
  <c r="E230" i="38"/>
  <c r="E275" i="38"/>
  <c r="E267" i="38"/>
  <c r="G267" i="66" s="1"/>
  <c r="E222" i="38"/>
  <c r="G123" i="66" s="1"/>
  <c r="H473" i="37"/>
  <c r="H473" i="58"/>
  <c r="H468" i="37"/>
  <c r="H468" i="58"/>
  <c r="E240" i="38"/>
  <c r="G153" i="66" s="1"/>
  <c r="N153" i="66" s="1"/>
  <c r="G9" i="66"/>
  <c r="N9" i="66" s="1"/>
  <c r="I458" i="37"/>
  <c r="I458" i="58"/>
  <c r="E260" i="38"/>
  <c r="E215" i="38"/>
  <c r="I452" i="41"/>
  <c r="E203" i="38"/>
  <c r="E248" i="38"/>
  <c r="E245" i="38"/>
  <c r="I184" i="58"/>
  <c r="G115" i="58"/>
  <c r="G115" i="37"/>
  <c r="G115" i="41" s="1"/>
  <c r="G431" i="37"/>
  <c r="G431" i="41" s="1"/>
  <c r="G431" i="58"/>
  <c r="G484" i="37"/>
  <c r="G484" i="41" s="1"/>
  <c r="G484" i="58"/>
  <c r="G375" i="58"/>
  <c r="G375" i="37"/>
  <c r="G307" i="58"/>
  <c r="G307" i="37"/>
  <c r="G251" i="58"/>
  <c r="G251" i="37"/>
  <c r="J251" i="37" s="1"/>
  <c r="G175" i="58"/>
  <c r="G175" i="37"/>
  <c r="E477" i="37"/>
  <c r="E477" i="41" s="1"/>
  <c r="E477" i="58"/>
  <c r="E406" i="37"/>
  <c r="E406" i="41" s="1"/>
  <c r="E406" i="58"/>
  <c r="E358" i="37"/>
  <c r="E358" i="41" s="1"/>
  <c r="E358" i="58"/>
  <c r="E318" i="58"/>
  <c r="E318" i="37"/>
  <c r="E318" i="41" s="1"/>
  <c r="E278" i="58"/>
  <c r="E278" i="37"/>
  <c r="E278" i="41" s="1"/>
  <c r="E235" i="37"/>
  <c r="E235" i="41" s="1"/>
  <c r="E235" i="58"/>
  <c r="E192" i="37"/>
  <c r="E192" i="41" s="1"/>
  <c r="E192" i="58"/>
  <c r="E160" i="58"/>
  <c r="E160" i="37"/>
  <c r="E160" i="41" s="1"/>
  <c r="E144" i="58"/>
  <c r="E144" i="37"/>
  <c r="E144" i="41" s="1"/>
  <c r="E112" i="37"/>
  <c r="E112" i="41" s="1"/>
  <c r="E112" i="58"/>
  <c r="G116" i="58"/>
  <c r="G116" i="37"/>
  <c r="G116" i="41" s="1"/>
  <c r="G334" i="58"/>
  <c r="G334" i="37"/>
  <c r="G334" i="41" s="1"/>
  <c r="G448" i="37"/>
  <c r="G448" i="41" s="1"/>
  <c r="G448" i="58"/>
  <c r="G485" i="37"/>
  <c r="G485" i="41" s="1"/>
  <c r="G485" i="58"/>
  <c r="I8" i="58"/>
  <c r="G406" i="37"/>
  <c r="J406" i="37" s="1"/>
  <c r="G406" i="58"/>
  <c r="G382" i="58"/>
  <c r="G382" i="37"/>
  <c r="G374" i="58"/>
  <c r="G374" i="37"/>
  <c r="G365" i="58"/>
  <c r="G365" i="37"/>
  <c r="G355" i="37"/>
  <c r="G355" i="58"/>
  <c r="G344" i="58"/>
  <c r="G344" i="37"/>
  <c r="G333" i="37"/>
  <c r="G333" i="58"/>
  <c r="G323" i="37"/>
  <c r="J323" i="37" s="1"/>
  <c r="G323" i="58"/>
  <c r="G314" i="37"/>
  <c r="J314" i="37" s="1"/>
  <c r="G314" i="58"/>
  <c r="G306" i="58"/>
  <c r="G306" i="37"/>
  <c r="G298" i="37"/>
  <c r="G298" i="58"/>
  <c r="G290" i="37"/>
  <c r="G290" i="58"/>
  <c r="G282" i="58"/>
  <c r="G282" i="37"/>
  <c r="G274" i="58"/>
  <c r="G274" i="37"/>
  <c r="G266" i="58"/>
  <c r="G266" i="37"/>
  <c r="G258" i="37"/>
  <c r="G258" i="58"/>
  <c r="G250" i="37"/>
  <c r="G250" i="58"/>
  <c r="G240" i="58"/>
  <c r="G240" i="37"/>
  <c r="J240" i="37" s="1"/>
  <c r="G229" i="58"/>
  <c r="G229" i="37"/>
  <c r="G220" i="58"/>
  <c r="G220" i="37"/>
  <c r="G212" i="37"/>
  <c r="G212" i="58"/>
  <c r="G204" i="58"/>
  <c r="G204" i="37"/>
  <c r="G196" i="37"/>
  <c r="G196" i="58"/>
  <c r="G182" i="37"/>
  <c r="G182" i="58"/>
  <c r="G174" i="37"/>
  <c r="J174" i="37" s="1"/>
  <c r="G174" i="58"/>
  <c r="G166" i="58"/>
  <c r="G166" i="37"/>
  <c r="G156" i="37"/>
  <c r="J156" i="37" s="1"/>
  <c r="G156" i="58"/>
  <c r="G145" i="58"/>
  <c r="G145" i="37"/>
  <c r="E484" i="58"/>
  <c r="E484" i="37"/>
  <c r="E484" i="41" s="1"/>
  <c r="E476" i="58"/>
  <c r="E476" i="37"/>
  <c r="E476" i="41" s="1"/>
  <c r="E467" i="58"/>
  <c r="E467" i="37"/>
  <c r="E467" i="41" s="1"/>
  <c r="E457" i="58"/>
  <c r="E457" i="37"/>
  <c r="E457" i="41" s="1"/>
  <c r="E447" i="58"/>
  <c r="E447" i="37"/>
  <c r="E447" i="41" s="1"/>
  <c r="E439" i="37"/>
  <c r="E439" i="41" s="1"/>
  <c r="E439" i="58"/>
  <c r="E431" i="58"/>
  <c r="E431" i="37"/>
  <c r="E431" i="41" s="1"/>
  <c r="E421" i="58"/>
  <c r="E421" i="37"/>
  <c r="E421" i="41" s="1"/>
  <c r="E413" i="58"/>
  <c r="E413" i="37"/>
  <c r="E413" i="41" s="1"/>
  <c r="E405" i="58"/>
  <c r="E405" i="37"/>
  <c r="E405" i="41" s="1"/>
  <c r="E397" i="37"/>
  <c r="E397" i="41" s="1"/>
  <c r="E397" i="58"/>
  <c r="E389" i="58"/>
  <c r="E389" i="37"/>
  <c r="E389" i="41" s="1"/>
  <c r="E381" i="58"/>
  <c r="E381" i="37"/>
  <c r="E381" i="41" s="1"/>
  <c r="E373" i="58"/>
  <c r="E373" i="37"/>
  <c r="E373" i="41" s="1"/>
  <c r="E365" i="37"/>
  <c r="E365" i="41" s="1"/>
  <c r="E365" i="58"/>
  <c r="E357" i="58"/>
  <c r="E357" i="37"/>
  <c r="E357" i="41" s="1"/>
  <c r="E349" i="37"/>
  <c r="E349" i="41" s="1"/>
  <c r="E349" i="58"/>
  <c r="E341" i="37"/>
  <c r="E341" i="41" s="1"/>
  <c r="E341" i="58"/>
  <c r="E333" i="58"/>
  <c r="E333" i="37"/>
  <c r="E333" i="41" s="1"/>
  <c r="E325" i="58"/>
  <c r="E325" i="37"/>
  <c r="E325" i="41" s="1"/>
  <c r="E317" i="58"/>
  <c r="E317" i="37"/>
  <c r="E317" i="41" s="1"/>
  <c r="E309" i="58"/>
  <c r="E309" i="37"/>
  <c r="E309" i="41" s="1"/>
  <c r="E301" i="58"/>
  <c r="E301" i="37"/>
  <c r="E301" i="41" s="1"/>
  <c r="E293" i="37"/>
  <c r="E293" i="41" s="1"/>
  <c r="E293" i="58"/>
  <c r="E285" i="37"/>
  <c r="E285" i="41" s="1"/>
  <c r="E285" i="58"/>
  <c r="E277" i="37"/>
  <c r="E277" i="41" s="1"/>
  <c r="E277" i="58"/>
  <c r="E269" i="37"/>
  <c r="E269" i="41" s="1"/>
  <c r="E269" i="58"/>
  <c r="E261" i="37"/>
  <c r="E261" i="41" s="1"/>
  <c r="E261" i="58"/>
  <c r="E253" i="58"/>
  <c r="E253" i="37"/>
  <c r="E253" i="41" s="1"/>
  <c r="E244" i="58"/>
  <c r="E244" i="37"/>
  <c r="E244" i="41" s="1"/>
  <c r="E233" i="37"/>
  <c r="E233" i="41" s="1"/>
  <c r="E233" i="58"/>
  <c r="E223" i="37"/>
  <c r="E223" i="41" s="1"/>
  <c r="E223" i="58"/>
  <c r="E215" i="58"/>
  <c r="E215" i="37"/>
  <c r="E215" i="41" s="1"/>
  <c r="E207" i="37"/>
  <c r="E207" i="41" s="1"/>
  <c r="E207" i="58"/>
  <c r="E199" i="37"/>
  <c r="E199" i="41" s="1"/>
  <c r="E199" i="58"/>
  <c r="E191" i="58"/>
  <c r="E191" i="37"/>
  <c r="E191" i="41" s="1"/>
  <c r="E183" i="58"/>
  <c r="E183" i="37"/>
  <c r="E183" i="41" s="1"/>
  <c r="E175" i="37"/>
  <c r="E175" i="41" s="1"/>
  <c r="E175" i="58"/>
  <c r="E167" i="37"/>
  <c r="E167" i="41" s="1"/>
  <c r="E167" i="58"/>
  <c r="E159" i="58"/>
  <c r="E159" i="37"/>
  <c r="E159" i="41" s="1"/>
  <c r="E151" i="37"/>
  <c r="E151" i="41" s="1"/>
  <c r="E151" i="58"/>
  <c r="E143" i="37"/>
  <c r="E143" i="41" s="1"/>
  <c r="E143" i="58"/>
  <c r="E135" i="37"/>
  <c r="E135" i="41" s="1"/>
  <c r="E135" i="58"/>
  <c r="E127" i="58"/>
  <c r="E127" i="37"/>
  <c r="E127" i="41" s="1"/>
  <c r="E119" i="37"/>
  <c r="E119" i="41" s="1"/>
  <c r="E119" i="58"/>
  <c r="E111" i="58"/>
  <c r="E111" i="37"/>
  <c r="E111" i="41" s="1"/>
  <c r="E103" i="37"/>
  <c r="E103" i="41" s="1"/>
  <c r="E103" i="58"/>
  <c r="E95" i="58"/>
  <c r="E95" i="37"/>
  <c r="E95" i="41" s="1"/>
  <c r="E3" i="58"/>
  <c r="E3" i="37"/>
  <c r="E3" i="41" s="1"/>
  <c r="E490" i="58"/>
  <c r="E490" i="37"/>
  <c r="E490" i="41" s="1"/>
  <c r="G451" i="58"/>
  <c r="G451" i="37"/>
  <c r="G451" i="41" s="1"/>
  <c r="G238" i="37"/>
  <c r="G238" i="41" s="1"/>
  <c r="G238" i="58"/>
  <c r="E226" i="37"/>
  <c r="E226" i="41" s="1"/>
  <c r="E226" i="58"/>
  <c r="I469" i="37"/>
  <c r="I469" i="58"/>
  <c r="J469" i="37"/>
  <c r="J469" i="58"/>
  <c r="J460" i="37"/>
  <c r="J460" i="58"/>
  <c r="E273" i="38"/>
  <c r="G245" i="66" s="1"/>
  <c r="E228" i="38"/>
  <c r="G101" i="66" s="1"/>
  <c r="E220" i="38"/>
  <c r="G141" i="66" s="1"/>
  <c r="E265" i="38"/>
  <c r="G285" i="66" s="1"/>
  <c r="E238" i="38"/>
  <c r="H184" i="58"/>
  <c r="G139" i="58"/>
  <c r="G139" i="37"/>
  <c r="G139" i="41" s="1"/>
  <c r="G476" i="58"/>
  <c r="G476" i="37"/>
  <c r="G476" i="41" s="1"/>
  <c r="G391" i="58"/>
  <c r="G391" i="37"/>
  <c r="G335" i="58"/>
  <c r="G335" i="37"/>
  <c r="G267" i="58"/>
  <c r="G267" i="37"/>
  <c r="J267" i="37" s="1"/>
  <c r="G189" i="58"/>
  <c r="G189" i="37"/>
  <c r="J189" i="37" s="1"/>
  <c r="E448" i="58"/>
  <c r="E448" i="37"/>
  <c r="E448" i="41" s="1"/>
  <c r="E390" i="37"/>
  <c r="E390" i="41" s="1"/>
  <c r="E390" i="58"/>
  <c r="E350" i="58"/>
  <c r="E350" i="37"/>
  <c r="E350" i="41" s="1"/>
  <c r="E310" i="37"/>
  <c r="E310" i="41" s="1"/>
  <c r="E310" i="58"/>
  <c r="E254" i="37"/>
  <c r="E254" i="41" s="1"/>
  <c r="E254" i="58"/>
  <c r="E208" i="58"/>
  <c r="E208" i="37"/>
  <c r="E208" i="41" s="1"/>
  <c r="E184" i="58"/>
  <c r="E184" i="37"/>
  <c r="E184" i="41" s="1"/>
  <c r="E152" i="58"/>
  <c r="E152" i="37"/>
  <c r="E152" i="41" s="1"/>
  <c r="E104" i="58"/>
  <c r="E104" i="37"/>
  <c r="E104" i="41" s="1"/>
  <c r="G234" i="58"/>
  <c r="G234" i="37"/>
  <c r="G234" i="41" s="1"/>
  <c r="J462" i="58"/>
  <c r="J462" i="37"/>
  <c r="E266" i="38"/>
  <c r="E221" i="38"/>
  <c r="E239" i="38"/>
  <c r="G155" i="66" s="1"/>
  <c r="N155" i="66" s="1"/>
  <c r="G11" i="66"/>
  <c r="N11" i="66" s="1"/>
  <c r="E207" i="38"/>
  <c r="E252" i="38"/>
  <c r="G219" i="66" s="1"/>
  <c r="G108" i="37"/>
  <c r="G108" i="41" s="1"/>
  <c r="G108" i="58"/>
  <c r="G132" i="58"/>
  <c r="G132" i="37"/>
  <c r="G132" i="41" s="1"/>
  <c r="G366" i="58"/>
  <c r="G366" i="37"/>
  <c r="G366" i="41" s="1"/>
  <c r="G477" i="58"/>
  <c r="G477" i="37"/>
  <c r="G477" i="41" s="1"/>
  <c r="G398" i="58"/>
  <c r="G398" i="37"/>
  <c r="G109" i="37"/>
  <c r="G109" i="41" s="1"/>
  <c r="G109" i="58"/>
  <c r="G133" i="58"/>
  <c r="G133" i="37"/>
  <c r="G133" i="41" s="1"/>
  <c r="G185" i="37"/>
  <c r="G185" i="41" s="1"/>
  <c r="G185" i="58"/>
  <c r="G433" i="58"/>
  <c r="G433" i="37"/>
  <c r="G433" i="41" s="1"/>
  <c r="G441" i="37"/>
  <c r="G441" i="41" s="1"/>
  <c r="G441" i="58"/>
  <c r="G449" i="37"/>
  <c r="G449" i="41" s="1"/>
  <c r="G449" i="58"/>
  <c r="G460" i="58"/>
  <c r="G460" i="37"/>
  <c r="G460" i="41" s="1"/>
  <c r="G469" i="58"/>
  <c r="G469" i="37"/>
  <c r="G469" i="41" s="1"/>
  <c r="G478" i="37"/>
  <c r="G478" i="41" s="1"/>
  <c r="G478" i="58"/>
  <c r="G486" i="37"/>
  <c r="G486" i="41" s="1"/>
  <c r="G486" i="58"/>
  <c r="G421" i="37"/>
  <c r="G421" i="58"/>
  <c r="G413" i="58"/>
  <c r="G413" i="37"/>
  <c r="G405" i="37"/>
  <c r="J405" i="37" s="1"/>
  <c r="G405" i="58"/>
  <c r="G397" i="37"/>
  <c r="G397" i="58"/>
  <c r="G389" i="37"/>
  <c r="J389" i="37" s="1"/>
  <c r="G389" i="58"/>
  <c r="G381" i="58"/>
  <c r="G381" i="37"/>
  <c r="G373" i="58"/>
  <c r="G373" i="37"/>
  <c r="G364" i="37"/>
  <c r="G364" i="58"/>
  <c r="G353" i="58"/>
  <c r="G353" i="37"/>
  <c r="G343" i="58"/>
  <c r="G343" i="37"/>
  <c r="G332" i="37"/>
  <c r="G332" i="58"/>
  <c r="G321" i="58"/>
  <c r="G321" i="37"/>
  <c r="G313" i="58"/>
  <c r="G313" i="37"/>
  <c r="J313" i="37" s="1"/>
  <c r="G305" i="58"/>
  <c r="G305" i="37"/>
  <c r="J305" i="37" s="1"/>
  <c r="G297" i="58"/>
  <c r="G297" i="37"/>
  <c r="G289" i="58"/>
  <c r="G289" i="37"/>
  <c r="G281" i="58"/>
  <c r="G281" i="37"/>
  <c r="G273" i="58"/>
  <c r="G273" i="37"/>
  <c r="G265" i="37"/>
  <c r="G265" i="58"/>
  <c r="G257" i="58"/>
  <c r="G257" i="37"/>
  <c r="G249" i="58"/>
  <c r="G249" i="37"/>
  <c r="J249" i="37" s="1"/>
  <c r="G239" i="58"/>
  <c r="G239" i="37"/>
  <c r="G228" i="37"/>
  <c r="J228" i="37" s="1"/>
  <c r="G228" i="58"/>
  <c r="G219" i="58"/>
  <c r="G219" i="37"/>
  <c r="G211" i="58"/>
  <c r="G211" i="37"/>
  <c r="G203" i="37"/>
  <c r="G203" i="58"/>
  <c r="G195" i="58"/>
  <c r="G195" i="37"/>
  <c r="G181" i="37"/>
  <c r="G181" i="58"/>
  <c r="G173" i="37"/>
  <c r="G173" i="58"/>
  <c r="G165" i="58"/>
  <c r="G165" i="37"/>
  <c r="G155" i="58"/>
  <c r="G155" i="37"/>
  <c r="J155" i="37" s="1"/>
  <c r="G144" i="58"/>
  <c r="G144" i="37"/>
  <c r="E483" i="37"/>
  <c r="E483" i="41" s="1"/>
  <c r="E483" i="58"/>
  <c r="E475" i="37"/>
  <c r="E475" i="41" s="1"/>
  <c r="E475" i="58"/>
  <c r="E466" i="58"/>
  <c r="E466" i="37"/>
  <c r="E466" i="41" s="1"/>
  <c r="E456" i="37"/>
  <c r="E456" i="41" s="1"/>
  <c r="E456" i="58"/>
  <c r="E446" i="37"/>
  <c r="E446" i="41" s="1"/>
  <c r="E446" i="58"/>
  <c r="E438" i="37"/>
  <c r="E438" i="41" s="1"/>
  <c r="E438" i="58"/>
  <c r="E430" i="37"/>
  <c r="E430" i="41" s="1"/>
  <c r="E430" i="58"/>
  <c r="E420" i="37"/>
  <c r="E420" i="41" s="1"/>
  <c r="E420" i="58"/>
  <c r="E412" i="37"/>
  <c r="E412" i="41" s="1"/>
  <c r="E412" i="58"/>
  <c r="E404" i="58"/>
  <c r="E404" i="37"/>
  <c r="E404" i="41" s="1"/>
  <c r="E396" i="37"/>
  <c r="E396" i="41" s="1"/>
  <c r="E396" i="58"/>
  <c r="E388" i="37"/>
  <c r="E388" i="41" s="1"/>
  <c r="E388" i="58"/>
  <c r="E380" i="37"/>
  <c r="E380" i="41" s="1"/>
  <c r="E380" i="58"/>
  <c r="E372" i="37"/>
  <c r="E372" i="41" s="1"/>
  <c r="E372" i="58"/>
  <c r="E364" i="58"/>
  <c r="E364" i="37"/>
  <c r="E364" i="41" s="1"/>
  <c r="E356" i="37"/>
  <c r="E356" i="41" s="1"/>
  <c r="E356" i="58"/>
  <c r="E348" i="58"/>
  <c r="E348" i="37"/>
  <c r="E348" i="41" s="1"/>
  <c r="E340" i="37"/>
  <c r="E340" i="41" s="1"/>
  <c r="E340" i="58"/>
  <c r="E332" i="37"/>
  <c r="E332" i="41" s="1"/>
  <c r="E332" i="58"/>
  <c r="E324" i="37"/>
  <c r="E324" i="41" s="1"/>
  <c r="E324" i="58"/>
  <c r="E316" i="58"/>
  <c r="E316" i="37"/>
  <c r="E316" i="41" s="1"/>
  <c r="E308" i="37"/>
  <c r="E308" i="41" s="1"/>
  <c r="E308" i="58"/>
  <c r="E300" i="37"/>
  <c r="E300" i="41" s="1"/>
  <c r="E300" i="58"/>
  <c r="E292" i="58"/>
  <c r="E292" i="37"/>
  <c r="E292" i="41" s="1"/>
  <c r="E284" i="58"/>
  <c r="E284" i="37"/>
  <c r="E284" i="41" s="1"/>
  <c r="E276" i="37"/>
  <c r="E276" i="41" s="1"/>
  <c r="E276" i="58"/>
  <c r="E268" i="37"/>
  <c r="E268" i="41" s="1"/>
  <c r="E268" i="58"/>
  <c r="E260" i="58"/>
  <c r="E260" i="37"/>
  <c r="E260" i="41" s="1"/>
  <c r="E252" i="37"/>
  <c r="E252" i="41" s="1"/>
  <c r="E252" i="58"/>
  <c r="E243" i="37"/>
  <c r="E243" i="41" s="1"/>
  <c r="E243" i="58"/>
  <c r="E232" i="58"/>
  <c r="E232" i="37"/>
  <c r="E232" i="41" s="1"/>
  <c r="E222" i="37"/>
  <c r="E222" i="41" s="1"/>
  <c r="E222" i="58"/>
  <c r="E214" i="37"/>
  <c r="E214" i="41" s="1"/>
  <c r="E214" i="58"/>
  <c r="E206" i="58"/>
  <c r="E206" i="37"/>
  <c r="E206" i="41" s="1"/>
  <c r="E198" i="37"/>
  <c r="E198" i="41" s="1"/>
  <c r="E198" i="58"/>
  <c r="E190" i="58"/>
  <c r="E190" i="37"/>
  <c r="E190" i="41" s="1"/>
  <c r="E182" i="37"/>
  <c r="E182" i="41" s="1"/>
  <c r="E182" i="58"/>
  <c r="E174" i="37"/>
  <c r="E174" i="41" s="1"/>
  <c r="E174" i="58"/>
  <c r="E166" i="58"/>
  <c r="E166" i="37"/>
  <c r="E166" i="41" s="1"/>
  <c r="E158" i="58"/>
  <c r="E158" i="37"/>
  <c r="E158" i="41" s="1"/>
  <c r="E150" i="37"/>
  <c r="E150" i="41" s="1"/>
  <c r="E150" i="58"/>
  <c r="E142" i="58"/>
  <c r="E142" i="37"/>
  <c r="E142" i="41" s="1"/>
  <c r="E134" i="58"/>
  <c r="E134" i="37"/>
  <c r="E134" i="41" s="1"/>
  <c r="E126" i="37"/>
  <c r="E126" i="41" s="1"/>
  <c r="E126" i="58"/>
  <c r="E118" i="37"/>
  <c r="E118" i="41" s="1"/>
  <c r="E118" i="58"/>
  <c r="E110" i="58"/>
  <c r="E110" i="37"/>
  <c r="E110" i="41" s="1"/>
  <c r="E102" i="37"/>
  <c r="E102" i="41" s="1"/>
  <c r="E102" i="58"/>
  <c r="E11" i="37"/>
  <c r="E11" i="41" s="1"/>
  <c r="E11" i="58"/>
  <c r="G13" i="58"/>
  <c r="G13" i="37"/>
  <c r="G490" i="37"/>
  <c r="G490" i="41" s="1"/>
  <c r="G490" i="58"/>
  <c r="E451" i="37"/>
  <c r="E451" i="41" s="1"/>
  <c r="E451" i="58"/>
  <c r="G242" i="37"/>
  <c r="G242" i="41" s="1"/>
  <c r="G242" i="58"/>
  <c r="E493" i="58"/>
  <c r="E493" i="37"/>
  <c r="E493" i="41" s="1"/>
  <c r="I468" i="37"/>
  <c r="I468" i="58"/>
  <c r="J468" i="58"/>
  <c r="J468" i="37"/>
  <c r="J458" i="58"/>
  <c r="J458" i="37"/>
  <c r="E272" i="38"/>
  <c r="E227" i="38"/>
  <c r="E219" i="38"/>
  <c r="E264" i="38"/>
  <c r="E247" i="38"/>
  <c r="G27" i="66"/>
  <c r="N27" i="66" s="1"/>
  <c r="E237" i="38"/>
  <c r="G171" i="66" s="1"/>
  <c r="N171" i="66" s="1"/>
  <c r="E217" i="38"/>
  <c r="E262" i="38"/>
  <c r="E213" i="38"/>
  <c r="E258" i="38"/>
  <c r="G197" i="66" s="1"/>
  <c r="E256" i="38"/>
  <c r="E211" i="38"/>
  <c r="H183" i="58"/>
  <c r="G131" i="37"/>
  <c r="G131" i="41" s="1"/>
  <c r="G131" i="58"/>
  <c r="G447" i="37"/>
  <c r="G447" i="41" s="1"/>
  <c r="G447" i="58"/>
  <c r="G399" i="58"/>
  <c r="G399" i="37"/>
  <c r="G356" i="58"/>
  <c r="G356" i="37"/>
  <c r="G299" i="58"/>
  <c r="G299" i="37"/>
  <c r="G231" i="58"/>
  <c r="G231" i="37"/>
  <c r="G157" i="58"/>
  <c r="G157" i="37"/>
  <c r="E432" i="58"/>
  <c r="E432" i="37"/>
  <c r="E432" i="41" s="1"/>
  <c r="E342" i="37"/>
  <c r="E342" i="41" s="1"/>
  <c r="E342" i="58"/>
  <c r="E286" i="37"/>
  <c r="E286" i="41" s="1"/>
  <c r="E286" i="58"/>
  <c r="E245" i="37"/>
  <c r="E245" i="41" s="1"/>
  <c r="E245" i="58"/>
  <c r="E200" i="37"/>
  <c r="E200" i="41" s="1"/>
  <c r="E200" i="58"/>
  <c r="E176" i="37"/>
  <c r="E176" i="41" s="1"/>
  <c r="E176" i="58"/>
  <c r="E120" i="58"/>
  <c r="E120" i="37"/>
  <c r="E120" i="41" s="1"/>
  <c r="E4" i="37"/>
  <c r="E4" i="41" s="1"/>
  <c r="E4" i="58"/>
  <c r="E452" i="37"/>
  <c r="E452" i="41" s="1"/>
  <c r="E452" i="58"/>
  <c r="E230" i="58"/>
  <c r="E230" i="37"/>
  <c r="E230" i="41" s="1"/>
  <c r="H472" i="58"/>
  <c r="H472" i="37"/>
  <c r="G100" i="58"/>
  <c r="G100" i="37"/>
  <c r="G100" i="41" s="1"/>
  <c r="G184" i="37"/>
  <c r="G184" i="41" s="1"/>
  <c r="G184" i="58"/>
  <c r="G440" i="37"/>
  <c r="G440" i="41" s="1"/>
  <c r="G440" i="58"/>
  <c r="G468" i="58"/>
  <c r="G468" i="37"/>
  <c r="G468" i="41" s="1"/>
  <c r="G414" i="37"/>
  <c r="G414" i="58"/>
  <c r="G9" i="37"/>
  <c r="G9" i="41" s="1"/>
  <c r="G9" i="58"/>
  <c r="G125" i="58"/>
  <c r="G125" i="37"/>
  <c r="G125" i="41" s="1"/>
  <c r="G338" i="37"/>
  <c r="G338" i="41" s="1"/>
  <c r="G338" i="58"/>
  <c r="G10" i="58"/>
  <c r="G10" i="37"/>
  <c r="G10" i="41" s="1"/>
  <c r="G110" i="37"/>
  <c r="G110" i="41" s="1"/>
  <c r="G110" i="58"/>
  <c r="G134" i="58"/>
  <c r="G134" i="37"/>
  <c r="G134" i="41" s="1"/>
  <c r="G186" i="58"/>
  <c r="G186" i="37"/>
  <c r="G186" i="41" s="1"/>
  <c r="G424" i="58"/>
  <c r="G424" i="37"/>
  <c r="G424" i="41" s="1"/>
  <c r="G442" i="58"/>
  <c r="G442" i="37"/>
  <c r="G442" i="41" s="1"/>
  <c r="G462" i="37"/>
  <c r="G462" i="41" s="1"/>
  <c r="G462" i="58"/>
  <c r="G470" i="58"/>
  <c r="G470" i="37"/>
  <c r="G470" i="41" s="1"/>
  <c r="G479" i="58"/>
  <c r="G479" i="37"/>
  <c r="G479" i="41" s="1"/>
  <c r="G489" i="58"/>
  <c r="G489" i="37"/>
  <c r="G489" i="41" s="1"/>
  <c r="E374" i="38"/>
  <c r="K237" i="66" s="1"/>
  <c r="E376" i="38"/>
  <c r="K203" i="66" s="1"/>
  <c r="E375" i="38"/>
  <c r="K219" i="66" s="1"/>
  <c r="I478" i="58"/>
  <c r="E377" i="38" s="1"/>
  <c r="K201" i="66" s="1"/>
  <c r="I478" i="37"/>
  <c r="G420" i="37"/>
  <c r="G420" i="58"/>
  <c r="G412" i="37"/>
  <c r="G412" i="58"/>
  <c r="G404" i="58"/>
  <c r="G404" i="37"/>
  <c r="G396" i="58"/>
  <c r="G396" i="37"/>
  <c r="G388" i="37"/>
  <c r="J388" i="37" s="1"/>
  <c r="G388" i="58"/>
  <c r="G380" i="58"/>
  <c r="G380" i="37"/>
  <c r="J380" i="37" s="1"/>
  <c r="G372" i="37"/>
  <c r="G372" i="58"/>
  <c r="G363" i="37"/>
  <c r="G363" i="58"/>
  <c r="G352" i="58"/>
  <c r="G352" i="37"/>
  <c r="G341" i="37"/>
  <c r="G341" i="58"/>
  <c r="G331" i="58"/>
  <c r="G331" i="37"/>
  <c r="G320" i="37"/>
  <c r="G320" i="58"/>
  <c r="G312" i="58"/>
  <c r="G312" i="37"/>
  <c r="G304" i="37"/>
  <c r="G304" i="58"/>
  <c r="G296" i="37"/>
  <c r="J296" i="37" s="1"/>
  <c r="G296" i="58"/>
  <c r="G288" i="58"/>
  <c r="G288" i="37"/>
  <c r="G280" i="37"/>
  <c r="G280" i="58"/>
  <c r="G272" i="37"/>
  <c r="G272" i="58"/>
  <c r="G264" i="37"/>
  <c r="G264" i="58"/>
  <c r="G256" i="58"/>
  <c r="G256" i="37"/>
  <c r="G248" i="58"/>
  <c r="G248" i="37"/>
  <c r="G237" i="58"/>
  <c r="G237" i="37"/>
  <c r="J237" i="37" s="1"/>
  <c r="G227" i="58"/>
  <c r="G227" i="37"/>
  <c r="J227" i="37" s="1"/>
  <c r="G218" i="58"/>
  <c r="G218" i="37"/>
  <c r="G210" i="58"/>
  <c r="G210" i="37"/>
  <c r="G202" i="58"/>
  <c r="G202" i="37"/>
  <c r="G194" i="58"/>
  <c r="G194" i="37"/>
  <c r="G180" i="58"/>
  <c r="G180" i="37"/>
  <c r="G172" i="37"/>
  <c r="G172" i="58"/>
  <c r="G164" i="37"/>
  <c r="G164" i="58"/>
  <c r="G153" i="58"/>
  <c r="G153" i="37"/>
  <c r="G143" i="58"/>
  <c r="G143" i="37"/>
  <c r="J143" i="37" s="1"/>
  <c r="E482" i="58"/>
  <c r="E482" i="37"/>
  <c r="E482" i="41" s="1"/>
  <c r="E474" i="37"/>
  <c r="E474" i="41" s="1"/>
  <c r="E474" i="58"/>
  <c r="E465" i="58"/>
  <c r="E465" i="37"/>
  <c r="E465" i="41" s="1"/>
  <c r="E455" i="37"/>
  <c r="E455" i="41" s="1"/>
  <c r="E455" i="58"/>
  <c r="E445" i="37"/>
  <c r="E445" i="41" s="1"/>
  <c r="E445" i="58"/>
  <c r="E437" i="58"/>
  <c r="E437" i="37"/>
  <c r="E437" i="41" s="1"/>
  <c r="E429" i="37"/>
  <c r="E429" i="41" s="1"/>
  <c r="E429" i="58"/>
  <c r="E419" i="58"/>
  <c r="E419" i="37"/>
  <c r="E419" i="41" s="1"/>
  <c r="E411" i="58"/>
  <c r="E411" i="37"/>
  <c r="E411" i="41" s="1"/>
  <c r="E403" i="58"/>
  <c r="E403" i="37"/>
  <c r="E403" i="41" s="1"/>
  <c r="E395" i="58"/>
  <c r="E395" i="37"/>
  <c r="E395" i="41" s="1"/>
  <c r="E387" i="37"/>
  <c r="E387" i="41" s="1"/>
  <c r="E387" i="58"/>
  <c r="E379" i="37"/>
  <c r="E379" i="41" s="1"/>
  <c r="E379" i="58"/>
  <c r="E371" i="37"/>
  <c r="E371" i="41" s="1"/>
  <c r="E371" i="58"/>
  <c r="E363" i="58"/>
  <c r="E363" i="37"/>
  <c r="E363" i="41" s="1"/>
  <c r="E355" i="58"/>
  <c r="E355" i="37"/>
  <c r="E355" i="41" s="1"/>
  <c r="E347" i="37"/>
  <c r="E347" i="41" s="1"/>
  <c r="E347" i="58"/>
  <c r="E339" i="58"/>
  <c r="E339" i="37"/>
  <c r="E339" i="41" s="1"/>
  <c r="E331" i="37"/>
  <c r="E331" i="41" s="1"/>
  <c r="E331" i="58"/>
  <c r="E323" i="58"/>
  <c r="E323" i="37"/>
  <c r="E323" i="41" s="1"/>
  <c r="E315" i="58"/>
  <c r="E315" i="37"/>
  <c r="E315" i="41" s="1"/>
  <c r="E307" i="37"/>
  <c r="E307" i="41" s="1"/>
  <c r="E307" i="58"/>
  <c r="E299" i="58"/>
  <c r="E299" i="37"/>
  <c r="E299" i="41" s="1"/>
  <c r="E291" i="58"/>
  <c r="E291" i="37"/>
  <c r="E291" i="41" s="1"/>
  <c r="E283" i="58"/>
  <c r="E283" i="37"/>
  <c r="E283" i="41" s="1"/>
  <c r="E275" i="58"/>
  <c r="E275" i="37"/>
  <c r="E275" i="41" s="1"/>
  <c r="E267" i="58"/>
  <c r="E267" i="37"/>
  <c r="E267" i="41" s="1"/>
  <c r="E259" i="58"/>
  <c r="E259" i="37"/>
  <c r="E259" i="41" s="1"/>
  <c r="E251" i="37"/>
  <c r="E251" i="41" s="1"/>
  <c r="E251" i="58"/>
  <c r="E241" i="58"/>
  <c r="E241" i="37"/>
  <c r="E241" i="41" s="1"/>
  <c r="E231" i="37"/>
  <c r="E231" i="41" s="1"/>
  <c r="E231" i="58"/>
  <c r="E221" i="37"/>
  <c r="E221" i="41" s="1"/>
  <c r="E221" i="58"/>
  <c r="E213" i="58"/>
  <c r="E213" i="37"/>
  <c r="E213" i="41" s="1"/>
  <c r="E205" i="37"/>
  <c r="E205" i="41" s="1"/>
  <c r="E205" i="58"/>
  <c r="E197" i="37"/>
  <c r="E197" i="41" s="1"/>
  <c r="E197" i="58"/>
  <c r="E189" i="58"/>
  <c r="E189" i="37"/>
  <c r="E189" i="41" s="1"/>
  <c r="E181" i="37"/>
  <c r="E181" i="41" s="1"/>
  <c r="E181" i="58"/>
  <c r="E173" i="37"/>
  <c r="E173" i="41" s="1"/>
  <c r="E173" i="58"/>
  <c r="E165" i="37"/>
  <c r="E165" i="41" s="1"/>
  <c r="E165" i="58"/>
  <c r="E157" i="37"/>
  <c r="E157" i="41" s="1"/>
  <c r="E157" i="58"/>
  <c r="E149" i="37"/>
  <c r="E149" i="41" s="1"/>
  <c r="E149" i="58"/>
  <c r="E141" i="58"/>
  <c r="E141" i="37"/>
  <c r="E141" i="41" s="1"/>
  <c r="E133" i="37"/>
  <c r="E133" i="41" s="1"/>
  <c r="E133" i="58"/>
  <c r="E125" i="37"/>
  <c r="E125" i="41" s="1"/>
  <c r="E125" i="58"/>
  <c r="E117" i="37"/>
  <c r="E117" i="41" s="1"/>
  <c r="E117" i="58"/>
  <c r="E109" i="58"/>
  <c r="E109" i="37"/>
  <c r="E109" i="41" s="1"/>
  <c r="E101" i="37"/>
  <c r="E101" i="41" s="1"/>
  <c r="E101" i="58"/>
  <c r="E10" i="37"/>
  <c r="E10" i="41" s="1"/>
  <c r="E10" i="58"/>
  <c r="E13" i="37"/>
  <c r="E13" i="41" s="1"/>
  <c r="E13" i="58"/>
  <c r="G492" i="37"/>
  <c r="G492" i="41" s="1"/>
  <c r="G492" i="58"/>
  <c r="G246" i="58"/>
  <c r="G246" i="37"/>
  <c r="G246" i="41" s="1"/>
  <c r="G493" i="58"/>
  <c r="G493" i="37"/>
  <c r="G493" i="41" s="1"/>
  <c r="E271" i="38"/>
  <c r="E226" i="38"/>
  <c r="E218" i="38"/>
  <c r="E263" i="38"/>
  <c r="H463" i="37"/>
  <c r="H463" i="58"/>
  <c r="E246" i="38"/>
  <c r="E236" i="38"/>
  <c r="E204" i="38"/>
  <c r="E249" i="38"/>
  <c r="G22" i="66"/>
  <c r="E244" i="38"/>
  <c r="G166" i="66" s="1"/>
  <c r="G7" i="37"/>
  <c r="G7" i="41" s="1"/>
  <c r="G7" i="58"/>
  <c r="G123" i="37"/>
  <c r="G123" i="41" s="1"/>
  <c r="G123" i="58"/>
  <c r="G439" i="58"/>
  <c r="G439" i="37"/>
  <c r="G439" i="41" s="1"/>
  <c r="G415" i="58"/>
  <c r="G415" i="37"/>
  <c r="G367" i="58"/>
  <c r="G367" i="37"/>
  <c r="G324" i="58"/>
  <c r="G324" i="37"/>
  <c r="G275" i="37"/>
  <c r="G275" i="58"/>
  <c r="G213" i="58"/>
  <c r="G213" i="37"/>
  <c r="G147" i="58"/>
  <c r="G147" i="37"/>
  <c r="E440" i="58"/>
  <c r="E440" i="37"/>
  <c r="E440" i="41" s="1"/>
  <c r="E382" i="37"/>
  <c r="E382" i="41" s="1"/>
  <c r="E382" i="58"/>
  <c r="E302" i="58"/>
  <c r="E302" i="37"/>
  <c r="E302" i="41" s="1"/>
  <c r="E168" i="58"/>
  <c r="E168" i="37"/>
  <c r="E168" i="41" s="1"/>
  <c r="E254" i="38"/>
  <c r="G203" i="66" s="1"/>
  <c r="E209" i="38"/>
  <c r="E250" i="38"/>
  <c r="G237" i="66" s="1"/>
  <c r="E205" i="38"/>
  <c r="G8" i="37"/>
  <c r="G8" i="41" s="1"/>
  <c r="G8" i="58"/>
  <c r="G124" i="58"/>
  <c r="G124" i="37"/>
  <c r="G124" i="41" s="1"/>
  <c r="G140" i="37"/>
  <c r="G140" i="41" s="1"/>
  <c r="G140" i="58"/>
  <c r="G432" i="37"/>
  <c r="G432" i="41" s="1"/>
  <c r="G432" i="58"/>
  <c r="G458" i="37"/>
  <c r="G458" i="41" s="1"/>
  <c r="G458" i="58"/>
  <c r="G422" i="58"/>
  <c r="G422" i="37"/>
  <c r="G390" i="37"/>
  <c r="G390" i="58"/>
  <c r="G101" i="58"/>
  <c r="G101" i="37"/>
  <c r="G101" i="41" s="1"/>
  <c r="G117" i="37"/>
  <c r="G117" i="41" s="1"/>
  <c r="G117" i="58"/>
  <c r="G142" i="37"/>
  <c r="G142" i="41" s="1"/>
  <c r="G142" i="58"/>
  <c r="G423" i="58"/>
  <c r="G423" i="37"/>
  <c r="G423" i="41" s="1"/>
  <c r="G102" i="58"/>
  <c r="G102" i="37"/>
  <c r="G102" i="41" s="1"/>
  <c r="G118" i="37"/>
  <c r="G118" i="41" s="1"/>
  <c r="G118" i="58"/>
  <c r="G126" i="37"/>
  <c r="G126" i="41" s="1"/>
  <c r="G126" i="58"/>
  <c r="G146" i="37"/>
  <c r="G146" i="41" s="1"/>
  <c r="G146" i="58"/>
  <c r="G342" i="37"/>
  <c r="G342" i="41" s="1"/>
  <c r="G342" i="58"/>
  <c r="G434" i="58"/>
  <c r="G434" i="37"/>
  <c r="G434" i="41" s="1"/>
  <c r="G450" i="58"/>
  <c r="G450" i="37"/>
  <c r="G450" i="41" s="1"/>
  <c r="G95" i="58"/>
  <c r="G95" i="37"/>
  <c r="G95" i="41" s="1"/>
  <c r="G103" i="58"/>
  <c r="G103" i="37"/>
  <c r="G103" i="41" s="1"/>
  <c r="G111" i="37"/>
  <c r="G111" i="41" s="1"/>
  <c r="G111" i="58"/>
  <c r="G119" i="58"/>
  <c r="G119" i="37"/>
  <c r="G119" i="41" s="1"/>
  <c r="G127" i="58"/>
  <c r="G127" i="37"/>
  <c r="G127" i="41" s="1"/>
  <c r="G135" i="37"/>
  <c r="G135" i="41" s="1"/>
  <c r="G135" i="58"/>
  <c r="G150" i="37"/>
  <c r="G150" i="41" s="1"/>
  <c r="G150" i="58"/>
  <c r="G187" i="37"/>
  <c r="G187" i="41" s="1"/>
  <c r="G187" i="58"/>
  <c r="G346" i="58"/>
  <c r="G346" i="37"/>
  <c r="G346" i="41" s="1"/>
  <c r="G426" i="58"/>
  <c r="G426" i="37"/>
  <c r="G426" i="41" s="1"/>
  <c r="G435" i="37"/>
  <c r="G435" i="41" s="1"/>
  <c r="G435" i="58"/>
  <c r="G443" i="37"/>
  <c r="G443" i="41" s="1"/>
  <c r="G443" i="58"/>
  <c r="G453" i="58"/>
  <c r="G453" i="37"/>
  <c r="G453" i="41" s="1"/>
  <c r="G463" i="37"/>
  <c r="G463" i="41" s="1"/>
  <c r="G463" i="58"/>
  <c r="G472" i="37"/>
  <c r="G472" i="41" s="1"/>
  <c r="G472" i="58"/>
  <c r="G480" i="58"/>
  <c r="G480" i="37"/>
  <c r="G480" i="41" s="1"/>
  <c r="G419" i="58"/>
  <c r="G419" i="37"/>
  <c r="G411" i="58"/>
  <c r="G411" i="37"/>
  <c r="G403" i="37"/>
  <c r="G403" i="58"/>
  <c r="G395" i="37"/>
  <c r="G395" i="58"/>
  <c r="G387" i="58"/>
  <c r="G387" i="37"/>
  <c r="G379" i="37"/>
  <c r="J379" i="37" s="1"/>
  <c r="G379" i="58"/>
  <c r="G371" i="58"/>
  <c r="G371" i="37"/>
  <c r="G361" i="37"/>
  <c r="G361" i="58"/>
  <c r="G351" i="58"/>
  <c r="G351" i="37"/>
  <c r="G340" i="58"/>
  <c r="G340" i="37"/>
  <c r="G329" i="58"/>
  <c r="G329" i="37"/>
  <c r="G319" i="58"/>
  <c r="G319" i="37"/>
  <c r="G311" i="58"/>
  <c r="G311" i="37"/>
  <c r="G303" i="58"/>
  <c r="G303" i="37"/>
  <c r="G295" i="58"/>
  <c r="G295" i="37"/>
  <c r="J295" i="37" s="1"/>
  <c r="G287" i="37"/>
  <c r="G287" i="58"/>
  <c r="G279" i="37"/>
  <c r="G279" i="58"/>
  <c r="G271" i="37"/>
  <c r="G271" i="58"/>
  <c r="G263" i="37"/>
  <c r="G263" i="58"/>
  <c r="G255" i="58"/>
  <c r="G255" i="37"/>
  <c r="G247" i="37"/>
  <c r="G247" i="58"/>
  <c r="G236" i="58"/>
  <c r="G236" i="37"/>
  <c r="G225" i="58"/>
  <c r="G225" i="37"/>
  <c r="J225" i="37" s="1"/>
  <c r="G217" i="37"/>
  <c r="J217" i="37" s="1"/>
  <c r="G217" i="58"/>
  <c r="G209" i="58"/>
  <c r="G209" i="37"/>
  <c r="J209" i="37" s="1"/>
  <c r="G201" i="37"/>
  <c r="G201" i="58"/>
  <c r="G193" i="58"/>
  <c r="G193" i="37"/>
  <c r="G179" i="58"/>
  <c r="G179" i="37"/>
  <c r="G171" i="58"/>
  <c r="G171" i="37"/>
  <c r="G163" i="58"/>
  <c r="G163" i="37"/>
  <c r="G152" i="37"/>
  <c r="G152" i="58"/>
  <c r="G141" i="58"/>
  <c r="G141" i="37"/>
  <c r="J141" i="37" s="1"/>
  <c r="E481" i="58"/>
  <c r="E481" i="37"/>
  <c r="E481" i="41" s="1"/>
  <c r="E473" i="58"/>
  <c r="E473" i="37"/>
  <c r="E473" i="41" s="1"/>
  <c r="E464" i="58"/>
  <c r="E464" i="37"/>
  <c r="E464" i="41" s="1"/>
  <c r="E454" i="58"/>
  <c r="E454" i="37"/>
  <c r="E454" i="41" s="1"/>
  <c r="E444" i="58"/>
  <c r="E444" i="37"/>
  <c r="E444" i="41" s="1"/>
  <c r="E436" i="58"/>
  <c r="E436" i="37"/>
  <c r="E436" i="41" s="1"/>
  <c r="E427" i="58"/>
  <c r="E427" i="37"/>
  <c r="E427" i="41" s="1"/>
  <c r="E418" i="58"/>
  <c r="E418" i="37"/>
  <c r="E418" i="41" s="1"/>
  <c r="E410" i="58"/>
  <c r="E410" i="37"/>
  <c r="E410" i="41" s="1"/>
  <c r="E402" i="58"/>
  <c r="E402" i="37"/>
  <c r="E402" i="41" s="1"/>
  <c r="E394" i="58"/>
  <c r="E394" i="37"/>
  <c r="E394" i="41" s="1"/>
  <c r="E386" i="37"/>
  <c r="E386" i="41" s="1"/>
  <c r="E386" i="58"/>
  <c r="E378" i="37"/>
  <c r="E378" i="41" s="1"/>
  <c r="E378" i="58"/>
  <c r="E370" i="37"/>
  <c r="E370" i="41" s="1"/>
  <c r="E370" i="58"/>
  <c r="E362" i="58"/>
  <c r="E362" i="37"/>
  <c r="E362" i="41" s="1"/>
  <c r="E354" i="37"/>
  <c r="E354" i="41" s="1"/>
  <c r="E354" i="58"/>
  <c r="E346" i="37"/>
  <c r="E346" i="41" s="1"/>
  <c r="E346" i="58"/>
  <c r="E338" i="58"/>
  <c r="E338" i="37"/>
  <c r="E338" i="41" s="1"/>
  <c r="E330" i="37"/>
  <c r="E330" i="41" s="1"/>
  <c r="E330" i="58"/>
  <c r="E322" i="37"/>
  <c r="E322" i="41" s="1"/>
  <c r="E322" i="58"/>
  <c r="E314" i="58"/>
  <c r="E314" i="37"/>
  <c r="E314" i="41" s="1"/>
  <c r="E306" i="58"/>
  <c r="E306" i="37"/>
  <c r="E306" i="41" s="1"/>
  <c r="E298" i="58"/>
  <c r="E298" i="37"/>
  <c r="E298" i="41" s="1"/>
  <c r="E290" i="58"/>
  <c r="E290" i="37"/>
  <c r="E290" i="41" s="1"/>
  <c r="E282" i="58"/>
  <c r="E282" i="37"/>
  <c r="E282" i="41" s="1"/>
  <c r="E274" i="58"/>
  <c r="E274" i="37"/>
  <c r="E274" i="41" s="1"/>
  <c r="E266" i="58"/>
  <c r="E266" i="37"/>
  <c r="E266" i="41" s="1"/>
  <c r="E258" i="58"/>
  <c r="E258" i="37"/>
  <c r="E258" i="41" s="1"/>
  <c r="E250" i="58"/>
  <c r="E250" i="37"/>
  <c r="E250" i="41" s="1"/>
  <c r="E240" i="58"/>
  <c r="E240" i="37"/>
  <c r="E240" i="41" s="1"/>
  <c r="E229" i="58"/>
  <c r="E229" i="37"/>
  <c r="E229" i="41" s="1"/>
  <c r="E220" i="37"/>
  <c r="E220" i="41" s="1"/>
  <c r="E220" i="58"/>
  <c r="E212" i="58"/>
  <c r="E212" i="37"/>
  <c r="E212" i="41" s="1"/>
  <c r="E204" i="37"/>
  <c r="E204" i="41" s="1"/>
  <c r="E204" i="58"/>
  <c r="E196" i="58"/>
  <c r="E196" i="37"/>
  <c r="E196" i="41" s="1"/>
  <c r="E188" i="37"/>
  <c r="E188" i="41" s="1"/>
  <c r="E188" i="58"/>
  <c r="E180" i="58"/>
  <c r="E180" i="37"/>
  <c r="E180" i="41" s="1"/>
  <c r="E172" i="37"/>
  <c r="E172" i="41" s="1"/>
  <c r="E172" i="58"/>
  <c r="E164" i="37"/>
  <c r="E164" i="41" s="1"/>
  <c r="E164" i="58"/>
  <c r="E156" i="58"/>
  <c r="E156" i="37"/>
  <c r="E156" i="41" s="1"/>
  <c r="E148" i="37"/>
  <c r="E148" i="41" s="1"/>
  <c r="E148" i="58"/>
  <c r="E140" i="37"/>
  <c r="E140" i="41" s="1"/>
  <c r="E140" i="58"/>
  <c r="E132" i="37"/>
  <c r="E132" i="41" s="1"/>
  <c r="E132" i="58"/>
  <c r="E124" i="37"/>
  <c r="E124" i="41" s="1"/>
  <c r="E124" i="58"/>
  <c r="E116" i="58"/>
  <c r="E116" i="37"/>
  <c r="E116" i="41" s="1"/>
  <c r="E108" i="58"/>
  <c r="E108" i="37"/>
  <c r="E108" i="41" s="1"/>
  <c r="E100" i="37"/>
  <c r="E100" i="41" s="1"/>
  <c r="E100" i="58"/>
  <c r="E9" i="37"/>
  <c r="E9" i="41" s="1"/>
  <c r="E9" i="58"/>
  <c r="G12" i="58"/>
  <c r="G12" i="37"/>
  <c r="E492" i="58"/>
  <c r="E492" i="37"/>
  <c r="E492" i="41" s="1"/>
  <c r="E246" i="58"/>
  <c r="E246" i="37"/>
  <c r="E246" i="41" s="1"/>
  <c r="H8" i="58"/>
  <c r="E270" i="38"/>
  <c r="G249" i="66" s="1"/>
  <c r="E225" i="38"/>
  <c r="G105" i="66" s="1"/>
  <c r="H462" i="58"/>
  <c r="H462" i="37"/>
  <c r="E243" i="38"/>
  <c r="G149" i="66" s="1"/>
  <c r="G5" i="66"/>
  <c r="E235" i="38"/>
  <c r="G189" i="66" s="1"/>
  <c r="N189" i="66" s="1"/>
  <c r="G45" i="66"/>
  <c r="N45" i="66" s="1"/>
  <c r="I463" i="37"/>
  <c r="I463" i="58"/>
  <c r="E253" i="38"/>
  <c r="E208" i="38"/>
  <c r="E251" i="38"/>
  <c r="E206" i="38"/>
  <c r="G171" i="41" l="1"/>
  <c r="H171" i="37"/>
  <c r="I171" i="37"/>
  <c r="J171" i="37"/>
  <c r="G225" i="41"/>
  <c r="H225" i="37"/>
  <c r="I225" i="37"/>
  <c r="G329" i="41"/>
  <c r="H329" i="37"/>
  <c r="I329" i="37"/>
  <c r="J329" i="37"/>
  <c r="G387" i="41"/>
  <c r="H387" i="37"/>
  <c r="I387" i="37"/>
  <c r="G324" i="41"/>
  <c r="H324" i="37"/>
  <c r="I324" i="37"/>
  <c r="G194" i="41"/>
  <c r="H194" i="37"/>
  <c r="I194" i="37"/>
  <c r="J194" i="37"/>
  <c r="G248" i="41"/>
  <c r="H248" i="37"/>
  <c r="J248" i="37"/>
  <c r="I248" i="37"/>
  <c r="G352" i="41"/>
  <c r="H352" i="37"/>
  <c r="J352" i="37"/>
  <c r="I352" i="37"/>
  <c r="G404" i="41"/>
  <c r="H404" i="37"/>
  <c r="J404" i="37"/>
  <c r="I404" i="37"/>
  <c r="G265" i="41"/>
  <c r="H265" i="37"/>
  <c r="J265" i="37"/>
  <c r="I265" i="37"/>
  <c r="G421" i="41"/>
  <c r="H421" i="37"/>
  <c r="I421" i="37"/>
  <c r="J421" i="37"/>
  <c r="G182" i="41"/>
  <c r="H182" i="37"/>
  <c r="J182" i="37"/>
  <c r="I182" i="37"/>
  <c r="G290" i="41"/>
  <c r="H290" i="37"/>
  <c r="I290" i="37"/>
  <c r="J290" i="37"/>
  <c r="G175" i="41"/>
  <c r="H175" i="37"/>
  <c r="I175" i="37"/>
  <c r="G252" i="41"/>
  <c r="H252" i="37"/>
  <c r="I252" i="37"/>
  <c r="J252" i="37"/>
  <c r="G300" i="41"/>
  <c r="H300" i="37"/>
  <c r="J300" i="37"/>
  <c r="I300" i="37"/>
  <c r="G357" i="41"/>
  <c r="H357" i="37"/>
  <c r="I357" i="37"/>
  <c r="G302" i="41"/>
  <c r="H302" i="37"/>
  <c r="J302" i="37"/>
  <c r="I302" i="37"/>
  <c r="G221" i="41"/>
  <c r="H221" i="37"/>
  <c r="I221" i="37"/>
  <c r="J221" i="37"/>
  <c r="G244" i="41"/>
  <c r="H244" i="37"/>
  <c r="I244" i="37"/>
  <c r="J244" i="37"/>
  <c r="G401" i="41"/>
  <c r="H401" i="37"/>
  <c r="J401" i="37"/>
  <c r="I401" i="37"/>
  <c r="G151" i="41"/>
  <c r="H151" i="37"/>
  <c r="J151" i="37"/>
  <c r="I151" i="37"/>
  <c r="G370" i="41"/>
  <c r="H370" i="37"/>
  <c r="I370" i="37"/>
  <c r="G192" i="41"/>
  <c r="H192" i="37"/>
  <c r="I192" i="37"/>
  <c r="J192" i="37"/>
  <c r="G339" i="41"/>
  <c r="H339" i="37"/>
  <c r="I339" i="37"/>
  <c r="J339" i="37"/>
  <c r="J357" i="37"/>
  <c r="G416" i="41"/>
  <c r="H416" i="37"/>
  <c r="I416" i="37"/>
  <c r="G170" i="41"/>
  <c r="H170" i="37"/>
  <c r="J170" i="37"/>
  <c r="I170" i="37"/>
  <c r="G283" i="41"/>
  <c r="H283" i="37"/>
  <c r="I283" i="37"/>
  <c r="J283" i="37"/>
  <c r="J387" i="37"/>
  <c r="G179" i="41"/>
  <c r="H179" i="37"/>
  <c r="J179" i="37"/>
  <c r="I179" i="37"/>
  <c r="G236" i="41"/>
  <c r="H236" i="37"/>
  <c r="J236" i="37"/>
  <c r="I236" i="37"/>
  <c r="G340" i="41"/>
  <c r="H340" i="37"/>
  <c r="J340" i="37"/>
  <c r="I340" i="37"/>
  <c r="G367" i="41"/>
  <c r="H367" i="37"/>
  <c r="I367" i="37"/>
  <c r="J367" i="37"/>
  <c r="G143" i="41"/>
  <c r="H143" i="37"/>
  <c r="I143" i="37"/>
  <c r="G202" i="41"/>
  <c r="H202" i="37"/>
  <c r="J202" i="37"/>
  <c r="I202" i="37"/>
  <c r="G256" i="41"/>
  <c r="H256" i="37"/>
  <c r="I256" i="37"/>
  <c r="J256" i="37"/>
  <c r="G414" i="41"/>
  <c r="H414" i="37"/>
  <c r="I414" i="37"/>
  <c r="G196" i="41"/>
  <c r="H196" i="37"/>
  <c r="I196" i="37"/>
  <c r="J196" i="37"/>
  <c r="G250" i="41"/>
  <c r="H250" i="37"/>
  <c r="I250" i="37"/>
  <c r="G298" i="41"/>
  <c r="H298" i="37"/>
  <c r="I298" i="37"/>
  <c r="J298" i="37"/>
  <c r="G355" i="41"/>
  <c r="H355" i="37"/>
  <c r="J355" i="37"/>
  <c r="I355" i="37"/>
  <c r="G251" i="41"/>
  <c r="H251" i="37"/>
  <c r="I251" i="37"/>
  <c r="G206" i="41"/>
  <c r="H206" i="37"/>
  <c r="I206" i="37"/>
  <c r="J206" i="37"/>
  <c r="G368" i="41"/>
  <c r="H368" i="37"/>
  <c r="I368" i="37"/>
  <c r="J368" i="37"/>
  <c r="G310" i="41"/>
  <c r="H310" i="37"/>
  <c r="I310" i="37"/>
  <c r="J310" i="37"/>
  <c r="G253" i="41"/>
  <c r="H253" i="37"/>
  <c r="I253" i="37"/>
  <c r="J253" i="37"/>
  <c r="G301" i="41"/>
  <c r="H301" i="37"/>
  <c r="J301" i="37"/>
  <c r="I301" i="37"/>
  <c r="G359" i="41"/>
  <c r="H359" i="37"/>
  <c r="I359" i="37"/>
  <c r="G409" i="41"/>
  <c r="H409" i="37"/>
  <c r="I409" i="37"/>
  <c r="J409" i="37"/>
  <c r="G383" i="41"/>
  <c r="H383" i="37"/>
  <c r="I383" i="37"/>
  <c r="J383" i="37"/>
  <c r="G199" i="41"/>
  <c r="H199" i="37"/>
  <c r="I199" i="37"/>
  <c r="G178" i="41"/>
  <c r="H178" i="37"/>
  <c r="J178" i="37"/>
  <c r="I178" i="37"/>
  <c r="G304" i="41"/>
  <c r="H304" i="37"/>
  <c r="I304" i="37"/>
  <c r="G363" i="41"/>
  <c r="H363" i="37"/>
  <c r="J363" i="37"/>
  <c r="I363" i="37"/>
  <c r="G412" i="41"/>
  <c r="H412" i="37"/>
  <c r="I412" i="37"/>
  <c r="J412" i="37"/>
  <c r="G399" i="41"/>
  <c r="H399" i="37"/>
  <c r="J399" i="37"/>
  <c r="I399" i="37"/>
  <c r="G281" i="41"/>
  <c r="H281" i="37"/>
  <c r="J281" i="37"/>
  <c r="I281" i="37"/>
  <c r="G335" i="41"/>
  <c r="H335" i="37"/>
  <c r="I335" i="37"/>
  <c r="G145" i="41"/>
  <c r="H145" i="37"/>
  <c r="I145" i="37"/>
  <c r="J145" i="37"/>
  <c r="G204" i="41"/>
  <c r="H204" i="37"/>
  <c r="I204" i="37"/>
  <c r="J204" i="37"/>
  <c r="G306" i="41"/>
  <c r="H306" i="37"/>
  <c r="I306" i="37"/>
  <c r="J306" i="37"/>
  <c r="G365" i="41"/>
  <c r="H365" i="37"/>
  <c r="J365" i="37"/>
  <c r="I365" i="37"/>
  <c r="G214" i="41"/>
  <c r="H214" i="37"/>
  <c r="I214" i="37"/>
  <c r="J214" i="37"/>
  <c r="G268" i="41"/>
  <c r="H268" i="37"/>
  <c r="I268" i="37"/>
  <c r="G376" i="41"/>
  <c r="H376" i="37"/>
  <c r="I376" i="37"/>
  <c r="J376" i="37"/>
  <c r="G200" i="41"/>
  <c r="H200" i="37"/>
  <c r="I200" i="37"/>
  <c r="G328" i="41"/>
  <c r="H328" i="37"/>
  <c r="I328" i="37"/>
  <c r="J328" i="37"/>
  <c r="G345" i="41"/>
  <c r="H345" i="37"/>
  <c r="I345" i="37"/>
  <c r="G149" i="41"/>
  <c r="H149" i="37"/>
  <c r="J149" i="37"/>
  <c r="I149" i="37"/>
  <c r="G309" i="41"/>
  <c r="H309" i="37"/>
  <c r="J309" i="37"/>
  <c r="I309" i="37"/>
  <c r="G208" i="41"/>
  <c r="H208" i="37"/>
  <c r="I208" i="37"/>
  <c r="G224" i="41"/>
  <c r="H224" i="37"/>
  <c r="J224" i="37"/>
  <c r="I224" i="37"/>
  <c r="G360" i="41"/>
  <c r="H360" i="37"/>
  <c r="I360" i="37"/>
  <c r="J359" i="37"/>
  <c r="G193" i="41"/>
  <c r="H193" i="37"/>
  <c r="I193" i="37"/>
  <c r="J193" i="37"/>
  <c r="G295" i="41"/>
  <c r="H295" i="37"/>
  <c r="I295" i="37"/>
  <c r="G351" i="41"/>
  <c r="H351" i="37"/>
  <c r="J351" i="37"/>
  <c r="I351" i="37"/>
  <c r="G415" i="41"/>
  <c r="H415" i="37"/>
  <c r="I415" i="37"/>
  <c r="G153" i="41"/>
  <c r="H153" i="37"/>
  <c r="I153" i="37"/>
  <c r="G210" i="41"/>
  <c r="H210" i="37"/>
  <c r="J210" i="37"/>
  <c r="I210" i="37"/>
  <c r="G312" i="41"/>
  <c r="H312" i="37"/>
  <c r="I312" i="37"/>
  <c r="G173" i="41"/>
  <c r="H173" i="37"/>
  <c r="I173" i="37"/>
  <c r="J173" i="37"/>
  <c r="G228" i="41"/>
  <c r="H228" i="37"/>
  <c r="I228" i="37"/>
  <c r="G332" i="41"/>
  <c r="H332" i="37"/>
  <c r="I332" i="37"/>
  <c r="J332" i="37"/>
  <c r="G389" i="41"/>
  <c r="H389" i="37"/>
  <c r="I389" i="37"/>
  <c r="G258" i="41"/>
  <c r="H258" i="37"/>
  <c r="I258" i="37"/>
  <c r="G307" i="41"/>
  <c r="H307" i="37"/>
  <c r="J307" i="37"/>
  <c r="I307" i="37"/>
  <c r="G159" i="41"/>
  <c r="H159" i="37"/>
  <c r="I159" i="37"/>
  <c r="J159" i="37"/>
  <c r="G316" i="41"/>
  <c r="H316" i="37"/>
  <c r="I316" i="37"/>
  <c r="J316" i="37"/>
  <c r="G207" i="41"/>
  <c r="H207" i="37"/>
  <c r="I207" i="37"/>
  <c r="G261" i="41"/>
  <c r="H261" i="37"/>
  <c r="I261" i="37"/>
  <c r="J261" i="37"/>
  <c r="G369" i="41"/>
  <c r="H369" i="37"/>
  <c r="I369" i="37"/>
  <c r="G417" i="41"/>
  <c r="H417" i="37"/>
  <c r="J417" i="37"/>
  <c r="I417" i="37"/>
  <c r="G418" i="41"/>
  <c r="H418" i="37"/>
  <c r="J418" i="37"/>
  <c r="I418" i="37"/>
  <c r="G254" i="41"/>
  <c r="H254" i="37"/>
  <c r="I254" i="37"/>
  <c r="J254" i="37"/>
  <c r="J268" i="37"/>
  <c r="J200" i="37"/>
  <c r="J312" i="37"/>
  <c r="G165" i="41"/>
  <c r="H165" i="37"/>
  <c r="I165" i="37"/>
  <c r="J165" i="37"/>
  <c r="G321" i="41"/>
  <c r="H321" i="37"/>
  <c r="I321" i="37"/>
  <c r="G260" i="41"/>
  <c r="H260" i="37"/>
  <c r="I260" i="37"/>
  <c r="G247" i="41"/>
  <c r="H247" i="37"/>
  <c r="J247" i="37"/>
  <c r="I247" i="37"/>
  <c r="G403" i="41"/>
  <c r="H403" i="37"/>
  <c r="I403" i="37"/>
  <c r="J403" i="37"/>
  <c r="G390" i="41"/>
  <c r="H390" i="37"/>
  <c r="I390" i="37"/>
  <c r="J390" i="37"/>
  <c r="G264" i="41"/>
  <c r="H264" i="37"/>
  <c r="J264" i="37"/>
  <c r="I264" i="37"/>
  <c r="G372" i="41"/>
  <c r="H372" i="37"/>
  <c r="I372" i="37"/>
  <c r="J372" i="37"/>
  <c r="G420" i="41"/>
  <c r="H420" i="37"/>
  <c r="I420" i="37"/>
  <c r="J420" i="37"/>
  <c r="G239" i="41"/>
  <c r="H239" i="37"/>
  <c r="I239" i="37"/>
  <c r="G289" i="41"/>
  <c r="H289" i="37"/>
  <c r="I289" i="37"/>
  <c r="J289" i="37"/>
  <c r="G343" i="41"/>
  <c r="H343" i="37"/>
  <c r="I343" i="37"/>
  <c r="J343" i="37"/>
  <c r="G391" i="41"/>
  <c r="H391" i="37"/>
  <c r="I391" i="37"/>
  <c r="J391" i="37"/>
  <c r="G266" i="41"/>
  <c r="H266" i="37"/>
  <c r="J266" i="37"/>
  <c r="I266" i="37"/>
  <c r="G374" i="41"/>
  <c r="H374" i="37"/>
  <c r="I374" i="37"/>
  <c r="J374" i="37"/>
  <c r="G222" i="41"/>
  <c r="H222" i="37"/>
  <c r="J222" i="37"/>
  <c r="I222" i="37"/>
  <c r="G276" i="41"/>
  <c r="H276" i="37"/>
  <c r="I276" i="37"/>
  <c r="G384" i="41"/>
  <c r="H384" i="37"/>
  <c r="I384" i="37"/>
  <c r="J384" i="37"/>
  <c r="G216" i="41"/>
  <c r="H216" i="37"/>
  <c r="I216" i="37"/>
  <c r="G349" i="41"/>
  <c r="H349" i="37"/>
  <c r="J349" i="37"/>
  <c r="I349" i="37"/>
  <c r="G407" i="41"/>
  <c r="H407" i="37"/>
  <c r="I407" i="37"/>
  <c r="G215" i="41"/>
  <c r="H215" i="37"/>
  <c r="I215" i="37"/>
  <c r="J215" i="37"/>
  <c r="G269" i="41"/>
  <c r="H269" i="37"/>
  <c r="I269" i="37"/>
  <c r="G377" i="41"/>
  <c r="H377" i="37"/>
  <c r="J377" i="37"/>
  <c r="I377" i="37"/>
  <c r="G235" i="41"/>
  <c r="H235" i="37"/>
  <c r="I235" i="37"/>
  <c r="J235" i="37"/>
  <c r="G386" i="41"/>
  <c r="H386" i="37"/>
  <c r="I386" i="37"/>
  <c r="J386" i="37"/>
  <c r="J153" i="37"/>
  <c r="J199" i="37"/>
  <c r="J258" i="37"/>
  <c r="J414" i="37"/>
  <c r="G287" i="41"/>
  <c r="H287" i="37"/>
  <c r="I287" i="37"/>
  <c r="G395" i="41"/>
  <c r="H395" i="37"/>
  <c r="J395" i="37"/>
  <c r="I395" i="37"/>
  <c r="G141" i="41"/>
  <c r="H141" i="37"/>
  <c r="I141" i="37"/>
  <c r="G255" i="41"/>
  <c r="H255" i="37"/>
  <c r="I255" i="37"/>
  <c r="J255" i="37"/>
  <c r="G303" i="41"/>
  <c r="H303" i="37"/>
  <c r="I303" i="37"/>
  <c r="G411" i="41"/>
  <c r="H411" i="37"/>
  <c r="I411" i="37"/>
  <c r="J411" i="37"/>
  <c r="G422" i="41"/>
  <c r="H422" i="37"/>
  <c r="I422" i="37"/>
  <c r="J422" i="37"/>
  <c r="G147" i="41"/>
  <c r="H147" i="37"/>
  <c r="I147" i="37"/>
  <c r="J147" i="37"/>
  <c r="G218" i="41"/>
  <c r="H218" i="37"/>
  <c r="I218" i="37"/>
  <c r="G380" i="41"/>
  <c r="H380" i="37"/>
  <c r="I380" i="37"/>
  <c r="G181" i="41"/>
  <c r="H181" i="37"/>
  <c r="J181" i="37"/>
  <c r="I181" i="37"/>
  <c r="G397" i="41"/>
  <c r="H397" i="37"/>
  <c r="I397" i="37"/>
  <c r="G156" i="41"/>
  <c r="H156" i="37"/>
  <c r="I156" i="37"/>
  <c r="G212" i="41"/>
  <c r="H212" i="37"/>
  <c r="I212" i="37"/>
  <c r="J212" i="37"/>
  <c r="G314" i="41"/>
  <c r="H314" i="37"/>
  <c r="I314" i="37"/>
  <c r="G375" i="41"/>
  <c r="H375" i="37"/>
  <c r="I375" i="37"/>
  <c r="J375" i="37"/>
  <c r="G168" i="41"/>
  <c r="H168" i="37"/>
  <c r="J168" i="37"/>
  <c r="I168" i="37"/>
  <c r="G325" i="41"/>
  <c r="H325" i="37"/>
  <c r="I325" i="37"/>
  <c r="J325" i="37"/>
  <c r="H11" i="37"/>
  <c r="I11" i="37"/>
  <c r="J11" i="37"/>
  <c r="G160" i="41"/>
  <c r="H160" i="37"/>
  <c r="I160" i="37"/>
  <c r="J160" i="37"/>
  <c r="G317" i="41"/>
  <c r="H317" i="37"/>
  <c r="I317" i="37"/>
  <c r="J317" i="37"/>
  <c r="G410" i="41"/>
  <c r="H410" i="37"/>
  <c r="J410" i="37"/>
  <c r="I410" i="37"/>
  <c r="G197" i="41"/>
  <c r="H197" i="37"/>
  <c r="I197" i="37"/>
  <c r="J197" i="37"/>
  <c r="J269" i="37"/>
  <c r="J303" i="37"/>
  <c r="J321" i="37"/>
  <c r="J260" i="37"/>
  <c r="J416" i="37"/>
  <c r="H13" i="37"/>
  <c r="I13" i="37"/>
  <c r="J13" i="37"/>
  <c r="G273" i="41"/>
  <c r="H273" i="37"/>
  <c r="J273" i="37"/>
  <c r="I273" i="37"/>
  <c r="G381" i="41"/>
  <c r="H381" i="37"/>
  <c r="J381" i="37"/>
  <c r="I381" i="37"/>
  <c r="G164" i="41"/>
  <c r="H164" i="37"/>
  <c r="J164" i="37"/>
  <c r="I164" i="37"/>
  <c r="G272" i="41"/>
  <c r="H272" i="37"/>
  <c r="I272" i="37"/>
  <c r="J272" i="37"/>
  <c r="G320" i="41"/>
  <c r="H320" i="37"/>
  <c r="I320" i="37"/>
  <c r="J320" i="37"/>
  <c r="G157" i="41"/>
  <c r="H157" i="37"/>
  <c r="I157" i="37"/>
  <c r="J157" i="37"/>
  <c r="G195" i="41"/>
  <c r="H195" i="37"/>
  <c r="I195" i="37"/>
  <c r="J195" i="37"/>
  <c r="G249" i="41"/>
  <c r="H249" i="37"/>
  <c r="I249" i="37"/>
  <c r="G297" i="41"/>
  <c r="H297" i="37"/>
  <c r="I297" i="37"/>
  <c r="J297" i="37"/>
  <c r="G353" i="41"/>
  <c r="H353" i="37"/>
  <c r="I353" i="37"/>
  <c r="J353" i="37"/>
  <c r="G166" i="41"/>
  <c r="H166" i="37"/>
  <c r="I166" i="37"/>
  <c r="J166" i="37"/>
  <c r="G220" i="41"/>
  <c r="H220" i="37"/>
  <c r="I220" i="37"/>
  <c r="J220" i="37"/>
  <c r="G274" i="41"/>
  <c r="H274" i="37"/>
  <c r="J274" i="37"/>
  <c r="I274" i="37"/>
  <c r="G382" i="41"/>
  <c r="H382" i="37"/>
  <c r="I382" i="37"/>
  <c r="J382" i="37"/>
  <c r="G176" i="41"/>
  <c r="H176" i="37"/>
  <c r="I176" i="37"/>
  <c r="G232" i="41"/>
  <c r="H232" i="37"/>
  <c r="J232" i="37"/>
  <c r="I232" i="37"/>
  <c r="G336" i="41"/>
  <c r="H336" i="37"/>
  <c r="I336" i="37"/>
  <c r="G392" i="41"/>
  <c r="H392" i="37"/>
  <c r="I392" i="37"/>
  <c r="J392" i="37"/>
  <c r="G245" i="41"/>
  <c r="H245" i="37"/>
  <c r="J245" i="37"/>
  <c r="I245" i="37"/>
  <c r="G169" i="41"/>
  <c r="H169" i="37"/>
  <c r="J169" i="37"/>
  <c r="I169" i="37"/>
  <c r="G223" i="41"/>
  <c r="H223" i="37"/>
  <c r="I223" i="37"/>
  <c r="J223" i="37"/>
  <c r="G327" i="41"/>
  <c r="H327" i="37"/>
  <c r="I327" i="37"/>
  <c r="J327" i="37"/>
  <c r="G385" i="41"/>
  <c r="H385" i="37"/>
  <c r="I385" i="37"/>
  <c r="J385" i="37"/>
  <c r="G205" i="41"/>
  <c r="H205" i="37"/>
  <c r="J205" i="37"/>
  <c r="I205" i="37"/>
  <c r="G278" i="41"/>
  <c r="H278" i="37"/>
  <c r="I278" i="37"/>
  <c r="J216" i="37"/>
  <c r="J208" i="37"/>
  <c r="J324" i="37"/>
  <c r="J176" i="37"/>
  <c r="J415" i="37"/>
  <c r="G394" i="41"/>
  <c r="H394" i="37"/>
  <c r="I394" i="37"/>
  <c r="J394" i="37"/>
  <c r="G213" i="41"/>
  <c r="H213" i="37"/>
  <c r="I213" i="37"/>
  <c r="J213" i="37"/>
  <c r="G227" i="41"/>
  <c r="H227" i="37"/>
  <c r="I227" i="37"/>
  <c r="G331" i="41"/>
  <c r="H331" i="37"/>
  <c r="I331" i="37"/>
  <c r="J331" i="37"/>
  <c r="G405" i="41"/>
  <c r="H405" i="37"/>
  <c r="I405" i="37"/>
  <c r="G323" i="41"/>
  <c r="H323" i="37"/>
  <c r="I323" i="37"/>
  <c r="G284" i="41"/>
  <c r="H284" i="37"/>
  <c r="J284" i="37"/>
  <c r="I284" i="37"/>
  <c r="G378" i="41"/>
  <c r="H378" i="37"/>
  <c r="I378" i="37"/>
  <c r="G277" i="41"/>
  <c r="H277" i="37"/>
  <c r="I277" i="37"/>
  <c r="G270" i="41"/>
  <c r="H270" i="37"/>
  <c r="I270" i="37"/>
  <c r="J270" i="37"/>
  <c r="G286" i="41"/>
  <c r="H286" i="37"/>
  <c r="I286" i="37"/>
  <c r="G241" i="41"/>
  <c r="H241" i="37"/>
  <c r="J241" i="37"/>
  <c r="I241" i="37"/>
  <c r="J218" i="37"/>
  <c r="J304" i="37"/>
  <c r="J207" i="37"/>
  <c r="J239" i="37"/>
  <c r="J175" i="37"/>
  <c r="J336" i="37"/>
  <c r="G279" i="41"/>
  <c r="H279" i="37"/>
  <c r="I279" i="37"/>
  <c r="J279" i="37"/>
  <c r="G296" i="41"/>
  <c r="H296" i="37"/>
  <c r="I296" i="37"/>
  <c r="G356" i="41"/>
  <c r="H356" i="37"/>
  <c r="I356" i="37"/>
  <c r="J356" i="37"/>
  <c r="G219" i="41"/>
  <c r="H219" i="37"/>
  <c r="J219" i="37"/>
  <c r="I219" i="37"/>
  <c r="G267" i="41"/>
  <c r="H267" i="37"/>
  <c r="I267" i="37"/>
  <c r="G201" i="41"/>
  <c r="H201" i="37"/>
  <c r="J201" i="37"/>
  <c r="I201" i="37"/>
  <c r="G361" i="41"/>
  <c r="H361" i="37"/>
  <c r="J361" i="37"/>
  <c r="I361" i="37"/>
  <c r="G209" i="41"/>
  <c r="H209" i="37"/>
  <c r="I209" i="37"/>
  <c r="G311" i="41"/>
  <c r="H311" i="37"/>
  <c r="J311" i="37"/>
  <c r="I311" i="37"/>
  <c r="G371" i="41"/>
  <c r="H371" i="37"/>
  <c r="I371" i="37"/>
  <c r="G419" i="41"/>
  <c r="H419" i="37"/>
  <c r="J419" i="37"/>
  <c r="I419" i="37"/>
  <c r="G172" i="41"/>
  <c r="H172" i="37"/>
  <c r="I172" i="37"/>
  <c r="J172" i="37"/>
  <c r="G280" i="41"/>
  <c r="H280" i="37"/>
  <c r="J280" i="37"/>
  <c r="I280" i="37"/>
  <c r="G388" i="41"/>
  <c r="H388" i="37"/>
  <c r="I388" i="37"/>
  <c r="G231" i="41"/>
  <c r="H231" i="37"/>
  <c r="I231" i="37"/>
  <c r="J231" i="37"/>
  <c r="G144" i="41"/>
  <c r="H144" i="37"/>
  <c r="I144" i="37"/>
  <c r="G257" i="41"/>
  <c r="H257" i="37"/>
  <c r="I257" i="37"/>
  <c r="J257" i="37"/>
  <c r="G305" i="41"/>
  <c r="H305" i="37"/>
  <c r="I305" i="37"/>
  <c r="G413" i="41"/>
  <c r="H413" i="37"/>
  <c r="I413" i="37"/>
  <c r="J413" i="37"/>
  <c r="G398" i="41"/>
  <c r="H398" i="37"/>
  <c r="I398" i="37"/>
  <c r="G229" i="41"/>
  <c r="H229" i="37"/>
  <c r="I229" i="37"/>
  <c r="J229" i="37"/>
  <c r="G282" i="41"/>
  <c r="H282" i="37"/>
  <c r="I282" i="37"/>
  <c r="J282" i="37"/>
  <c r="G190" i="41"/>
  <c r="H190" i="37"/>
  <c r="I190" i="37"/>
  <c r="G292" i="41"/>
  <c r="H292" i="37"/>
  <c r="I292" i="37"/>
  <c r="J292" i="37"/>
  <c r="G262" i="41"/>
  <c r="H262" i="37"/>
  <c r="I262" i="37"/>
  <c r="J262" i="37"/>
  <c r="G402" i="41"/>
  <c r="H402" i="37"/>
  <c r="J402" i="37"/>
  <c r="I402" i="37"/>
  <c r="G177" i="41"/>
  <c r="H177" i="37"/>
  <c r="J177" i="37"/>
  <c r="I177" i="37"/>
  <c r="G285" i="41"/>
  <c r="H285" i="37"/>
  <c r="I285" i="37"/>
  <c r="G337" i="41"/>
  <c r="H337" i="37"/>
  <c r="I337" i="37"/>
  <c r="J337" i="37"/>
  <c r="G294" i="41"/>
  <c r="H294" i="37"/>
  <c r="I294" i="37"/>
  <c r="G259" i="41"/>
  <c r="H259" i="37"/>
  <c r="I259" i="37"/>
  <c r="J370" i="37"/>
  <c r="J397" i="37"/>
  <c r="J286" i="37"/>
  <c r="J278" i="37"/>
  <c r="J345" i="37"/>
  <c r="J335" i="37"/>
  <c r="G152" i="41"/>
  <c r="H152" i="37"/>
  <c r="J152" i="37"/>
  <c r="I152" i="37"/>
  <c r="G263" i="41"/>
  <c r="H263" i="37"/>
  <c r="I263" i="37"/>
  <c r="J263" i="37"/>
  <c r="G180" i="41"/>
  <c r="H180" i="37"/>
  <c r="J180" i="37"/>
  <c r="I180" i="37"/>
  <c r="G237" i="41"/>
  <c r="H237" i="37"/>
  <c r="I237" i="37"/>
  <c r="G288" i="41"/>
  <c r="H288" i="37"/>
  <c r="I288" i="37"/>
  <c r="J288" i="37"/>
  <c r="G396" i="41"/>
  <c r="H396" i="37"/>
  <c r="I396" i="37"/>
  <c r="G203" i="41"/>
  <c r="H203" i="37"/>
  <c r="J203" i="37"/>
  <c r="I203" i="37"/>
  <c r="G364" i="41"/>
  <c r="H364" i="37"/>
  <c r="J364" i="37"/>
  <c r="I364" i="37"/>
  <c r="G174" i="41"/>
  <c r="H174" i="37"/>
  <c r="I174" i="37"/>
  <c r="G333" i="41"/>
  <c r="H333" i="37"/>
  <c r="I333" i="37"/>
  <c r="G406" i="41"/>
  <c r="H406" i="37"/>
  <c r="I406" i="37"/>
  <c r="G243" i="41"/>
  <c r="H243" i="37"/>
  <c r="J243" i="37"/>
  <c r="I243" i="37"/>
  <c r="G347" i="41"/>
  <c r="H347" i="37"/>
  <c r="I347" i="37"/>
  <c r="G400" i="41"/>
  <c r="H400" i="37"/>
  <c r="J400" i="37"/>
  <c r="I400" i="37"/>
  <c r="G167" i="41"/>
  <c r="H167" i="37"/>
  <c r="I167" i="37"/>
  <c r="J167" i="37"/>
  <c r="G233" i="41"/>
  <c r="H233" i="37"/>
  <c r="I233" i="37"/>
  <c r="J233" i="37"/>
  <c r="G393" i="41"/>
  <c r="H393" i="37"/>
  <c r="J393" i="37"/>
  <c r="I393" i="37"/>
  <c r="G291" i="41"/>
  <c r="H291" i="37"/>
  <c r="J291" i="37"/>
  <c r="I291" i="37"/>
  <c r="J144" i="37"/>
  <c r="J371" i="37"/>
  <c r="J398" i="37"/>
  <c r="J287" i="37"/>
  <c r="J276" i="37"/>
  <c r="G148" i="41"/>
  <c r="H148" i="37"/>
  <c r="J148" i="37"/>
  <c r="I148" i="37"/>
  <c r="G308" i="41"/>
  <c r="H308" i="37"/>
  <c r="J308" i="37"/>
  <c r="I308" i="37"/>
  <c r="H12" i="37"/>
  <c r="I12" i="37"/>
  <c r="J12" i="37"/>
  <c r="G163" i="41"/>
  <c r="H163" i="37"/>
  <c r="J163" i="37"/>
  <c r="I163" i="37"/>
  <c r="G319" i="41"/>
  <c r="H319" i="37"/>
  <c r="I319" i="37"/>
  <c r="J319" i="37"/>
  <c r="G217" i="41"/>
  <c r="H217" i="37"/>
  <c r="I217" i="37"/>
  <c r="G271" i="41"/>
  <c r="H271" i="37"/>
  <c r="I271" i="37"/>
  <c r="J271" i="37"/>
  <c r="G379" i="41"/>
  <c r="H379" i="37"/>
  <c r="I379" i="37"/>
  <c r="G275" i="41"/>
  <c r="H275" i="37"/>
  <c r="J275" i="37"/>
  <c r="I275" i="37"/>
  <c r="G341" i="41"/>
  <c r="H341" i="37"/>
  <c r="I341" i="37"/>
  <c r="J341" i="37"/>
  <c r="G299" i="41"/>
  <c r="H299" i="37"/>
  <c r="I299" i="37"/>
  <c r="J299" i="37"/>
  <c r="G155" i="41"/>
  <c r="H155" i="37"/>
  <c r="I155" i="37"/>
  <c r="G211" i="41"/>
  <c r="H211" i="37"/>
  <c r="J211" i="37"/>
  <c r="I211" i="37"/>
  <c r="G313" i="41"/>
  <c r="H313" i="37"/>
  <c r="I313" i="37"/>
  <c r="G373" i="41"/>
  <c r="H373" i="37"/>
  <c r="I373" i="37"/>
  <c r="J373" i="37"/>
  <c r="G189" i="41"/>
  <c r="H189" i="37"/>
  <c r="I189" i="37"/>
  <c r="G240" i="41"/>
  <c r="H240" i="37"/>
  <c r="I240" i="37"/>
  <c r="G344" i="41"/>
  <c r="H344" i="37"/>
  <c r="I344" i="37"/>
  <c r="J344" i="37"/>
  <c r="G198" i="41"/>
  <c r="H198" i="37"/>
  <c r="I198" i="37"/>
  <c r="G408" i="41"/>
  <c r="H408" i="37"/>
  <c r="J408" i="37"/>
  <c r="I408" i="37"/>
  <c r="G191" i="41"/>
  <c r="H191" i="37"/>
  <c r="I191" i="37"/>
  <c r="G293" i="41"/>
  <c r="H293" i="37"/>
  <c r="I293" i="37"/>
  <c r="J293" i="37"/>
  <c r="G348" i="41"/>
  <c r="H348" i="37"/>
  <c r="I348" i="37"/>
  <c r="G315" i="41"/>
  <c r="H315" i="37"/>
  <c r="I315" i="37"/>
  <c r="J315" i="37"/>
  <c r="G161" i="41"/>
  <c r="H161" i="37"/>
  <c r="I161" i="37"/>
  <c r="J161" i="37"/>
  <c r="G318" i="41"/>
  <c r="H318" i="37"/>
  <c r="I318" i="37"/>
  <c r="J318" i="37"/>
  <c r="J369" i="37"/>
  <c r="J396" i="37"/>
  <c r="J294" i="37"/>
  <c r="J277" i="37"/>
  <c r="J250" i="37"/>
  <c r="J333" i="37"/>
  <c r="G14" i="39"/>
  <c r="G12" i="39"/>
  <c r="G13" i="39"/>
  <c r="G16" i="39"/>
  <c r="F42" i="18"/>
  <c r="J42" i="18"/>
  <c r="F76" i="18"/>
  <c r="J76" i="18"/>
  <c r="F43" i="18"/>
  <c r="J43" i="18"/>
  <c r="F34" i="18"/>
  <c r="J34" i="18"/>
  <c r="J73" i="18"/>
  <c r="F73" i="18"/>
  <c r="J35" i="18"/>
  <c r="F35" i="18"/>
  <c r="F79" i="18"/>
  <c r="J79" i="18"/>
  <c r="F84" i="18"/>
  <c r="J84" i="18"/>
  <c r="F30" i="18"/>
  <c r="J30" i="18"/>
  <c r="F85" i="18"/>
  <c r="J85" i="18"/>
  <c r="F72" i="18"/>
  <c r="J72" i="18"/>
  <c r="J74" i="18"/>
  <c r="F74" i="18"/>
  <c r="F37" i="18"/>
  <c r="J37" i="18"/>
  <c r="J75" i="18"/>
  <c r="F75" i="18"/>
  <c r="J77" i="18"/>
  <c r="J80" i="18"/>
  <c r="F80" i="18"/>
  <c r="J41" i="18"/>
  <c r="F41" i="18"/>
  <c r="F33" i="18"/>
  <c r="J33" i="18"/>
  <c r="J83" i="18"/>
  <c r="F83" i="18"/>
  <c r="F40" i="18"/>
  <c r="J40" i="18"/>
  <c r="F81" i="18"/>
  <c r="J81" i="18"/>
  <c r="F31" i="18"/>
  <c r="J31" i="18"/>
  <c r="F39" i="18"/>
  <c r="J39" i="18"/>
  <c r="J36" i="18"/>
  <c r="F36" i="18"/>
  <c r="J78" i="18"/>
  <c r="F78" i="18"/>
  <c r="J32" i="18"/>
  <c r="F32" i="18"/>
  <c r="N201" i="66"/>
  <c r="G93" i="66"/>
  <c r="F12" i="39" s="1"/>
  <c r="G59" i="66"/>
  <c r="F14" i="39" s="1"/>
  <c r="G57" i="66"/>
  <c r="F16" i="39" s="1"/>
  <c r="G53" i="66"/>
  <c r="G75" i="66"/>
  <c r="F13" i="39" s="1"/>
  <c r="O153" i="66"/>
  <c r="O189" i="66"/>
  <c r="Q189" i="66" s="1"/>
  <c r="O155" i="66"/>
  <c r="N219" i="66"/>
  <c r="Y45" i="66"/>
  <c r="Z45" i="66"/>
  <c r="O45" i="66"/>
  <c r="Y189" i="66"/>
  <c r="Z189" i="66"/>
  <c r="Y155" i="66"/>
  <c r="O11" i="66"/>
  <c r="Y11" i="66"/>
  <c r="Z155" i="66"/>
  <c r="Z11" i="66"/>
  <c r="O171" i="66"/>
  <c r="Z153" i="66"/>
  <c r="O9" i="66"/>
  <c r="Y9" i="66"/>
  <c r="Y153" i="66"/>
  <c r="Z9" i="66"/>
  <c r="Z27" i="66"/>
  <c r="Y27" i="66"/>
  <c r="O27" i="66"/>
  <c r="Y171" i="66"/>
  <c r="Z171" i="66"/>
  <c r="N203" i="66"/>
  <c r="N237" i="66"/>
  <c r="H468" i="41"/>
  <c r="H183" i="41"/>
  <c r="J462" i="41"/>
  <c r="H463" i="41"/>
  <c r="I468" i="41"/>
  <c r="I458" i="41"/>
  <c r="H472" i="41"/>
  <c r="J458" i="41"/>
  <c r="J469" i="41"/>
  <c r="I184" i="41"/>
  <c r="J472" i="41"/>
  <c r="H462" i="41"/>
  <c r="I334" i="58"/>
  <c r="G10" i="66"/>
  <c r="H451" i="37"/>
  <c r="G112" i="66"/>
  <c r="J449" i="37"/>
  <c r="J450" i="37"/>
  <c r="G124" i="66"/>
  <c r="N124" i="66" s="1"/>
  <c r="I447" i="58"/>
  <c r="G239" i="66"/>
  <c r="I384" i="58"/>
  <c r="I416" i="58"/>
  <c r="J162" i="58"/>
  <c r="I251" i="58"/>
  <c r="H442" i="37"/>
  <c r="G24" i="66"/>
  <c r="C37" i="63"/>
  <c r="G231" i="66"/>
  <c r="I446" i="58"/>
  <c r="G187" i="66"/>
  <c r="N187" i="66" s="1"/>
  <c r="H453" i="58"/>
  <c r="I477" i="41"/>
  <c r="E358" i="38"/>
  <c r="K59" i="66" s="1"/>
  <c r="G223" i="66"/>
  <c r="I448" i="58"/>
  <c r="G165" i="66"/>
  <c r="N165" i="66" s="1"/>
  <c r="H454" i="58"/>
  <c r="G183" i="66"/>
  <c r="H446" i="58"/>
  <c r="G29" i="66"/>
  <c r="H445" i="37"/>
  <c r="H452" i="37"/>
  <c r="G17" i="66"/>
  <c r="E386" i="38"/>
  <c r="J444" i="58"/>
  <c r="G281" i="66"/>
  <c r="G163" i="66"/>
  <c r="H441" i="58"/>
  <c r="G279" i="66"/>
  <c r="J446" i="58"/>
  <c r="I382" i="58"/>
  <c r="I183" i="58"/>
  <c r="H426" i="58"/>
  <c r="F174" i="66" s="1"/>
  <c r="N174" i="66" s="1"/>
  <c r="G175" i="66"/>
  <c r="N175" i="66" s="1"/>
  <c r="H448" i="58"/>
  <c r="J229" i="58"/>
  <c r="J362" i="58"/>
  <c r="I256" i="58"/>
  <c r="J183" i="58"/>
  <c r="H272" i="58"/>
  <c r="H442" i="58"/>
  <c r="G168" i="66"/>
  <c r="H8" i="41"/>
  <c r="C7" i="63"/>
  <c r="G43" i="66"/>
  <c r="N43" i="66" s="1"/>
  <c r="H453" i="37"/>
  <c r="G220" i="66"/>
  <c r="I450" i="58"/>
  <c r="G259" i="66"/>
  <c r="J441" i="58"/>
  <c r="G100" i="66"/>
  <c r="J443" i="37"/>
  <c r="H184" i="41"/>
  <c r="G264" i="66"/>
  <c r="J442" i="58"/>
  <c r="I469" i="41"/>
  <c r="H452" i="58"/>
  <c r="G161" i="66"/>
  <c r="E389" i="38"/>
  <c r="G47" i="66"/>
  <c r="N47" i="66" s="1"/>
  <c r="H447" i="37"/>
  <c r="E391" i="38"/>
  <c r="J452" i="58"/>
  <c r="G257" i="66"/>
  <c r="H440" i="58"/>
  <c r="G169" i="66"/>
  <c r="G125" i="66"/>
  <c r="J445" i="37"/>
  <c r="G19" i="66"/>
  <c r="H441" i="37"/>
  <c r="G135" i="66"/>
  <c r="J446" i="37"/>
  <c r="J202" i="58"/>
  <c r="J313" i="58"/>
  <c r="I178" i="58"/>
  <c r="I304" i="58"/>
  <c r="H196" i="58"/>
  <c r="J297" i="58"/>
  <c r="H173" i="58"/>
  <c r="I443" i="37"/>
  <c r="G52" i="66"/>
  <c r="H450" i="37"/>
  <c r="G28" i="66"/>
  <c r="N28" i="66" s="1"/>
  <c r="G154" i="66"/>
  <c r="H451" i="58"/>
  <c r="G76" i="66"/>
  <c r="I450" i="37"/>
  <c r="G115" i="66"/>
  <c r="J441" i="37"/>
  <c r="J443" i="58"/>
  <c r="G244" i="66"/>
  <c r="G120" i="66"/>
  <c r="J442" i="37"/>
  <c r="H447" i="58"/>
  <c r="G191" i="66"/>
  <c r="N191" i="66" s="1"/>
  <c r="G113" i="66"/>
  <c r="E388" i="38"/>
  <c r="J452" i="37"/>
  <c r="H440" i="37"/>
  <c r="G25" i="66"/>
  <c r="J445" i="58"/>
  <c r="G269" i="66"/>
  <c r="G95" i="66"/>
  <c r="I447" i="37"/>
  <c r="G16" i="66"/>
  <c r="H449" i="37"/>
  <c r="G261" i="66"/>
  <c r="N261" i="66" s="1"/>
  <c r="J454" i="58"/>
  <c r="G117" i="66"/>
  <c r="N117" i="66" s="1"/>
  <c r="J454" i="37"/>
  <c r="G139" i="66"/>
  <c r="N139" i="66" s="1"/>
  <c r="J453" i="37"/>
  <c r="J11" i="58"/>
  <c r="I11" i="58"/>
  <c r="H11" i="58"/>
  <c r="G160" i="66"/>
  <c r="H449" i="58"/>
  <c r="I378" i="58"/>
  <c r="G77" i="66"/>
  <c r="I445" i="37"/>
  <c r="I441" i="58"/>
  <c r="G211" i="66"/>
  <c r="E359" i="38"/>
  <c r="K57" i="66" s="1"/>
  <c r="I478" i="41"/>
  <c r="E382" i="38"/>
  <c r="K251" i="66" s="1"/>
  <c r="N251" i="66" s="1"/>
  <c r="E380" i="38"/>
  <c r="K285" i="66" s="1"/>
  <c r="N285" i="66" s="1"/>
  <c r="E381" i="38"/>
  <c r="K267" i="66" s="1"/>
  <c r="N267" i="66" s="1"/>
  <c r="J478" i="58"/>
  <c r="E383" i="38" s="1"/>
  <c r="K249" i="66" s="1"/>
  <c r="N249" i="66" s="1"/>
  <c r="J478" i="37"/>
  <c r="G69" i="66"/>
  <c r="I454" i="37"/>
  <c r="G256" i="66"/>
  <c r="J449" i="58"/>
  <c r="G268" i="66"/>
  <c r="N268" i="66" s="1"/>
  <c r="J450" i="58"/>
  <c r="J463" i="41"/>
  <c r="G31" i="66"/>
  <c r="N31" i="66" s="1"/>
  <c r="H448" i="37"/>
  <c r="G283" i="66"/>
  <c r="N283" i="66" s="1"/>
  <c r="J453" i="58"/>
  <c r="G11" i="41"/>
  <c r="G91" i="66"/>
  <c r="I453" i="37"/>
  <c r="H460" i="41"/>
  <c r="J473" i="41"/>
  <c r="I234" i="58"/>
  <c r="I400" i="58"/>
  <c r="I445" i="58"/>
  <c r="G221" i="66"/>
  <c r="G72" i="66"/>
  <c r="I442" i="37"/>
  <c r="G67" i="66"/>
  <c r="I441" i="37"/>
  <c r="E357" i="38"/>
  <c r="K75" i="66" s="1"/>
  <c r="I476" i="41"/>
  <c r="H444" i="58"/>
  <c r="G185" i="66"/>
  <c r="G13" i="41"/>
  <c r="G233" i="66"/>
  <c r="I444" i="58"/>
  <c r="C17" i="63"/>
  <c r="I8" i="41"/>
  <c r="E387" i="38"/>
  <c r="G65" i="66"/>
  <c r="I452" i="37"/>
  <c r="I449" i="37"/>
  <c r="G64" i="66"/>
  <c r="G235" i="66"/>
  <c r="I453" i="58"/>
  <c r="H450" i="58"/>
  <c r="G172" i="66"/>
  <c r="N172" i="66" s="1"/>
  <c r="I475" i="41"/>
  <c r="E356" i="38"/>
  <c r="K93" i="66" s="1"/>
  <c r="J256" i="58"/>
  <c r="H311" i="58"/>
  <c r="J8" i="58"/>
  <c r="G143" i="66"/>
  <c r="J447" i="37"/>
  <c r="G12" i="41"/>
  <c r="G216" i="66"/>
  <c r="I442" i="58"/>
  <c r="G148" i="66"/>
  <c r="H443" i="58"/>
  <c r="G127" i="66"/>
  <c r="J448" i="37"/>
  <c r="G41" i="66"/>
  <c r="H444" i="37"/>
  <c r="I13" i="58"/>
  <c r="J13" i="58"/>
  <c r="H13" i="58"/>
  <c r="G89" i="66"/>
  <c r="I444" i="37"/>
  <c r="E259" i="38"/>
  <c r="G214" i="66" s="1"/>
  <c r="E214" i="38"/>
  <c r="J460" i="41"/>
  <c r="C47" i="63"/>
  <c r="G209" i="66"/>
  <c r="I452" i="58"/>
  <c r="E390" i="38"/>
  <c r="H473" i="41"/>
  <c r="G208" i="66"/>
  <c r="I449" i="58"/>
  <c r="H458" i="41"/>
  <c r="G196" i="66"/>
  <c r="I443" i="58"/>
  <c r="G213" i="66"/>
  <c r="I454" i="58"/>
  <c r="I440" i="37"/>
  <c r="J251" i="58"/>
  <c r="J287" i="58"/>
  <c r="I229" i="58"/>
  <c r="I319" i="58"/>
  <c r="I277" i="58"/>
  <c r="I463" i="41"/>
  <c r="G287" i="66"/>
  <c r="N287" i="66" s="1"/>
  <c r="J447" i="58"/>
  <c r="J12" i="58"/>
  <c r="H12" i="58"/>
  <c r="I12" i="58"/>
  <c r="G87" i="66"/>
  <c r="I446" i="37"/>
  <c r="H443" i="37"/>
  <c r="G4" i="66"/>
  <c r="G271" i="66"/>
  <c r="N271" i="66" s="1"/>
  <c r="J448" i="58"/>
  <c r="G79" i="66"/>
  <c r="I448" i="37"/>
  <c r="G21" i="66"/>
  <c r="N21" i="66" s="1"/>
  <c r="H454" i="37"/>
  <c r="J468" i="41"/>
  <c r="H446" i="37"/>
  <c r="G39" i="66"/>
  <c r="G173" i="66"/>
  <c r="H445" i="58"/>
  <c r="G137" i="66"/>
  <c r="J444" i="37"/>
  <c r="I460" i="41"/>
  <c r="H469" i="41"/>
  <c r="I472" i="41"/>
  <c r="J184" i="41"/>
  <c r="I462" i="41"/>
  <c r="I473" i="41"/>
  <c r="H424" i="37" l="1"/>
  <c r="H423" i="37"/>
  <c r="N57" i="66"/>
  <c r="O201" i="66" s="1"/>
  <c r="Q201" i="66" s="1"/>
  <c r="R201" i="66" s="1"/>
  <c r="T201" i="66" s="1"/>
  <c r="N75" i="66"/>
  <c r="Y219" i="66" s="1"/>
  <c r="G27" i="39"/>
  <c r="N59" i="66"/>
  <c r="O203" i="66" s="1"/>
  <c r="Q203" i="66" s="1"/>
  <c r="R203" i="66" s="1"/>
  <c r="T203" i="66" s="1"/>
  <c r="H6" i="6"/>
  <c r="G28" i="39"/>
  <c r="N93" i="66"/>
  <c r="Y237" i="66" s="1"/>
  <c r="H7" i="6"/>
  <c r="M65" i="66"/>
  <c r="M209" i="66"/>
  <c r="M169" i="66"/>
  <c r="M25" i="66"/>
  <c r="G70" i="66"/>
  <c r="Q153" i="66"/>
  <c r="I446" i="41"/>
  <c r="G73" i="66"/>
  <c r="I440" i="58"/>
  <c r="I440" i="41" s="1"/>
  <c r="G217" i="66"/>
  <c r="J441" i="41"/>
  <c r="Q155" i="66"/>
  <c r="Q171" i="66"/>
  <c r="Q27" i="66"/>
  <c r="Q11" i="66"/>
  <c r="Q9" i="66"/>
  <c r="Q45" i="66"/>
  <c r="H446" i="41"/>
  <c r="H440" i="41"/>
  <c r="I450" i="41"/>
  <c r="I448" i="41"/>
  <c r="I384" i="41"/>
  <c r="I447" i="41"/>
  <c r="J162" i="41"/>
  <c r="H454" i="41"/>
  <c r="O191" i="66"/>
  <c r="Q191" i="66" s="1"/>
  <c r="H441" i="41"/>
  <c r="H444" i="41"/>
  <c r="J256" i="41"/>
  <c r="J442" i="41"/>
  <c r="I442" i="41"/>
  <c r="H196" i="41"/>
  <c r="J202" i="41"/>
  <c r="I234" i="41"/>
  <c r="J453" i="41"/>
  <c r="I444" i="41"/>
  <c r="J454" i="41"/>
  <c r="H311" i="41"/>
  <c r="H453" i="41"/>
  <c r="J446" i="41"/>
  <c r="I334" i="41"/>
  <c r="H173" i="41"/>
  <c r="I382" i="41"/>
  <c r="I229" i="41"/>
  <c r="H445" i="41"/>
  <c r="J313" i="41"/>
  <c r="I256" i="41"/>
  <c r="J450" i="41"/>
  <c r="I449" i="41"/>
  <c r="J251" i="41"/>
  <c r="I445" i="41"/>
  <c r="J444" i="41"/>
  <c r="I304" i="41"/>
  <c r="H272" i="41"/>
  <c r="H306" i="58"/>
  <c r="H386" i="58"/>
  <c r="J348" i="58"/>
  <c r="I377" i="58"/>
  <c r="I264" i="58"/>
  <c r="I161" i="58"/>
  <c r="I158" i="58"/>
  <c r="H408" i="58"/>
  <c r="H340" i="58"/>
  <c r="H257" i="58"/>
  <c r="J193" i="58"/>
  <c r="I331" i="58"/>
  <c r="H396" i="58"/>
  <c r="I308" i="58"/>
  <c r="I173" i="58"/>
  <c r="I228" i="58"/>
  <c r="H253" i="58"/>
  <c r="I401" i="58"/>
  <c r="H274" i="58"/>
  <c r="I248" i="58"/>
  <c r="H301" i="58"/>
  <c r="H367" i="58"/>
  <c r="J356" i="58"/>
  <c r="H392" i="58"/>
  <c r="I249" i="58"/>
  <c r="H229" i="58"/>
  <c r="I165" i="58"/>
  <c r="J161" i="58"/>
  <c r="I358" i="58"/>
  <c r="I315" i="58"/>
  <c r="J158" i="58"/>
  <c r="J365" i="58"/>
  <c r="H369" i="58"/>
  <c r="J195" i="58"/>
  <c r="J349" i="58"/>
  <c r="H390" i="58"/>
  <c r="H144" i="58"/>
  <c r="I421" i="58"/>
  <c r="H283" i="58"/>
  <c r="H170" i="58"/>
  <c r="H285" i="58"/>
  <c r="J172" i="58"/>
  <c r="H218" i="58"/>
  <c r="H374" i="58"/>
  <c r="J176" i="58"/>
  <c r="I298" i="58"/>
  <c r="I166" i="58"/>
  <c r="I196" i="58"/>
  <c r="J227" i="58"/>
  <c r="H335" i="58"/>
  <c r="I224" i="58"/>
  <c r="I162" i="58"/>
  <c r="J287" i="41"/>
  <c r="I400" i="41"/>
  <c r="H448" i="41"/>
  <c r="E365" i="38"/>
  <c r="K105" i="66" s="1"/>
  <c r="N105" i="66" s="1"/>
  <c r="O249" i="66" s="1"/>
  <c r="J478" i="41"/>
  <c r="Z117" i="66"/>
  <c r="Z261" i="66"/>
  <c r="Y261" i="66"/>
  <c r="Y117" i="66"/>
  <c r="Z172" i="66"/>
  <c r="Y28" i="66"/>
  <c r="Z28" i="66"/>
  <c r="Y172" i="66"/>
  <c r="J297" i="41"/>
  <c r="M256" i="66"/>
  <c r="J492" i="58"/>
  <c r="J491" i="58"/>
  <c r="F250" i="66" s="1"/>
  <c r="J490" i="58"/>
  <c r="F257" i="66" s="1"/>
  <c r="N257" i="66" s="1"/>
  <c r="O175" i="66"/>
  <c r="I416" i="41"/>
  <c r="J449" i="41"/>
  <c r="H260" i="58"/>
  <c r="H191" i="58"/>
  <c r="J185" i="58"/>
  <c r="H388" i="58"/>
  <c r="I176" i="58"/>
  <c r="I347" i="58"/>
  <c r="J165" i="58"/>
  <c r="J288" i="58"/>
  <c r="J326" i="58"/>
  <c r="J405" i="58"/>
  <c r="J210" i="58"/>
  <c r="J249" i="58"/>
  <c r="H150" i="58"/>
  <c r="J167" i="58"/>
  <c r="H336" i="58"/>
  <c r="H230" i="58"/>
  <c r="H275" i="58"/>
  <c r="I232" i="58"/>
  <c r="H182" i="58"/>
  <c r="J340" i="58"/>
  <c r="J303" i="58"/>
  <c r="Z43" i="66"/>
  <c r="Y43" i="66"/>
  <c r="Y187" i="66"/>
  <c r="Z187" i="66"/>
  <c r="I247" i="58"/>
  <c r="H159" i="58"/>
  <c r="J205" i="58"/>
  <c r="I185" i="58"/>
  <c r="J143" i="58"/>
  <c r="H154" i="58"/>
  <c r="I352" i="58"/>
  <c r="J175" i="58"/>
  <c r="H197" i="58"/>
  <c r="I356" i="58"/>
  <c r="H219" i="58"/>
  <c r="I405" i="58"/>
  <c r="I361" i="58"/>
  <c r="J245" i="58"/>
  <c r="H312" i="58"/>
  <c r="H153" i="58"/>
  <c r="H245" i="58"/>
  <c r="J312" i="58"/>
  <c r="J366" i="58"/>
  <c r="I174" i="58"/>
  <c r="I342" i="58"/>
  <c r="I326" i="58"/>
  <c r="J309" i="58"/>
  <c r="I238" i="58"/>
  <c r="I252" i="58"/>
  <c r="J207" i="58"/>
  <c r="I172" i="58"/>
  <c r="J228" i="58"/>
  <c r="H279" i="58"/>
  <c r="I254" i="58"/>
  <c r="J370" i="58"/>
  <c r="H321" i="58"/>
  <c r="J388" i="58"/>
  <c r="I191" i="58"/>
  <c r="H360" i="58"/>
  <c r="J296" i="58"/>
  <c r="J220" i="58"/>
  <c r="H244" i="58"/>
  <c r="I250" i="58"/>
  <c r="J327" i="58"/>
  <c r="H366" i="58"/>
  <c r="J389" i="58"/>
  <c r="J190" i="58"/>
  <c r="H141" i="58"/>
  <c r="J328" i="58"/>
  <c r="J247" i="58"/>
  <c r="I278" i="58"/>
  <c r="J384" i="58"/>
  <c r="H416" i="58"/>
  <c r="J168" i="58"/>
  <c r="J173" i="58"/>
  <c r="J277" i="58"/>
  <c r="I407" i="58"/>
  <c r="J403" i="58"/>
  <c r="J257" i="58"/>
  <c r="J217" i="58"/>
  <c r="H405" i="58"/>
  <c r="H326" i="58"/>
  <c r="J292" i="58"/>
  <c r="I367" i="58"/>
  <c r="J395" i="58"/>
  <c r="J412" i="58"/>
  <c r="H188" i="58"/>
  <c r="H243" i="58"/>
  <c r="I351" i="58"/>
  <c r="H223" i="58"/>
  <c r="J147" i="58"/>
  <c r="J232" i="58"/>
  <c r="H216" i="58"/>
  <c r="H158" i="58"/>
  <c r="J293" i="58"/>
  <c r="J360" i="58"/>
  <c r="J144" i="58"/>
  <c r="H235" i="58"/>
  <c r="H155" i="58"/>
  <c r="H303" i="58"/>
  <c r="H166" i="58"/>
  <c r="I170" i="58"/>
  <c r="H263" i="58"/>
  <c r="H413" i="58"/>
  <c r="H266" i="58"/>
  <c r="H418" i="58"/>
  <c r="J372" i="58"/>
  <c r="I390" i="58"/>
  <c r="I207" i="58"/>
  <c r="H210" i="58"/>
  <c r="I349" i="58"/>
  <c r="I150" i="58"/>
  <c r="J204" i="58"/>
  <c r="J396" i="58"/>
  <c r="I402" i="58"/>
  <c r="J381" i="58"/>
  <c r="I345" i="58"/>
  <c r="H187" i="58"/>
  <c r="J242" i="58"/>
  <c r="I300" i="58"/>
  <c r="J325" i="58"/>
  <c r="J145" i="58"/>
  <c r="I145" i="58"/>
  <c r="J338" i="58"/>
  <c r="I312" i="58"/>
  <c r="H309" i="58"/>
  <c r="I282" i="58"/>
  <c r="J375" i="58"/>
  <c r="J154" i="58"/>
  <c r="I142" i="58"/>
  <c r="J279" i="58"/>
  <c r="I237" i="58"/>
  <c r="H201" i="58"/>
  <c r="I408" i="58"/>
  <c r="J401" i="58"/>
  <c r="J239" i="58"/>
  <c r="I359" i="58"/>
  <c r="J413" i="58"/>
  <c r="H292" i="58"/>
  <c r="I209" i="58"/>
  <c r="J224" i="58"/>
  <c r="I259" i="58"/>
  <c r="I374" i="58"/>
  <c r="H403" i="58"/>
  <c r="H316" i="58"/>
  <c r="I223" i="58"/>
  <c r="H370" i="58"/>
  <c r="I403" i="58"/>
  <c r="H247" i="58"/>
  <c r="H176" i="58"/>
  <c r="J182" i="58"/>
  <c r="I200" i="58"/>
  <c r="H163" i="58"/>
  <c r="H349" i="58"/>
  <c r="H327" i="58"/>
  <c r="J221" i="58"/>
  <c r="J310" i="58"/>
  <c r="I231" i="58"/>
  <c r="J248" i="58"/>
  <c r="H225" i="58"/>
  <c r="H220" i="58"/>
  <c r="I380" i="58"/>
  <c r="H328" i="58"/>
  <c r="H296" i="58"/>
  <c r="H217" i="58"/>
  <c r="H143" i="58"/>
  <c r="H364" i="58"/>
  <c r="H411" i="58"/>
  <c r="J347" i="58"/>
  <c r="I272" i="58"/>
  <c r="J234" i="58"/>
  <c r="J406" i="58"/>
  <c r="J246" i="58"/>
  <c r="I396" i="58"/>
  <c r="J422" i="58"/>
  <c r="H308" i="58"/>
  <c r="I277" i="41"/>
  <c r="M208" i="66"/>
  <c r="I490" i="58"/>
  <c r="F209" i="66" s="1"/>
  <c r="I491" i="58"/>
  <c r="F202" i="66" s="1"/>
  <c r="I492" i="58"/>
  <c r="J447" i="41"/>
  <c r="J13" i="41"/>
  <c r="Z175" i="66"/>
  <c r="Z31" i="66"/>
  <c r="Y31" i="66"/>
  <c r="O31" i="66"/>
  <c r="Y175" i="66"/>
  <c r="H450" i="41"/>
  <c r="H447" i="41"/>
  <c r="J443" i="41"/>
  <c r="M16" i="66"/>
  <c r="H491" i="37"/>
  <c r="H492" i="37"/>
  <c r="H490" i="37"/>
  <c r="H194" i="58"/>
  <c r="H151" i="58"/>
  <c r="J170" i="58"/>
  <c r="J386" i="58"/>
  <c r="H258" i="58"/>
  <c r="I417" i="58"/>
  <c r="I187" i="58"/>
  <c r="I294" i="58"/>
  <c r="J280" i="58"/>
  <c r="H397" i="58"/>
  <c r="J281" i="58"/>
  <c r="H313" i="58"/>
  <c r="I310" i="58"/>
  <c r="H348" i="58"/>
  <c r="I307" i="58"/>
  <c r="H161" i="58"/>
  <c r="H421" i="58"/>
  <c r="H391" i="58"/>
  <c r="I376" i="58"/>
  <c r="J262" i="58"/>
  <c r="J320" i="58"/>
  <c r="J399" i="58"/>
  <c r="H186" i="58"/>
  <c r="I395" i="58"/>
  <c r="H355" i="58"/>
  <c r="H305" i="58"/>
  <c r="H209" i="58"/>
  <c r="H417" i="58"/>
  <c r="I280" i="58"/>
  <c r="J377" i="58"/>
  <c r="I289" i="58"/>
  <c r="I220" i="58"/>
  <c r="I340" i="58"/>
  <c r="J261" i="58"/>
  <c r="J319" i="58"/>
  <c r="I397" i="58"/>
  <c r="J409" i="58"/>
  <c r="J376" i="58"/>
  <c r="H320" i="58"/>
  <c r="H221" i="58"/>
  <c r="H383" i="58"/>
  <c r="I364" i="58"/>
  <c r="J407" i="58"/>
  <c r="I332" i="58"/>
  <c r="I292" i="58"/>
  <c r="H319" i="58"/>
  <c r="H307" i="58"/>
  <c r="J223" i="58"/>
  <c r="I370" i="58"/>
  <c r="I360" i="58"/>
  <c r="H288" i="58"/>
  <c r="H213" i="58"/>
  <c r="J318" i="58"/>
  <c r="I375" i="58"/>
  <c r="H414" i="58"/>
  <c r="H180" i="58"/>
  <c r="I291" i="58"/>
  <c r="H273" i="58"/>
  <c r="J177" i="58"/>
  <c r="J369" i="58"/>
  <c r="I387" i="58"/>
  <c r="J342" i="58"/>
  <c r="I288" i="58"/>
  <c r="J420" i="58"/>
  <c r="J187" i="58"/>
  <c r="I258" i="58"/>
  <c r="J270" i="58"/>
  <c r="I414" i="58"/>
  <c r="H361" i="58"/>
  <c r="J282" i="58"/>
  <c r="I255" i="58"/>
  <c r="H291" i="58"/>
  <c r="I225" i="58"/>
  <c r="J350" i="58"/>
  <c r="J142" i="58"/>
  <c r="H342" i="58"/>
  <c r="J222" i="58"/>
  <c r="I222" i="58"/>
  <c r="J414" i="58"/>
  <c r="I337" i="58"/>
  <c r="I392" i="58"/>
  <c r="H377" i="58"/>
  <c r="J382" i="58"/>
  <c r="H200" i="58"/>
  <c r="H353" i="58"/>
  <c r="J166" i="58"/>
  <c r="I199" i="58"/>
  <c r="J243" i="58"/>
  <c r="J304" i="58"/>
  <c r="H255" i="58"/>
  <c r="H142" i="58"/>
  <c r="J308" i="58"/>
  <c r="J159" i="58"/>
  <c r="J383" i="58"/>
  <c r="H304" i="58"/>
  <c r="H251" i="58"/>
  <c r="J415" i="58"/>
  <c r="J199" i="58"/>
  <c r="I205" i="58"/>
  <c r="H199" i="58"/>
  <c r="H352" i="58"/>
  <c r="H398" i="58"/>
  <c r="I214" i="58"/>
  <c r="J203" i="58"/>
  <c r="H332" i="58"/>
  <c r="H224" i="58"/>
  <c r="I265" i="58"/>
  <c r="J295" i="58"/>
  <c r="I371" i="58"/>
  <c r="J179" i="58"/>
  <c r="H256" i="58"/>
  <c r="H212" i="58"/>
  <c r="H330" i="58"/>
  <c r="J418" i="58"/>
  <c r="H249" i="58"/>
  <c r="I317" i="58"/>
  <c r="I346" i="58"/>
  <c r="J378" i="58"/>
  <c r="J400" i="58"/>
  <c r="I313" i="58"/>
  <c r="J218" i="58"/>
  <c r="H12" i="41"/>
  <c r="E229" i="38"/>
  <c r="E274" i="38"/>
  <c r="N143" i="66"/>
  <c r="H13" i="41"/>
  <c r="I441" i="41"/>
  <c r="I11" i="41"/>
  <c r="E363" i="38"/>
  <c r="K123" i="66" s="1"/>
  <c r="N123" i="66" s="1"/>
  <c r="O267" i="66" s="1"/>
  <c r="J476" i="41"/>
  <c r="Y191" i="66"/>
  <c r="Z47" i="66"/>
  <c r="O47" i="66"/>
  <c r="Z191" i="66"/>
  <c r="Y47" i="66"/>
  <c r="J362" i="41"/>
  <c r="H451" i="41"/>
  <c r="J311" i="58"/>
  <c r="H412" i="58"/>
  <c r="J260" i="58"/>
  <c r="I305" i="58"/>
  <c r="J337" i="58"/>
  <c r="H264" i="58"/>
  <c r="J186" i="58"/>
  <c r="J361" i="58"/>
  <c r="I244" i="58"/>
  <c r="I159" i="58"/>
  <c r="I151" i="58"/>
  <c r="H371" i="58"/>
  <c r="H375" i="58"/>
  <c r="I293" i="58"/>
  <c r="I386" i="58"/>
  <c r="J191" i="58"/>
  <c r="H202" i="58"/>
  <c r="I299" i="58"/>
  <c r="J305" i="58"/>
  <c r="I323" i="58"/>
  <c r="I302" i="58"/>
  <c r="H378" i="58"/>
  <c r="I410" i="58"/>
  <c r="J307" i="58"/>
  <c r="J343" i="58"/>
  <c r="H401" i="58"/>
  <c r="I212" i="58"/>
  <c r="J380" i="58"/>
  <c r="H372" i="58"/>
  <c r="I362" i="58"/>
  <c r="J358" i="58"/>
  <c r="J390" i="58"/>
  <c r="J149" i="58"/>
  <c r="J300" i="58"/>
  <c r="J408" i="58"/>
  <c r="I201" i="58"/>
  <c r="I369" i="58"/>
  <c r="I241" i="58"/>
  <c r="I198" i="58"/>
  <c r="J321" i="58"/>
  <c r="H334" i="58"/>
  <c r="I210" i="58"/>
  <c r="J335" i="58"/>
  <c r="I373" i="58"/>
  <c r="H248" i="58"/>
  <c r="J351" i="58"/>
  <c r="I163" i="58"/>
  <c r="H259" i="58"/>
  <c r="I268" i="58"/>
  <c r="I389" i="58"/>
  <c r="H299" i="58"/>
  <c r="J200" i="58"/>
  <c r="H236" i="58"/>
  <c r="J194" i="58"/>
  <c r="H179" i="58"/>
  <c r="H406" i="58"/>
  <c r="J235" i="58"/>
  <c r="J355" i="58"/>
  <c r="H363" i="58"/>
  <c r="I290" i="58"/>
  <c r="H410" i="58"/>
  <c r="I208" i="58"/>
  <c r="J334" i="58"/>
  <c r="I168" i="58"/>
  <c r="I394" i="58"/>
  <c r="J208" i="58"/>
  <c r="J274" i="58"/>
  <c r="I368" i="58"/>
  <c r="I287" i="58"/>
  <c r="Z165" i="66"/>
  <c r="Z21" i="66"/>
  <c r="Y165" i="66"/>
  <c r="Y21" i="66"/>
  <c r="G58" i="66"/>
  <c r="I451" i="37"/>
  <c r="J448" i="41"/>
  <c r="I13" i="41"/>
  <c r="H11" i="41"/>
  <c r="I454" i="41"/>
  <c r="H449" i="41"/>
  <c r="I443" i="41"/>
  <c r="M160" i="66"/>
  <c r="H490" i="58"/>
  <c r="F161" i="66" s="1"/>
  <c r="N161" i="66" s="1"/>
  <c r="H492" i="58"/>
  <c r="H491" i="58"/>
  <c r="F154" i="66" s="1"/>
  <c r="N154" i="66" s="1"/>
  <c r="H452" i="41"/>
  <c r="I206" i="58"/>
  <c r="H252" i="58"/>
  <c r="H368" i="58"/>
  <c r="I180" i="58"/>
  <c r="H337" i="58"/>
  <c r="I341" i="58"/>
  <c r="J211" i="58"/>
  <c r="I388" i="58"/>
  <c r="I217" i="58"/>
  <c r="I295" i="58"/>
  <c r="H261" i="58"/>
  <c r="I246" i="58"/>
  <c r="J364" i="58"/>
  <c r="H246" i="58"/>
  <c r="J250" i="58"/>
  <c r="J286" i="58"/>
  <c r="H395" i="58"/>
  <c r="H409" i="58"/>
  <c r="J391" i="58"/>
  <c r="I235" i="58"/>
  <c r="H333" i="58"/>
  <c r="I343" i="58"/>
  <c r="J359" i="58"/>
  <c r="H149" i="58"/>
  <c r="J316" i="58"/>
  <c r="H325" i="58"/>
  <c r="J276" i="58"/>
  <c r="H381" i="58"/>
  <c r="I276" i="58"/>
  <c r="J315" i="58"/>
  <c r="I372" i="58"/>
  <c r="I273" i="58"/>
  <c r="J174" i="58"/>
  <c r="J255" i="58"/>
  <c r="H318" i="58"/>
  <c r="J225" i="58"/>
  <c r="J417" i="58"/>
  <c r="I393" i="58"/>
  <c r="J153" i="58"/>
  <c r="J387" i="58"/>
  <c r="I322" i="58"/>
  <c r="I383" i="58"/>
  <c r="H384" i="58"/>
  <c r="J254" i="58"/>
  <c r="H373" i="58"/>
  <c r="H271" i="58"/>
  <c r="H178" i="58"/>
  <c r="H387" i="58"/>
  <c r="I253" i="58"/>
  <c r="I419" i="58"/>
  <c r="H168" i="58"/>
  <c r="J283" i="58"/>
  <c r="H277" i="58"/>
  <c r="I327" i="58"/>
  <c r="J385" i="58"/>
  <c r="H250" i="58"/>
  <c r="J299" i="58"/>
  <c r="J278" i="58"/>
  <c r="I355" i="58"/>
  <c r="J368" i="58"/>
  <c r="J398" i="58"/>
  <c r="H346" i="58"/>
  <c r="H240" i="58"/>
  <c r="H290" i="58"/>
  <c r="J339" i="58"/>
  <c r="H347" i="58"/>
  <c r="H297" i="58"/>
  <c r="H198" i="58"/>
  <c r="H167" i="58"/>
  <c r="J265" i="58"/>
  <c r="I314" i="58"/>
  <c r="J301" i="58"/>
  <c r="J332" i="58"/>
  <c r="H420" i="58"/>
  <c r="H165" i="58"/>
  <c r="H317" i="58"/>
  <c r="I155" i="58"/>
  <c r="J419" i="58"/>
  <c r="H380" i="58"/>
  <c r="H238" i="58"/>
  <c r="H400" i="58"/>
  <c r="I182" i="58"/>
  <c r="J197" i="58"/>
  <c r="I203" i="58"/>
  <c r="I320" i="58"/>
  <c r="H189" i="58"/>
  <c r="H351" i="58"/>
  <c r="J233" i="58"/>
  <c r="I350" i="58"/>
  <c r="H365" i="58"/>
  <c r="J345" i="58"/>
  <c r="I233" i="58"/>
  <c r="J411" i="58"/>
  <c r="I333" i="58"/>
  <c r="J273" i="58"/>
  <c r="I245" i="58"/>
  <c r="J285" i="58"/>
  <c r="I230" i="58"/>
  <c r="J393" i="58"/>
  <c r="J146" i="58"/>
  <c r="I146" i="58"/>
  <c r="J241" i="58"/>
  <c r="I285" i="58"/>
  <c r="H233" i="58"/>
  <c r="J198" i="58"/>
  <c r="I226" i="58"/>
  <c r="J238" i="58"/>
  <c r="I171" i="58"/>
  <c r="J294" i="58"/>
  <c r="I365" i="58"/>
  <c r="H192" i="58"/>
  <c r="J141" i="58"/>
  <c r="I195" i="58"/>
  <c r="J333" i="58"/>
  <c r="I279" i="58"/>
  <c r="I197" i="58"/>
  <c r="H302" i="58"/>
  <c r="J344" i="58"/>
  <c r="H265" i="58"/>
  <c r="H203" i="58"/>
  <c r="I409" i="58"/>
  <c r="H385" i="58"/>
  <c r="I418" i="58"/>
  <c r="J151" i="58"/>
  <c r="H278" i="58"/>
  <c r="I221" i="58"/>
  <c r="J253" i="58"/>
  <c r="I301" i="58"/>
  <c r="J317" i="58"/>
  <c r="H226" i="58"/>
  <c r="H415" i="58"/>
  <c r="J336" i="58"/>
  <c r="H215" i="58"/>
  <c r="J397" i="58"/>
  <c r="H295" i="58"/>
  <c r="H241" i="58"/>
  <c r="I281" i="58"/>
  <c r="I175" i="58"/>
  <c r="I218" i="58"/>
  <c r="H190" i="58"/>
  <c r="H343" i="58"/>
  <c r="I169" i="58"/>
  <c r="J323" i="58"/>
  <c r="I260" i="58"/>
  <c r="I181" i="58"/>
  <c r="H162" i="58"/>
  <c r="H358" i="58"/>
  <c r="H422" i="58"/>
  <c r="I286" i="58"/>
  <c r="H362" i="58"/>
  <c r="I324" i="58"/>
  <c r="H169" i="58"/>
  <c r="I406" i="58"/>
  <c r="J240" i="58"/>
  <c r="I202" i="58"/>
  <c r="I328" i="58"/>
  <c r="J196" i="58"/>
  <c r="I297" i="58"/>
  <c r="I319" i="41"/>
  <c r="N127" i="66"/>
  <c r="J8" i="41"/>
  <c r="C27" i="63"/>
  <c r="O93" i="66"/>
  <c r="J11" i="41"/>
  <c r="E364" i="38"/>
  <c r="K107" i="66" s="1"/>
  <c r="N107" i="66" s="1"/>
  <c r="J477" i="41"/>
  <c r="J452" i="41"/>
  <c r="H426" i="41"/>
  <c r="F30" i="66"/>
  <c r="N30" i="66" s="1"/>
  <c r="I251" i="41"/>
  <c r="I412" i="58"/>
  <c r="J284" i="58"/>
  <c r="H404" i="58"/>
  <c r="H354" i="58"/>
  <c r="I149" i="58"/>
  <c r="I330" i="58"/>
  <c r="H276" i="58"/>
  <c r="J148" i="58"/>
  <c r="I415" i="58"/>
  <c r="J404" i="58"/>
  <c r="H234" i="58"/>
  <c r="I215" i="58"/>
  <c r="H242" i="58"/>
  <c r="I266" i="58"/>
  <c r="H402" i="58"/>
  <c r="I339" i="58"/>
  <c r="I243" i="58"/>
  <c r="J188" i="58"/>
  <c r="H359" i="58"/>
  <c r="H356" i="58"/>
  <c r="H419" i="58"/>
  <c r="J155" i="58"/>
  <c r="I344" i="58"/>
  <c r="I348" i="58"/>
  <c r="I391" i="58"/>
  <c r="J215" i="58"/>
  <c r="J275" i="58"/>
  <c r="H157" i="58"/>
  <c r="H357" i="58"/>
  <c r="I219" i="58"/>
  <c r="I318" i="58"/>
  <c r="I204" i="58"/>
  <c r="J354" i="58"/>
  <c r="H393" i="58"/>
  <c r="I270" i="58"/>
  <c r="J171" i="58"/>
  <c r="I366" i="58"/>
  <c r="I353" i="58"/>
  <c r="I338" i="58"/>
  <c r="J306" i="58"/>
  <c r="I385" i="58"/>
  <c r="H300" i="58"/>
  <c r="I398" i="58"/>
  <c r="H407" i="58"/>
  <c r="H344" i="58"/>
  <c r="I269" i="58"/>
  <c r="H389" i="58"/>
  <c r="H239" i="58"/>
  <c r="I316" i="58"/>
  <c r="H379" i="58"/>
  <c r="H284" i="58"/>
  <c r="J363" i="58"/>
  <c r="J214" i="58"/>
  <c r="J163" i="58"/>
  <c r="H228" i="58"/>
  <c r="H145" i="58"/>
  <c r="J209" i="58"/>
  <c r="I227" i="58"/>
  <c r="J244" i="58"/>
  <c r="J263" i="58"/>
  <c r="H206" i="58"/>
  <c r="H211" i="58"/>
  <c r="I194" i="58"/>
  <c r="I263" i="58"/>
  <c r="J392" i="58"/>
  <c r="J291" i="58"/>
  <c r="I422" i="58"/>
  <c r="J324" i="58"/>
  <c r="J346" i="58"/>
  <c r="I283" i="58"/>
  <c r="I329" i="58"/>
  <c r="H185" i="58"/>
  <c r="G202" i="66"/>
  <c r="I451" i="58"/>
  <c r="I12" i="41"/>
  <c r="C57" i="63"/>
  <c r="I453" i="41"/>
  <c r="M112" i="66"/>
  <c r="J490" i="37"/>
  <c r="J491" i="37"/>
  <c r="J492" i="37"/>
  <c r="J445" i="41"/>
  <c r="J229" i="41"/>
  <c r="I426" i="58"/>
  <c r="F222" i="66" s="1"/>
  <c r="N222" i="66" s="1"/>
  <c r="H442" i="41"/>
  <c r="H339" i="58"/>
  <c r="H174" i="58"/>
  <c r="I167" i="58"/>
  <c r="H214" i="58"/>
  <c r="I420" i="58"/>
  <c r="J189" i="58"/>
  <c r="I381" i="58"/>
  <c r="I267" i="58"/>
  <c r="H280" i="58"/>
  <c r="H193" i="58"/>
  <c r="I284" i="58"/>
  <c r="J371" i="58"/>
  <c r="H262" i="58"/>
  <c r="J267" i="58"/>
  <c r="J352" i="58"/>
  <c r="I274" i="58"/>
  <c r="I193" i="58"/>
  <c r="H350" i="58"/>
  <c r="I262" i="58"/>
  <c r="H227" i="58"/>
  <c r="H231" i="58"/>
  <c r="J379" i="58"/>
  <c r="H267" i="58"/>
  <c r="H323" i="58"/>
  <c r="J169" i="58"/>
  <c r="H289" i="58"/>
  <c r="H146" i="58"/>
  <c r="I144" i="58"/>
  <c r="H294" i="58"/>
  <c r="J192" i="58"/>
  <c r="I321" i="58"/>
  <c r="J219" i="58"/>
  <c r="J357" i="58"/>
  <c r="J230" i="58"/>
  <c r="J258" i="58"/>
  <c r="I216" i="58"/>
  <c r="I399" i="58"/>
  <c r="J226" i="58"/>
  <c r="H177" i="58"/>
  <c r="I213" i="58"/>
  <c r="I157" i="58"/>
  <c r="J252" i="58"/>
  <c r="J322" i="58"/>
  <c r="I154" i="58"/>
  <c r="I153" i="58"/>
  <c r="J266" i="58"/>
  <c r="I335" i="58"/>
  <c r="H329" i="58"/>
  <c r="J374" i="58"/>
  <c r="J410" i="58"/>
  <c r="J181" i="58"/>
  <c r="J272" i="58"/>
  <c r="H254" i="58"/>
  <c r="I296" i="58"/>
  <c r="I404" i="58"/>
  <c r="J236" i="58"/>
  <c r="I257" i="58"/>
  <c r="J259" i="58"/>
  <c r="J290" i="58"/>
  <c r="H195" i="58"/>
  <c r="H181" i="58"/>
  <c r="J416" i="58"/>
  <c r="J271" i="58"/>
  <c r="J231" i="58"/>
  <c r="I188" i="58"/>
  <c r="H338" i="58"/>
  <c r="H341" i="58"/>
  <c r="I379" i="58"/>
  <c r="I271" i="58"/>
  <c r="I275" i="58"/>
  <c r="H331" i="58"/>
  <c r="H204" i="58"/>
  <c r="I363" i="58"/>
  <c r="H269" i="58"/>
  <c r="I143" i="58"/>
  <c r="J367" i="58"/>
  <c r="J302" i="58"/>
  <c r="H322" i="58"/>
  <c r="H232" i="58"/>
  <c r="J373" i="58"/>
  <c r="J212" i="58"/>
  <c r="H394" i="58"/>
  <c r="I336" i="58"/>
  <c r="H293" i="58"/>
  <c r="H298" i="58"/>
  <c r="J180" i="58"/>
  <c r="I306" i="58"/>
  <c r="H282" i="58"/>
  <c r="J150" i="58"/>
  <c r="I192" i="58"/>
  <c r="J330" i="58"/>
  <c r="I303" i="58"/>
  <c r="J216" i="58"/>
  <c r="I177" i="58"/>
  <c r="J201" i="58"/>
  <c r="I189" i="58"/>
  <c r="J341" i="58"/>
  <c r="I357" i="58"/>
  <c r="H345" i="58"/>
  <c r="J213" i="58"/>
  <c r="I242" i="58"/>
  <c r="J353" i="58"/>
  <c r="J157" i="58"/>
  <c r="I186" i="58"/>
  <c r="I354" i="58"/>
  <c r="H399" i="58"/>
  <c r="J237" i="58"/>
  <c r="I325" i="58"/>
  <c r="J402" i="58"/>
  <c r="I309" i="58"/>
  <c r="I141" i="58"/>
  <c r="J264" i="58"/>
  <c r="I164" i="58"/>
  <c r="I239" i="58"/>
  <c r="H147" i="58"/>
  <c r="J289" i="58"/>
  <c r="H171" i="58"/>
  <c r="H324" i="58"/>
  <c r="I211" i="58"/>
  <c r="H310" i="58"/>
  <c r="I179" i="58"/>
  <c r="H237" i="58"/>
  <c r="H376" i="58"/>
  <c r="H268" i="58"/>
  <c r="J269" i="58"/>
  <c r="I190" i="58"/>
  <c r="J206" i="58"/>
  <c r="H270" i="58"/>
  <c r="I236" i="58"/>
  <c r="J268" i="58"/>
  <c r="J314" i="58"/>
  <c r="J331" i="58"/>
  <c r="H207" i="58"/>
  <c r="H382" i="58"/>
  <c r="I311" i="58"/>
  <c r="H286" i="58"/>
  <c r="H172" i="58"/>
  <c r="H287" i="58"/>
  <c r="H222" i="58"/>
  <c r="H175" i="58"/>
  <c r="J298" i="58"/>
  <c r="H281" i="58"/>
  <c r="H314" i="58"/>
  <c r="H205" i="58"/>
  <c r="J421" i="58"/>
  <c r="H208" i="58"/>
  <c r="I147" i="58"/>
  <c r="I413" i="58"/>
  <c r="I261" i="58"/>
  <c r="I240" i="58"/>
  <c r="J394" i="58"/>
  <c r="H315" i="58"/>
  <c r="J178" i="58"/>
  <c r="I411" i="58"/>
  <c r="J329" i="58"/>
  <c r="H443" i="41"/>
  <c r="J12" i="41"/>
  <c r="M64" i="66"/>
  <c r="I490" i="37"/>
  <c r="I491" i="37"/>
  <c r="I492" i="37"/>
  <c r="E362" i="38"/>
  <c r="K141" i="66" s="1"/>
  <c r="N141" i="66" s="1"/>
  <c r="J475" i="41"/>
  <c r="I378" i="41"/>
  <c r="Y139" i="66"/>
  <c r="Y283" i="66"/>
  <c r="Z139" i="66"/>
  <c r="Z283" i="66"/>
  <c r="I178" i="41"/>
  <c r="J183" i="41"/>
  <c r="I183" i="41"/>
  <c r="Y268" i="66"/>
  <c r="Y124" i="66"/>
  <c r="Z268" i="66"/>
  <c r="Z124" i="66"/>
  <c r="H425" i="37" l="1"/>
  <c r="C9" i="63" s="1"/>
  <c r="O75" i="66"/>
  <c r="O57" i="66"/>
  <c r="Q57" i="66" s="1"/>
  <c r="R57" i="66" s="1"/>
  <c r="T57" i="66" s="1"/>
  <c r="Y57" i="66"/>
  <c r="Z57" i="66"/>
  <c r="O59" i="66"/>
  <c r="Q59" i="66" s="1"/>
  <c r="R59" i="66" s="1"/>
  <c r="T59" i="66" s="1"/>
  <c r="Y203" i="66"/>
  <c r="Y201" i="66"/>
  <c r="Z201" i="66"/>
  <c r="Z219" i="66"/>
  <c r="O219" i="66"/>
  <c r="Q219" i="66" s="1"/>
  <c r="R219" i="66" s="1"/>
  <c r="T219" i="66" s="1"/>
  <c r="Z75" i="66"/>
  <c r="Y75" i="66"/>
  <c r="Y59" i="66"/>
  <c r="Z59" i="66"/>
  <c r="Z203" i="66"/>
  <c r="N209" i="66"/>
  <c r="Z93" i="66"/>
  <c r="Y93" i="66"/>
  <c r="Z237" i="66"/>
  <c r="O237" i="66"/>
  <c r="O271" i="66"/>
  <c r="J6" i="6"/>
  <c r="O287" i="66"/>
  <c r="Q287" i="66" s="1"/>
  <c r="R287" i="66" s="1"/>
  <c r="T287" i="66" s="1"/>
  <c r="J7" i="6"/>
  <c r="M216" i="66"/>
  <c r="M72" i="66"/>
  <c r="M87" i="66"/>
  <c r="M231" i="66"/>
  <c r="M91" i="66"/>
  <c r="N91" i="66" s="1"/>
  <c r="M235" i="66"/>
  <c r="N235" i="66" s="1"/>
  <c r="M196" i="66"/>
  <c r="M52" i="66"/>
  <c r="M79" i="66"/>
  <c r="M223" i="66"/>
  <c r="N223" i="66" s="1"/>
  <c r="M213" i="66"/>
  <c r="N213" i="66" s="1"/>
  <c r="M69" i="66"/>
  <c r="N69" i="66" s="1"/>
  <c r="M217" i="66"/>
  <c r="M73" i="66"/>
  <c r="M202" i="66"/>
  <c r="N202" i="66" s="1"/>
  <c r="M58" i="66"/>
  <c r="M239" i="66"/>
  <c r="N239" i="66" s="1"/>
  <c r="M95" i="66"/>
  <c r="M77" i="66"/>
  <c r="M221" i="66"/>
  <c r="M76" i="66"/>
  <c r="N76" i="66" s="1"/>
  <c r="M220" i="66"/>
  <c r="N220" i="66" s="1"/>
  <c r="M233" i="66"/>
  <c r="M89" i="66"/>
  <c r="G262" i="66"/>
  <c r="G265" i="66"/>
  <c r="J440" i="58"/>
  <c r="G118" i="66"/>
  <c r="J440" i="37"/>
  <c r="G121" i="66"/>
  <c r="H179" i="41"/>
  <c r="H299" i="41"/>
  <c r="I163" i="41"/>
  <c r="J335" i="41"/>
  <c r="I198" i="41"/>
  <c r="J408" i="41"/>
  <c r="I410" i="41"/>
  <c r="I386" i="41"/>
  <c r="J186" i="41"/>
  <c r="J260" i="41"/>
  <c r="J348" i="41"/>
  <c r="H388" i="41"/>
  <c r="J168" i="41"/>
  <c r="J247" i="41"/>
  <c r="J389" i="41"/>
  <c r="H244" i="41"/>
  <c r="I254" i="41"/>
  <c r="I326" i="41"/>
  <c r="J312" i="41"/>
  <c r="J422" i="41"/>
  <c r="J234" i="41"/>
  <c r="H364" i="41"/>
  <c r="H328" i="41"/>
  <c r="J248" i="41"/>
  <c r="H327" i="41"/>
  <c r="H370" i="41"/>
  <c r="H292" i="41"/>
  <c r="J401" i="41"/>
  <c r="J242" i="41"/>
  <c r="I402" i="41"/>
  <c r="I349" i="41"/>
  <c r="H263" i="41"/>
  <c r="H155" i="41"/>
  <c r="J293" i="41"/>
  <c r="J147" i="41"/>
  <c r="H188" i="41"/>
  <c r="J292" i="41"/>
  <c r="J327" i="41"/>
  <c r="J228" i="41"/>
  <c r="I238" i="41"/>
  <c r="I174" i="41"/>
  <c r="H153" i="41"/>
  <c r="I405" i="41"/>
  <c r="J175" i="41"/>
  <c r="H275" i="41"/>
  <c r="H150" i="41"/>
  <c r="J326" i="41"/>
  <c r="J405" i="41"/>
  <c r="I162" i="41"/>
  <c r="H374" i="41"/>
  <c r="J365" i="41"/>
  <c r="J196" i="41"/>
  <c r="I406" i="41"/>
  <c r="I286" i="41"/>
  <c r="I181" i="41"/>
  <c r="H343" i="41"/>
  <c r="H215" i="41"/>
  <c r="H302" i="41"/>
  <c r="I195" i="41"/>
  <c r="I350" i="41"/>
  <c r="H167" i="41"/>
  <c r="J339" i="41"/>
  <c r="J398" i="41"/>
  <c r="J299" i="41"/>
  <c r="I322" i="41"/>
  <c r="I276" i="41"/>
  <c r="H333" i="41"/>
  <c r="J213" i="41"/>
  <c r="J367" i="41"/>
  <c r="H204" i="41"/>
  <c r="I379" i="41"/>
  <c r="J231" i="41"/>
  <c r="J236" i="41"/>
  <c r="J272" i="41"/>
  <c r="H329" i="41"/>
  <c r="I154" i="41"/>
  <c r="I213" i="41"/>
  <c r="I216" i="41"/>
  <c r="H323" i="41"/>
  <c r="I246" i="41"/>
  <c r="H358" i="41"/>
  <c r="I218" i="41"/>
  <c r="H415" i="41"/>
  <c r="I418" i="41"/>
  <c r="H265" i="41"/>
  <c r="J238" i="41"/>
  <c r="J393" i="41"/>
  <c r="J273" i="41"/>
  <c r="H351" i="41"/>
  <c r="J197" i="41"/>
  <c r="I314" i="41"/>
  <c r="H240" i="41"/>
  <c r="I355" i="41"/>
  <c r="H168" i="41"/>
  <c r="H178" i="41"/>
  <c r="H384" i="41"/>
  <c r="J153" i="41"/>
  <c r="J276" i="41"/>
  <c r="J359" i="41"/>
  <c r="J250" i="41"/>
  <c r="I272" i="41"/>
  <c r="H143" i="41"/>
  <c r="I231" i="41"/>
  <c r="I259" i="41"/>
  <c r="H210" i="41"/>
  <c r="I170" i="41"/>
  <c r="H235" i="41"/>
  <c r="H326" i="41"/>
  <c r="I352" i="41"/>
  <c r="J205" i="41"/>
  <c r="J218" i="41"/>
  <c r="I346" i="41"/>
  <c r="I371" i="41"/>
  <c r="H352" i="41"/>
  <c r="H361" i="41"/>
  <c r="J187" i="41"/>
  <c r="I291" i="41"/>
  <c r="H383" i="41"/>
  <c r="J409" i="41"/>
  <c r="I280" i="41"/>
  <c r="J320" i="41"/>
  <c r="J280" i="41"/>
  <c r="H258" i="41"/>
  <c r="J406" i="41"/>
  <c r="H296" i="41"/>
  <c r="J221" i="41"/>
  <c r="I200" i="41"/>
  <c r="I403" i="41"/>
  <c r="I209" i="41"/>
  <c r="J239" i="41"/>
  <c r="I237" i="41"/>
  <c r="J375" i="41"/>
  <c r="J338" i="41"/>
  <c r="I300" i="41"/>
  <c r="I150" i="41"/>
  <c r="J360" i="41"/>
  <c r="J232" i="41"/>
  <c r="J217" i="41"/>
  <c r="I407" i="41"/>
  <c r="H416" i="41"/>
  <c r="H366" i="41"/>
  <c r="J220" i="41"/>
  <c r="I342" i="41"/>
  <c r="H245" i="41"/>
  <c r="J143" i="41"/>
  <c r="I247" i="41"/>
  <c r="J288" i="41"/>
  <c r="I161" i="41"/>
  <c r="I368" i="41"/>
  <c r="I168" i="41"/>
  <c r="J200" i="41"/>
  <c r="J390" i="41"/>
  <c r="J380" i="41"/>
  <c r="I323" i="41"/>
  <c r="J361" i="41"/>
  <c r="H360" i="41"/>
  <c r="J370" i="41"/>
  <c r="J366" i="41"/>
  <c r="H234" i="41"/>
  <c r="H276" i="41"/>
  <c r="H404" i="41"/>
  <c r="J291" i="41"/>
  <c r="J163" i="41"/>
  <c r="H393" i="41"/>
  <c r="J155" i="41"/>
  <c r="I266" i="41"/>
  <c r="I297" i="41"/>
  <c r="H362" i="41"/>
  <c r="J397" i="41"/>
  <c r="J344" i="41"/>
  <c r="I333" i="41"/>
  <c r="H365" i="41"/>
  <c r="I182" i="41"/>
  <c r="H347" i="41"/>
  <c r="I419" i="41"/>
  <c r="J315" i="41"/>
  <c r="H325" i="41"/>
  <c r="I343" i="41"/>
  <c r="H409" i="41"/>
  <c r="H246" i="41"/>
  <c r="H262" i="41"/>
  <c r="H339" i="41"/>
  <c r="I227" i="41"/>
  <c r="J215" i="41"/>
  <c r="J188" i="41"/>
  <c r="J346" i="41"/>
  <c r="J392" i="41"/>
  <c r="J209" i="41"/>
  <c r="J214" i="41"/>
  <c r="H344" i="41"/>
  <c r="I385" i="41"/>
  <c r="J354" i="41"/>
  <c r="H357" i="41"/>
  <c r="I391" i="41"/>
  <c r="J378" i="41"/>
  <c r="J179" i="41"/>
  <c r="H224" i="41"/>
  <c r="H377" i="41"/>
  <c r="J350" i="41"/>
  <c r="J342" i="41"/>
  <c r="J377" i="41"/>
  <c r="H305" i="41"/>
  <c r="J399" i="41"/>
  <c r="H348" i="41"/>
  <c r="H397" i="41"/>
  <c r="I417" i="41"/>
  <c r="H151" i="41"/>
  <c r="J356" i="41"/>
  <c r="H286" i="41"/>
  <c r="J329" i="41"/>
  <c r="J394" i="41"/>
  <c r="I147" i="41"/>
  <c r="I311" i="41"/>
  <c r="J314" i="41"/>
  <c r="J206" i="41"/>
  <c r="H376" i="41"/>
  <c r="H147" i="41"/>
  <c r="J157" i="41"/>
  <c r="J330" i="41"/>
  <c r="I336" i="41"/>
  <c r="H232" i="41"/>
  <c r="I143" i="41"/>
  <c r="H331" i="41"/>
  <c r="H341" i="41"/>
  <c r="J290" i="41"/>
  <c r="J181" i="41"/>
  <c r="I335" i="41"/>
  <c r="J258" i="41"/>
  <c r="H146" i="41"/>
  <c r="I284" i="41"/>
  <c r="I381" i="41"/>
  <c r="I167" i="41"/>
  <c r="J324" i="41"/>
  <c r="J263" i="41"/>
  <c r="J363" i="41"/>
  <c r="H239" i="41"/>
  <c r="J171" i="41"/>
  <c r="I204" i="41"/>
  <c r="H356" i="41"/>
  <c r="I339" i="41"/>
  <c r="H242" i="41"/>
  <c r="I149" i="41"/>
  <c r="I412" i="41"/>
  <c r="I328" i="41"/>
  <c r="H190" i="41"/>
  <c r="H241" i="41"/>
  <c r="J336" i="41"/>
  <c r="J151" i="41"/>
  <c r="I203" i="41"/>
  <c r="J301" i="41"/>
  <c r="J368" i="41"/>
  <c r="J283" i="41"/>
  <c r="H381" i="41"/>
  <c r="J286" i="41"/>
  <c r="J347" i="41"/>
  <c r="H217" i="41"/>
  <c r="H220" i="41"/>
  <c r="H163" i="41"/>
  <c r="J204" i="41"/>
  <c r="I228" i="41"/>
  <c r="I331" i="41"/>
  <c r="H408" i="41"/>
  <c r="I377" i="41"/>
  <c r="H208" i="41"/>
  <c r="H281" i="41"/>
  <c r="J268" i="41"/>
  <c r="H324" i="41"/>
  <c r="I239" i="41"/>
  <c r="I309" i="41"/>
  <c r="I357" i="41"/>
  <c r="I177" i="41"/>
  <c r="I192" i="41"/>
  <c r="I275" i="41"/>
  <c r="H338" i="41"/>
  <c r="J416" i="41"/>
  <c r="J259" i="41"/>
  <c r="J410" i="41"/>
  <c r="J266" i="41"/>
  <c r="J252" i="41"/>
  <c r="H289" i="41"/>
  <c r="J379" i="41"/>
  <c r="I329" i="41"/>
  <c r="I194" i="41"/>
  <c r="H389" i="41"/>
  <c r="I398" i="41"/>
  <c r="I338" i="41"/>
  <c r="I270" i="41"/>
  <c r="I318" i="41"/>
  <c r="J275" i="41"/>
  <c r="H359" i="41"/>
  <c r="H402" i="41"/>
  <c r="H261" i="41"/>
  <c r="H368" i="41"/>
  <c r="I208" i="41"/>
  <c r="J355" i="41"/>
  <c r="J194" i="41"/>
  <c r="J351" i="41"/>
  <c r="I210" i="41"/>
  <c r="I241" i="41"/>
  <c r="I293" i="41"/>
  <c r="I159" i="41"/>
  <c r="H264" i="41"/>
  <c r="I166" i="41"/>
  <c r="H283" i="41"/>
  <c r="J158" i="41"/>
  <c r="H172" i="41"/>
  <c r="I236" i="41"/>
  <c r="J269" i="41"/>
  <c r="H171" i="41"/>
  <c r="I164" i="41"/>
  <c r="J150" i="41"/>
  <c r="H298" i="41"/>
  <c r="J302" i="41"/>
  <c r="I363" i="41"/>
  <c r="I257" i="41"/>
  <c r="H254" i="41"/>
  <c r="J374" i="41"/>
  <c r="I399" i="41"/>
  <c r="J169" i="41"/>
  <c r="H231" i="41"/>
  <c r="J235" i="41"/>
  <c r="H248" i="41"/>
  <c r="H334" i="41"/>
  <c r="H202" i="41"/>
  <c r="H375" i="41"/>
  <c r="I244" i="41"/>
  <c r="J337" i="41"/>
  <c r="J311" i="41"/>
  <c r="H212" i="41"/>
  <c r="H199" i="41"/>
  <c r="H200" i="41"/>
  <c r="H342" i="41"/>
  <c r="H291" i="41"/>
  <c r="H213" i="41"/>
  <c r="I220" i="41"/>
  <c r="J262" i="41"/>
  <c r="J386" i="41"/>
  <c r="H335" i="41"/>
  <c r="I298" i="41"/>
  <c r="J172" i="41"/>
  <c r="H229" i="41"/>
  <c r="J404" i="41"/>
  <c r="H256" i="41"/>
  <c r="I214" i="41"/>
  <c r="I205" i="41"/>
  <c r="I199" i="41"/>
  <c r="J382" i="41"/>
  <c r="J414" i="41"/>
  <c r="I255" i="41"/>
  <c r="J270" i="41"/>
  <c r="J177" i="41"/>
  <c r="H288" i="41"/>
  <c r="J407" i="41"/>
  <c r="H320" i="41"/>
  <c r="J319" i="41"/>
  <c r="H209" i="41"/>
  <c r="J170" i="41"/>
  <c r="H336" i="41"/>
  <c r="J210" i="41"/>
  <c r="H396" i="41"/>
  <c r="H175" i="41"/>
  <c r="J331" i="41"/>
  <c r="H310" i="41"/>
  <c r="J371" i="41"/>
  <c r="J227" i="41"/>
  <c r="I358" i="41"/>
  <c r="J267" i="41"/>
  <c r="D36" i="57"/>
  <c r="F110" i="66"/>
  <c r="N110" i="66" s="1"/>
  <c r="I148" i="58"/>
  <c r="I189" i="41"/>
  <c r="F72" i="66"/>
  <c r="D20" i="57"/>
  <c r="D61" i="57"/>
  <c r="F221" i="66"/>
  <c r="D62" i="57"/>
  <c r="F206" i="66"/>
  <c r="N206" i="66" s="1"/>
  <c r="I330" i="41"/>
  <c r="J284" i="41"/>
  <c r="Z30" i="66"/>
  <c r="Z174" i="66"/>
  <c r="Y174" i="66"/>
  <c r="Y30" i="66"/>
  <c r="I202" i="41"/>
  <c r="I324" i="41"/>
  <c r="J323" i="41"/>
  <c r="H295" i="41"/>
  <c r="J253" i="41"/>
  <c r="I279" i="41"/>
  <c r="H192" i="41"/>
  <c r="F225" i="66"/>
  <c r="N225" i="66" s="1"/>
  <c r="D63" i="57"/>
  <c r="J345" i="41"/>
  <c r="F109" i="66"/>
  <c r="N109" i="66" s="1"/>
  <c r="D38" i="57"/>
  <c r="H380" i="41"/>
  <c r="D45" i="57"/>
  <c r="F162" i="66"/>
  <c r="N162" i="66" s="1"/>
  <c r="H297" i="41"/>
  <c r="J385" i="41"/>
  <c r="H318" i="41"/>
  <c r="I372" i="41"/>
  <c r="J391" i="41"/>
  <c r="G106" i="66"/>
  <c r="J451" i="37"/>
  <c r="D8" i="57"/>
  <c r="M3" i="37"/>
  <c r="H249" i="41"/>
  <c r="F41" i="66"/>
  <c r="H115" i="66"/>
  <c r="E2" i="53"/>
  <c r="H142" i="41"/>
  <c r="H19" i="66"/>
  <c r="F19" i="66"/>
  <c r="H67" i="66"/>
  <c r="E26" i="53"/>
  <c r="J142" i="41"/>
  <c r="F115" i="66"/>
  <c r="H491" i="41"/>
  <c r="F10" i="66"/>
  <c r="N10" i="66" s="1"/>
  <c r="F169" i="66"/>
  <c r="D41" i="57"/>
  <c r="H493" i="37"/>
  <c r="E392" i="38"/>
  <c r="M38" i="66" s="1"/>
  <c r="D4" i="57"/>
  <c r="H321" i="41"/>
  <c r="F38" i="66"/>
  <c r="H494" i="37"/>
  <c r="H182" i="41"/>
  <c r="J165" i="41"/>
  <c r="F114" i="66"/>
  <c r="N114" i="66" s="1"/>
  <c r="D32" i="57"/>
  <c r="J185" i="41"/>
  <c r="I421" i="41"/>
  <c r="J195" i="41"/>
  <c r="I315" i="41"/>
  <c r="H367" i="41"/>
  <c r="I401" i="41"/>
  <c r="I308" i="41"/>
  <c r="H257" i="41"/>
  <c r="H386" i="41"/>
  <c r="I141" i="41"/>
  <c r="F73" i="66"/>
  <c r="D15" i="57"/>
  <c r="D51" i="57"/>
  <c r="F157" i="66"/>
  <c r="N157" i="66" s="1"/>
  <c r="I321" i="41"/>
  <c r="E393" i="38"/>
  <c r="M86" i="66" s="1"/>
  <c r="D17" i="57"/>
  <c r="I493" i="37"/>
  <c r="I494" i="37"/>
  <c r="F86" i="66"/>
  <c r="F158" i="66"/>
  <c r="N158" i="66" s="1"/>
  <c r="D49" i="57"/>
  <c r="Y107" i="66"/>
  <c r="Y251" i="66"/>
  <c r="Z251" i="66"/>
  <c r="O107" i="66"/>
  <c r="Z107" i="66"/>
  <c r="Q93" i="66"/>
  <c r="R93" i="66" s="1"/>
  <c r="T93" i="66" s="1"/>
  <c r="Y127" i="66"/>
  <c r="Y271" i="66"/>
  <c r="Z271" i="66"/>
  <c r="Z127" i="66"/>
  <c r="O127" i="66"/>
  <c r="I285" i="41"/>
  <c r="F81" i="66"/>
  <c r="N81" i="66" s="1"/>
  <c r="D24" i="57"/>
  <c r="D77" i="57"/>
  <c r="F253" i="66"/>
  <c r="N253" i="66" s="1"/>
  <c r="F18" i="66"/>
  <c r="N18" i="66" s="1"/>
  <c r="H165" i="41"/>
  <c r="D6" i="57"/>
  <c r="J274" i="41"/>
  <c r="J334" i="41"/>
  <c r="H363" i="41"/>
  <c r="J358" i="41"/>
  <c r="I212" i="41"/>
  <c r="J305" i="41"/>
  <c r="I151" i="41"/>
  <c r="Z267" i="66"/>
  <c r="Y267" i="66"/>
  <c r="Y123" i="66"/>
  <c r="O123" i="66"/>
  <c r="Z123" i="66"/>
  <c r="Y143" i="66"/>
  <c r="Z287" i="66"/>
  <c r="Y287" i="66"/>
  <c r="Z143" i="66"/>
  <c r="O143" i="66"/>
  <c r="J400" i="41"/>
  <c r="F185" i="66"/>
  <c r="D47" i="57"/>
  <c r="M3" i="58"/>
  <c r="I265" i="41"/>
  <c r="H304" i="41"/>
  <c r="H259" i="66"/>
  <c r="H163" i="66"/>
  <c r="E8" i="53"/>
  <c r="H211" i="66"/>
  <c r="F163" i="66"/>
  <c r="E32" i="53"/>
  <c r="F259" i="66"/>
  <c r="I288" i="41"/>
  <c r="H414" i="41"/>
  <c r="H307" i="41"/>
  <c r="I289" i="41"/>
  <c r="H186" i="41"/>
  <c r="I376" i="41"/>
  <c r="I307" i="41"/>
  <c r="J281" i="41"/>
  <c r="I187" i="41"/>
  <c r="E20" i="53"/>
  <c r="F211" i="66"/>
  <c r="D71" i="57"/>
  <c r="F258" i="66"/>
  <c r="N258" i="66" s="1"/>
  <c r="J176" i="41"/>
  <c r="F33" i="66"/>
  <c r="N33" i="66" s="1"/>
  <c r="H285" i="41"/>
  <c r="D11" i="57"/>
  <c r="H144" i="41"/>
  <c r="H369" i="41"/>
  <c r="D13" i="57"/>
  <c r="F23" i="66"/>
  <c r="N23" i="66" s="1"/>
  <c r="D60" i="57"/>
  <c r="F233" i="66"/>
  <c r="N3" i="58"/>
  <c r="H301" i="41"/>
  <c r="J189" i="41"/>
  <c r="D33" i="57"/>
  <c r="F120" i="66"/>
  <c r="N120" i="66" s="1"/>
  <c r="J156" i="58"/>
  <c r="C54" i="63" s="1"/>
  <c r="C24" i="63"/>
  <c r="C14" i="63"/>
  <c r="I156" i="58"/>
  <c r="C44" i="63" s="1"/>
  <c r="H160" i="58"/>
  <c r="H156" i="58"/>
  <c r="C34" i="63" s="1"/>
  <c r="H164" i="58"/>
  <c r="F56" i="66"/>
  <c r="D44" i="39"/>
  <c r="E110" i="38" s="1"/>
  <c r="I492" i="41"/>
  <c r="D17" i="39" s="1"/>
  <c r="H314" i="41"/>
  <c r="H222" i="41"/>
  <c r="I211" i="41"/>
  <c r="F217" i="66"/>
  <c r="D54" i="57"/>
  <c r="J237" i="41"/>
  <c r="F13" i="66"/>
  <c r="N13" i="66" s="1"/>
  <c r="D12" i="57"/>
  <c r="H345" i="41"/>
  <c r="J201" i="41"/>
  <c r="I306" i="41"/>
  <c r="J271" i="41"/>
  <c r="I404" i="41"/>
  <c r="J322" i="41"/>
  <c r="H177" i="41"/>
  <c r="I493" i="58"/>
  <c r="F231" i="66" s="1"/>
  <c r="I494" i="58"/>
  <c r="F230" i="66"/>
  <c r="D56" i="57"/>
  <c r="E396" i="38"/>
  <c r="M230" i="66" s="1"/>
  <c r="D10" i="57"/>
  <c r="F14" i="66"/>
  <c r="N14" i="66" s="1"/>
  <c r="H267" i="41"/>
  <c r="I262" i="41"/>
  <c r="J352" i="41"/>
  <c r="H206" i="41"/>
  <c r="I316" i="41"/>
  <c r="I366" i="41"/>
  <c r="H419" i="41"/>
  <c r="I243" i="41"/>
  <c r="I415" i="41"/>
  <c r="J240" i="41"/>
  <c r="H162" i="41"/>
  <c r="I169" i="41"/>
  <c r="I175" i="41"/>
  <c r="H226" i="41"/>
  <c r="I221" i="41"/>
  <c r="H385" i="41"/>
  <c r="J333" i="41"/>
  <c r="I365" i="41"/>
  <c r="I226" i="41"/>
  <c r="J241" i="41"/>
  <c r="I230" i="41"/>
  <c r="H189" i="41"/>
  <c r="D7" i="57"/>
  <c r="F24" i="66"/>
  <c r="N24" i="66" s="1"/>
  <c r="J419" i="41"/>
  <c r="H420" i="41"/>
  <c r="J265" i="41"/>
  <c r="H346" i="41"/>
  <c r="J278" i="41"/>
  <c r="I327" i="41"/>
  <c r="H271" i="41"/>
  <c r="I383" i="41"/>
  <c r="I393" i="41"/>
  <c r="J255" i="41"/>
  <c r="J211" i="41"/>
  <c r="J208" i="41"/>
  <c r="I389" i="41"/>
  <c r="J300" i="41"/>
  <c r="I362" i="41"/>
  <c r="H401" i="41"/>
  <c r="H378" i="41"/>
  <c r="I299" i="41"/>
  <c r="H412" i="41"/>
  <c r="J418" i="41"/>
  <c r="H398" i="41"/>
  <c r="J199" i="41"/>
  <c r="J383" i="41"/>
  <c r="H255" i="41"/>
  <c r="J166" i="41"/>
  <c r="I222" i="41"/>
  <c r="J282" i="41"/>
  <c r="I258" i="41"/>
  <c r="H273" i="41"/>
  <c r="I375" i="41"/>
  <c r="I360" i="41"/>
  <c r="H319" i="41"/>
  <c r="I364" i="41"/>
  <c r="J376" i="41"/>
  <c r="J261" i="41"/>
  <c r="H391" i="41"/>
  <c r="I396" i="41"/>
  <c r="I380" i="41"/>
  <c r="H349" i="41"/>
  <c r="H176" i="41"/>
  <c r="I223" i="41"/>
  <c r="J413" i="41"/>
  <c r="I408" i="41"/>
  <c r="I142" i="41"/>
  <c r="E14" i="53"/>
  <c r="F67" i="66"/>
  <c r="H309" i="41"/>
  <c r="J145" i="41"/>
  <c r="H187" i="41"/>
  <c r="J396" i="41"/>
  <c r="H418" i="41"/>
  <c r="H158" i="41"/>
  <c r="H223" i="41"/>
  <c r="J412" i="41"/>
  <c r="J403" i="41"/>
  <c r="J173" i="41"/>
  <c r="I278" i="41"/>
  <c r="J190" i="41"/>
  <c r="I250" i="41"/>
  <c r="I172" i="41"/>
  <c r="J309" i="41"/>
  <c r="H312" i="41"/>
  <c r="H219" i="41"/>
  <c r="I232" i="41"/>
  <c r="J167" i="41"/>
  <c r="I347" i="41"/>
  <c r="H191" i="41"/>
  <c r="F248" i="66"/>
  <c r="M44" i="39"/>
  <c r="E178" i="38" s="1"/>
  <c r="F177" i="66"/>
  <c r="N177" i="66" s="1"/>
  <c r="D50" i="57"/>
  <c r="D52" i="57"/>
  <c r="F167" i="66"/>
  <c r="N167" i="66" s="1"/>
  <c r="D21" i="57"/>
  <c r="I249" i="41"/>
  <c r="N3" i="37"/>
  <c r="F89" i="66"/>
  <c r="H253" i="41"/>
  <c r="H340" i="41"/>
  <c r="I264" i="41"/>
  <c r="H306" i="41"/>
  <c r="Q267" i="66"/>
  <c r="R267" i="66" s="1"/>
  <c r="T267" i="66" s="1"/>
  <c r="F208" i="66"/>
  <c r="D57" i="57"/>
  <c r="Q75" i="66"/>
  <c r="R75" i="66" s="1"/>
  <c r="T75" i="66" s="1"/>
  <c r="F65" i="66"/>
  <c r="N65" i="66" s="1"/>
  <c r="I490" i="41"/>
  <c r="H287" i="41"/>
  <c r="H382" i="41"/>
  <c r="I190" i="41"/>
  <c r="H237" i="41"/>
  <c r="H399" i="41"/>
  <c r="J353" i="41"/>
  <c r="J180" i="41"/>
  <c r="H394" i="41"/>
  <c r="H322" i="41"/>
  <c r="H269" i="41"/>
  <c r="I296" i="41"/>
  <c r="J226" i="41"/>
  <c r="J230" i="41"/>
  <c r="J192" i="41"/>
  <c r="H350" i="41"/>
  <c r="D75" i="57"/>
  <c r="F254" i="66"/>
  <c r="N254" i="66" s="1"/>
  <c r="H193" i="41"/>
  <c r="F264" i="66"/>
  <c r="N264" i="66" s="1"/>
  <c r="D72" i="57"/>
  <c r="H174" i="41"/>
  <c r="J426" i="58"/>
  <c r="F270" i="66" s="1"/>
  <c r="N270" i="66" s="1"/>
  <c r="F106" i="66"/>
  <c r="J491" i="41"/>
  <c r="H185" i="41"/>
  <c r="I263" i="41"/>
  <c r="H145" i="41"/>
  <c r="H407" i="41"/>
  <c r="J306" i="41"/>
  <c r="H157" i="41"/>
  <c r="I348" i="41"/>
  <c r="I215" i="41"/>
  <c r="H354" i="41"/>
  <c r="I281" i="41"/>
  <c r="J317" i="41"/>
  <c r="H278" i="41"/>
  <c r="I409" i="41"/>
  <c r="J294" i="41"/>
  <c r="J198" i="41"/>
  <c r="I146" i="41"/>
  <c r="F129" i="66"/>
  <c r="N129" i="66" s="1"/>
  <c r="J285" i="41"/>
  <c r="D37" i="57"/>
  <c r="J411" i="41"/>
  <c r="I320" i="41"/>
  <c r="H400" i="41"/>
  <c r="I155" i="41"/>
  <c r="J332" i="41"/>
  <c r="H277" i="41"/>
  <c r="I253" i="41"/>
  <c r="H373" i="41"/>
  <c r="J417" i="41"/>
  <c r="J174" i="41"/>
  <c r="J316" i="41"/>
  <c r="H395" i="41"/>
  <c r="J364" i="41"/>
  <c r="I295" i="41"/>
  <c r="I341" i="41"/>
  <c r="H252" i="41"/>
  <c r="F152" i="66"/>
  <c r="K44" i="39"/>
  <c r="E144" i="38" s="1"/>
  <c r="I287" i="41"/>
  <c r="I394" i="41"/>
  <c r="H410" i="41"/>
  <c r="H236" i="41"/>
  <c r="I268" i="41"/>
  <c r="D65" i="57"/>
  <c r="F215" i="66"/>
  <c r="N215" i="66" s="1"/>
  <c r="J149" i="41"/>
  <c r="H372" i="41"/>
  <c r="J343" i="41"/>
  <c r="I302" i="41"/>
  <c r="H330" i="41"/>
  <c r="H332" i="41"/>
  <c r="J415" i="41"/>
  <c r="J159" i="41"/>
  <c r="J304" i="41"/>
  <c r="H353" i="41"/>
  <c r="I392" i="41"/>
  <c r="J222" i="41"/>
  <c r="I225" i="41"/>
  <c r="D16" i="57"/>
  <c r="F52" i="66"/>
  <c r="F226" i="66"/>
  <c r="E22" i="53"/>
  <c r="F22" i="53" s="1"/>
  <c r="H16" i="53" s="1"/>
  <c r="D66" i="57"/>
  <c r="J318" i="41"/>
  <c r="I370" i="41"/>
  <c r="I292" i="41"/>
  <c r="I340" i="41"/>
  <c r="H355" i="41"/>
  <c r="H421" i="41"/>
  <c r="I310" i="41"/>
  <c r="H194" i="41"/>
  <c r="J246" i="41"/>
  <c r="J310" i="41"/>
  <c r="H247" i="41"/>
  <c r="H316" i="41"/>
  <c r="J224" i="41"/>
  <c r="I359" i="41"/>
  <c r="H201" i="41"/>
  <c r="J154" i="41"/>
  <c r="I312" i="41"/>
  <c r="J325" i="41"/>
  <c r="D25" i="57"/>
  <c r="F61" i="66"/>
  <c r="N61" i="66" s="1"/>
  <c r="I345" i="41"/>
  <c r="F64" i="66"/>
  <c r="D18" i="57"/>
  <c r="I207" i="41"/>
  <c r="H266" i="41"/>
  <c r="H166" i="41"/>
  <c r="J144" i="41"/>
  <c r="H216" i="41"/>
  <c r="I351" i="41"/>
  <c r="J395" i="41"/>
  <c r="H405" i="41"/>
  <c r="I191" i="41"/>
  <c r="F256" i="66"/>
  <c r="D70" i="57"/>
  <c r="J245" i="41"/>
  <c r="I356" i="41"/>
  <c r="H154" i="41"/>
  <c r="H159" i="41"/>
  <c r="F125" i="66"/>
  <c r="J303" i="41"/>
  <c r="D35" i="57"/>
  <c r="I176" i="41"/>
  <c r="H260" i="41"/>
  <c r="I196" i="41"/>
  <c r="H170" i="41"/>
  <c r="H390" i="41"/>
  <c r="J161" i="41"/>
  <c r="H392" i="41"/>
  <c r="I248" i="41"/>
  <c r="J160" i="58"/>
  <c r="C55" i="63" s="1"/>
  <c r="C25" i="63"/>
  <c r="I240" i="41"/>
  <c r="I152" i="58"/>
  <c r="C46" i="63" s="1"/>
  <c r="H207" i="41"/>
  <c r="F16" i="66"/>
  <c r="D5" i="57"/>
  <c r="I193" i="41"/>
  <c r="H280" i="41"/>
  <c r="I420" i="41"/>
  <c r="J490" i="41"/>
  <c r="F113" i="66"/>
  <c r="N113" i="66" s="1"/>
  <c r="J148" i="41"/>
  <c r="D76" i="57"/>
  <c r="F273" i="66"/>
  <c r="N273" i="66" s="1"/>
  <c r="I369" i="41"/>
  <c r="F71" i="66"/>
  <c r="N71" i="66" s="1"/>
  <c r="D26" i="57"/>
  <c r="F196" i="66"/>
  <c r="D55" i="57"/>
  <c r="I387" i="41"/>
  <c r="D27" i="57"/>
  <c r="F82" i="66"/>
  <c r="E16" i="53"/>
  <c r="F16" i="53" s="1"/>
  <c r="H22" i="53" s="1"/>
  <c r="Q249" i="66"/>
  <c r="R249" i="66" s="1"/>
  <c r="T249" i="66" s="1"/>
  <c r="H308" i="41"/>
  <c r="H411" i="41"/>
  <c r="F148" i="66"/>
  <c r="N148" i="66" s="1"/>
  <c r="D42" i="57"/>
  <c r="H403" i="41"/>
  <c r="J381" i="41"/>
  <c r="I390" i="41"/>
  <c r="H413" i="41"/>
  <c r="D48" i="57"/>
  <c r="F173" i="66"/>
  <c r="H243" i="41"/>
  <c r="I367" i="41"/>
  <c r="J328" i="41"/>
  <c r="J388" i="41"/>
  <c r="H279" i="41"/>
  <c r="I252" i="41"/>
  <c r="I361" i="41"/>
  <c r="H197" i="41"/>
  <c r="D74" i="57"/>
  <c r="F269" i="66"/>
  <c r="F210" i="66"/>
  <c r="N210" i="66" s="1"/>
  <c r="D58" i="57"/>
  <c r="I491" i="41"/>
  <c r="F58" i="66"/>
  <c r="I426" i="41"/>
  <c r="F78" i="66"/>
  <c r="N78" i="66" s="1"/>
  <c r="F168" i="66"/>
  <c r="N168" i="66" s="1"/>
  <c r="D46" i="57"/>
  <c r="Q47" i="66"/>
  <c r="F205" i="66"/>
  <c r="N205" i="66" s="1"/>
  <c r="D64" i="57"/>
  <c r="D31" i="57"/>
  <c r="F112" i="66"/>
  <c r="J207" i="41"/>
  <c r="Z285" i="66"/>
  <c r="Z141" i="66"/>
  <c r="Y285" i="66"/>
  <c r="Y141" i="66"/>
  <c r="O141" i="66"/>
  <c r="J298" i="41"/>
  <c r="F160" i="66"/>
  <c r="D44" i="57"/>
  <c r="I354" i="41"/>
  <c r="J216" i="41"/>
  <c r="J212" i="41"/>
  <c r="H181" i="41"/>
  <c r="I157" i="41"/>
  <c r="H294" i="41"/>
  <c r="I422" i="41"/>
  <c r="J244" i="41"/>
  <c r="H228" i="41"/>
  <c r="H284" i="41"/>
  <c r="I344" i="41"/>
  <c r="F265" i="66"/>
  <c r="D67" i="57"/>
  <c r="F34" i="66"/>
  <c r="D14" i="57"/>
  <c r="E4" i="53"/>
  <c r="F4" i="53" s="1"/>
  <c r="H10" i="53" s="1"/>
  <c r="H387" i="41"/>
  <c r="F274" i="66"/>
  <c r="E34" i="53"/>
  <c r="F34" i="53" s="1"/>
  <c r="D79" i="57"/>
  <c r="F100" i="66"/>
  <c r="N100" i="66" s="1"/>
  <c r="D29" i="57"/>
  <c r="J225" i="41"/>
  <c r="O251" i="66"/>
  <c r="I217" i="41"/>
  <c r="H337" i="41"/>
  <c r="I206" i="41"/>
  <c r="E394" i="38"/>
  <c r="M134" i="66" s="1"/>
  <c r="J494" i="37"/>
  <c r="J493" i="37"/>
  <c r="F134" i="66"/>
  <c r="J321" i="41"/>
  <c r="D30" i="57"/>
  <c r="D78" i="57"/>
  <c r="F263" i="66"/>
  <c r="N263" i="66" s="1"/>
  <c r="F17" i="66"/>
  <c r="N17" i="66" s="1"/>
  <c r="H490" i="41"/>
  <c r="D3" i="57"/>
  <c r="F4" i="66"/>
  <c r="N4" i="66" s="1"/>
  <c r="H225" i="41"/>
  <c r="D9" i="57"/>
  <c r="H303" i="41"/>
  <c r="F29" i="66"/>
  <c r="D34" i="57"/>
  <c r="J249" i="41"/>
  <c r="F137" i="66"/>
  <c r="O3" i="37"/>
  <c r="Q175" i="66"/>
  <c r="Z249" i="66"/>
  <c r="O105" i="66"/>
  <c r="Z105" i="66"/>
  <c r="Y249" i="66"/>
  <c r="Y105" i="66"/>
  <c r="I224" i="41"/>
  <c r="H218" i="41"/>
  <c r="J349" i="41"/>
  <c r="I165" i="41"/>
  <c r="F66" i="66"/>
  <c r="N66" i="66" s="1"/>
  <c r="D19" i="57"/>
  <c r="H274" i="41"/>
  <c r="I173" i="41"/>
  <c r="J193" i="41"/>
  <c r="I158" i="41"/>
  <c r="H148" i="58"/>
  <c r="F104" i="66"/>
  <c r="E44" i="39"/>
  <c r="E127" i="38" s="1"/>
  <c r="J492" i="41"/>
  <c r="E17" i="39" s="1"/>
  <c r="I411" i="41"/>
  <c r="J152" i="58"/>
  <c r="H152" i="58"/>
  <c r="J178" i="41"/>
  <c r="I261" i="41"/>
  <c r="J421" i="41"/>
  <c r="I179" i="41"/>
  <c r="J402" i="41"/>
  <c r="I242" i="41"/>
  <c r="J341" i="41"/>
  <c r="I271" i="41"/>
  <c r="I188" i="41"/>
  <c r="I153" i="41"/>
  <c r="J357" i="41"/>
  <c r="I160" i="58"/>
  <c r="J164" i="58"/>
  <c r="H315" i="41"/>
  <c r="I413" i="41"/>
  <c r="H205" i="41"/>
  <c r="H270" i="41"/>
  <c r="H268" i="41"/>
  <c r="J289" i="41"/>
  <c r="J264" i="41"/>
  <c r="I325" i="41"/>
  <c r="I186" i="41"/>
  <c r="F216" i="66"/>
  <c r="N216" i="66" s="1"/>
  <c r="D59" i="57"/>
  <c r="I303" i="41"/>
  <c r="D22" i="57"/>
  <c r="F77" i="66"/>
  <c r="H282" i="41"/>
  <c r="H293" i="41"/>
  <c r="J373" i="41"/>
  <c r="H195" i="41"/>
  <c r="J219" i="41"/>
  <c r="I144" i="41"/>
  <c r="H227" i="41"/>
  <c r="I274" i="41"/>
  <c r="D23" i="57"/>
  <c r="F62" i="66"/>
  <c r="N62" i="66" s="1"/>
  <c r="I267" i="41"/>
  <c r="H214" i="41"/>
  <c r="O285" i="66"/>
  <c r="I283" i="41"/>
  <c r="H211" i="41"/>
  <c r="H379" i="41"/>
  <c r="I269" i="41"/>
  <c r="H300" i="41"/>
  <c r="I353" i="41"/>
  <c r="I219" i="41"/>
  <c r="H169" i="41"/>
  <c r="H422" i="41"/>
  <c r="I260" i="41"/>
  <c r="I301" i="41"/>
  <c r="H203" i="41"/>
  <c r="I197" i="41"/>
  <c r="D28" i="57"/>
  <c r="F121" i="66"/>
  <c r="J141" i="41"/>
  <c r="I171" i="41"/>
  <c r="H233" i="41"/>
  <c r="J146" i="41"/>
  <c r="I245" i="41"/>
  <c r="I233" i="41"/>
  <c r="J233" i="41"/>
  <c r="H238" i="41"/>
  <c r="H317" i="41"/>
  <c r="H198" i="41"/>
  <c r="H290" i="41"/>
  <c r="H250" i="41"/>
  <c r="D53" i="57"/>
  <c r="F178" i="66"/>
  <c r="E10" i="53"/>
  <c r="F10" i="53" s="1"/>
  <c r="J254" i="41"/>
  <c r="J387" i="41"/>
  <c r="F130" i="66"/>
  <c r="D40" i="57"/>
  <c r="E28" i="53"/>
  <c r="F28" i="53" s="1"/>
  <c r="H34" i="53" s="1"/>
  <c r="D68" i="57"/>
  <c r="F244" i="66"/>
  <c r="N244" i="66" s="1"/>
  <c r="I273" i="41"/>
  <c r="H149" i="41"/>
  <c r="I235" i="41"/>
  <c r="I388" i="41"/>
  <c r="I180" i="41"/>
  <c r="I290" i="41"/>
  <c r="H406" i="41"/>
  <c r="H259" i="41"/>
  <c r="I373" i="41"/>
  <c r="J494" i="58"/>
  <c r="D69" i="57"/>
  <c r="J493" i="58"/>
  <c r="F279" i="66" s="1"/>
  <c r="N279" i="66" s="1"/>
  <c r="F278" i="66"/>
  <c r="E397" i="38"/>
  <c r="M278" i="66" s="1"/>
  <c r="I201" i="41"/>
  <c r="J307" i="41"/>
  <c r="J191" i="41"/>
  <c r="H371" i="41"/>
  <c r="I305" i="41"/>
  <c r="G250" i="66"/>
  <c r="N250" i="66" s="1"/>
  <c r="J451" i="58"/>
  <c r="I313" i="41"/>
  <c r="I317" i="41"/>
  <c r="J295" i="41"/>
  <c r="J203" i="41"/>
  <c r="H251" i="41"/>
  <c r="J308" i="41"/>
  <c r="J243" i="41"/>
  <c r="I337" i="41"/>
  <c r="I414" i="41"/>
  <c r="J420" i="41"/>
  <c r="D39" i="57"/>
  <c r="F119" i="66"/>
  <c r="N119" i="66" s="1"/>
  <c r="J369" i="41"/>
  <c r="H180" i="41"/>
  <c r="J223" i="41"/>
  <c r="I332" i="41"/>
  <c r="H221" i="41"/>
  <c r="I397" i="41"/>
  <c r="H417" i="41"/>
  <c r="I395" i="41"/>
  <c r="H161" i="41"/>
  <c r="H313" i="41"/>
  <c r="I294" i="41"/>
  <c r="C44" i="39"/>
  <c r="E93" i="38" s="1"/>
  <c r="F8" i="66"/>
  <c r="H492" i="41"/>
  <c r="C17" i="39" s="1"/>
  <c r="Q31" i="66"/>
  <c r="F200" i="66"/>
  <c r="L44" i="39"/>
  <c r="E161" i="38" s="1"/>
  <c r="J182" i="41"/>
  <c r="I374" i="41"/>
  <c r="J279" i="41"/>
  <c r="I282" i="41"/>
  <c r="I145" i="41"/>
  <c r="J372" i="41"/>
  <c r="J257" i="41"/>
  <c r="J277" i="41"/>
  <c r="J384" i="41"/>
  <c r="D2" i="57"/>
  <c r="F25" i="66"/>
  <c r="H141" i="41"/>
  <c r="J296" i="41"/>
  <c r="D43" i="57"/>
  <c r="H493" i="58"/>
  <c r="F183" i="66" s="1"/>
  <c r="N183" i="66" s="1"/>
  <c r="E395" i="38"/>
  <c r="M182" i="66" s="1"/>
  <c r="H494" i="58"/>
  <c r="F182" i="66"/>
  <c r="I185" i="41"/>
  <c r="J340" i="41"/>
  <c r="H230" i="41"/>
  <c r="O3" i="58"/>
  <c r="D73" i="57"/>
  <c r="F281" i="66"/>
  <c r="N231" i="66" l="1"/>
  <c r="N58" i="66"/>
  <c r="Q237" i="66"/>
  <c r="R237" i="66" s="1"/>
  <c r="T237" i="66" s="1"/>
  <c r="N95" i="66"/>
  <c r="Y95" i="66" s="1"/>
  <c r="F28" i="39"/>
  <c r="N79" i="66"/>
  <c r="Z223" i="66" s="1"/>
  <c r="F27" i="39"/>
  <c r="Q271" i="66"/>
  <c r="R271" i="66" s="1"/>
  <c r="T271" i="66" s="1"/>
  <c r="M7" i="41"/>
  <c r="N196" i="66"/>
  <c r="H5" i="6"/>
  <c r="J5" i="6"/>
  <c r="N52" i="66"/>
  <c r="N72" i="66"/>
  <c r="Y69" i="66"/>
  <c r="Y213" i="66"/>
  <c r="Z213" i="66"/>
  <c r="Z69" i="66"/>
  <c r="Y220" i="66"/>
  <c r="Y76" i="66"/>
  <c r="Z220" i="66"/>
  <c r="Z76" i="66"/>
  <c r="Y235" i="66"/>
  <c r="Y91" i="66"/>
  <c r="Z91" i="66"/>
  <c r="Z235" i="66"/>
  <c r="O7" i="41"/>
  <c r="J440" i="41"/>
  <c r="L50" i="39"/>
  <c r="E165" i="38" s="1"/>
  <c r="J221" i="66" s="1"/>
  <c r="N7" i="41"/>
  <c r="E50" i="39"/>
  <c r="E131" i="38" s="1"/>
  <c r="J464" i="37" s="1"/>
  <c r="N106" i="66"/>
  <c r="Y250" i="66" s="1"/>
  <c r="C50" i="39"/>
  <c r="E97" i="38" s="1"/>
  <c r="J29" i="66" s="1"/>
  <c r="G22" i="53"/>
  <c r="E48" i="39"/>
  <c r="E129" i="38" s="1"/>
  <c r="J456" i="37" s="1"/>
  <c r="H164" i="41"/>
  <c r="K49" i="39"/>
  <c r="E147" i="38" s="1"/>
  <c r="J160" i="66" s="1"/>
  <c r="M48" i="39"/>
  <c r="E180" i="38" s="1"/>
  <c r="J456" i="58" s="1"/>
  <c r="K51" i="39"/>
  <c r="E149" i="38" s="1"/>
  <c r="J185" i="66" s="1"/>
  <c r="N185" i="66" s="1"/>
  <c r="M51" i="39"/>
  <c r="E183" i="38" s="1"/>
  <c r="J281" i="66" s="1"/>
  <c r="C36" i="63"/>
  <c r="C49" i="39"/>
  <c r="E96" i="38" s="1"/>
  <c r="J16" i="66" s="1"/>
  <c r="N16" i="66" s="1"/>
  <c r="N182" i="66"/>
  <c r="N38" i="66"/>
  <c r="L48" i="39"/>
  <c r="E163" i="38" s="1"/>
  <c r="J217" i="66" s="1"/>
  <c r="D50" i="39"/>
  <c r="E114" i="38" s="1"/>
  <c r="J77" i="66" s="1"/>
  <c r="J164" i="41"/>
  <c r="E51" i="39"/>
  <c r="E132" i="38" s="1"/>
  <c r="J137" i="66" s="1"/>
  <c r="N137" i="66" s="1"/>
  <c r="E49" i="39"/>
  <c r="E130" i="38" s="1"/>
  <c r="J457" i="37" s="1"/>
  <c r="M50" i="39"/>
  <c r="E182" i="38" s="1"/>
  <c r="J464" i="58" s="1"/>
  <c r="D47" i="39"/>
  <c r="E111" i="38" s="1"/>
  <c r="I455" i="37" s="1"/>
  <c r="C47" i="39"/>
  <c r="E94" i="38" s="1"/>
  <c r="J19" i="66" s="1"/>
  <c r="K48" i="39"/>
  <c r="E146" i="38" s="1"/>
  <c r="J169" i="66" s="1"/>
  <c r="N169" i="66" s="1"/>
  <c r="L49" i="39"/>
  <c r="E164" i="38" s="1"/>
  <c r="J208" i="66" s="1"/>
  <c r="M49" i="39"/>
  <c r="E181" i="38" s="1"/>
  <c r="J256" i="66" s="1"/>
  <c r="N256" i="66" s="1"/>
  <c r="E401" i="38"/>
  <c r="H496" i="58" s="1"/>
  <c r="H156" i="41"/>
  <c r="N230" i="66"/>
  <c r="C51" i="39"/>
  <c r="E98" i="38" s="1"/>
  <c r="H465" i="37" s="1"/>
  <c r="E403" i="38"/>
  <c r="J497" i="58" s="1"/>
  <c r="K50" i="39"/>
  <c r="E148" i="38" s="1"/>
  <c r="H464" i="58" s="1"/>
  <c r="L51" i="39"/>
  <c r="E166" i="38" s="1"/>
  <c r="J233" i="66" s="1"/>
  <c r="E402" i="38"/>
  <c r="I497" i="58" s="1"/>
  <c r="Z253" i="66"/>
  <c r="Y253" i="66"/>
  <c r="Z109" i="66"/>
  <c r="Y109" i="66"/>
  <c r="C45" i="63"/>
  <c r="Y161" i="66"/>
  <c r="Z161" i="66"/>
  <c r="Z17" i="66"/>
  <c r="Y17" i="66"/>
  <c r="Q143" i="66"/>
  <c r="R143" i="66" s="1"/>
  <c r="T143" i="66" s="1"/>
  <c r="E33" i="53"/>
  <c r="F33" i="53" s="1"/>
  <c r="F280" i="66"/>
  <c r="Z206" i="66"/>
  <c r="Y206" i="66"/>
  <c r="Y62" i="66"/>
  <c r="Z62" i="66"/>
  <c r="C56" i="63"/>
  <c r="Z100" i="66"/>
  <c r="Z244" i="66"/>
  <c r="Y100" i="66"/>
  <c r="Y244" i="66"/>
  <c r="G16" i="53"/>
  <c r="J152" i="66"/>
  <c r="H471" i="58"/>
  <c r="F232" i="66"/>
  <c r="E21" i="53"/>
  <c r="F21" i="53" s="1"/>
  <c r="H15" i="53" s="1"/>
  <c r="Z177" i="66"/>
  <c r="Y177" i="66"/>
  <c r="Z33" i="66"/>
  <c r="Y33" i="66"/>
  <c r="K47" i="39"/>
  <c r="E145" i="38" s="1"/>
  <c r="Z254" i="66"/>
  <c r="Y254" i="66"/>
  <c r="Y110" i="66"/>
  <c r="Z110" i="66"/>
  <c r="C6" i="63"/>
  <c r="H152" i="41"/>
  <c r="J152" i="41"/>
  <c r="C26" i="63"/>
  <c r="Y120" i="66"/>
  <c r="Y264" i="66"/>
  <c r="Z120" i="66"/>
  <c r="Z264" i="66"/>
  <c r="Y167" i="66"/>
  <c r="Y23" i="66"/>
  <c r="Z23" i="66"/>
  <c r="Z167" i="66"/>
  <c r="Q127" i="66"/>
  <c r="R127" i="66" s="1"/>
  <c r="T127" i="66" s="1"/>
  <c r="Y10" i="66"/>
  <c r="Y154" i="66"/>
  <c r="Z154" i="66"/>
  <c r="Z10" i="66"/>
  <c r="J200" i="66"/>
  <c r="I471" i="58"/>
  <c r="H148" i="41"/>
  <c r="C5" i="63"/>
  <c r="Z202" i="66"/>
  <c r="Z58" i="66"/>
  <c r="Y202" i="66"/>
  <c r="Y58" i="66"/>
  <c r="Z225" i="66"/>
  <c r="Z81" i="66"/>
  <c r="Y225" i="66"/>
  <c r="Y81" i="66"/>
  <c r="Y263" i="66"/>
  <c r="Z263" i="66"/>
  <c r="Z119" i="66"/>
  <c r="Y119" i="66"/>
  <c r="C48" i="39"/>
  <c r="E95" i="38" s="1"/>
  <c r="E398" i="38"/>
  <c r="H28" i="53"/>
  <c r="G28" i="53" s="1"/>
  <c r="G34" i="53"/>
  <c r="E346" i="38" s="1"/>
  <c r="Y71" i="66"/>
  <c r="Y215" i="66"/>
  <c r="Z71" i="66"/>
  <c r="Z215" i="66"/>
  <c r="Z257" i="66"/>
  <c r="Z113" i="66"/>
  <c r="Y113" i="66"/>
  <c r="Y257" i="66"/>
  <c r="Y205" i="66"/>
  <c r="Z61" i="66"/>
  <c r="Y61" i="66"/>
  <c r="Z205" i="66"/>
  <c r="Y209" i="66"/>
  <c r="Z65" i="66"/>
  <c r="Y65" i="66"/>
  <c r="Z209" i="66"/>
  <c r="Y157" i="66"/>
  <c r="Z13" i="66"/>
  <c r="Z157" i="66"/>
  <c r="Y13" i="66"/>
  <c r="D29" i="39"/>
  <c r="D32" i="39"/>
  <c r="D33" i="39" s="1"/>
  <c r="H160" i="41"/>
  <c r="Q107" i="66"/>
  <c r="R107" i="66" s="1"/>
  <c r="T107" i="66" s="1"/>
  <c r="N86" i="66"/>
  <c r="D48" i="39"/>
  <c r="E112" i="38" s="1"/>
  <c r="P17" i="39"/>
  <c r="C32" i="39"/>
  <c r="C33" i="39" s="1"/>
  <c r="C29" i="39"/>
  <c r="J17" i="39" s="1"/>
  <c r="G10" i="53"/>
  <c r="H4" i="53"/>
  <c r="G4" i="53" s="1"/>
  <c r="E32" i="39"/>
  <c r="E33" i="39" s="1"/>
  <c r="E29" i="39"/>
  <c r="L17" i="39" s="1"/>
  <c r="F126" i="66"/>
  <c r="N126" i="66" s="1"/>
  <c r="J426" i="41"/>
  <c r="D51" i="39"/>
  <c r="E115" i="38" s="1"/>
  <c r="Z158" i="66"/>
  <c r="Y158" i="66"/>
  <c r="Y14" i="66"/>
  <c r="Z14" i="66"/>
  <c r="J56" i="66"/>
  <c r="F17" i="39" s="1"/>
  <c r="I471" i="37"/>
  <c r="Y18" i="66"/>
  <c r="Z162" i="66"/>
  <c r="Z18" i="66"/>
  <c r="Y162" i="66"/>
  <c r="I494" i="41"/>
  <c r="E15" i="53"/>
  <c r="F15" i="53" s="1"/>
  <c r="H21" i="53" s="1"/>
  <c r="F88" i="66"/>
  <c r="Z258" i="66"/>
  <c r="Y114" i="66"/>
  <c r="Y258" i="66"/>
  <c r="Z114" i="66"/>
  <c r="H493" i="41"/>
  <c r="F39" i="66"/>
  <c r="N39" i="66" s="1"/>
  <c r="E47" i="39"/>
  <c r="E128" i="38" s="1"/>
  <c r="I160" i="41"/>
  <c r="J104" i="66"/>
  <c r="J471" i="37"/>
  <c r="Z4" i="66"/>
  <c r="Y4" i="66"/>
  <c r="Y148" i="66"/>
  <c r="Z148" i="66"/>
  <c r="N134" i="66"/>
  <c r="I152" i="41"/>
  <c r="N9" i="41" s="1"/>
  <c r="C16" i="63"/>
  <c r="Z273" i="66"/>
  <c r="Y273" i="66"/>
  <c r="Y129" i="66"/>
  <c r="Z129" i="66"/>
  <c r="E399" i="38"/>
  <c r="I156" i="41"/>
  <c r="L47" i="39"/>
  <c r="E162" i="38" s="1"/>
  <c r="M47" i="39"/>
  <c r="E179" i="38" s="1"/>
  <c r="F87" i="66"/>
  <c r="N87" i="66" s="1"/>
  <c r="I493" i="41"/>
  <c r="E400" i="38"/>
  <c r="J451" i="41"/>
  <c r="Z216" i="66"/>
  <c r="Z72" i="66"/>
  <c r="Y72" i="66"/>
  <c r="Y216" i="66"/>
  <c r="H471" i="37"/>
  <c r="J8" i="66"/>
  <c r="N278" i="66"/>
  <c r="Q285" i="66"/>
  <c r="R285" i="66" s="1"/>
  <c r="T285" i="66" s="1"/>
  <c r="J493" i="41"/>
  <c r="F135" i="66"/>
  <c r="N135" i="66" s="1"/>
  <c r="Q251" i="66"/>
  <c r="R251" i="66" s="1"/>
  <c r="T251" i="66" s="1"/>
  <c r="Y222" i="66"/>
  <c r="Y78" i="66"/>
  <c r="Z78" i="66"/>
  <c r="Z222" i="66"/>
  <c r="D49" i="39"/>
  <c r="E113" i="38" s="1"/>
  <c r="J471" i="58"/>
  <c r="J248" i="66"/>
  <c r="N248" i="66" s="1"/>
  <c r="J156" i="41"/>
  <c r="C4" i="63"/>
  <c r="Q123" i="66"/>
  <c r="R123" i="66" s="1"/>
  <c r="T123" i="66" s="1"/>
  <c r="E9" i="53"/>
  <c r="F9" i="53" s="1"/>
  <c r="F184" i="66"/>
  <c r="C35" i="63"/>
  <c r="Y66" i="66"/>
  <c r="Z66" i="66"/>
  <c r="Z210" i="66"/>
  <c r="Y210" i="66"/>
  <c r="Q105" i="66"/>
  <c r="R105" i="66" s="1"/>
  <c r="T105" i="66" s="1"/>
  <c r="E27" i="53"/>
  <c r="F27" i="53" s="1"/>
  <c r="H33" i="53" s="1"/>
  <c r="J494" i="41"/>
  <c r="F136" i="66"/>
  <c r="Q141" i="66"/>
  <c r="R141" i="66" s="1"/>
  <c r="T141" i="66" s="1"/>
  <c r="J160" i="41"/>
  <c r="O8" i="41" s="1"/>
  <c r="Z24" i="66"/>
  <c r="Y24" i="66"/>
  <c r="Y168" i="66"/>
  <c r="Z168" i="66"/>
  <c r="H494" i="41"/>
  <c r="E3" i="53"/>
  <c r="F3" i="53" s="1"/>
  <c r="H9" i="53" s="1"/>
  <c r="F40" i="66"/>
  <c r="C15" i="63"/>
  <c r="I148" i="41"/>
  <c r="I464" i="58" l="1"/>
  <c r="E280" i="38"/>
  <c r="E286" i="38"/>
  <c r="E316" i="38"/>
  <c r="L226" i="66" s="1"/>
  <c r="E322" i="38"/>
  <c r="M226" i="66" s="1"/>
  <c r="E292" i="38"/>
  <c r="E298" i="38"/>
  <c r="E340" i="38"/>
  <c r="E328" i="38"/>
  <c r="E334" i="38"/>
  <c r="E304" i="38"/>
  <c r="E310" i="38"/>
  <c r="I464" i="37"/>
  <c r="Y52" i="66"/>
  <c r="Z52" i="66"/>
  <c r="F23" i="39"/>
  <c r="I7" i="6"/>
  <c r="Z239" i="66"/>
  <c r="O223" i="66"/>
  <c r="Q223" i="66" s="1"/>
  <c r="R223" i="66" s="1"/>
  <c r="T223" i="66" s="1"/>
  <c r="Y239" i="66"/>
  <c r="Y196" i="66"/>
  <c r="O239" i="66"/>
  <c r="Z95" i="66"/>
  <c r="O95" i="66"/>
  <c r="G17" i="39"/>
  <c r="Y79" i="66"/>
  <c r="G24" i="39"/>
  <c r="O79" i="66"/>
  <c r="Y223" i="66"/>
  <c r="I6" i="6"/>
  <c r="Z79" i="66"/>
  <c r="Z196" i="66"/>
  <c r="I5" i="6"/>
  <c r="M9" i="41"/>
  <c r="J125" i="66"/>
  <c r="Y106" i="66"/>
  <c r="Z106" i="66"/>
  <c r="Z250" i="66"/>
  <c r="J457" i="58"/>
  <c r="J457" i="41" s="1"/>
  <c r="H464" i="37"/>
  <c r="H464" i="41" s="1"/>
  <c r="D2" i="53"/>
  <c r="F2" i="53" s="1"/>
  <c r="H8" i="53" s="1"/>
  <c r="J465" i="58"/>
  <c r="O9" i="41"/>
  <c r="J269" i="66"/>
  <c r="N269" i="66" s="1"/>
  <c r="J265" i="66"/>
  <c r="N265" i="66" s="1"/>
  <c r="H457" i="58"/>
  <c r="H465" i="58"/>
  <c r="H465" i="41" s="1"/>
  <c r="Z182" i="66"/>
  <c r="Y38" i="66"/>
  <c r="D14" i="53"/>
  <c r="F14" i="53" s="1"/>
  <c r="H20" i="53" s="1"/>
  <c r="J496" i="58"/>
  <c r="F276" i="66" s="1"/>
  <c r="J121" i="66"/>
  <c r="Z38" i="66"/>
  <c r="I495" i="58"/>
  <c r="C51" i="63" s="1"/>
  <c r="H457" i="37"/>
  <c r="G21" i="53"/>
  <c r="Y182" i="66"/>
  <c r="H495" i="58"/>
  <c r="C41" i="63" s="1"/>
  <c r="H455" i="37"/>
  <c r="J495" i="58"/>
  <c r="I496" i="58"/>
  <c r="F228" i="66" s="1"/>
  <c r="I456" i="58"/>
  <c r="N8" i="41"/>
  <c r="J67" i="66"/>
  <c r="J112" i="66"/>
  <c r="H456" i="58"/>
  <c r="I465" i="58"/>
  <c r="J173" i="66"/>
  <c r="N173" i="66" s="1"/>
  <c r="H471" i="41"/>
  <c r="J41" i="66"/>
  <c r="N41" i="66" s="1"/>
  <c r="O185" i="66" s="1"/>
  <c r="E30" i="39"/>
  <c r="I457" i="58"/>
  <c r="H497" i="58"/>
  <c r="F179" i="66" s="1"/>
  <c r="J465" i="37"/>
  <c r="Y230" i="66"/>
  <c r="Z230" i="66"/>
  <c r="Y86" i="66"/>
  <c r="Z86" i="66"/>
  <c r="D30" i="39"/>
  <c r="K16" i="39"/>
  <c r="AB5" i="39"/>
  <c r="K18" i="39"/>
  <c r="K23" i="39"/>
  <c r="K21" i="39"/>
  <c r="AB6" i="39"/>
  <c r="K14" i="39"/>
  <c r="D31" i="39"/>
  <c r="K27" i="39"/>
  <c r="K25" i="39"/>
  <c r="K26" i="39"/>
  <c r="K13" i="39"/>
  <c r="K15" i="39"/>
  <c r="K24" i="39"/>
  <c r="K19" i="39"/>
  <c r="K22" i="39"/>
  <c r="K12" i="39"/>
  <c r="K28" i="39"/>
  <c r="K20" i="39"/>
  <c r="I471" i="41"/>
  <c r="N29" i="66"/>
  <c r="R29" i="66"/>
  <c r="P29" i="66"/>
  <c r="S29" i="66"/>
  <c r="J25" i="66"/>
  <c r="H456" i="37"/>
  <c r="N152" i="66"/>
  <c r="R152" i="66"/>
  <c r="S152" i="66"/>
  <c r="P152" i="66"/>
  <c r="P16" i="66"/>
  <c r="R16" i="66"/>
  <c r="S16" i="66"/>
  <c r="F275" i="66"/>
  <c r="E414" i="38"/>
  <c r="J455" i="58"/>
  <c r="J259" i="66"/>
  <c r="D32" i="53"/>
  <c r="F32" i="53" s="1"/>
  <c r="H26" i="53" s="1"/>
  <c r="N221" i="66"/>
  <c r="P221" i="66"/>
  <c r="S221" i="66"/>
  <c r="J64" i="66"/>
  <c r="F22" i="39" s="1"/>
  <c r="I457" i="37"/>
  <c r="Y135" i="66"/>
  <c r="Y279" i="66"/>
  <c r="Z135" i="66"/>
  <c r="Z279" i="66"/>
  <c r="Z87" i="66"/>
  <c r="Y231" i="66"/>
  <c r="Y87" i="66"/>
  <c r="Z231" i="66"/>
  <c r="N56" i="66"/>
  <c r="P56" i="66"/>
  <c r="S56" i="66"/>
  <c r="J89" i="66"/>
  <c r="F24" i="39" s="1"/>
  <c r="I465" i="37"/>
  <c r="N77" i="66"/>
  <c r="P77" i="66"/>
  <c r="S77" i="66"/>
  <c r="M178" i="66"/>
  <c r="K17" i="39"/>
  <c r="F227" i="66"/>
  <c r="E412" i="38"/>
  <c r="J455" i="37"/>
  <c r="D26" i="53"/>
  <c r="F26" i="53" s="1"/>
  <c r="J115" i="66"/>
  <c r="I456" i="37"/>
  <c r="J73" i="66"/>
  <c r="F21" i="39" s="1"/>
  <c r="M8" i="41"/>
  <c r="J464" i="41"/>
  <c r="N217" i="66"/>
  <c r="P217" i="66"/>
  <c r="S217" i="66"/>
  <c r="Y126" i="66"/>
  <c r="Z270" i="66"/>
  <c r="Z126" i="66"/>
  <c r="Y270" i="66"/>
  <c r="C30" i="39"/>
  <c r="J19" i="39"/>
  <c r="J23" i="39"/>
  <c r="AA6" i="39"/>
  <c r="J27" i="39"/>
  <c r="J22" i="39"/>
  <c r="J15" i="39"/>
  <c r="J28" i="39"/>
  <c r="J14" i="39"/>
  <c r="J21" i="39"/>
  <c r="J13" i="39"/>
  <c r="J25" i="39"/>
  <c r="AA5" i="39"/>
  <c r="J24" i="39"/>
  <c r="J20" i="39"/>
  <c r="J26" i="39"/>
  <c r="C31" i="39"/>
  <c r="J16" i="39"/>
  <c r="J12" i="39"/>
  <c r="J18" i="39"/>
  <c r="N8" i="66"/>
  <c r="R8" i="66"/>
  <c r="S8" i="66"/>
  <c r="P8" i="66"/>
  <c r="D20" i="53"/>
  <c r="F20" i="53" s="1"/>
  <c r="H14" i="53" s="1"/>
  <c r="I455" i="58"/>
  <c r="I455" i="41" s="1"/>
  <c r="J211" i="66"/>
  <c r="N200" i="66"/>
  <c r="S200" i="66"/>
  <c r="P200" i="66"/>
  <c r="G15" i="53"/>
  <c r="P185" i="66"/>
  <c r="S185" i="66"/>
  <c r="R185" i="66"/>
  <c r="R169" i="66"/>
  <c r="P169" i="66"/>
  <c r="S169" i="66"/>
  <c r="S19" i="66"/>
  <c r="E411" i="38"/>
  <c r="F180" i="66"/>
  <c r="J496" i="37"/>
  <c r="J497" i="37"/>
  <c r="J495" i="37"/>
  <c r="J471" i="41"/>
  <c r="Q17" i="39"/>
  <c r="P29" i="39"/>
  <c r="Q29" i="39" s="1"/>
  <c r="M274" i="66"/>
  <c r="P256" i="66"/>
  <c r="S256" i="66"/>
  <c r="Z183" i="66"/>
  <c r="Y39" i="66"/>
  <c r="Y183" i="66"/>
  <c r="Z39" i="66"/>
  <c r="S208" i="66"/>
  <c r="P208" i="66"/>
  <c r="G9" i="53"/>
  <c r="H3" i="53"/>
  <c r="G3" i="53" s="1"/>
  <c r="Y278" i="66"/>
  <c r="Y134" i="66"/>
  <c r="Z134" i="66"/>
  <c r="Z278" i="66"/>
  <c r="N104" i="66"/>
  <c r="S104" i="66"/>
  <c r="P104" i="66"/>
  <c r="L26" i="39"/>
  <c r="L23" i="39"/>
  <c r="L13" i="39"/>
  <c r="L28" i="39"/>
  <c r="L22" i="39"/>
  <c r="AC6" i="39"/>
  <c r="L19" i="39"/>
  <c r="L25" i="39"/>
  <c r="L27" i="39"/>
  <c r="L12" i="39"/>
  <c r="L24" i="39"/>
  <c r="L18" i="39"/>
  <c r="L21" i="39"/>
  <c r="AC5" i="39"/>
  <c r="L20" i="39"/>
  <c r="L14" i="39"/>
  <c r="L15" i="39"/>
  <c r="E31" i="39"/>
  <c r="L16" i="39"/>
  <c r="N160" i="66"/>
  <c r="O160" i="66" s="1"/>
  <c r="R160" i="66"/>
  <c r="S160" i="66"/>
  <c r="P160" i="66"/>
  <c r="N208" i="66"/>
  <c r="S233" i="66"/>
  <c r="P233" i="66"/>
  <c r="P248" i="66"/>
  <c r="S248" i="66"/>
  <c r="N281" i="66"/>
  <c r="O281" i="66" s="1"/>
  <c r="S281" i="66"/>
  <c r="P281" i="66"/>
  <c r="I497" i="37"/>
  <c r="I496" i="37"/>
  <c r="I495" i="37"/>
  <c r="H497" i="37"/>
  <c r="H495" i="37"/>
  <c r="H496" i="37"/>
  <c r="N233" i="66"/>
  <c r="D8" i="53"/>
  <c r="F8" i="53" s="1"/>
  <c r="H2" i="53" s="1"/>
  <c r="H455" i="58"/>
  <c r="J163" i="66"/>
  <c r="G33" i="53"/>
  <c r="H27" i="53"/>
  <c r="G27" i="53" s="1"/>
  <c r="J456" i="41"/>
  <c r="S137" i="66"/>
  <c r="P137" i="66"/>
  <c r="I464" i="41" l="1"/>
  <c r="E303" i="38"/>
  <c r="E309" i="38"/>
  <c r="E291" i="38"/>
  <c r="E297" i="38"/>
  <c r="M184" i="66" s="1"/>
  <c r="E315" i="38"/>
  <c r="L232" i="66" s="1"/>
  <c r="E321" i="38"/>
  <c r="M232" i="66" s="1"/>
  <c r="E327" i="38"/>
  <c r="E333" i="38"/>
  <c r="E339" i="38"/>
  <c r="E345" i="38"/>
  <c r="M280" i="66" s="1"/>
  <c r="E279" i="38"/>
  <c r="E285" i="38"/>
  <c r="M289" i="66"/>
  <c r="P265" i="66"/>
  <c r="S265" i="66"/>
  <c r="H455" i="41"/>
  <c r="Q239" i="66"/>
  <c r="R239" i="66" s="1"/>
  <c r="T239" i="66" s="1"/>
  <c r="Q95" i="66"/>
  <c r="R95" i="66" s="1"/>
  <c r="T95" i="66" s="1"/>
  <c r="G22" i="39"/>
  <c r="Q79" i="66"/>
  <c r="R79" i="66" s="1"/>
  <c r="T79" i="66" s="1"/>
  <c r="S67" i="66"/>
  <c r="N121" i="66"/>
  <c r="O265" i="66" s="1"/>
  <c r="Q265" i="66" s="1"/>
  <c r="R265" i="66" s="1"/>
  <c r="G21" i="39"/>
  <c r="N125" i="66"/>
  <c r="Z125" i="66" s="1"/>
  <c r="G23" i="39"/>
  <c r="J496" i="41"/>
  <c r="G2" i="53"/>
  <c r="E284" i="38" s="1"/>
  <c r="S125" i="66"/>
  <c r="P125" i="66"/>
  <c r="R173" i="66"/>
  <c r="J465" i="41"/>
  <c r="H497" i="41"/>
  <c r="E410" i="38"/>
  <c r="L179" i="66" s="1"/>
  <c r="G14" i="53"/>
  <c r="E415" i="38"/>
  <c r="L276" i="66" s="1"/>
  <c r="P276" i="66" s="1"/>
  <c r="P269" i="66"/>
  <c r="S269" i="66"/>
  <c r="H457" i="41"/>
  <c r="P173" i="66"/>
  <c r="S173" i="66"/>
  <c r="P121" i="66"/>
  <c r="E413" i="38"/>
  <c r="S121" i="66"/>
  <c r="S112" i="66"/>
  <c r="P112" i="66"/>
  <c r="P41" i="66"/>
  <c r="O173" i="66"/>
  <c r="N112" i="66"/>
  <c r="O256" i="66" s="1"/>
  <c r="Q256" i="66" s="1"/>
  <c r="R256" i="66" s="1"/>
  <c r="T256" i="66" s="1"/>
  <c r="I465" i="41"/>
  <c r="C61" i="63"/>
  <c r="T185" i="66"/>
  <c r="I456" i="41"/>
  <c r="R41" i="66"/>
  <c r="Z41" i="66"/>
  <c r="S41" i="66"/>
  <c r="Y185" i="66"/>
  <c r="Y41" i="66"/>
  <c r="O41" i="66"/>
  <c r="Z185" i="66"/>
  <c r="O200" i="66"/>
  <c r="I457" i="41"/>
  <c r="H456" i="41"/>
  <c r="Q185" i="66"/>
  <c r="T16" i="66"/>
  <c r="O137" i="66"/>
  <c r="T152" i="66"/>
  <c r="T169" i="66"/>
  <c r="Y137" i="66"/>
  <c r="G20" i="53"/>
  <c r="Z160" i="66"/>
  <c r="Y281" i="66"/>
  <c r="Q160" i="66"/>
  <c r="C18" i="8"/>
  <c r="M82" i="66"/>
  <c r="C21" i="63"/>
  <c r="I495" i="41"/>
  <c r="T160" i="66"/>
  <c r="C31" i="63"/>
  <c r="J495" i="41"/>
  <c r="Z281" i="66"/>
  <c r="T8" i="66"/>
  <c r="S73" i="66"/>
  <c r="P73" i="66"/>
  <c r="N73" i="66"/>
  <c r="O221" i="66"/>
  <c r="L275" i="66"/>
  <c r="P275" i="66" s="1"/>
  <c r="E407" i="38"/>
  <c r="F84" i="66"/>
  <c r="I496" i="41"/>
  <c r="O16" i="66"/>
  <c r="F131" i="66"/>
  <c r="E408" i="38"/>
  <c r="J497" i="41"/>
  <c r="L227" i="66"/>
  <c r="P227" i="66" s="1"/>
  <c r="Z77" i="66"/>
  <c r="O77" i="66"/>
  <c r="Z221" i="66"/>
  <c r="Y221" i="66"/>
  <c r="Y77" i="66"/>
  <c r="T29" i="66"/>
  <c r="I497" i="41"/>
  <c r="E406" i="38"/>
  <c r="F83" i="66"/>
  <c r="Z248" i="66"/>
  <c r="O104" i="66"/>
  <c r="Z104" i="66"/>
  <c r="Y248" i="66"/>
  <c r="Y104" i="66"/>
  <c r="Y16" i="66"/>
  <c r="F132" i="66"/>
  <c r="E409" i="38"/>
  <c r="Z8" i="66"/>
  <c r="Z152" i="66"/>
  <c r="Y8" i="66"/>
  <c r="O8" i="66"/>
  <c r="Y152" i="66"/>
  <c r="M145" i="66"/>
  <c r="S259" i="66"/>
  <c r="G8" i="53"/>
  <c r="E405" i="38"/>
  <c r="F36" i="66"/>
  <c r="H496" i="41"/>
  <c r="N89" i="66"/>
  <c r="S89" i="66"/>
  <c r="P89" i="66"/>
  <c r="Z16" i="66"/>
  <c r="L274" i="66"/>
  <c r="O248" i="66"/>
  <c r="S115" i="66"/>
  <c r="L82" i="66"/>
  <c r="P64" i="66"/>
  <c r="S64" i="66"/>
  <c r="N64" i="66"/>
  <c r="O152" i="66"/>
  <c r="L34" i="66"/>
  <c r="Y29" i="66"/>
  <c r="Y173" i="66"/>
  <c r="Z29" i="66"/>
  <c r="Z173" i="66"/>
  <c r="O29" i="66"/>
  <c r="K29" i="39"/>
  <c r="S163" i="66"/>
  <c r="Y160" i="66"/>
  <c r="H32" i="53"/>
  <c r="G32" i="53" s="1"/>
  <c r="G26" i="53"/>
  <c r="L178" i="66"/>
  <c r="M34" i="66"/>
  <c r="B18" i="8"/>
  <c r="S211" i="66"/>
  <c r="C11" i="63"/>
  <c r="H495" i="41"/>
  <c r="P226" i="66"/>
  <c r="N226" i="66"/>
  <c r="Q281" i="66"/>
  <c r="R281" i="66" s="1"/>
  <c r="T281" i="66" s="1"/>
  <c r="M130" i="66"/>
  <c r="D18" i="8"/>
  <c r="L180" i="66"/>
  <c r="N180" i="66" s="1"/>
  <c r="J29" i="39"/>
  <c r="J455" i="41"/>
  <c r="P25" i="66"/>
  <c r="R25" i="66"/>
  <c r="S25" i="66"/>
  <c r="N25" i="66"/>
  <c r="E404" i="38"/>
  <c r="F35" i="66"/>
  <c r="L130" i="66"/>
  <c r="L29" i="39"/>
  <c r="Z137" i="66"/>
  <c r="Z56" i="66"/>
  <c r="Z200" i="66"/>
  <c r="O56" i="66"/>
  <c r="Y56" i="66"/>
  <c r="Y200" i="66"/>
  <c r="T265" i="66" l="1"/>
  <c r="E332" i="38"/>
  <c r="E326" i="38"/>
  <c r="E344" i="38"/>
  <c r="M259" i="66" s="1"/>
  <c r="E338" i="38"/>
  <c r="E296" i="38"/>
  <c r="M163" i="66" s="1"/>
  <c r="E290" i="38"/>
  <c r="E308" i="38"/>
  <c r="M67" i="66" s="1"/>
  <c r="E302" i="38"/>
  <c r="L67" i="66" s="1"/>
  <c r="E320" i="38"/>
  <c r="M211" i="66" s="1"/>
  <c r="E314" i="38"/>
  <c r="E278" i="38"/>
  <c r="L19" i="66" s="1"/>
  <c r="M19" i="66"/>
  <c r="Y125" i="66"/>
  <c r="Z121" i="66"/>
  <c r="O121" i="66"/>
  <c r="Q121" i="66" s="1"/>
  <c r="R121" i="66" s="1"/>
  <c r="T121" i="66" s="1"/>
  <c r="Y121" i="66"/>
  <c r="Z265" i="66"/>
  <c r="Y265" i="66"/>
  <c r="Z269" i="66"/>
  <c r="O125" i="66"/>
  <c r="Q125" i="66" s="1"/>
  <c r="R125" i="66" s="1"/>
  <c r="T125" i="66" s="1"/>
  <c r="Y269" i="66"/>
  <c r="O269" i="66"/>
  <c r="Q269" i="66" s="1"/>
  <c r="R269" i="66" s="1"/>
  <c r="T269" i="66" s="1"/>
  <c r="O217" i="66"/>
  <c r="O233" i="66"/>
  <c r="Q233" i="66" s="1"/>
  <c r="R233" i="66" s="1"/>
  <c r="T233" i="66" s="1"/>
  <c r="O208" i="66"/>
  <c r="Q208" i="66" s="1"/>
  <c r="R208" i="66" s="1"/>
  <c r="T208" i="66" s="1"/>
  <c r="T173" i="66"/>
  <c r="L228" i="66"/>
  <c r="P228" i="66" s="1"/>
  <c r="Q41" i="66"/>
  <c r="Z256" i="66"/>
  <c r="Z112" i="66"/>
  <c r="O112" i="66"/>
  <c r="Q112" i="66" s="1"/>
  <c r="R112" i="66" s="1"/>
  <c r="T112" i="66" s="1"/>
  <c r="Y112" i="66"/>
  <c r="Y256" i="66"/>
  <c r="Q173" i="66"/>
  <c r="Q200" i="66"/>
  <c r="R200" i="66" s="1"/>
  <c r="T200" i="66" s="1"/>
  <c r="T41" i="66"/>
  <c r="Q137" i="66"/>
  <c r="R137" i="66" s="1"/>
  <c r="T137" i="66" s="1"/>
  <c r="N227" i="66"/>
  <c r="N275" i="66"/>
  <c r="N276" i="66"/>
  <c r="R179" i="66"/>
  <c r="T179" i="66" s="1"/>
  <c r="P179" i="66"/>
  <c r="V179" i="66" s="1"/>
  <c r="X179" i="66" s="1"/>
  <c r="M88" i="66"/>
  <c r="C17" i="8"/>
  <c r="Q152" i="66"/>
  <c r="L88" i="66"/>
  <c r="L280" i="66"/>
  <c r="L132" i="66"/>
  <c r="P132" i="66" s="1"/>
  <c r="Q104" i="66"/>
  <c r="R104" i="66" s="1"/>
  <c r="T104" i="66" s="1"/>
  <c r="Q16" i="66"/>
  <c r="L84" i="66"/>
  <c r="P84" i="66" s="1"/>
  <c r="R34" i="66"/>
  <c r="T34" i="66" s="1"/>
  <c r="P34" i="66"/>
  <c r="N34" i="66"/>
  <c r="M40" i="66"/>
  <c r="B17" i="8"/>
  <c r="T25" i="66"/>
  <c r="Q29" i="66"/>
  <c r="Y208" i="66"/>
  <c r="Z64" i="66"/>
  <c r="O64" i="66"/>
  <c r="Y64" i="66"/>
  <c r="Z208" i="66"/>
  <c r="Q8" i="66"/>
  <c r="L35" i="66"/>
  <c r="N35" i="66" s="1"/>
  <c r="O25" i="66"/>
  <c r="Z25" i="66"/>
  <c r="Y25" i="66"/>
  <c r="Y169" i="66"/>
  <c r="Z169" i="66"/>
  <c r="O169" i="66"/>
  <c r="L40" i="66"/>
  <c r="P232" i="66"/>
  <c r="N232" i="66"/>
  <c r="R178" i="66"/>
  <c r="T178" i="66" s="1"/>
  <c r="P178" i="66"/>
  <c r="N178" i="66"/>
  <c r="L36" i="66"/>
  <c r="Q77" i="66"/>
  <c r="R77" i="66" s="1"/>
  <c r="T77" i="66" s="1"/>
  <c r="Q56" i="66"/>
  <c r="R56" i="66" s="1"/>
  <c r="T56" i="66" s="1"/>
  <c r="N179" i="66"/>
  <c r="L83" i="66"/>
  <c r="P83" i="66" s="1"/>
  <c r="C16" i="8"/>
  <c r="P130" i="66"/>
  <c r="N130" i="66"/>
  <c r="M136" i="66"/>
  <c r="D17" i="8"/>
  <c r="P180" i="66"/>
  <c r="V180" i="66" s="1"/>
  <c r="X180" i="66" s="1"/>
  <c r="R180" i="66"/>
  <c r="T180" i="66" s="1"/>
  <c r="O89" i="66"/>
  <c r="Z89" i="66"/>
  <c r="Y89" i="66"/>
  <c r="Y233" i="66"/>
  <c r="Z233" i="66"/>
  <c r="L184" i="66"/>
  <c r="L136" i="66"/>
  <c r="P274" i="66"/>
  <c r="N274" i="66"/>
  <c r="Q221" i="66"/>
  <c r="R221" i="66" s="1"/>
  <c r="T221" i="66" s="1"/>
  <c r="P82" i="66"/>
  <c r="N82" i="66"/>
  <c r="Q248" i="66"/>
  <c r="R248" i="66" s="1"/>
  <c r="T248" i="66" s="1"/>
  <c r="L131" i="66"/>
  <c r="P131" i="66" s="1"/>
  <c r="Z217" i="66"/>
  <c r="Y217" i="66"/>
  <c r="O73" i="66"/>
  <c r="Z73" i="66"/>
  <c r="Y73" i="66"/>
  <c r="F20" i="39" l="1"/>
  <c r="N228" i="66"/>
  <c r="Q217" i="66"/>
  <c r="R217" i="66" s="1"/>
  <c r="T217" i="66" s="1"/>
  <c r="O274" i="66"/>
  <c r="Q274" i="66" s="1"/>
  <c r="R274" i="66" s="1"/>
  <c r="T274" i="66" s="1"/>
  <c r="L211" i="66"/>
  <c r="P211" i="66" s="1"/>
  <c r="O178" i="66"/>
  <c r="N67" i="66"/>
  <c r="P67" i="66"/>
  <c r="N83" i="66"/>
  <c r="P40" i="66"/>
  <c r="V40" i="66" s="1"/>
  <c r="X40" i="66" s="1"/>
  <c r="R40" i="66"/>
  <c r="T40" i="66" s="1"/>
  <c r="N40" i="66"/>
  <c r="P280" i="66"/>
  <c r="N280" i="66"/>
  <c r="Q25" i="66"/>
  <c r="N84" i="66"/>
  <c r="N36" i="66"/>
  <c r="P36" i="66"/>
  <c r="V36" i="66" s="1"/>
  <c r="X36" i="66" s="1"/>
  <c r="R36" i="66"/>
  <c r="T36" i="66" s="1"/>
  <c r="R35" i="66"/>
  <c r="T35" i="66" s="1"/>
  <c r="P35" i="66"/>
  <c r="V35" i="66" s="1"/>
  <c r="X35" i="66" s="1"/>
  <c r="Q64" i="66"/>
  <c r="R64" i="66" s="1"/>
  <c r="T64" i="66" s="1"/>
  <c r="Y178" i="66"/>
  <c r="O34" i="66"/>
  <c r="Z34" i="66"/>
  <c r="Y34" i="66"/>
  <c r="Z178" i="66"/>
  <c r="N131" i="66"/>
  <c r="M115" i="66"/>
  <c r="G20" i="39" s="1"/>
  <c r="D16" i="8"/>
  <c r="P88" i="66"/>
  <c r="N88" i="66"/>
  <c r="O232" i="66" s="1"/>
  <c r="Y226" i="66"/>
  <c r="Z226" i="66"/>
  <c r="O82" i="66"/>
  <c r="Y82" i="66"/>
  <c r="Z82" i="66"/>
  <c r="L115" i="66"/>
  <c r="Q169" i="66"/>
  <c r="Q89" i="66"/>
  <c r="R89" i="66" s="1"/>
  <c r="T89" i="66" s="1"/>
  <c r="Y274" i="66"/>
  <c r="Z130" i="66"/>
  <c r="Y130" i="66"/>
  <c r="Z274" i="66"/>
  <c r="O130" i="66"/>
  <c r="L259" i="66"/>
  <c r="N132" i="66"/>
  <c r="B16" i="8"/>
  <c r="O226" i="66"/>
  <c r="O179" i="66"/>
  <c r="Q73" i="66"/>
  <c r="R73" i="66" s="1"/>
  <c r="T73" i="66" s="1"/>
  <c r="R184" i="66"/>
  <c r="T184" i="66" s="1"/>
  <c r="P184" i="66"/>
  <c r="V184" i="66" s="1"/>
  <c r="X184" i="66" s="1"/>
  <c r="N184" i="66"/>
  <c r="Y35" i="66"/>
  <c r="Z179" i="66"/>
  <c r="O35" i="66"/>
  <c r="Y179" i="66"/>
  <c r="Z35" i="66"/>
  <c r="L163" i="66"/>
  <c r="P136" i="66"/>
  <c r="N136" i="66"/>
  <c r="N19" i="66"/>
  <c r="P19" i="66"/>
  <c r="R19" i="66"/>
  <c r="T19" i="66" s="1"/>
  <c r="O228" i="66" l="1"/>
  <c r="V228" i="66" s="1"/>
  <c r="X228" i="66" s="1"/>
  <c r="N211" i="66"/>
  <c r="O211" i="66" s="1"/>
  <c r="Q178" i="66"/>
  <c r="O184" i="66"/>
  <c r="Q184" i="66" s="1"/>
  <c r="O280" i="66"/>
  <c r="P115" i="66"/>
  <c r="N115" i="66"/>
  <c r="Z275" i="66"/>
  <c r="Y131" i="66"/>
  <c r="Z131" i="66"/>
  <c r="Y275" i="66"/>
  <c r="O131" i="66"/>
  <c r="O275" i="66"/>
  <c r="Z84" i="66"/>
  <c r="Z228" i="66"/>
  <c r="Y84" i="66"/>
  <c r="Y228" i="66"/>
  <c r="O84" i="66"/>
  <c r="Y184" i="66"/>
  <c r="O40" i="66"/>
  <c r="Z184" i="66"/>
  <c r="Y40" i="66"/>
  <c r="Z40" i="66"/>
  <c r="R163" i="66"/>
  <c r="T163" i="66" s="1"/>
  <c r="P163" i="66"/>
  <c r="N163" i="66"/>
  <c r="O163" i="66" s="1"/>
  <c r="Q82" i="66"/>
  <c r="R82" i="66" s="1"/>
  <c r="T82" i="66" s="1"/>
  <c r="Y132" i="66"/>
  <c r="O132" i="66"/>
  <c r="Z276" i="66"/>
  <c r="Z132" i="66"/>
  <c r="Y276" i="66"/>
  <c r="O276" i="66"/>
  <c r="U35" i="66"/>
  <c r="Q35" i="66"/>
  <c r="P259" i="66"/>
  <c r="N259" i="66"/>
  <c r="Y88" i="66"/>
  <c r="Z232" i="66"/>
  <c r="Z88" i="66"/>
  <c r="O88" i="66"/>
  <c r="Y232" i="66"/>
  <c r="U232" i="66"/>
  <c r="Q232" i="66"/>
  <c r="R232" i="66" s="1"/>
  <c r="T232" i="66" s="1"/>
  <c r="V232" i="66"/>
  <c r="X232" i="66" s="1"/>
  <c r="Z136" i="66"/>
  <c r="Y280" i="66"/>
  <c r="Y136" i="66"/>
  <c r="O136" i="66"/>
  <c r="Z280" i="66"/>
  <c r="U179" i="66"/>
  <c r="Q179" i="66"/>
  <c r="Q34" i="66"/>
  <c r="Y83" i="66"/>
  <c r="Z227" i="66"/>
  <c r="Y227" i="66"/>
  <c r="O83" i="66"/>
  <c r="Z83" i="66"/>
  <c r="O227" i="66"/>
  <c r="Q226" i="66"/>
  <c r="R226" i="66" s="1"/>
  <c r="T226" i="66" s="1"/>
  <c r="Q130" i="66"/>
  <c r="R130" i="66" s="1"/>
  <c r="T130" i="66" s="1"/>
  <c r="O36" i="66"/>
  <c r="Z180" i="66"/>
  <c r="Y180" i="66"/>
  <c r="Y36" i="66"/>
  <c r="Z36" i="66"/>
  <c r="O180" i="66"/>
  <c r="Y211" i="66"/>
  <c r="Z67" i="66"/>
  <c r="Y67" i="66"/>
  <c r="Q228" i="66" l="1"/>
  <c r="R228" i="66" s="1"/>
  <c r="T228" i="66" s="1"/>
  <c r="U228" i="66"/>
  <c r="O67" i="66"/>
  <c r="Q67" i="66" s="1"/>
  <c r="R67" i="66" s="1"/>
  <c r="T67" i="66" s="1"/>
  <c r="Z211" i="66"/>
  <c r="U184" i="66"/>
  <c r="Q211" i="66"/>
  <c r="R211" i="66" s="1"/>
  <c r="T211" i="66" s="1"/>
  <c r="Y19" i="66"/>
  <c r="O259" i="66"/>
  <c r="Q163" i="66"/>
  <c r="Q36" i="66"/>
  <c r="U36" i="66"/>
  <c r="Q132" i="66"/>
  <c r="R132" i="66" s="1"/>
  <c r="T132" i="66" s="1"/>
  <c r="V132" i="66"/>
  <c r="X132" i="66" s="1"/>
  <c r="U132" i="66"/>
  <c r="Q40" i="66"/>
  <c r="U40" i="66"/>
  <c r="V275" i="66"/>
  <c r="X275" i="66" s="1"/>
  <c r="Q275" i="66"/>
  <c r="R275" i="66" s="1"/>
  <c r="T275" i="66" s="1"/>
  <c r="U275" i="66"/>
  <c r="V136" i="66"/>
  <c r="X136" i="66" s="1"/>
  <c r="Q136" i="66"/>
  <c r="R136" i="66" s="1"/>
  <c r="T136" i="66" s="1"/>
  <c r="U136" i="66"/>
  <c r="U131" i="66"/>
  <c r="Q131" i="66"/>
  <c r="R131" i="66" s="1"/>
  <c r="T131" i="66" s="1"/>
  <c r="V131" i="66"/>
  <c r="X131" i="66" s="1"/>
  <c r="O115" i="66"/>
  <c r="Y115" i="66"/>
  <c r="Z259" i="66"/>
  <c r="Z115" i="66"/>
  <c r="Y259" i="66"/>
  <c r="Q227" i="66"/>
  <c r="R227" i="66" s="1"/>
  <c r="T227" i="66" s="1"/>
  <c r="U227" i="66"/>
  <c r="V227" i="66"/>
  <c r="X227" i="66" s="1"/>
  <c r="Z19" i="66"/>
  <c r="U84" i="66"/>
  <c r="V84" i="66"/>
  <c r="X84" i="66" s="1"/>
  <c r="Q84" i="66"/>
  <c r="R84" i="66" s="1"/>
  <c r="T84" i="66" s="1"/>
  <c r="U280" i="66"/>
  <c r="Q280" i="66"/>
  <c r="R280" i="66" s="1"/>
  <c r="T280" i="66" s="1"/>
  <c r="V280" i="66"/>
  <c r="X280" i="66" s="1"/>
  <c r="U180" i="66"/>
  <c r="Q180" i="66"/>
  <c r="Q88" i="66"/>
  <c r="R88" i="66" s="1"/>
  <c r="T88" i="66" s="1"/>
  <c r="V88" i="66"/>
  <c r="X88" i="66" s="1"/>
  <c r="U88" i="66"/>
  <c r="U276" i="66"/>
  <c r="V276" i="66"/>
  <c r="X276" i="66" s="1"/>
  <c r="Q276" i="66"/>
  <c r="R276" i="66" s="1"/>
  <c r="T276" i="66" s="1"/>
  <c r="Y163" i="66"/>
  <c r="V83" i="66"/>
  <c r="X83" i="66" s="1"/>
  <c r="Q83" i="66"/>
  <c r="R83" i="66" s="1"/>
  <c r="T83" i="66" s="1"/>
  <c r="U83" i="66"/>
  <c r="O19" i="66"/>
  <c r="Z163" i="66"/>
  <c r="Q259" i="66" l="1"/>
  <c r="R259" i="66" s="1"/>
  <c r="T259" i="66" s="1"/>
  <c r="Q19" i="66"/>
  <c r="Q115" i="66"/>
  <c r="R115" i="66" s="1"/>
  <c r="T115" i="66" s="1"/>
  <c r="J488" i="58" l="1"/>
  <c r="J488" i="37"/>
  <c r="H488" i="58"/>
  <c r="H488" i="37"/>
  <c r="J487" i="58"/>
  <c r="J487" i="37"/>
  <c r="I488" i="58"/>
  <c r="I488" i="37"/>
  <c r="I487" i="58"/>
  <c r="I487" i="37"/>
  <c r="H487" i="58"/>
  <c r="H487" i="37"/>
  <c r="H487" i="41" l="1"/>
  <c r="J487" i="41"/>
  <c r="I487" i="41"/>
  <c r="H488" i="41"/>
  <c r="I488" i="41"/>
  <c r="J488" i="41"/>
  <c r="J6" i="58" l="1"/>
  <c r="H6" i="58"/>
  <c r="I6" i="58"/>
  <c r="I6" i="41" l="1"/>
  <c r="D46" i="39" s="1"/>
  <c r="E108" i="38" s="1"/>
  <c r="F70" i="66"/>
  <c r="F214" i="66"/>
  <c r="H6" i="41"/>
  <c r="C46" i="39" s="1"/>
  <c r="E91" i="38" s="1"/>
  <c r="F22" i="66"/>
  <c r="F262" i="66"/>
  <c r="F166" i="66"/>
  <c r="J6" i="41"/>
  <c r="E46" i="39" s="1"/>
  <c r="E125" i="38" s="1"/>
  <c r="F118" i="66"/>
  <c r="L46" i="39" l="1"/>
  <c r="E159" i="38" s="1"/>
  <c r="J214" i="66" s="1"/>
  <c r="F19" i="39" s="1"/>
  <c r="M46" i="39"/>
  <c r="E176" i="38" s="1"/>
  <c r="J467" i="58" s="1"/>
  <c r="K46" i="39"/>
  <c r="E142" i="38" s="1"/>
  <c r="J166" i="66" s="1"/>
  <c r="N166" i="66" s="1"/>
  <c r="J118" i="66"/>
  <c r="N118" i="66" s="1"/>
  <c r="J467" i="37"/>
  <c r="J22" i="66"/>
  <c r="N22" i="66" s="1"/>
  <c r="H467" i="37"/>
  <c r="J70" i="66"/>
  <c r="N70" i="66" s="1"/>
  <c r="I467" i="37"/>
  <c r="I467" i="58" l="1"/>
  <c r="I467" i="41" s="1"/>
  <c r="J262" i="66"/>
  <c r="G19" i="39" s="1"/>
  <c r="H467" i="58"/>
  <c r="H467" i="41" s="1"/>
  <c r="I483" i="58"/>
  <c r="I483" i="37"/>
  <c r="P214" i="66"/>
  <c r="S214" i="66"/>
  <c r="H482" i="37"/>
  <c r="H482" i="58"/>
  <c r="I482" i="58"/>
  <c r="I482" i="37"/>
  <c r="J5" i="58"/>
  <c r="H5" i="58"/>
  <c r="R166" i="66"/>
  <c r="S166" i="66"/>
  <c r="P166" i="66"/>
  <c r="S22" i="66"/>
  <c r="R22" i="66"/>
  <c r="P22" i="66"/>
  <c r="I5" i="58"/>
  <c r="N214" i="66"/>
  <c r="O214" i="66" s="1"/>
  <c r="P70" i="66"/>
  <c r="S70" i="66"/>
  <c r="O166" i="66"/>
  <c r="J467" i="41"/>
  <c r="J482" i="58"/>
  <c r="J482" i="37"/>
  <c r="Y22" i="66"/>
  <c r="Y166" i="66"/>
  <c r="Z166" i="66"/>
  <c r="Z22" i="66"/>
  <c r="O22" i="66"/>
  <c r="S118" i="66"/>
  <c r="P118" i="66"/>
  <c r="S262" i="66" l="1"/>
  <c r="P262" i="66"/>
  <c r="N262" i="66"/>
  <c r="O262" i="66" s="1"/>
  <c r="Q262" i="66" s="1"/>
  <c r="R262" i="66" s="1"/>
  <c r="J482" i="41"/>
  <c r="I482" i="41"/>
  <c r="T166" i="66"/>
  <c r="I483" i="41"/>
  <c r="H482" i="41"/>
  <c r="Q214" i="66"/>
  <c r="R214" i="66" s="1"/>
  <c r="T214" i="66" s="1"/>
  <c r="H481" i="37"/>
  <c r="H481" i="58"/>
  <c r="I481" i="37"/>
  <c r="I481" i="58"/>
  <c r="J5" i="41"/>
  <c r="M52" i="39" s="1"/>
  <c r="E184" i="38" s="1"/>
  <c r="F116" i="66"/>
  <c r="E30" i="53"/>
  <c r="H483" i="37"/>
  <c r="H483" i="58"/>
  <c r="E36" i="53"/>
  <c r="F260" i="66"/>
  <c r="Q22" i="66"/>
  <c r="J483" i="37"/>
  <c r="J483" i="58"/>
  <c r="T22" i="66"/>
  <c r="J481" i="37"/>
  <c r="J481" i="58"/>
  <c r="Q166" i="66"/>
  <c r="Y70" i="66"/>
  <c r="F212" i="66"/>
  <c r="E24" i="53"/>
  <c r="Y214" i="66"/>
  <c r="F68" i="66"/>
  <c r="E18" i="53"/>
  <c r="I5" i="41"/>
  <c r="L52" i="39" s="1"/>
  <c r="E167" i="38" s="1"/>
  <c r="O70" i="66"/>
  <c r="Z70" i="66"/>
  <c r="F164" i="66"/>
  <c r="E12" i="53"/>
  <c r="Z214" i="66"/>
  <c r="E6" i="53"/>
  <c r="F20" i="66"/>
  <c r="H5" i="41"/>
  <c r="K52" i="39" s="1"/>
  <c r="E150" i="38" s="1"/>
  <c r="T262" i="66" l="1"/>
  <c r="Y118" i="66"/>
  <c r="Z262" i="66"/>
  <c r="Z118" i="66"/>
  <c r="Y262" i="66"/>
  <c r="O118" i="66"/>
  <c r="Q118" i="66" s="1"/>
  <c r="R118" i="66" s="1"/>
  <c r="T118" i="66" s="1"/>
  <c r="E52" i="39"/>
  <c r="E133" i="38" s="1"/>
  <c r="D30" i="53" s="1"/>
  <c r="F30" i="53" s="1"/>
  <c r="D52" i="39"/>
  <c r="E116" i="38" s="1"/>
  <c r="J68" i="66" s="1"/>
  <c r="H483" i="41"/>
  <c r="C52" i="39"/>
  <c r="E99" i="38" s="1"/>
  <c r="J481" i="41"/>
  <c r="D12" i="53"/>
  <c r="F12" i="53" s="1"/>
  <c r="H6" i="53" s="1"/>
  <c r="J164" i="66"/>
  <c r="H470" i="58"/>
  <c r="H481" i="41"/>
  <c r="Q70" i="66"/>
  <c r="R70" i="66" s="1"/>
  <c r="T70" i="66" s="1"/>
  <c r="D36" i="53"/>
  <c r="F36" i="53" s="1"/>
  <c r="H30" i="53" s="1"/>
  <c r="J260" i="66"/>
  <c r="J470" i="58"/>
  <c r="D24" i="53"/>
  <c r="F24" i="53" s="1"/>
  <c r="H18" i="53" s="1"/>
  <c r="J212" i="66"/>
  <c r="I470" i="58"/>
  <c r="J483" i="41"/>
  <c r="I481" i="41"/>
  <c r="J470" i="37" l="1"/>
  <c r="J470" i="41" s="1"/>
  <c r="J116" i="66"/>
  <c r="I470" i="37"/>
  <c r="I470" i="41" s="1"/>
  <c r="D18" i="53"/>
  <c r="F18" i="53" s="1"/>
  <c r="H24" i="53" s="1"/>
  <c r="G24" i="53" s="1"/>
  <c r="S164" i="66"/>
  <c r="S212" i="66"/>
  <c r="S68" i="66"/>
  <c r="G30" i="53"/>
  <c r="H36" i="53"/>
  <c r="G36" i="53" s="1"/>
  <c r="D6" i="53"/>
  <c r="F6" i="53" s="1"/>
  <c r="J20" i="66"/>
  <c r="H470" i="37"/>
  <c r="H470" i="41" s="1"/>
  <c r="S260" i="66"/>
  <c r="E342" i="38" l="1"/>
  <c r="E348" i="38"/>
  <c r="M260" i="66" s="1"/>
  <c r="E330" i="38"/>
  <c r="E336" i="38"/>
  <c r="E318" i="38"/>
  <c r="E324" i="38"/>
  <c r="M212" i="66" s="1"/>
  <c r="S116" i="66"/>
  <c r="G18" i="53"/>
  <c r="S20" i="66"/>
  <c r="H12" i="53"/>
  <c r="G12" i="53" s="1"/>
  <c r="G6" i="53"/>
  <c r="E294" i="38" l="1"/>
  <c r="E300" i="38"/>
  <c r="M164" i="66" s="1"/>
  <c r="E306" i="38"/>
  <c r="I485" i="37" s="1"/>
  <c r="E312" i="38"/>
  <c r="M68" i="66" s="1"/>
  <c r="F25" i="39" s="1"/>
  <c r="E282" i="38"/>
  <c r="E288" i="38"/>
  <c r="L260" i="66"/>
  <c r="J485" i="58"/>
  <c r="L212" i="66"/>
  <c r="I485" i="58"/>
  <c r="L116" i="66"/>
  <c r="J485" i="37"/>
  <c r="M116" i="66"/>
  <c r="G25" i="39" s="1"/>
  <c r="D19" i="8"/>
  <c r="C19" i="8" l="1"/>
  <c r="L68" i="66"/>
  <c r="P68" i="66" s="1"/>
  <c r="J485" i="41"/>
  <c r="M20" i="66"/>
  <c r="B19" i="8"/>
  <c r="L20" i="66"/>
  <c r="H485" i="37"/>
  <c r="I485" i="41"/>
  <c r="N116" i="66"/>
  <c r="P116" i="66"/>
  <c r="P212" i="66"/>
  <c r="N212" i="66"/>
  <c r="L164" i="66"/>
  <c r="H485" i="58"/>
  <c r="P260" i="66"/>
  <c r="N260" i="66"/>
  <c r="N68" i="66" l="1"/>
  <c r="H485" i="41"/>
  <c r="O260" i="66"/>
  <c r="N164" i="66"/>
  <c r="P164" i="66"/>
  <c r="R164" i="66"/>
  <c r="T164" i="66" s="1"/>
  <c r="Z116" i="66"/>
  <c r="Y116" i="66"/>
  <c r="O116" i="66"/>
  <c r="Z260" i="66"/>
  <c r="Y260" i="66"/>
  <c r="P20" i="66"/>
  <c r="R20" i="66"/>
  <c r="T20" i="66" s="1"/>
  <c r="N20" i="66"/>
  <c r="Z68" i="66" l="1"/>
  <c r="Y212" i="66"/>
  <c r="Z212" i="66"/>
  <c r="Y68" i="66"/>
  <c r="O212" i="66"/>
  <c r="O68" i="66"/>
  <c r="O164" i="66"/>
  <c r="Y164" i="66"/>
  <c r="Z164" i="66"/>
  <c r="Z20" i="66"/>
  <c r="Y20" i="66"/>
  <c r="O20" i="66"/>
  <c r="Q116" i="66"/>
  <c r="R116" i="66" s="1"/>
  <c r="T116" i="66" s="1"/>
  <c r="Q260" i="66"/>
  <c r="R260" i="66" s="1"/>
  <c r="T260" i="66" s="1"/>
  <c r="Q212" i="66" l="1"/>
  <c r="R212" i="66" s="1"/>
  <c r="T212" i="66" s="1"/>
  <c r="Q68" i="66"/>
  <c r="R68" i="66" s="1"/>
  <c r="T68" i="66" s="1"/>
  <c r="Q20" i="66"/>
  <c r="Q164" i="66"/>
  <c r="W145" i="66" l="1"/>
  <c r="W193" i="66"/>
  <c r="W241" i="66"/>
  <c r="W49" i="66"/>
  <c r="W289" i="66"/>
  <c r="W97" i="66"/>
  <c r="W233" i="66"/>
  <c r="W185" i="66"/>
  <c r="W137" i="66"/>
  <c r="W281" i="66"/>
  <c r="U185" i="66"/>
  <c r="U281" i="66"/>
  <c r="W41" i="66"/>
  <c r="V281" i="66"/>
  <c r="W89" i="66"/>
  <c r="V185" i="66"/>
  <c r="U41" i="66"/>
  <c r="V41" i="66"/>
  <c r="V137" i="66"/>
  <c r="U137" i="66"/>
  <c r="V89" i="66"/>
  <c r="V233" i="66"/>
  <c r="U89" i="66"/>
  <c r="U233" i="66"/>
  <c r="W208" i="66"/>
  <c r="W16" i="66"/>
  <c r="W160" i="66"/>
  <c r="W256" i="66"/>
  <c r="W64" i="66"/>
  <c r="V16" i="66"/>
  <c r="W112" i="66"/>
  <c r="V160" i="66"/>
  <c r="U160" i="66"/>
  <c r="U16" i="66"/>
  <c r="U256" i="66"/>
  <c r="V256" i="66"/>
  <c r="V64" i="66"/>
  <c r="U64" i="66"/>
  <c r="U208" i="66"/>
  <c r="U112" i="66"/>
  <c r="V112" i="66"/>
  <c r="V208" i="66"/>
  <c r="W86" i="66"/>
  <c r="W230" i="66"/>
  <c r="W182" i="66"/>
  <c r="U182" i="66"/>
  <c r="W278" i="66"/>
  <c r="V38" i="66"/>
  <c r="W38" i="66"/>
  <c r="W134" i="66"/>
  <c r="U86" i="66"/>
  <c r="U278" i="66"/>
  <c r="V86" i="66"/>
  <c r="V182" i="66"/>
  <c r="U134" i="66"/>
  <c r="V134" i="66"/>
  <c r="U38" i="66"/>
  <c r="V230" i="66"/>
  <c r="U230" i="66"/>
  <c r="V278" i="66"/>
  <c r="W111" i="66"/>
  <c r="V255" i="66"/>
  <c r="W255" i="66"/>
  <c r="V63" i="66"/>
  <c r="U159" i="66"/>
  <c r="W63" i="66"/>
  <c r="U255" i="66"/>
  <c r="V207" i="66"/>
  <c r="W159" i="66"/>
  <c r="U63" i="66"/>
  <c r="W207" i="66"/>
  <c r="W15" i="66"/>
  <c r="U15" i="66"/>
  <c r="V159" i="66"/>
  <c r="V15" i="66"/>
  <c r="V111" i="66"/>
  <c r="U207" i="66"/>
  <c r="U111" i="66"/>
  <c r="W87" i="66"/>
  <c r="V135" i="66"/>
  <c r="W135" i="66"/>
  <c r="V183" i="66"/>
  <c r="W279" i="66"/>
  <c r="U39" i="66"/>
  <c r="W231" i="66"/>
  <c r="V39" i="66"/>
  <c r="W39" i="66"/>
  <c r="V279" i="66"/>
  <c r="W183" i="66"/>
  <c r="U231" i="66"/>
  <c r="U87" i="66"/>
  <c r="U279" i="66"/>
  <c r="V231" i="66"/>
  <c r="U135" i="66"/>
  <c r="U183" i="66"/>
  <c r="V87" i="66"/>
  <c r="W274" i="66"/>
  <c r="W34" i="66"/>
  <c r="W226" i="66"/>
  <c r="W82" i="66"/>
  <c r="W178" i="66"/>
  <c r="W130" i="66"/>
  <c r="V178" i="66"/>
  <c r="V34" i="66"/>
  <c r="V130" i="66"/>
  <c r="U130" i="66"/>
  <c r="U178" i="66"/>
  <c r="V82" i="66"/>
  <c r="U226" i="66"/>
  <c r="U274" i="66"/>
  <c r="U82" i="66"/>
  <c r="V274" i="66"/>
  <c r="U34" i="66"/>
  <c r="V226" i="66"/>
  <c r="W203" i="66"/>
  <c r="W155" i="66"/>
  <c r="W11" i="66"/>
  <c r="W107" i="66"/>
  <c r="W251" i="66"/>
  <c r="W59" i="66"/>
  <c r="V155" i="66"/>
  <c r="V11" i="66"/>
  <c r="U155" i="66"/>
  <c r="U11" i="66"/>
  <c r="U203" i="66"/>
  <c r="V203" i="66"/>
  <c r="V59" i="66"/>
  <c r="U59" i="66"/>
  <c r="V251" i="66"/>
  <c r="U251" i="66"/>
  <c r="U107" i="66"/>
  <c r="V107" i="66"/>
  <c r="W265" i="66"/>
  <c r="W169" i="66"/>
  <c r="W217" i="66"/>
  <c r="W25" i="66"/>
  <c r="V169" i="66"/>
  <c r="W73" i="66"/>
  <c r="W121" i="66"/>
  <c r="U265" i="66"/>
  <c r="V265" i="66"/>
  <c r="V25" i="66"/>
  <c r="V217" i="66"/>
  <c r="U73" i="66"/>
  <c r="U169" i="66"/>
  <c r="U217" i="66"/>
  <c r="V73" i="66"/>
  <c r="U121" i="66"/>
  <c r="V121" i="66"/>
  <c r="U25" i="66"/>
  <c r="W57" i="66"/>
  <c r="W105" i="66"/>
  <c r="W201" i="66"/>
  <c r="W249" i="66"/>
  <c r="W9" i="66"/>
  <c r="V9" i="66"/>
  <c r="W153" i="66"/>
  <c r="V153" i="66"/>
  <c r="U153" i="66"/>
  <c r="U9" i="66"/>
  <c r="V201" i="66"/>
  <c r="U201" i="66"/>
  <c r="V249" i="66"/>
  <c r="U249" i="66"/>
  <c r="U57" i="66"/>
  <c r="V57" i="66"/>
  <c r="U105" i="66"/>
  <c r="V105" i="66"/>
  <c r="W79" i="66"/>
  <c r="W223" i="66"/>
  <c r="W31" i="66"/>
  <c r="W271" i="66"/>
  <c r="W127" i="66"/>
  <c r="V31" i="66"/>
  <c r="W175" i="66"/>
  <c r="V175" i="66"/>
  <c r="U31" i="66"/>
  <c r="U175" i="66"/>
  <c r="V271" i="66"/>
  <c r="V127" i="66"/>
  <c r="U127" i="66"/>
  <c r="U271" i="66"/>
  <c r="V79" i="66"/>
  <c r="V223" i="66"/>
  <c r="U223" i="66"/>
  <c r="U79" i="66"/>
  <c r="W8" i="66"/>
  <c r="W104" i="66"/>
  <c r="W152" i="66"/>
  <c r="W200" i="66"/>
  <c r="W56" i="66"/>
  <c r="W248" i="66"/>
  <c r="V8" i="66"/>
  <c r="V152" i="66"/>
  <c r="U200" i="66"/>
  <c r="V56" i="66"/>
  <c r="U248" i="66"/>
  <c r="V248" i="66"/>
  <c r="U152" i="66"/>
  <c r="U56" i="66"/>
  <c r="U8" i="66"/>
  <c r="V200" i="66"/>
  <c r="U104" i="66"/>
  <c r="V104" i="66"/>
  <c r="W221" i="66"/>
  <c r="W77" i="66"/>
  <c r="W29" i="66"/>
  <c r="V29" i="66"/>
  <c r="W125" i="66"/>
  <c r="W269" i="66"/>
  <c r="W173" i="66"/>
  <c r="V221" i="66"/>
  <c r="U29" i="66"/>
  <c r="V173" i="66"/>
  <c r="U221" i="66"/>
  <c r="U173" i="66"/>
  <c r="V77" i="66"/>
  <c r="U77" i="66"/>
  <c r="V269" i="66"/>
  <c r="V125" i="66"/>
  <c r="U125" i="66"/>
  <c r="U269" i="66"/>
  <c r="W171" i="66"/>
  <c r="W123" i="66"/>
  <c r="W267" i="66"/>
  <c r="W75" i="66"/>
  <c r="W219" i="66"/>
  <c r="V171" i="66"/>
  <c r="W27" i="66"/>
  <c r="V27" i="66"/>
  <c r="U171" i="66"/>
  <c r="U27" i="66"/>
  <c r="U75" i="66"/>
  <c r="V75" i="66"/>
  <c r="V267" i="66"/>
  <c r="U267" i="66"/>
  <c r="U219" i="66"/>
  <c r="V219" i="66"/>
  <c r="V123" i="66"/>
  <c r="U123" i="66"/>
  <c r="W4" i="66"/>
  <c r="U148" i="66"/>
  <c r="U52" i="66"/>
  <c r="W52" i="66"/>
  <c r="W100" i="66"/>
  <c r="W244" i="66"/>
  <c r="W148" i="66"/>
  <c r="W196" i="66"/>
  <c r="U4" i="66"/>
  <c r="V244" i="66"/>
  <c r="U100" i="66"/>
  <c r="V52" i="66"/>
  <c r="U244" i="66"/>
  <c r="V100" i="66"/>
  <c r="V148" i="66"/>
  <c r="V196" i="66"/>
  <c r="U196" i="66"/>
  <c r="V4" i="66"/>
  <c r="U264" i="66"/>
  <c r="V72" i="66"/>
  <c r="U72" i="66"/>
  <c r="V264" i="66"/>
  <c r="U24" i="66"/>
  <c r="V216" i="66"/>
  <c r="U120" i="66"/>
  <c r="V24" i="66"/>
  <c r="U168" i="66"/>
  <c r="V120" i="66"/>
  <c r="U216" i="66"/>
  <c r="V168" i="66"/>
  <c r="W216" i="66"/>
  <c r="W120" i="66"/>
  <c r="W168" i="66"/>
  <c r="W72" i="66"/>
  <c r="W264" i="66"/>
  <c r="W24" i="66"/>
  <c r="W95" i="66"/>
  <c r="W143" i="66"/>
  <c r="W287" i="66"/>
  <c r="W47" i="66"/>
  <c r="W191" i="66"/>
  <c r="V47" i="66"/>
  <c r="V191" i="66"/>
  <c r="W239" i="66"/>
  <c r="U191" i="66"/>
  <c r="U47" i="66"/>
  <c r="V287" i="66"/>
  <c r="U143" i="66"/>
  <c r="V143" i="66"/>
  <c r="U287" i="66"/>
  <c r="V239" i="66"/>
  <c r="U95" i="66"/>
  <c r="V95" i="66"/>
  <c r="U239" i="66"/>
  <c r="W262" i="66"/>
  <c r="W22" i="66"/>
  <c r="W166" i="66"/>
  <c r="W118" i="66"/>
  <c r="W214" i="66"/>
  <c r="W70" i="66"/>
  <c r="V166" i="66"/>
  <c r="U214" i="66"/>
  <c r="U22" i="66"/>
  <c r="V22" i="66"/>
  <c r="V262" i="66"/>
  <c r="U262" i="66"/>
  <c r="U166" i="66"/>
  <c r="V214" i="66"/>
  <c r="V70" i="66"/>
  <c r="U70" i="66"/>
  <c r="U118" i="66"/>
  <c r="V118" i="66"/>
  <c r="W237" i="66"/>
  <c r="W93" i="66"/>
  <c r="W285" i="66"/>
  <c r="W141" i="66"/>
  <c r="W45" i="66"/>
  <c r="W189" i="66"/>
  <c r="V189" i="66"/>
  <c r="V45" i="66"/>
  <c r="U45" i="66"/>
  <c r="U189" i="66"/>
  <c r="V93" i="66"/>
  <c r="U93" i="66"/>
  <c r="V237" i="66"/>
  <c r="U237" i="66"/>
  <c r="V141" i="66"/>
  <c r="U285" i="66"/>
  <c r="U141" i="66"/>
  <c r="V285" i="66"/>
  <c r="W164" i="66"/>
  <c r="W260" i="66"/>
  <c r="W212" i="66"/>
  <c r="W68" i="66"/>
  <c r="W116" i="66"/>
  <c r="W20" i="66"/>
  <c r="V20" i="66"/>
  <c r="U260" i="66"/>
  <c r="V164" i="66"/>
  <c r="V260" i="66"/>
  <c r="V116" i="66"/>
  <c r="U116" i="66"/>
  <c r="V212" i="66"/>
  <c r="U164" i="66"/>
  <c r="U68" i="66"/>
  <c r="U20" i="66"/>
  <c r="V68" i="66"/>
  <c r="U212" i="66"/>
  <c r="W140" i="66"/>
  <c r="W92" i="66"/>
  <c r="W284" i="66"/>
  <c r="W236" i="66"/>
  <c r="U236" i="66"/>
  <c r="V236" i="66"/>
  <c r="U92" i="66"/>
  <c r="V92" i="66"/>
  <c r="U140" i="66"/>
  <c r="V140" i="66"/>
  <c r="V284" i="66"/>
  <c r="U284" i="66"/>
  <c r="W44" i="66"/>
  <c r="W188" i="66"/>
  <c r="V44" i="66"/>
  <c r="V188" i="66"/>
  <c r="U188" i="66"/>
  <c r="U44" i="66"/>
  <c r="W19" i="66"/>
  <c r="W211" i="66"/>
  <c r="W67" i="66"/>
  <c r="W115" i="66"/>
  <c r="W163" i="66"/>
  <c r="W259" i="66"/>
  <c r="V19" i="66"/>
  <c r="U211" i="66"/>
  <c r="V163" i="66"/>
  <c r="V211" i="66"/>
  <c r="U163" i="66"/>
  <c r="U67" i="66"/>
  <c r="V67" i="66"/>
  <c r="V259" i="66"/>
  <c r="V115" i="66"/>
  <c r="U259" i="66"/>
  <c r="U115" i="66"/>
  <c r="U19" i="66"/>
  <c r="X237" i="66" l="1"/>
  <c r="X200" i="66"/>
  <c r="X287" i="66"/>
  <c r="X123" i="66"/>
  <c r="X217" i="66"/>
  <c r="X68" i="66"/>
  <c r="X211" i="66"/>
  <c r="X284" i="66"/>
  <c r="X236" i="66"/>
  <c r="X285" i="66"/>
  <c r="X104" i="66"/>
  <c r="X105" i="66"/>
  <c r="X107" i="66"/>
  <c r="X265" i="66"/>
  <c r="X231" i="66"/>
  <c r="X89" i="66"/>
  <c r="X160" i="66"/>
  <c r="X31" i="66"/>
  <c r="X226" i="66"/>
  <c r="X260" i="66"/>
  <c r="X22" i="66"/>
  <c r="X196" i="66"/>
  <c r="X29" i="66"/>
  <c r="X39" i="66"/>
  <c r="X255" i="66"/>
  <c r="X127" i="66"/>
  <c r="X278" i="66"/>
  <c r="X125" i="66"/>
  <c r="X27" i="66"/>
  <c r="X118" i="66"/>
  <c r="X120" i="66"/>
  <c r="X52" i="66"/>
  <c r="X82" i="66"/>
  <c r="X256" i="66"/>
  <c r="X271" i="66"/>
  <c r="X230" i="66"/>
  <c r="X47" i="66"/>
  <c r="X153" i="66"/>
  <c r="X9" i="66"/>
  <c r="X214" i="66"/>
  <c r="X75" i="66"/>
  <c r="X248" i="66"/>
  <c r="X116" i="66"/>
  <c r="X56" i="66"/>
  <c r="X152" i="66"/>
  <c r="X159" i="66"/>
  <c r="X19" i="66"/>
  <c r="X216" i="66"/>
  <c r="X171" i="66"/>
  <c r="X87" i="66"/>
  <c r="X38" i="66"/>
  <c r="X93" i="66"/>
  <c r="X140" i="66"/>
  <c r="X264" i="66"/>
  <c r="X219" i="66"/>
  <c r="X173" i="66"/>
  <c r="X57" i="66"/>
  <c r="X25" i="66"/>
  <c r="X183" i="66"/>
  <c r="X233" i="66"/>
  <c r="X92" i="66"/>
  <c r="X221" i="66"/>
  <c r="X175" i="66"/>
  <c r="X34" i="66"/>
  <c r="X135" i="66"/>
  <c r="X134" i="66"/>
  <c r="X137" i="66"/>
  <c r="X168" i="66"/>
  <c r="X4" i="66"/>
  <c r="X203" i="66"/>
  <c r="X182" i="66"/>
  <c r="X208" i="66"/>
  <c r="X16" i="66"/>
  <c r="X41" i="66"/>
  <c r="X262" i="66"/>
  <c r="X95" i="66"/>
  <c r="X201" i="66"/>
  <c r="X121" i="66"/>
  <c r="X169" i="66"/>
  <c r="X86" i="66"/>
  <c r="X112" i="66"/>
  <c r="X188" i="66"/>
  <c r="X223" i="66"/>
  <c r="X274" i="66"/>
  <c r="X111" i="66"/>
  <c r="X44" i="66"/>
  <c r="X164" i="66"/>
  <c r="X148" i="66"/>
  <c r="X79" i="66"/>
  <c r="X244" i="66"/>
  <c r="X115" i="66"/>
  <c r="X70" i="66"/>
  <c r="X251" i="66"/>
  <c r="X130" i="66"/>
  <c r="X259" i="66"/>
  <c r="X45" i="66"/>
  <c r="X72" i="66"/>
  <c r="X207" i="66"/>
  <c r="X67" i="66"/>
  <c r="X212" i="66"/>
  <c r="X189" i="66"/>
  <c r="X191" i="66"/>
  <c r="X267" i="66"/>
  <c r="X249" i="66"/>
  <c r="X59" i="66"/>
  <c r="X178" i="66"/>
  <c r="X279" i="66"/>
  <c r="X63" i="66"/>
  <c r="X185" i="66"/>
  <c r="X163" i="66"/>
  <c r="X141" i="66"/>
  <c r="X239" i="66"/>
  <c r="X269" i="66"/>
  <c r="X73" i="66"/>
  <c r="X15" i="66"/>
  <c r="X24" i="66"/>
  <c r="X100" i="66"/>
  <c r="X11" i="66"/>
  <c r="X281" i="66"/>
  <c r="X20" i="66"/>
  <c r="X166" i="66"/>
  <c r="X143" i="66"/>
  <c r="X77" i="66"/>
  <c r="X8" i="66"/>
  <c r="X155" i="66"/>
  <c r="X64" i="66"/>
  <c r="C8" i="63" l="1"/>
  <c r="C2" i="63"/>
  <c r="E287" i="38" l="1"/>
  <c r="F50" i="66" l="1"/>
  <c r="E5" i="53"/>
  <c r="F5" i="53" s="1"/>
  <c r="F49" i="66"/>
  <c r="H11" i="53" l="1"/>
  <c r="L290" i="66" l="1"/>
  <c r="L194" i="66"/>
  <c r="L242" i="66"/>
  <c r="L98" i="66"/>
  <c r="L146" i="66"/>
  <c r="P290" i="66" l="1"/>
  <c r="V290" i="66" s="1"/>
  <c r="X290" i="66" s="1"/>
  <c r="R290" i="66"/>
  <c r="T290" i="66" s="1"/>
  <c r="M241" i="66"/>
  <c r="M97" i="66"/>
  <c r="M193" i="66"/>
  <c r="M49" i="66"/>
  <c r="M50" i="66"/>
  <c r="N50" i="66" s="1"/>
  <c r="P146" i="66"/>
  <c r="V146" i="66" s="1"/>
  <c r="X146" i="66" s="1"/>
  <c r="R146" i="66"/>
  <c r="T146" i="66" s="1"/>
  <c r="P98" i="66"/>
  <c r="V98" i="66" s="1"/>
  <c r="X98" i="66" s="1"/>
  <c r="R98" i="66"/>
  <c r="T98" i="66" s="1"/>
  <c r="P242" i="66"/>
  <c r="V242" i="66" s="1"/>
  <c r="X242" i="66" s="1"/>
  <c r="R242" i="66"/>
  <c r="T242" i="66" s="1"/>
  <c r="P194" i="66"/>
  <c r="V194" i="66" s="1"/>
  <c r="X194" i="66" s="1"/>
  <c r="R194" i="66"/>
  <c r="T194" i="66" s="1"/>
  <c r="J4" i="37" l="1"/>
  <c r="J4" i="58"/>
  <c r="G127" i="72"/>
  <c r="G158" i="72"/>
  <c r="G65" i="72"/>
  <c r="G96" i="72"/>
  <c r="G282" i="72"/>
  <c r="G251" i="72"/>
  <c r="G189" i="72"/>
  <c r="G220" i="72"/>
  <c r="I4" i="58"/>
  <c r="I4" i="37"/>
  <c r="G34" i="72"/>
  <c r="G3" i="72"/>
  <c r="H283" i="72" l="1"/>
  <c r="I284" i="72" s="1"/>
  <c r="J285" i="72" s="1"/>
  <c r="K286" i="72" s="1"/>
  <c r="L287" i="72" s="1"/>
  <c r="M288" i="72" s="1"/>
  <c r="N289" i="72" s="1"/>
  <c r="O290" i="72" s="1"/>
  <c r="P291" i="72" s="1"/>
  <c r="Q292" i="72" s="1"/>
  <c r="R293" i="72" s="1"/>
  <c r="S294" i="72" s="1"/>
  <c r="T295" i="72" s="1"/>
  <c r="U296" i="72" s="1"/>
  <c r="V297" i="72" s="1"/>
  <c r="W298" i="72" s="1"/>
  <c r="X299" i="72" s="1"/>
  <c r="Y300" i="72" s="1"/>
  <c r="Z301" i="72" s="1"/>
  <c r="AA302" i="72" s="1"/>
  <c r="AB303" i="72" s="1"/>
  <c r="AC304" i="72" s="1"/>
  <c r="AD305" i="72" s="1"/>
  <c r="AE306" i="72" s="1"/>
  <c r="AF307" i="72" s="1"/>
  <c r="AG308" i="72" s="1"/>
  <c r="AH309" i="72" s="1"/>
  <c r="AI310" i="72" s="1"/>
  <c r="AJ311" i="72" s="1"/>
  <c r="E282" i="72"/>
  <c r="F282" i="72" s="1"/>
  <c r="E251" i="72"/>
  <c r="F251" i="72" s="1"/>
  <c r="H252" i="72"/>
  <c r="I253" i="72" s="1"/>
  <c r="J254" i="72" s="1"/>
  <c r="K255" i="72" s="1"/>
  <c r="L256" i="72" s="1"/>
  <c r="M257" i="72" s="1"/>
  <c r="N258" i="72" s="1"/>
  <c r="O259" i="72" s="1"/>
  <c r="P260" i="72" s="1"/>
  <c r="Q261" i="72" s="1"/>
  <c r="R262" i="72" s="1"/>
  <c r="S263" i="72" s="1"/>
  <c r="T264" i="72" s="1"/>
  <c r="U265" i="72" s="1"/>
  <c r="V266" i="72" s="1"/>
  <c r="W267" i="72" s="1"/>
  <c r="X268" i="72" s="1"/>
  <c r="Y269" i="72" s="1"/>
  <c r="Z270" i="72" s="1"/>
  <c r="AA271" i="72" s="1"/>
  <c r="AB272" i="72" s="1"/>
  <c r="AC273" i="72" s="1"/>
  <c r="AD274" i="72" s="1"/>
  <c r="AE275" i="72" s="1"/>
  <c r="AF276" i="72" s="1"/>
  <c r="AG277" i="72" s="1"/>
  <c r="AH278" i="72" s="1"/>
  <c r="AI279" i="72" s="1"/>
  <c r="AJ280" i="72" s="1"/>
  <c r="E3" i="72"/>
  <c r="F3" i="72" s="1"/>
  <c r="H4" i="72"/>
  <c r="I5" i="72" s="1"/>
  <c r="J6" i="72" s="1"/>
  <c r="K7" i="72" s="1"/>
  <c r="L8" i="72" s="1"/>
  <c r="M9" i="72" s="1"/>
  <c r="N10" i="72" s="1"/>
  <c r="O11" i="72" s="1"/>
  <c r="P12" i="72" s="1"/>
  <c r="Q13" i="72" s="1"/>
  <c r="R14" i="72" s="1"/>
  <c r="S15" i="72" s="1"/>
  <c r="T16" i="72" s="1"/>
  <c r="U17" i="72" s="1"/>
  <c r="V18" i="72" s="1"/>
  <c r="W19" i="72" s="1"/>
  <c r="X20" i="72" s="1"/>
  <c r="Y21" i="72" s="1"/>
  <c r="Z22" i="72" s="1"/>
  <c r="AA23" i="72" s="1"/>
  <c r="AB24" i="72" s="1"/>
  <c r="AC25" i="72" s="1"/>
  <c r="AD26" i="72" s="1"/>
  <c r="AE27" i="72" s="1"/>
  <c r="AF28" i="72" s="1"/>
  <c r="AG29" i="72" s="1"/>
  <c r="AH30" i="72" s="1"/>
  <c r="AI31" i="72" s="1"/>
  <c r="AJ32" i="72" s="1"/>
  <c r="H97" i="72"/>
  <c r="I98" i="72" s="1"/>
  <c r="J99" i="72" s="1"/>
  <c r="K100" i="72" s="1"/>
  <c r="L101" i="72" s="1"/>
  <c r="M102" i="72" s="1"/>
  <c r="N103" i="72" s="1"/>
  <c r="O104" i="72" s="1"/>
  <c r="P105" i="72" s="1"/>
  <c r="Q106" i="72" s="1"/>
  <c r="R107" i="72" s="1"/>
  <c r="S108" i="72" s="1"/>
  <c r="T109" i="72" s="1"/>
  <c r="U110" i="72" s="1"/>
  <c r="V111" i="72" s="1"/>
  <c r="W112" i="72" s="1"/>
  <c r="X113" i="72" s="1"/>
  <c r="Y114" i="72" s="1"/>
  <c r="Z115" i="72" s="1"/>
  <c r="AA116" i="72" s="1"/>
  <c r="AB117" i="72" s="1"/>
  <c r="AC118" i="72" s="1"/>
  <c r="AD119" i="72" s="1"/>
  <c r="AE120" i="72" s="1"/>
  <c r="AF121" i="72" s="1"/>
  <c r="AG122" i="72" s="1"/>
  <c r="AH123" i="72" s="1"/>
  <c r="AI124" i="72" s="1"/>
  <c r="AJ125" i="72" s="1"/>
  <c r="E96" i="72"/>
  <c r="F96" i="72" s="1"/>
  <c r="E34" i="72"/>
  <c r="F34" i="72" s="1"/>
  <c r="H35" i="72"/>
  <c r="I36" i="72" s="1"/>
  <c r="J37" i="72" s="1"/>
  <c r="K38" i="72" s="1"/>
  <c r="L39" i="72" s="1"/>
  <c r="M40" i="72" s="1"/>
  <c r="N41" i="72" s="1"/>
  <c r="O42" i="72" s="1"/>
  <c r="P43" i="72" s="1"/>
  <c r="Q44" i="72" s="1"/>
  <c r="R45" i="72" s="1"/>
  <c r="S46" i="72" s="1"/>
  <c r="T47" i="72" s="1"/>
  <c r="U48" i="72" s="1"/>
  <c r="V49" i="72" s="1"/>
  <c r="W50" i="72" s="1"/>
  <c r="X51" i="72" s="1"/>
  <c r="Y52" i="72" s="1"/>
  <c r="Z53" i="72" s="1"/>
  <c r="AA54" i="72" s="1"/>
  <c r="AB55" i="72" s="1"/>
  <c r="AC56" i="72" s="1"/>
  <c r="AD57" i="72" s="1"/>
  <c r="AE58" i="72" s="1"/>
  <c r="AF59" i="72" s="1"/>
  <c r="AG60" i="72" s="1"/>
  <c r="AH61" i="72" s="1"/>
  <c r="AI62" i="72" s="1"/>
  <c r="AJ63" i="72" s="1"/>
  <c r="H66" i="72"/>
  <c r="I67" i="72" s="1"/>
  <c r="J68" i="72" s="1"/>
  <c r="K69" i="72" s="1"/>
  <c r="L70" i="72" s="1"/>
  <c r="M71" i="72" s="1"/>
  <c r="N72" i="72" s="1"/>
  <c r="O73" i="72" s="1"/>
  <c r="P74" i="72" s="1"/>
  <c r="Q75" i="72" s="1"/>
  <c r="R76" i="72" s="1"/>
  <c r="S77" i="72" s="1"/>
  <c r="T78" i="72" s="1"/>
  <c r="U79" i="72" s="1"/>
  <c r="V80" i="72" s="1"/>
  <c r="W81" i="72" s="1"/>
  <c r="X82" i="72" s="1"/>
  <c r="Y83" i="72" s="1"/>
  <c r="Z84" i="72" s="1"/>
  <c r="AA85" i="72" s="1"/>
  <c r="AB86" i="72" s="1"/>
  <c r="AC87" i="72" s="1"/>
  <c r="AD88" i="72" s="1"/>
  <c r="AE89" i="72" s="1"/>
  <c r="AF90" i="72" s="1"/>
  <c r="AG91" i="72" s="1"/>
  <c r="AH92" i="72" s="1"/>
  <c r="AI93" i="72" s="1"/>
  <c r="AJ94" i="72" s="1"/>
  <c r="E65" i="72"/>
  <c r="F65" i="72" s="1"/>
  <c r="I4" i="41"/>
  <c r="D45" i="39" s="1"/>
  <c r="F53" i="66"/>
  <c r="E19" i="53"/>
  <c r="H159" i="72"/>
  <c r="I160" i="72" s="1"/>
  <c r="J161" i="72" s="1"/>
  <c r="K162" i="72" s="1"/>
  <c r="L163" i="72" s="1"/>
  <c r="M164" i="72" s="1"/>
  <c r="N165" i="72" s="1"/>
  <c r="O166" i="72" s="1"/>
  <c r="P167" i="72" s="1"/>
  <c r="Q168" i="72" s="1"/>
  <c r="R169" i="72" s="1"/>
  <c r="S170" i="72" s="1"/>
  <c r="T171" i="72" s="1"/>
  <c r="U172" i="72" s="1"/>
  <c r="V173" i="72" s="1"/>
  <c r="W174" i="72" s="1"/>
  <c r="X175" i="72" s="1"/>
  <c r="Y176" i="72" s="1"/>
  <c r="Z177" i="72" s="1"/>
  <c r="AA178" i="72" s="1"/>
  <c r="AB179" i="72" s="1"/>
  <c r="AC180" i="72" s="1"/>
  <c r="AD181" i="72" s="1"/>
  <c r="AE182" i="72" s="1"/>
  <c r="AF183" i="72" s="1"/>
  <c r="AG184" i="72" s="1"/>
  <c r="AH185" i="72" s="1"/>
  <c r="AI186" i="72" s="1"/>
  <c r="AJ187" i="72" s="1"/>
  <c r="E158" i="72"/>
  <c r="F158" i="72" s="1"/>
  <c r="H4" i="37"/>
  <c r="H4" i="58"/>
  <c r="F197" i="66"/>
  <c r="E25" i="53"/>
  <c r="N4" i="58"/>
  <c r="H128" i="72"/>
  <c r="I129" i="72" s="1"/>
  <c r="J130" i="72" s="1"/>
  <c r="K131" i="72" s="1"/>
  <c r="L132" i="72" s="1"/>
  <c r="M133" i="72" s="1"/>
  <c r="N134" i="72" s="1"/>
  <c r="O135" i="72" s="1"/>
  <c r="P136" i="72" s="1"/>
  <c r="Q137" i="72" s="1"/>
  <c r="R138" i="72" s="1"/>
  <c r="S139" i="72" s="1"/>
  <c r="T140" i="72" s="1"/>
  <c r="U141" i="72" s="1"/>
  <c r="V142" i="72" s="1"/>
  <c r="W143" i="72" s="1"/>
  <c r="X144" i="72" s="1"/>
  <c r="Y145" i="72" s="1"/>
  <c r="Z146" i="72" s="1"/>
  <c r="AA147" i="72" s="1"/>
  <c r="AB148" i="72" s="1"/>
  <c r="AC149" i="72" s="1"/>
  <c r="AD150" i="72" s="1"/>
  <c r="AE151" i="72" s="1"/>
  <c r="AF152" i="72" s="1"/>
  <c r="AG153" i="72" s="1"/>
  <c r="AH154" i="72" s="1"/>
  <c r="AI155" i="72" s="1"/>
  <c r="AJ156" i="72" s="1"/>
  <c r="E127" i="72"/>
  <c r="F127" i="72" s="1"/>
  <c r="E220" i="72"/>
  <c r="F220" i="72" s="1"/>
  <c r="H221" i="72"/>
  <c r="I222" i="72" s="1"/>
  <c r="J223" i="72" s="1"/>
  <c r="K224" i="72" s="1"/>
  <c r="L225" i="72" s="1"/>
  <c r="M226" i="72" s="1"/>
  <c r="N227" i="72" s="1"/>
  <c r="O228" i="72" s="1"/>
  <c r="P229" i="72" s="1"/>
  <c r="Q230" i="72" s="1"/>
  <c r="R231" i="72" s="1"/>
  <c r="S232" i="72" s="1"/>
  <c r="T233" i="72" s="1"/>
  <c r="U234" i="72" s="1"/>
  <c r="V235" i="72" s="1"/>
  <c r="W236" i="72" s="1"/>
  <c r="X237" i="72" s="1"/>
  <c r="Y238" i="72" s="1"/>
  <c r="Z239" i="72" s="1"/>
  <c r="AA240" i="72" s="1"/>
  <c r="AB241" i="72" s="1"/>
  <c r="AC242" i="72" s="1"/>
  <c r="AD243" i="72" s="1"/>
  <c r="AE244" i="72" s="1"/>
  <c r="AF245" i="72" s="1"/>
  <c r="AG246" i="72" s="1"/>
  <c r="AH247" i="72" s="1"/>
  <c r="AI248" i="72" s="1"/>
  <c r="AJ249" i="72" s="1"/>
  <c r="O4" i="58"/>
  <c r="F245" i="66"/>
  <c r="E37" i="53"/>
  <c r="H190" i="72"/>
  <c r="I191" i="72" s="1"/>
  <c r="J192" i="72" s="1"/>
  <c r="K193" i="72" s="1"/>
  <c r="L194" i="72" s="1"/>
  <c r="M195" i="72" s="1"/>
  <c r="N196" i="72" s="1"/>
  <c r="O197" i="72" s="1"/>
  <c r="P198" i="72" s="1"/>
  <c r="Q199" i="72" s="1"/>
  <c r="R200" i="72" s="1"/>
  <c r="S201" i="72" s="1"/>
  <c r="T202" i="72" s="1"/>
  <c r="U203" i="72" s="1"/>
  <c r="V204" i="72" s="1"/>
  <c r="W205" i="72" s="1"/>
  <c r="X206" i="72" s="1"/>
  <c r="Y207" i="72" s="1"/>
  <c r="Z208" i="72" s="1"/>
  <c r="AA209" i="72" s="1"/>
  <c r="AB210" i="72" s="1"/>
  <c r="AC211" i="72" s="1"/>
  <c r="AD212" i="72" s="1"/>
  <c r="AE213" i="72" s="1"/>
  <c r="AF214" i="72" s="1"/>
  <c r="AG215" i="72" s="1"/>
  <c r="AH216" i="72" s="1"/>
  <c r="AI217" i="72" s="1"/>
  <c r="AJ218" i="72" s="1"/>
  <c r="E189" i="72"/>
  <c r="F189" i="72" s="1"/>
  <c r="E31" i="53"/>
  <c r="J4" i="41"/>
  <c r="E45" i="39" s="1"/>
  <c r="F101" i="66"/>
  <c r="M45" i="39" l="1"/>
  <c r="E175" i="38" s="1"/>
  <c r="L45" i="39"/>
  <c r="E158" i="38" s="1"/>
  <c r="G97" i="72"/>
  <c r="H98" i="72" s="1"/>
  <c r="I99" i="72" s="1"/>
  <c r="J100" i="72" s="1"/>
  <c r="K101" i="72" s="1"/>
  <c r="L102" i="72" s="1"/>
  <c r="M103" i="72" s="1"/>
  <c r="N104" i="72" s="1"/>
  <c r="O105" i="72" s="1"/>
  <c r="P106" i="72" s="1"/>
  <c r="Q107" i="72" s="1"/>
  <c r="R108" i="72" s="1"/>
  <c r="S109" i="72" s="1"/>
  <c r="T110" i="72" s="1"/>
  <c r="U111" i="72" s="1"/>
  <c r="V112" i="72" s="1"/>
  <c r="W113" i="72" s="1"/>
  <c r="X114" i="72" s="1"/>
  <c r="Y115" i="72" s="1"/>
  <c r="Z116" i="72" s="1"/>
  <c r="AA117" i="72" s="1"/>
  <c r="AB118" i="72" s="1"/>
  <c r="AC119" i="72" s="1"/>
  <c r="AD120" i="72" s="1"/>
  <c r="AE121" i="72" s="1"/>
  <c r="AF122" i="72" s="1"/>
  <c r="AG123" i="72" s="1"/>
  <c r="AH124" i="72" s="1"/>
  <c r="AI125" i="72" s="1"/>
  <c r="D56" i="39"/>
  <c r="E107" i="38"/>
  <c r="D59" i="39"/>
  <c r="D60" i="39" s="1"/>
  <c r="G4" i="72"/>
  <c r="H5" i="72" s="1"/>
  <c r="I6" i="72" s="1"/>
  <c r="J7" i="72" s="1"/>
  <c r="K8" i="72" s="1"/>
  <c r="L9" i="72" s="1"/>
  <c r="M10" i="72" s="1"/>
  <c r="N11" i="72" s="1"/>
  <c r="O12" i="72" s="1"/>
  <c r="P13" i="72" s="1"/>
  <c r="Q14" i="72" s="1"/>
  <c r="R15" i="72" s="1"/>
  <c r="S16" i="72" s="1"/>
  <c r="T17" i="72" s="1"/>
  <c r="U18" i="72" s="1"/>
  <c r="V19" i="72" s="1"/>
  <c r="W20" i="72" s="1"/>
  <c r="X21" i="72" s="1"/>
  <c r="Y22" i="72" s="1"/>
  <c r="Z23" i="72" s="1"/>
  <c r="AA24" i="72" s="1"/>
  <c r="AB25" i="72" s="1"/>
  <c r="AC26" i="72" s="1"/>
  <c r="AD27" i="72" s="1"/>
  <c r="AE28" i="72" s="1"/>
  <c r="AF29" i="72" s="1"/>
  <c r="AG30" i="72" s="1"/>
  <c r="AH31" i="72" s="1"/>
  <c r="AI32" i="72" s="1"/>
  <c r="G66" i="72"/>
  <c r="H67" i="72" s="1"/>
  <c r="I68" i="72" s="1"/>
  <c r="J69" i="72" s="1"/>
  <c r="K70" i="72" s="1"/>
  <c r="L71" i="72" s="1"/>
  <c r="M72" i="72" s="1"/>
  <c r="N73" i="72" s="1"/>
  <c r="O74" i="72" s="1"/>
  <c r="P75" i="72" s="1"/>
  <c r="Q76" i="72" s="1"/>
  <c r="R77" i="72" s="1"/>
  <c r="S78" i="72" s="1"/>
  <c r="T79" i="72" s="1"/>
  <c r="U80" i="72" s="1"/>
  <c r="V81" i="72" s="1"/>
  <c r="W82" i="72" s="1"/>
  <c r="X83" i="72" s="1"/>
  <c r="Y84" i="72" s="1"/>
  <c r="Z85" i="72" s="1"/>
  <c r="AA86" i="72" s="1"/>
  <c r="AB87" i="72" s="1"/>
  <c r="AC88" i="72" s="1"/>
  <c r="AD89" i="72" s="1"/>
  <c r="AE90" i="72" s="1"/>
  <c r="AF91" i="72" s="1"/>
  <c r="AG92" i="72" s="1"/>
  <c r="AH93" i="72" s="1"/>
  <c r="AI94" i="72" s="1"/>
  <c r="E56" i="39"/>
  <c r="E124" i="38"/>
  <c r="E59" i="39"/>
  <c r="E60" i="39" s="1"/>
  <c r="F149" i="66"/>
  <c r="M4" i="58"/>
  <c r="E13" i="53"/>
  <c r="G252" i="72"/>
  <c r="H253" i="72" s="1"/>
  <c r="I254" i="72" s="1"/>
  <c r="J255" i="72" s="1"/>
  <c r="K256" i="72" s="1"/>
  <c r="L257" i="72" s="1"/>
  <c r="M258" i="72" s="1"/>
  <c r="N259" i="72" s="1"/>
  <c r="O260" i="72" s="1"/>
  <c r="P261" i="72" s="1"/>
  <c r="Q262" i="72" s="1"/>
  <c r="R263" i="72" s="1"/>
  <c r="S264" i="72" s="1"/>
  <c r="T265" i="72" s="1"/>
  <c r="U266" i="72" s="1"/>
  <c r="V267" i="72" s="1"/>
  <c r="W268" i="72" s="1"/>
  <c r="X269" i="72" s="1"/>
  <c r="Y270" i="72" s="1"/>
  <c r="Z271" i="72" s="1"/>
  <c r="AA272" i="72" s="1"/>
  <c r="AB273" i="72" s="1"/>
  <c r="AC274" i="72" s="1"/>
  <c r="AD275" i="72" s="1"/>
  <c r="AE276" i="72" s="1"/>
  <c r="AF277" i="72" s="1"/>
  <c r="AG278" i="72" s="1"/>
  <c r="AH279" i="72" s="1"/>
  <c r="AI280" i="72" s="1"/>
  <c r="G221" i="72"/>
  <c r="H222" i="72" s="1"/>
  <c r="I223" i="72" s="1"/>
  <c r="J224" i="72" s="1"/>
  <c r="K225" i="72" s="1"/>
  <c r="L226" i="72" s="1"/>
  <c r="M227" i="72" s="1"/>
  <c r="N228" i="72" s="1"/>
  <c r="O229" i="72" s="1"/>
  <c r="P230" i="72" s="1"/>
  <c r="Q231" i="72" s="1"/>
  <c r="R232" i="72" s="1"/>
  <c r="S233" i="72" s="1"/>
  <c r="T234" i="72" s="1"/>
  <c r="U235" i="72" s="1"/>
  <c r="V236" i="72" s="1"/>
  <c r="W237" i="72" s="1"/>
  <c r="X238" i="72" s="1"/>
  <c r="Y239" i="72" s="1"/>
  <c r="Z240" i="72" s="1"/>
  <c r="AA241" i="72" s="1"/>
  <c r="AB242" i="72" s="1"/>
  <c r="AC243" i="72" s="1"/>
  <c r="AD244" i="72" s="1"/>
  <c r="AE245" i="72" s="1"/>
  <c r="AF246" i="72" s="1"/>
  <c r="AG247" i="72" s="1"/>
  <c r="AH248" i="72" s="1"/>
  <c r="AI249" i="72" s="1"/>
  <c r="E7" i="53"/>
  <c r="F5" i="66"/>
  <c r="H4" i="41"/>
  <c r="K45" i="39" s="1"/>
  <c r="G283" i="72"/>
  <c r="H284" i="72" s="1"/>
  <c r="I285" i="72" s="1"/>
  <c r="J286" i="72" s="1"/>
  <c r="K287" i="72" s="1"/>
  <c r="L288" i="72" s="1"/>
  <c r="M289" i="72" s="1"/>
  <c r="N290" i="72" s="1"/>
  <c r="O291" i="72" s="1"/>
  <c r="P292" i="72" s="1"/>
  <c r="Q293" i="72" s="1"/>
  <c r="R294" i="72" s="1"/>
  <c r="S295" i="72" s="1"/>
  <c r="T296" i="72" s="1"/>
  <c r="U297" i="72" s="1"/>
  <c r="V298" i="72" s="1"/>
  <c r="W299" i="72" s="1"/>
  <c r="X300" i="72" s="1"/>
  <c r="Y301" i="72" s="1"/>
  <c r="Z302" i="72" s="1"/>
  <c r="AA303" i="72" s="1"/>
  <c r="AB304" i="72" s="1"/>
  <c r="AC305" i="72" s="1"/>
  <c r="AD306" i="72" s="1"/>
  <c r="AE307" i="72" s="1"/>
  <c r="AF308" i="72" s="1"/>
  <c r="AG309" i="72" s="1"/>
  <c r="AH310" i="72" s="1"/>
  <c r="AI311" i="72" s="1"/>
  <c r="G190" i="72"/>
  <c r="H191" i="72" s="1"/>
  <c r="I192" i="72" s="1"/>
  <c r="J193" i="72" s="1"/>
  <c r="K194" i="72" s="1"/>
  <c r="L195" i="72" s="1"/>
  <c r="M196" i="72" s="1"/>
  <c r="N197" i="72" s="1"/>
  <c r="O198" i="72" s="1"/>
  <c r="P199" i="72" s="1"/>
  <c r="Q200" i="72" s="1"/>
  <c r="R201" i="72" s="1"/>
  <c r="S202" i="72" s="1"/>
  <c r="T203" i="72" s="1"/>
  <c r="U204" i="72" s="1"/>
  <c r="V205" i="72" s="1"/>
  <c r="W206" i="72" s="1"/>
  <c r="X207" i="72" s="1"/>
  <c r="Y208" i="72" s="1"/>
  <c r="Z209" i="72" s="1"/>
  <c r="AA210" i="72" s="1"/>
  <c r="AB211" i="72" s="1"/>
  <c r="AC212" i="72" s="1"/>
  <c r="AD213" i="72" s="1"/>
  <c r="AE214" i="72" s="1"/>
  <c r="AF215" i="72" s="1"/>
  <c r="AG216" i="72" s="1"/>
  <c r="AH217" i="72" s="1"/>
  <c r="AI218" i="72" s="1"/>
  <c r="G128" i="72"/>
  <c r="H129" i="72" s="1"/>
  <c r="I130" i="72" s="1"/>
  <c r="J131" i="72" s="1"/>
  <c r="K132" i="72" s="1"/>
  <c r="L133" i="72" s="1"/>
  <c r="M134" i="72" s="1"/>
  <c r="N135" i="72" s="1"/>
  <c r="O136" i="72" s="1"/>
  <c r="P137" i="72" s="1"/>
  <c r="Q138" i="72" s="1"/>
  <c r="R139" i="72" s="1"/>
  <c r="S140" i="72" s="1"/>
  <c r="T141" i="72" s="1"/>
  <c r="U142" i="72" s="1"/>
  <c r="V143" i="72" s="1"/>
  <c r="W144" i="72" s="1"/>
  <c r="X145" i="72" s="1"/>
  <c r="Y146" i="72" s="1"/>
  <c r="Z147" i="72" s="1"/>
  <c r="AA148" i="72" s="1"/>
  <c r="AB149" i="72" s="1"/>
  <c r="AC150" i="72" s="1"/>
  <c r="AD151" i="72" s="1"/>
  <c r="AE152" i="72" s="1"/>
  <c r="AF153" i="72" s="1"/>
  <c r="AG154" i="72" s="1"/>
  <c r="AH155" i="72" s="1"/>
  <c r="AI156" i="72" s="1"/>
  <c r="G159" i="72"/>
  <c r="H160" i="72" s="1"/>
  <c r="I161" i="72" s="1"/>
  <c r="J162" i="72" s="1"/>
  <c r="K163" i="72" s="1"/>
  <c r="L164" i="72" s="1"/>
  <c r="M165" i="72" s="1"/>
  <c r="N166" i="72" s="1"/>
  <c r="O167" i="72" s="1"/>
  <c r="P168" i="72" s="1"/>
  <c r="Q169" i="72" s="1"/>
  <c r="R170" i="72" s="1"/>
  <c r="S171" i="72" s="1"/>
  <c r="T172" i="72" s="1"/>
  <c r="U173" i="72" s="1"/>
  <c r="V174" i="72" s="1"/>
  <c r="W175" i="72" s="1"/>
  <c r="X176" i="72" s="1"/>
  <c r="Y177" i="72" s="1"/>
  <c r="Z178" i="72" s="1"/>
  <c r="AA179" i="72" s="1"/>
  <c r="AB180" i="72" s="1"/>
  <c r="AC181" i="72" s="1"/>
  <c r="AD182" i="72" s="1"/>
  <c r="AE183" i="72" s="1"/>
  <c r="AF184" i="72" s="1"/>
  <c r="AG185" i="72" s="1"/>
  <c r="AH186" i="72" s="1"/>
  <c r="AI187" i="72" s="1"/>
  <c r="G35" i="72"/>
  <c r="H36" i="72" s="1"/>
  <c r="I37" i="72" s="1"/>
  <c r="J38" i="72" s="1"/>
  <c r="K39" i="72" s="1"/>
  <c r="L40" i="72" s="1"/>
  <c r="M41" i="72" s="1"/>
  <c r="N42" i="72" s="1"/>
  <c r="O43" i="72" s="1"/>
  <c r="P44" i="72" s="1"/>
  <c r="Q45" i="72" s="1"/>
  <c r="R46" i="72" s="1"/>
  <c r="S47" i="72" s="1"/>
  <c r="T48" i="72" s="1"/>
  <c r="U49" i="72" s="1"/>
  <c r="V50" i="72" s="1"/>
  <c r="W51" i="72" s="1"/>
  <c r="X52" i="72" s="1"/>
  <c r="Y53" i="72" s="1"/>
  <c r="Z54" i="72" s="1"/>
  <c r="AA55" i="72" s="1"/>
  <c r="AB56" i="72" s="1"/>
  <c r="AC57" i="72" s="1"/>
  <c r="AD58" i="72" s="1"/>
  <c r="AE59" i="72" s="1"/>
  <c r="AF60" i="72" s="1"/>
  <c r="AG61" i="72" s="1"/>
  <c r="AH62" i="72" s="1"/>
  <c r="AI63" i="72" s="1"/>
  <c r="L56" i="39" l="1"/>
  <c r="L59" i="39"/>
  <c r="L60" i="39" s="1"/>
  <c r="M59" i="39"/>
  <c r="M60" i="39" s="1"/>
  <c r="M56" i="39"/>
  <c r="E35" i="72"/>
  <c r="F35" i="72" s="1"/>
  <c r="G36" i="72" s="1"/>
  <c r="H37" i="72" s="1"/>
  <c r="I38" i="72" s="1"/>
  <c r="J39" i="72" s="1"/>
  <c r="K40" i="72" s="1"/>
  <c r="L41" i="72" s="1"/>
  <c r="M42" i="72" s="1"/>
  <c r="N43" i="72" s="1"/>
  <c r="O44" i="72" s="1"/>
  <c r="P45" i="72" s="1"/>
  <c r="Q46" i="72" s="1"/>
  <c r="R47" i="72" s="1"/>
  <c r="S48" i="72" s="1"/>
  <c r="T49" i="72" s="1"/>
  <c r="U50" i="72" s="1"/>
  <c r="V51" i="72" s="1"/>
  <c r="W52" i="72" s="1"/>
  <c r="X53" i="72" s="1"/>
  <c r="Y54" i="72" s="1"/>
  <c r="Z55" i="72" s="1"/>
  <c r="AA56" i="72" s="1"/>
  <c r="AB57" i="72" s="1"/>
  <c r="AC58" i="72" s="1"/>
  <c r="AD59" i="72" s="1"/>
  <c r="AE60" i="72" s="1"/>
  <c r="AF61" i="72" s="1"/>
  <c r="AG62" i="72" s="1"/>
  <c r="AH63" i="72" s="1"/>
  <c r="E159" i="72"/>
  <c r="F159" i="72" s="1"/>
  <c r="G160" i="72" s="1"/>
  <c r="H161" i="72" s="1"/>
  <c r="I162" i="72" s="1"/>
  <c r="J163" i="72" s="1"/>
  <c r="K164" i="72" s="1"/>
  <c r="L165" i="72" s="1"/>
  <c r="M166" i="72" s="1"/>
  <c r="N167" i="72" s="1"/>
  <c r="O168" i="72" s="1"/>
  <c r="P169" i="72" s="1"/>
  <c r="Q170" i="72" s="1"/>
  <c r="R171" i="72" s="1"/>
  <c r="S172" i="72" s="1"/>
  <c r="T173" i="72" s="1"/>
  <c r="U174" i="72" s="1"/>
  <c r="V175" i="72" s="1"/>
  <c r="W176" i="72" s="1"/>
  <c r="X177" i="72" s="1"/>
  <c r="Y178" i="72" s="1"/>
  <c r="Z179" i="72" s="1"/>
  <c r="AA180" i="72" s="1"/>
  <c r="AB181" i="72" s="1"/>
  <c r="AC182" i="72" s="1"/>
  <c r="AD183" i="72" s="1"/>
  <c r="AE184" i="72" s="1"/>
  <c r="AF185" i="72" s="1"/>
  <c r="AG186" i="72" s="1"/>
  <c r="AH187" i="72" s="1"/>
  <c r="E283" i="72"/>
  <c r="F283" i="72" s="1"/>
  <c r="E57" i="39"/>
  <c r="E58" i="39"/>
  <c r="E252" i="72"/>
  <c r="F252" i="72" s="1"/>
  <c r="E66" i="72"/>
  <c r="F66" i="72" s="1"/>
  <c r="E4" i="72"/>
  <c r="F4" i="72" s="1"/>
  <c r="M57" i="39"/>
  <c r="M58" i="39"/>
  <c r="J466" i="58"/>
  <c r="D37" i="53"/>
  <c r="F37" i="53" s="1"/>
  <c r="J245" i="66"/>
  <c r="J474" i="58"/>
  <c r="C45" i="39"/>
  <c r="L58" i="39"/>
  <c r="L57" i="39"/>
  <c r="K59" i="39"/>
  <c r="K60" i="39" s="1"/>
  <c r="K56" i="39"/>
  <c r="E141" i="38"/>
  <c r="E128" i="72"/>
  <c r="F128" i="72" s="1"/>
  <c r="I474" i="37"/>
  <c r="I466" i="37"/>
  <c r="J53" i="66"/>
  <c r="D19" i="53"/>
  <c r="F19" i="53" s="1"/>
  <c r="H25" i="53" s="1"/>
  <c r="D58" i="39"/>
  <c r="D57" i="39"/>
  <c r="J197" i="66"/>
  <c r="I466" i="58"/>
  <c r="I474" i="58"/>
  <c r="D25" i="53"/>
  <c r="F25" i="53" s="1"/>
  <c r="E190" i="72"/>
  <c r="F190" i="72" s="1"/>
  <c r="E221" i="72"/>
  <c r="F221" i="72" s="1"/>
  <c r="E97" i="72"/>
  <c r="F97" i="72" s="1"/>
  <c r="J474" i="37"/>
  <c r="J101" i="66"/>
  <c r="J466" i="37"/>
  <c r="D31" i="53"/>
  <c r="F31" i="53" s="1"/>
  <c r="H37" i="53" s="1"/>
  <c r="G284" i="72" l="1"/>
  <c r="H285" i="72" s="1"/>
  <c r="I286" i="72" s="1"/>
  <c r="J287" i="72" s="1"/>
  <c r="K288" i="72" s="1"/>
  <c r="L289" i="72" s="1"/>
  <c r="M290" i="72" s="1"/>
  <c r="N291" i="72" s="1"/>
  <c r="O292" i="72" s="1"/>
  <c r="P293" i="72" s="1"/>
  <c r="Q294" i="72" s="1"/>
  <c r="R295" i="72" s="1"/>
  <c r="S296" i="72" s="1"/>
  <c r="T297" i="72" s="1"/>
  <c r="U298" i="72" s="1"/>
  <c r="V299" i="72" s="1"/>
  <c r="W300" i="72" s="1"/>
  <c r="X301" i="72" s="1"/>
  <c r="Y302" i="72" s="1"/>
  <c r="Z303" i="72" s="1"/>
  <c r="AA304" i="72" s="1"/>
  <c r="AB305" i="72" s="1"/>
  <c r="AC306" i="72" s="1"/>
  <c r="AD307" i="72" s="1"/>
  <c r="AE308" i="72" s="1"/>
  <c r="AF309" i="72" s="1"/>
  <c r="AG310" i="72" s="1"/>
  <c r="AH311" i="72" s="1"/>
  <c r="G98" i="72"/>
  <c r="H99" i="72" s="1"/>
  <c r="I100" i="72" s="1"/>
  <c r="J101" i="72" s="1"/>
  <c r="K102" i="72" s="1"/>
  <c r="L103" i="72" s="1"/>
  <c r="M104" i="72" s="1"/>
  <c r="N105" i="72" s="1"/>
  <c r="O106" i="72" s="1"/>
  <c r="P107" i="72" s="1"/>
  <c r="Q108" i="72" s="1"/>
  <c r="R109" i="72" s="1"/>
  <c r="S110" i="72" s="1"/>
  <c r="T111" i="72" s="1"/>
  <c r="U112" i="72" s="1"/>
  <c r="V113" i="72" s="1"/>
  <c r="W114" i="72" s="1"/>
  <c r="X115" i="72" s="1"/>
  <c r="Y116" i="72" s="1"/>
  <c r="Z117" i="72" s="1"/>
  <c r="AA118" i="72" s="1"/>
  <c r="AB119" i="72" s="1"/>
  <c r="AC120" i="72" s="1"/>
  <c r="AD121" i="72" s="1"/>
  <c r="AE122" i="72" s="1"/>
  <c r="AF123" i="72" s="1"/>
  <c r="AG124" i="72" s="1"/>
  <c r="AH125" i="72" s="1"/>
  <c r="S197" i="66"/>
  <c r="W197" i="66"/>
  <c r="G129" i="72"/>
  <c r="H130" i="72" s="1"/>
  <c r="I131" i="72" s="1"/>
  <c r="J132" i="72" s="1"/>
  <c r="K133" i="72" s="1"/>
  <c r="L134" i="72" s="1"/>
  <c r="M135" i="72" s="1"/>
  <c r="N136" i="72" s="1"/>
  <c r="O137" i="72" s="1"/>
  <c r="P138" i="72" s="1"/>
  <c r="Q139" i="72" s="1"/>
  <c r="R140" i="72" s="1"/>
  <c r="S141" i="72" s="1"/>
  <c r="T142" i="72" s="1"/>
  <c r="U143" i="72" s="1"/>
  <c r="V144" i="72" s="1"/>
  <c r="W145" i="72" s="1"/>
  <c r="X146" i="72" s="1"/>
  <c r="Y147" i="72" s="1"/>
  <c r="Z148" i="72" s="1"/>
  <c r="AA149" i="72" s="1"/>
  <c r="AB150" i="72" s="1"/>
  <c r="AC151" i="72" s="1"/>
  <c r="AD152" i="72" s="1"/>
  <c r="AE153" i="72" s="1"/>
  <c r="AF154" i="72" s="1"/>
  <c r="AG155" i="72" s="1"/>
  <c r="AH156" i="72" s="1"/>
  <c r="F247" i="66"/>
  <c r="J479" i="58"/>
  <c r="G253" i="72"/>
  <c r="H254" i="72" s="1"/>
  <c r="I255" i="72" s="1"/>
  <c r="J256" i="72" s="1"/>
  <c r="K257" i="72" s="1"/>
  <c r="L258" i="72" s="1"/>
  <c r="M259" i="72" s="1"/>
  <c r="N260" i="72" s="1"/>
  <c r="O261" i="72" s="1"/>
  <c r="P262" i="72" s="1"/>
  <c r="Q263" i="72" s="1"/>
  <c r="R264" i="72" s="1"/>
  <c r="S265" i="72" s="1"/>
  <c r="T266" i="72" s="1"/>
  <c r="U267" i="72" s="1"/>
  <c r="V268" i="72" s="1"/>
  <c r="W269" i="72" s="1"/>
  <c r="X270" i="72" s="1"/>
  <c r="Y271" i="72" s="1"/>
  <c r="Z272" i="72" s="1"/>
  <c r="AA273" i="72" s="1"/>
  <c r="AB274" i="72" s="1"/>
  <c r="AC275" i="72" s="1"/>
  <c r="AD276" i="72" s="1"/>
  <c r="AE277" i="72" s="1"/>
  <c r="AF278" i="72" s="1"/>
  <c r="AG279" i="72" s="1"/>
  <c r="AH280" i="72" s="1"/>
  <c r="I489" i="58"/>
  <c r="F198" i="66"/>
  <c r="G67" i="72"/>
  <c r="H68" i="72" s="1"/>
  <c r="I69" i="72" s="1"/>
  <c r="J70" i="72" s="1"/>
  <c r="K71" i="72" s="1"/>
  <c r="L72" i="72" s="1"/>
  <c r="M73" i="72" s="1"/>
  <c r="N74" i="72" s="1"/>
  <c r="O75" i="72" s="1"/>
  <c r="P76" i="72" s="1"/>
  <c r="Q77" i="72" s="1"/>
  <c r="R78" i="72" s="1"/>
  <c r="S79" i="72" s="1"/>
  <c r="T80" i="72" s="1"/>
  <c r="U81" i="72" s="1"/>
  <c r="V82" i="72" s="1"/>
  <c r="W83" i="72" s="1"/>
  <c r="X84" i="72" s="1"/>
  <c r="Y85" i="72" s="1"/>
  <c r="Z86" i="72" s="1"/>
  <c r="AA87" i="72" s="1"/>
  <c r="AB88" i="72" s="1"/>
  <c r="AC89" i="72" s="1"/>
  <c r="AD90" i="72" s="1"/>
  <c r="AE91" i="72" s="1"/>
  <c r="AF92" i="72" s="1"/>
  <c r="AG93" i="72" s="1"/>
  <c r="AH94" i="72" s="1"/>
  <c r="G222" i="72"/>
  <c r="H223" i="72" s="1"/>
  <c r="I224" i="72" s="1"/>
  <c r="J225" i="72" s="1"/>
  <c r="K226" i="72" s="1"/>
  <c r="L227" i="72" s="1"/>
  <c r="M228" i="72" s="1"/>
  <c r="N229" i="72" s="1"/>
  <c r="O230" i="72" s="1"/>
  <c r="P231" i="72" s="1"/>
  <c r="Q232" i="72" s="1"/>
  <c r="R233" i="72" s="1"/>
  <c r="S234" i="72" s="1"/>
  <c r="T235" i="72" s="1"/>
  <c r="U236" i="72" s="1"/>
  <c r="V237" i="72" s="1"/>
  <c r="W238" i="72" s="1"/>
  <c r="X239" i="72" s="1"/>
  <c r="Y240" i="72" s="1"/>
  <c r="Z241" i="72" s="1"/>
  <c r="AA242" i="72" s="1"/>
  <c r="AB243" i="72" s="1"/>
  <c r="AC244" i="72" s="1"/>
  <c r="AD245" i="72" s="1"/>
  <c r="AE246" i="72" s="1"/>
  <c r="AF247" i="72" s="1"/>
  <c r="AG248" i="72" s="1"/>
  <c r="AH249" i="72" s="1"/>
  <c r="S245" i="66"/>
  <c r="W245" i="66"/>
  <c r="J466" i="41"/>
  <c r="F102" i="66"/>
  <c r="J489" i="37"/>
  <c r="G191" i="72"/>
  <c r="H192" i="72" s="1"/>
  <c r="I193" i="72" s="1"/>
  <c r="J194" i="72" s="1"/>
  <c r="K195" i="72" s="1"/>
  <c r="L196" i="72" s="1"/>
  <c r="M197" i="72" s="1"/>
  <c r="N198" i="72" s="1"/>
  <c r="O199" i="72" s="1"/>
  <c r="P200" i="72" s="1"/>
  <c r="Q201" i="72" s="1"/>
  <c r="R202" i="72" s="1"/>
  <c r="S203" i="72" s="1"/>
  <c r="T204" i="72" s="1"/>
  <c r="U205" i="72" s="1"/>
  <c r="V206" i="72" s="1"/>
  <c r="W207" i="72" s="1"/>
  <c r="X208" i="72" s="1"/>
  <c r="Y209" i="72" s="1"/>
  <c r="Z210" i="72" s="1"/>
  <c r="AA211" i="72" s="1"/>
  <c r="AB212" i="72" s="1"/>
  <c r="AC213" i="72" s="1"/>
  <c r="AD214" i="72" s="1"/>
  <c r="AE215" i="72" s="1"/>
  <c r="AF216" i="72" s="1"/>
  <c r="AG217" i="72" s="1"/>
  <c r="AH218" i="72" s="1"/>
  <c r="J149" i="66"/>
  <c r="H474" i="58"/>
  <c r="D13" i="53"/>
  <c r="F13" i="53" s="1"/>
  <c r="H7" i="53" s="1"/>
  <c r="H466" i="58"/>
  <c r="H31" i="53"/>
  <c r="G31" i="53" s="1"/>
  <c r="G37" i="53"/>
  <c r="C56" i="39"/>
  <c r="C59" i="39"/>
  <c r="C60" i="39" s="1"/>
  <c r="E90" i="38"/>
  <c r="S101" i="66"/>
  <c r="W101" i="66"/>
  <c r="K57" i="39"/>
  <c r="K58" i="39"/>
  <c r="F246" i="66"/>
  <c r="J489" i="58"/>
  <c r="E36" i="72"/>
  <c r="F36" i="72" s="1"/>
  <c r="J474" i="41"/>
  <c r="J479" i="37"/>
  <c r="F103" i="66"/>
  <c r="S53" i="66"/>
  <c r="W53" i="66"/>
  <c r="H19" i="53"/>
  <c r="G19" i="53" s="1"/>
  <c r="G25" i="53"/>
  <c r="I466" i="41"/>
  <c r="F54" i="66"/>
  <c r="I489" i="37"/>
  <c r="E160" i="72"/>
  <c r="F160" i="72" s="1"/>
  <c r="F199" i="66"/>
  <c r="I479" i="58"/>
  <c r="F55" i="66"/>
  <c r="I479" i="37"/>
  <c r="I474" i="41"/>
  <c r="G5" i="72"/>
  <c r="H6" i="72" s="1"/>
  <c r="I7" i="72" s="1"/>
  <c r="J8" i="72" s="1"/>
  <c r="K9" i="72" s="1"/>
  <c r="L10" i="72" s="1"/>
  <c r="M11" i="72" s="1"/>
  <c r="N12" i="72" s="1"/>
  <c r="O13" i="72" s="1"/>
  <c r="P14" i="72" s="1"/>
  <c r="Q15" i="72" s="1"/>
  <c r="R16" i="72" s="1"/>
  <c r="S17" i="72" s="1"/>
  <c r="T18" i="72" s="1"/>
  <c r="U19" i="72" s="1"/>
  <c r="V20" i="72" s="1"/>
  <c r="W21" i="72" s="1"/>
  <c r="X22" i="72" s="1"/>
  <c r="Y23" i="72" s="1"/>
  <c r="Z24" i="72" s="1"/>
  <c r="AA25" i="72" s="1"/>
  <c r="AB26" i="72" s="1"/>
  <c r="AC27" i="72" s="1"/>
  <c r="AD28" i="72" s="1"/>
  <c r="AE29" i="72" s="1"/>
  <c r="AF30" i="72" s="1"/>
  <c r="AG31" i="72" s="1"/>
  <c r="AH32" i="72" s="1"/>
  <c r="I489" i="41" l="1"/>
  <c r="E284" i="72"/>
  <c r="F284" i="72" s="1"/>
  <c r="G285" i="72" s="1"/>
  <c r="H286" i="72" s="1"/>
  <c r="I287" i="72" s="1"/>
  <c r="J288" i="72" s="1"/>
  <c r="K289" i="72" s="1"/>
  <c r="L290" i="72" s="1"/>
  <c r="M291" i="72" s="1"/>
  <c r="N292" i="72" s="1"/>
  <c r="O293" i="72" s="1"/>
  <c r="P294" i="72" s="1"/>
  <c r="Q295" i="72" s="1"/>
  <c r="R296" i="72" s="1"/>
  <c r="S297" i="72" s="1"/>
  <c r="T298" i="72" s="1"/>
  <c r="U299" i="72" s="1"/>
  <c r="V300" i="72" s="1"/>
  <c r="W301" i="72" s="1"/>
  <c r="X302" i="72" s="1"/>
  <c r="Y303" i="72" s="1"/>
  <c r="Z304" i="72" s="1"/>
  <c r="AA305" i="72" s="1"/>
  <c r="AB306" i="72" s="1"/>
  <c r="AC307" i="72" s="1"/>
  <c r="AD308" i="72" s="1"/>
  <c r="AE309" i="72" s="1"/>
  <c r="AF310" i="72" s="1"/>
  <c r="AG311" i="72" s="1"/>
  <c r="I480" i="58"/>
  <c r="E379" i="38" s="1"/>
  <c r="K218" i="66" s="1"/>
  <c r="N218" i="66" s="1"/>
  <c r="E378" i="38"/>
  <c r="K199" i="66" s="1"/>
  <c r="N199" i="66" s="1"/>
  <c r="J5" i="66"/>
  <c r="H474" i="37"/>
  <c r="H466" i="37"/>
  <c r="D7" i="53"/>
  <c r="F7" i="53" s="1"/>
  <c r="S149" i="66"/>
  <c r="W149" i="66"/>
  <c r="E67" i="72"/>
  <c r="F67" i="72" s="1"/>
  <c r="E129" i="72"/>
  <c r="F129" i="72" s="1"/>
  <c r="L246" i="66"/>
  <c r="P246" i="66" s="1"/>
  <c r="E191" i="72"/>
  <c r="F191" i="72" s="1"/>
  <c r="G161" i="72"/>
  <c r="H162" i="72" s="1"/>
  <c r="I163" i="72" s="1"/>
  <c r="J164" i="72" s="1"/>
  <c r="K165" i="72" s="1"/>
  <c r="L166" i="72" s="1"/>
  <c r="M167" i="72" s="1"/>
  <c r="N168" i="72" s="1"/>
  <c r="O169" i="72" s="1"/>
  <c r="P170" i="72" s="1"/>
  <c r="Q171" i="72" s="1"/>
  <c r="R172" i="72" s="1"/>
  <c r="S173" i="72" s="1"/>
  <c r="T174" i="72" s="1"/>
  <c r="U175" i="72" s="1"/>
  <c r="V176" i="72" s="1"/>
  <c r="W177" i="72" s="1"/>
  <c r="X178" i="72" s="1"/>
  <c r="Y179" i="72" s="1"/>
  <c r="Z180" i="72" s="1"/>
  <c r="AA181" i="72" s="1"/>
  <c r="AB182" i="72" s="1"/>
  <c r="AC183" i="72" s="1"/>
  <c r="AD184" i="72" s="1"/>
  <c r="AE185" i="72" s="1"/>
  <c r="AF186" i="72" s="1"/>
  <c r="AG187" i="72" s="1"/>
  <c r="C58" i="39"/>
  <c r="C57" i="39"/>
  <c r="L198" i="66"/>
  <c r="P198" i="66" s="1"/>
  <c r="E5" i="72"/>
  <c r="F5" i="72" s="1"/>
  <c r="E343" i="38"/>
  <c r="E349" i="38"/>
  <c r="M245" i="66" s="1"/>
  <c r="J489" i="41"/>
  <c r="L54" i="66"/>
  <c r="P54" i="66" s="1"/>
  <c r="E331" i="38"/>
  <c r="E337" i="38"/>
  <c r="L102" i="66"/>
  <c r="P102" i="66" s="1"/>
  <c r="E253" i="72"/>
  <c r="F253" i="72" s="1"/>
  <c r="J479" i="41"/>
  <c r="E366" i="38"/>
  <c r="K103" i="66" s="1"/>
  <c r="N103" i="66" s="1"/>
  <c r="J480" i="37"/>
  <c r="H489" i="58"/>
  <c r="F150" i="66"/>
  <c r="E360" i="38"/>
  <c r="K55" i="66" s="1"/>
  <c r="N55" i="66" s="1"/>
  <c r="I479" i="41"/>
  <c r="I480" i="37"/>
  <c r="E319" i="38"/>
  <c r="E325" i="38"/>
  <c r="M197" i="66" s="1"/>
  <c r="E222" i="72"/>
  <c r="F222" i="72" s="1"/>
  <c r="J480" i="58"/>
  <c r="E385" i="38" s="1"/>
  <c r="K266" i="66" s="1"/>
  <c r="N266" i="66" s="1"/>
  <c r="E384" i="38"/>
  <c r="K247" i="66" s="1"/>
  <c r="N247" i="66" s="1"/>
  <c r="E98" i="72"/>
  <c r="F98" i="72" s="1"/>
  <c r="E307" i="38"/>
  <c r="E313" i="38"/>
  <c r="G37" i="72"/>
  <c r="H38" i="72" s="1"/>
  <c r="I39" i="72" s="1"/>
  <c r="J40" i="72" s="1"/>
  <c r="K41" i="72" s="1"/>
  <c r="L42" i="72" s="1"/>
  <c r="M43" i="72" s="1"/>
  <c r="N44" i="72" s="1"/>
  <c r="O45" i="72" s="1"/>
  <c r="P46" i="72" s="1"/>
  <c r="Q47" i="72" s="1"/>
  <c r="R48" i="72" s="1"/>
  <c r="S49" i="72" s="1"/>
  <c r="T50" i="72" s="1"/>
  <c r="U51" i="72" s="1"/>
  <c r="V52" i="72" s="1"/>
  <c r="W53" i="72" s="1"/>
  <c r="X54" i="72" s="1"/>
  <c r="Y55" i="72" s="1"/>
  <c r="Z56" i="72" s="1"/>
  <c r="AA57" i="72" s="1"/>
  <c r="AB58" i="72" s="1"/>
  <c r="AC59" i="72" s="1"/>
  <c r="AD60" i="72" s="1"/>
  <c r="AE61" i="72" s="1"/>
  <c r="AF62" i="72" s="1"/>
  <c r="AG63" i="72" s="1"/>
  <c r="F151" i="66"/>
  <c r="H479" i="58"/>
  <c r="N54" i="66" l="1"/>
  <c r="E285" i="72"/>
  <c r="F285" i="72" s="1"/>
  <c r="G286" i="72" s="1"/>
  <c r="H287" i="72" s="1"/>
  <c r="I288" i="72" s="1"/>
  <c r="J289" i="72" s="1"/>
  <c r="K290" i="72" s="1"/>
  <c r="L291" i="72" s="1"/>
  <c r="M292" i="72" s="1"/>
  <c r="N293" i="72" s="1"/>
  <c r="O294" i="72" s="1"/>
  <c r="P295" i="72" s="1"/>
  <c r="Q296" i="72" s="1"/>
  <c r="R297" i="72" s="1"/>
  <c r="S298" i="72" s="1"/>
  <c r="T299" i="72" s="1"/>
  <c r="U300" i="72" s="1"/>
  <c r="V301" i="72" s="1"/>
  <c r="W302" i="72" s="1"/>
  <c r="X303" i="72" s="1"/>
  <c r="Y304" i="72" s="1"/>
  <c r="Z305" i="72" s="1"/>
  <c r="AA306" i="72" s="1"/>
  <c r="AB307" i="72" s="1"/>
  <c r="AC308" i="72" s="1"/>
  <c r="AD309" i="72" s="1"/>
  <c r="AE310" i="72" s="1"/>
  <c r="AF311" i="72" s="1"/>
  <c r="E37" i="72"/>
  <c r="F37" i="72" s="1"/>
  <c r="G38" i="72" s="1"/>
  <c r="H39" i="72" s="1"/>
  <c r="I40" i="72" s="1"/>
  <c r="J41" i="72" s="1"/>
  <c r="K42" i="72" s="1"/>
  <c r="L43" i="72" s="1"/>
  <c r="M44" i="72" s="1"/>
  <c r="N45" i="72" s="1"/>
  <c r="O46" i="72" s="1"/>
  <c r="P47" i="72" s="1"/>
  <c r="Q48" i="72" s="1"/>
  <c r="R49" i="72" s="1"/>
  <c r="S50" i="72" s="1"/>
  <c r="T51" i="72" s="1"/>
  <c r="U52" i="72" s="1"/>
  <c r="V53" i="72" s="1"/>
  <c r="W54" i="72" s="1"/>
  <c r="X55" i="72" s="1"/>
  <c r="Y56" i="72" s="1"/>
  <c r="Z57" i="72" s="1"/>
  <c r="AA58" i="72" s="1"/>
  <c r="AB59" i="72" s="1"/>
  <c r="AC60" i="72" s="1"/>
  <c r="AD61" i="72" s="1"/>
  <c r="AE62" i="72" s="1"/>
  <c r="AF63" i="72" s="1"/>
  <c r="E161" i="72"/>
  <c r="F161" i="72" s="1"/>
  <c r="G162" i="72" s="1"/>
  <c r="H163" i="72" s="1"/>
  <c r="I164" i="72" s="1"/>
  <c r="J165" i="72" s="1"/>
  <c r="K166" i="72" s="1"/>
  <c r="L167" i="72" s="1"/>
  <c r="M168" i="72" s="1"/>
  <c r="N169" i="72" s="1"/>
  <c r="O170" i="72" s="1"/>
  <c r="P171" i="72" s="1"/>
  <c r="Q172" i="72" s="1"/>
  <c r="R173" i="72" s="1"/>
  <c r="S174" i="72" s="1"/>
  <c r="T175" i="72" s="1"/>
  <c r="U176" i="72" s="1"/>
  <c r="V177" i="72" s="1"/>
  <c r="W178" i="72" s="1"/>
  <c r="X179" i="72" s="1"/>
  <c r="Y180" i="72" s="1"/>
  <c r="Z181" i="72" s="1"/>
  <c r="AA182" i="72" s="1"/>
  <c r="AB183" i="72" s="1"/>
  <c r="AC184" i="72" s="1"/>
  <c r="AD185" i="72" s="1"/>
  <c r="AE186" i="72" s="1"/>
  <c r="AF187" i="72" s="1"/>
  <c r="N246" i="66"/>
  <c r="L150" i="66"/>
  <c r="P150" i="66" s="1"/>
  <c r="V150" i="66" s="1"/>
  <c r="X150" i="66" s="1"/>
  <c r="G6" i="72"/>
  <c r="H7" i="72" s="1"/>
  <c r="I8" i="72" s="1"/>
  <c r="J9" i="72" s="1"/>
  <c r="K10" i="72" s="1"/>
  <c r="L11" i="72" s="1"/>
  <c r="M12" i="72" s="1"/>
  <c r="N13" i="72" s="1"/>
  <c r="O14" i="72" s="1"/>
  <c r="P15" i="72" s="1"/>
  <c r="Q16" i="72" s="1"/>
  <c r="R17" i="72" s="1"/>
  <c r="S18" i="72" s="1"/>
  <c r="T19" i="72" s="1"/>
  <c r="U20" i="72" s="1"/>
  <c r="V21" i="72" s="1"/>
  <c r="W22" i="72" s="1"/>
  <c r="X23" i="72" s="1"/>
  <c r="Y24" i="72" s="1"/>
  <c r="Z25" i="72" s="1"/>
  <c r="AA26" i="72" s="1"/>
  <c r="AB27" i="72" s="1"/>
  <c r="AC28" i="72" s="1"/>
  <c r="AD29" i="72" s="1"/>
  <c r="AE30" i="72" s="1"/>
  <c r="AF31" i="72" s="1"/>
  <c r="AG32" i="72" s="1"/>
  <c r="E372" i="38"/>
  <c r="K151" i="66" s="1"/>
  <c r="N151" i="66" s="1"/>
  <c r="H480" i="58"/>
  <c r="E373" i="38" s="1"/>
  <c r="K170" i="66" s="1"/>
  <c r="N170" i="66" s="1"/>
  <c r="D20" i="8"/>
  <c r="M101" i="66"/>
  <c r="G18" i="39" s="1"/>
  <c r="N198" i="66"/>
  <c r="E367" i="38"/>
  <c r="K122" i="66" s="1"/>
  <c r="N122" i="66" s="1"/>
  <c r="J480" i="41"/>
  <c r="L101" i="66"/>
  <c r="J486" i="37"/>
  <c r="G130" i="72"/>
  <c r="H131" i="72" s="1"/>
  <c r="I132" i="72" s="1"/>
  <c r="J133" i="72" s="1"/>
  <c r="K134" i="72" s="1"/>
  <c r="L135" i="72" s="1"/>
  <c r="M136" i="72" s="1"/>
  <c r="N137" i="72" s="1"/>
  <c r="O138" i="72" s="1"/>
  <c r="P139" i="72" s="1"/>
  <c r="Q140" i="72" s="1"/>
  <c r="R141" i="72" s="1"/>
  <c r="S142" i="72" s="1"/>
  <c r="T143" i="72" s="1"/>
  <c r="U144" i="72" s="1"/>
  <c r="V145" i="72" s="1"/>
  <c r="W146" i="72" s="1"/>
  <c r="X147" i="72" s="1"/>
  <c r="Y148" i="72" s="1"/>
  <c r="Z149" i="72" s="1"/>
  <c r="AA150" i="72" s="1"/>
  <c r="AB151" i="72" s="1"/>
  <c r="AC152" i="72" s="1"/>
  <c r="AD153" i="72" s="1"/>
  <c r="AE154" i="72" s="1"/>
  <c r="AF155" i="72" s="1"/>
  <c r="AG156" i="72" s="1"/>
  <c r="G7" i="53"/>
  <c r="H13" i="53"/>
  <c r="G13" i="53" s="1"/>
  <c r="Y247" i="66"/>
  <c r="Z103" i="66"/>
  <c r="Y103" i="66"/>
  <c r="Z247" i="66"/>
  <c r="G68" i="72"/>
  <c r="H69" i="72" s="1"/>
  <c r="I70" i="72" s="1"/>
  <c r="J71" i="72" s="1"/>
  <c r="K72" i="72" s="1"/>
  <c r="L73" i="72" s="1"/>
  <c r="M74" i="72" s="1"/>
  <c r="N75" i="72" s="1"/>
  <c r="O76" i="72" s="1"/>
  <c r="P77" i="72" s="1"/>
  <c r="Q78" i="72" s="1"/>
  <c r="R79" i="72" s="1"/>
  <c r="S80" i="72" s="1"/>
  <c r="T81" i="72" s="1"/>
  <c r="U82" i="72" s="1"/>
  <c r="V83" i="72" s="1"/>
  <c r="W84" i="72" s="1"/>
  <c r="X85" i="72" s="1"/>
  <c r="Y86" i="72" s="1"/>
  <c r="Z87" i="72" s="1"/>
  <c r="AA88" i="72" s="1"/>
  <c r="AB89" i="72" s="1"/>
  <c r="AC90" i="72" s="1"/>
  <c r="AD91" i="72" s="1"/>
  <c r="AE92" i="72" s="1"/>
  <c r="AF93" i="72" s="1"/>
  <c r="AG94" i="72" s="1"/>
  <c r="F6" i="66"/>
  <c r="H466" i="41"/>
  <c r="H489" i="37"/>
  <c r="H489" i="41" s="1"/>
  <c r="G223" i="72"/>
  <c r="H224" i="72" s="1"/>
  <c r="I225" i="72" s="1"/>
  <c r="J226" i="72" s="1"/>
  <c r="K227" i="72" s="1"/>
  <c r="L228" i="72" s="1"/>
  <c r="M229" i="72" s="1"/>
  <c r="N230" i="72" s="1"/>
  <c r="O231" i="72" s="1"/>
  <c r="P232" i="72" s="1"/>
  <c r="Q233" i="72" s="1"/>
  <c r="R234" i="72" s="1"/>
  <c r="S235" i="72" s="1"/>
  <c r="T236" i="72" s="1"/>
  <c r="U237" i="72" s="1"/>
  <c r="V238" i="72" s="1"/>
  <c r="W239" i="72" s="1"/>
  <c r="X240" i="72" s="1"/>
  <c r="Y241" i="72" s="1"/>
  <c r="Z242" i="72" s="1"/>
  <c r="AA243" i="72" s="1"/>
  <c r="AB244" i="72" s="1"/>
  <c r="AC245" i="72" s="1"/>
  <c r="AD246" i="72" s="1"/>
  <c r="AE247" i="72" s="1"/>
  <c r="AF248" i="72" s="1"/>
  <c r="AG249" i="72" s="1"/>
  <c r="I486" i="58"/>
  <c r="L197" i="66"/>
  <c r="H474" i="41"/>
  <c r="H479" i="37"/>
  <c r="F7" i="66"/>
  <c r="M53" i="66"/>
  <c r="F18" i="39" s="1"/>
  <c r="C20" i="8"/>
  <c r="E361" i="38"/>
  <c r="K74" i="66" s="1"/>
  <c r="N74" i="66" s="1"/>
  <c r="I480" i="41"/>
  <c r="S5" i="66"/>
  <c r="W5" i="66"/>
  <c r="L53" i="66"/>
  <c r="I486" i="37"/>
  <c r="G254" i="72"/>
  <c r="H255" i="72" s="1"/>
  <c r="I256" i="72" s="1"/>
  <c r="J257" i="72" s="1"/>
  <c r="K258" i="72" s="1"/>
  <c r="L259" i="72" s="1"/>
  <c r="M260" i="72" s="1"/>
  <c r="N261" i="72" s="1"/>
  <c r="O262" i="72" s="1"/>
  <c r="P263" i="72" s="1"/>
  <c r="Q264" i="72" s="1"/>
  <c r="R265" i="72" s="1"/>
  <c r="S266" i="72" s="1"/>
  <c r="T267" i="72" s="1"/>
  <c r="U268" i="72" s="1"/>
  <c r="V269" i="72" s="1"/>
  <c r="W270" i="72" s="1"/>
  <c r="X271" i="72" s="1"/>
  <c r="Y272" i="72" s="1"/>
  <c r="Z273" i="72" s="1"/>
  <c r="AA274" i="72" s="1"/>
  <c r="AB275" i="72" s="1"/>
  <c r="AC276" i="72" s="1"/>
  <c r="AD277" i="72" s="1"/>
  <c r="AE278" i="72" s="1"/>
  <c r="AF279" i="72" s="1"/>
  <c r="AG280" i="72" s="1"/>
  <c r="G99" i="72"/>
  <c r="H100" i="72" s="1"/>
  <c r="I101" i="72" s="1"/>
  <c r="J102" i="72" s="1"/>
  <c r="K103" i="72" s="1"/>
  <c r="L104" i="72" s="1"/>
  <c r="M105" i="72" s="1"/>
  <c r="N106" i="72" s="1"/>
  <c r="O107" i="72" s="1"/>
  <c r="P108" i="72" s="1"/>
  <c r="Q109" i="72" s="1"/>
  <c r="R110" i="72" s="1"/>
  <c r="S111" i="72" s="1"/>
  <c r="T112" i="72" s="1"/>
  <c r="U113" i="72" s="1"/>
  <c r="V114" i="72" s="1"/>
  <c r="W115" i="72" s="1"/>
  <c r="X116" i="72" s="1"/>
  <c r="Y117" i="72" s="1"/>
  <c r="Z118" i="72" s="1"/>
  <c r="AA119" i="72" s="1"/>
  <c r="AB120" i="72" s="1"/>
  <c r="AC121" i="72" s="1"/>
  <c r="AD122" i="72" s="1"/>
  <c r="AE123" i="72" s="1"/>
  <c r="AF124" i="72" s="1"/>
  <c r="AG125" i="72" s="1"/>
  <c r="Y199" i="66"/>
  <c r="Z199" i="66"/>
  <c r="Y55" i="66"/>
  <c r="Z55" i="66"/>
  <c r="N102" i="66"/>
  <c r="J486" i="58"/>
  <c r="L245" i="66"/>
  <c r="G192" i="72"/>
  <c r="H193" i="72" s="1"/>
  <c r="I194" i="72" s="1"/>
  <c r="J195" i="72" s="1"/>
  <c r="K196" i="72" s="1"/>
  <c r="L197" i="72" s="1"/>
  <c r="M198" i="72" s="1"/>
  <c r="N199" i="72" s="1"/>
  <c r="O200" i="72" s="1"/>
  <c r="P201" i="72" s="1"/>
  <c r="Q202" i="72" s="1"/>
  <c r="R203" i="72" s="1"/>
  <c r="S204" i="72" s="1"/>
  <c r="T205" i="72" s="1"/>
  <c r="U206" i="72" s="1"/>
  <c r="V207" i="72" s="1"/>
  <c r="W208" i="72" s="1"/>
  <c r="X209" i="72" s="1"/>
  <c r="Y210" i="72" s="1"/>
  <c r="Z211" i="72" s="1"/>
  <c r="AA212" i="72" s="1"/>
  <c r="AB213" i="72" s="1"/>
  <c r="AC214" i="72" s="1"/>
  <c r="AD215" i="72" s="1"/>
  <c r="AE216" i="72" s="1"/>
  <c r="AF217" i="72" s="1"/>
  <c r="AG218" i="72" s="1"/>
  <c r="O198" i="66" l="1"/>
  <c r="V198" i="66" s="1"/>
  <c r="X198" i="66" s="1"/>
  <c r="Y198" i="66"/>
  <c r="O54" i="66"/>
  <c r="U54" i="66" s="1"/>
  <c r="E68" i="72"/>
  <c r="F68" i="72" s="1"/>
  <c r="G69" i="72" s="1"/>
  <c r="H70" i="72" s="1"/>
  <c r="I71" i="72" s="1"/>
  <c r="J72" i="72" s="1"/>
  <c r="K73" i="72" s="1"/>
  <c r="L74" i="72" s="1"/>
  <c r="M75" i="72" s="1"/>
  <c r="N76" i="72" s="1"/>
  <c r="O77" i="72" s="1"/>
  <c r="P78" i="72" s="1"/>
  <c r="Q79" i="72" s="1"/>
  <c r="R80" i="72" s="1"/>
  <c r="S81" i="72" s="1"/>
  <c r="T82" i="72" s="1"/>
  <c r="U83" i="72" s="1"/>
  <c r="V84" i="72" s="1"/>
  <c r="W85" i="72" s="1"/>
  <c r="X86" i="72" s="1"/>
  <c r="Y87" i="72" s="1"/>
  <c r="Z88" i="72" s="1"/>
  <c r="AA89" i="72" s="1"/>
  <c r="AB90" i="72" s="1"/>
  <c r="AC91" i="72" s="1"/>
  <c r="AD92" i="72" s="1"/>
  <c r="AE93" i="72" s="1"/>
  <c r="AF94" i="72" s="1"/>
  <c r="Y54" i="66"/>
  <c r="I486" i="41"/>
  <c r="E6" i="72"/>
  <c r="F6" i="72" s="1"/>
  <c r="G7" i="72" s="1"/>
  <c r="H8" i="72" s="1"/>
  <c r="I9" i="72" s="1"/>
  <c r="J10" i="72" s="1"/>
  <c r="K11" i="72" s="1"/>
  <c r="L12" i="72" s="1"/>
  <c r="M13" i="72" s="1"/>
  <c r="N14" i="72" s="1"/>
  <c r="O15" i="72" s="1"/>
  <c r="P16" i="72" s="1"/>
  <c r="Q17" i="72" s="1"/>
  <c r="R18" i="72" s="1"/>
  <c r="S19" i="72" s="1"/>
  <c r="T20" i="72" s="1"/>
  <c r="U21" i="72" s="1"/>
  <c r="V22" i="72" s="1"/>
  <c r="W23" i="72" s="1"/>
  <c r="X24" i="72" s="1"/>
  <c r="Y25" i="72" s="1"/>
  <c r="Z26" i="72" s="1"/>
  <c r="AA27" i="72" s="1"/>
  <c r="AB28" i="72" s="1"/>
  <c r="AC29" i="72" s="1"/>
  <c r="AD30" i="72" s="1"/>
  <c r="AE31" i="72" s="1"/>
  <c r="AF32" i="72" s="1"/>
  <c r="E192" i="72"/>
  <c r="F192" i="72" s="1"/>
  <c r="G193" i="72" s="1"/>
  <c r="H194" i="72" s="1"/>
  <c r="I195" i="72" s="1"/>
  <c r="J196" i="72" s="1"/>
  <c r="K197" i="72" s="1"/>
  <c r="L198" i="72" s="1"/>
  <c r="M199" i="72" s="1"/>
  <c r="N200" i="72" s="1"/>
  <c r="O201" i="72" s="1"/>
  <c r="P202" i="72" s="1"/>
  <c r="Q203" i="72" s="1"/>
  <c r="R204" i="72" s="1"/>
  <c r="S205" i="72" s="1"/>
  <c r="T206" i="72" s="1"/>
  <c r="U207" i="72" s="1"/>
  <c r="V208" i="72" s="1"/>
  <c r="W209" i="72" s="1"/>
  <c r="X210" i="72" s="1"/>
  <c r="Y211" i="72" s="1"/>
  <c r="Z212" i="72" s="1"/>
  <c r="AA213" i="72" s="1"/>
  <c r="AB214" i="72" s="1"/>
  <c r="AC215" i="72" s="1"/>
  <c r="AD216" i="72" s="1"/>
  <c r="AE217" i="72" s="1"/>
  <c r="AF218" i="72" s="1"/>
  <c r="E162" i="72"/>
  <c r="F162" i="72" s="1"/>
  <c r="G163" i="72" s="1"/>
  <c r="H164" i="72" s="1"/>
  <c r="I165" i="72" s="1"/>
  <c r="J166" i="72" s="1"/>
  <c r="K167" i="72" s="1"/>
  <c r="L168" i="72" s="1"/>
  <c r="M169" i="72" s="1"/>
  <c r="N170" i="72" s="1"/>
  <c r="O171" i="72" s="1"/>
  <c r="P172" i="72" s="1"/>
  <c r="Q173" i="72" s="1"/>
  <c r="R174" i="72" s="1"/>
  <c r="S175" i="72" s="1"/>
  <c r="T176" i="72" s="1"/>
  <c r="U177" i="72" s="1"/>
  <c r="V178" i="72" s="1"/>
  <c r="W179" i="72" s="1"/>
  <c r="X180" i="72" s="1"/>
  <c r="Y181" i="72" s="1"/>
  <c r="Z182" i="72" s="1"/>
  <c r="AA183" i="72" s="1"/>
  <c r="AB184" i="72" s="1"/>
  <c r="AC185" i="72" s="1"/>
  <c r="AD186" i="72" s="1"/>
  <c r="AE187" i="72" s="1"/>
  <c r="Z266" i="66"/>
  <c r="Z122" i="66"/>
  <c r="Y266" i="66"/>
  <c r="Y122" i="66"/>
  <c r="Z102" i="66"/>
  <c r="Y102" i="66"/>
  <c r="O102" i="66"/>
  <c r="Y246" i="66"/>
  <c r="Z246" i="66"/>
  <c r="E254" i="72"/>
  <c r="F254" i="72" s="1"/>
  <c r="E354" i="38"/>
  <c r="K7" i="66" s="1"/>
  <c r="N7" i="66" s="1"/>
  <c r="H479" i="41"/>
  <c r="H480" i="37"/>
  <c r="E295" i="38"/>
  <c r="E301" i="38"/>
  <c r="M149" i="66" s="1"/>
  <c r="E286" i="72"/>
  <c r="F286" i="72" s="1"/>
  <c r="L6" i="66"/>
  <c r="P6" i="66" s="1"/>
  <c r="V6" i="66" s="1"/>
  <c r="X6" i="66" s="1"/>
  <c r="E130" i="72"/>
  <c r="F130" i="72" s="1"/>
  <c r="P53" i="66"/>
  <c r="N53" i="66"/>
  <c r="E283" i="38"/>
  <c r="E289" i="38"/>
  <c r="N150" i="66"/>
  <c r="Z74" i="66"/>
  <c r="Z218" i="66"/>
  <c r="Y74" i="66"/>
  <c r="Y218" i="66"/>
  <c r="P197" i="66"/>
  <c r="N197" i="66"/>
  <c r="J486" i="41"/>
  <c r="E99" i="72"/>
  <c r="F99" i="72" s="1"/>
  <c r="Z198" i="66"/>
  <c r="P101" i="66"/>
  <c r="N101" i="66"/>
  <c r="P245" i="66"/>
  <c r="N245" i="66"/>
  <c r="E223" i="72"/>
  <c r="F223" i="72" s="1"/>
  <c r="Z54" i="66"/>
  <c r="E38" i="72"/>
  <c r="F38" i="72" s="1"/>
  <c r="O246" i="66"/>
  <c r="U198" i="66" l="1"/>
  <c r="Q54" i="66"/>
  <c r="Q198" i="66"/>
  <c r="V54" i="66"/>
  <c r="X54" i="66" s="1"/>
  <c r="O245" i="66"/>
  <c r="U245" i="66" s="1"/>
  <c r="E163" i="72"/>
  <c r="F163" i="72" s="1"/>
  <c r="G164" i="72" s="1"/>
  <c r="H165" i="72" s="1"/>
  <c r="I166" i="72" s="1"/>
  <c r="J167" i="72" s="1"/>
  <c r="K168" i="72" s="1"/>
  <c r="L169" i="72" s="1"/>
  <c r="M170" i="72" s="1"/>
  <c r="N171" i="72" s="1"/>
  <c r="O172" i="72" s="1"/>
  <c r="P173" i="72" s="1"/>
  <c r="Q174" i="72" s="1"/>
  <c r="R175" i="72" s="1"/>
  <c r="S176" i="72" s="1"/>
  <c r="T177" i="72" s="1"/>
  <c r="U178" i="72" s="1"/>
  <c r="V179" i="72" s="1"/>
  <c r="W180" i="72" s="1"/>
  <c r="X181" i="72" s="1"/>
  <c r="Y182" i="72" s="1"/>
  <c r="Z183" i="72" s="1"/>
  <c r="AA184" i="72" s="1"/>
  <c r="AB185" i="72" s="1"/>
  <c r="AC186" i="72" s="1"/>
  <c r="AD187" i="72" s="1"/>
  <c r="E193" i="72"/>
  <c r="F193" i="72" s="1"/>
  <c r="G194" i="72" s="1"/>
  <c r="H195" i="72" s="1"/>
  <c r="I196" i="72" s="1"/>
  <c r="J197" i="72" s="1"/>
  <c r="K198" i="72" s="1"/>
  <c r="L199" i="72" s="1"/>
  <c r="M200" i="72" s="1"/>
  <c r="N201" i="72" s="1"/>
  <c r="O202" i="72" s="1"/>
  <c r="P203" i="72" s="1"/>
  <c r="Q204" i="72" s="1"/>
  <c r="R205" i="72" s="1"/>
  <c r="S206" i="72" s="1"/>
  <c r="T207" i="72" s="1"/>
  <c r="U208" i="72" s="1"/>
  <c r="V209" i="72" s="1"/>
  <c r="W210" i="72" s="1"/>
  <c r="X211" i="72" s="1"/>
  <c r="Y212" i="72" s="1"/>
  <c r="Z213" i="72" s="1"/>
  <c r="AA214" i="72" s="1"/>
  <c r="AB215" i="72" s="1"/>
  <c r="AC216" i="72" s="1"/>
  <c r="AD217" i="72" s="1"/>
  <c r="AE218" i="72" s="1"/>
  <c r="Y151" i="66"/>
  <c r="Z7" i="66"/>
  <c r="Y7" i="66"/>
  <c r="Z151" i="66"/>
  <c r="G255" i="72"/>
  <c r="H256" i="72" s="1"/>
  <c r="I257" i="72" s="1"/>
  <c r="J258" i="72" s="1"/>
  <c r="K259" i="72" s="1"/>
  <c r="L260" i="72" s="1"/>
  <c r="M261" i="72" s="1"/>
  <c r="N262" i="72" s="1"/>
  <c r="O263" i="72" s="1"/>
  <c r="P264" i="72" s="1"/>
  <c r="Q265" i="72" s="1"/>
  <c r="R266" i="72" s="1"/>
  <c r="S267" i="72" s="1"/>
  <c r="T268" i="72" s="1"/>
  <c r="U269" i="72" s="1"/>
  <c r="V270" i="72" s="1"/>
  <c r="W271" i="72" s="1"/>
  <c r="X272" i="72" s="1"/>
  <c r="Y273" i="72" s="1"/>
  <c r="Z274" i="72" s="1"/>
  <c r="AA275" i="72" s="1"/>
  <c r="AB276" i="72" s="1"/>
  <c r="AC277" i="72" s="1"/>
  <c r="AD278" i="72" s="1"/>
  <c r="AE279" i="72" s="1"/>
  <c r="AF280" i="72" s="1"/>
  <c r="B20" i="8"/>
  <c r="M5" i="66"/>
  <c r="E7" i="72"/>
  <c r="F7" i="72" s="1"/>
  <c r="G100" i="72"/>
  <c r="H101" i="72" s="1"/>
  <c r="I102" i="72" s="1"/>
  <c r="J103" i="72" s="1"/>
  <c r="K104" i="72" s="1"/>
  <c r="L105" i="72" s="1"/>
  <c r="M106" i="72" s="1"/>
  <c r="N107" i="72" s="1"/>
  <c r="O108" i="72" s="1"/>
  <c r="P109" i="72" s="1"/>
  <c r="Q110" i="72" s="1"/>
  <c r="R111" i="72" s="1"/>
  <c r="S112" i="72" s="1"/>
  <c r="T113" i="72" s="1"/>
  <c r="U114" i="72" s="1"/>
  <c r="V115" i="72" s="1"/>
  <c r="W116" i="72" s="1"/>
  <c r="X117" i="72" s="1"/>
  <c r="Y118" i="72" s="1"/>
  <c r="Z119" i="72" s="1"/>
  <c r="AA120" i="72" s="1"/>
  <c r="AB121" i="72" s="1"/>
  <c r="AC122" i="72" s="1"/>
  <c r="AD123" i="72" s="1"/>
  <c r="AE124" i="72" s="1"/>
  <c r="AF125" i="72" s="1"/>
  <c r="Y197" i="66"/>
  <c r="Z53" i="66"/>
  <c r="Y53" i="66"/>
  <c r="O53" i="66"/>
  <c r="Z197" i="66"/>
  <c r="G224" i="72"/>
  <c r="H225" i="72" s="1"/>
  <c r="I226" i="72" s="1"/>
  <c r="J227" i="72" s="1"/>
  <c r="K228" i="72" s="1"/>
  <c r="L229" i="72" s="1"/>
  <c r="M230" i="72" s="1"/>
  <c r="N231" i="72" s="1"/>
  <c r="O232" i="72" s="1"/>
  <c r="P233" i="72" s="1"/>
  <c r="Q234" i="72" s="1"/>
  <c r="R235" i="72" s="1"/>
  <c r="S236" i="72" s="1"/>
  <c r="T237" i="72" s="1"/>
  <c r="U238" i="72" s="1"/>
  <c r="V239" i="72" s="1"/>
  <c r="W240" i="72" s="1"/>
  <c r="X241" i="72" s="1"/>
  <c r="Y242" i="72" s="1"/>
  <c r="Z243" i="72" s="1"/>
  <c r="AA244" i="72" s="1"/>
  <c r="AB245" i="72" s="1"/>
  <c r="AC246" i="72" s="1"/>
  <c r="AD247" i="72" s="1"/>
  <c r="AE248" i="72" s="1"/>
  <c r="AF249" i="72" s="1"/>
  <c r="O197" i="66"/>
  <c r="H486" i="37"/>
  <c r="L5" i="66"/>
  <c r="G131" i="72"/>
  <c r="H132" i="72" s="1"/>
  <c r="I133" i="72" s="1"/>
  <c r="J134" i="72" s="1"/>
  <c r="K135" i="72" s="1"/>
  <c r="L136" i="72" s="1"/>
  <c r="M137" i="72" s="1"/>
  <c r="N138" i="72" s="1"/>
  <c r="O139" i="72" s="1"/>
  <c r="P140" i="72" s="1"/>
  <c r="Q141" i="72" s="1"/>
  <c r="R142" i="72" s="1"/>
  <c r="S143" i="72" s="1"/>
  <c r="T144" i="72" s="1"/>
  <c r="U145" i="72" s="1"/>
  <c r="V146" i="72" s="1"/>
  <c r="W147" i="72" s="1"/>
  <c r="X148" i="72" s="1"/>
  <c r="Y149" i="72" s="1"/>
  <c r="Z150" i="72" s="1"/>
  <c r="AA151" i="72" s="1"/>
  <c r="AB152" i="72" s="1"/>
  <c r="AC153" i="72" s="1"/>
  <c r="AD154" i="72" s="1"/>
  <c r="AE155" i="72" s="1"/>
  <c r="AF156" i="72" s="1"/>
  <c r="U102" i="66"/>
  <c r="Q102" i="66"/>
  <c r="V102" i="66"/>
  <c r="X102" i="66" s="1"/>
  <c r="G39" i="72"/>
  <c r="H40" i="72" s="1"/>
  <c r="I41" i="72" s="1"/>
  <c r="J42" i="72" s="1"/>
  <c r="K43" i="72" s="1"/>
  <c r="L44" i="72" s="1"/>
  <c r="M45" i="72" s="1"/>
  <c r="N46" i="72" s="1"/>
  <c r="O47" i="72" s="1"/>
  <c r="P48" i="72" s="1"/>
  <c r="Q49" i="72" s="1"/>
  <c r="R50" i="72" s="1"/>
  <c r="S51" i="72" s="1"/>
  <c r="T52" i="72" s="1"/>
  <c r="U53" i="72" s="1"/>
  <c r="V54" i="72" s="1"/>
  <c r="W55" i="72" s="1"/>
  <c r="X56" i="72" s="1"/>
  <c r="Y57" i="72" s="1"/>
  <c r="Z58" i="72" s="1"/>
  <c r="AA59" i="72" s="1"/>
  <c r="AB60" i="72" s="1"/>
  <c r="AC61" i="72" s="1"/>
  <c r="AD62" i="72" s="1"/>
  <c r="AE63" i="72" s="1"/>
  <c r="U246" i="66"/>
  <c r="V246" i="66"/>
  <c r="X246" i="66" s="1"/>
  <c r="Q246" i="66"/>
  <c r="Z101" i="66"/>
  <c r="Z245" i="66"/>
  <c r="Y245" i="66"/>
  <c r="O101" i="66"/>
  <c r="Y101" i="66"/>
  <c r="N6" i="66"/>
  <c r="O150" i="66" s="1"/>
  <c r="H486" i="58"/>
  <c r="L149" i="66"/>
  <c r="E69" i="72"/>
  <c r="F69" i="72" s="1"/>
  <c r="H480" i="41"/>
  <c r="E355" i="38"/>
  <c r="K26" i="66" s="1"/>
  <c r="N26" i="66" s="1"/>
  <c r="G287" i="72"/>
  <c r="H288" i="72" s="1"/>
  <c r="I289" i="72" s="1"/>
  <c r="J290" i="72" s="1"/>
  <c r="K291" i="72" s="1"/>
  <c r="L292" i="72" s="1"/>
  <c r="M293" i="72" s="1"/>
  <c r="N294" i="72" s="1"/>
  <c r="O295" i="72" s="1"/>
  <c r="P296" i="72" s="1"/>
  <c r="Q297" i="72" s="1"/>
  <c r="R298" i="72" s="1"/>
  <c r="S299" i="72" s="1"/>
  <c r="T300" i="72" s="1"/>
  <c r="U301" i="72" s="1"/>
  <c r="V302" i="72" s="1"/>
  <c r="W303" i="72" s="1"/>
  <c r="X304" i="72" s="1"/>
  <c r="Y305" i="72" s="1"/>
  <c r="Z306" i="72" s="1"/>
  <c r="AA307" i="72" s="1"/>
  <c r="AB308" i="72" s="1"/>
  <c r="AC309" i="72" s="1"/>
  <c r="AD310" i="72" s="1"/>
  <c r="AE311" i="72" s="1"/>
  <c r="E100" i="72" l="1"/>
  <c r="F100" i="72" s="1"/>
  <c r="V245" i="66"/>
  <c r="X245" i="66" s="1"/>
  <c r="Q245" i="66"/>
  <c r="R245" i="66" s="1"/>
  <c r="T245" i="66" s="1"/>
  <c r="E194" i="72"/>
  <c r="F194" i="72" s="1"/>
  <c r="G195" i="72" s="1"/>
  <c r="H196" i="72" s="1"/>
  <c r="I197" i="72" s="1"/>
  <c r="J198" i="72" s="1"/>
  <c r="K199" i="72" s="1"/>
  <c r="L200" i="72" s="1"/>
  <c r="M201" i="72" s="1"/>
  <c r="N202" i="72" s="1"/>
  <c r="O203" i="72" s="1"/>
  <c r="P204" i="72" s="1"/>
  <c r="Q205" i="72" s="1"/>
  <c r="R206" i="72" s="1"/>
  <c r="S207" i="72" s="1"/>
  <c r="T208" i="72" s="1"/>
  <c r="U209" i="72" s="1"/>
  <c r="V210" i="72" s="1"/>
  <c r="W211" i="72" s="1"/>
  <c r="X212" i="72" s="1"/>
  <c r="Y213" i="72" s="1"/>
  <c r="Z214" i="72" s="1"/>
  <c r="AA215" i="72" s="1"/>
  <c r="AB216" i="72" s="1"/>
  <c r="AC217" i="72" s="1"/>
  <c r="AD218" i="72" s="1"/>
  <c r="E287" i="72"/>
  <c r="F287" i="72" s="1"/>
  <c r="G288" i="72" s="1"/>
  <c r="H289" i="72" s="1"/>
  <c r="I290" i="72" s="1"/>
  <c r="J291" i="72" s="1"/>
  <c r="K292" i="72" s="1"/>
  <c r="L293" i="72" s="1"/>
  <c r="M294" i="72" s="1"/>
  <c r="N295" i="72" s="1"/>
  <c r="O296" i="72" s="1"/>
  <c r="P297" i="72" s="1"/>
  <c r="Q298" i="72" s="1"/>
  <c r="R299" i="72" s="1"/>
  <c r="S300" i="72" s="1"/>
  <c r="T301" i="72" s="1"/>
  <c r="U302" i="72" s="1"/>
  <c r="V303" i="72" s="1"/>
  <c r="W304" i="72" s="1"/>
  <c r="X305" i="72" s="1"/>
  <c r="Y306" i="72" s="1"/>
  <c r="Z307" i="72" s="1"/>
  <c r="AA308" i="72" s="1"/>
  <c r="AB309" i="72" s="1"/>
  <c r="AC310" i="72" s="1"/>
  <c r="AD311" i="72" s="1"/>
  <c r="E39" i="72"/>
  <c r="F39" i="72" s="1"/>
  <c r="G40" i="72" s="1"/>
  <c r="H41" i="72" s="1"/>
  <c r="I42" i="72" s="1"/>
  <c r="J43" i="72" s="1"/>
  <c r="K44" i="72" s="1"/>
  <c r="L45" i="72" s="1"/>
  <c r="M46" i="72" s="1"/>
  <c r="N47" i="72" s="1"/>
  <c r="O48" i="72" s="1"/>
  <c r="P49" i="72" s="1"/>
  <c r="Q50" i="72" s="1"/>
  <c r="R51" i="72" s="1"/>
  <c r="S52" i="72" s="1"/>
  <c r="T53" i="72" s="1"/>
  <c r="U54" i="72" s="1"/>
  <c r="V55" i="72" s="1"/>
  <c r="W56" i="72" s="1"/>
  <c r="X57" i="72" s="1"/>
  <c r="Y58" i="72" s="1"/>
  <c r="Z59" i="72" s="1"/>
  <c r="AA60" i="72" s="1"/>
  <c r="AB61" i="72" s="1"/>
  <c r="AC62" i="72" s="1"/>
  <c r="AD63" i="72" s="1"/>
  <c r="U150" i="66"/>
  <c r="Q150" i="66"/>
  <c r="Q101" i="66"/>
  <c r="R101" i="66" s="1"/>
  <c r="T101" i="66" s="1"/>
  <c r="U101" i="66"/>
  <c r="V101" i="66"/>
  <c r="X101" i="66" s="1"/>
  <c r="R5" i="66"/>
  <c r="T5" i="66" s="1"/>
  <c r="P5" i="66"/>
  <c r="V5" i="66" s="1"/>
  <c r="X5" i="66" s="1"/>
  <c r="N5" i="66"/>
  <c r="G8" i="72"/>
  <c r="H9" i="72" s="1"/>
  <c r="I10" i="72" s="1"/>
  <c r="J11" i="72" s="1"/>
  <c r="K12" i="72" s="1"/>
  <c r="L13" i="72" s="1"/>
  <c r="M14" i="72" s="1"/>
  <c r="N15" i="72" s="1"/>
  <c r="O16" i="72" s="1"/>
  <c r="P17" i="72" s="1"/>
  <c r="Q18" i="72" s="1"/>
  <c r="R19" i="72" s="1"/>
  <c r="S20" i="72" s="1"/>
  <c r="T21" i="72" s="1"/>
  <c r="U22" i="72" s="1"/>
  <c r="V23" i="72" s="1"/>
  <c r="W24" i="72" s="1"/>
  <c r="X25" i="72" s="1"/>
  <c r="Y26" i="72" s="1"/>
  <c r="Z27" i="72" s="1"/>
  <c r="AA28" i="72" s="1"/>
  <c r="AB29" i="72" s="1"/>
  <c r="AC30" i="72" s="1"/>
  <c r="AD31" i="72" s="1"/>
  <c r="AE32" i="72" s="1"/>
  <c r="Y26" i="66"/>
  <c r="Y170" i="66"/>
  <c r="Z170" i="66"/>
  <c r="Z26" i="66"/>
  <c r="H486" i="41"/>
  <c r="U53" i="66"/>
  <c r="Q53" i="66"/>
  <c r="R53" i="66" s="1"/>
  <c r="T53" i="66" s="1"/>
  <c r="V53" i="66"/>
  <c r="X53" i="66" s="1"/>
  <c r="E255" i="72"/>
  <c r="F255" i="72" s="1"/>
  <c r="U197" i="66"/>
  <c r="Q197" i="66"/>
  <c r="R197" i="66" s="1"/>
  <c r="T197" i="66" s="1"/>
  <c r="V197" i="66"/>
  <c r="X197" i="66" s="1"/>
  <c r="G70" i="72"/>
  <c r="H71" i="72" s="1"/>
  <c r="I72" i="72" s="1"/>
  <c r="J73" i="72" s="1"/>
  <c r="K74" i="72" s="1"/>
  <c r="L75" i="72" s="1"/>
  <c r="M76" i="72" s="1"/>
  <c r="N77" i="72" s="1"/>
  <c r="O78" i="72" s="1"/>
  <c r="P79" i="72" s="1"/>
  <c r="Q80" i="72" s="1"/>
  <c r="R81" i="72" s="1"/>
  <c r="S82" i="72" s="1"/>
  <c r="T83" i="72" s="1"/>
  <c r="U84" i="72" s="1"/>
  <c r="V85" i="72" s="1"/>
  <c r="W86" i="72" s="1"/>
  <c r="X87" i="72" s="1"/>
  <c r="Y88" i="72" s="1"/>
  <c r="Z89" i="72" s="1"/>
  <c r="AA90" i="72" s="1"/>
  <c r="AB91" i="72" s="1"/>
  <c r="AC92" i="72" s="1"/>
  <c r="AD93" i="72" s="1"/>
  <c r="AE94" i="72" s="1"/>
  <c r="R149" i="66"/>
  <c r="T149" i="66" s="1"/>
  <c r="P149" i="66"/>
  <c r="V149" i="66" s="1"/>
  <c r="X149" i="66" s="1"/>
  <c r="N149" i="66"/>
  <c r="E131" i="72"/>
  <c r="F131" i="72" s="1"/>
  <c r="O6" i="66"/>
  <c r="Y6" i="66"/>
  <c r="Z150" i="66"/>
  <c r="Z6" i="66"/>
  <c r="Y150" i="66"/>
  <c r="E164" i="72"/>
  <c r="F164" i="72" s="1"/>
  <c r="E224" i="72"/>
  <c r="F224" i="72" s="1"/>
  <c r="G101" i="72"/>
  <c r="H102" i="72" s="1"/>
  <c r="I103" i="72" s="1"/>
  <c r="J104" i="72" s="1"/>
  <c r="K105" i="72" s="1"/>
  <c r="L106" i="72" s="1"/>
  <c r="M107" i="72" s="1"/>
  <c r="N108" i="72" s="1"/>
  <c r="O109" i="72" s="1"/>
  <c r="P110" i="72" s="1"/>
  <c r="Q111" i="72" s="1"/>
  <c r="R112" i="72" s="1"/>
  <c r="S113" i="72" s="1"/>
  <c r="T114" i="72" s="1"/>
  <c r="U115" i="72" s="1"/>
  <c r="V116" i="72" s="1"/>
  <c r="W117" i="72" s="1"/>
  <c r="X118" i="72" s="1"/>
  <c r="Y119" i="72" s="1"/>
  <c r="Z120" i="72" s="1"/>
  <c r="AA121" i="72" s="1"/>
  <c r="AB122" i="72" s="1"/>
  <c r="AC123" i="72" s="1"/>
  <c r="AD124" i="72" s="1"/>
  <c r="AE125" i="72" s="1"/>
  <c r="O149" i="66" l="1"/>
  <c r="Q149" i="66" s="1"/>
  <c r="E8" i="72"/>
  <c r="F8" i="72" s="1"/>
  <c r="G9" i="72" s="1"/>
  <c r="H10" i="72" s="1"/>
  <c r="I11" i="72" s="1"/>
  <c r="J12" i="72" s="1"/>
  <c r="K13" i="72" s="1"/>
  <c r="L14" i="72" s="1"/>
  <c r="M15" i="72" s="1"/>
  <c r="N16" i="72" s="1"/>
  <c r="O17" i="72" s="1"/>
  <c r="P18" i="72" s="1"/>
  <c r="Q19" i="72" s="1"/>
  <c r="R20" i="72" s="1"/>
  <c r="S21" i="72" s="1"/>
  <c r="T22" i="72" s="1"/>
  <c r="U23" i="72" s="1"/>
  <c r="V24" i="72" s="1"/>
  <c r="W25" i="72" s="1"/>
  <c r="X26" i="72" s="1"/>
  <c r="Y27" i="72" s="1"/>
  <c r="Z28" i="72" s="1"/>
  <c r="AA29" i="72" s="1"/>
  <c r="AB30" i="72" s="1"/>
  <c r="AC31" i="72" s="1"/>
  <c r="AD32" i="72" s="1"/>
  <c r="E70" i="72"/>
  <c r="F70" i="72" s="1"/>
  <c r="G71" i="72" s="1"/>
  <c r="H72" i="72" s="1"/>
  <c r="I73" i="72" s="1"/>
  <c r="J74" i="72" s="1"/>
  <c r="K75" i="72" s="1"/>
  <c r="L76" i="72" s="1"/>
  <c r="M77" i="72" s="1"/>
  <c r="N78" i="72" s="1"/>
  <c r="O79" i="72" s="1"/>
  <c r="P80" i="72" s="1"/>
  <c r="Q81" i="72" s="1"/>
  <c r="R82" i="72" s="1"/>
  <c r="S83" i="72" s="1"/>
  <c r="T84" i="72" s="1"/>
  <c r="U85" i="72" s="1"/>
  <c r="V86" i="72" s="1"/>
  <c r="W87" i="72" s="1"/>
  <c r="X88" i="72" s="1"/>
  <c r="Y89" i="72" s="1"/>
  <c r="Z90" i="72" s="1"/>
  <c r="AA91" i="72" s="1"/>
  <c r="AB92" i="72" s="1"/>
  <c r="AC93" i="72" s="1"/>
  <c r="AD94" i="72" s="1"/>
  <c r="E101" i="72"/>
  <c r="F101" i="72" s="1"/>
  <c r="G102" i="72" s="1"/>
  <c r="H103" i="72" s="1"/>
  <c r="I104" i="72" s="1"/>
  <c r="J105" i="72" s="1"/>
  <c r="K106" i="72" s="1"/>
  <c r="L107" i="72" s="1"/>
  <c r="M108" i="72" s="1"/>
  <c r="N109" i="72" s="1"/>
  <c r="O110" i="72" s="1"/>
  <c r="P111" i="72" s="1"/>
  <c r="Q112" i="72" s="1"/>
  <c r="R113" i="72" s="1"/>
  <c r="S114" i="72" s="1"/>
  <c r="T115" i="72" s="1"/>
  <c r="U116" i="72" s="1"/>
  <c r="V117" i="72" s="1"/>
  <c r="W118" i="72" s="1"/>
  <c r="X119" i="72" s="1"/>
  <c r="Y120" i="72" s="1"/>
  <c r="Z121" i="72" s="1"/>
  <c r="AA122" i="72" s="1"/>
  <c r="AB123" i="72" s="1"/>
  <c r="AC124" i="72" s="1"/>
  <c r="AD125" i="72" s="1"/>
  <c r="Q6" i="66"/>
  <c r="U6" i="66"/>
  <c r="G225" i="72"/>
  <c r="H226" i="72" s="1"/>
  <c r="I227" i="72" s="1"/>
  <c r="J228" i="72" s="1"/>
  <c r="K229" i="72" s="1"/>
  <c r="L230" i="72" s="1"/>
  <c r="M231" i="72" s="1"/>
  <c r="N232" i="72" s="1"/>
  <c r="O233" i="72" s="1"/>
  <c r="P234" i="72" s="1"/>
  <c r="Q235" i="72" s="1"/>
  <c r="R236" i="72" s="1"/>
  <c r="S237" i="72" s="1"/>
  <c r="T238" i="72" s="1"/>
  <c r="U239" i="72" s="1"/>
  <c r="V240" i="72" s="1"/>
  <c r="W241" i="72" s="1"/>
  <c r="X242" i="72" s="1"/>
  <c r="Y243" i="72" s="1"/>
  <c r="Z244" i="72" s="1"/>
  <c r="AA245" i="72" s="1"/>
  <c r="AB246" i="72" s="1"/>
  <c r="AC247" i="72" s="1"/>
  <c r="AD248" i="72" s="1"/>
  <c r="AE249" i="72" s="1"/>
  <c r="E195" i="72"/>
  <c r="F195" i="72" s="1"/>
  <c r="E40" i="72"/>
  <c r="F40" i="72" s="1"/>
  <c r="Y5" i="66"/>
  <c r="Z149" i="66"/>
  <c r="Y149" i="66"/>
  <c r="O5" i="66"/>
  <c r="Z5" i="66"/>
  <c r="G165" i="72"/>
  <c r="H166" i="72" s="1"/>
  <c r="I167" i="72" s="1"/>
  <c r="J168" i="72" s="1"/>
  <c r="K169" i="72" s="1"/>
  <c r="L170" i="72" s="1"/>
  <c r="M171" i="72" s="1"/>
  <c r="N172" i="72" s="1"/>
  <c r="O173" i="72" s="1"/>
  <c r="P174" i="72" s="1"/>
  <c r="Q175" i="72" s="1"/>
  <c r="R176" i="72" s="1"/>
  <c r="S177" i="72" s="1"/>
  <c r="T178" i="72" s="1"/>
  <c r="U179" i="72" s="1"/>
  <c r="V180" i="72" s="1"/>
  <c r="W181" i="72" s="1"/>
  <c r="X182" i="72" s="1"/>
  <c r="Y183" i="72" s="1"/>
  <c r="Z184" i="72" s="1"/>
  <c r="AA185" i="72" s="1"/>
  <c r="AB186" i="72" s="1"/>
  <c r="AC187" i="72" s="1"/>
  <c r="G132" i="72"/>
  <c r="H133" i="72" s="1"/>
  <c r="I134" i="72" s="1"/>
  <c r="J135" i="72" s="1"/>
  <c r="K136" i="72" s="1"/>
  <c r="L137" i="72" s="1"/>
  <c r="M138" i="72" s="1"/>
  <c r="N139" i="72" s="1"/>
  <c r="O140" i="72" s="1"/>
  <c r="P141" i="72" s="1"/>
  <c r="Q142" i="72" s="1"/>
  <c r="R143" i="72" s="1"/>
  <c r="S144" i="72" s="1"/>
  <c r="T145" i="72" s="1"/>
  <c r="U146" i="72" s="1"/>
  <c r="V147" i="72" s="1"/>
  <c r="W148" i="72" s="1"/>
  <c r="X149" i="72" s="1"/>
  <c r="Y150" i="72" s="1"/>
  <c r="Z151" i="72" s="1"/>
  <c r="AA152" i="72" s="1"/>
  <c r="AB153" i="72" s="1"/>
  <c r="AC154" i="72" s="1"/>
  <c r="AD155" i="72" s="1"/>
  <c r="AE156" i="72" s="1"/>
  <c r="E288" i="72"/>
  <c r="F288" i="72" s="1"/>
  <c r="G256" i="72"/>
  <c r="H257" i="72" s="1"/>
  <c r="I258" i="72" s="1"/>
  <c r="J259" i="72" s="1"/>
  <c r="K260" i="72" s="1"/>
  <c r="L261" i="72" s="1"/>
  <c r="M262" i="72" s="1"/>
  <c r="N263" i="72" s="1"/>
  <c r="O264" i="72" s="1"/>
  <c r="P265" i="72" s="1"/>
  <c r="Q266" i="72" s="1"/>
  <c r="R267" i="72" s="1"/>
  <c r="S268" i="72" s="1"/>
  <c r="T269" i="72" s="1"/>
  <c r="U270" i="72" s="1"/>
  <c r="V271" i="72" s="1"/>
  <c r="W272" i="72" s="1"/>
  <c r="X273" i="72" s="1"/>
  <c r="Y274" i="72" s="1"/>
  <c r="Z275" i="72" s="1"/>
  <c r="AA276" i="72" s="1"/>
  <c r="AB277" i="72" s="1"/>
  <c r="AC278" i="72" s="1"/>
  <c r="AD279" i="72" s="1"/>
  <c r="AE280" i="72" s="1"/>
  <c r="U149" i="66" l="1"/>
  <c r="E256" i="72"/>
  <c r="F256" i="72" s="1"/>
  <c r="G257" i="72" s="1"/>
  <c r="H258" i="72" s="1"/>
  <c r="I259" i="72" s="1"/>
  <c r="J260" i="72" s="1"/>
  <c r="K261" i="72" s="1"/>
  <c r="L262" i="72" s="1"/>
  <c r="M263" i="72" s="1"/>
  <c r="N264" i="72" s="1"/>
  <c r="O265" i="72" s="1"/>
  <c r="P266" i="72" s="1"/>
  <c r="Q267" i="72" s="1"/>
  <c r="R268" i="72" s="1"/>
  <c r="S269" i="72" s="1"/>
  <c r="T270" i="72" s="1"/>
  <c r="U271" i="72" s="1"/>
  <c r="V272" i="72" s="1"/>
  <c r="W273" i="72" s="1"/>
  <c r="X274" i="72" s="1"/>
  <c r="Y275" i="72" s="1"/>
  <c r="Z276" i="72" s="1"/>
  <c r="AA277" i="72" s="1"/>
  <c r="AB278" i="72" s="1"/>
  <c r="AC279" i="72" s="1"/>
  <c r="AD280" i="72" s="1"/>
  <c r="E9" i="72"/>
  <c r="F9" i="72" s="1"/>
  <c r="G10" i="72" s="1"/>
  <c r="H11" i="72" s="1"/>
  <c r="I12" i="72" s="1"/>
  <c r="J13" i="72" s="1"/>
  <c r="K14" i="72" s="1"/>
  <c r="L15" i="72" s="1"/>
  <c r="M16" i="72" s="1"/>
  <c r="N17" i="72" s="1"/>
  <c r="O18" i="72" s="1"/>
  <c r="P19" i="72" s="1"/>
  <c r="Q20" i="72" s="1"/>
  <c r="R21" i="72" s="1"/>
  <c r="S22" i="72" s="1"/>
  <c r="T23" i="72" s="1"/>
  <c r="U24" i="72" s="1"/>
  <c r="V25" i="72" s="1"/>
  <c r="W26" i="72" s="1"/>
  <c r="X27" i="72" s="1"/>
  <c r="Y28" i="72" s="1"/>
  <c r="Z29" i="72" s="1"/>
  <c r="AA30" i="72" s="1"/>
  <c r="AB31" i="72" s="1"/>
  <c r="AC32" i="72" s="1"/>
  <c r="E132" i="72"/>
  <c r="F132" i="72" s="1"/>
  <c r="G133" i="72" s="1"/>
  <c r="H134" i="72" s="1"/>
  <c r="I135" i="72" s="1"/>
  <c r="J136" i="72" s="1"/>
  <c r="K137" i="72" s="1"/>
  <c r="L138" i="72" s="1"/>
  <c r="M139" i="72" s="1"/>
  <c r="N140" i="72" s="1"/>
  <c r="O141" i="72" s="1"/>
  <c r="P142" i="72" s="1"/>
  <c r="Q143" i="72" s="1"/>
  <c r="R144" i="72" s="1"/>
  <c r="S145" i="72" s="1"/>
  <c r="T146" i="72" s="1"/>
  <c r="U147" i="72" s="1"/>
  <c r="V148" i="72" s="1"/>
  <c r="W149" i="72" s="1"/>
  <c r="X150" i="72" s="1"/>
  <c r="Y151" i="72" s="1"/>
  <c r="Z152" i="72" s="1"/>
  <c r="AA153" i="72" s="1"/>
  <c r="AB154" i="72" s="1"/>
  <c r="AC155" i="72" s="1"/>
  <c r="AD156" i="72" s="1"/>
  <c r="E225" i="72"/>
  <c r="F225" i="72" s="1"/>
  <c r="G226" i="72" s="1"/>
  <c r="H227" i="72" s="1"/>
  <c r="I228" i="72" s="1"/>
  <c r="J229" i="72" s="1"/>
  <c r="K230" i="72" s="1"/>
  <c r="L231" i="72" s="1"/>
  <c r="M232" i="72" s="1"/>
  <c r="N233" i="72" s="1"/>
  <c r="O234" i="72" s="1"/>
  <c r="P235" i="72" s="1"/>
  <c r="Q236" i="72" s="1"/>
  <c r="R237" i="72" s="1"/>
  <c r="S238" i="72" s="1"/>
  <c r="T239" i="72" s="1"/>
  <c r="U240" i="72" s="1"/>
  <c r="V241" i="72" s="1"/>
  <c r="W242" i="72" s="1"/>
  <c r="X243" i="72" s="1"/>
  <c r="Y244" i="72" s="1"/>
  <c r="Z245" i="72" s="1"/>
  <c r="AA246" i="72" s="1"/>
  <c r="AB247" i="72" s="1"/>
  <c r="AC248" i="72" s="1"/>
  <c r="AD249" i="72" s="1"/>
  <c r="E165" i="72"/>
  <c r="F165" i="72" s="1"/>
  <c r="G41" i="72"/>
  <c r="H42" i="72" s="1"/>
  <c r="I43" i="72" s="1"/>
  <c r="J44" i="72" s="1"/>
  <c r="K45" i="72" s="1"/>
  <c r="L46" i="72" s="1"/>
  <c r="M47" i="72" s="1"/>
  <c r="N48" i="72" s="1"/>
  <c r="O49" i="72" s="1"/>
  <c r="P50" i="72" s="1"/>
  <c r="Q51" i="72" s="1"/>
  <c r="R52" i="72" s="1"/>
  <c r="S53" i="72" s="1"/>
  <c r="T54" i="72" s="1"/>
  <c r="U55" i="72" s="1"/>
  <c r="V56" i="72" s="1"/>
  <c r="W57" i="72" s="1"/>
  <c r="X58" i="72" s="1"/>
  <c r="Y59" i="72" s="1"/>
  <c r="Z60" i="72" s="1"/>
  <c r="AA61" i="72" s="1"/>
  <c r="AB62" i="72" s="1"/>
  <c r="AC63" i="72" s="1"/>
  <c r="E71" i="72"/>
  <c r="F71" i="72" s="1"/>
  <c r="G196" i="72"/>
  <c r="H197" i="72" s="1"/>
  <c r="I198" i="72" s="1"/>
  <c r="J199" i="72" s="1"/>
  <c r="K200" i="72" s="1"/>
  <c r="L201" i="72" s="1"/>
  <c r="M202" i="72" s="1"/>
  <c r="N203" i="72" s="1"/>
  <c r="O204" i="72" s="1"/>
  <c r="P205" i="72" s="1"/>
  <c r="Q206" i="72" s="1"/>
  <c r="R207" i="72" s="1"/>
  <c r="S208" i="72" s="1"/>
  <c r="T209" i="72" s="1"/>
  <c r="U210" i="72" s="1"/>
  <c r="V211" i="72" s="1"/>
  <c r="W212" i="72" s="1"/>
  <c r="X213" i="72" s="1"/>
  <c r="Y214" i="72" s="1"/>
  <c r="Z215" i="72" s="1"/>
  <c r="AA216" i="72" s="1"/>
  <c r="AB217" i="72" s="1"/>
  <c r="AC218" i="72" s="1"/>
  <c r="G289" i="72"/>
  <c r="H290" i="72" s="1"/>
  <c r="I291" i="72" s="1"/>
  <c r="J292" i="72" s="1"/>
  <c r="K293" i="72" s="1"/>
  <c r="L294" i="72" s="1"/>
  <c r="M295" i="72" s="1"/>
  <c r="N296" i="72" s="1"/>
  <c r="O297" i="72" s="1"/>
  <c r="P298" i="72" s="1"/>
  <c r="Q299" i="72" s="1"/>
  <c r="R300" i="72" s="1"/>
  <c r="S301" i="72" s="1"/>
  <c r="T302" i="72" s="1"/>
  <c r="U303" i="72" s="1"/>
  <c r="V304" i="72" s="1"/>
  <c r="W305" i="72" s="1"/>
  <c r="X306" i="72" s="1"/>
  <c r="Y307" i="72" s="1"/>
  <c r="Z308" i="72" s="1"/>
  <c r="AA309" i="72" s="1"/>
  <c r="AB310" i="72" s="1"/>
  <c r="AC311" i="72" s="1"/>
  <c r="Q5" i="66"/>
  <c r="U5" i="66"/>
  <c r="E102" i="72"/>
  <c r="F102" i="72" s="1"/>
  <c r="E289" i="72" l="1"/>
  <c r="F289" i="72" s="1"/>
  <c r="G290" i="72" s="1"/>
  <c r="H291" i="72" s="1"/>
  <c r="I292" i="72" s="1"/>
  <c r="J293" i="72" s="1"/>
  <c r="K294" i="72" s="1"/>
  <c r="L295" i="72" s="1"/>
  <c r="M296" i="72" s="1"/>
  <c r="N297" i="72" s="1"/>
  <c r="O298" i="72" s="1"/>
  <c r="P299" i="72" s="1"/>
  <c r="Q300" i="72" s="1"/>
  <c r="R301" i="72" s="1"/>
  <c r="S302" i="72" s="1"/>
  <c r="T303" i="72" s="1"/>
  <c r="U304" i="72" s="1"/>
  <c r="V305" i="72" s="1"/>
  <c r="W306" i="72" s="1"/>
  <c r="X307" i="72" s="1"/>
  <c r="Y308" i="72" s="1"/>
  <c r="Z309" i="72" s="1"/>
  <c r="AA310" i="72" s="1"/>
  <c r="AB311" i="72" s="1"/>
  <c r="E133" i="72"/>
  <c r="F133" i="72" s="1"/>
  <c r="G134" i="72" s="1"/>
  <c r="H135" i="72" s="1"/>
  <c r="I136" i="72" s="1"/>
  <c r="J137" i="72" s="1"/>
  <c r="K138" i="72" s="1"/>
  <c r="L139" i="72" s="1"/>
  <c r="M140" i="72" s="1"/>
  <c r="N141" i="72" s="1"/>
  <c r="O142" i="72" s="1"/>
  <c r="P143" i="72" s="1"/>
  <c r="Q144" i="72" s="1"/>
  <c r="R145" i="72" s="1"/>
  <c r="S146" i="72" s="1"/>
  <c r="T147" i="72" s="1"/>
  <c r="U148" i="72" s="1"/>
  <c r="V149" i="72" s="1"/>
  <c r="W150" i="72" s="1"/>
  <c r="X151" i="72" s="1"/>
  <c r="Y152" i="72" s="1"/>
  <c r="Z153" i="72" s="1"/>
  <c r="AA154" i="72" s="1"/>
  <c r="AB155" i="72" s="1"/>
  <c r="AC156" i="72" s="1"/>
  <c r="E257" i="72"/>
  <c r="F257" i="72" s="1"/>
  <c r="G258" i="72" s="1"/>
  <c r="H259" i="72" s="1"/>
  <c r="I260" i="72" s="1"/>
  <c r="J261" i="72" s="1"/>
  <c r="K262" i="72" s="1"/>
  <c r="L263" i="72" s="1"/>
  <c r="M264" i="72" s="1"/>
  <c r="N265" i="72" s="1"/>
  <c r="O266" i="72" s="1"/>
  <c r="P267" i="72" s="1"/>
  <c r="Q268" i="72" s="1"/>
  <c r="R269" i="72" s="1"/>
  <c r="S270" i="72" s="1"/>
  <c r="T271" i="72" s="1"/>
  <c r="U272" i="72" s="1"/>
  <c r="V273" i="72" s="1"/>
  <c r="W274" i="72" s="1"/>
  <c r="X275" i="72" s="1"/>
  <c r="Y276" i="72" s="1"/>
  <c r="Z277" i="72" s="1"/>
  <c r="AA278" i="72" s="1"/>
  <c r="AB279" i="72" s="1"/>
  <c r="AC280" i="72" s="1"/>
  <c r="E10" i="72"/>
  <c r="F10" i="72" s="1"/>
  <c r="G72" i="72"/>
  <c r="H73" i="72" s="1"/>
  <c r="I74" i="72" s="1"/>
  <c r="J75" i="72" s="1"/>
  <c r="K76" i="72" s="1"/>
  <c r="L77" i="72" s="1"/>
  <c r="M78" i="72" s="1"/>
  <c r="N79" i="72" s="1"/>
  <c r="O80" i="72" s="1"/>
  <c r="P81" i="72" s="1"/>
  <c r="Q82" i="72" s="1"/>
  <c r="R83" i="72" s="1"/>
  <c r="S84" i="72" s="1"/>
  <c r="T85" i="72" s="1"/>
  <c r="U86" i="72" s="1"/>
  <c r="V87" i="72" s="1"/>
  <c r="W88" i="72" s="1"/>
  <c r="X89" i="72" s="1"/>
  <c r="Y90" i="72" s="1"/>
  <c r="Z91" i="72" s="1"/>
  <c r="AA92" i="72" s="1"/>
  <c r="AB93" i="72" s="1"/>
  <c r="AC94" i="72" s="1"/>
  <c r="E41" i="72"/>
  <c r="F41" i="72" s="1"/>
  <c r="G103" i="72"/>
  <c r="H104" i="72" s="1"/>
  <c r="I105" i="72" s="1"/>
  <c r="J106" i="72" s="1"/>
  <c r="K107" i="72" s="1"/>
  <c r="L108" i="72" s="1"/>
  <c r="M109" i="72" s="1"/>
  <c r="N110" i="72" s="1"/>
  <c r="O111" i="72" s="1"/>
  <c r="P112" i="72" s="1"/>
  <c r="Q113" i="72" s="1"/>
  <c r="R114" i="72" s="1"/>
  <c r="S115" i="72" s="1"/>
  <c r="T116" i="72" s="1"/>
  <c r="U117" i="72" s="1"/>
  <c r="V118" i="72" s="1"/>
  <c r="W119" i="72" s="1"/>
  <c r="X120" i="72" s="1"/>
  <c r="Y121" i="72" s="1"/>
  <c r="Z122" i="72" s="1"/>
  <c r="AA123" i="72" s="1"/>
  <c r="AB124" i="72" s="1"/>
  <c r="AC125" i="72" s="1"/>
  <c r="E226" i="72"/>
  <c r="F226" i="72" s="1"/>
  <c r="E196" i="72"/>
  <c r="F196" i="72" s="1"/>
  <c r="G166" i="72"/>
  <c r="H167" i="72" s="1"/>
  <c r="I168" i="72" s="1"/>
  <c r="J169" i="72" s="1"/>
  <c r="K170" i="72" s="1"/>
  <c r="L171" i="72" s="1"/>
  <c r="M172" i="72" s="1"/>
  <c r="N173" i="72" s="1"/>
  <c r="O174" i="72" s="1"/>
  <c r="P175" i="72" s="1"/>
  <c r="Q176" i="72" s="1"/>
  <c r="R177" i="72" s="1"/>
  <c r="S178" i="72" s="1"/>
  <c r="T179" i="72" s="1"/>
  <c r="U180" i="72" s="1"/>
  <c r="V181" i="72" s="1"/>
  <c r="W182" i="72" s="1"/>
  <c r="X183" i="72" s="1"/>
  <c r="Y184" i="72" s="1"/>
  <c r="Z185" i="72" s="1"/>
  <c r="AA186" i="72" s="1"/>
  <c r="AB187" i="72" s="1"/>
  <c r="E290" i="72" l="1"/>
  <c r="F290" i="72" s="1"/>
  <c r="G291" i="72" s="1"/>
  <c r="H292" i="72" s="1"/>
  <c r="I293" i="72" s="1"/>
  <c r="J294" i="72" s="1"/>
  <c r="K295" i="72" s="1"/>
  <c r="L296" i="72" s="1"/>
  <c r="M297" i="72" s="1"/>
  <c r="N298" i="72" s="1"/>
  <c r="O299" i="72" s="1"/>
  <c r="P300" i="72" s="1"/>
  <c r="Q301" i="72" s="1"/>
  <c r="R302" i="72" s="1"/>
  <c r="S303" i="72" s="1"/>
  <c r="T304" i="72" s="1"/>
  <c r="U305" i="72" s="1"/>
  <c r="V306" i="72" s="1"/>
  <c r="W307" i="72" s="1"/>
  <c r="X308" i="72" s="1"/>
  <c r="Y309" i="72" s="1"/>
  <c r="Z310" i="72" s="1"/>
  <c r="AA311" i="72" s="1"/>
  <c r="E166" i="72"/>
  <c r="F166" i="72" s="1"/>
  <c r="G167" i="72" s="1"/>
  <c r="H168" i="72" s="1"/>
  <c r="I169" i="72" s="1"/>
  <c r="J170" i="72" s="1"/>
  <c r="K171" i="72" s="1"/>
  <c r="L172" i="72" s="1"/>
  <c r="M173" i="72" s="1"/>
  <c r="N174" i="72" s="1"/>
  <c r="O175" i="72" s="1"/>
  <c r="P176" i="72" s="1"/>
  <c r="Q177" i="72" s="1"/>
  <c r="R178" i="72" s="1"/>
  <c r="S179" i="72" s="1"/>
  <c r="T180" i="72" s="1"/>
  <c r="U181" i="72" s="1"/>
  <c r="V182" i="72" s="1"/>
  <c r="W183" i="72" s="1"/>
  <c r="X184" i="72" s="1"/>
  <c r="Y185" i="72" s="1"/>
  <c r="Z186" i="72" s="1"/>
  <c r="AA187" i="72" s="1"/>
  <c r="E72" i="72"/>
  <c r="F72" i="72" s="1"/>
  <c r="G73" i="72" s="1"/>
  <c r="H74" i="72" s="1"/>
  <c r="I75" i="72" s="1"/>
  <c r="J76" i="72" s="1"/>
  <c r="K77" i="72" s="1"/>
  <c r="L78" i="72" s="1"/>
  <c r="M79" i="72" s="1"/>
  <c r="N80" i="72" s="1"/>
  <c r="O81" i="72" s="1"/>
  <c r="P82" i="72" s="1"/>
  <c r="Q83" i="72" s="1"/>
  <c r="R84" i="72" s="1"/>
  <c r="S85" i="72" s="1"/>
  <c r="T86" i="72" s="1"/>
  <c r="U87" i="72" s="1"/>
  <c r="V88" i="72" s="1"/>
  <c r="W89" i="72" s="1"/>
  <c r="X90" i="72" s="1"/>
  <c r="Y91" i="72" s="1"/>
  <c r="Z92" i="72" s="1"/>
  <c r="AA93" i="72" s="1"/>
  <c r="AB94" i="72" s="1"/>
  <c r="E103" i="72"/>
  <c r="F103" i="72" s="1"/>
  <c r="G104" i="72" s="1"/>
  <c r="H105" i="72" s="1"/>
  <c r="I106" i="72" s="1"/>
  <c r="J107" i="72" s="1"/>
  <c r="K108" i="72" s="1"/>
  <c r="L109" i="72" s="1"/>
  <c r="M110" i="72" s="1"/>
  <c r="N111" i="72" s="1"/>
  <c r="O112" i="72" s="1"/>
  <c r="P113" i="72" s="1"/>
  <c r="Q114" i="72" s="1"/>
  <c r="R115" i="72" s="1"/>
  <c r="S116" i="72" s="1"/>
  <c r="T117" i="72" s="1"/>
  <c r="U118" i="72" s="1"/>
  <c r="V119" i="72" s="1"/>
  <c r="W120" i="72" s="1"/>
  <c r="X121" i="72" s="1"/>
  <c r="Y122" i="72" s="1"/>
  <c r="Z123" i="72" s="1"/>
  <c r="AA124" i="72" s="1"/>
  <c r="AB125" i="72" s="1"/>
  <c r="E134" i="72"/>
  <c r="F134" i="72" s="1"/>
  <c r="G11" i="72"/>
  <c r="H12" i="72" s="1"/>
  <c r="I13" i="72" s="1"/>
  <c r="J14" i="72" s="1"/>
  <c r="K15" i="72" s="1"/>
  <c r="L16" i="72" s="1"/>
  <c r="M17" i="72" s="1"/>
  <c r="N18" i="72" s="1"/>
  <c r="O19" i="72" s="1"/>
  <c r="P20" i="72" s="1"/>
  <c r="Q21" i="72" s="1"/>
  <c r="R22" i="72" s="1"/>
  <c r="S23" i="72" s="1"/>
  <c r="T24" i="72" s="1"/>
  <c r="U25" i="72" s="1"/>
  <c r="V26" i="72" s="1"/>
  <c r="W27" i="72" s="1"/>
  <c r="X28" i="72" s="1"/>
  <c r="Y29" i="72" s="1"/>
  <c r="Z30" i="72" s="1"/>
  <c r="AA31" i="72" s="1"/>
  <c r="AB32" i="72" s="1"/>
  <c r="G197" i="72"/>
  <c r="H198" i="72" s="1"/>
  <c r="I199" i="72" s="1"/>
  <c r="J200" i="72" s="1"/>
  <c r="K201" i="72" s="1"/>
  <c r="L202" i="72" s="1"/>
  <c r="M203" i="72" s="1"/>
  <c r="N204" i="72" s="1"/>
  <c r="O205" i="72" s="1"/>
  <c r="P206" i="72" s="1"/>
  <c r="Q207" i="72" s="1"/>
  <c r="R208" i="72" s="1"/>
  <c r="S209" i="72" s="1"/>
  <c r="T210" i="72" s="1"/>
  <c r="U211" i="72" s="1"/>
  <c r="V212" i="72" s="1"/>
  <c r="W213" i="72" s="1"/>
  <c r="X214" i="72" s="1"/>
  <c r="Y215" i="72" s="1"/>
  <c r="Z216" i="72" s="1"/>
  <c r="AA217" i="72" s="1"/>
  <c r="AB218" i="72" s="1"/>
  <c r="G42" i="72"/>
  <c r="H43" i="72" s="1"/>
  <c r="I44" i="72" s="1"/>
  <c r="J45" i="72" s="1"/>
  <c r="K46" i="72" s="1"/>
  <c r="L47" i="72" s="1"/>
  <c r="M48" i="72" s="1"/>
  <c r="N49" i="72" s="1"/>
  <c r="O50" i="72" s="1"/>
  <c r="P51" i="72" s="1"/>
  <c r="Q52" i="72" s="1"/>
  <c r="R53" i="72" s="1"/>
  <c r="S54" i="72" s="1"/>
  <c r="T55" i="72" s="1"/>
  <c r="U56" i="72" s="1"/>
  <c r="V57" i="72" s="1"/>
  <c r="W58" i="72" s="1"/>
  <c r="X59" i="72" s="1"/>
  <c r="Y60" i="72" s="1"/>
  <c r="Z61" i="72" s="1"/>
  <c r="AA62" i="72" s="1"/>
  <c r="AB63" i="72" s="1"/>
  <c r="G227" i="72"/>
  <c r="H228" i="72" s="1"/>
  <c r="I229" i="72" s="1"/>
  <c r="J230" i="72" s="1"/>
  <c r="K231" i="72" s="1"/>
  <c r="L232" i="72" s="1"/>
  <c r="M233" i="72" s="1"/>
  <c r="N234" i="72" s="1"/>
  <c r="O235" i="72" s="1"/>
  <c r="P236" i="72" s="1"/>
  <c r="Q237" i="72" s="1"/>
  <c r="R238" i="72" s="1"/>
  <c r="S239" i="72" s="1"/>
  <c r="T240" i="72" s="1"/>
  <c r="U241" i="72" s="1"/>
  <c r="V242" i="72" s="1"/>
  <c r="W243" i="72" s="1"/>
  <c r="X244" i="72" s="1"/>
  <c r="Y245" i="72" s="1"/>
  <c r="Z246" i="72" s="1"/>
  <c r="AA247" i="72" s="1"/>
  <c r="AB248" i="72" s="1"/>
  <c r="AC249" i="72" s="1"/>
  <c r="E258" i="72"/>
  <c r="F258" i="72" s="1"/>
  <c r="E11" i="72" l="1"/>
  <c r="F11" i="72" s="1"/>
  <c r="G12" i="72" s="1"/>
  <c r="H13" i="72" s="1"/>
  <c r="I14" i="72" s="1"/>
  <c r="J15" i="72" s="1"/>
  <c r="K16" i="72" s="1"/>
  <c r="L17" i="72" s="1"/>
  <c r="M18" i="72" s="1"/>
  <c r="N19" i="72" s="1"/>
  <c r="O20" i="72" s="1"/>
  <c r="P21" i="72" s="1"/>
  <c r="Q22" i="72" s="1"/>
  <c r="R23" i="72" s="1"/>
  <c r="S24" i="72" s="1"/>
  <c r="T25" i="72" s="1"/>
  <c r="U26" i="72" s="1"/>
  <c r="V27" i="72" s="1"/>
  <c r="W28" i="72" s="1"/>
  <c r="X29" i="72" s="1"/>
  <c r="Y30" i="72" s="1"/>
  <c r="Z31" i="72" s="1"/>
  <c r="AA32" i="72" s="1"/>
  <c r="E42" i="72"/>
  <c r="F42" i="72" s="1"/>
  <c r="G43" i="72" s="1"/>
  <c r="H44" i="72" s="1"/>
  <c r="I45" i="72" s="1"/>
  <c r="J46" i="72" s="1"/>
  <c r="K47" i="72" s="1"/>
  <c r="L48" i="72" s="1"/>
  <c r="M49" i="72" s="1"/>
  <c r="N50" i="72" s="1"/>
  <c r="O51" i="72" s="1"/>
  <c r="P52" i="72" s="1"/>
  <c r="Q53" i="72" s="1"/>
  <c r="R54" i="72" s="1"/>
  <c r="S55" i="72" s="1"/>
  <c r="T56" i="72" s="1"/>
  <c r="U57" i="72" s="1"/>
  <c r="V58" i="72" s="1"/>
  <c r="W59" i="72" s="1"/>
  <c r="X60" i="72" s="1"/>
  <c r="Y61" i="72" s="1"/>
  <c r="Z62" i="72" s="1"/>
  <c r="AA63" i="72" s="1"/>
  <c r="G259" i="72"/>
  <c r="H260" i="72" s="1"/>
  <c r="I261" i="72" s="1"/>
  <c r="J262" i="72" s="1"/>
  <c r="K263" i="72" s="1"/>
  <c r="L264" i="72" s="1"/>
  <c r="M265" i="72" s="1"/>
  <c r="N266" i="72" s="1"/>
  <c r="O267" i="72" s="1"/>
  <c r="P268" i="72" s="1"/>
  <c r="Q269" i="72" s="1"/>
  <c r="R270" i="72" s="1"/>
  <c r="S271" i="72" s="1"/>
  <c r="T272" i="72" s="1"/>
  <c r="U273" i="72" s="1"/>
  <c r="V274" i="72" s="1"/>
  <c r="W275" i="72" s="1"/>
  <c r="X276" i="72" s="1"/>
  <c r="Y277" i="72" s="1"/>
  <c r="Z278" i="72" s="1"/>
  <c r="AA279" i="72" s="1"/>
  <c r="AB280" i="72" s="1"/>
  <c r="E104" i="72"/>
  <c r="F104" i="72" s="1"/>
  <c r="G135" i="72"/>
  <c r="H136" i="72" s="1"/>
  <c r="I137" i="72" s="1"/>
  <c r="J138" i="72" s="1"/>
  <c r="K139" i="72" s="1"/>
  <c r="L140" i="72" s="1"/>
  <c r="M141" i="72" s="1"/>
  <c r="N142" i="72" s="1"/>
  <c r="O143" i="72" s="1"/>
  <c r="P144" i="72" s="1"/>
  <c r="Q145" i="72" s="1"/>
  <c r="R146" i="72" s="1"/>
  <c r="S147" i="72" s="1"/>
  <c r="T148" i="72" s="1"/>
  <c r="U149" i="72" s="1"/>
  <c r="V150" i="72" s="1"/>
  <c r="W151" i="72" s="1"/>
  <c r="X152" i="72" s="1"/>
  <c r="Y153" i="72" s="1"/>
  <c r="Z154" i="72" s="1"/>
  <c r="AA155" i="72" s="1"/>
  <c r="AB156" i="72" s="1"/>
  <c r="E73" i="72"/>
  <c r="F73" i="72" s="1"/>
  <c r="E227" i="72"/>
  <c r="F227" i="72" s="1"/>
  <c r="E197" i="72"/>
  <c r="F197" i="72" s="1"/>
  <c r="E167" i="72"/>
  <c r="F167" i="72" s="1"/>
  <c r="E291" i="72"/>
  <c r="F291" i="72" s="1"/>
  <c r="E135" i="72" l="1"/>
  <c r="F135" i="72" s="1"/>
  <c r="G136" i="72" s="1"/>
  <c r="H137" i="72" s="1"/>
  <c r="I138" i="72" s="1"/>
  <c r="J139" i="72" s="1"/>
  <c r="K140" i="72" s="1"/>
  <c r="L141" i="72" s="1"/>
  <c r="M142" i="72" s="1"/>
  <c r="N143" i="72" s="1"/>
  <c r="O144" i="72" s="1"/>
  <c r="P145" i="72" s="1"/>
  <c r="Q146" i="72" s="1"/>
  <c r="R147" i="72" s="1"/>
  <c r="S148" i="72" s="1"/>
  <c r="T149" i="72" s="1"/>
  <c r="U150" i="72" s="1"/>
  <c r="V151" i="72" s="1"/>
  <c r="W152" i="72" s="1"/>
  <c r="X153" i="72" s="1"/>
  <c r="Y154" i="72" s="1"/>
  <c r="Z155" i="72" s="1"/>
  <c r="AA156" i="72" s="1"/>
  <c r="E12" i="72"/>
  <c r="F12" i="72" s="1"/>
  <c r="G13" i="72" s="1"/>
  <c r="H14" i="72" s="1"/>
  <c r="I15" i="72" s="1"/>
  <c r="J16" i="72" s="1"/>
  <c r="K17" i="72" s="1"/>
  <c r="L18" i="72" s="1"/>
  <c r="M19" i="72" s="1"/>
  <c r="N20" i="72" s="1"/>
  <c r="O21" i="72" s="1"/>
  <c r="P22" i="72" s="1"/>
  <c r="Q23" i="72" s="1"/>
  <c r="R24" i="72" s="1"/>
  <c r="S25" i="72" s="1"/>
  <c r="T26" i="72" s="1"/>
  <c r="U27" i="72" s="1"/>
  <c r="V28" i="72" s="1"/>
  <c r="W29" i="72" s="1"/>
  <c r="X30" i="72" s="1"/>
  <c r="Y31" i="72" s="1"/>
  <c r="Z32" i="72" s="1"/>
  <c r="G292" i="72"/>
  <c r="H293" i="72" s="1"/>
  <c r="I294" i="72" s="1"/>
  <c r="J295" i="72" s="1"/>
  <c r="K296" i="72" s="1"/>
  <c r="L297" i="72" s="1"/>
  <c r="M298" i="72" s="1"/>
  <c r="N299" i="72" s="1"/>
  <c r="O300" i="72" s="1"/>
  <c r="P301" i="72" s="1"/>
  <c r="Q302" i="72" s="1"/>
  <c r="R303" i="72" s="1"/>
  <c r="S304" i="72" s="1"/>
  <c r="T305" i="72" s="1"/>
  <c r="U306" i="72" s="1"/>
  <c r="V307" i="72" s="1"/>
  <c r="W308" i="72" s="1"/>
  <c r="X309" i="72" s="1"/>
  <c r="Y310" i="72" s="1"/>
  <c r="Z311" i="72" s="1"/>
  <c r="G74" i="72"/>
  <c r="H75" i="72" s="1"/>
  <c r="I76" i="72" s="1"/>
  <c r="J77" i="72" s="1"/>
  <c r="K78" i="72" s="1"/>
  <c r="L79" i="72" s="1"/>
  <c r="M80" i="72" s="1"/>
  <c r="N81" i="72" s="1"/>
  <c r="O82" i="72" s="1"/>
  <c r="P83" i="72" s="1"/>
  <c r="Q84" i="72" s="1"/>
  <c r="R85" i="72" s="1"/>
  <c r="S86" i="72" s="1"/>
  <c r="T87" i="72" s="1"/>
  <c r="U88" i="72" s="1"/>
  <c r="V89" i="72" s="1"/>
  <c r="W90" i="72" s="1"/>
  <c r="X91" i="72" s="1"/>
  <c r="Y92" i="72" s="1"/>
  <c r="Z93" i="72" s="1"/>
  <c r="AA94" i="72" s="1"/>
  <c r="G105" i="72"/>
  <c r="H106" i="72" s="1"/>
  <c r="I107" i="72" s="1"/>
  <c r="J108" i="72" s="1"/>
  <c r="K109" i="72" s="1"/>
  <c r="L110" i="72" s="1"/>
  <c r="M111" i="72" s="1"/>
  <c r="N112" i="72" s="1"/>
  <c r="O113" i="72" s="1"/>
  <c r="P114" i="72" s="1"/>
  <c r="Q115" i="72" s="1"/>
  <c r="R116" i="72" s="1"/>
  <c r="S117" i="72" s="1"/>
  <c r="T118" i="72" s="1"/>
  <c r="U119" i="72" s="1"/>
  <c r="V120" i="72" s="1"/>
  <c r="W121" i="72" s="1"/>
  <c r="X122" i="72" s="1"/>
  <c r="Y123" i="72" s="1"/>
  <c r="Z124" i="72" s="1"/>
  <c r="AA125" i="72" s="1"/>
  <c r="G168" i="72"/>
  <c r="H169" i="72" s="1"/>
  <c r="I170" i="72" s="1"/>
  <c r="J171" i="72" s="1"/>
  <c r="K172" i="72" s="1"/>
  <c r="L173" i="72" s="1"/>
  <c r="M174" i="72" s="1"/>
  <c r="N175" i="72" s="1"/>
  <c r="O176" i="72" s="1"/>
  <c r="P177" i="72" s="1"/>
  <c r="Q178" i="72" s="1"/>
  <c r="R179" i="72" s="1"/>
  <c r="S180" i="72" s="1"/>
  <c r="T181" i="72" s="1"/>
  <c r="U182" i="72" s="1"/>
  <c r="V183" i="72" s="1"/>
  <c r="W184" i="72" s="1"/>
  <c r="X185" i="72" s="1"/>
  <c r="Y186" i="72" s="1"/>
  <c r="Z187" i="72" s="1"/>
  <c r="G198" i="72"/>
  <c r="H199" i="72" s="1"/>
  <c r="I200" i="72" s="1"/>
  <c r="J201" i="72" s="1"/>
  <c r="K202" i="72" s="1"/>
  <c r="L203" i="72" s="1"/>
  <c r="M204" i="72" s="1"/>
  <c r="N205" i="72" s="1"/>
  <c r="O206" i="72" s="1"/>
  <c r="P207" i="72" s="1"/>
  <c r="Q208" i="72" s="1"/>
  <c r="R209" i="72" s="1"/>
  <c r="S210" i="72" s="1"/>
  <c r="T211" i="72" s="1"/>
  <c r="U212" i="72" s="1"/>
  <c r="V213" i="72" s="1"/>
  <c r="W214" i="72" s="1"/>
  <c r="X215" i="72" s="1"/>
  <c r="Y216" i="72" s="1"/>
  <c r="Z217" i="72" s="1"/>
  <c r="AA218" i="72" s="1"/>
  <c r="E43" i="72"/>
  <c r="F43" i="72" s="1"/>
  <c r="E259" i="72"/>
  <c r="F259" i="72" s="1"/>
  <c r="G228" i="72"/>
  <c r="H229" i="72" s="1"/>
  <c r="I230" i="72" s="1"/>
  <c r="J231" i="72" s="1"/>
  <c r="K232" i="72" s="1"/>
  <c r="L233" i="72" s="1"/>
  <c r="M234" i="72" s="1"/>
  <c r="N235" i="72" s="1"/>
  <c r="O236" i="72" s="1"/>
  <c r="P237" i="72" s="1"/>
  <c r="Q238" i="72" s="1"/>
  <c r="R239" i="72" s="1"/>
  <c r="S240" i="72" s="1"/>
  <c r="T241" i="72" s="1"/>
  <c r="U242" i="72" s="1"/>
  <c r="V243" i="72" s="1"/>
  <c r="W244" i="72" s="1"/>
  <c r="X245" i="72" s="1"/>
  <c r="Y246" i="72" s="1"/>
  <c r="Z247" i="72" s="1"/>
  <c r="AA248" i="72" s="1"/>
  <c r="AB249" i="72" s="1"/>
  <c r="E228" i="72" l="1"/>
  <c r="F228" i="72" s="1"/>
  <c r="G229" i="72" s="1"/>
  <c r="H230" i="72" s="1"/>
  <c r="I231" i="72" s="1"/>
  <c r="J232" i="72" s="1"/>
  <c r="K233" i="72" s="1"/>
  <c r="L234" i="72" s="1"/>
  <c r="M235" i="72" s="1"/>
  <c r="N236" i="72" s="1"/>
  <c r="O237" i="72" s="1"/>
  <c r="P238" i="72" s="1"/>
  <c r="Q239" i="72" s="1"/>
  <c r="R240" i="72" s="1"/>
  <c r="S241" i="72" s="1"/>
  <c r="T242" i="72" s="1"/>
  <c r="U243" i="72" s="1"/>
  <c r="V244" i="72" s="1"/>
  <c r="W245" i="72" s="1"/>
  <c r="X246" i="72" s="1"/>
  <c r="Y247" i="72" s="1"/>
  <c r="Z248" i="72" s="1"/>
  <c r="AA249" i="72" s="1"/>
  <c r="E198" i="72"/>
  <c r="F198" i="72" s="1"/>
  <c r="G199" i="72" s="1"/>
  <c r="H200" i="72" s="1"/>
  <c r="I201" i="72" s="1"/>
  <c r="J202" i="72" s="1"/>
  <c r="K203" i="72" s="1"/>
  <c r="L204" i="72" s="1"/>
  <c r="M205" i="72" s="1"/>
  <c r="N206" i="72" s="1"/>
  <c r="O207" i="72" s="1"/>
  <c r="P208" i="72" s="1"/>
  <c r="Q209" i="72" s="1"/>
  <c r="R210" i="72" s="1"/>
  <c r="S211" i="72" s="1"/>
  <c r="T212" i="72" s="1"/>
  <c r="U213" i="72" s="1"/>
  <c r="V214" i="72" s="1"/>
  <c r="W215" i="72" s="1"/>
  <c r="X216" i="72" s="1"/>
  <c r="Y217" i="72" s="1"/>
  <c r="Z218" i="72" s="1"/>
  <c r="E105" i="72"/>
  <c r="F105" i="72" s="1"/>
  <c r="G106" i="72" s="1"/>
  <c r="H107" i="72" s="1"/>
  <c r="I108" i="72" s="1"/>
  <c r="J109" i="72" s="1"/>
  <c r="K110" i="72" s="1"/>
  <c r="L111" i="72" s="1"/>
  <c r="M112" i="72" s="1"/>
  <c r="N113" i="72" s="1"/>
  <c r="O114" i="72" s="1"/>
  <c r="P115" i="72" s="1"/>
  <c r="Q116" i="72" s="1"/>
  <c r="R117" i="72" s="1"/>
  <c r="S118" i="72" s="1"/>
  <c r="T119" i="72" s="1"/>
  <c r="U120" i="72" s="1"/>
  <c r="V121" i="72" s="1"/>
  <c r="W122" i="72" s="1"/>
  <c r="X123" i="72" s="1"/>
  <c r="Y124" i="72" s="1"/>
  <c r="Z125" i="72" s="1"/>
  <c r="E136" i="72"/>
  <c r="F136" i="72" s="1"/>
  <c r="G137" i="72" s="1"/>
  <c r="H138" i="72" s="1"/>
  <c r="I139" i="72" s="1"/>
  <c r="J140" i="72" s="1"/>
  <c r="K141" i="72" s="1"/>
  <c r="L142" i="72" s="1"/>
  <c r="M143" i="72" s="1"/>
  <c r="N144" i="72" s="1"/>
  <c r="O145" i="72" s="1"/>
  <c r="P146" i="72" s="1"/>
  <c r="Q147" i="72" s="1"/>
  <c r="R148" i="72" s="1"/>
  <c r="S149" i="72" s="1"/>
  <c r="T150" i="72" s="1"/>
  <c r="U151" i="72" s="1"/>
  <c r="V152" i="72" s="1"/>
  <c r="W153" i="72" s="1"/>
  <c r="X154" i="72" s="1"/>
  <c r="Y155" i="72" s="1"/>
  <c r="Z156" i="72" s="1"/>
  <c r="E168" i="72"/>
  <c r="F168" i="72" s="1"/>
  <c r="G169" i="72" s="1"/>
  <c r="H170" i="72" s="1"/>
  <c r="I171" i="72" s="1"/>
  <c r="J172" i="72" s="1"/>
  <c r="K173" i="72" s="1"/>
  <c r="L174" i="72" s="1"/>
  <c r="M175" i="72" s="1"/>
  <c r="N176" i="72" s="1"/>
  <c r="O177" i="72" s="1"/>
  <c r="P178" i="72" s="1"/>
  <c r="Q179" i="72" s="1"/>
  <c r="R180" i="72" s="1"/>
  <c r="S181" i="72" s="1"/>
  <c r="T182" i="72" s="1"/>
  <c r="U183" i="72" s="1"/>
  <c r="V184" i="72" s="1"/>
  <c r="W185" i="72" s="1"/>
  <c r="X186" i="72" s="1"/>
  <c r="Y187" i="72" s="1"/>
  <c r="G44" i="72"/>
  <c r="H45" i="72" s="1"/>
  <c r="I46" i="72" s="1"/>
  <c r="J47" i="72" s="1"/>
  <c r="K48" i="72" s="1"/>
  <c r="L49" i="72" s="1"/>
  <c r="M50" i="72" s="1"/>
  <c r="N51" i="72" s="1"/>
  <c r="O52" i="72" s="1"/>
  <c r="P53" i="72" s="1"/>
  <c r="Q54" i="72" s="1"/>
  <c r="R55" i="72" s="1"/>
  <c r="S56" i="72" s="1"/>
  <c r="T57" i="72" s="1"/>
  <c r="U58" i="72" s="1"/>
  <c r="V59" i="72" s="1"/>
  <c r="W60" i="72" s="1"/>
  <c r="X61" i="72" s="1"/>
  <c r="Y62" i="72" s="1"/>
  <c r="Z63" i="72" s="1"/>
  <c r="E74" i="72"/>
  <c r="F74" i="72" s="1"/>
  <c r="E13" i="72"/>
  <c r="F13" i="72" s="1"/>
  <c r="E292" i="72"/>
  <c r="F292" i="72" s="1"/>
  <c r="G260" i="72"/>
  <c r="H261" i="72" s="1"/>
  <c r="I262" i="72" s="1"/>
  <c r="J263" i="72" s="1"/>
  <c r="K264" i="72" s="1"/>
  <c r="L265" i="72" s="1"/>
  <c r="M266" i="72" s="1"/>
  <c r="N267" i="72" s="1"/>
  <c r="O268" i="72" s="1"/>
  <c r="P269" i="72" s="1"/>
  <c r="Q270" i="72" s="1"/>
  <c r="R271" i="72" s="1"/>
  <c r="S272" i="72" s="1"/>
  <c r="T273" i="72" s="1"/>
  <c r="U274" i="72" s="1"/>
  <c r="V275" i="72" s="1"/>
  <c r="W276" i="72" s="1"/>
  <c r="X277" i="72" s="1"/>
  <c r="Y278" i="72" s="1"/>
  <c r="Z279" i="72" s="1"/>
  <c r="AA280" i="72" s="1"/>
  <c r="E229" i="72" l="1"/>
  <c r="F229" i="72" s="1"/>
  <c r="G230" i="72" s="1"/>
  <c r="H231" i="72" s="1"/>
  <c r="I232" i="72" s="1"/>
  <c r="J233" i="72" s="1"/>
  <c r="K234" i="72" s="1"/>
  <c r="L235" i="72" s="1"/>
  <c r="M236" i="72" s="1"/>
  <c r="N237" i="72" s="1"/>
  <c r="O238" i="72" s="1"/>
  <c r="P239" i="72" s="1"/>
  <c r="Q240" i="72" s="1"/>
  <c r="R241" i="72" s="1"/>
  <c r="S242" i="72" s="1"/>
  <c r="T243" i="72" s="1"/>
  <c r="U244" i="72" s="1"/>
  <c r="V245" i="72" s="1"/>
  <c r="W246" i="72" s="1"/>
  <c r="X247" i="72" s="1"/>
  <c r="Y248" i="72" s="1"/>
  <c r="Z249" i="72" s="1"/>
  <c r="E137" i="72"/>
  <c r="F137" i="72" s="1"/>
  <c r="G138" i="72" s="1"/>
  <c r="H139" i="72" s="1"/>
  <c r="I140" i="72" s="1"/>
  <c r="J141" i="72" s="1"/>
  <c r="K142" i="72" s="1"/>
  <c r="L143" i="72" s="1"/>
  <c r="M144" i="72" s="1"/>
  <c r="N145" i="72" s="1"/>
  <c r="O146" i="72" s="1"/>
  <c r="P147" i="72" s="1"/>
  <c r="Q148" i="72" s="1"/>
  <c r="R149" i="72" s="1"/>
  <c r="S150" i="72" s="1"/>
  <c r="T151" i="72" s="1"/>
  <c r="U152" i="72" s="1"/>
  <c r="V153" i="72" s="1"/>
  <c r="W154" i="72" s="1"/>
  <c r="X155" i="72" s="1"/>
  <c r="Y156" i="72" s="1"/>
  <c r="E260" i="72"/>
  <c r="F260" i="72" s="1"/>
  <c r="E199" i="72"/>
  <c r="F199" i="72" s="1"/>
  <c r="G293" i="72"/>
  <c r="H294" i="72" s="1"/>
  <c r="I295" i="72" s="1"/>
  <c r="J296" i="72" s="1"/>
  <c r="K297" i="72" s="1"/>
  <c r="L298" i="72" s="1"/>
  <c r="M299" i="72" s="1"/>
  <c r="N300" i="72" s="1"/>
  <c r="O301" i="72" s="1"/>
  <c r="P302" i="72" s="1"/>
  <c r="Q303" i="72" s="1"/>
  <c r="R304" i="72" s="1"/>
  <c r="S305" i="72" s="1"/>
  <c r="T306" i="72" s="1"/>
  <c r="U307" i="72" s="1"/>
  <c r="V308" i="72" s="1"/>
  <c r="W309" i="72" s="1"/>
  <c r="X310" i="72" s="1"/>
  <c r="Y311" i="72" s="1"/>
  <c r="G75" i="72"/>
  <c r="H76" i="72" s="1"/>
  <c r="I77" i="72" s="1"/>
  <c r="J78" i="72" s="1"/>
  <c r="K79" i="72" s="1"/>
  <c r="L80" i="72" s="1"/>
  <c r="M81" i="72" s="1"/>
  <c r="N82" i="72" s="1"/>
  <c r="O83" i="72" s="1"/>
  <c r="P84" i="72" s="1"/>
  <c r="Q85" i="72" s="1"/>
  <c r="R86" i="72" s="1"/>
  <c r="S87" i="72" s="1"/>
  <c r="T88" i="72" s="1"/>
  <c r="U89" i="72" s="1"/>
  <c r="V90" i="72" s="1"/>
  <c r="W91" i="72" s="1"/>
  <c r="X92" i="72" s="1"/>
  <c r="Y93" i="72" s="1"/>
  <c r="Z94" i="72" s="1"/>
  <c r="G14" i="72"/>
  <c r="H15" i="72" s="1"/>
  <c r="I16" i="72" s="1"/>
  <c r="J17" i="72" s="1"/>
  <c r="K18" i="72" s="1"/>
  <c r="L19" i="72" s="1"/>
  <c r="M20" i="72" s="1"/>
  <c r="N21" i="72" s="1"/>
  <c r="O22" i="72" s="1"/>
  <c r="P23" i="72" s="1"/>
  <c r="Q24" i="72" s="1"/>
  <c r="R25" i="72" s="1"/>
  <c r="S26" i="72" s="1"/>
  <c r="T27" i="72" s="1"/>
  <c r="U28" i="72" s="1"/>
  <c r="V29" i="72" s="1"/>
  <c r="W30" i="72" s="1"/>
  <c r="X31" i="72" s="1"/>
  <c r="Y32" i="72" s="1"/>
  <c r="E169" i="72"/>
  <c r="F169" i="72" s="1"/>
  <c r="E106" i="72"/>
  <c r="F106" i="72" s="1"/>
  <c r="E44" i="72"/>
  <c r="F44" i="72" s="1"/>
  <c r="E230" i="72" l="1"/>
  <c r="F230" i="72" s="1"/>
  <c r="G231" i="72" s="1"/>
  <c r="H232" i="72" s="1"/>
  <c r="I233" i="72" s="1"/>
  <c r="J234" i="72" s="1"/>
  <c r="K235" i="72" s="1"/>
  <c r="L236" i="72" s="1"/>
  <c r="M237" i="72" s="1"/>
  <c r="N238" i="72" s="1"/>
  <c r="O239" i="72" s="1"/>
  <c r="P240" i="72" s="1"/>
  <c r="Q241" i="72" s="1"/>
  <c r="R242" i="72" s="1"/>
  <c r="S243" i="72" s="1"/>
  <c r="T244" i="72" s="1"/>
  <c r="U245" i="72" s="1"/>
  <c r="V246" i="72" s="1"/>
  <c r="W247" i="72" s="1"/>
  <c r="X248" i="72" s="1"/>
  <c r="Y249" i="72" s="1"/>
  <c r="E14" i="72"/>
  <c r="F14" i="72" s="1"/>
  <c r="G15" i="72" s="1"/>
  <c r="H16" i="72" s="1"/>
  <c r="I17" i="72" s="1"/>
  <c r="J18" i="72" s="1"/>
  <c r="K19" i="72" s="1"/>
  <c r="L20" i="72" s="1"/>
  <c r="M21" i="72" s="1"/>
  <c r="N22" i="72" s="1"/>
  <c r="O23" i="72" s="1"/>
  <c r="P24" i="72" s="1"/>
  <c r="Q25" i="72" s="1"/>
  <c r="R26" i="72" s="1"/>
  <c r="S27" i="72" s="1"/>
  <c r="T28" i="72" s="1"/>
  <c r="U29" i="72" s="1"/>
  <c r="V30" i="72" s="1"/>
  <c r="W31" i="72" s="1"/>
  <c r="X32" i="72" s="1"/>
  <c r="E75" i="72"/>
  <c r="F75" i="72" s="1"/>
  <c r="G107" i="72"/>
  <c r="H108" i="72" s="1"/>
  <c r="I109" i="72" s="1"/>
  <c r="J110" i="72" s="1"/>
  <c r="K111" i="72" s="1"/>
  <c r="L112" i="72" s="1"/>
  <c r="M113" i="72" s="1"/>
  <c r="N114" i="72" s="1"/>
  <c r="O115" i="72" s="1"/>
  <c r="P116" i="72" s="1"/>
  <c r="Q117" i="72" s="1"/>
  <c r="R118" i="72" s="1"/>
  <c r="S119" i="72" s="1"/>
  <c r="T120" i="72" s="1"/>
  <c r="U121" i="72" s="1"/>
  <c r="V122" i="72" s="1"/>
  <c r="W123" i="72" s="1"/>
  <c r="X124" i="72" s="1"/>
  <c r="Y125" i="72" s="1"/>
  <c r="G45" i="72"/>
  <c r="H46" i="72" s="1"/>
  <c r="I47" i="72" s="1"/>
  <c r="J48" i="72" s="1"/>
  <c r="K49" i="72" s="1"/>
  <c r="L50" i="72" s="1"/>
  <c r="M51" i="72" s="1"/>
  <c r="N52" i="72" s="1"/>
  <c r="O53" i="72" s="1"/>
  <c r="P54" i="72" s="1"/>
  <c r="Q55" i="72" s="1"/>
  <c r="R56" i="72" s="1"/>
  <c r="S57" i="72" s="1"/>
  <c r="T58" i="72" s="1"/>
  <c r="U59" i="72" s="1"/>
  <c r="V60" i="72" s="1"/>
  <c r="W61" i="72" s="1"/>
  <c r="X62" i="72" s="1"/>
  <c r="Y63" i="72" s="1"/>
  <c r="E293" i="72"/>
  <c r="F293" i="72" s="1"/>
  <c r="G170" i="72"/>
  <c r="H171" i="72" s="1"/>
  <c r="I172" i="72" s="1"/>
  <c r="J173" i="72" s="1"/>
  <c r="K174" i="72" s="1"/>
  <c r="L175" i="72" s="1"/>
  <c r="M176" i="72" s="1"/>
  <c r="N177" i="72" s="1"/>
  <c r="O178" i="72" s="1"/>
  <c r="P179" i="72" s="1"/>
  <c r="Q180" i="72" s="1"/>
  <c r="R181" i="72" s="1"/>
  <c r="S182" i="72" s="1"/>
  <c r="T183" i="72" s="1"/>
  <c r="U184" i="72" s="1"/>
  <c r="V185" i="72" s="1"/>
  <c r="W186" i="72" s="1"/>
  <c r="X187" i="72" s="1"/>
  <c r="G200" i="72"/>
  <c r="H201" i="72" s="1"/>
  <c r="I202" i="72" s="1"/>
  <c r="J203" i="72" s="1"/>
  <c r="K204" i="72" s="1"/>
  <c r="L205" i="72" s="1"/>
  <c r="M206" i="72" s="1"/>
  <c r="N207" i="72" s="1"/>
  <c r="O208" i="72" s="1"/>
  <c r="P209" i="72" s="1"/>
  <c r="Q210" i="72" s="1"/>
  <c r="R211" i="72" s="1"/>
  <c r="S212" i="72" s="1"/>
  <c r="T213" i="72" s="1"/>
  <c r="U214" i="72" s="1"/>
  <c r="V215" i="72" s="1"/>
  <c r="W216" i="72" s="1"/>
  <c r="X217" i="72" s="1"/>
  <c r="Y218" i="72" s="1"/>
  <c r="E138" i="72"/>
  <c r="F138" i="72" s="1"/>
  <c r="G261" i="72"/>
  <c r="H262" i="72" s="1"/>
  <c r="I263" i="72" s="1"/>
  <c r="J264" i="72" s="1"/>
  <c r="K265" i="72" s="1"/>
  <c r="L266" i="72" s="1"/>
  <c r="M267" i="72" s="1"/>
  <c r="N268" i="72" s="1"/>
  <c r="O269" i="72" s="1"/>
  <c r="P270" i="72" s="1"/>
  <c r="Q271" i="72" s="1"/>
  <c r="R272" i="72" s="1"/>
  <c r="S273" i="72" s="1"/>
  <c r="T274" i="72" s="1"/>
  <c r="U275" i="72" s="1"/>
  <c r="V276" i="72" s="1"/>
  <c r="W277" i="72" s="1"/>
  <c r="X278" i="72" s="1"/>
  <c r="Y279" i="72" s="1"/>
  <c r="Z280" i="72" s="1"/>
  <c r="E261" i="72" l="1"/>
  <c r="F261" i="72" s="1"/>
  <c r="G262" i="72" s="1"/>
  <c r="H263" i="72" s="1"/>
  <c r="I264" i="72" s="1"/>
  <c r="J265" i="72" s="1"/>
  <c r="K266" i="72" s="1"/>
  <c r="L267" i="72" s="1"/>
  <c r="M268" i="72" s="1"/>
  <c r="N269" i="72" s="1"/>
  <c r="O270" i="72" s="1"/>
  <c r="P271" i="72" s="1"/>
  <c r="Q272" i="72" s="1"/>
  <c r="R273" i="72" s="1"/>
  <c r="S274" i="72" s="1"/>
  <c r="T275" i="72" s="1"/>
  <c r="U276" i="72" s="1"/>
  <c r="V277" i="72" s="1"/>
  <c r="W278" i="72" s="1"/>
  <c r="X279" i="72" s="1"/>
  <c r="Y280" i="72" s="1"/>
  <c r="E45" i="72"/>
  <c r="F45" i="72" s="1"/>
  <c r="G46" i="72" s="1"/>
  <c r="H47" i="72" s="1"/>
  <c r="I48" i="72" s="1"/>
  <c r="J49" i="72" s="1"/>
  <c r="K50" i="72" s="1"/>
  <c r="L51" i="72" s="1"/>
  <c r="M52" i="72" s="1"/>
  <c r="N53" i="72" s="1"/>
  <c r="O54" i="72" s="1"/>
  <c r="P55" i="72" s="1"/>
  <c r="Q56" i="72" s="1"/>
  <c r="R57" i="72" s="1"/>
  <c r="S58" i="72" s="1"/>
  <c r="T59" i="72" s="1"/>
  <c r="U60" i="72" s="1"/>
  <c r="V61" i="72" s="1"/>
  <c r="W62" i="72" s="1"/>
  <c r="X63" i="72" s="1"/>
  <c r="E170" i="72"/>
  <c r="F170" i="72" s="1"/>
  <c r="G171" i="72" s="1"/>
  <c r="H172" i="72" s="1"/>
  <c r="I173" i="72" s="1"/>
  <c r="J174" i="72" s="1"/>
  <c r="K175" i="72" s="1"/>
  <c r="L176" i="72" s="1"/>
  <c r="M177" i="72" s="1"/>
  <c r="N178" i="72" s="1"/>
  <c r="O179" i="72" s="1"/>
  <c r="P180" i="72" s="1"/>
  <c r="Q181" i="72" s="1"/>
  <c r="R182" i="72" s="1"/>
  <c r="S183" i="72" s="1"/>
  <c r="T184" i="72" s="1"/>
  <c r="U185" i="72" s="1"/>
  <c r="V186" i="72" s="1"/>
  <c r="W187" i="72" s="1"/>
  <c r="E200" i="72"/>
  <c r="F200" i="72" s="1"/>
  <c r="G201" i="72" s="1"/>
  <c r="H202" i="72" s="1"/>
  <c r="I203" i="72" s="1"/>
  <c r="J204" i="72" s="1"/>
  <c r="K205" i="72" s="1"/>
  <c r="L206" i="72" s="1"/>
  <c r="M207" i="72" s="1"/>
  <c r="N208" i="72" s="1"/>
  <c r="O209" i="72" s="1"/>
  <c r="P210" i="72" s="1"/>
  <c r="Q211" i="72" s="1"/>
  <c r="R212" i="72" s="1"/>
  <c r="S213" i="72" s="1"/>
  <c r="T214" i="72" s="1"/>
  <c r="U215" i="72" s="1"/>
  <c r="V216" i="72" s="1"/>
  <c r="W217" i="72" s="1"/>
  <c r="X218" i="72" s="1"/>
  <c r="E107" i="72"/>
  <c r="F107" i="72" s="1"/>
  <c r="E231" i="72"/>
  <c r="F231" i="72" s="1"/>
  <c r="G139" i="72"/>
  <c r="H140" i="72" s="1"/>
  <c r="I141" i="72" s="1"/>
  <c r="J142" i="72" s="1"/>
  <c r="K143" i="72" s="1"/>
  <c r="L144" i="72" s="1"/>
  <c r="M145" i="72" s="1"/>
  <c r="N146" i="72" s="1"/>
  <c r="O147" i="72" s="1"/>
  <c r="P148" i="72" s="1"/>
  <c r="Q149" i="72" s="1"/>
  <c r="R150" i="72" s="1"/>
  <c r="S151" i="72" s="1"/>
  <c r="T152" i="72" s="1"/>
  <c r="U153" i="72" s="1"/>
  <c r="V154" i="72" s="1"/>
  <c r="W155" i="72" s="1"/>
  <c r="X156" i="72" s="1"/>
  <c r="G76" i="72"/>
  <c r="H77" i="72" s="1"/>
  <c r="I78" i="72" s="1"/>
  <c r="J79" i="72" s="1"/>
  <c r="K80" i="72" s="1"/>
  <c r="L81" i="72" s="1"/>
  <c r="M82" i="72" s="1"/>
  <c r="N83" i="72" s="1"/>
  <c r="O84" i="72" s="1"/>
  <c r="P85" i="72" s="1"/>
  <c r="Q86" i="72" s="1"/>
  <c r="R87" i="72" s="1"/>
  <c r="S88" i="72" s="1"/>
  <c r="T89" i="72" s="1"/>
  <c r="U90" i="72" s="1"/>
  <c r="V91" i="72" s="1"/>
  <c r="W92" i="72" s="1"/>
  <c r="X93" i="72" s="1"/>
  <c r="Y94" i="72" s="1"/>
  <c r="E15" i="72"/>
  <c r="F15" i="72" s="1"/>
  <c r="G294" i="72"/>
  <c r="H295" i="72" s="1"/>
  <c r="I296" i="72" s="1"/>
  <c r="J297" i="72" s="1"/>
  <c r="K298" i="72" s="1"/>
  <c r="L299" i="72" s="1"/>
  <c r="M300" i="72" s="1"/>
  <c r="N301" i="72" s="1"/>
  <c r="O302" i="72" s="1"/>
  <c r="P303" i="72" s="1"/>
  <c r="Q304" i="72" s="1"/>
  <c r="R305" i="72" s="1"/>
  <c r="S306" i="72" s="1"/>
  <c r="T307" i="72" s="1"/>
  <c r="U308" i="72" s="1"/>
  <c r="V309" i="72" s="1"/>
  <c r="W310" i="72" s="1"/>
  <c r="X311" i="72" s="1"/>
  <c r="E201" i="72" l="1"/>
  <c r="F201" i="72" s="1"/>
  <c r="G202" i="72" s="1"/>
  <c r="H203" i="72" s="1"/>
  <c r="I204" i="72" s="1"/>
  <c r="J205" i="72" s="1"/>
  <c r="K206" i="72" s="1"/>
  <c r="L207" i="72" s="1"/>
  <c r="M208" i="72" s="1"/>
  <c r="N209" i="72" s="1"/>
  <c r="O210" i="72" s="1"/>
  <c r="P211" i="72" s="1"/>
  <c r="Q212" i="72" s="1"/>
  <c r="R213" i="72" s="1"/>
  <c r="S214" i="72" s="1"/>
  <c r="T215" i="72" s="1"/>
  <c r="U216" i="72" s="1"/>
  <c r="V217" i="72" s="1"/>
  <c r="W218" i="72" s="1"/>
  <c r="E294" i="72"/>
  <c r="F294" i="72" s="1"/>
  <c r="G295" i="72" s="1"/>
  <c r="H296" i="72" s="1"/>
  <c r="I297" i="72" s="1"/>
  <c r="J298" i="72" s="1"/>
  <c r="K299" i="72" s="1"/>
  <c r="L300" i="72" s="1"/>
  <c r="M301" i="72" s="1"/>
  <c r="N302" i="72" s="1"/>
  <c r="O303" i="72" s="1"/>
  <c r="P304" i="72" s="1"/>
  <c r="Q305" i="72" s="1"/>
  <c r="R306" i="72" s="1"/>
  <c r="S307" i="72" s="1"/>
  <c r="T308" i="72" s="1"/>
  <c r="U309" i="72" s="1"/>
  <c r="V310" i="72" s="1"/>
  <c r="W311" i="72" s="1"/>
  <c r="G232" i="72"/>
  <c r="H233" i="72" s="1"/>
  <c r="I234" i="72" s="1"/>
  <c r="J235" i="72" s="1"/>
  <c r="K236" i="72" s="1"/>
  <c r="L237" i="72" s="1"/>
  <c r="M238" i="72" s="1"/>
  <c r="N239" i="72" s="1"/>
  <c r="O240" i="72" s="1"/>
  <c r="P241" i="72" s="1"/>
  <c r="Q242" i="72" s="1"/>
  <c r="R243" i="72" s="1"/>
  <c r="S244" i="72" s="1"/>
  <c r="T245" i="72" s="1"/>
  <c r="U246" i="72" s="1"/>
  <c r="V247" i="72" s="1"/>
  <c r="W248" i="72" s="1"/>
  <c r="X249" i="72" s="1"/>
  <c r="G108" i="72"/>
  <c r="H109" i="72" s="1"/>
  <c r="I110" i="72" s="1"/>
  <c r="J111" i="72" s="1"/>
  <c r="K112" i="72" s="1"/>
  <c r="L113" i="72" s="1"/>
  <c r="M114" i="72" s="1"/>
  <c r="N115" i="72" s="1"/>
  <c r="O116" i="72" s="1"/>
  <c r="P117" i="72" s="1"/>
  <c r="Q118" i="72" s="1"/>
  <c r="R119" i="72" s="1"/>
  <c r="S120" i="72" s="1"/>
  <c r="T121" i="72" s="1"/>
  <c r="U122" i="72" s="1"/>
  <c r="V123" i="72" s="1"/>
  <c r="W124" i="72" s="1"/>
  <c r="X125" i="72" s="1"/>
  <c r="E171" i="72"/>
  <c r="F171" i="72" s="1"/>
  <c r="G16" i="72"/>
  <c r="H17" i="72" s="1"/>
  <c r="I18" i="72" s="1"/>
  <c r="J19" i="72" s="1"/>
  <c r="K20" i="72" s="1"/>
  <c r="L21" i="72" s="1"/>
  <c r="M22" i="72" s="1"/>
  <c r="N23" i="72" s="1"/>
  <c r="O24" i="72" s="1"/>
  <c r="P25" i="72" s="1"/>
  <c r="Q26" i="72" s="1"/>
  <c r="R27" i="72" s="1"/>
  <c r="S28" i="72" s="1"/>
  <c r="T29" i="72" s="1"/>
  <c r="U30" i="72" s="1"/>
  <c r="V31" i="72" s="1"/>
  <c r="W32" i="72" s="1"/>
  <c r="E76" i="72"/>
  <c r="F76" i="72" s="1"/>
  <c r="E262" i="72"/>
  <c r="F262" i="72" s="1"/>
  <c r="E139" i="72"/>
  <c r="F139" i="72" s="1"/>
  <c r="E46" i="72"/>
  <c r="F46" i="72" s="1"/>
  <c r="E108" i="72" l="1"/>
  <c r="F108" i="72" s="1"/>
  <c r="G109" i="72" s="1"/>
  <c r="H110" i="72" s="1"/>
  <c r="I111" i="72" s="1"/>
  <c r="J112" i="72" s="1"/>
  <c r="K113" i="72" s="1"/>
  <c r="L114" i="72" s="1"/>
  <c r="M115" i="72" s="1"/>
  <c r="N116" i="72" s="1"/>
  <c r="O117" i="72" s="1"/>
  <c r="P118" i="72" s="1"/>
  <c r="Q119" i="72" s="1"/>
  <c r="R120" i="72" s="1"/>
  <c r="S121" i="72" s="1"/>
  <c r="T122" i="72" s="1"/>
  <c r="U123" i="72" s="1"/>
  <c r="V124" i="72" s="1"/>
  <c r="W125" i="72" s="1"/>
  <c r="E232" i="72"/>
  <c r="F232" i="72" s="1"/>
  <c r="G233" i="72" s="1"/>
  <c r="H234" i="72" s="1"/>
  <c r="I235" i="72" s="1"/>
  <c r="J236" i="72" s="1"/>
  <c r="K237" i="72" s="1"/>
  <c r="L238" i="72" s="1"/>
  <c r="M239" i="72" s="1"/>
  <c r="N240" i="72" s="1"/>
  <c r="O241" i="72" s="1"/>
  <c r="P242" i="72" s="1"/>
  <c r="Q243" i="72" s="1"/>
  <c r="R244" i="72" s="1"/>
  <c r="S245" i="72" s="1"/>
  <c r="T246" i="72" s="1"/>
  <c r="U247" i="72" s="1"/>
  <c r="V248" i="72" s="1"/>
  <c r="W249" i="72" s="1"/>
  <c r="G77" i="72"/>
  <c r="H78" i="72" s="1"/>
  <c r="I79" i="72" s="1"/>
  <c r="J80" i="72" s="1"/>
  <c r="K81" i="72" s="1"/>
  <c r="L82" i="72" s="1"/>
  <c r="M83" i="72" s="1"/>
  <c r="N84" i="72" s="1"/>
  <c r="O85" i="72" s="1"/>
  <c r="P86" i="72" s="1"/>
  <c r="Q87" i="72" s="1"/>
  <c r="R88" i="72" s="1"/>
  <c r="S89" i="72" s="1"/>
  <c r="T90" i="72" s="1"/>
  <c r="U91" i="72" s="1"/>
  <c r="V92" i="72" s="1"/>
  <c r="W93" i="72" s="1"/>
  <c r="X94" i="72" s="1"/>
  <c r="E202" i="72"/>
  <c r="F202" i="72" s="1"/>
  <c r="E16" i="72"/>
  <c r="F16" i="72" s="1"/>
  <c r="G47" i="72"/>
  <c r="H48" i="72" s="1"/>
  <c r="I49" i="72" s="1"/>
  <c r="J50" i="72" s="1"/>
  <c r="K51" i="72" s="1"/>
  <c r="L52" i="72" s="1"/>
  <c r="M53" i="72" s="1"/>
  <c r="N54" i="72" s="1"/>
  <c r="O55" i="72" s="1"/>
  <c r="P56" i="72" s="1"/>
  <c r="Q57" i="72" s="1"/>
  <c r="R58" i="72" s="1"/>
  <c r="S59" i="72" s="1"/>
  <c r="T60" i="72" s="1"/>
  <c r="U61" i="72" s="1"/>
  <c r="V62" i="72" s="1"/>
  <c r="W63" i="72" s="1"/>
  <c r="G140" i="72"/>
  <c r="H141" i="72" s="1"/>
  <c r="I142" i="72" s="1"/>
  <c r="J143" i="72" s="1"/>
  <c r="K144" i="72" s="1"/>
  <c r="L145" i="72" s="1"/>
  <c r="M146" i="72" s="1"/>
  <c r="N147" i="72" s="1"/>
  <c r="O148" i="72" s="1"/>
  <c r="P149" i="72" s="1"/>
  <c r="Q150" i="72" s="1"/>
  <c r="R151" i="72" s="1"/>
  <c r="S152" i="72" s="1"/>
  <c r="T153" i="72" s="1"/>
  <c r="U154" i="72" s="1"/>
  <c r="V155" i="72" s="1"/>
  <c r="W156" i="72" s="1"/>
  <c r="E295" i="72"/>
  <c r="F295" i="72" s="1"/>
  <c r="G263" i="72"/>
  <c r="H264" i="72" s="1"/>
  <c r="I265" i="72" s="1"/>
  <c r="J266" i="72" s="1"/>
  <c r="K267" i="72" s="1"/>
  <c r="L268" i="72" s="1"/>
  <c r="M269" i="72" s="1"/>
  <c r="N270" i="72" s="1"/>
  <c r="O271" i="72" s="1"/>
  <c r="P272" i="72" s="1"/>
  <c r="Q273" i="72" s="1"/>
  <c r="R274" i="72" s="1"/>
  <c r="S275" i="72" s="1"/>
  <c r="T276" i="72" s="1"/>
  <c r="U277" i="72" s="1"/>
  <c r="V278" i="72" s="1"/>
  <c r="W279" i="72" s="1"/>
  <c r="X280" i="72" s="1"/>
  <c r="G172" i="72"/>
  <c r="H173" i="72" s="1"/>
  <c r="I174" i="72" s="1"/>
  <c r="J175" i="72" s="1"/>
  <c r="K176" i="72" s="1"/>
  <c r="L177" i="72" s="1"/>
  <c r="M178" i="72" s="1"/>
  <c r="N179" i="72" s="1"/>
  <c r="O180" i="72" s="1"/>
  <c r="P181" i="72" s="1"/>
  <c r="Q182" i="72" s="1"/>
  <c r="R183" i="72" s="1"/>
  <c r="S184" i="72" s="1"/>
  <c r="T185" i="72" s="1"/>
  <c r="U186" i="72" s="1"/>
  <c r="V187" i="72" s="1"/>
  <c r="E47" i="72" l="1"/>
  <c r="F47" i="72" s="1"/>
  <c r="G48" i="72" s="1"/>
  <c r="H49" i="72" s="1"/>
  <c r="I50" i="72" s="1"/>
  <c r="J51" i="72" s="1"/>
  <c r="K52" i="72" s="1"/>
  <c r="L53" i="72" s="1"/>
  <c r="M54" i="72" s="1"/>
  <c r="N55" i="72" s="1"/>
  <c r="O56" i="72" s="1"/>
  <c r="P57" i="72" s="1"/>
  <c r="Q58" i="72" s="1"/>
  <c r="R59" i="72" s="1"/>
  <c r="S60" i="72" s="1"/>
  <c r="T61" i="72" s="1"/>
  <c r="U62" i="72" s="1"/>
  <c r="V63" i="72" s="1"/>
  <c r="E233" i="72"/>
  <c r="F233" i="72" s="1"/>
  <c r="G234" i="72" s="1"/>
  <c r="H235" i="72" s="1"/>
  <c r="I236" i="72" s="1"/>
  <c r="J237" i="72" s="1"/>
  <c r="K238" i="72" s="1"/>
  <c r="L239" i="72" s="1"/>
  <c r="M240" i="72" s="1"/>
  <c r="N241" i="72" s="1"/>
  <c r="O242" i="72" s="1"/>
  <c r="P243" i="72" s="1"/>
  <c r="Q244" i="72" s="1"/>
  <c r="R245" i="72" s="1"/>
  <c r="S246" i="72" s="1"/>
  <c r="T247" i="72" s="1"/>
  <c r="U248" i="72" s="1"/>
  <c r="V249" i="72" s="1"/>
  <c r="G296" i="72"/>
  <c r="H297" i="72" s="1"/>
  <c r="I298" i="72" s="1"/>
  <c r="J299" i="72" s="1"/>
  <c r="K300" i="72" s="1"/>
  <c r="L301" i="72" s="1"/>
  <c r="M302" i="72" s="1"/>
  <c r="N303" i="72" s="1"/>
  <c r="O304" i="72" s="1"/>
  <c r="P305" i="72" s="1"/>
  <c r="Q306" i="72" s="1"/>
  <c r="R307" i="72" s="1"/>
  <c r="S308" i="72" s="1"/>
  <c r="T309" i="72" s="1"/>
  <c r="U310" i="72" s="1"/>
  <c r="V311" i="72" s="1"/>
  <c r="E140" i="72"/>
  <c r="F140" i="72" s="1"/>
  <c r="G17" i="72"/>
  <c r="H18" i="72" s="1"/>
  <c r="I19" i="72" s="1"/>
  <c r="J20" i="72" s="1"/>
  <c r="K21" i="72" s="1"/>
  <c r="L22" i="72" s="1"/>
  <c r="M23" i="72" s="1"/>
  <c r="N24" i="72" s="1"/>
  <c r="O25" i="72" s="1"/>
  <c r="P26" i="72" s="1"/>
  <c r="Q27" i="72" s="1"/>
  <c r="R28" i="72" s="1"/>
  <c r="S29" i="72" s="1"/>
  <c r="T30" i="72" s="1"/>
  <c r="U31" i="72" s="1"/>
  <c r="V32" i="72" s="1"/>
  <c r="G203" i="72"/>
  <c r="H204" i="72" s="1"/>
  <c r="I205" i="72" s="1"/>
  <c r="J206" i="72" s="1"/>
  <c r="K207" i="72" s="1"/>
  <c r="L208" i="72" s="1"/>
  <c r="M209" i="72" s="1"/>
  <c r="N210" i="72" s="1"/>
  <c r="O211" i="72" s="1"/>
  <c r="P212" i="72" s="1"/>
  <c r="Q213" i="72" s="1"/>
  <c r="R214" i="72" s="1"/>
  <c r="S215" i="72" s="1"/>
  <c r="T216" i="72" s="1"/>
  <c r="U217" i="72" s="1"/>
  <c r="V218" i="72" s="1"/>
  <c r="E172" i="72"/>
  <c r="F172" i="72" s="1"/>
  <c r="E77" i="72"/>
  <c r="F77" i="72" s="1"/>
  <c r="E263" i="72"/>
  <c r="F263" i="72" s="1"/>
  <c r="E109" i="72"/>
  <c r="F109" i="72" s="1"/>
  <c r="E17" i="72" l="1"/>
  <c r="F17" i="72" s="1"/>
  <c r="G18" i="72" s="1"/>
  <c r="H19" i="72" s="1"/>
  <c r="I20" i="72" s="1"/>
  <c r="J21" i="72" s="1"/>
  <c r="K22" i="72" s="1"/>
  <c r="L23" i="72" s="1"/>
  <c r="M24" i="72" s="1"/>
  <c r="N25" i="72" s="1"/>
  <c r="O26" i="72" s="1"/>
  <c r="P27" i="72" s="1"/>
  <c r="Q28" i="72" s="1"/>
  <c r="R29" i="72" s="1"/>
  <c r="S30" i="72" s="1"/>
  <c r="T31" i="72" s="1"/>
  <c r="U32" i="72" s="1"/>
  <c r="E48" i="72"/>
  <c r="F48" i="72" s="1"/>
  <c r="G49" i="72" s="1"/>
  <c r="H50" i="72" s="1"/>
  <c r="I51" i="72" s="1"/>
  <c r="J52" i="72" s="1"/>
  <c r="K53" i="72" s="1"/>
  <c r="L54" i="72" s="1"/>
  <c r="M55" i="72" s="1"/>
  <c r="N56" i="72" s="1"/>
  <c r="O57" i="72" s="1"/>
  <c r="P58" i="72" s="1"/>
  <c r="Q59" i="72" s="1"/>
  <c r="R60" i="72" s="1"/>
  <c r="S61" i="72" s="1"/>
  <c r="T62" i="72" s="1"/>
  <c r="U63" i="72" s="1"/>
  <c r="G173" i="72"/>
  <c r="H174" i="72" s="1"/>
  <c r="I175" i="72" s="1"/>
  <c r="J176" i="72" s="1"/>
  <c r="K177" i="72" s="1"/>
  <c r="L178" i="72" s="1"/>
  <c r="M179" i="72" s="1"/>
  <c r="N180" i="72" s="1"/>
  <c r="O181" i="72" s="1"/>
  <c r="P182" i="72" s="1"/>
  <c r="Q183" i="72" s="1"/>
  <c r="R184" i="72" s="1"/>
  <c r="S185" i="72" s="1"/>
  <c r="T186" i="72" s="1"/>
  <c r="U187" i="72" s="1"/>
  <c r="E234" i="72"/>
  <c r="F234" i="72" s="1"/>
  <c r="G78" i="72"/>
  <c r="H79" i="72" s="1"/>
  <c r="I80" i="72" s="1"/>
  <c r="J81" i="72" s="1"/>
  <c r="K82" i="72" s="1"/>
  <c r="L83" i="72" s="1"/>
  <c r="M84" i="72" s="1"/>
  <c r="N85" i="72" s="1"/>
  <c r="O86" i="72" s="1"/>
  <c r="P87" i="72" s="1"/>
  <c r="Q88" i="72" s="1"/>
  <c r="R89" i="72" s="1"/>
  <c r="S90" i="72" s="1"/>
  <c r="T91" i="72" s="1"/>
  <c r="U92" i="72" s="1"/>
  <c r="V93" i="72" s="1"/>
  <c r="W94" i="72" s="1"/>
  <c r="G110" i="72"/>
  <c r="H111" i="72" s="1"/>
  <c r="I112" i="72" s="1"/>
  <c r="J113" i="72" s="1"/>
  <c r="K114" i="72" s="1"/>
  <c r="L115" i="72" s="1"/>
  <c r="M116" i="72" s="1"/>
  <c r="N117" i="72" s="1"/>
  <c r="O118" i="72" s="1"/>
  <c r="P119" i="72" s="1"/>
  <c r="Q120" i="72" s="1"/>
  <c r="R121" i="72" s="1"/>
  <c r="S122" i="72" s="1"/>
  <c r="T123" i="72" s="1"/>
  <c r="U124" i="72" s="1"/>
  <c r="V125" i="72" s="1"/>
  <c r="E203" i="72"/>
  <c r="F203" i="72" s="1"/>
  <c r="G264" i="72"/>
  <c r="H265" i="72" s="1"/>
  <c r="I266" i="72" s="1"/>
  <c r="J267" i="72" s="1"/>
  <c r="K268" i="72" s="1"/>
  <c r="L269" i="72" s="1"/>
  <c r="M270" i="72" s="1"/>
  <c r="N271" i="72" s="1"/>
  <c r="O272" i="72" s="1"/>
  <c r="P273" i="72" s="1"/>
  <c r="Q274" i="72" s="1"/>
  <c r="R275" i="72" s="1"/>
  <c r="S276" i="72" s="1"/>
  <c r="T277" i="72" s="1"/>
  <c r="U278" i="72" s="1"/>
  <c r="V279" i="72" s="1"/>
  <c r="W280" i="72" s="1"/>
  <c r="G141" i="72"/>
  <c r="H142" i="72" s="1"/>
  <c r="I143" i="72" s="1"/>
  <c r="J144" i="72" s="1"/>
  <c r="K145" i="72" s="1"/>
  <c r="L146" i="72" s="1"/>
  <c r="M147" i="72" s="1"/>
  <c r="N148" i="72" s="1"/>
  <c r="O149" i="72" s="1"/>
  <c r="P150" i="72" s="1"/>
  <c r="Q151" i="72" s="1"/>
  <c r="R152" i="72" s="1"/>
  <c r="S153" i="72" s="1"/>
  <c r="T154" i="72" s="1"/>
  <c r="U155" i="72" s="1"/>
  <c r="V156" i="72" s="1"/>
  <c r="E296" i="72"/>
  <c r="F296" i="72" s="1"/>
  <c r="E78" i="72" l="1"/>
  <c r="F78" i="72" s="1"/>
  <c r="G79" i="72" s="1"/>
  <c r="H80" i="72" s="1"/>
  <c r="I81" i="72" s="1"/>
  <c r="J82" i="72" s="1"/>
  <c r="K83" i="72" s="1"/>
  <c r="L84" i="72" s="1"/>
  <c r="M85" i="72" s="1"/>
  <c r="N86" i="72" s="1"/>
  <c r="O87" i="72" s="1"/>
  <c r="P88" i="72" s="1"/>
  <c r="Q89" i="72" s="1"/>
  <c r="R90" i="72" s="1"/>
  <c r="S91" i="72" s="1"/>
  <c r="T92" i="72" s="1"/>
  <c r="U93" i="72" s="1"/>
  <c r="V94" i="72" s="1"/>
  <c r="E264" i="72"/>
  <c r="F264" i="72" s="1"/>
  <c r="E18" i="72"/>
  <c r="F18" i="72" s="1"/>
  <c r="G204" i="72"/>
  <c r="H205" i="72" s="1"/>
  <c r="I206" i="72" s="1"/>
  <c r="J207" i="72" s="1"/>
  <c r="K208" i="72" s="1"/>
  <c r="L209" i="72" s="1"/>
  <c r="M210" i="72" s="1"/>
  <c r="N211" i="72" s="1"/>
  <c r="O212" i="72" s="1"/>
  <c r="P213" i="72" s="1"/>
  <c r="Q214" i="72" s="1"/>
  <c r="R215" i="72" s="1"/>
  <c r="S216" i="72" s="1"/>
  <c r="T217" i="72" s="1"/>
  <c r="U218" i="72" s="1"/>
  <c r="G235" i="72"/>
  <c r="H236" i="72" s="1"/>
  <c r="I237" i="72" s="1"/>
  <c r="J238" i="72" s="1"/>
  <c r="K239" i="72" s="1"/>
  <c r="L240" i="72" s="1"/>
  <c r="M241" i="72" s="1"/>
  <c r="N242" i="72" s="1"/>
  <c r="O243" i="72" s="1"/>
  <c r="P244" i="72" s="1"/>
  <c r="Q245" i="72" s="1"/>
  <c r="R246" i="72" s="1"/>
  <c r="S247" i="72" s="1"/>
  <c r="T248" i="72" s="1"/>
  <c r="U249" i="72" s="1"/>
  <c r="E49" i="72"/>
  <c r="F49" i="72" s="1"/>
  <c r="E110" i="72"/>
  <c r="F110" i="72" s="1"/>
  <c r="E173" i="72"/>
  <c r="F173" i="72" s="1"/>
  <c r="G297" i="72"/>
  <c r="H298" i="72" s="1"/>
  <c r="I299" i="72" s="1"/>
  <c r="J300" i="72" s="1"/>
  <c r="K301" i="72" s="1"/>
  <c r="L302" i="72" s="1"/>
  <c r="M303" i="72" s="1"/>
  <c r="N304" i="72" s="1"/>
  <c r="O305" i="72" s="1"/>
  <c r="P306" i="72" s="1"/>
  <c r="Q307" i="72" s="1"/>
  <c r="R308" i="72" s="1"/>
  <c r="S309" i="72" s="1"/>
  <c r="T310" i="72" s="1"/>
  <c r="U311" i="72" s="1"/>
  <c r="E141" i="72"/>
  <c r="F141" i="72" s="1"/>
  <c r="E79" i="72" l="1"/>
  <c r="F79" i="72" s="1"/>
  <c r="G80" i="72" s="1"/>
  <c r="H81" i="72" s="1"/>
  <c r="I82" i="72" s="1"/>
  <c r="J83" i="72" s="1"/>
  <c r="K84" i="72" s="1"/>
  <c r="L85" i="72" s="1"/>
  <c r="M86" i="72" s="1"/>
  <c r="N87" i="72" s="1"/>
  <c r="O88" i="72" s="1"/>
  <c r="P89" i="72" s="1"/>
  <c r="Q90" i="72" s="1"/>
  <c r="R91" i="72" s="1"/>
  <c r="S92" i="72" s="1"/>
  <c r="T93" i="72" s="1"/>
  <c r="U94" i="72" s="1"/>
  <c r="E297" i="72"/>
  <c r="F297" i="72" s="1"/>
  <c r="G298" i="72" s="1"/>
  <c r="H299" i="72" s="1"/>
  <c r="I300" i="72" s="1"/>
  <c r="J301" i="72" s="1"/>
  <c r="K302" i="72" s="1"/>
  <c r="L303" i="72" s="1"/>
  <c r="M304" i="72" s="1"/>
  <c r="N305" i="72" s="1"/>
  <c r="O306" i="72" s="1"/>
  <c r="P307" i="72" s="1"/>
  <c r="Q308" i="72" s="1"/>
  <c r="R309" i="72" s="1"/>
  <c r="S310" i="72" s="1"/>
  <c r="T311" i="72" s="1"/>
  <c r="G111" i="72"/>
  <c r="H112" i="72" s="1"/>
  <c r="I113" i="72" s="1"/>
  <c r="J114" i="72" s="1"/>
  <c r="K115" i="72" s="1"/>
  <c r="L116" i="72" s="1"/>
  <c r="M117" i="72" s="1"/>
  <c r="N118" i="72" s="1"/>
  <c r="O119" i="72" s="1"/>
  <c r="P120" i="72" s="1"/>
  <c r="Q121" i="72" s="1"/>
  <c r="R122" i="72" s="1"/>
  <c r="S123" i="72" s="1"/>
  <c r="T124" i="72" s="1"/>
  <c r="U125" i="72" s="1"/>
  <c r="G50" i="72"/>
  <c r="H51" i="72" s="1"/>
  <c r="I52" i="72" s="1"/>
  <c r="J53" i="72" s="1"/>
  <c r="K54" i="72" s="1"/>
  <c r="L55" i="72" s="1"/>
  <c r="M56" i="72" s="1"/>
  <c r="N57" i="72" s="1"/>
  <c r="O58" i="72" s="1"/>
  <c r="P59" i="72" s="1"/>
  <c r="Q60" i="72" s="1"/>
  <c r="R61" i="72" s="1"/>
  <c r="S62" i="72" s="1"/>
  <c r="T63" i="72" s="1"/>
  <c r="G142" i="72"/>
  <c r="H143" i="72" s="1"/>
  <c r="I144" i="72" s="1"/>
  <c r="J145" i="72" s="1"/>
  <c r="K146" i="72" s="1"/>
  <c r="L147" i="72" s="1"/>
  <c r="M148" i="72" s="1"/>
  <c r="N149" i="72" s="1"/>
  <c r="O150" i="72" s="1"/>
  <c r="P151" i="72" s="1"/>
  <c r="Q152" i="72" s="1"/>
  <c r="R153" i="72" s="1"/>
  <c r="S154" i="72" s="1"/>
  <c r="T155" i="72" s="1"/>
  <c r="U156" i="72" s="1"/>
  <c r="E235" i="72"/>
  <c r="F235" i="72" s="1"/>
  <c r="E204" i="72"/>
  <c r="F204" i="72" s="1"/>
  <c r="G19" i="72"/>
  <c r="H20" i="72" s="1"/>
  <c r="I21" i="72" s="1"/>
  <c r="J22" i="72" s="1"/>
  <c r="K23" i="72" s="1"/>
  <c r="L24" i="72" s="1"/>
  <c r="M25" i="72" s="1"/>
  <c r="N26" i="72" s="1"/>
  <c r="O27" i="72" s="1"/>
  <c r="P28" i="72" s="1"/>
  <c r="Q29" i="72" s="1"/>
  <c r="R30" i="72" s="1"/>
  <c r="S31" i="72" s="1"/>
  <c r="T32" i="72" s="1"/>
  <c r="G174" i="72"/>
  <c r="H175" i="72" s="1"/>
  <c r="I176" i="72" s="1"/>
  <c r="J177" i="72" s="1"/>
  <c r="K178" i="72" s="1"/>
  <c r="L179" i="72" s="1"/>
  <c r="M180" i="72" s="1"/>
  <c r="N181" i="72" s="1"/>
  <c r="O182" i="72" s="1"/>
  <c r="P183" i="72" s="1"/>
  <c r="Q184" i="72" s="1"/>
  <c r="R185" i="72" s="1"/>
  <c r="S186" i="72" s="1"/>
  <c r="T187" i="72" s="1"/>
  <c r="G265" i="72"/>
  <c r="H266" i="72" s="1"/>
  <c r="I267" i="72" s="1"/>
  <c r="J268" i="72" s="1"/>
  <c r="K269" i="72" s="1"/>
  <c r="L270" i="72" s="1"/>
  <c r="M271" i="72" s="1"/>
  <c r="N272" i="72" s="1"/>
  <c r="O273" i="72" s="1"/>
  <c r="P274" i="72" s="1"/>
  <c r="Q275" i="72" s="1"/>
  <c r="R276" i="72" s="1"/>
  <c r="S277" i="72" s="1"/>
  <c r="T278" i="72" s="1"/>
  <c r="U279" i="72" s="1"/>
  <c r="V280" i="72" s="1"/>
  <c r="E80" i="72" l="1"/>
  <c r="F80" i="72" s="1"/>
  <c r="G81" i="72" s="1"/>
  <c r="H82" i="72" s="1"/>
  <c r="I83" i="72" s="1"/>
  <c r="J84" i="72" s="1"/>
  <c r="K85" i="72" s="1"/>
  <c r="L86" i="72" s="1"/>
  <c r="M87" i="72" s="1"/>
  <c r="N88" i="72" s="1"/>
  <c r="O89" i="72" s="1"/>
  <c r="P90" i="72" s="1"/>
  <c r="Q91" i="72" s="1"/>
  <c r="R92" i="72" s="1"/>
  <c r="S93" i="72" s="1"/>
  <c r="T94" i="72" s="1"/>
  <c r="E265" i="72"/>
  <c r="F265" i="72" s="1"/>
  <c r="G266" i="72" s="1"/>
  <c r="H267" i="72" s="1"/>
  <c r="I268" i="72" s="1"/>
  <c r="J269" i="72" s="1"/>
  <c r="K270" i="72" s="1"/>
  <c r="L271" i="72" s="1"/>
  <c r="M272" i="72" s="1"/>
  <c r="N273" i="72" s="1"/>
  <c r="O274" i="72" s="1"/>
  <c r="P275" i="72" s="1"/>
  <c r="Q276" i="72" s="1"/>
  <c r="R277" i="72" s="1"/>
  <c r="S278" i="72" s="1"/>
  <c r="T279" i="72" s="1"/>
  <c r="U280" i="72" s="1"/>
  <c r="E142" i="72"/>
  <c r="F142" i="72" s="1"/>
  <c r="G143" i="72" s="1"/>
  <c r="H144" i="72" s="1"/>
  <c r="I145" i="72" s="1"/>
  <c r="J146" i="72" s="1"/>
  <c r="K147" i="72" s="1"/>
  <c r="L148" i="72" s="1"/>
  <c r="M149" i="72" s="1"/>
  <c r="N150" i="72" s="1"/>
  <c r="O151" i="72" s="1"/>
  <c r="P152" i="72" s="1"/>
  <c r="Q153" i="72" s="1"/>
  <c r="R154" i="72" s="1"/>
  <c r="S155" i="72" s="1"/>
  <c r="T156" i="72" s="1"/>
  <c r="E174" i="72"/>
  <c r="F174" i="72" s="1"/>
  <c r="E298" i="72"/>
  <c r="F298" i="72" s="1"/>
  <c r="E50" i="72"/>
  <c r="F50" i="72" s="1"/>
  <c r="G205" i="72"/>
  <c r="H206" i="72" s="1"/>
  <c r="I207" i="72" s="1"/>
  <c r="J208" i="72" s="1"/>
  <c r="K209" i="72" s="1"/>
  <c r="L210" i="72" s="1"/>
  <c r="M211" i="72" s="1"/>
  <c r="N212" i="72" s="1"/>
  <c r="O213" i="72" s="1"/>
  <c r="P214" i="72" s="1"/>
  <c r="Q215" i="72" s="1"/>
  <c r="R216" i="72" s="1"/>
  <c r="S217" i="72" s="1"/>
  <c r="T218" i="72" s="1"/>
  <c r="E111" i="72"/>
  <c r="F111" i="72" s="1"/>
  <c r="E19" i="72"/>
  <c r="F19" i="72" s="1"/>
  <c r="G236" i="72"/>
  <c r="H237" i="72" s="1"/>
  <c r="I238" i="72" s="1"/>
  <c r="J239" i="72" s="1"/>
  <c r="K240" i="72" s="1"/>
  <c r="L241" i="72" s="1"/>
  <c r="M242" i="72" s="1"/>
  <c r="N243" i="72" s="1"/>
  <c r="O244" i="72" s="1"/>
  <c r="P245" i="72" s="1"/>
  <c r="Q246" i="72" s="1"/>
  <c r="R247" i="72" s="1"/>
  <c r="S248" i="72" s="1"/>
  <c r="T249" i="72" s="1"/>
  <c r="E236" i="72" l="1"/>
  <c r="F236" i="72" s="1"/>
  <c r="G237" i="72" s="1"/>
  <c r="H238" i="72" s="1"/>
  <c r="I239" i="72" s="1"/>
  <c r="J240" i="72" s="1"/>
  <c r="K241" i="72" s="1"/>
  <c r="L242" i="72" s="1"/>
  <c r="M243" i="72" s="1"/>
  <c r="N244" i="72" s="1"/>
  <c r="O245" i="72" s="1"/>
  <c r="P246" i="72" s="1"/>
  <c r="Q247" i="72" s="1"/>
  <c r="R248" i="72" s="1"/>
  <c r="S249" i="72" s="1"/>
  <c r="E266" i="72"/>
  <c r="F266" i="72" s="1"/>
  <c r="G267" i="72" s="1"/>
  <c r="H268" i="72" s="1"/>
  <c r="I269" i="72" s="1"/>
  <c r="J270" i="72" s="1"/>
  <c r="K271" i="72" s="1"/>
  <c r="L272" i="72" s="1"/>
  <c r="M273" i="72" s="1"/>
  <c r="N274" i="72" s="1"/>
  <c r="O275" i="72" s="1"/>
  <c r="P276" i="72" s="1"/>
  <c r="Q277" i="72" s="1"/>
  <c r="R278" i="72" s="1"/>
  <c r="S279" i="72" s="1"/>
  <c r="T280" i="72" s="1"/>
  <c r="G299" i="72"/>
  <c r="H300" i="72" s="1"/>
  <c r="I301" i="72" s="1"/>
  <c r="J302" i="72" s="1"/>
  <c r="K303" i="72" s="1"/>
  <c r="L304" i="72" s="1"/>
  <c r="M305" i="72" s="1"/>
  <c r="N306" i="72" s="1"/>
  <c r="O307" i="72" s="1"/>
  <c r="P308" i="72" s="1"/>
  <c r="Q309" i="72" s="1"/>
  <c r="R310" i="72" s="1"/>
  <c r="S311" i="72" s="1"/>
  <c r="G20" i="72"/>
  <c r="H21" i="72" s="1"/>
  <c r="I22" i="72" s="1"/>
  <c r="J23" i="72" s="1"/>
  <c r="K24" i="72" s="1"/>
  <c r="L25" i="72" s="1"/>
  <c r="M26" i="72" s="1"/>
  <c r="N27" i="72" s="1"/>
  <c r="O28" i="72" s="1"/>
  <c r="P29" i="72" s="1"/>
  <c r="Q30" i="72" s="1"/>
  <c r="R31" i="72" s="1"/>
  <c r="S32" i="72" s="1"/>
  <c r="G175" i="72"/>
  <c r="H176" i="72" s="1"/>
  <c r="I177" i="72" s="1"/>
  <c r="J178" i="72" s="1"/>
  <c r="K179" i="72" s="1"/>
  <c r="L180" i="72" s="1"/>
  <c r="M181" i="72" s="1"/>
  <c r="N182" i="72" s="1"/>
  <c r="O183" i="72" s="1"/>
  <c r="P184" i="72" s="1"/>
  <c r="Q185" i="72" s="1"/>
  <c r="R186" i="72" s="1"/>
  <c r="S187" i="72" s="1"/>
  <c r="E81" i="72"/>
  <c r="F81" i="72" s="1"/>
  <c r="G51" i="72"/>
  <c r="H52" i="72" s="1"/>
  <c r="I53" i="72" s="1"/>
  <c r="J54" i="72" s="1"/>
  <c r="K55" i="72" s="1"/>
  <c r="L56" i="72" s="1"/>
  <c r="M57" i="72" s="1"/>
  <c r="N58" i="72" s="1"/>
  <c r="O59" i="72" s="1"/>
  <c r="P60" i="72" s="1"/>
  <c r="Q61" i="72" s="1"/>
  <c r="R62" i="72" s="1"/>
  <c r="S63" i="72" s="1"/>
  <c r="G112" i="72"/>
  <c r="H113" i="72" s="1"/>
  <c r="I114" i="72" s="1"/>
  <c r="J115" i="72" s="1"/>
  <c r="K116" i="72" s="1"/>
  <c r="L117" i="72" s="1"/>
  <c r="M118" i="72" s="1"/>
  <c r="N119" i="72" s="1"/>
  <c r="O120" i="72" s="1"/>
  <c r="P121" i="72" s="1"/>
  <c r="Q122" i="72" s="1"/>
  <c r="R123" i="72" s="1"/>
  <c r="S124" i="72" s="1"/>
  <c r="T125" i="72" s="1"/>
  <c r="E143" i="72"/>
  <c r="F143" i="72" s="1"/>
  <c r="E205" i="72"/>
  <c r="F205" i="72" s="1"/>
  <c r="E175" i="72" l="1"/>
  <c r="F175" i="72" s="1"/>
  <c r="G176" i="72" s="1"/>
  <c r="H177" i="72" s="1"/>
  <c r="I178" i="72" s="1"/>
  <c r="J179" i="72" s="1"/>
  <c r="K180" i="72" s="1"/>
  <c r="L181" i="72" s="1"/>
  <c r="M182" i="72" s="1"/>
  <c r="N183" i="72" s="1"/>
  <c r="O184" i="72" s="1"/>
  <c r="P185" i="72" s="1"/>
  <c r="Q186" i="72" s="1"/>
  <c r="R187" i="72" s="1"/>
  <c r="E51" i="72"/>
  <c r="F51" i="72" s="1"/>
  <c r="G52" i="72" s="1"/>
  <c r="H53" i="72" s="1"/>
  <c r="I54" i="72" s="1"/>
  <c r="J55" i="72" s="1"/>
  <c r="K56" i="72" s="1"/>
  <c r="L57" i="72" s="1"/>
  <c r="M58" i="72" s="1"/>
  <c r="N59" i="72" s="1"/>
  <c r="O60" i="72" s="1"/>
  <c r="P61" i="72" s="1"/>
  <c r="Q62" i="72" s="1"/>
  <c r="R63" i="72" s="1"/>
  <c r="E267" i="72"/>
  <c r="F267" i="72" s="1"/>
  <c r="G268" i="72" s="1"/>
  <c r="H269" i="72" s="1"/>
  <c r="I270" i="72" s="1"/>
  <c r="J271" i="72" s="1"/>
  <c r="K272" i="72" s="1"/>
  <c r="L273" i="72" s="1"/>
  <c r="M274" i="72" s="1"/>
  <c r="N275" i="72" s="1"/>
  <c r="O276" i="72" s="1"/>
  <c r="P277" i="72" s="1"/>
  <c r="Q278" i="72" s="1"/>
  <c r="R279" i="72" s="1"/>
  <c r="S280" i="72" s="1"/>
  <c r="E237" i="72"/>
  <c r="F237" i="72" s="1"/>
  <c r="E20" i="72"/>
  <c r="F20" i="72" s="1"/>
  <c r="G144" i="72"/>
  <c r="H145" i="72" s="1"/>
  <c r="I146" i="72" s="1"/>
  <c r="J147" i="72" s="1"/>
  <c r="K148" i="72" s="1"/>
  <c r="L149" i="72" s="1"/>
  <c r="M150" i="72" s="1"/>
  <c r="N151" i="72" s="1"/>
  <c r="O152" i="72" s="1"/>
  <c r="P153" i="72" s="1"/>
  <c r="Q154" i="72" s="1"/>
  <c r="R155" i="72" s="1"/>
  <c r="S156" i="72" s="1"/>
  <c r="E112" i="72"/>
  <c r="F112" i="72" s="1"/>
  <c r="E299" i="72"/>
  <c r="F299" i="72" s="1"/>
  <c r="G206" i="72"/>
  <c r="H207" i="72" s="1"/>
  <c r="I208" i="72" s="1"/>
  <c r="J209" i="72" s="1"/>
  <c r="K210" i="72" s="1"/>
  <c r="L211" i="72" s="1"/>
  <c r="M212" i="72" s="1"/>
  <c r="N213" i="72" s="1"/>
  <c r="O214" i="72" s="1"/>
  <c r="P215" i="72" s="1"/>
  <c r="Q216" i="72" s="1"/>
  <c r="R217" i="72" s="1"/>
  <c r="S218" i="72" s="1"/>
  <c r="G82" i="72"/>
  <c r="H83" i="72" s="1"/>
  <c r="I84" i="72" s="1"/>
  <c r="J85" i="72" s="1"/>
  <c r="K86" i="72" s="1"/>
  <c r="L87" i="72" s="1"/>
  <c r="M88" i="72" s="1"/>
  <c r="N89" i="72" s="1"/>
  <c r="O90" i="72" s="1"/>
  <c r="P91" i="72" s="1"/>
  <c r="Q92" i="72" s="1"/>
  <c r="R93" i="72" s="1"/>
  <c r="S94" i="72" s="1"/>
  <c r="E82" i="72" l="1"/>
  <c r="F82" i="72" s="1"/>
  <c r="E268" i="72"/>
  <c r="F268" i="72" s="1"/>
  <c r="E206" i="72"/>
  <c r="F206" i="72" s="1"/>
  <c r="E144" i="72"/>
  <c r="F144" i="72" s="1"/>
  <c r="E176" i="72"/>
  <c r="F176" i="72" s="1"/>
  <c r="E52" i="72"/>
  <c r="F52" i="72" s="1"/>
  <c r="G300" i="72"/>
  <c r="H301" i="72" s="1"/>
  <c r="I302" i="72" s="1"/>
  <c r="J303" i="72" s="1"/>
  <c r="K304" i="72" s="1"/>
  <c r="L305" i="72" s="1"/>
  <c r="M306" i="72" s="1"/>
  <c r="N307" i="72" s="1"/>
  <c r="O308" i="72" s="1"/>
  <c r="P309" i="72" s="1"/>
  <c r="Q310" i="72" s="1"/>
  <c r="R311" i="72" s="1"/>
  <c r="G21" i="72"/>
  <c r="H22" i="72" s="1"/>
  <c r="I23" i="72" s="1"/>
  <c r="J24" i="72" s="1"/>
  <c r="K25" i="72" s="1"/>
  <c r="L26" i="72" s="1"/>
  <c r="M27" i="72" s="1"/>
  <c r="N28" i="72" s="1"/>
  <c r="O29" i="72" s="1"/>
  <c r="P30" i="72" s="1"/>
  <c r="Q31" i="72" s="1"/>
  <c r="R32" i="72" s="1"/>
  <c r="G113" i="72"/>
  <c r="H114" i="72" s="1"/>
  <c r="I115" i="72" s="1"/>
  <c r="J116" i="72" s="1"/>
  <c r="K117" i="72" s="1"/>
  <c r="L118" i="72" s="1"/>
  <c r="M119" i="72" s="1"/>
  <c r="N120" i="72" s="1"/>
  <c r="O121" i="72" s="1"/>
  <c r="P122" i="72" s="1"/>
  <c r="Q123" i="72" s="1"/>
  <c r="R124" i="72" s="1"/>
  <c r="S125" i="72" s="1"/>
  <c r="G238" i="72"/>
  <c r="H239" i="72" s="1"/>
  <c r="I240" i="72" s="1"/>
  <c r="J241" i="72" s="1"/>
  <c r="K242" i="72" s="1"/>
  <c r="L243" i="72" s="1"/>
  <c r="M244" i="72" s="1"/>
  <c r="N245" i="72" s="1"/>
  <c r="O246" i="72" s="1"/>
  <c r="P247" i="72" s="1"/>
  <c r="Q248" i="72" s="1"/>
  <c r="R249" i="72" s="1"/>
  <c r="E300" i="72" l="1"/>
  <c r="F300" i="72" s="1"/>
  <c r="G301" i="72" s="1"/>
  <c r="H302" i="72" s="1"/>
  <c r="I303" i="72" s="1"/>
  <c r="J304" i="72" s="1"/>
  <c r="K305" i="72" s="1"/>
  <c r="L306" i="72" s="1"/>
  <c r="M307" i="72" s="1"/>
  <c r="N308" i="72" s="1"/>
  <c r="O309" i="72" s="1"/>
  <c r="P310" i="72" s="1"/>
  <c r="Q311" i="72" s="1"/>
  <c r="E113" i="72"/>
  <c r="F113" i="72" s="1"/>
  <c r="G114" i="72" s="1"/>
  <c r="H115" i="72" s="1"/>
  <c r="I116" i="72" s="1"/>
  <c r="J117" i="72" s="1"/>
  <c r="K118" i="72" s="1"/>
  <c r="L119" i="72" s="1"/>
  <c r="M120" i="72" s="1"/>
  <c r="N121" i="72" s="1"/>
  <c r="O122" i="72" s="1"/>
  <c r="P123" i="72" s="1"/>
  <c r="Q124" i="72" s="1"/>
  <c r="R125" i="72" s="1"/>
  <c r="E21" i="72"/>
  <c r="F21" i="72" s="1"/>
  <c r="G145" i="72"/>
  <c r="H146" i="72" s="1"/>
  <c r="I147" i="72" s="1"/>
  <c r="J148" i="72" s="1"/>
  <c r="K149" i="72" s="1"/>
  <c r="L150" i="72" s="1"/>
  <c r="M151" i="72" s="1"/>
  <c r="N152" i="72" s="1"/>
  <c r="O153" i="72" s="1"/>
  <c r="P154" i="72" s="1"/>
  <c r="Q155" i="72" s="1"/>
  <c r="R156" i="72" s="1"/>
  <c r="G207" i="72"/>
  <c r="H208" i="72" s="1"/>
  <c r="I209" i="72" s="1"/>
  <c r="J210" i="72" s="1"/>
  <c r="K211" i="72" s="1"/>
  <c r="L212" i="72" s="1"/>
  <c r="M213" i="72" s="1"/>
  <c r="N214" i="72" s="1"/>
  <c r="O215" i="72" s="1"/>
  <c r="P216" i="72" s="1"/>
  <c r="Q217" i="72" s="1"/>
  <c r="R218" i="72" s="1"/>
  <c r="E238" i="72"/>
  <c r="F238" i="72" s="1"/>
  <c r="G269" i="72"/>
  <c r="H270" i="72" s="1"/>
  <c r="I271" i="72" s="1"/>
  <c r="J272" i="72" s="1"/>
  <c r="K273" i="72" s="1"/>
  <c r="L274" i="72" s="1"/>
  <c r="M275" i="72" s="1"/>
  <c r="N276" i="72" s="1"/>
  <c r="O277" i="72" s="1"/>
  <c r="P278" i="72" s="1"/>
  <c r="Q279" i="72" s="1"/>
  <c r="R280" i="72" s="1"/>
  <c r="G53" i="72"/>
  <c r="H54" i="72" s="1"/>
  <c r="I55" i="72" s="1"/>
  <c r="J56" i="72" s="1"/>
  <c r="K57" i="72" s="1"/>
  <c r="L58" i="72" s="1"/>
  <c r="M59" i="72" s="1"/>
  <c r="N60" i="72" s="1"/>
  <c r="O61" i="72" s="1"/>
  <c r="P62" i="72" s="1"/>
  <c r="Q63" i="72" s="1"/>
  <c r="G83" i="72"/>
  <c r="H84" i="72" s="1"/>
  <c r="I85" i="72" s="1"/>
  <c r="J86" i="72" s="1"/>
  <c r="K87" i="72" s="1"/>
  <c r="L88" i="72" s="1"/>
  <c r="M89" i="72" s="1"/>
  <c r="N90" i="72" s="1"/>
  <c r="O91" i="72" s="1"/>
  <c r="P92" i="72" s="1"/>
  <c r="Q93" i="72" s="1"/>
  <c r="R94" i="72" s="1"/>
  <c r="G177" i="72"/>
  <c r="H178" i="72" s="1"/>
  <c r="I179" i="72" s="1"/>
  <c r="J180" i="72" s="1"/>
  <c r="K181" i="72" s="1"/>
  <c r="L182" i="72" s="1"/>
  <c r="M183" i="72" s="1"/>
  <c r="N184" i="72" s="1"/>
  <c r="O185" i="72" s="1"/>
  <c r="P186" i="72" s="1"/>
  <c r="Q187" i="72" s="1"/>
  <c r="E83" i="72" l="1"/>
  <c r="F83" i="72" s="1"/>
  <c r="G84" i="72" s="1"/>
  <c r="H85" i="72" s="1"/>
  <c r="I86" i="72" s="1"/>
  <c r="J87" i="72" s="1"/>
  <c r="K88" i="72" s="1"/>
  <c r="L89" i="72" s="1"/>
  <c r="M90" i="72" s="1"/>
  <c r="N91" i="72" s="1"/>
  <c r="O92" i="72" s="1"/>
  <c r="P93" i="72" s="1"/>
  <c r="Q94" i="72" s="1"/>
  <c r="E145" i="72"/>
  <c r="F145" i="72" s="1"/>
  <c r="G146" i="72" s="1"/>
  <c r="H147" i="72" s="1"/>
  <c r="I148" i="72" s="1"/>
  <c r="J149" i="72" s="1"/>
  <c r="K150" i="72" s="1"/>
  <c r="L151" i="72" s="1"/>
  <c r="M152" i="72" s="1"/>
  <c r="N153" i="72" s="1"/>
  <c r="O154" i="72" s="1"/>
  <c r="P155" i="72" s="1"/>
  <c r="Q156" i="72" s="1"/>
  <c r="E177" i="72"/>
  <c r="F177" i="72" s="1"/>
  <c r="G178" i="72" s="1"/>
  <c r="H179" i="72" s="1"/>
  <c r="I180" i="72" s="1"/>
  <c r="J181" i="72" s="1"/>
  <c r="K182" i="72" s="1"/>
  <c r="L183" i="72" s="1"/>
  <c r="M184" i="72" s="1"/>
  <c r="N185" i="72" s="1"/>
  <c r="O186" i="72" s="1"/>
  <c r="P187" i="72" s="1"/>
  <c r="E269" i="72"/>
  <c r="F269" i="72" s="1"/>
  <c r="E301" i="72"/>
  <c r="F301" i="72" s="1"/>
  <c r="G239" i="72"/>
  <c r="H240" i="72" s="1"/>
  <c r="I241" i="72" s="1"/>
  <c r="J242" i="72" s="1"/>
  <c r="K243" i="72" s="1"/>
  <c r="L244" i="72" s="1"/>
  <c r="M245" i="72" s="1"/>
  <c r="N246" i="72" s="1"/>
  <c r="O247" i="72" s="1"/>
  <c r="P248" i="72" s="1"/>
  <c r="Q249" i="72" s="1"/>
  <c r="G22" i="72"/>
  <c r="H23" i="72" s="1"/>
  <c r="I24" i="72" s="1"/>
  <c r="J25" i="72" s="1"/>
  <c r="K26" i="72" s="1"/>
  <c r="L27" i="72" s="1"/>
  <c r="M28" i="72" s="1"/>
  <c r="N29" i="72" s="1"/>
  <c r="O30" i="72" s="1"/>
  <c r="P31" i="72" s="1"/>
  <c r="Q32" i="72" s="1"/>
  <c r="E53" i="72"/>
  <c r="F53" i="72" s="1"/>
  <c r="E207" i="72"/>
  <c r="F207" i="72" s="1"/>
  <c r="E114" i="72"/>
  <c r="F114" i="72" s="1"/>
  <c r="E239" i="72" l="1"/>
  <c r="F239" i="72" s="1"/>
  <c r="G240" i="72" s="1"/>
  <c r="H241" i="72" s="1"/>
  <c r="I242" i="72" s="1"/>
  <c r="J243" i="72" s="1"/>
  <c r="K244" i="72" s="1"/>
  <c r="L245" i="72" s="1"/>
  <c r="M246" i="72" s="1"/>
  <c r="N247" i="72" s="1"/>
  <c r="O248" i="72" s="1"/>
  <c r="P249" i="72" s="1"/>
  <c r="G208" i="72"/>
  <c r="H209" i="72" s="1"/>
  <c r="I210" i="72" s="1"/>
  <c r="J211" i="72" s="1"/>
  <c r="K212" i="72" s="1"/>
  <c r="L213" i="72" s="1"/>
  <c r="M214" i="72" s="1"/>
  <c r="N215" i="72" s="1"/>
  <c r="O216" i="72" s="1"/>
  <c r="P217" i="72" s="1"/>
  <c r="Q218" i="72" s="1"/>
  <c r="E146" i="72"/>
  <c r="F146" i="72" s="1"/>
  <c r="G54" i="72"/>
  <c r="H55" i="72" s="1"/>
  <c r="I56" i="72" s="1"/>
  <c r="J57" i="72" s="1"/>
  <c r="K58" i="72" s="1"/>
  <c r="L59" i="72" s="1"/>
  <c r="M60" i="72" s="1"/>
  <c r="N61" i="72" s="1"/>
  <c r="O62" i="72" s="1"/>
  <c r="P63" i="72" s="1"/>
  <c r="E84" i="72"/>
  <c r="F84" i="72" s="1"/>
  <c r="E178" i="72"/>
  <c r="F178" i="72" s="1"/>
  <c r="E22" i="72"/>
  <c r="F22" i="72" s="1"/>
  <c r="G302" i="72"/>
  <c r="H303" i="72" s="1"/>
  <c r="I304" i="72" s="1"/>
  <c r="J305" i="72" s="1"/>
  <c r="K306" i="72" s="1"/>
  <c r="L307" i="72" s="1"/>
  <c r="M308" i="72" s="1"/>
  <c r="N309" i="72" s="1"/>
  <c r="O310" i="72" s="1"/>
  <c r="P311" i="72" s="1"/>
  <c r="G115" i="72"/>
  <c r="H116" i="72" s="1"/>
  <c r="I117" i="72" s="1"/>
  <c r="J118" i="72" s="1"/>
  <c r="K119" i="72" s="1"/>
  <c r="L120" i="72" s="1"/>
  <c r="M121" i="72" s="1"/>
  <c r="N122" i="72" s="1"/>
  <c r="O123" i="72" s="1"/>
  <c r="P124" i="72" s="1"/>
  <c r="Q125" i="72" s="1"/>
  <c r="G270" i="72"/>
  <c r="H271" i="72" s="1"/>
  <c r="I272" i="72" s="1"/>
  <c r="J273" i="72" s="1"/>
  <c r="K274" i="72" s="1"/>
  <c r="L275" i="72" s="1"/>
  <c r="M276" i="72" s="1"/>
  <c r="N277" i="72" s="1"/>
  <c r="O278" i="72" s="1"/>
  <c r="P279" i="72" s="1"/>
  <c r="Q280" i="72" s="1"/>
  <c r="E240" i="72" l="1"/>
  <c r="F240" i="72" s="1"/>
  <c r="G241" i="72" s="1"/>
  <c r="H242" i="72" s="1"/>
  <c r="I243" i="72" s="1"/>
  <c r="J244" i="72" s="1"/>
  <c r="K245" i="72" s="1"/>
  <c r="L246" i="72" s="1"/>
  <c r="M247" i="72" s="1"/>
  <c r="N248" i="72" s="1"/>
  <c r="O249" i="72" s="1"/>
  <c r="E115" i="72"/>
  <c r="F115" i="72" s="1"/>
  <c r="G116" i="72" s="1"/>
  <c r="H117" i="72" s="1"/>
  <c r="I118" i="72" s="1"/>
  <c r="J119" i="72" s="1"/>
  <c r="K120" i="72" s="1"/>
  <c r="L121" i="72" s="1"/>
  <c r="M122" i="72" s="1"/>
  <c r="N123" i="72" s="1"/>
  <c r="O124" i="72" s="1"/>
  <c r="P125" i="72" s="1"/>
  <c r="G85" i="72"/>
  <c r="H86" i="72" s="1"/>
  <c r="I87" i="72" s="1"/>
  <c r="J88" i="72" s="1"/>
  <c r="K89" i="72" s="1"/>
  <c r="L90" i="72" s="1"/>
  <c r="M91" i="72" s="1"/>
  <c r="N92" i="72" s="1"/>
  <c r="O93" i="72" s="1"/>
  <c r="P94" i="72" s="1"/>
  <c r="E302" i="72"/>
  <c r="F302" i="72" s="1"/>
  <c r="E54" i="72"/>
  <c r="F54" i="72" s="1"/>
  <c r="G23" i="72"/>
  <c r="H24" i="72" s="1"/>
  <c r="I25" i="72" s="1"/>
  <c r="J26" i="72" s="1"/>
  <c r="K27" i="72" s="1"/>
  <c r="L28" i="72" s="1"/>
  <c r="M29" i="72" s="1"/>
  <c r="N30" i="72" s="1"/>
  <c r="O31" i="72" s="1"/>
  <c r="P32" i="72" s="1"/>
  <c r="G147" i="72"/>
  <c r="H148" i="72" s="1"/>
  <c r="I149" i="72" s="1"/>
  <c r="J150" i="72" s="1"/>
  <c r="K151" i="72" s="1"/>
  <c r="L152" i="72" s="1"/>
  <c r="M153" i="72" s="1"/>
  <c r="N154" i="72" s="1"/>
  <c r="O155" i="72" s="1"/>
  <c r="P156" i="72" s="1"/>
  <c r="G179" i="72"/>
  <c r="H180" i="72" s="1"/>
  <c r="I181" i="72" s="1"/>
  <c r="J182" i="72" s="1"/>
  <c r="K183" i="72" s="1"/>
  <c r="L184" i="72" s="1"/>
  <c r="M185" i="72" s="1"/>
  <c r="N186" i="72" s="1"/>
  <c r="O187" i="72" s="1"/>
  <c r="E208" i="72"/>
  <c r="F208" i="72" s="1"/>
  <c r="E270" i="72"/>
  <c r="F270" i="72" s="1"/>
  <c r="E147" i="72" l="1"/>
  <c r="F147" i="72" s="1"/>
  <c r="G148" i="72" s="1"/>
  <c r="H149" i="72" s="1"/>
  <c r="I150" i="72" s="1"/>
  <c r="J151" i="72" s="1"/>
  <c r="K152" i="72" s="1"/>
  <c r="L153" i="72" s="1"/>
  <c r="M154" i="72" s="1"/>
  <c r="N155" i="72" s="1"/>
  <c r="O156" i="72" s="1"/>
  <c r="E23" i="72"/>
  <c r="F23" i="72" s="1"/>
  <c r="G24" i="72" s="1"/>
  <c r="H25" i="72" s="1"/>
  <c r="I26" i="72" s="1"/>
  <c r="J27" i="72" s="1"/>
  <c r="K28" i="72" s="1"/>
  <c r="L29" i="72" s="1"/>
  <c r="M30" i="72" s="1"/>
  <c r="N31" i="72" s="1"/>
  <c r="O32" i="72" s="1"/>
  <c r="G55" i="72"/>
  <c r="H56" i="72" s="1"/>
  <c r="I57" i="72" s="1"/>
  <c r="J58" i="72" s="1"/>
  <c r="K59" i="72" s="1"/>
  <c r="L60" i="72" s="1"/>
  <c r="M61" i="72" s="1"/>
  <c r="N62" i="72" s="1"/>
  <c r="O63" i="72" s="1"/>
  <c r="G303" i="72"/>
  <c r="H304" i="72" s="1"/>
  <c r="I305" i="72" s="1"/>
  <c r="J306" i="72" s="1"/>
  <c r="K307" i="72" s="1"/>
  <c r="L308" i="72" s="1"/>
  <c r="M309" i="72" s="1"/>
  <c r="N310" i="72" s="1"/>
  <c r="O311" i="72" s="1"/>
  <c r="E85" i="72"/>
  <c r="F85" i="72" s="1"/>
  <c r="E116" i="72"/>
  <c r="F116" i="72" s="1"/>
  <c r="G271" i="72"/>
  <c r="H272" i="72" s="1"/>
  <c r="I273" i="72" s="1"/>
  <c r="J274" i="72" s="1"/>
  <c r="K275" i="72" s="1"/>
  <c r="L276" i="72" s="1"/>
  <c r="M277" i="72" s="1"/>
  <c r="N278" i="72" s="1"/>
  <c r="O279" i="72" s="1"/>
  <c r="P280" i="72" s="1"/>
  <c r="G209" i="72"/>
  <c r="H210" i="72" s="1"/>
  <c r="I211" i="72" s="1"/>
  <c r="J212" i="72" s="1"/>
  <c r="K213" i="72" s="1"/>
  <c r="L214" i="72" s="1"/>
  <c r="M215" i="72" s="1"/>
  <c r="N216" i="72" s="1"/>
  <c r="O217" i="72" s="1"/>
  <c r="P218" i="72" s="1"/>
  <c r="E179" i="72"/>
  <c r="F179" i="72" s="1"/>
  <c r="E241" i="72"/>
  <c r="F241" i="72" s="1"/>
  <c r="E148" i="72" l="1"/>
  <c r="F148" i="72" s="1"/>
  <c r="G149" i="72" s="1"/>
  <c r="H150" i="72" s="1"/>
  <c r="I151" i="72" s="1"/>
  <c r="J152" i="72" s="1"/>
  <c r="K153" i="72" s="1"/>
  <c r="L154" i="72" s="1"/>
  <c r="M155" i="72" s="1"/>
  <c r="N156" i="72" s="1"/>
  <c r="E209" i="72"/>
  <c r="F209" i="72" s="1"/>
  <c r="G210" i="72" s="1"/>
  <c r="H211" i="72" s="1"/>
  <c r="I212" i="72" s="1"/>
  <c r="J213" i="72" s="1"/>
  <c r="K214" i="72" s="1"/>
  <c r="L215" i="72" s="1"/>
  <c r="M216" i="72" s="1"/>
  <c r="N217" i="72" s="1"/>
  <c r="O218" i="72" s="1"/>
  <c r="E55" i="72"/>
  <c r="F55" i="72" s="1"/>
  <c r="G56" i="72" s="1"/>
  <c r="H57" i="72" s="1"/>
  <c r="I58" i="72" s="1"/>
  <c r="J59" i="72" s="1"/>
  <c r="K60" i="72" s="1"/>
  <c r="L61" i="72" s="1"/>
  <c r="M62" i="72" s="1"/>
  <c r="N63" i="72" s="1"/>
  <c r="E271" i="72"/>
  <c r="F271" i="72" s="1"/>
  <c r="G272" i="72" s="1"/>
  <c r="H273" i="72" s="1"/>
  <c r="I274" i="72" s="1"/>
  <c r="J275" i="72" s="1"/>
  <c r="K276" i="72" s="1"/>
  <c r="L277" i="72" s="1"/>
  <c r="M278" i="72" s="1"/>
  <c r="N279" i="72" s="1"/>
  <c r="O280" i="72" s="1"/>
  <c r="G117" i="72"/>
  <c r="H118" i="72" s="1"/>
  <c r="I119" i="72" s="1"/>
  <c r="J120" i="72" s="1"/>
  <c r="K121" i="72" s="1"/>
  <c r="L122" i="72" s="1"/>
  <c r="M123" i="72" s="1"/>
  <c r="N124" i="72" s="1"/>
  <c r="O125" i="72" s="1"/>
  <c r="E303" i="72"/>
  <c r="F303" i="72" s="1"/>
  <c r="G86" i="72"/>
  <c r="H87" i="72" s="1"/>
  <c r="I88" i="72" s="1"/>
  <c r="J89" i="72" s="1"/>
  <c r="K90" i="72" s="1"/>
  <c r="L91" i="72" s="1"/>
  <c r="M92" i="72" s="1"/>
  <c r="N93" i="72" s="1"/>
  <c r="O94" i="72" s="1"/>
  <c r="E24" i="72"/>
  <c r="F24" i="72" s="1"/>
  <c r="G242" i="72"/>
  <c r="H243" i="72" s="1"/>
  <c r="I244" i="72" s="1"/>
  <c r="J245" i="72" s="1"/>
  <c r="K246" i="72" s="1"/>
  <c r="L247" i="72" s="1"/>
  <c r="M248" i="72" s="1"/>
  <c r="N249" i="72" s="1"/>
  <c r="G180" i="72"/>
  <c r="H181" i="72" s="1"/>
  <c r="I182" i="72" s="1"/>
  <c r="J183" i="72" s="1"/>
  <c r="K184" i="72" s="1"/>
  <c r="L185" i="72" s="1"/>
  <c r="M186" i="72" s="1"/>
  <c r="N187" i="72" s="1"/>
  <c r="E242" i="72" l="1"/>
  <c r="F242" i="72" s="1"/>
  <c r="G243" i="72" s="1"/>
  <c r="H244" i="72" s="1"/>
  <c r="I245" i="72" s="1"/>
  <c r="J246" i="72" s="1"/>
  <c r="K247" i="72" s="1"/>
  <c r="L248" i="72" s="1"/>
  <c r="M249" i="72" s="1"/>
  <c r="E86" i="72"/>
  <c r="F86" i="72" s="1"/>
  <c r="G87" i="72" s="1"/>
  <c r="H88" i="72" s="1"/>
  <c r="I89" i="72" s="1"/>
  <c r="J90" i="72" s="1"/>
  <c r="K91" i="72" s="1"/>
  <c r="L92" i="72" s="1"/>
  <c r="M93" i="72" s="1"/>
  <c r="N94" i="72" s="1"/>
  <c r="G25" i="72"/>
  <c r="H26" i="72" s="1"/>
  <c r="I27" i="72" s="1"/>
  <c r="J28" i="72" s="1"/>
  <c r="K29" i="72" s="1"/>
  <c r="L30" i="72" s="1"/>
  <c r="M31" i="72" s="1"/>
  <c r="N32" i="72" s="1"/>
  <c r="E210" i="72"/>
  <c r="F210" i="72" s="1"/>
  <c r="E149" i="72"/>
  <c r="F149" i="72" s="1"/>
  <c r="E180" i="72"/>
  <c r="F180" i="72" s="1"/>
  <c r="E56" i="72"/>
  <c r="F56" i="72" s="1"/>
  <c r="G304" i="72"/>
  <c r="H305" i="72" s="1"/>
  <c r="I306" i="72" s="1"/>
  <c r="J307" i="72" s="1"/>
  <c r="K308" i="72" s="1"/>
  <c r="L309" i="72" s="1"/>
  <c r="M310" i="72" s="1"/>
  <c r="N311" i="72" s="1"/>
  <c r="E117" i="72"/>
  <c r="F117" i="72" s="1"/>
  <c r="E272" i="72"/>
  <c r="F272" i="72" s="1"/>
  <c r="E243" i="72" l="1"/>
  <c r="F243" i="72" s="1"/>
  <c r="G244" i="72" s="1"/>
  <c r="H245" i="72" s="1"/>
  <c r="I246" i="72" s="1"/>
  <c r="J247" i="72" s="1"/>
  <c r="K248" i="72" s="1"/>
  <c r="L249" i="72" s="1"/>
  <c r="E304" i="72"/>
  <c r="F304" i="72" s="1"/>
  <c r="G305" i="72" s="1"/>
  <c r="H306" i="72" s="1"/>
  <c r="I307" i="72" s="1"/>
  <c r="J308" i="72" s="1"/>
  <c r="K309" i="72" s="1"/>
  <c r="L310" i="72" s="1"/>
  <c r="M311" i="72" s="1"/>
  <c r="G181" i="72"/>
  <c r="H182" i="72" s="1"/>
  <c r="I183" i="72" s="1"/>
  <c r="J184" i="72" s="1"/>
  <c r="K185" i="72" s="1"/>
  <c r="L186" i="72" s="1"/>
  <c r="M187" i="72" s="1"/>
  <c r="G211" i="72"/>
  <c r="H212" i="72" s="1"/>
  <c r="I213" i="72" s="1"/>
  <c r="J214" i="72" s="1"/>
  <c r="K215" i="72" s="1"/>
  <c r="L216" i="72" s="1"/>
  <c r="M217" i="72" s="1"/>
  <c r="N218" i="72" s="1"/>
  <c r="G273" i="72"/>
  <c r="H274" i="72" s="1"/>
  <c r="I275" i="72" s="1"/>
  <c r="J276" i="72" s="1"/>
  <c r="K277" i="72" s="1"/>
  <c r="L278" i="72" s="1"/>
  <c r="M279" i="72" s="1"/>
  <c r="N280" i="72" s="1"/>
  <c r="G57" i="72"/>
  <c r="H58" i="72" s="1"/>
  <c r="I59" i="72" s="1"/>
  <c r="J60" i="72" s="1"/>
  <c r="K61" i="72" s="1"/>
  <c r="L62" i="72" s="1"/>
  <c r="M63" i="72" s="1"/>
  <c r="E25" i="72"/>
  <c r="F25" i="72" s="1"/>
  <c r="G118" i="72"/>
  <c r="H119" i="72" s="1"/>
  <c r="I120" i="72" s="1"/>
  <c r="J121" i="72" s="1"/>
  <c r="K122" i="72" s="1"/>
  <c r="L123" i="72" s="1"/>
  <c r="M124" i="72" s="1"/>
  <c r="N125" i="72" s="1"/>
  <c r="E87" i="72"/>
  <c r="F87" i="72" s="1"/>
  <c r="G150" i="72"/>
  <c r="H151" i="72" s="1"/>
  <c r="I152" i="72" s="1"/>
  <c r="J153" i="72" s="1"/>
  <c r="K154" i="72" s="1"/>
  <c r="L155" i="72" s="1"/>
  <c r="M156" i="72" s="1"/>
  <c r="E305" i="72" l="1"/>
  <c r="F305" i="72" s="1"/>
  <c r="G306" i="72" s="1"/>
  <c r="H307" i="72" s="1"/>
  <c r="I308" i="72" s="1"/>
  <c r="J309" i="72" s="1"/>
  <c r="K310" i="72" s="1"/>
  <c r="L311" i="72" s="1"/>
  <c r="E118" i="72"/>
  <c r="F118" i="72" s="1"/>
  <c r="G119" i="72" s="1"/>
  <c r="H120" i="72" s="1"/>
  <c r="I121" i="72" s="1"/>
  <c r="J122" i="72" s="1"/>
  <c r="K123" i="72" s="1"/>
  <c r="L124" i="72" s="1"/>
  <c r="M125" i="72" s="1"/>
  <c r="E211" i="72"/>
  <c r="F211" i="72" s="1"/>
  <c r="G212" i="72" s="1"/>
  <c r="H213" i="72" s="1"/>
  <c r="I214" i="72" s="1"/>
  <c r="J215" i="72" s="1"/>
  <c r="K216" i="72" s="1"/>
  <c r="L217" i="72" s="1"/>
  <c r="M218" i="72" s="1"/>
  <c r="E273" i="72"/>
  <c r="F273" i="72" s="1"/>
  <c r="G88" i="72"/>
  <c r="H89" i="72" s="1"/>
  <c r="I90" i="72" s="1"/>
  <c r="J91" i="72" s="1"/>
  <c r="K92" i="72" s="1"/>
  <c r="L93" i="72" s="1"/>
  <c r="M94" i="72" s="1"/>
  <c r="E244" i="72"/>
  <c r="F244" i="72" s="1"/>
  <c r="G26" i="72"/>
  <c r="H27" i="72" s="1"/>
  <c r="I28" i="72" s="1"/>
  <c r="J29" i="72" s="1"/>
  <c r="K30" i="72" s="1"/>
  <c r="L31" i="72" s="1"/>
  <c r="M32" i="72" s="1"/>
  <c r="E150" i="72"/>
  <c r="F150" i="72" s="1"/>
  <c r="E57" i="72"/>
  <c r="F57" i="72" s="1"/>
  <c r="E181" i="72"/>
  <c r="F181" i="72" s="1"/>
  <c r="E212" i="72" l="1"/>
  <c r="F212" i="72" s="1"/>
  <c r="G213" i="72" s="1"/>
  <c r="H214" i="72" s="1"/>
  <c r="I215" i="72" s="1"/>
  <c r="J216" i="72" s="1"/>
  <c r="K217" i="72" s="1"/>
  <c r="L218" i="72" s="1"/>
  <c r="E119" i="72"/>
  <c r="F119" i="72" s="1"/>
  <c r="G120" i="72" s="1"/>
  <c r="H121" i="72" s="1"/>
  <c r="I122" i="72" s="1"/>
  <c r="J123" i="72" s="1"/>
  <c r="K124" i="72" s="1"/>
  <c r="L125" i="72" s="1"/>
  <c r="E26" i="72"/>
  <c r="F26" i="72" s="1"/>
  <c r="G27" i="72" s="1"/>
  <c r="H28" i="72" s="1"/>
  <c r="I29" i="72" s="1"/>
  <c r="J30" i="72" s="1"/>
  <c r="K31" i="72" s="1"/>
  <c r="L32" i="72" s="1"/>
  <c r="E306" i="72"/>
  <c r="F306" i="72" s="1"/>
  <c r="G245" i="72"/>
  <c r="H246" i="72" s="1"/>
  <c r="I247" i="72" s="1"/>
  <c r="J248" i="72" s="1"/>
  <c r="K249" i="72" s="1"/>
  <c r="E88" i="72"/>
  <c r="F88" i="72" s="1"/>
  <c r="G182" i="72"/>
  <c r="H183" i="72" s="1"/>
  <c r="I184" i="72" s="1"/>
  <c r="J185" i="72" s="1"/>
  <c r="K186" i="72" s="1"/>
  <c r="L187" i="72" s="1"/>
  <c r="G58" i="72"/>
  <c r="H59" i="72" s="1"/>
  <c r="I60" i="72" s="1"/>
  <c r="J61" i="72" s="1"/>
  <c r="K62" i="72" s="1"/>
  <c r="L63" i="72" s="1"/>
  <c r="G274" i="72"/>
  <c r="H275" i="72" s="1"/>
  <c r="I276" i="72" s="1"/>
  <c r="J277" i="72" s="1"/>
  <c r="K278" i="72" s="1"/>
  <c r="L279" i="72" s="1"/>
  <c r="M280" i="72" s="1"/>
  <c r="G151" i="72"/>
  <c r="H152" i="72" s="1"/>
  <c r="I153" i="72" s="1"/>
  <c r="J154" i="72" s="1"/>
  <c r="K155" i="72" s="1"/>
  <c r="L156" i="72" s="1"/>
  <c r="E245" i="72" l="1"/>
  <c r="F245" i="72" s="1"/>
  <c r="G246" i="72" s="1"/>
  <c r="H247" i="72" s="1"/>
  <c r="I248" i="72" s="1"/>
  <c r="J249" i="72" s="1"/>
  <c r="E274" i="72"/>
  <c r="F274" i="72" s="1"/>
  <c r="G89" i="72"/>
  <c r="H90" i="72" s="1"/>
  <c r="I91" i="72" s="1"/>
  <c r="J92" i="72" s="1"/>
  <c r="K93" i="72" s="1"/>
  <c r="L94" i="72" s="1"/>
  <c r="E58" i="72"/>
  <c r="F58" i="72" s="1"/>
  <c r="E120" i="72"/>
  <c r="F120" i="72" s="1"/>
  <c r="E213" i="72"/>
  <c r="F213" i="72" s="1"/>
  <c r="E27" i="72"/>
  <c r="F27" i="72" s="1"/>
  <c r="E151" i="72"/>
  <c r="F151" i="72" s="1"/>
  <c r="E182" i="72"/>
  <c r="F182" i="72" s="1"/>
  <c r="G307" i="72"/>
  <c r="H308" i="72" s="1"/>
  <c r="I309" i="72" s="1"/>
  <c r="J310" i="72" s="1"/>
  <c r="K311" i="72" s="1"/>
  <c r="E307" i="72" l="1"/>
  <c r="F307" i="72" s="1"/>
  <c r="G308" i="72" s="1"/>
  <c r="H309" i="72" s="1"/>
  <c r="I310" i="72" s="1"/>
  <c r="J311" i="72" s="1"/>
  <c r="G214" i="72"/>
  <c r="H215" i="72" s="1"/>
  <c r="I216" i="72" s="1"/>
  <c r="J217" i="72" s="1"/>
  <c r="K218" i="72" s="1"/>
  <c r="G121" i="72"/>
  <c r="H122" i="72" s="1"/>
  <c r="I123" i="72" s="1"/>
  <c r="J124" i="72" s="1"/>
  <c r="K125" i="72" s="1"/>
  <c r="G59" i="72"/>
  <c r="H60" i="72" s="1"/>
  <c r="I61" i="72" s="1"/>
  <c r="J62" i="72" s="1"/>
  <c r="K63" i="72" s="1"/>
  <c r="E246" i="72"/>
  <c r="F246" i="72" s="1"/>
  <c r="G183" i="72"/>
  <c r="H184" i="72" s="1"/>
  <c r="I185" i="72" s="1"/>
  <c r="J186" i="72" s="1"/>
  <c r="K187" i="72" s="1"/>
  <c r="G152" i="72"/>
  <c r="H153" i="72" s="1"/>
  <c r="I154" i="72" s="1"/>
  <c r="J155" i="72" s="1"/>
  <c r="K156" i="72" s="1"/>
  <c r="E89" i="72"/>
  <c r="F89" i="72" s="1"/>
  <c r="G28" i="72"/>
  <c r="H29" i="72" s="1"/>
  <c r="I30" i="72" s="1"/>
  <c r="J31" i="72" s="1"/>
  <c r="K32" i="72" s="1"/>
  <c r="G275" i="72"/>
  <c r="H276" i="72" s="1"/>
  <c r="I277" i="72" s="1"/>
  <c r="J278" i="72" s="1"/>
  <c r="K279" i="72" s="1"/>
  <c r="L280" i="72" s="1"/>
  <c r="E59" i="72" l="1"/>
  <c r="F59" i="72" s="1"/>
  <c r="G60" i="72" s="1"/>
  <c r="H61" i="72" s="1"/>
  <c r="I62" i="72" s="1"/>
  <c r="J63" i="72" s="1"/>
  <c r="E152" i="72"/>
  <c r="F152" i="72" s="1"/>
  <c r="G153" i="72" s="1"/>
  <c r="H154" i="72" s="1"/>
  <c r="I155" i="72" s="1"/>
  <c r="J156" i="72" s="1"/>
  <c r="E275" i="72"/>
  <c r="F275" i="72" s="1"/>
  <c r="E308" i="72"/>
  <c r="F308" i="72" s="1"/>
  <c r="E183" i="72"/>
  <c r="F183" i="72" s="1"/>
  <c r="G247" i="72"/>
  <c r="H248" i="72" s="1"/>
  <c r="I249" i="72" s="1"/>
  <c r="E121" i="72"/>
  <c r="F121" i="72" s="1"/>
  <c r="E28" i="72"/>
  <c r="F28" i="72" s="1"/>
  <c r="E214" i="72"/>
  <c r="F214" i="72" s="1"/>
  <c r="G90" i="72"/>
  <c r="H91" i="72" s="1"/>
  <c r="I92" i="72" s="1"/>
  <c r="J93" i="72" s="1"/>
  <c r="K94" i="72" s="1"/>
  <c r="G122" i="72" l="1"/>
  <c r="H123" i="72" s="1"/>
  <c r="I124" i="72" s="1"/>
  <c r="J125" i="72" s="1"/>
  <c r="E247" i="72"/>
  <c r="F247" i="72" s="1"/>
  <c r="E60" i="72"/>
  <c r="F60" i="72" s="1"/>
  <c r="G184" i="72"/>
  <c r="H185" i="72" s="1"/>
  <c r="I186" i="72" s="1"/>
  <c r="J187" i="72" s="1"/>
  <c r="E90" i="72"/>
  <c r="F90" i="72" s="1"/>
  <c r="G309" i="72"/>
  <c r="H310" i="72" s="1"/>
  <c r="I311" i="72" s="1"/>
  <c r="G276" i="72"/>
  <c r="H277" i="72" s="1"/>
  <c r="I278" i="72" s="1"/>
  <c r="J279" i="72" s="1"/>
  <c r="K280" i="72" s="1"/>
  <c r="G215" i="72"/>
  <c r="H216" i="72" s="1"/>
  <c r="I217" i="72" s="1"/>
  <c r="J218" i="72" s="1"/>
  <c r="E153" i="72"/>
  <c r="F153" i="72" s="1"/>
  <c r="G29" i="72"/>
  <c r="H30" i="72" s="1"/>
  <c r="I31" i="72" s="1"/>
  <c r="J32" i="72" s="1"/>
  <c r="E29" i="72" l="1"/>
  <c r="F29" i="72" s="1"/>
  <c r="G30" i="72" s="1"/>
  <c r="H31" i="72" s="1"/>
  <c r="I32" i="72" s="1"/>
  <c r="E309" i="72"/>
  <c r="F309" i="72" s="1"/>
  <c r="G310" i="72" s="1"/>
  <c r="H311" i="72" s="1"/>
  <c r="G154" i="72"/>
  <c r="H155" i="72" s="1"/>
  <c r="I156" i="72" s="1"/>
  <c r="G91" i="72"/>
  <c r="H92" i="72" s="1"/>
  <c r="I93" i="72" s="1"/>
  <c r="J94" i="72" s="1"/>
  <c r="E215" i="72"/>
  <c r="F215" i="72" s="1"/>
  <c r="E184" i="72"/>
  <c r="F184" i="72" s="1"/>
  <c r="E276" i="72"/>
  <c r="F276" i="72" s="1"/>
  <c r="G61" i="72"/>
  <c r="H62" i="72" s="1"/>
  <c r="I63" i="72" s="1"/>
  <c r="G248" i="72"/>
  <c r="H249" i="72" s="1"/>
  <c r="E122" i="72"/>
  <c r="F122" i="72" s="1"/>
  <c r="E310" i="72" l="1"/>
  <c r="F310" i="72" s="1"/>
  <c r="G311" i="72" s="1"/>
  <c r="E311" i="72" s="1"/>
  <c r="F311" i="72" s="1"/>
  <c r="E30" i="72"/>
  <c r="F30" i="72" s="1"/>
  <c r="G31" i="72" s="1"/>
  <c r="H32" i="72" s="1"/>
  <c r="E91" i="72"/>
  <c r="F91" i="72" s="1"/>
  <c r="G92" i="72" s="1"/>
  <c r="H93" i="72" s="1"/>
  <c r="I94" i="72" s="1"/>
  <c r="E248" i="72"/>
  <c r="F248" i="72" s="1"/>
  <c r="G249" i="72" s="1"/>
  <c r="E249" i="72" s="1"/>
  <c r="F249" i="72" s="1"/>
  <c r="E154" i="72"/>
  <c r="F154" i="72" s="1"/>
  <c r="G155" i="72" s="1"/>
  <c r="H156" i="72" s="1"/>
  <c r="G277" i="72"/>
  <c r="H278" i="72" s="1"/>
  <c r="I279" i="72" s="1"/>
  <c r="J280" i="72" s="1"/>
  <c r="G185" i="72"/>
  <c r="H186" i="72" s="1"/>
  <c r="I187" i="72" s="1"/>
  <c r="G216" i="72"/>
  <c r="H217" i="72" s="1"/>
  <c r="I218" i="72" s="1"/>
  <c r="G123" i="72"/>
  <c r="H124" i="72" s="1"/>
  <c r="I125" i="72" s="1"/>
  <c r="E61" i="72"/>
  <c r="F61" i="72" s="1"/>
  <c r="E216" i="72" l="1"/>
  <c r="F216" i="72" s="1"/>
  <c r="G217" i="72" s="1"/>
  <c r="H218" i="72" s="1"/>
  <c r="E123" i="72"/>
  <c r="F123" i="72" s="1"/>
  <c r="G124" i="72" s="1"/>
  <c r="H125" i="72" s="1"/>
  <c r="E277" i="72"/>
  <c r="F277" i="72" s="1"/>
  <c r="G278" i="72" s="1"/>
  <c r="H279" i="72" s="1"/>
  <c r="I280" i="72" s="1"/>
  <c r="E31" i="72"/>
  <c r="F31" i="72" s="1"/>
  <c r="G32" i="72" s="1"/>
  <c r="E32" i="72" s="1"/>
  <c r="F32" i="72" s="1"/>
  <c r="AL32" i="72" s="1"/>
  <c r="E185" i="72"/>
  <c r="F185" i="72" s="1"/>
  <c r="E92" i="72"/>
  <c r="F92" i="72" s="1"/>
  <c r="G62" i="72"/>
  <c r="H63" i="72" s="1"/>
  <c r="E155" i="72"/>
  <c r="F155" i="72" s="1"/>
  <c r="G156" i="72" s="1"/>
  <c r="E156" i="72" s="1"/>
  <c r="F156" i="72" s="1"/>
  <c r="E124" i="72" l="1"/>
  <c r="F124" i="72" s="1"/>
  <c r="G125" i="72" s="1"/>
  <c r="E125" i="72" s="1"/>
  <c r="F125" i="72" s="1"/>
  <c r="AL125" i="72" s="1"/>
  <c r="E217" i="72"/>
  <c r="F217" i="72" s="1"/>
  <c r="G218" i="72" s="1"/>
  <c r="E218" i="72" s="1"/>
  <c r="F218" i="72" s="1"/>
  <c r="E62" i="72"/>
  <c r="F62" i="72" s="1"/>
  <c r="G63" i="72" s="1"/>
  <c r="E63" i="72" s="1"/>
  <c r="F63" i="72" s="1"/>
  <c r="G93" i="72"/>
  <c r="H94" i="72" s="1"/>
  <c r="G186" i="72"/>
  <c r="H187" i="72" s="1"/>
  <c r="E278" i="72"/>
  <c r="F278" i="72" s="1"/>
  <c r="G279" i="72" l="1"/>
  <c r="H280" i="72" s="1"/>
  <c r="E186" i="72"/>
  <c r="F186" i="72" s="1"/>
  <c r="G187" i="72" s="1"/>
  <c r="E187" i="72" s="1"/>
  <c r="F187" i="72" s="1"/>
  <c r="E93" i="72"/>
  <c r="F93" i="72" s="1"/>
  <c r="AL63" i="72"/>
  <c r="G94" i="72" l="1"/>
  <c r="E94" i="72" s="1"/>
  <c r="F94" i="72" s="1"/>
  <c r="E279" i="72"/>
  <c r="F279" i="72" s="1"/>
  <c r="G280" i="72" s="1"/>
  <c r="E280" i="72" l="1"/>
  <c r="F280" i="72" s="1"/>
  <c r="F24" i="26" s="1" a="1"/>
  <c r="F24" i="26" s="1"/>
  <c r="G208" i="35" s="1"/>
  <c r="AL94" i="72"/>
  <c r="AL127" i="72" s="1"/>
  <c r="G39" i="26" l="1" a="1"/>
  <c r="G39" i="26" s="1"/>
  <c r="E36" i="26" a="1"/>
  <c r="E36" i="26" s="1"/>
  <c r="I199" i="35" s="1"/>
  <c r="F28" i="26" a="1"/>
  <c r="F28" i="26" s="1"/>
  <c r="G212" i="35" s="1"/>
  <c r="F40" i="26" a="1"/>
  <c r="F40" i="26" s="1"/>
  <c r="G224" i="35" s="1"/>
  <c r="F35" i="26" a="1"/>
  <c r="F35" i="26" s="1"/>
  <c r="E33" i="26" a="1"/>
  <c r="E33" i="26" s="1"/>
  <c r="I196" i="35" s="1"/>
  <c r="F25" i="26" a="1"/>
  <c r="F25" i="26" s="1"/>
  <c r="G209" i="35" s="1"/>
  <c r="H23" i="26" a="1"/>
  <c r="H23" i="26" s="1"/>
  <c r="H35" i="26" a="1"/>
  <c r="H35" i="26" s="1"/>
  <c r="D35" i="26" a="1"/>
  <c r="D35" i="26" s="1"/>
  <c r="E40" i="26" a="1"/>
  <c r="E40" i="26" s="1"/>
  <c r="I203" i="35" s="1"/>
  <c r="F30" i="26" a="1"/>
  <c r="F30" i="26" s="1"/>
  <c r="G214" i="35" s="1"/>
  <c r="D42" i="26" a="1"/>
  <c r="D42" i="26" s="1"/>
  <c r="H205" i="35" s="1"/>
  <c r="I92" i="37" s="1"/>
  <c r="D40" i="26" a="1"/>
  <c r="D40" i="26" s="1"/>
  <c r="H203" i="35" s="1"/>
  <c r="F36" i="26" a="1"/>
  <c r="F36" i="26" s="1"/>
  <c r="G220" i="35" s="1"/>
  <c r="D30" i="26" a="1"/>
  <c r="D30" i="26" s="1"/>
  <c r="H193" i="35" s="1"/>
  <c r="I43" i="37" s="1"/>
  <c r="G35" i="26" a="1"/>
  <c r="G35" i="26" s="1"/>
  <c r="F37" i="26" a="1"/>
  <c r="F37" i="26" s="1"/>
  <c r="G221" i="35" s="1"/>
  <c r="E30" i="26" a="1"/>
  <c r="E30" i="26" s="1"/>
  <c r="I193" i="35" s="1"/>
  <c r="H38" i="26" a="1"/>
  <c r="H38" i="26" s="1"/>
  <c r="I222" i="35" s="1"/>
  <c r="E29" i="26" a="1"/>
  <c r="E29" i="26" s="1"/>
  <c r="I192" i="35" s="1"/>
  <c r="J39" i="37" s="1"/>
  <c r="H37" i="26" a="1"/>
  <c r="H37" i="26" s="1"/>
  <c r="I221" i="35" s="1"/>
  <c r="H36" i="26" a="1"/>
  <c r="H36" i="26" s="1"/>
  <c r="I220" i="35" s="1"/>
  <c r="D37" i="26" a="1"/>
  <c r="D37" i="26" s="1"/>
  <c r="H200" i="35" s="1"/>
  <c r="I73" i="37" s="1"/>
  <c r="G24" i="26" a="1"/>
  <c r="G24" i="26" s="1"/>
  <c r="H208" i="35" s="1"/>
  <c r="D32" i="26" a="1"/>
  <c r="D32" i="26" s="1"/>
  <c r="H195" i="35" s="1"/>
  <c r="H41" i="26" a="1"/>
  <c r="H41" i="26" s="1"/>
  <c r="I225" i="35" s="1"/>
  <c r="J87" i="58" s="1"/>
  <c r="D33" i="26" a="1"/>
  <c r="D33" i="26" s="1"/>
  <c r="H196" i="35" s="1"/>
  <c r="D24" i="26" a="1"/>
  <c r="D24" i="26" s="1"/>
  <c r="H187" i="35" s="1"/>
  <c r="I22" i="37" s="1"/>
  <c r="F27" i="26" a="1"/>
  <c r="F27" i="26" s="1"/>
  <c r="E37" i="26" a="1"/>
  <c r="E37" i="26" s="1"/>
  <c r="I200" i="35" s="1"/>
  <c r="D27" i="26" a="1"/>
  <c r="D27" i="26" s="1"/>
  <c r="H190" i="35" s="1"/>
  <c r="H30" i="26" a="1"/>
  <c r="H30" i="26" s="1"/>
  <c r="I214" i="35" s="1"/>
  <c r="E23" i="26" a="1"/>
  <c r="E23" i="26" s="1"/>
  <c r="G38" i="26" a="1"/>
  <c r="G38" i="26" s="1"/>
  <c r="H222" i="35" s="1"/>
  <c r="I77" i="58" s="1"/>
  <c r="F29" i="26" a="1"/>
  <c r="F29" i="26" s="1"/>
  <c r="G213" i="35" s="1"/>
  <c r="E41" i="26" a="1"/>
  <c r="E41" i="26" s="1"/>
  <c r="I204" i="35" s="1"/>
  <c r="G36" i="26" a="1"/>
  <c r="G36" i="26" s="1"/>
  <c r="H220" i="35" s="1"/>
  <c r="D41" i="26" a="1"/>
  <c r="D41" i="26" s="1"/>
  <c r="H204" i="35" s="1"/>
  <c r="H24" i="26" a="1"/>
  <c r="H24" i="26" s="1"/>
  <c r="I208" i="35" s="1"/>
  <c r="J19" i="58" s="1"/>
  <c r="G26" i="26" a="1"/>
  <c r="G26" i="26" s="1"/>
  <c r="H210" i="35" s="1"/>
  <c r="D29" i="26" a="1"/>
  <c r="D29" i="26" s="1"/>
  <c r="H192" i="35" s="1"/>
  <c r="E26" i="26" a="1"/>
  <c r="E26" i="26" s="1"/>
  <c r="I189" i="35" s="1"/>
  <c r="J27" i="37" s="1"/>
  <c r="D28" i="26" a="1"/>
  <c r="D28" i="26" s="1"/>
  <c r="H191" i="35" s="1"/>
  <c r="E28" i="26" a="1"/>
  <c r="E28" i="26" s="1"/>
  <c r="I191" i="35" s="1"/>
  <c r="J37" i="37" s="1"/>
  <c r="F42" i="26" a="1"/>
  <c r="F42" i="26" s="1"/>
  <c r="G226" i="35" s="1"/>
  <c r="H94" i="58" s="1"/>
  <c r="H94" i="41" s="1"/>
  <c r="G33" i="26" a="1"/>
  <c r="G33" i="26" s="1"/>
  <c r="H217" i="35" s="1"/>
  <c r="G41" i="26" a="1"/>
  <c r="G41" i="26" s="1"/>
  <c r="H225" i="35" s="1"/>
  <c r="I90" i="58" s="1"/>
  <c r="H27" i="26" a="1"/>
  <c r="H27" i="26" s="1"/>
  <c r="G29" i="26" a="1"/>
  <c r="G29" i="26" s="1"/>
  <c r="H213" i="35" s="1"/>
  <c r="D36" i="26" a="1"/>
  <c r="D36" i="26" s="1"/>
  <c r="H199" i="35" s="1"/>
  <c r="I70" i="37" s="1"/>
  <c r="F39" i="26" a="1"/>
  <c r="F39" i="26" s="1"/>
  <c r="G223" i="35" s="1"/>
  <c r="H25" i="26" a="1"/>
  <c r="H25" i="26" s="1"/>
  <c r="I209" i="35" s="1"/>
  <c r="J24" i="58" s="1"/>
  <c r="G42" i="26" a="1"/>
  <c r="G42" i="26" s="1"/>
  <c r="H226" i="35" s="1"/>
  <c r="D38" i="26" a="1"/>
  <c r="D38" i="26" s="1"/>
  <c r="H201" i="35" s="1"/>
  <c r="G25" i="26" a="1"/>
  <c r="G25" i="26" s="1"/>
  <c r="H209" i="35" s="1"/>
  <c r="I23" i="58" s="1"/>
  <c r="F23" i="26" a="1"/>
  <c r="F23" i="26" s="1"/>
  <c r="G207" i="35" s="1"/>
  <c r="G219" i="35"/>
  <c r="J84" i="37"/>
  <c r="J86" i="37"/>
  <c r="J85" i="37"/>
  <c r="J83" i="37"/>
  <c r="I27" i="58"/>
  <c r="I30" i="58"/>
  <c r="I29" i="58"/>
  <c r="I28" i="58"/>
  <c r="I41" i="37"/>
  <c r="I40" i="37"/>
  <c r="I42" i="37"/>
  <c r="I39" i="37"/>
  <c r="I90" i="37"/>
  <c r="I89" i="37"/>
  <c r="I88" i="37"/>
  <c r="I87" i="37"/>
  <c r="E39" i="26" a="1"/>
  <c r="E39" i="26" s="1"/>
  <c r="H39" i="26" a="1"/>
  <c r="H39" i="26" s="1"/>
  <c r="F38" i="26" a="1"/>
  <c r="F38" i="26" s="1"/>
  <c r="G222" i="35" s="1"/>
  <c r="G28" i="26" a="1"/>
  <c r="G28" i="26" s="1"/>
  <c r="H212" i="35" s="1"/>
  <c r="E24" i="26" a="1"/>
  <c r="E24" i="26" s="1"/>
  <c r="I187" i="35" s="1"/>
  <c r="G31" i="26" a="1"/>
  <c r="G31" i="26" s="1"/>
  <c r="H28" i="26" a="1"/>
  <c r="H28" i="26" s="1"/>
  <c r="I212" i="35" s="1"/>
  <c r="E34" i="26" a="1"/>
  <c r="E34" i="26" s="1"/>
  <c r="I197" i="35" s="1"/>
  <c r="G30" i="26" a="1"/>
  <c r="G30" i="26" s="1"/>
  <c r="H214" i="35" s="1"/>
  <c r="H32" i="26" a="1"/>
  <c r="H32" i="26" s="1"/>
  <c r="I216" i="35" s="1"/>
  <c r="E35" i="26" a="1"/>
  <c r="E35" i="26" s="1"/>
  <c r="D34" i="26" a="1"/>
  <c r="D34" i="26" s="1"/>
  <c r="H197" i="35" s="1"/>
  <c r="H42" i="26" a="1"/>
  <c r="H42" i="26" s="1"/>
  <c r="I226" i="35" s="1"/>
  <c r="E25" i="26" a="1"/>
  <c r="E25" i="26" s="1"/>
  <c r="I188" i="35" s="1"/>
  <c r="F32" i="26" a="1"/>
  <c r="F32" i="26" s="1"/>
  <c r="G216" i="35" s="1"/>
  <c r="G40" i="26" a="1"/>
  <c r="G40" i="26" s="1"/>
  <c r="H224" i="35" s="1"/>
  <c r="E32" i="26" a="1"/>
  <c r="E32" i="26" s="1"/>
  <c r="I195" i="35" s="1"/>
  <c r="F34" i="26" a="1"/>
  <c r="F34" i="26" s="1"/>
  <c r="G218" i="35" s="1"/>
  <c r="F31" i="26" a="1"/>
  <c r="F31" i="26" s="1"/>
  <c r="E27" i="26" a="1"/>
  <c r="E27" i="26" s="1"/>
  <c r="H34" i="26" a="1"/>
  <c r="H34" i="26" s="1"/>
  <c r="I218" i="35" s="1"/>
  <c r="H26" i="26" a="1"/>
  <c r="H26" i="26" s="1"/>
  <c r="I210" i="35" s="1"/>
  <c r="G37" i="26" a="1"/>
  <c r="G37" i="26" s="1"/>
  <c r="H221" i="35" s="1"/>
  <c r="E42" i="26" a="1"/>
  <c r="E42" i="26" s="1"/>
  <c r="I205" i="35" s="1"/>
  <c r="I94" i="37"/>
  <c r="H38" i="58"/>
  <c r="H38" i="41" s="1"/>
  <c r="H37" i="58"/>
  <c r="H37" i="41" s="1"/>
  <c r="H36" i="58"/>
  <c r="H36" i="41" s="1"/>
  <c r="H35" i="58"/>
  <c r="H35" i="41" s="1"/>
  <c r="H91" i="58"/>
  <c r="H91" i="41" s="1"/>
  <c r="H92" i="58"/>
  <c r="H92" i="41" s="1"/>
  <c r="H93" i="58"/>
  <c r="H93" i="41" s="1"/>
  <c r="I57" i="58"/>
  <c r="I56" i="58"/>
  <c r="I55" i="58"/>
  <c r="I58" i="58"/>
  <c r="H39" i="58"/>
  <c r="H39" i="41" s="1"/>
  <c r="H41" i="58"/>
  <c r="H41" i="41" s="1"/>
  <c r="H42" i="58"/>
  <c r="H42" i="41" s="1"/>
  <c r="H40" i="58"/>
  <c r="H40" i="41" s="1"/>
  <c r="E31" i="26" a="1"/>
  <c r="E31" i="26" s="1"/>
  <c r="G27" i="26" a="1"/>
  <c r="G27" i="26" s="1"/>
  <c r="H29" i="26" a="1"/>
  <c r="H29" i="26" s="1"/>
  <c r="I213" i="35" s="1"/>
  <c r="H223" i="35"/>
  <c r="I219" i="35"/>
  <c r="G53" i="26"/>
  <c r="H67" i="58"/>
  <c r="H67" i="41" s="1"/>
  <c r="H69" i="58"/>
  <c r="H69" i="41" s="1"/>
  <c r="H68" i="58"/>
  <c r="H68" i="41" s="1"/>
  <c r="H70" i="58"/>
  <c r="H70" i="41" s="1"/>
  <c r="H85" i="58"/>
  <c r="H85" i="41" s="1"/>
  <c r="H86" i="58"/>
  <c r="H86" i="41" s="1"/>
  <c r="H84" i="58"/>
  <c r="H84" i="41" s="1"/>
  <c r="H83" i="58"/>
  <c r="H83" i="41" s="1"/>
  <c r="I40" i="58"/>
  <c r="I42" i="58"/>
  <c r="I39" i="58"/>
  <c r="I41" i="58"/>
  <c r="E38" i="26" a="1"/>
  <c r="E38" i="26" s="1"/>
  <c r="I201" i="35" s="1"/>
  <c r="D31" i="26" a="1"/>
  <c r="D31" i="26" s="1"/>
  <c r="D26" i="26" a="1"/>
  <c r="D26" i="26" s="1"/>
  <c r="H189" i="35" s="1"/>
  <c r="H219" i="35"/>
  <c r="H72" i="58"/>
  <c r="H72" i="41" s="1"/>
  <c r="H74" i="58"/>
  <c r="H74" i="41" s="1"/>
  <c r="H71" i="58"/>
  <c r="H71" i="41" s="1"/>
  <c r="H73" i="58"/>
  <c r="H73" i="41" s="1"/>
  <c r="J44" i="37"/>
  <c r="J46" i="37"/>
  <c r="J45" i="37"/>
  <c r="J43" i="37"/>
  <c r="H46" i="58"/>
  <c r="H46" i="41" s="1"/>
  <c r="H45" i="58"/>
  <c r="H45" i="41" s="1"/>
  <c r="H44" i="58"/>
  <c r="H44" i="41" s="1"/>
  <c r="H43" i="58"/>
  <c r="H43" i="41" s="1"/>
  <c r="J26" i="58"/>
  <c r="I92" i="58"/>
  <c r="I91" i="58"/>
  <c r="I93" i="58"/>
  <c r="I94" i="58"/>
  <c r="G23" i="26" a="1"/>
  <c r="G23" i="26" s="1"/>
  <c r="F41" i="26" a="1"/>
  <c r="F41" i="26" s="1"/>
  <c r="G225" i="35" s="1"/>
  <c r="D39" i="26" a="1"/>
  <c r="D39" i="26" s="1"/>
  <c r="H25" i="58"/>
  <c r="H25" i="41" s="1"/>
  <c r="H24" i="58"/>
  <c r="H24" i="41" s="1"/>
  <c r="H26" i="58"/>
  <c r="H26" i="41" s="1"/>
  <c r="H23" i="58"/>
  <c r="H23" i="41" s="1"/>
  <c r="J72" i="58"/>
  <c r="J71" i="58"/>
  <c r="J74" i="58"/>
  <c r="J73" i="58"/>
  <c r="J70" i="58"/>
  <c r="J68" i="58"/>
  <c r="J69" i="58"/>
  <c r="J67" i="58"/>
  <c r="J78" i="58"/>
  <c r="J77" i="58"/>
  <c r="J75" i="58"/>
  <c r="J76" i="58"/>
  <c r="J22" i="58"/>
  <c r="H33" i="26" a="1"/>
  <c r="H33" i="26" s="1"/>
  <c r="I217" i="35" s="1"/>
  <c r="H31" i="26" a="1"/>
  <c r="H31" i="26" s="1"/>
  <c r="H40" i="26" a="1"/>
  <c r="H40" i="26" s="1"/>
  <c r="I224" i="35" s="1"/>
  <c r="I58" i="37"/>
  <c r="I57" i="37"/>
  <c r="I55" i="37"/>
  <c r="I56" i="37"/>
  <c r="I19" i="37"/>
  <c r="I20" i="37"/>
  <c r="G211" i="35"/>
  <c r="E51" i="26"/>
  <c r="H51" i="26" s="1"/>
  <c r="I20" i="58"/>
  <c r="I19" i="58"/>
  <c r="I21" i="58"/>
  <c r="I22" i="58"/>
  <c r="J55" i="37"/>
  <c r="J58" i="37"/>
  <c r="J57" i="37"/>
  <c r="J56" i="37"/>
  <c r="I37" i="37"/>
  <c r="I35" i="37"/>
  <c r="I36" i="37"/>
  <c r="I38" i="37"/>
  <c r="H20" i="58"/>
  <c r="H20" i="41" s="1"/>
  <c r="H21" i="58"/>
  <c r="H21" i="41" s="1"/>
  <c r="H22" i="58"/>
  <c r="H22" i="41" s="1"/>
  <c r="H19" i="58"/>
  <c r="H19" i="41" s="1"/>
  <c r="D23" i="26" a="1"/>
  <c r="D23" i="26" s="1"/>
  <c r="G32" i="26" a="1"/>
  <c r="G32" i="26" s="1"/>
  <c r="H216" i="35" s="1"/>
  <c r="I207" i="35"/>
  <c r="I83" i="37"/>
  <c r="I86" i="37"/>
  <c r="I85" i="37"/>
  <c r="I84" i="37"/>
  <c r="J45" i="58"/>
  <c r="J43" i="58"/>
  <c r="J46" i="58"/>
  <c r="J44" i="58"/>
  <c r="I186" i="35"/>
  <c r="J72" i="37"/>
  <c r="J74" i="37"/>
  <c r="J71" i="37"/>
  <c r="J73" i="37"/>
  <c r="J41" i="37"/>
  <c r="J40" i="37"/>
  <c r="J42" i="37"/>
  <c r="I211" i="35"/>
  <c r="I78" i="37"/>
  <c r="I75" i="37"/>
  <c r="I76" i="37"/>
  <c r="I77" i="37"/>
  <c r="D25" i="26" a="1"/>
  <c r="D25" i="26" s="1"/>
  <c r="H188" i="35" s="1"/>
  <c r="G34" i="26" a="1"/>
  <c r="G34" i="26" s="1"/>
  <c r="H218" i="35" s="1"/>
  <c r="J68" i="37"/>
  <c r="J69" i="37"/>
  <c r="J67" i="37"/>
  <c r="J70" i="37"/>
  <c r="H198" i="35"/>
  <c r="J87" i="37"/>
  <c r="J90" i="37"/>
  <c r="J89" i="37"/>
  <c r="J88" i="37"/>
  <c r="I69" i="58"/>
  <c r="I70" i="58"/>
  <c r="I68" i="58"/>
  <c r="I67" i="58"/>
  <c r="I52" i="37"/>
  <c r="I54" i="37"/>
  <c r="I53" i="37"/>
  <c r="I51" i="37"/>
  <c r="I26" i="58"/>
  <c r="F26" i="26" a="1"/>
  <c r="F26" i="26" s="1"/>
  <c r="G210" i="35" s="1"/>
  <c r="F33" i="26" a="1"/>
  <c r="F33" i="26" s="1"/>
  <c r="G217" i="35" s="1"/>
  <c r="I24" i="58" l="1"/>
  <c r="J20" i="58"/>
  <c r="I45" i="37"/>
  <c r="I46" i="37"/>
  <c r="J21" i="58"/>
  <c r="I44" i="37"/>
  <c r="C51" i="26"/>
  <c r="I87" i="58"/>
  <c r="I87" i="41" s="1"/>
  <c r="I74" i="37"/>
  <c r="I89" i="58"/>
  <c r="I71" i="37"/>
  <c r="I88" i="58"/>
  <c r="I72" i="37"/>
  <c r="I75" i="58"/>
  <c r="I75" i="41" s="1"/>
  <c r="I78" i="58"/>
  <c r="J29" i="37"/>
  <c r="J89" i="58"/>
  <c r="I76" i="58"/>
  <c r="J88" i="58"/>
  <c r="J90" i="58"/>
  <c r="J90" i="41" s="1"/>
  <c r="J23" i="58"/>
  <c r="J38" i="37"/>
  <c r="I21" i="37"/>
  <c r="J25" i="58"/>
  <c r="J36" i="37"/>
  <c r="I93" i="37"/>
  <c r="J35" i="37"/>
  <c r="I91" i="37"/>
  <c r="I91" i="41" s="1"/>
  <c r="C53" i="26"/>
  <c r="I68" i="37"/>
  <c r="I68" i="41" s="1"/>
  <c r="I25" i="58"/>
  <c r="I69" i="37"/>
  <c r="I69" i="41" s="1"/>
  <c r="I67" i="37"/>
  <c r="I67" i="41" s="1"/>
  <c r="J30" i="37"/>
  <c r="J28" i="37"/>
  <c r="G50" i="26"/>
  <c r="J89" i="41"/>
  <c r="J70" i="41"/>
  <c r="J71" i="41"/>
  <c r="I57" i="41"/>
  <c r="I58" i="41"/>
  <c r="J68" i="41"/>
  <c r="D50" i="26"/>
  <c r="I56" i="41"/>
  <c r="J72" i="41"/>
  <c r="G51" i="26"/>
  <c r="J67" i="41"/>
  <c r="I55" i="41"/>
  <c r="J88" i="41"/>
  <c r="F54" i="26"/>
  <c r="J87" i="41"/>
  <c r="J73" i="41"/>
  <c r="I78" i="41"/>
  <c r="J69" i="41"/>
  <c r="J74" i="41"/>
  <c r="I76" i="41"/>
  <c r="H27" i="58"/>
  <c r="H27" i="41" s="1"/>
  <c r="H30" i="58"/>
  <c r="H30" i="41" s="1"/>
  <c r="H29" i="58"/>
  <c r="H29" i="41" s="1"/>
  <c r="H28" i="58"/>
  <c r="H28" i="41" s="1"/>
  <c r="I66" i="37"/>
  <c r="I63" i="37"/>
  <c r="I64" i="37"/>
  <c r="I65" i="37"/>
  <c r="I21" i="41"/>
  <c r="C52" i="26"/>
  <c r="H194" i="35"/>
  <c r="J29" i="58"/>
  <c r="J29" i="41" s="1"/>
  <c r="J27" i="58"/>
  <c r="J27" i="41" s="1"/>
  <c r="J30" i="58"/>
  <c r="J28" i="58"/>
  <c r="J24" i="37"/>
  <c r="J24" i="41" s="1"/>
  <c r="J23" i="37"/>
  <c r="J23" i="41" s="1"/>
  <c r="J26" i="37"/>
  <c r="J26" i="41" s="1"/>
  <c r="J25" i="37"/>
  <c r="H215" i="35"/>
  <c r="F52" i="26"/>
  <c r="I39" i="41"/>
  <c r="I52" i="58"/>
  <c r="I52" i="41" s="1"/>
  <c r="I54" i="58"/>
  <c r="I54" i="41" s="1"/>
  <c r="I53" i="58"/>
  <c r="I53" i="41" s="1"/>
  <c r="I51" i="58"/>
  <c r="I51" i="41" s="1"/>
  <c r="J43" i="41"/>
  <c r="I64" i="58"/>
  <c r="I66" i="58"/>
  <c r="I63" i="58"/>
  <c r="I65" i="58"/>
  <c r="J77" i="37"/>
  <c r="J77" i="41" s="1"/>
  <c r="J75" i="37"/>
  <c r="J75" i="41" s="1"/>
  <c r="J76" i="37"/>
  <c r="J76" i="41" s="1"/>
  <c r="J78" i="37"/>
  <c r="J78" i="41" s="1"/>
  <c r="J40" i="58"/>
  <c r="J40" i="41" s="1"/>
  <c r="J41" i="58"/>
  <c r="J41" i="41" s="1"/>
  <c r="J42" i="58"/>
  <c r="J42" i="41" s="1"/>
  <c r="J39" i="58"/>
  <c r="J39" i="41" s="1"/>
  <c r="I92" i="41"/>
  <c r="J61" i="58"/>
  <c r="J62" i="58"/>
  <c r="J59" i="58"/>
  <c r="J60" i="58"/>
  <c r="J92" i="58"/>
  <c r="J94" i="58"/>
  <c r="J91" i="58"/>
  <c r="J93" i="58"/>
  <c r="J22" i="37"/>
  <c r="J22" i="41" s="1"/>
  <c r="J19" i="37"/>
  <c r="J19" i="41" s="1"/>
  <c r="J21" i="37"/>
  <c r="J21" i="41" s="1"/>
  <c r="J20" i="37"/>
  <c r="J20" i="41" s="1"/>
  <c r="I88" i="41"/>
  <c r="I42" i="41"/>
  <c r="C50" i="26"/>
  <c r="H186" i="35"/>
  <c r="J85" i="58"/>
  <c r="J85" i="41" s="1"/>
  <c r="J83" i="58"/>
  <c r="J83" i="41" s="1"/>
  <c r="J84" i="58"/>
  <c r="J84" i="41" s="1"/>
  <c r="J86" i="58"/>
  <c r="J86" i="41" s="1"/>
  <c r="H202" i="35"/>
  <c r="C54" i="26"/>
  <c r="J45" i="41"/>
  <c r="F53" i="26"/>
  <c r="I53" i="26" s="1"/>
  <c r="H82" i="58"/>
  <c r="H82" i="41" s="1"/>
  <c r="H80" i="58"/>
  <c r="H80" i="41" s="1"/>
  <c r="H79" i="58"/>
  <c r="H79" i="41" s="1"/>
  <c r="H81" i="58"/>
  <c r="H81" i="41" s="1"/>
  <c r="F51" i="26"/>
  <c r="I51" i="26" s="1"/>
  <c r="H211" i="35"/>
  <c r="I94" i="41"/>
  <c r="D51" i="26"/>
  <c r="I190" i="35"/>
  <c r="I62" i="37"/>
  <c r="I60" i="37"/>
  <c r="I59" i="37"/>
  <c r="I61" i="37"/>
  <c r="I36" i="58"/>
  <c r="I36" i="41" s="1"/>
  <c r="I38" i="58"/>
  <c r="I38" i="41" s="1"/>
  <c r="I35" i="58"/>
  <c r="I35" i="41" s="1"/>
  <c r="I37" i="58"/>
  <c r="I37" i="41" s="1"/>
  <c r="I89" i="41"/>
  <c r="I40" i="41"/>
  <c r="J34" i="58"/>
  <c r="J31" i="58"/>
  <c r="J32" i="58"/>
  <c r="J33" i="58"/>
  <c r="I215" i="35"/>
  <c r="G52" i="26"/>
  <c r="H87" i="58"/>
  <c r="H87" i="41" s="1"/>
  <c r="H89" i="58"/>
  <c r="H89" i="41" s="1"/>
  <c r="H90" i="58"/>
  <c r="H90" i="41" s="1"/>
  <c r="H88" i="58"/>
  <c r="H88" i="41" s="1"/>
  <c r="J46" i="41"/>
  <c r="E54" i="26"/>
  <c r="H54" i="26" s="1"/>
  <c r="I194" i="35"/>
  <c r="D52" i="26"/>
  <c r="J52" i="26" s="1"/>
  <c r="I93" i="41"/>
  <c r="E52" i="26"/>
  <c r="H52" i="26" s="1"/>
  <c r="G215" i="35"/>
  <c r="I198" i="35"/>
  <c r="D53" i="26"/>
  <c r="J53" i="26" s="1"/>
  <c r="H77" i="58"/>
  <c r="H77" i="41" s="1"/>
  <c r="H76" i="58"/>
  <c r="H76" i="41" s="1"/>
  <c r="H75" i="58"/>
  <c r="H75" i="41" s="1"/>
  <c r="H78" i="58"/>
  <c r="H78" i="41" s="1"/>
  <c r="I90" i="41"/>
  <c r="I41" i="41"/>
  <c r="H31" i="58"/>
  <c r="H31" i="41" s="1"/>
  <c r="H33" i="58"/>
  <c r="H33" i="41" s="1"/>
  <c r="H34" i="58"/>
  <c r="H34" i="41" s="1"/>
  <c r="H32" i="58"/>
  <c r="H32" i="41" s="1"/>
  <c r="J55" i="58"/>
  <c r="J55" i="41" s="1"/>
  <c r="J58" i="58"/>
  <c r="J58" i="41" s="1"/>
  <c r="J57" i="58"/>
  <c r="J57" i="41" s="1"/>
  <c r="J56" i="58"/>
  <c r="J56" i="41" s="1"/>
  <c r="H207" i="35"/>
  <c r="F50" i="26"/>
  <c r="J44" i="41"/>
  <c r="H60" i="58"/>
  <c r="H60" i="41" s="1"/>
  <c r="H61" i="58"/>
  <c r="H61" i="41" s="1"/>
  <c r="H62" i="58"/>
  <c r="H62" i="41" s="1"/>
  <c r="H59" i="58"/>
  <c r="H59" i="41" s="1"/>
  <c r="J51" i="58"/>
  <c r="J52" i="58"/>
  <c r="J53" i="58"/>
  <c r="J54" i="58"/>
  <c r="I223" i="35"/>
  <c r="G54" i="26"/>
  <c r="E53" i="26"/>
  <c r="H53" i="26" s="1"/>
  <c r="E50" i="26"/>
  <c r="H50" i="26" s="1"/>
  <c r="I61" i="58"/>
  <c r="I59" i="58"/>
  <c r="I60" i="58"/>
  <c r="I62" i="58"/>
  <c r="J15" i="37"/>
  <c r="J18" i="37"/>
  <c r="J17" i="37"/>
  <c r="J16" i="37"/>
  <c r="I22" i="41"/>
  <c r="J63" i="58"/>
  <c r="J66" i="58"/>
  <c r="J65" i="58"/>
  <c r="J64" i="58"/>
  <c r="J52" i="37"/>
  <c r="J54" i="37"/>
  <c r="J51" i="37"/>
  <c r="J53" i="37"/>
  <c r="I43" i="58"/>
  <c r="I43" i="41" s="1"/>
  <c r="I44" i="58"/>
  <c r="I44" i="41" s="1"/>
  <c r="I46" i="58"/>
  <c r="I46" i="41" s="1"/>
  <c r="I45" i="58"/>
  <c r="I45" i="41" s="1"/>
  <c r="D54" i="26"/>
  <c r="I202" i="35"/>
  <c r="H66" i="58"/>
  <c r="H66" i="41" s="1"/>
  <c r="H63" i="58"/>
  <c r="H63" i="41" s="1"/>
  <c r="H64" i="58"/>
  <c r="H64" i="41" s="1"/>
  <c r="H65" i="58"/>
  <c r="H65" i="41" s="1"/>
  <c r="H18" i="58"/>
  <c r="H18" i="41" s="1"/>
  <c r="H16" i="58"/>
  <c r="H17" i="58"/>
  <c r="H15" i="58"/>
  <c r="I23" i="37"/>
  <c r="I23" i="41" s="1"/>
  <c r="I26" i="37"/>
  <c r="I26" i="41" s="1"/>
  <c r="I24" i="37"/>
  <c r="I24" i="41" s="1"/>
  <c r="I25" i="37"/>
  <c r="I25" i="41" s="1"/>
  <c r="I20" i="41"/>
  <c r="I70" i="41"/>
  <c r="I82" i="58"/>
  <c r="I81" i="58"/>
  <c r="I80" i="58"/>
  <c r="I79" i="58"/>
  <c r="J92" i="37"/>
  <c r="J91" i="37"/>
  <c r="J94" i="37"/>
  <c r="J93" i="37"/>
  <c r="I84" i="58"/>
  <c r="I84" i="41" s="1"/>
  <c r="I83" i="58"/>
  <c r="I83" i="41" s="1"/>
  <c r="I85" i="58"/>
  <c r="I85" i="41" s="1"/>
  <c r="I86" i="58"/>
  <c r="I86" i="41" s="1"/>
  <c r="J60" i="37"/>
  <c r="J62" i="37"/>
  <c r="J61" i="37"/>
  <c r="J59" i="37"/>
  <c r="H55" i="58"/>
  <c r="H55" i="41" s="1"/>
  <c r="H56" i="58"/>
  <c r="H56" i="41" s="1"/>
  <c r="H58" i="58"/>
  <c r="H58" i="41" s="1"/>
  <c r="H57" i="58"/>
  <c r="H57" i="41" s="1"/>
  <c r="I77" i="41"/>
  <c r="J18" i="58"/>
  <c r="J15" i="58"/>
  <c r="J16" i="58"/>
  <c r="J17" i="58"/>
  <c r="I19" i="41"/>
  <c r="I27" i="37"/>
  <c r="I27" i="41" s="1"/>
  <c r="I29" i="37"/>
  <c r="I29" i="41" s="1"/>
  <c r="I28" i="37"/>
  <c r="I28" i="41" s="1"/>
  <c r="I30" i="37"/>
  <c r="I30" i="41" s="1"/>
  <c r="I74" i="58"/>
  <c r="I74" i="41" s="1"/>
  <c r="I73" i="58"/>
  <c r="I73" i="41" s="1"/>
  <c r="I71" i="58"/>
  <c r="I71" i="41" s="1"/>
  <c r="I72" i="58"/>
  <c r="I72" i="41" s="1"/>
  <c r="H53" i="58"/>
  <c r="H53" i="41" s="1"/>
  <c r="H54" i="58"/>
  <c r="H54" i="41" s="1"/>
  <c r="H52" i="58"/>
  <c r="H52" i="41" s="1"/>
  <c r="H51" i="58"/>
  <c r="H51" i="41" s="1"/>
  <c r="J36" i="58"/>
  <c r="J36" i="41" s="1"/>
  <c r="J35" i="58"/>
  <c r="J35" i="41" s="1"/>
  <c r="J37" i="58"/>
  <c r="J37" i="41" s="1"/>
  <c r="J38" i="58"/>
  <c r="I34" i="37"/>
  <c r="I31" i="37"/>
  <c r="I33" i="37"/>
  <c r="I32" i="37"/>
  <c r="J25" i="41" l="1"/>
  <c r="J38" i="41"/>
  <c r="J50" i="26"/>
  <c r="J28" i="41"/>
  <c r="J30" i="41"/>
  <c r="J60" i="41"/>
  <c r="I61" i="41"/>
  <c r="J94" i="41"/>
  <c r="I60" i="41"/>
  <c r="J51" i="26"/>
  <c r="J92" i="41"/>
  <c r="J51" i="41"/>
  <c r="I59" i="41"/>
  <c r="I62" i="41"/>
  <c r="J59" i="41"/>
  <c r="I54" i="26"/>
  <c r="J91" i="41"/>
  <c r="J54" i="41"/>
  <c r="J62" i="41"/>
  <c r="J53" i="41"/>
  <c r="J54" i="26"/>
  <c r="J52" i="41"/>
  <c r="J93" i="41"/>
  <c r="J61" i="41"/>
  <c r="J79" i="58"/>
  <c r="J82" i="58"/>
  <c r="J81" i="58"/>
  <c r="J80" i="58"/>
  <c r="I63" i="41"/>
  <c r="J65" i="37"/>
  <c r="J65" i="41" s="1"/>
  <c r="J63" i="37"/>
  <c r="J63" i="41" s="1"/>
  <c r="J66" i="37"/>
  <c r="J66" i="41" s="1"/>
  <c r="J64" i="37"/>
  <c r="J64" i="41" s="1"/>
  <c r="J49" i="58"/>
  <c r="J50" i="58"/>
  <c r="J47" i="58"/>
  <c r="J48" i="58"/>
  <c r="I47" i="37"/>
  <c r="I49" i="37"/>
  <c r="I48" i="37"/>
  <c r="I50" i="37"/>
  <c r="I66" i="41"/>
  <c r="J16" i="41"/>
  <c r="H48" i="58"/>
  <c r="H48" i="41" s="1"/>
  <c r="H47" i="58"/>
  <c r="H47" i="41" s="1"/>
  <c r="H49" i="58"/>
  <c r="H49" i="41" s="1"/>
  <c r="H50" i="58"/>
  <c r="H50" i="41" s="1"/>
  <c r="I33" i="58"/>
  <c r="I33" i="41" s="1"/>
  <c r="I31" i="58"/>
  <c r="I31" i="41" s="1"/>
  <c r="I34" i="58"/>
  <c r="I34" i="41" s="1"/>
  <c r="I32" i="58"/>
  <c r="I32" i="41" s="1"/>
  <c r="I18" i="37"/>
  <c r="I16" i="37"/>
  <c r="I17" i="37"/>
  <c r="I15" i="37"/>
  <c r="I52" i="26"/>
  <c r="J17" i="41"/>
  <c r="I79" i="37"/>
  <c r="I79" i="41" s="1"/>
  <c r="I80" i="37"/>
  <c r="I80" i="41" s="1"/>
  <c r="I81" i="37"/>
  <c r="I81" i="41" s="1"/>
  <c r="I82" i="37"/>
  <c r="I82" i="41" s="1"/>
  <c r="I50" i="26"/>
  <c r="J18" i="41"/>
  <c r="H15" i="41"/>
  <c r="J15" i="41"/>
  <c r="I15" i="58"/>
  <c r="I17" i="58"/>
  <c r="I18" i="58"/>
  <c r="I16" i="58"/>
  <c r="H17" i="41"/>
  <c r="J32" i="37"/>
  <c r="J32" i="41" s="1"/>
  <c r="J34" i="37"/>
  <c r="J34" i="41" s="1"/>
  <c r="J31" i="37"/>
  <c r="J31" i="41" s="1"/>
  <c r="J33" i="37"/>
  <c r="J33" i="41" s="1"/>
  <c r="I48" i="58"/>
  <c r="I50" i="58"/>
  <c r="I49" i="58"/>
  <c r="I47" i="58"/>
  <c r="I65" i="41"/>
  <c r="H16" i="41"/>
  <c r="J80" i="37"/>
  <c r="J79" i="37"/>
  <c r="J81" i="37"/>
  <c r="J82" i="37"/>
  <c r="J47" i="37"/>
  <c r="J48" i="37"/>
  <c r="J49" i="37"/>
  <c r="J50" i="37"/>
  <c r="I64" i="41"/>
  <c r="J49" i="41" l="1"/>
  <c r="J82" i="41"/>
  <c r="C58" i="63"/>
  <c r="J424" i="58"/>
  <c r="E35" i="53" s="1"/>
  <c r="F35" i="53" s="1"/>
  <c r="H29" i="53" s="1"/>
  <c r="J81" i="41"/>
  <c r="J50" i="41"/>
  <c r="J48" i="41"/>
  <c r="J423" i="58"/>
  <c r="E347" i="38" s="1"/>
  <c r="M290" i="66" s="1"/>
  <c r="J47" i="41"/>
  <c r="H424" i="58"/>
  <c r="H424" i="41" s="1"/>
  <c r="J79" i="41"/>
  <c r="J80" i="41"/>
  <c r="C38" i="63"/>
  <c r="H423" i="58"/>
  <c r="H423" i="41" s="1"/>
  <c r="I16" i="41"/>
  <c r="I47" i="41"/>
  <c r="I18" i="41"/>
  <c r="C48" i="63"/>
  <c r="C28" i="63"/>
  <c r="I423" i="58"/>
  <c r="I424" i="58"/>
  <c r="F241" i="66" s="1"/>
  <c r="I50" i="41"/>
  <c r="J423" i="37"/>
  <c r="I423" i="37"/>
  <c r="I424" i="37"/>
  <c r="F97" i="66" s="1"/>
  <c r="I15" i="41"/>
  <c r="I48" i="41"/>
  <c r="J424" i="37"/>
  <c r="I17" i="41"/>
  <c r="C18" i="63"/>
  <c r="I49" i="41"/>
  <c r="E299" i="38" l="1"/>
  <c r="M194" i="66" s="1"/>
  <c r="F290" i="66"/>
  <c r="N290" i="66" s="1"/>
  <c r="J425" i="58"/>
  <c r="C59" i="63" s="1"/>
  <c r="F289" i="66"/>
  <c r="H425" i="58"/>
  <c r="C39" i="63" s="1"/>
  <c r="F194" i="66"/>
  <c r="E11" i="53"/>
  <c r="F11" i="53" s="1"/>
  <c r="F193" i="66"/>
  <c r="E29" i="53"/>
  <c r="F29" i="53" s="1"/>
  <c r="J424" i="41"/>
  <c r="F145" i="66"/>
  <c r="I425" i="58"/>
  <c r="E323" i="38"/>
  <c r="M242" i="66" s="1"/>
  <c r="F242" i="66"/>
  <c r="I424" i="41"/>
  <c r="E17" i="53"/>
  <c r="F17" i="53" s="1"/>
  <c r="I425" i="37"/>
  <c r="I423" i="41"/>
  <c r="E311" i="38"/>
  <c r="M98" i="66" s="1"/>
  <c r="F98" i="66"/>
  <c r="J425" i="37"/>
  <c r="J423" i="41"/>
  <c r="E335" i="38"/>
  <c r="M146" i="66" s="1"/>
  <c r="F146" i="66"/>
  <c r="E23" i="53"/>
  <c r="F23" i="53" s="1"/>
  <c r="H17" i="53" s="1"/>
  <c r="N194" i="66" l="1"/>
  <c r="Y194" i="66" s="1"/>
  <c r="C32" i="63"/>
  <c r="H425" i="41"/>
  <c r="M3" i="41" s="1"/>
  <c r="C52" i="63"/>
  <c r="G11" i="53"/>
  <c r="E293" i="38" s="1"/>
  <c r="H5" i="53"/>
  <c r="G5" i="53" s="1"/>
  <c r="E281" i="38" s="1"/>
  <c r="N146" i="66"/>
  <c r="Y146" i="66" s="1"/>
  <c r="Y290" i="66"/>
  <c r="Z146" i="66"/>
  <c r="Z290" i="66"/>
  <c r="C49" i="63"/>
  <c r="C42" i="63"/>
  <c r="C19" i="63"/>
  <c r="I425" i="41"/>
  <c r="N3" i="41" s="1"/>
  <c r="C12" i="63"/>
  <c r="C22" i="63"/>
  <c r="C29" i="63"/>
  <c r="J425" i="41"/>
  <c r="O3" i="41" s="1"/>
  <c r="H23" i="53"/>
  <c r="G23" i="53" s="1"/>
  <c r="E317" i="38" s="1"/>
  <c r="G17" i="53"/>
  <c r="E305" i="38" s="1"/>
  <c r="Z50" i="66"/>
  <c r="Y50" i="66"/>
  <c r="G29" i="53"/>
  <c r="E329" i="38" s="1"/>
  <c r="H35" i="53"/>
  <c r="G35" i="53" s="1"/>
  <c r="E341" i="38" s="1"/>
  <c r="N98" i="66"/>
  <c r="N242" i="66"/>
  <c r="Z194" i="66" l="1"/>
  <c r="H484" i="37"/>
  <c r="L49" i="66"/>
  <c r="H484" i="58"/>
  <c r="L193" i="66"/>
  <c r="L241" i="66"/>
  <c r="I484" i="58"/>
  <c r="Z98" i="66"/>
  <c r="Y98" i="66"/>
  <c r="Y242" i="66"/>
  <c r="Z242" i="66"/>
  <c r="L289" i="66"/>
  <c r="J484" i="58"/>
  <c r="J484" i="37"/>
  <c r="L145" i="66"/>
  <c r="I484" i="37"/>
  <c r="L97" i="66"/>
  <c r="R193" i="66" l="1"/>
  <c r="T193" i="66" s="1"/>
  <c r="P193" i="66"/>
  <c r="V193" i="66" s="1"/>
  <c r="X193" i="66" s="1"/>
  <c r="N193" i="66"/>
  <c r="R49" i="66"/>
  <c r="T49" i="66" s="1"/>
  <c r="N49" i="66"/>
  <c r="P49" i="66"/>
  <c r="V49" i="66" s="1"/>
  <c r="X49" i="66" s="1"/>
  <c r="H484" i="41"/>
  <c r="I484" i="41"/>
  <c r="J484" i="41"/>
  <c r="P145" i="66"/>
  <c r="N145" i="66"/>
  <c r="P97" i="66"/>
  <c r="N97" i="66"/>
  <c r="P289" i="66"/>
  <c r="N289" i="66"/>
  <c r="P241" i="66"/>
  <c r="N241" i="66"/>
  <c r="Z49" i="66" l="1"/>
  <c r="Z193" i="66"/>
  <c r="Y49" i="66"/>
  <c r="O49" i="66"/>
  <c r="Y193" i="66"/>
  <c r="O193" i="66"/>
  <c r="O241" i="66"/>
  <c r="U241" i="66" s="1"/>
  <c r="O289" i="66"/>
  <c r="U289" i="66" s="1"/>
  <c r="Z241" i="66"/>
  <c r="O97" i="66"/>
  <c r="Y97" i="66"/>
  <c r="Y241" i="66"/>
  <c r="Z97" i="66"/>
  <c r="Y289" i="66"/>
  <c r="Z145" i="66"/>
  <c r="Z289" i="66"/>
  <c r="Y145" i="66"/>
  <c r="O145" i="66"/>
  <c r="Q289" i="66" l="1"/>
  <c r="R289" i="66" s="1"/>
  <c r="T289" i="66" s="1"/>
  <c r="V289" i="66"/>
  <c r="X289" i="66" s="1"/>
  <c r="U193" i="66"/>
  <c r="Q193" i="66"/>
  <c r="Q49" i="66"/>
  <c r="U49" i="66"/>
  <c r="V241" i="66"/>
  <c r="X241" i="66" s="1"/>
  <c r="Q241" i="66"/>
  <c r="R241" i="66" s="1"/>
  <c r="T241" i="66" s="1"/>
  <c r="U145" i="66"/>
  <c r="Q145" i="66"/>
  <c r="R145" i="66" s="1"/>
  <c r="T145" i="66" s="1"/>
  <c r="V145" i="66"/>
  <c r="X145" i="66" s="1"/>
  <c r="U97" i="66"/>
  <c r="Q97" i="66"/>
  <c r="R97" i="66" s="1"/>
  <c r="T97" i="66" s="1"/>
  <c r="V97" i="66"/>
  <c r="X97" i="6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C5" authorId="0" shapeId="0" xr:uid="{7B3A682B-CB39-44D1-83E5-F12AAA74702E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DST OEKO11, landbrugsafgrøder I alt/ DST AFG5, landbrug og gartneri I alt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Ida Græsted Jensen</author>
  </authors>
  <commentList>
    <comment ref="B12" authorId="0" shapeId="0" xr:uid="{A91C1065-A448-4F71-89E0-3DB0A7ECD248}">
      <text>
        <r>
          <rPr>
            <b/>
            <sz val="9"/>
            <color indexed="81"/>
            <rFont val="Tahoma"/>
            <family val="2"/>
          </rPr>
          <t>Ida Græsted Jensen:</t>
        </r>
        <r>
          <rPr>
            <sz val="9"/>
            <color indexed="81"/>
            <rFont val="Tahoma"/>
            <family val="2"/>
          </rPr>
          <t xml:space="preserve">
I følge tabel 4.1 i Kortlægning af dagrenovation i Danmark: https://www2.mst.dk/Udgiv/publikationer/2014/05/978-87-93178-52-6.pdf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8B44984-51DF-405A-B824-9A5B4C68ECED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Kenneth Karlsson</author>
  </authors>
  <commentList>
    <comment ref="K32" authorId="0" shapeId="0" xr:uid="{C20BDCCF-814E-46A0-AA1F-F618834D54F8}">
      <text>
        <r>
          <rPr>
            <b/>
            <sz val="9"/>
            <color indexed="81"/>
            <rFont val="Tahoma"/>
            <family val="2"/>
          </rPr>
          <t>Kenneth Karlsson:</t>
        </r>
        <r>
          <rPr>
            <sz val="9"/>
            <color indexed="81"/>
            <rFont val="Tahoma"/>
            <family val="2"/>
          </rPr>
          <t xml:space="preserve">
Hvilken slags ton? Tørstof? Gylle skal nok vises for sig selv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<sst xmlns="http://schemas.openxmlformats.org/spreadsheetml/2006/main" count="4745" uniqueCount="340">
  <si>
    <t>Kort beskrivelse:</t>
  </si>
  <si>
    <t>Foderforbrug/komposition</t>
  </si>
  <si>
    <t>Tab/spild hos forbruger</t>
  </si>
  <si>
    <t>Køer</t>
  </si>
  <si>
    <t>Fjerkræ</t>
  </si>
  <si>
    <t>Afgrøder</t>
  </si>
  <si>
    <t>Grøntsager</t>
  </si>
  <si>
    <t>Konventionel</t>
  </si>
  <si>
    <t>Økologisk</t>
  </si>
  <si>
    <t>Landbrugsafgrøder</t>
  </si>
  <si>
    <t>Skov</t>
  </si>
  <si>
    <t>Ikke klassificeret</t>
  </si>
  <si>
    <t>Kartofler</t>
  </si>
  <si>
    <t>Svinekød</t>
  </si>
  <si>
    <t>Oksekød</t>
  </si>
  <si>
    <t>Æg</t>
  </si>
  <si>
    <t>g/indb/dag</t>
  </si>
  <si>
    <t>%</t>
  </si>
  <si>
    <t>Sum okse+svin+div kød</t>
  </si>
  <si>
    <t>Fisk</t>
  </si>
  <si>
    <t>Heraf Okse</t>
  </si>
  <si>
    <t>Heraf Svinekød</t>
  </si>
  <si>
    <t>Svin</t>
  </si>
  <si>
    <t>Vestdanmark</t>
  </si>
  <si>
    <t>Østdanmark</t>
  </si>
  <si>
    <t>Arket indeholder data på forbrugerniveau af madvarer</t>
  </si>
  <si>
    <t>Antal dyr</t>
  </si>
  <si>
    <t>Vest</t>
  </si>
  <si>
    <t>Øst</t>
  </si>
  <si>
    <t>Antal hektar med afgrøde</t>
  </si>
  <si>
    <t>Total</t>
  </si>
  <si>
    <t>Produktion af dyr i fht. basisår</t>
  </si>
  <si>
    <t>Bebyggelse &amp; infrastruktur</t>
  </si>
  <si>
    <t>Natur</t>
  </si>
  <si>
    <t>Fra</t>
  </si>
  <si>
    <t>Til</t>
  </si>
  <si>
    <t>Landbrug til skov</t>
  </si>
  <si>
    <t>Økologisk produktion % af total produktion</t>
  </si>
  <si>
    <t>Permanent græs</t>
  </si>
  <si>
    <t>Jordbundstype</t>
  </si>
  <si>
    <t>OC12</t>
  </si>
  <si>
    <t>OC6</t>
  </si>
  <si>
    <t>JB1</t>
  </si>
  <si>
    <t>Jordtyper</t>
  </si>
  <si>
    <t>Ikke organogen jord</t>
  </si>
  <si>
    <t>Jord med OC mellem 6-12%</t>
  </si>
  <si>
    <t>Jord med OC over 12%</t>
  </si>
  <si>
    <t>Arealnavne</t>
  </si>
  <si>
    <t>Korn</t>
  </si>
  <si>
    <t>Bælgsæd</t>
  </si>
  <si>
    <t>Raps</t>
  </si>
  <si>
    <t>Græs</t>
  </si>
  <si>
    <t>Roer</t>
  </si>
  <si>
    <t>Majs</t>
  </si>
  <si>
    <t>Frugt</t>
  </si>
  <si>
    <t>Øvrige</t>
  </si>
  <si>
    <t>Juletræer</t>
  </si>
  <si>
    <t>Afgrøde</t>
  </si>
  <si>
    <t>År</t>
  </si>
  <si>
    <t>Kon/Øko</t>
  </si>
  <si>
    <t>Row Labels</t>
  </si>
  <si>
    <t>Grand Total</t>
  </si>
  <si>
    <t>Column Labels</t>
  </si>
  <si>
    <t>Jordbund</t>
  </si>
  <si>
    <t>Region</t>
  </si>
  <si>
    <t>Kilde</t>
  </si>
  <si>
    <t>Produktion og forbrug i landbruget</t>
  </si>
  <si>
    <t>Halm</t>
  </si>
  <si>
    <t>Skovbrug</t>
  </si>
  <si>
    <t>Landbrug</t>
  </si>
  <si>
    <t>Økologisk produktion</t>
  </si>
  <si>
    <t>Produktion af husdyr</t>
  </si>
  <si>
    <t>Halmudbytte</t>
  </si>
  <si>
    <t>Halmopsamling</t>
  </si>
  <si>
    <t>Afgrødefordeling på areal</t>
  </si>
  <si>
    <t>Befolkning</t>
  </si>
  <si>
    <t>Forbrug</t>
  </si>
  <si>
    <t>Værdi</t>
  </si>
  <si>
    <t>Areal</t>
  </si>
  <si>
    <t>Sum of Værdi</t>
  </si>
  <si>
    <t>(All)</t>
  </si>
  <si>
    <t>Kon/øko</t>
  </si>
  <si>
    <t>Dyr</t>
  </si>
  <si>
    <t>Omfordeling af jord</t>
  </si>
  <si>
    <t>Halmopsamling af total</t>
  </si>
  <si>
    <t>Arealanvendelse</t>
  </si>
  <si>
    <t>Udbytte, hovedafgrøde</t>
  </si>
  <si>
    <t>Sum of Arealanvendelse</t>
  </si>
  <si>
    <t>Potentielt til bioenergi</t>
  </si>
  <si>
    <t>Bioenergi-navn</t>
  </si>
  <si>
    <t>Halmudbytte i forhold til basisår</t>
  </si>
  <si>
    <t>Havbrug</t>
  </si>
  <si>
    <t>Areal til havbrug</t>
  </si>
  <si>
    <t>Årstal</t>
  </si>
  <si>
    <t>Fra "Danskernes kostvaner 2011-2013" publiceret af DTU Fødevareinstituttet</t>
  </si>
  <si>
    <t>Pil &amp; poppel</t>
  </si>
  <si>
    <t>Fjerkrækød</t>
  </si>
  <si>
    <t>Navn i model</t>
  </si>
  <si>
    <t>Musling</t>
  </si>
  <si>
    <t>Tang</t>
  </si>
  <si>
    <t>Outputenhed</t>
  </si>
  <si>
    <t>Dybstrøelse</t>
  </si>
  <si>
    <t>Bioaffald</t>
  </si>
  <si>
    <t>Industriaffald</t>
  </si>
  <si>
    <t>Total til biogas</t>
  </si>
  <si>
    <t>Tørstofindhold</t>
  </si>
  <si>
    <t>Muslinger</t>
  </si>
  <si>
    <t>Slagteriaffald til foder</t>
  </si>
  <si>
    <t>Mælk til foder</t>
  </si>
  <si>
    <t>Biogas</t>
  </si>
  <si>
    <t>Biogasgylle</t>
  </si>
  <si>
    <t>CO2 - atmosfære</t>
  </si>
  <si>
    <t>Foder</t>
  </si>
  <si>
    <t>Frø</t>
  </si>
  <si>
    <t>Gødning</t>
  </si>
  <si>
    <t>Kunstgødning</t>
  </si>
  <si>
    <t>Mejeriprodukter</t>
  </si>
  <si>
    <t>Råmælk</t>
  </si>
  <si>
    <t>Træmaterialer</t>
  </si>
  <si>
    <t>Træ til energi</t>
  </si>
  <si>
    <t>Energi</t>
  </si>
  <si>
    <t>Slagteriaffald til andet</t>
  </si>
  <si>
    <t>PJ</t>
  </si>
  <si>
    <t>Tørstofindhold i blandingen</t>
  </si>
  <si>
    <t>Strøelse</t>
  </si>
  <si>
    <t>Produktion</t>
  </si>
  <si>
    <t>Sum of Produktion</t>
  </si>
  <si>
    <t>Fødevarer</t>
  </si>
  <si>
    <t>Commodity</t>
  </si>
  <si>
    <t>Til energi</t>
  </si>
  <si>
    <t>Potentiale til energi [ton]</t>
  </si>
  <si>
    <t>Potentiale til energi [PJ]</t>
  </si>
  <si>
    <t>Produktion [ton]</t>
  </si>
  <si>
    <t>% af FE</t>
  </si>
  <si>
    <t>Udbytte og halm</t>
  </si>
  <si>
    <t>Svinegylle</t>
  </si>
  <si>
    <t>Kvæggylle</t>
  </si>
  <si>
    <t>Fjerkrægylle</t>
  </si>
  <si>
    <t>% af alt produceret</t>
  </si>
  <si>
    <t>ton input</t>
  </si>
  <si>
    <t>Spildevandsslam</t>
  </si>
  <si>
    <t>Udbyttestigning per afgrøde i forhold til basisår</t>
  </si>
  <si>
    <t>Biogasproduktion</t>
  </si>
  <si>
    <t>m3 CH4</t>
  </si>
  <si>
    <t>Biogasoutput</t>
  </si>
  <si>
    <t xml:space="preserve">Svarer til fjerkrægylle </t>
  </si>
  <si>
    <t>Svarer til: Halm</t>
  </si>
  <si>
    <t>Svarer til: Majs</t>
  </si>
  <si>
    <t>Svarer til: Roer</t>
  </si>
  <si>
    <t>Ikke inkluderet</t>
  </si>
  <si>
    <t>% af produceret, der bruges til gødning</t>
  </si>
  <si>
    <t>Grøntsagsareal i væksthus - procentdel af samlet areal til grøntsager</t>
  </si>
  <si>
    <t>Antaget her +1% for hver</t>
  </si>
  <si>
    <t xml:space="preserve">Total diæt </t>
  </si>
  <si>
    <t>Erstatning</t>
  </si>
  <si>
    <t>Mængde [ton]</t>
  </si>
  <si>
    <t>Svarer til: Anden husdyrgødning + Andre typer af anden organisk gødning + Øvrige typer af anden organisk gødning</t>
  </si>
  <si>
    <t>Svarer til: Korn</t>
  </si>
  <si>
    <t>Glycerin</t>
  </si>
  <si>
    <t>Import af foder</t>
  </si>
  <si>
    <t>Energiafgrøder i blandingen</t>
  </si>
  <si>
    <t>Svarer til: Glycerin</t>
  </si>
  <si>
    <t>Have/parkaffald</t>
  </si>
  <si>
    <t>Svarer til: have og park affald</t>
  </si>
  <si>
    <t>Materialer</t>
  </si>
  <si>
    <t>Produktion minus halmforbrug i stalde</t>
  </si>
  <si>
    <t>Tilrådighed</t>
  </si>
  <si>
    <t>Grisestald</t>
  </si>
  <si>
    <t>Kostald</t>
  </si>
  <si>
    <t>Fjerkræbrug</t>
  </si>
  <si>
    <t>Reference III – Det danske skovareal</t>
  </si>
  <si>
    <t>I: Blandet løv med indblanding af nål</t>
  </si>
  <si>
    <t>II: Hurtigvoksende kultur, ½ douglasgran og ½ rødgran med lærk</t>
  </si>
  <si>
    <t>Type</t>
  </si>
  <si>
    <t>Sum of Mængde [ton]</t>
  </si>
  <si>
    <t>ha</t>
  </si>
  <si>
    <t>Skovtype1</t>
  </si>
  <si>
    <t>Skovtype2</t>
  </si>
  <si>
    <t>Skovtype3</t>
  </si>
  <si>
    <t>Skovtype4</t>
  </si>
  <si>
    <t>Skovtype5</t>
  </si>
  <si>
    <t>-</t>
  </si>
  <si>
    <t>Basisskov</t>
  </si>
  <si>
    <t>Skovtype</t>
  </si>
  <si>
    <t>Hektar</t>
  </si>
  <si>
    <t>Maks. Alder</t>
  </si>
  <si>
    <t>I: Løv, eg eller bøg</t>
  </si>
  <si>
    <t>II: Hurtigvoksende kultur, bøg eller eg med poppel</t>
  </si>
  <si>
    <t>III: Naturlig tilgroning</t>
  </si>
  <si>
    <t>MEGET OBS HER! Der er forskellige formler hele vejen ned</t>
  </si>
  <si>
    <t>Forbrug energi [ton/m3]</t>
  </si>
  <si>
    <t>Forbrug-produktion</t>
  </si>
  <si>
    <t>Sum of Produktion [ton]</t>
  </si>
  <si>
    <t>Husdyr</t>
  </si>
  <si>
    <t>Marker</t>
  </si>
  <si>
    <t>Muslingefarm</t>
  </si>
  <si>
    <t>Tangfarm</t>
  </si>
  <si>
    <t>Skovproduktion</t>
  </si>
  <si>
    <t>Sum of Total</t>
  </si>
  <si>
    <t>Sted</t>
  </si>
  <si>
    <t>Hav</t>
  </si>
  <si>
    <t>Sted2</t>
  </si>
  <si>
    <t>% af indhold i biogassen</t>
  </si>
  <si>
    <t>Græsprotein</t>
  </si>
  <si>
    <t>Fiberfraktion</t>
  </si>
  <si>
    <t>Her kunne evt. Vægtes med indhold af protein I forhold til kød</t>
  </si>
  <si>
    <t>Kunstigt kød</t>
  </si>
  <si>
    <t>Produktion af kunstigt kød er ikke tilføjet som proces men erstatter blot kødforbrug</t>
  </si>
  <si>
    <t>Brun saft</t>
  </si>
  <si>
    <t>Proteinproces</t>
  </si>
  <si>
    <t>Forbrug af biomasse</t>
  </si>
  <si>
    <t>Procentdel af vægten</t>
  </si>
  <si>
    <t>Svarer til ca.: Svinegylle + 2/3 (blandet gylle -fjerkrægylle celle C14)</t>
  </si>
  <si>
    <t>Svarer til ca.: Kvæggylle + 1/3 (blandet gylle -fjerkrægylle celle C14)</t>
  </si>
  <si>
    <t>Fra ENS's biomasse oversigt (gennemsnit over 2018-2020 bortset fra fjerkrægylle - her  2019/2020)</t>
  </si>
  <si>
    <t>-  Halm</t>
  </si>
  <si>
    <t>-  Træpiller</t>
  </si>
  <si>
    <t>-  Træaffald</t>
  </si>
  <si>
    <t>-  Affald, bionedbrydeligt</t>
  </si>
  <si>
    <t>-  Brænde</t>
  </si>
  <si>
    <t>Planteprotein*</t>
  </si>
  <si>
    <t>* Planteprotein antages her at være produceret af bælgsæd</t>
  </si>
  <si>
    <t>Husdyrgødning</t>
  </si>
  <si>
    <t>Materialer og processer</t>
  </si>
  <si>
    <t>Græs og urter</t>
  </si>
  <si>
    <t>Vedmasse</t>
  </si>
  <si>
    <t>Havbiomasse</t>
  </si>
  <si>
    <t>Halm og strå</t>
  </si>
  <si>
    <t>Tilrådighed anden landsdel</t>
  </si>
  <si>
    <t>Tørstof</t>
  </si>
  <si>
    <t>Bionedbrydeligt affald</t>
  </si>
  <si>
    <t>Rapsolie</t>
  </si>
  <si>
    <t>Forbrug/potentiale [PJ]</t>
  </si>
  <si>
    <t>Biogasproduktion [PJ]</t>
  </si>
  <si>
    <t>Forbrug/potentiale [Ton TS]</t>
  </si>
  <si>
    <t>Potentiale til energi [Ton TS]</t>
  </si>
  <si>
    <t>Biogasproduktion [Ton TS]</t>
  </si>
  <si>
    <t>Rapskageproduktion</t>
  </si>
  <si>
    <t>Rapskage</t>
  </si>
  <si>
    <t>Sum of Forbrug/potentiale [Ton TS]</t>
  </si>
  <si>
    <t>Kapacitet i 2019 er fra: https://fiskeristatistik.fiskeristyrelsen.dk/stat/Akvakultur_tab/kapacitet_19.html</t>
  </si>
  <si>
    <t>Antal hektar som 1% svarer til</t>
  </si>
  <si>
    <t>Total hektar omlagt</t>
  </si>
  <si>
    <t>Sum of Biogasproduktion [PJ]</t>
  </si>
  <si>
    <t>Total Sum of Biogasproduktion [PJ]</t>
  </si>
  <si>
    <t>På de følgende kun tabeller der vedrører afgrøder/dyrehold fra landbrug eller arealanvendelse</t>
  </si>
  <si>
    <t>Forbrug i ton (træ i m3)</t>
  </si>
  <si>
    <t>Typer af skov:</t>
  </si>
  <si>
    <t>Overblik over biomasseforbrug og produktion</t>
  </si>
  <si>
    <t>Produktion minus forbrug [ton]</t>
  </si>
  <si>
    <t>Fra resultatark</t>
  </si>
  <si>
    <t>Udregning dette ark</t>
  </si>
  <si>
    <t>Sum of Produktion minus forbrug [ton]</t>
  </si>
  <si>
    <t>Fordeling af type ny skov der plantes</t>
  </si>
  <si>
    <t>Udbyttestigning</t>
  </si>
  <si>
    <t>Organogene jorde til permanent græs</t>
  </si>
  <si>
    <t>Erstatning af kødforbrug</t>
  </si>
  <si>
    <t>Udsorteringsgrad</t>
  </si>
  <si>
    <t>Undgåeligt madaffald fra service sektor</t>
  </si>
  <si>
    <t>Forbrug af materialer</t>
  </si>
  <si>
    <t>Forbrug af danske materialer, %-del af restprodukter</t>
  </si>
  <si>
    <t>Biogasanlæg</t>
  </si>
  <si>
    <t>Inputmængder til biogasanlæg</t>
  </si>
  <si>
    <t>Total omlagt til permanent græs i Danmark</t>
  </si>
  <si>
    <t>Organogen jord +12% til natur</t>
  </si>
  <si>
    <t>Organogen jord 6-12% til natur</t>
  </si>
  <si>
    <t>15.000 ha lavbundsjorde vådlægges uden høst af biomasse - BAU2030</t>
  </si>
  <si>
    <t xml:space="preserve">Antaget fordeling hhv. 7000 og 8000 </t>
  </si>
  <si>
    <t>Resume af resultater</t>
  </si>
  <si>
    <t>Biomasse-scenariet fra MFVM-projekt</t>
  </si>
  <si>
    <t>JB1-10</t>
  </si>
  <si>
    <t>Dette er en scenariefil for DK-BioRes. Her indstilles de parametre (stilleskruer), som er defineret som indstillelige i modellen. De kan findes på følgende ark:</t>
  </si>
  <si>
    <t>Scenariefil til DK-BioRes</t>
  </si>
  <si>
    <t>Her ses hovedeffekterne af ændringerne, der laves i scenariet</t>
  </si>
  <si>
    <t>Til Resume</t>
  </si>
  <si>
    <t>Svin - konventionel</t>
  </si>
  <si>
    <t>Køer - konventionel</t>
  </si>
  <si>
    <t>Fjerkræ - konventionel</t>
  </si>
  <si>
    <t>Svin - økologisk</t>
  </si>
  <si>
    <t>Køer - økologisk</t>
  </si>
  <si>
    <t>Fjerkræ - økologisk</t>
  </si>
  <si>
    <t>Import at least one year</t>
  </si>
  <si>
    <t>Type af rejst skov (inkl. foryngelse og ny skov)</t>
  </si>
  <si>
    <t>Foryngelse af skov, % per år</t>
  </si>
  <si>
    <t>Omfordeling af jord sammenlignet med basisår [ha]. Hvis 2030 og 2050 er ens sker der ingen ændring til 2050</t>
  </si>
  <si>
    <t>Husk at trykke ctrl+alt+F5 for at opdatere figurer og tabeller</t>
  </si>
  <si>
    <t>Biomasser til energi eksl. biogas [Ton TS]</t>
  </si>
  <si>
    <t>Biomasser til energi eksl. biogas [PJ]</t>
  </si>
  <si>
    <t>Sum of Biomasser til energi eksl. biogas [PJ]</t>
  </si>
  <si>
    <t>Total Sum of Biomasser til energi eksl. biogas [PJ]</t>
  </si>
  <si>
    <t>Opsummering af skovtyper</t>
  </si>
  <si>
    <t>Total (skal summes til 0%)</t>
  </si>
  <si>
    <t xml:space="preserve">Svarer til: Kildesorteret organisk dagrenovation og dagrenovationslignende affald + Kasserede afgrøder + Andre restprodukter fra produktion af primærafgrøder + Inaktiveret og kalkstabiliseret biomasse </t>
  </si>
  <si>
    <t>Svarer til: Industriaffald</t>
  </si>
  <si>
    <t>Svarer til:  Spildevandsslam</t>
  </si>
  <si>
    <t>Svarer til: Græs + Kløvergræs + Økologisk kløvergræs + Naturpleje biomasse</t>
  </si>
  <si>
    <t>*Tal fra 2017-2018</t>
  </si>
  <si>
    <t>Andel af overskydende produkter, der skal bruges til materialer, kemi og eksport</t>
  </si>
  <si>
    <t>Resultatark</t>
  </si>
  <si>
    <t>Tilbage til overblik</t>
  </si>
  <si>
    <t>Tryk ctrl+alt+F5 for at opdatere figurer og tabeller</t>
  </si>
  <si>
    <t>Vest Danmark</t>
  </si>
  <si>
    <t>Øst Danmark</t>
  </si>
  <si>
    <t>Export at least one year</t>
  </si>
  <si>
    <t>% erstattet kødforbrug (fra husdyr)</t>
  </si>
  <si>
    <t>Adfærd</t>
  </si>
  <si>
    <t>Fodersammensætning</t>
  </si>
  <si>
    <t>Hele Danmark</t>
  </si>
  <si>
    <t>Sum of Import</t>
  </si>
  <si>
    <t>Pyrolysegas</t>
  </si>
  <si>
    <t>Pyrolyseolie</t>
  </si>
  <si>
    <t>Mængde af halm til pyrolyseanlæg</t>
  </si>
  <si>
    <t>Ikke til restprodukt</t>
  </si>
  <si>
    <t>Pyrolyseproces</t>
  </si>
  <si>
    <t>Biomassekategori</t>
  </si>
  <si>
    <t>Pyrolyseprodukter</t>
  </si>
  <si>
    <t>Inkl. Ost</t>
  </si>
  <si>
    <t>Note</t>
  </si>
  <si>
    <t>Udregnes fra græsprotein</t>
  </si>
  <si>
    <t>Skal summe til 100%</t>
  </si>
  <si>
    <t>Procent af potentielle areal</t>
  </si>
  <si>
    <t>Potentiale, ha</t>
  </si>
  <si>
    <t>Madspild hos forbrugeren</t>
  </si>
  <si>
    <t>Madspild udsorteret til bioaffald hos forbrugere</t>
  </si>
  <si>
    <t>Produktion minus forbrug, ton per år</t>
  </si>
  <si>
    <t>Afgrødefordeling for JB1-10</t>
  </si>
  <si>
    <t>Organogene jorde allokeret til landbrug, der benyttes til permanent græs (indeholder ikke areal allerede allokeret til natur), % af areal</t>
  </si>
  <si>
    <t>Biogas outputfaktor for at opnå resultaterne fra ENS energistatistik (antaget at industriaffald er mest usikker)</t>
  </si>
  <si>
    <t>Resterende potentiale (produktion - forbrug til foder, strøelse, biogas, materialer og andre processer)</t>
  </si>
  <si>
    <t>Danmark</t>
  </si>
  <si>
    <t>Fordeling af forbrug af produkter efter tømmerproduktion</t>
  </si>
  <si>
    <t>Chopped/new forest</t>
  </si>
  <si>
    <t>Old forest being replanted</t>
  </si>
  <si>
    <t>Tømmerproduktion</t>
  </si>
  <si>
    <t>HWP</t>
  </si>
  <si>
    <t>Træprodukter</t>
  </si>
  <si>
    <t>CO2</t>
  </si>
  <si>
    <t>Reduktion fra 1990</t>
  </si>
  <si>
    <t>Navne</t>
  </si>
  <si>
    <t>BAU-scenariet fra MFVM-projekt minus 20% husdyrhold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</si>
</sst>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_-* #,##0_-;\-* #,##0_-;_-* &quot;-&quot;??_-;_-@_-"/>
    <numFmt numFmtId="166" formatCode="0.00000"/>
    <numFmt numFmtId="167" formatCode="0.0%"/>
    <numFmt numFmtId="168" formatCode="_-* #,##0.00\ _k_r_-;\-* #,##0.00\ _k_r_-;_-* &quot;-&quot;??\ _k_r_-;_-@_-"/>
    <numFmt numFmtId="169" formatCode="###\ ###\ ##0;[Red]###\ ###\ ##0;&quot;-&quot;"/>
    <numFmt numFmtId="170" formatCode="_(* #,##0.0_);_(* \(#,##0.0\);_(* &quot;-&quot;??_);_(@_)"/>
    <numFmt numFmtId="171" formatCode="_(* #,##0_);_(* \(#,##0\);_(* &quot;-&quot;??_);_(@_)"/>
    <numFmt numFmtId="172" formatCode="#,##0.0,,"/>
    <numFmt numFmtId="173" formatCode="_(* #,##0.0000_);_(* \(#,##0.0000\);_(* &quot;-&quot;??_);_(@_)"/>
    <numFmt numFmtId="174" formatCode="0.000%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name val="Arial"/>
      <family val="2"/>
    </font>
    <font>
      <sz val="10"/>
      <name val="Helvetica"/>
      <family val="2"/>
    </font>
    <font>
      <u/>
      <sz val="11"/>
      <color theme="10"/>
      <name val="Calibri"/>
      <family val="2"/>
      <scheme val="minor"/>
    </font>
    <font>
      <b/>
      <u/>
      <sz val="11"/>
      <color theme="1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8"/>
      <color theme="0"/>
      <name val="Calibri"/>
      <family val="2"/>
      <scheme val="minor"/>
    </font>
    <font>
      <b/>
      <u/>
      <sz val="8"/>
      <color indexed="9"/>
      <name val="Calibri"/>
      <family val="2"/>
      <scheme val="minor"/>
    </font>
    <font>
      <b/>
      <sz val="18"/>
      <color theme="0"/>
      <name val="Calibri"/>
      <family val="2"/>
      <scheme val="minor"/>
    </font>
    <font>
      <u/>
      <sz val="12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</font>
    <font>
      <sz val="12"/>
      <color theme="1"/>
      <name val="Calibri"/>
      <family val="2"/>
      <scheme val="minor"/>
    </font>
  </fonts>
  <fills count="6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99663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3A671"/>
        <bgColor indexed="64"/>
      </patternFill>
    </fill>
    <fill>
      <patternFill patternType="solid">
        <fgColor rgb="FF00CC66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FFCB37"/>
        <bgColor indexed="64"/>
      </patternFill>
    </fill>
    <fill>
      <patternFill patternType="solid">
        <fgColor rgb="FF33993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DFDA00"/>
        <bgColor indexed="64"/>
      </patternFill>
    </fill>
    <fill>
      <patternFill patternType="solid">
        <fgColor rgb="FF666400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6C0000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714B25"/>
        <bgColor indexed="64"/>
      </patternFill>
    </fill>
    <fill>
      <patternFill patternType="solid">
        <fgColor rgb="FFBDEEFF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FF6565"/>
        <bgColor indexed="64"/>
      </patternFill>
    </fill>
    <fill>
      <patternFill patternType="solid">
        <fgColor rgb="FF009999"/>
        <bgColor indexed="64"/>
      </patternFill>
    </fill>
    <fill>
      <patternFill patternType="solid">
        <fgColor rgb="FF9966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336600"/>
        <bgColor indexed="64"/>
      </patternFill>
    </fill>
    <fill>
      <patternFill patternType="solid">
        <fgColor rgb="FFCB9661"/>
        <bgColor indexed="64"/>
      </patternFill>
    </fill>
    <fill>
      <patternFill patternType="solid">
        <fgColor rgb="FFE2C4A6"/>
        <bgColor indexed="64"/>
      </patternFill>
    </fill>
    <fill>
      <patternFill patternType="solid">
        <fgColor rgb="FFCDFF9B"/>
        <bgColor indexed="64"/>
      </patternFill>
    </fill>
    <fill>
      <patternFill patternType="solid">
        <fgColor rgb="FF558537"/>
        <bgColor indexed="64"/>
      </patternFill>
    </fill>
    <fill>
      <patternFill patternType="solid">
        <fgColor rgb="FFCCFF66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4" tint="0.39997558519241921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2">
    <xf numFmtId="0" fontId="0" fillId="0" borderId="0"/>
    <xf numFmtId="0" fontId="2" fillId="0" borderId="0" applyNumberFormat="0" applyBorder="0" applyAlignment="0"/>
    <xf numFmtId="9" fontId="5" fillId="0" borderId="0" applyFont="0" applyFill="0" applyBorder="0" applyAlignment="0" applyProtection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64" fontId="5" fillId="0" borderId="0" applyFont="0" applyFill="0" applyBorder="0" applyAlignment="0" applyProtection="0"/>
    <xf numFmtId="0" fontId="5" fillId="0" borderId="0"/>
    <xf numFmtId="0" fontId="16" fillId="0" borderId="0"/>
    <xf numFmtId="168" fontId="16" fillId="0" borderId="0" applyFont="0" applyFill="0" applyBorder="0" applyAlignment="0" applyProtection="0"/>
    <xf numFmtId="0" fontId="16" fillId="0" borderId="0"/>
    <xf numFmtId="9" fontId="16" fillId="0" borderId="0" applyFont="0" applyFill="0" applyBorder="0" applyAlignment="0" applyProtection="0"/>
    <xf numFmtId="0" fontId="18" fillId="0" borderId="0" applyNumberFormat="0" applyFill="0" applyBorder="0" applyAlignment="0" applyProtection="0"/>
  </cellStyleXfs>
  <cellXfs count="457">
    <xf numFmtId="0" fontId="0" fillId="0" borderId="0" xfId="0"/>
    <xf numFmtId="0" fontId="0" fillId="2" borderId="0" xfId="0" applyFill="1"/>
    <xf numFmtId="0" fontId="0" fillId="2" borderId="1" xfId="0" applyFill="1" applyBorder="1"/>
    <xf numFmtId="9" fontId="0" fillId="3" borderId="1" xfId="0" applyNumberFormat="1" applyFill="1" applyBorder="1"/>
    <xf numFmtId="0" fontId="0" fillId="2" borderId="3" xfId="0" applyFill="1" applyBorder="1"/>
    <xf numFmtId="0" fontId="0" fillId="2" borderId="4" xfId="0" applyFill="1" applyBorder="1"/>
    <xf numFmtId="0" fontId="1" fillId="2" borderId="0" xfId="0" applyFont="1" applyFill="1"/>
    <xf numFmtId="9" fontId="0" fillId="4" borderId="1" xfId="2" applyFont="1" applyFill="1" applyBorder="1"/>
    <xf numFmtId="9" fontId="0" fillId="3" borderId="1" xfId="2" applyFont="1" applyFill="1" applyBorder="1"/>
    <xf numFmtId="165" fontId="0" fillId="3" borderId="1" xfId="5" applyNumberFormat="1" applyFont="1" applyFill="1" applyBorder="1"/>
    <xf numFmtId="1" fontId="0" fillId="4" borderId="1" xfId="2" applyNumberFormat="1" applyFont="1" applyFill="1" applyBorder="1"/>
    <xf numFmtId="1" fontId="0" fillId="5" borderId="1" xfId="2" applyNumberFormat="1" applyFont="1" applyFill="1" applyBorder="1"/>
    <xf numFmtId="0" fontId="0" fillId="2" borderId="0" xfId="0" applyFill="1" applyBorder="1"/>
    <xf numFmtId="9" fontId="0" fillId="2" borderId="0" xfId="2" applyFont="1" applyFill="1" applyBorder="1"/>
    <xf numFmtId="9" fontId="0" fillId="2" borderId="0" xfId="0" applyNumberFormat="1" applyFill="1" applyBorder="1"/>
    <xf numFmtId="9" fontId="0" fillId="2" borderId="0" xfId="2" applyFont="1" applyFill="1"/>
    <xf numFmtId="1" fontId="0" fillId="5" borderId="5" xfId="2" applyNumberFormat="1" applyFont="1" applyFill="1" applyBorder="1"/>
    <xf numFmtId="165" fontId="0" fillId="4" borderId="1" xfId="5" applyNumberFormat="1" applyFont="1" applyFill="1" applyBorder="1"/>
    <xf numFmtId="165" fontId="0" fillId="5" borderId="1" xfId="5" applyNumberFormat="1" applyFont="1" applyFill="1" applyBorder="1"/>
    <xf numFmtId="165" fontId="0" fillId="4" borderId="5" xfId="5" applyNumberFormat="1" applyFont="1" applyFill="1" applyBorder="1"/>
    <xf numFmtId="165" fontId="1" fillId="4" borderId="2" xfId="5" applyNumberFormat="1" applyFont="1" applyFill="1" applyBorder="1"/>
    <xf numFmtId="165" fontId="1" fillId="5" borderId="2" xfId="5" applyNumberFormat="1" applyFont="1" applyFill="1" applyBorder="1"/>
    <xf numFmtId="165" fontId="0" fillId="3" borderId="18" xfId="5" applyNumberFormat="1" applyFont="1" applyFill="1" applyBorder="1"/>
    <xf numFmtId="1" fontId="0" fillId="5" borderId="9" xfId="2" applyNumberFormat="1" applyFont="1" applyFill="1" applyBorder="1"/>
    <xf numFmtId="1" fontId="0" fillId="5" borderId="11" xfId="2" applyNumberFormat="1" applyFont="1" applyFill="1" applyBorder="1"/>
    <xf numFmtId="0" fontId="1" fillId="2" borderId="1" xfId="0" applyFont="1" applyFill="1" applyBorder="1"/>
    <xf numFmtId="0" fontId="6" fillId="2" borderId="1" xfId="1" applyFont="1" applyFill="1" applyBorder="1" applyAlignment="1" applyProtection="1">
      <alignment horizontal="left"/>
    </xf>
    <xf numFmtId="0" fontId="6" fillId="2" borderId="5" xfId="1" applyFont="1" applyFill="1" applyBorder="1" applyAlignment="1" applyProtection="1">
      <alignment horizontal="left"/>
    </xf>
    <xf numFmtId="0" fontId="6" fillId="2" borderId="2" xfId="1" applyFont="1" applyFill="1" applyBorder="1" applyAlignment="1" applyProtection="1">
      <alignment horizontal="left"/>
    </xf>
    <xf numFmtId="0" fontId="1" fillId="2" borderId="8" xfId="0" applyFont="1" applyFill="1" applyBorder="1"/>
    <xf numFmtId="0" fontId="1" fillId="2" borderId="9" xfId="0" applyFont="1" applyFill="1" applyBorder="1"/>
    <xf numFmtId="0" fontId="1" fillId="2" borderId="32" xfId="0" applyFont="1" applyFill="1" applyBorder="1"/>
    <xf numFmtId="0" fontId="8" fillId="2" borderId="32" xfId="0" applyFont="1" applyFill="1" applyBorder="1"/>
    <xf numFmtId="0" fontId="1" fillId="2" borderId="24" xfId="0" applyFont="1" applyFill="1" applyBorder="1"/>
    <xf numFmtId="1" fontId="0" fillId="4" borderId="24" xfId="2" applyNumberFormat="1" applyFont="1" applyFill="1" applyBorder="1"/>
    <xf numFmtId="1" fontId="0" fillId="4" borderId="8" xfId="2" applyNumberFormat="1" applyFont="1" applyFill="1" applyBorder="1"/>
    <xf numFmtId="1" fontId="1" fillId="4" borderId="33" xfId="2" applyNumberFormat="1" applyFont="1" applyFill="1" applyBorder="1"/>
    <xf numFmtId="1" fontId="1" fillId="4" borderId="34" xfId="2" applyNumberFormat="1" applyFont="1" applyFill="1" applyBorder="1"/>
    <xf numFmtId="1" fontId="1" fillId="5" borderId="34" xfId="2" applyNumberFormat="1" applyFont="1" applyFill="1" applyBorder="1"/>
    <xf numFmtId="1" fontId="1" fillId="5" borderId="35" xfId="2" applyNumberFormat="1" applyFont="1" applyFill="1" applyBorder="1"/>
    <xf numFmtId="0" fontId="8" fillId="2" borderId="36" xfId="0" applyFont="1" applyFill="1" applyBorder="1"/>
    <xf numFmtId="0" fontId="1" fillId="2" borderId="30" xfId="0" applyFont="1" applyFill="1" applyBorder="1"/>
    <xf numFmtId="0" fontId="1" fillId="2" borderId="37" xfId="0" applyFont="1" applyFill="1" applyBorder="1"/>
    <xf numFmtId="0" fontId="1" fillId="2" borderId="38" xfId="0" applyFont="1" applyFill="1" applyBorder="1"/>
    <xf numFmtId="1" fontId="1" fillId="2" borderId="38" xfId="0" applyNumberFormat="1" applyFont="1" applyFill="1" applyBorder="1"/>
    <xf numFmtId="0" fontId="1" fillId="2" borderId="29" xfId="0" applyFont="1" applyFill="1" applyBorder="1"/>
    <xf numFmtId="0" fontId="1" fillId="2" borderId="39" xfId="0" applyFont="1" applyFill="1" applyBorder="1"/>
    <xf numFmtId="1" fontId="0" fillId="4" borderId="31" xfId="2" applyNumberFormat="1" applyFont="1" applyFill="1" applyBorder="1"/>
    <xf numFmtId="1" fontId="0" fillId="4" borderId="10" xfId="2" applyNumberFormat="1" applyFont="1" applyFill="1" applyBorder="1"/>
    <xf numFmtId="0" fontId="0" fillId="2" borderId="29" xfId="0" applyFill="1" applyBorder="1"/>
    <xf numFmtId="1" fontId="0" fillId="4" borderId="24" xfId="0" applyNumberFormat="1" applyFill="1" applyBorder="1"/>
    <xf numFmtId="1" fontId="0" fillId="4" borderId="31" xfId="0" applyNumberFormat="1" applyFill="1" applyBorder="1"/>
    <xf numFmtId="0" fontId="0" fillId="6" borderId="0" xfId="0" applyFill="1" applyBorder="1"/>
    <xf numFmtId="0" fontId="0" fillId="6" borderId="7" xfId="0" applyFill="1" applyBorder="1"/>
    <xf numFmtId="0" fontId="0" fillId="6" borderId="14" xfId="0" applyFill="1" applyBorder="1"/>
    <xf numFmtId="0" fontId="0" fillId="6" borderId="17" xfId="0" applyFill="1" applyBorder="1"/>
    <xf numFmtId="0" fontId="0" fillId="6" borderId="6" xfId="0" applyFill="1" applyBorder="1"/>
    <xf numFmtId="0" fontId="0" fillId="6" borderId="25" xfId="0" applyFill="1" applyBorder="1"/>
    <xf numFmtId="0" fontId="0" fillId="6" borderId="13" xfId="0" applyFill="1" applyBorder="1"/>
    <xf numFmtId="0" fontId="0" fillId="6" borderId="12" xfId="0" applyFill="1" applyBorder="1"/>
    <xf numFmtId="0" fontId="8" fillId="2" borderId="40" xfId="0" applyFont="1" applyFill="1" applyBorder="1"/>
    <xf numFmtId="0" fontId="0" fillId="7" borderId="6" xfId="0" applyFill="1" applyBorder="1"/>
    <xf numFmtId="0" fontId="1" fillId="7" borderId="7" xfId="0" applyFont="1" applyFill="1" applyBorder="1"/>
    <xf numFmtId="0" fontId="1" fillId="7" borderId="17" xfId="0" applyFont="1" applyFill="1" applyBorder="1"/>
    <xf numFmtId="0" fontId="0" fillId="7" borderId="25" xfId="0" applyFill="1" applyBorder="1"/>
    <xf numFmtId="0" fontId="1" fillId="7" borderId="14" xfId="0" applyFont="1" applyFill="1" applyBorder="1"/>
    <xf numFmtId="0" fontId="0" fillId="7" borderId="14" xfId="0" applyFill="1" applyBorder="1"/>
    <xf numFmtId="0" fontId="0" fillId="7" borderId="17" xfId="0" applyFill="1" applyBorder="1"/>
    <xf numFmtId="0" fontId="0" fillId="7" borderId="12" xfId="0" applyFill="1" applyBorder="1"/>
    <xf numFmtId="0" fontId="0" fillId="7" borderId="0" xfId="0" applyFill="1" applyBorder="1"/>
    <xf numFmtId="0" fontId="0" fillId="7" borderId="13" xfId="0" applyFill="1" applyBorder="1"/>
    <xf numFmtId="0" fontId="0" fillId="7" borderId="7" xfId="0" applyFill="1" applyBorder="1"/>
    <xf numFmtId="0" fontId="0" fillId="7" borderId="0" xfId="0" applyFill="1" applyBorder="1" applyAlignment="1">
      <alignment horizontal="center"/>
    </xf>
    <xf numFmtId="1" fontId="0" fillId="7" borderId="0" xfId="2" applyNumberFormat="1" applyFont="1" applyFill="1" applyBorder="1"/>
    <xf numFmtId="0" fontId="1" fillId="2" borderId="0" xfId="0" applyFont="1" applyFill="1" applyBorder="1"/>
    <xf numFmtId="0" fontId="7" fillId="2" borderId="0" xfId="0" applyFont="1" applyFill="1"/>
    <xf numFmtId="1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9" fontId="0" fillId="2" borderId="41" xfId="2" applyFont="1" applyFill="1" applyBorder="1"/>
    <xf numFmtId="0" fontId="0" fillId="2" borderId="23" xfId="0" applyFill="1" applyBorder="1"/>
    <xf numFmtId="0" fontId="1" fillId="2" borderId="42" xfId="0" applyFont="1" applyFill="1" applyBorder="1"/>
    <xf numFmtId="0" fontId="0" fillId="2" borderId="42" xfId="0" applyFill="1" applyBorder="1"/>
    <xf numFmtId="1" fontId="1" fillId="2" borderId="1" xfId="2" applyNumberFormat="1" applyFont="1" applyFill="1" applyBorder="1"/>
    <xf numFmtId="166" fontId="0" fillId="2" borderId="0" xfId="0" applyNumberFormat="1" applyFill="1"/>
    <xf numFmtId="9" fontId="0" fillId="4" borderId="1" xfId="2" applyNumberFormat="1" applyFont="1" applyFill="1" applyBorder="1"/>
    <xf numFmtId="9" fontId="0" fillId="4" borderId="1" xfId="0" applyNumberFormat="1" applyFill="1" applyBorder="1"/>
    <xf numFmtId="0" fontId="8" fillId="2" borderId="1" xfId="0" applyFont="1" applyFill="1" applyBorder="1"/>
    <xf numFmtId="167" fontId="0" fillId="4" borderId="1" xfId="0" applyNumberFormat="1" applyFill="1" applyBorder="1"/>
    <xf numFmtId="167" fontId="0" fillId="3" borderId="1" xfId="2" applyNumberFormat="1" applyFont="1" applyFill="1" applyBorder="1"/>
    <xf numFmtId="165" fontId="0" fillId="5" borderId="5" xfId="5" applyNumberFormat="1" applyFont="1" applyFill="1" applyBorder="1"/>
    <xf numFmtId="0" fontId="0" fillId="2" borderId="0" xfId="0" applyFont="1" applyFill="1"/>
    <xf numFmtId="1" fontId="0" fillId="7" borderId="0" xfId="0" applyNumberFormat="1" applyFill="1" applyBorder="1"/>
    <xf numFmtId="1" fontId="0" fillId="7" borderId="7" xfId="0" applyNumberFormat="1" applyFill="1" applyBorder="1"/>
    <xf numFmtId="0" fontId="1" fillId="0" borderId="0" xfId="0" applyFont="1"/>
    <xf numFmtId="1" fontId="0" fillId="8" borderId="0" xfId="0" applyNumberFormat="1" applyFill="1"/>
    <xf numFmtId="3" fontId="0" fillId="0" borderId="0" xfId="5" applyNumberFormat="1" applyFont="1"/>
    <xf numFmtId="3" fontId="0" fillId="0" borderId="0" xfId="0" applyNumberFormat="1"/>
    <xf numFmtId="0" fontId="0" fillId="0" borderId="0" xfId="0" applyBorder="1"/>
    <xf numFmtId="0" fontId="11" fillId="0" borderId="44" xfId="0" applyFont="1" applyBorder="1" applyAlignment="1">
      <alignment horizontal="left" vertical="top"/>
    </xf>
    <xf numFmtId="0" fontId="0" fillId="0" borderId="41" xfId="0" applyBorder="1"/>
    <xf numFmtId="0" fontId="0" fillId="4" borderId="0" xfId="0" applyFill="1"/>
    <xf numFmtId="0" fontId="0" fillId="0" borderId="0" xfId="0" applyFill="1"/>
    <xf numFmtId="1" fontId="0" fillId="2" borderId="0" xfId="0" applyNumberFormat="1" applyFill="1" applyBorder="1"/>
    <xf numFmtId="9" fontId="0" fillId="4" borderId="0" xfId="0" applyNumberFormat="1" applyFill="1"/>
    <xf numFmtId="0" fontId="0" fillId="8" borderId="0" xfId="0" applyFill="1"/>
    <xf numFmtId="0" fontId="0" fillId="9" borderId="0" xfId="0" applyFill="1"/>
    <xf numFmtId="0" fontId="0" fillId="0" borderId="1" xfId="0" applyBorder="1"/>
    <xf numFmtId="0" fontId="0" fillId="4" borderId="1" xfId="0" applyFill="1" applyBorder="1"/>
    <xf numFmtId="0" fontId="0" fillId="3" borderId="1" xfId="0" applyFill="1" applyBorder="1"/>
    <xf numFmtId="0" fontId="13" fillId="2" borderId="0" xfId="0" applyFont="1" applyFill="1"/>
    <xf numFmtId="0" fontId="8" fillId="2" borderId="1" xfId="0" applyFont="1" applyFill="1" applyBorder="1" applyAlignment="1">
      <alignment wrapText="1"/>
    </xf>
    <xf numFmtId="10" fontId="0" fillId="4" borderId="1" xfId="2" applyNumberFormat="1" applyFont="1" applyFill="1" applyBorder="1"/>
    <xf numFmtId="9" fontId="0" fillId="2" borderId="0" xfId="0" applyNumberFormat="1" applyFill="1"/>
    <xf numFmtId="1" fontId="0" fillId="4" borderId="1" xfId="0" applyNumberFormat="1" applyFill="1" applyBorder="1"/>
    <xf numFmtId="1" fontId="0" fillId="4" borderId="19" xfId="0" applyNumberFormat="1" applyFill="1" applyBorder="1"/>
    <xf numFmtId="9" fontId="0" fillId="4" borderId="42" xfId="0" applyNumberFormat="1" applyFill="1" applyBorder="1"/>
    <xf numFmtId="1" fontId="0" fillId="2" borderId="0" xfId="0" applyNumberFormat="1" applyFill="1"/>
    <xf numFmtId="167" fontId="0" fillId="4" borderId="0" xfId="2" applyNumberFormat="1" applyFont="1" applyFill="1" applyBorder="1"/>
    <xf numFmtId="167" fontId="1" fillId="4" borderId="12" xfId="2" applyNumberFormat="1" applyFont="1" applyFill="1" applyBorder="1"/>
    <xf numFmtId="0" fontId="14" fillId="0" borderId="0" xfId="0" applyFont="1" applyFill="1"/>
    <xf numFmtId="0" fontId="14" fillId="0" borderId="0" xfId="0" applyFont="1"/>
    <xf numFmtId="0" fontId="15" fillId="0" borderId="0" xfId="0" applyFont="1"/>
    <xf numFmtId="0" fontId="15" fillId="0" borderId="0" xfId="0" applyFont="1" applyBorder="1"/>
    <xf numFmtId="0" fontId="15" fillId="0" borderId="0" xfId="0" applyFont="1" applyFill="1" applyBorder="1"/>
    <xf numFmtId="0" fontId="15" fillId="0" borderId="0" xfId="0" applyFont="1" applyFill="1"/>
    <xf numFmtId="1" fontId="15" fillId="0" borderId="0" xfId="0" applyNumberFormat="1" applyFont="1" applyFill="1"/>
    <xf numFmtId="0" fontId="14" fillId="4" borderId="0" xfId="0" applyFont="1" applyFill="1"/>
    <xf numFmtId="0" fontId="15" fillId="0" borderId="41" xfId="0" applyFont="1" applyBorder="1"/>
    <xf numFmtId="3" fontId="15" fillId="4" borderId="41" xfId="0" applyNumberFormat="1" applyFont="1" applyFill="1" applyBorder="1"/>
    <xf numFmtId="9" fontId="15" fillId="4" borderId="41" xfId="2" applyFont="1" applyFill="1" applyBorder="1"/>
    <xf numFmtId="2" fontId="15" fillId="4" borderId="41" xfId="2" applyNumberFormat="1" applyFont="1" applyFill="1" applyBorder="1"/>
    <xf numFmtId="3" fontId="15" fillId="4" borderId="0" xfId="0" applyNumberFormat="1" applyFont="1" applyFill="1" applyBorder="1"/>
    <xf numFmtId="9" fontId="15" fillId="4" borderId="0" xfId="2" applyFont="1" applyFill="1" applyBorder="1"/>
    <xf numFmtId="2" fontId="15" fillId="4" borderId="0" xfId="2" applyNumberFormat="1" applyFont="1" applyFill="1" applyBorder="1"/>
    <xf numFmtId="0" fontId="15" fillId="10" borderId="0" xfId="0" applyFont="1" applyFill="1"/>
    <xf numFmtId="1" fontId="15" fillId="10" borderId="0" xfId="0" applyNumberFormat="1" applyFont="1" applyFill="1"/>
    <xf numFmtId="1" fontId="15" fillId="0" borderId="0" xfId="0" applyNumberFormat="1" applyFont="1"/>
    <xf numFmtId="0" fontId="15" fillId="0" borderId="14" xfId="0" applyFont="1" applyBorder="1"/>
    <xf numFmtId="9" fontId="15" fillId="4" borderId="14" xfId="2" applyFont="1" applyFill="1" applyBorder="1"/>
    <xf numFmtId="2" fontId="15" fillId="4" borderId="14" xfId="2" applyNumberFormat="1" applyFont="1" applyFill="1" applyBorder="1"/>
    <xf numFmtId="1" fontId="15" fillId="4" borderId="0" xfId="2" applyNumberFormat="1" applyFont="1" applyFill="1"/>
    <xf numFmtId="0" fontId="15" fillId="4" borderId="0" xfId="0" applyFont="1" applyFill="1"/>
    <xf numFmtId="9" fontId="15" fillId="4" borderId="0" xfId="2" applyFont="1" applyFill="1"/>
    <xf numFmtId="2" fontId="14" fillId="0" borderId="0" xfId="0" applyNumberFormat="1" applyFont="1" applyFill="1"/>
    <xf numFmtId="9" fontId="14" fillId="4" borderId="0" xfId="2" applyFont="1" applyFill="1"/>
    <xf numFmtId="9" fontId="15" fillId="0" borderId="0" xfId="0" applyNumberFormat="1" applyFont="1"/>
    <xf numFmtId="0" fontId="0" fillId="11" borderId="0" xfId="0" applyFill="1"/>
    <xf numFmtId="3" fontId="15" fillId="0" borderId="0" xfId="0" applyNumberFormat="1" applyFont="1"/>
    <xf numFmtId="49" fontId="0" fillId="2" borderId="0" xfId="0" applyNumberFormat="1" applyFill="1"/>
    <xf numFmtId="0" fontId="0" fillId="2" borderId="0" xfId="0" applyFill="1" applyAlignment="1">
      <alignment horizontal="left"/>
    </xf>
    <xf numFmtId="49" fontId="0" fillId="0" borderId="0" xfId="0" applyNumberFormat="1"/>
    <xf numFmtId="0" fontId="0" fillId="10" borderId="0" xfId="0" applyFill="1"/>
    <xf numFmtId="3" fontId="0" fillId="0" borderId="0" xfId="0" applyNumberFormat="1" applyFill="1"/>
    <xf numFmtId="9" fontId="15" fillId="0" borderId="0" xfId="0" applyNumberFormat="1" applyFont="1" applyFill="1"/>
    <xf numFmtId="164" fontId="15" fillId="0" borderId="0" xfId="0" applyNumberFormat="1" applyFont="1"/>
    <xf numFmtId="9" fontId="14" fillId="0" borderId="0" xfId="2" applyFont="1" applyFill="1"/>
    <xf numFmtId="0" fontId="15" fillId="12" borderId="0" xfId="0" applyFont="1" applyFill="1"/>
    <xf numFmtId="1" fontId="15" fillId="12" borderId="0" xfId="0" applyNumberFormat="1" applyFont="1" applyFill="1"/>
    <xf numFmtId="0" fontId="15" fillId="13" borderId="0" xfId="0" applyFont="1" applyFill="1"/>
    <xf numFmtId="1" fontId="15" fillId="13" borderId="0" xfId="0" applyNumberFormat="1" applyFont="1" applyFill="1"/>
    <xf numFmtId="0" fontId="15" fillId="8" borderId="0" xfId="0" applyFont="1" applyFill="1"/>
    <xf numFmtId="1" fontId="15" fillId="8" borderId="0" xfId="0" applyNumberFormat="1" applyFont="1" applyFill="1"/>
    <xf numFmtId="0" fontId="15" fillId="14" borderId="0" xfId="0" applyFont="1" applyFill="1"/>
    <xf numFmtId="169" fontId="17" fillId="0" borderId="0" xfId="0" applyNumberFormat="1" applyFont="1"/>
    <xf numFmtId="169" fontId="16" fillId="0" borderId="0" xfId="0" applyNumberFormat="1" applyFont="1"/>
    <xf numFmtId="169" fontId="16" fillId="0" borderId="0" xfId="0" quotePrefix="1" applyNumberFormat="1" applyFont="1"/>
    <xf numFmtId="0" fontId="0" fillId="0" borderId="0" xfId="0"/>
    <xf numFmtId="0" fontId="1" fillId="2" borderId="32" xfId="0" applyFont="1" applyFill="1" applyBorder="1" applyAlignment="1">
      <alignment horizontal="center"/>
    </xf>
    <xf numFmtId="0" fontId="1" fillId="2" borderId="18" xfId="0" applyFont="1" applyFill="1" applyBorder="1" applyAlignment="1">
      <alignment horizontal="center"/>
    </xf>
    <xf numFmtId="0" fontId="15" fillId="4" borderId="6" xfId="0" applyFont="1" applyFill="1" applyBorder="1"/>
    <xf numFmtId="9" fontId="15" fillId="4" borderId="7" xfId="0" applyNumberFormat="1" applyFont="1" applyFill="1" applyBorder="1"/>
    <xf numFmtId="0" fontId="15" fillId="4" borderId="7" xfId="0" applyFont="1" applyFill="1" applyBorder="1"/>
    <xf numFmtId="0" fontId="15" fillId="4" borderId="25" xfId="0" applyFont="1" applyFill="1" applyBorder="1"/>
    <xf numFmtId="0" fontId="15" fillId="4" borderId="17" xfId="0" applyFont="1" applyFill="1" applyBorder="1"/>
    <xf numFmtId="3" fontId="15" fillId="4" borderId="14" xfId="0" applyNumberFormat="1" applyFont="1" applyFill="1" applyBorder="1"/>
    <xf numFmtId="0" fontId="15" fillId="0" borderId="1" xfId="0" applyFont="1" applyBorder="1"/>
    <xf numFmtId="9" fontId="15" fillId="3" borderId="1" xfId="0" applyNumberFormat="1" applyFont="1" applyFill="1" applyBorder="1"/>
    <xf numFmtId="3" fontId="0" fillId="2" borderId="0" xfId="0" applyNumberFormat="1" applyFill="1"/>
    <xf numFmtId="0" fontId="0" fillId="0" borderId="8" xfId="0" applyBorder="1"/>
    <xf numFmtId="0" fontId="0" fillId="2" borderId="1" xfId="0" applyFill="1" applyBorder="1" applyAlignment="1">
      <alignment horizontal="left"/>
    </xf>
    <xf numFmtId="49" fontId="0" fillId="4" borderId="1" xfId="0" applyNumberFormat="1" applyFill="1" applyBorder="1"/>
    <xf numFmtId="0" fontId="0" fillId="4" borderId="1" xfId="0" applyNumberFormat="1" applyFill="1" applyBorder="1" applyAlignment="1">
      <alignment horizontal="right"/>
    </xf>
    <xf numFmtId="1" fontId="0" fillId="4" borderId="1" xfId="0" applyNumberFormat="1" applyFill="1" applyBorder="1" applyAlignment="1">
      <alignment horizontal="right"/>
    </xf>
    <xf numFmtId="0" fontId="1" fillId="0" borderId="0" xfId="0" applyFont="1" applyFill="1"/>
    <xf numFmtId="0" fontId="0" fillId="0" borderId="49" xfId="0" applyFill="1" applyBorder="1"/>
    <xf numFmtId="0" fontId="0" fillId="0" borderId="0" xfId="0" applyFill="1" applyBorder="1"/>
    <xf numFmtId="0" fontId="0" fillId="0" borderId="50" xfId="0" applyFill="1" applyBorder="1"/>
    <xf numFmtId="0" fontId="2" fillId="0" borderId="0" xfId="1" applyFill="1" applyBorder="1"/>
    <xf numFmtId="3" fontId="0" fillId="0" borderId="0" xfId="0" applyNumberFormat="1" applyFill="1" applyBorder="1"/>
    <xf numFmtId="0" fontId="0" fillId="0" borderId="51" xfId="0" applyFill="1" applyBorder="1"/>
    <xf numFmtId="0" fontId="0" fillId="0" borderId="52" xfId="0" applyFill="1" applyBorder="1"/>
    <xf numFmtId="0" fontId="0" fillId="0" borderId="53" xfId="0" applyFill="1" applyBorder="1"/>
    <xf numFmtId="0" fontId="1" fillId="0" borderId="0" xfId="0" applyFont="1" applyFill="1" applyBorder="1"/>
    <xf numFmtId="0" fontId="1" fillId="0" borderId="49" xfId="0" applyFont="1" applyFill="1" applyBorder="1"/>
    <xf numFmtId="0" fontId="1" fillId="0" borderId="50" xfId="0" applyFont="1" applyFill="1" applyBorder="1"/>
    <xf numFmtId="0" fontId="1" fillId="0" borderId="6" xfId="0" applyFont="1" applyFill="1" applyBorder="1"/>
    <xf numFmtId="0" fontId="1" fillId="0" borderId="7" xfId="0" applyFont="1" applyFill="1" applyBorder="1"/>
    <xf numFmtId="3" fontId="0" fillId="0" borderId="6" xfId="0" applyNumberFormat="1" applyFill="1" applyBorder="1"/>
    <xf numFmtId="3" fontId="0" fillId="0" borderId="7" xfId="0" applyNumberFormat="1" applyFill="1" applyBorder="1"/>
    <xf numFmtId="3" fontId="0" fillId="0" borderId="25" xfId="0" applyNumberFormat="1" applyFill="1" applyBorder="1"/>
    <xf numFmtId="3" fontId="0" fillId="0" borderId="14" xfId="0" applyNumberFormat="1" applyFill="1" applyBorder="1"/>
    <xf numFmtId="3" fontId="0" fillId="0" borderId="17" xfId="0" applyNumberFormat="1" applyFill="1" applyBorder="1"/>
    <xf numFmtId="0" fontId="0" fillId="2" borderId="49" xfId="0" applyFill="1" applyBorder="1"/>
    <xf numFmtId="0" fontId="0" fillId="2" borderId="50" xfId="0" applyFill="1" applyBorder="1"/>
    <xf numFmtId="0" fontId="0" fillId="2" borderId="49" xfId="0" applyFont="1" applyFill="1" applyBorder="1"/>
    <xf numFmtId="0" fontId="0" fillId="2" borderId="51" xfId="0" applyFill="1" applyBorder="1"/>
    <xf numFmtId="0" fontId="0" fillId="2" borderId="53" xfId="0" applyFill="1" applyBorder="1"/>
    <xf numFmtId="10" fontId="0" fillId="3" borderId="1" xfId="0" applyNumberFormat="1" applyFill="1" applyBorder="1"/>
    <xf numFmtId="0" fontId="1" fillId="15" borderId="46" xfId="0" applyFont="1" applyFill="1" applyBorder="1"/>
    <xf numFmtId="0" fontId="0" fillId="15" borderId="48" xfId="0" applyFill="1" applyBorder="1"/>
    <xf numFmtId="0" fontId="0" fillId="15" borderId="49" xfId="0" applyFill="1" applyBorder="1"/>
    <xf numFmtId="0" fontId="0" fillId="15" borderId="50" xfId="0" applyFill="1" applyBorder="1"/>
    <xf numFmtId="0" fontId="1" fillId="15" borderId="49" xfId="0" applyFont="1" applyFill="1" applyBorder="1"/>
    <xf numFmtId="0" fontId="11" fillId="15" borderId="49" xfId="0" applyFont="1" applyFill="1" applyBorder="1"/>
    <xf numFmtId="0" fontId="12" fillId="15" borderId="49" xfId="0" applyFont="1" applyFill="1" applyBorder="1"/>
    <xf numFmtId="0" fontId="0" fillId="15" borderId="51" xfId="0" applyFill="1" applyBorder="1"/>
    <xf numFmtId="0" fontId="0" fillId="15" borderId="53" xfId="0" applyFill="1" applyBorder="1"/>
    <xf numFmtId="0" fontId="0" fillId="2" borderId="1" xfId="0" applyFill="1" applyBorder="1" applyAlignment="1">
      <alignment wrapText="1"/>
    </xf>
    <xf numFmtId="0" fontId="19" fillId="2" borderId="49" xfId="11" applyFont="1" applyFill="1" applyBorder="1"/>
    <xf numFmtId="0" fontId="19" fillId="2" borderId="50" xfId="11" applyFont="1" applyFill="1" applyBorder="1"/>
    <xf numFmtId="0" fontId="0" fillId="8" borderId="1" xfId="0" applyFill="1" applyBorder="1" applyAlignment="1">
      <alignment wrapText="1"/>
    </xf>
    <xf numFmtId="0" fontId="1" fillId="0" borderId="0" xfId="0" applyFont="1" applyFill="1" applyAlignment="1">
      <alignment wrapText="1"/>
    </xf>
    <xf numFmtId="0" fontId="20" fillId="0" borderId="0" xfId="0" applyFont="1" applyFill="1"/>
    <xf numFmtId="0" fontId="22" fillId="16" borderId="0" xfId="11" applyFont="1" applyFill="1" applyAlignment="1">
      <alignment wrapText="1"/>
    </xf>
    <xf numFmtId="0" fontId="22" fillId="16" borderId="0" xfId="11" applyFont="1" applyFill="1"/>
    <xf numFmtId="0" fontId="22" fillId="16" borderId="0" xfId="11" applyFont="1" applyFill="1" applyBorder="1"/>
    <xf numFmtId="0" fontId="22" fillId="16" borderId="1" xfId="11" applyFont="1" applyFill="1" applyBorder="1" applyAlignment="1">
      <alignment wrapText="1"/>
    </xf>
    <xf numFmtId="0" fontId="14" fillId="0" borderId="1" xfId="0" applyFont="1" applyFill="1" applyBorder="1"/>
    <xf numFmtId="9" fontId="15" fillId="4" borderId="1" xfId="0" applyNumberFormat="1" applyFont="1" applyFill="1" applyBorder="1"/>
    <xf numFmtId="1" fontId="0" fillId="4" borderId="54" xfId="0" applyNumberFormat="1" applyFill="1" applyBorder="1"/>
    <xf numFmtId="0" fontId="0" fillId="2" borderId="43" xfId="0" applyFill="1" applyBorder="1"/>
    <xf numFmtId="1" fontId="0" fillId="2" borderId="45" xfId="0" applyNumberFormat="1" applyFill="1" applyBorder="1"/>
    <xf numFmtId="171" fontId="0" fillId="0" borderId="0" xfId="5" applyNumberFormat="1" applyFont="1"/>
    <xf numFmtId="170" fontId="0" fillId="0" borderId="0" xfId="0" applyNumberFormat="1"/>
    <xf numFmtId="171" fontId="0" fillId="0" borderId="0" xfId="0" applyNumberFormat="1"/>
    <xf numFmtId="172" fontId="0" fillId="0" borderId="0" xfId="0" applyNumberFormat="1"/>
    <xf numFmtId="3" fontId="15" fillId="4" borderId="41" xfId="5" applyNumberFormat="1" applyFont="1" applyFill="1" applyBorder="1"/>
    <xf numFmtId="3" fontId="15" fillId="4" borderId="0" xfId="5" applyNumberFormat="1" applyFont="1" applyFill="1" applyBorder="1"/>
    <xf numFmtId="3" fontId="15" fillId="4" borderId="14" xfId="5" applyNumberFormat="1" applyFont="1" applyFill="1" applyBorder="1"/>
    <xf numFmtId="167" fontId="0" fillId="2" borderId="0" xfId="2" applyNumberFormat="1" applyFont="1" applyFill="1"/>
    <xf numFmtId="0" fontId="1" fillId="2" borderId="12" xfId="0" applyFont="1" applyFill="1" applyBorder="1"/>
    <xf numFmtId="0" fontId="15" fillId="17" borderId="0" xfId="0" applyFont="1" applyFill="1"/>
    <xf numFmtId="1" fontId="15" fillId="17" borderId="0" xfId="0" applyNumberFormat="1" applyFont="1" applyFill="1"/>
    <xf numFmtId="171" fontId="15" fillId="0" borderId="0" xfId="5" applyNumberFormat="1" applyFont="1"/>
    <xf numFmtId="171" fontId="15" fillId="4" borderId="0" xfId="5" applyNumberFormat="1" applyFont="1" applyFill="1" applyBorder="1"/>
    <xf numFmtId="171" fontId="15" fillId="3" borderId="0" xfId="5" applyNumberFormat="1" applyFont="1" applyFill="1" applyBorder="1"/>
    <xf numFmtId="171" fontId="15" fillId="4" borderId="14" xfId="5" applyNumberFormat="1" applyFont="1" applyFill="1" applyBorder="1"/>
    <xf numFmtId="171" fontId="15" fillId="3" borderId="14" xfId="5" applyNumberFormat="1" applyFont="1" applyFill="1" applyBorder="1"/>
    <xf numFmtId="173" fontId="15" fillId="0" borderId="0" xfId="0" applyNumberFormat="1" applyFont="1"/>
    <xf numFmtId="0" fontId="23" fillId="18" borderId="0" xfId="0" applyFont="1" applyFill="1" applyAlignment="1">
      <alignment vertical="center"/>
    </xf>
    <xf numFmtId="0" fontId="24" fillId="18" borderId="0" xfId="11" applyFont="1" applyFill="1"/>
    <xf numFmtId="0" fontId="18" fillId="2" borderId="48" xfId="11" applyFill="1" applyBorder="1"/>
    <xf numFmtId="0" fontId="18" fillId="2" borderId="46" xfId="11" applyFill="1" applyBorder="1"/>
    <xf numFmtId="0" fontId="18" fillId="2" borderId="49" xfId="11" applyFill="1" applyBorder="1"/>
    <xf numFmtId="0" fontId="25" fillId="2" borderId="0" xfId="0" applyFont="1" applyFill="1"/>
    <xf numFmtId="0" fontId="26" fillId="2" borderId="0" xfId="0" applyFont="1" applyFill="1"/>
    <xf numFmtId="0" fontId="25" fillId="2" borderId="1" xfId="0" applyFont="1" applyFill="1" applyBorder="1"/>
    <xf numFmtId="0" fontId="26" fillId="2" borderId="1" xfId="0" applyFont="1" applyFill="1" applyBorder="1"/>
    <xf numFmtId="0" fontId="27" fillId="2" borderId="1" xfId="1" applyFont="1" applyFill="1" applyBorder="1" applyAlignment="1" applyProtection="1">
      <alignment horizontal="left"/>
    </xf>
    <xf numFmtId="0" fontId="27" fillId="2" borderId="5" xfId="1" applyFont="1" applyFill="1" applyBorder="1" applyAlignment="1" applyProtection="1">
      <alignment horizontal="left"/>
    </xf>
    <xf numFmtId="0" fontId="27" fillId="2" borderId="2" xfId="1" applyFont="1" applyFill="1" applyBorder="1" applyAlignment="1" applyProtection="1">
      <alignment horizontal="left"/>
    </xf>
    <xf numFmtId="0" fontId="27" fillId="2" borderId="0" xfId="1" applyFont="1" applyFill="1" applyBorder="1" applyAlignment="1" applyProtection="1">
      <alignment horizontal="left"/>
    </xf>
    <xf numFmtId="165" fontId="26" fillId="2" borderId="0" xfId="5" applyNumberFormat="1" applyFont="1" applyFill="1" applyBorder="1"/>
    <xf numFmtId="164" fontId="26" fillId="2" borderId="0" xfId="5" applyNumberFormat="1" applyFont="1" applyFill="1" applyBorder="1"/>
    <xf numFmtId="165" fontId="25" fillId="12" borderId="1" xfId="5" applyNumberFormat="1" applyFont="1" applyFill="1" applyBorder="1"/>
    <xf numFmtId="165" fontId="25" fillId="12" borderId="5" xfId="5" applyNumberFormat="1" applyFont="1" applyFill="1" applyBorder="1"/>
    <xf numFmtId="165" fontId="26" fillId="12" borderId="2" xfId="5" applyNumberFormat="1" applyFont="1" applyFill="1" applyBorder="1"/>
    <xf numFmtId="165" fontId="25" fillId="15" borderId="1" xfId="5" applyNumberFormat="1" applyFont="1" applyFill="1" applyBorder="1"/>
    <xf numFmtId="165" fontId="25" fillId="15" borderId="5" xfId="5" applyNumberFormat="1" applyFont="1" applyFill="1" applyBorder="1"/>
    <xf numFmtId="165" fontId="26" fillId="15" borderId="2" xfId="5" applyNumberFormat="1" applyFont="1" applyFill="1" applyBorder="1"/>
    <xf numFmtId="3" fontId="0" fillId="0" borderId="15" xfId="5" applyNumberFormat="1" applyFont="1" applyBorder="1"/>
    <xf numFmtId="3" fontId="0" fillId="0" borderId="13" xfId="5" applyNumberFormat="1" applyFont="1" applyBorder="1"/>
    <xf numFmtId="3" fontId="0" fillId="0" borderId="16" xfId="5" applyNumberFormat="1" applyFont="1" applyBorder="1"/>
    <xf numFmtId="3" fontId="0" fillId="0" borderId="6" xfId="5" applyNumberFormat="1" applyFont="1" applyBorder="1"/>
    <xf numFmtId="3" fontId="0" fillId="0" borderId="0" xfId="5" applyNumberFormat="1" applyFont="1" applyBorder="1"/>
    <xf numFmtId="3" fontId="0" fillId="0" borderId="7" xfId="5" applyNumberFormat="1" applyFont="1" applyBorder="1"/>
    <xf numFmtId="3" fontId="0" fillId="0" borderId="25" xfId="5" applyNumberFormat="1" applyFont="1" applyBorder="1"/>
    <xf numFmtId="3" fontId="0" fillId="0" borderId="14" xfId="5" applyNumberFormat="1" applyFont="1" applyBorder="1"/>
    <xf numFmtId="3" fontId="0" fillId="0" borderId="17" xfId="5" applyNumberFormat="1" applyFont="1" applyBorder="1"/>
    <xf numFmtId="3" fontId="0" fillId="19" borderId="6" xfId="5" applyNumberFormat="1" applyFont="1" applyFill="1" applyBorder="1"/>
    <xf numFmtId="3" fontId="0" fillId="19" borderId="0" xfId="5" applyNumberFormat="1" applyFont="1" applyFill="1" applyBorder="1"/>
    <xf numFmtId="3" fontId="0" fillId="19" borderId="7" xfId="5" applyNumberFormat="1" applyFont="1" applyFill="1" applyBorder="1"/>
    <xf numFmtId="4" fontId="0" fillId="0" borderId="6" xfId="5" applyNumberFormat="1" applyFont="1" applyBorder="1"/>
    <xf numFmtId="4" fontId="0" fillId="9" borderId="6" xfId="5" applyNumberFormat="1" applyFont="1" applyFill="1" applyBorder="1"/>
    <xf numFmtId="4" fontId="0" fillId="0" borderId="0" xfId="5" applyNumberFormat="1" applyFont="1" applyBorder="1"/>
    <xf numFmtId="4" fontId="0" fillId="0" borderId="7" xfId="5" applyNumberFormat="1" applyFont="1" applyBorder="1"/>
    <xf numFmtId="4" fontId="0" fillId="19" borderId="6" xfId="5" applyNumberFormat="1" applyFont="1" applyFill="1" applyBorder="1"/>
    <xf numFmtId="4" fontId="0" fillId="19" borderId="0" xfId="5" applyNumberFormat="1" applyFont="1" applyFill="1" applyBorder="1"/>
    <xf numFmtId="4" fontId="0" fillId="19" borderId="7" xfId="5" applyNumberFormat="1" applyFont="1" applyFill="1" applyBorder="1"/>
    <xf numFmtId="3" fontId="0" fillId="0" borderId="6" xfId="5" applyNumberFormat="1" applyFont="1" applyFill="1" applyBorder="1"/>
    <xf numFmtId="3" fontId="0" fillId="0" borderId="0" xfId="5" applyNumberFormat="1" applyFont="1" applyFill="1" applyBorder="1"/>
    <xf numFmtId="3" fontId="0" fillId="0" borderId="7" xfId="5" applyNumberFormat="1" applyFont="1" applyFill="1" applyBorder="1"/>
    <xf numFmtId="3" fontId="0" fillId="0" borderId="25" xfId="5" applyNumberFormat="1" applyFont="1" applyFill="1" applyBorder="1"/>
    <xf numFmtId="3" fontId="0" fillId="0" borderId="14" xfId="5" applyNumberFormat="1" applyFont="1" applyFill="1" applyBorder="1"/>
    <xf numFmtId="3" fontId="0" fillId="0" borderId="17" xfId="5" applyNumberFormat="1" applyFont="1" applyFill="1" applyBorder="1"/>
    <xf numFmtId="3" fontId="0" fillId="15" borderId="6" xfId="5" applyNumberFormat="1" applyFont="1" applyFill="1" applyBorder="1"/>
    <xf numFmtId="3" fontId="0" fillId="15" borderId="0" xfId="5" applyNumberFormat="1" applyFont="1" applyFill="1" applyBorder="1"/>
    <xf numFmtId="3" fontId="0" fillId="15" borderId="7" xfId="5" applyNumberFormat="1" applyFont="1" applyFill="1" applyBorder="1"/>
    <xf numFmtId="3" fontId="0" fillId="15" borderId="15" xfId="5" applyNumberFormat="1" applyFont="1" applyFill="1" applyBorder="1"/>
    <xf numFmtId="3" fontId="0" fillId="15" borderId="13" xfId="5" applyNumberFormat="1" applyFont="1" applyFill="1" applyBorder="1"/>
    <xf numFmtId="3" fontId="0" fillId="15" borderId="16" xfId="5" applyNumberFormat="1" applyFont="1" applyFill="1" applyBorder="1"/>
    <xf numFmtId="3" fontId="0" fillId="15" borderId="25" xfId="5" applyNumberFormat="1" applyFont="1" applyFill="1" applyBorder="1"/>
    <xf numFmtId="3" fontId="0" fillId="15" borderId="14" xfId="5" applyNumberFormat="1" applyFont="1" applyFill="1" applyBorder="1"/>
    <xf numFmtId="3" fontId="0" fillId="15" borderId="17" xfId="5" applyNumberFormat="1" applyFont="1" applyFill="1" applyBorder="1"/>
    <xf numFmtId="0" fontId="22" fillId="2" borderId="0" xfId="11" applyFont="1" applyFill="1"/>
    <xf numFmtId="164" fontId="0" fillId="0" borderId="0" xfId="5" applyFont="1"/>
    <xf numFmtId="1" fontId="1" fillId="4" borderId="0" xfId="0" applyNumberFormat="1" applyFont="1" applyFill="1"/>
    <xf numFmtId="0" fontId="1" fillId="2" borderId="3" xfId="0" applyFont="1" applyFill="1" applyBorder="1"/>
    <xf numFmtId="9" fontId="0" fillId="2" borderId="23" xfId="2" applyFont="1" applyFill="1" applyBorder="1"/>
    <xf numFmtId="167" fontId="0" fillId="3" borderId="0" xfId="2" applyNumberFormat="1" applyFont="1" applyFill="1" applyBorder="1"/>
    <xf numFmtId="0" fontId="0" fillId="2" borderId="14" xfId="0" applyFill="1" applyBorder="1"/>
    <xf numFmtId="0" fontId="0" fillId="2" borderId="2" xfId="0" applyFill="1" applyBorder="1"/>
    <xf numFmtId="9" fontId="0" fillId="0" borderId="0" xfId="2" applyFont="1"/>
    <xf numFmtId="0" fontId="0" fillId="2" borderId="55" xfId="0" applyFill="1" applyBorder="1"/>
    <xf numFmtId="0" fontId="21" fillId="16" borderId="19" xfId="11" applyFont="1" applyFill="1" applyBorder="1"/>
    <xf numFmtId="0" fontId="21" fillId="2" borderId="0" xfId="11" applyFont="1" applyFill="1" applyBorder="1"/>
    <xf numFmtId="0" fontId="7" fillId="2" borderId="0" xfId="0" applyFont="1" applyFill="1" applyBorder="1"/>
    <xf numFmtId="0" fontId="11" fillId="2" borderId="0" xfId="11" applyFont="1" applyFill="1" applyBorder="1"/>
    <xf numFmtId="0" fontId="11" fillId="2" borderId="0" xfId="0" applyFont="1" applyFill="1"/>
    <xf numFmtId="0" fontId="11" fillId="3" borderId="1" xfId="0" applyFont="1" applyFill="1" applyBorder="1"/>
    <xf numFmtId="174" fontId="0" fillId="4" borderId="1" xfId="2" applyNumberFormat="1" applyFont="1" applyFill="1" applyBorder="1"/>
    <xf numFmtId="167" fontId="0" fillId="4" borderId="1" xfId="2" applyNumberFormat="1" applyFont="1" applyFill="1" applyBorder="1"/>
    <xf numFmtId="0" fontId="11" fillId="2" borderId="56" xfId="11" applyFont="1" applyFill="1" applyBorder="1"/>
    <xf numFmtId="0" fontId="12" fillId="2" borderId="1" xfId="0" applyFont="1" applyFill="1" applyBorder="1"/>
    <xf numFmtId="1" fontId="0" fillId="2" borderId="6" xfId="0" applyNumberFormat="1" applyFill="1" applyBorder="1"/>
    <xf numFmtId="0" fontId="0" fillId="2" borderId="18" xfId="0" applyFill="1" applyBorder="1"/>
    <xf numFmtId="1" fontId="0" fillId="2" borderId="24" xfId="2" applyNumberFormat="1" applyFont="1" applyFill="1" applyBorder="1"/>
    <xf numFmtId="0" fontId="0" fillId="2" borderId="57" xfId="0" applyFill="1" applyBorder="1"/>
    <xf numFmtId="1" fontId="0" fillId="2" borderId="31" xfId="0" applyNumberFormat="1" applyFill="1" applyBorder="1"/>
    <xf numFmtId="0" fontId="0" fillId="2" borderId="5" xfId="0" applyFill="1" applyBorder="1"/>
    <xf numFmtId="9" fontId="0" fillId="4" borderId="5" xfId="2" applyFont="1" applyFill="1" applyBorder="1"/>
    <xf numFmtId="0" fontId="0" fillId="2" borderId="34" xfId="0" applyFill="1" applyBorder="1"/>
    <xf numFmtId="9" fontId="0" fillId="4" borderId="34" xfId="2" applyFont="1" applyFill="1" applyBorder="1"/>
    <xf numFmtId="9" fontId="0" fillId="3" borderId="5" xfId="2" applyFont="1" applyFill="1" applyBorder="1"/>
    <xf numFmtId="0" fontId="0" fillId="0" borderId="5" xfId="0" applyBorder="1"/>
    <xf numFmtId="3" fontId="0" fillId="4" borderId="43" xfId="5" applyNumberFormat="1" applyFont="1" applyFill="1" applyBorder="1"/>
    <xf numFmtId="3" fontId="0" fillId="4" borderId="12" xfId="5" applyNumberFormat="1" applyFont="1" applyFill="1" applyBorder="1"/>
    <xf numFmtId="3" fontId="0" fillId="4" borderId="58" xfId="5" applyNumberFormat="1" applyFont="1" applyFill="1" applyBorder="1"/>
    <xf numFmtId="0" fontId="20" fillId="2" borderId="1" xfId="0" applyFont="1" applyFill="1" applyBorder="1"/>
    <xf numFmtId="0" fontId="28" fillId="4" borderId="1" xfId="0" applyFont="1" applyFill="1" applyBorder="1"/>
    <xf numFmtId="9" fontId="28" fillId="4" borderId="1" xfId="2" applyFont="1" applyFill="1" applyBorder="1"/>
    <xf numFmtId="0" fontId="28" fillId="3" borderId="1" xfId="0" applyFont="1" applyFill="1" applyBorder="1"/>
    <xf numFmtId="0" fontId="14" fillId="0" borderId="1" xfId="0" applyFont="1" applyBorder="1" applyAlignment="1">
      <alignment wrapText="1"/>
    </xf>
    <xf numFmtId="0" fontId="14" fillId="0" borderId="1" xfId="0" applyFont="1" applyBorder="1"/>
    <xf numFmtId="9" fontId="15" fillId="4" borderId="1" xfId="2" applyFont="1" applyFill="1" applyBorder="1"/>
    <xf numFmtId="0" fontId="15" fillId="0" borderId="1" xfId="0" applyFont="1" applyFill="1" applyBorder="1"/>
    <xf numFmtId="171" fontId="0" fillId="4" borderId="1" xfId="5" applyNumberFormat="1" applyFont="1" applyFill="1" applyBorder="1"/>
    <xf numFmtId="0" fontId="2" fillId="20" borderId="0" xfId="1" applyFill="1" applyBorder="1"/>
    <xf numFmtId="0" fontId="2" fillId="21" borderId="0" xfId="1" applyFill="1" applyBorder="1"/>
    <xf numFmtId="0" fontId="2" fillId="22" borderId="0" xfId="1" applyFill="1" applyBorder="1"/>
    <xf numFmtId="0" fontId="2" fillId="23" borderId="0" xfId="1" applyFill="1" applyBorder="1"/>
    <xf numFmtId="0" fontId="2" fillId="11" borderId="0" xfId="1" applyFill="1" applyBorder="1"/>
    <xf numFmtId="0" fontId="2" fillId="25" borderId="0" xfId="1" applyFill="1" applyBorder="1"/>
    <xf numFmtId="0" fontId="2" fillId="26" borderId="0" xfId="1" applyFill="1" applyBorder="1"/>
    <xf numFmtId="0" fontId="2" fillId="27" borderId="0" xfId="1" applyFill="1" applyBorder="1"/>
    <xf numFmtId="0" fontId="2" fillId="12" borderId="0" xfId="1" applyFill="1" applyBorder="1"/>
    <xf numFmtId="0" fontId="2" fillId="28" borderId="0" xfId="1" applyFill="1" applyBorder="1"/>
    <xf numFmtId="0" fontId="0" fillId="23" borderId="0" xfId="0" applyFill="1"/>
    <xf numFmtId="0" fontId="0" fillId="29" borderId="0" xfId="0" applyFill="1"/>
    <xf numFmtId="0" fontId="0" fillId="27" borderId="0" xfId="0" applyFill="1"/>
    <xf numFmtId="0" fontId="0" fillId="24" borderId="0" xfId="0" applyFill="1"/>
    <xf numFmtId="0" fontId="0" fillId="22" borderId="0" xfId="0" applyFill="1"/>
    <xf numFmtId="0" fontId="0" fillId="20" borderId="0" xfId="0" applyFill="1"/>
    <xf numFmtId="0" fontId="0" fillId="30" borderId="0" xfId="0" applyFill="1"/>
    <xf numFmtId="0" fontId="0" fillId="26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2" fillId="31" borderId="0" xfId="1" applyFill="1" applyBorder="1"/>
    <xf numFmtId="0" fontId="2" fillId="14" borderId="0" xfId="1" applyFill="1" applyBorder="1"/>
    <xf numFmtId="0" fontId="0" fillId="8" borderId="0" xfId="0" applyFill="1" applyBorder="1"/>
    <xf numFmtId="0" fontId="0" fillId="3" borderId="0" xfId="0" applyFill="1" applyBorder="1"/>
    <xf numFmtId="0" fontId="0" fillId="31" borderId="0" xfId="0" applyFill="1" applyBorder="1"/>
    <xf numFmtId="0" fontId="0" fillId="24" borderId="0" xfId="0" applyFill="1" applyBorder="1"/>
    <xf numFmtId="0" fontId="0" fillId="26" borderId="0" xfId="0" applyFill="1" applyBorder="1"/>
    <xf numFmtId="0" fontId="0" fillId="34" borderId="0" xfId="0" applyFill="1" applyBorder="1"/>
    <xf numFmtId="0" fontId="0" fillId="35" borderId="0" xfId="0" applyFill="1"/>
    <xf numFmtId="0" fontId="2" fillId="15" borderId="0" xfId="1" applyFill="1" applyBorder="1"/>
    <xf numFmtId="0" fontId="2" fillId="33" borderId="0" xfId="1" applyFill="1" applyBorder="1"/>
    <xf numFmtId="0" fontId="2" fillId="36" borderId="0" xfId="1" applyFill="1" applyBorder="1"/>
    <xf numFmtId="0" fontId="2" fillId="37" borderId="0" xfId="1" applyFill="1" applyBorder="1"/>
    <xf numFmtId="0" fontId="0" fillId="38" borderId="0" xfId="0" applyFill="1" applyBorder="1"/>
    <xf numFmtId="0" fontId="0" fillId="39" borderId="0" xfId="0" applyFill="1" applyBorder="1"/>
    <xf numFmtId="0" fontId="0" fillId="40" borderId="0" xfId="0" applyFill="1" applyBorder="1"/>
    <xf numFmtId="0" fontId="0" fillId="4" borderId="0" xfId="0" applyFill="1" applyBorder="1"/>
    <xf numFmtId="0" fontId="2" fillId="9" borderId="0" xfId="1" applyFill="1" applyBorder="1"/>
    <xf numFmtId="0" fontId="2" fillId="19" borderId="0" xfId="1" applyFill="1" applyBorder="1"/>
    <xf numFmtId="0" fontId="2" fillId="41" borderId="0" xfId="1" applyFill="1" applyBorder="1"/>
    <xf numFmtId="0" fontId="2" fillId="6" borderId="0" xfId="1" applyFill="1" applyBorder="1"/>
    <xf numFmtId="0" fontId="2" fillId="42" borderId="0" xfId="1" applyFill="1" applyBorder="1"/>
    <xf numFmtId="0" fontId="0" fillId="43" borderId="0" xfId="0" applyFill="1" applyBorder="1"/>
    <xf numFmtId="0" fontId="0" fillId="44" borderId="0" xfId="0" applyFill="1" applyBorder="1"/>
    <xf numFmtId="0" fontId="2" fillId="45" borderId="0" xfId="1" applyFill="1" applyBorder="1"/>
    <xf numFmtId="0" fontId="0" fillId="46" borderId="0" xfId="0" applyFill="1" applyBorder="1"/>
    <xf numFmtId="0" fontId="0" fillId="47" borderId="0" xfId="0" applyFill="1" applyBorder="1"/>
    <xf numFmtId="0" fontId="0" fillId="48" borderId="0" xfId="0" applyFill="1" applyBorder="1"/>
    <xf numFmtId="0" fontId="2" fillId="16" borderId="0" xfId="1" applyFill="1" applyBorder="1"/>
    <xf numFmtId="0" fontId="2" fillId="49" borderId="0" xfId="1" applyFill="1" applyBorder="1"/>
    <xf numFmtId="0" fontId="2" fillId="50" borderId="0" xfId="1" applyFill="1" applyBorder="1"/>
    <xf numFmtId="0" fontId="0" fillId="51" borderId="0" xfId="0" applyFill="1" applyBorder="1"/>
    <xf numFmtId="0" fontId="0" fillId="52" borderId="0" xfId="0" applyFill="1" applyBorder="1"/>
    <xf numFmtId="0" fontId="2" fillId="53" borderId="0" xfId="1" applyFill="1" applyBorder="1"/>
    <xf numFmtId="0" fontId="2" fillId="54" borderId="0" xfId="1" applyFill="1" applyBorder="1"/>
    <xf numFmtId="0" fontId="2" fillId="34" borderId="0" xfId="1" applyFill="1" applyBorder="1"/>
    <xf numFmtId="0" fontId="2" fillId="8" borderId="0" xfId="1" applyFill="1" applyBorder="1"/>
    <xf numFmtId="0" fontId="2" fillId="55" borderId="0" xfId="1" applyFill="1" applyBorder="1"/>
    <xf numFmtId="0" fontId="2" fillId="40" borderId="0" xfId="1" applyFill="1" applyBorder="1"/>
    <xf numFmtId="0" fontId="0" fillId="56" borderId="0" xfId="0" applyFill="1" applyBorder="1"/>
    <xf numFmtId="0" fontId="2" fillId="57" borderId="0" xfId="1" applyFill="1" applyBorder="1"/>
    <xf numFmtId="0" fontId="2" fillId="58" borderId="0" xfId="1" applyFill="1" applyBorder="1"/>
    <xf numFmtId="0" fontId="2" fillId="59" borderId="0" xfId="1" applyFill="1" applyBorder="1"/>
    <xf numFmtId="0" fontId="2" fillId="17" borderId="0" xfId="1" applyFill="1" applyBorder="1"/>
    <xf numFmtId="0" fontId="2" fillId="60" borderId="0" xfId="1" applyFill="1" applyBorder="1"/>
    <xf numFmtId="0" fontId="2" fillId="61" borderId="0" xfId="1" applyFill="1" applyBorder="1"/>
    <xf numFmtId="0" fontId="0" fillId="12" borderId="0" xfId="0" applyFill="1" applyBorder="1"/>
    <xf numFmtId="0" fontId="0" fillId="62" borderId="0" xfId="0" applyFill="1" applyBorder="1"/>
    <xf numFmtId="0" fontId="0" fillId="2" borderId="0" xfId="0" applyFill="1" applyAlignment="1">
      <alignment horizontal="left" vertical="top" wrapText="1"/>
    </xf>
    <xf numFmtId="0" fontId="9" fillId="2" borderId="0" xfId="0" applyFont="1" applyFill="1" applyAlignment="1">
      <alignment horizontal="left"/>
    </xf>
    <xf numFmtId="0" fontId="0" fillId="2" borderId="50" xfId="0" applyFill="1" applyBorder="1" applyAlignment="1">
      <alignment horizontal="left" vertical="top" wrapText="1"/>
    </xf>
    <xf numFmtId="0" fontId="23" fillId="18" borderId="0" xfId="0" applyFont="1" applyFill="1" applyAlignment="1">
      <alignment horizontal="center" vertical="center"/>
    </xf>
    <xf numFmtId="0" fontId="8" fillId="2" borderId="19" xfId="0" applyFont="1" applyFill="1" applyBorder="1" applyAlignment="1">
      <alignment horizontal="left" wrapText="1"/>
    </xf>
    <xf numFmtId="0" fontId="8" fillId="2" borderId="2" xfId="0" applyFont="1" applyFill="1" applyBorder="1" applyAlignment="1">
      <alignment horizontal="left" wrapText="1"/>
    </xf>
    <xf numFmtId="0" fontId="8" fillId="2" borderId="1" xfId="0" applyFont="1" applyFill="1" applyBorder="1" applyAlignment="1">
      <alignment horizontal="left" wrapText="1"/>
    </xf>
    <xf numFmtId="0" fontId="1" fillId="2" borderId="19" xfId="0" applyFont="1" applyFill="1" applyBorder="1" applyAlignment="1">
      <alignment horizontal="left" wrapText="1"/>
    </xf>
    <xf numFmtId="0" fontId="1" fillId="2" borderId="2" xfId="0" applyFont="1" applyFill="1" applyBorder="1" applyAlignment="1">
      <alignment horizontal="left" wrapText="1"/>
    </xf>
    <xf numFmtId="0" fontId="12" fillId="2" borderId="1" xfId="11" applyFont="1" applyFill="1" applyBorder="1" applyAlignment="1">
      <alignment horizontal="center"/>
    </xf>
    <xf numFmtId="0" fontId="0" fillId="2" borderId="3" xfId="0" applyFill="1" applyBorder="1" applyAlignment="1">
      <alignment horizontal="left" wrapText="1"/>
    </xf>
    <xf numFmtId="0" fontId="0" fillId="0" borderId="3" xfId="0" applyBorder="1" applyAlignment="1">
      <alignment horizontal="left" wrapText="1"/>
    </xf>
    <xf numFmtId="0" fontId="14" fillId="4" borderId="0" xfId="0" applyFont="1" applyFill="1" applyBorder="1" applyAlignment="1">
      <alignment horizontal="center" wrapText="1"/>
    </xf>
    <xf numFmtId="1" fontId="14" fillId="4" borderId="0" xfId="0" applyNumberFormat="1" applyFont="1" applyFill="1" applyAlignment="1">
      <alignment horizontal="center"/>
    </xf>
    <xf numFmtId="0" fontId="14" fillId="4" borderId="0" xfId="0" applyFont="1" applyFill="1" applyAlignment="1">
      <alignment horizontal="center"/>
    </xf>
    <xf numFmtId="0" fontId="14" fillId="0" borderId="15" xfId="0" applyFont="1" applyBorder="1" applyAlignment="1">
      <alignment horizontal="left" wrapText="1"/>
    </xf>
    <xf numFmtId="0" fontId="14" fillId="0" borderId="16" xfId="0" applyFont="1" applyBorder="1" applyAlignment="1">
      <alignment horizontal="left" wrapText="1"/>
    </xf>
    <xf numFmtId="0" fontId="0" fillId="0" borderId="47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0" fillId="0" borderId="46" xfId="0" applyFill="1" applyBorder="1" applyAlignment="1">
      <alignment horizontal="center"/>
    </xf>
    <xf numFmtId="0" fontId="1" fillId="0" borderId="0" xfId="0" applyFont="1" applyFill="1" applyBorder="1" applyAlignment="1">
      <alignment horizontal="left"/>
    </xf>
    <xf numFmtId="0" fontId="1" fillId="0" borderId="0" xfId="0" applyFont="1" applyFill="1" applyBorder="1" applyAlignment="1">
      <alignment horizontal="center"/>
    </xf>
    <xf numFmtId="0" fontId="1" fillId="0" borderId="7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1" fillId="2" borderId="20" xfId="0" applyFont="1" applyFill="1" applyBorder="1" applyAlignment="1">
      <alignment horizontal="center"/>
    </xf>
    <xf numFmtId="0" fontId="1" fillId="2" borderId="21" xfId="0" applyFont="1" applyFill="1" applyBorder="1" applyAlignment="1">
      <alignment horizontal="center"/>
    </xf>
    <xf numFmtId="0" fontId="1" fillId="2" borderId="22" xfId="0" applyFont="1" applyFill="1" applyBorder="1" applyAlignment="1">
      <alignment horizontal="center"/>
    </xf>
    <xf numFmtId="0" fontId="1" fillId="2" borderId="28" xfId="0" applyFont="1" applyFill="1" applyBorder="1" applyAlignment="1">
      <alignment horizontal="center"/>
    </xf>
    <xf numFmtId="0" fontId="9" fillId="7" borderId="15" xfId="0" applyFont="1" applyFill="1" applyBorder="1" applyAlignment="1">
      <alignment horizontal="left"/>
    </xf>
    <xf numFmtId="0" fontId="9" fillId="7" borderId="13" xfId="0" applyFont="1" applyFill="1" applyBorder="1" applyAlignment="1">
      <alignment horizontal="left"/>
    </xf>
    <xf numFmtId="0" fontId="9" fillId="7" borderId="16" xfId="0" applyFont="1" applyFill="1" applyBorder="1" applyAlignment="1">
      <alignment horizontal="left"/>
    </xf>
    <xf numFmtId="0" fontId="9" fillId="6" borderId="15" xfId="0" applyFont="1" applyFill="1" applyBorder="1" applyAlignment="1">
      <alignment horizontal="left"/>
    </xf>
    <xf numFmtId="0" fontId="9" fillId="6" borderId="13" xfId="0" applyFont="1" applyFill="1" applyBorder="1" applyAlignment="1">
      <alignment horizontal="left"/>
    </xf>
    <xf numFmtId="0" fontId="9" fillId="6" borderId="16" xfId="0" applyFont="1" applyFill="1" applyBorder="1" applyAlignment="1">
      <alignment horizontal="left"/>
    </xf>
    <xf numFmtId="0" fontId="1" fillId="2" borderId="29" xfId="0" applyFont="1" applyFill="1" applyBorder="1" applyAlignment="1">
      <alignment horizontal="center"/>
    </xf>
    <xf numFmtId="0" fontId="1" fillId="2" borderId="26" xfId="0" applyFont="1" applyFill="1" applyBorder="1" applyAlignment="1">
      <alignment horizontal="center"/>
    </xf>
    <xf numFmtId="0" fontId="1" fillId="2" borderId="27" xfId="0" applyFont="1" applyFill="1" applyBorder="1" applyAlignment="1">
      <alignment horizontal="center"/>
    </xf>
  </cellXfs>
  <cellStyles count="12">
    <cellStyle name="Comma" xfId="5" builtinId="3"/>
    <cellStyle name="Comma 2" xfId="3" xr:uid="{2564CFC0-CAEB-4D58-BAA9-E36139761C4C}"/>
    <cellStyle name="Hyperlink" xfId="11" builtinId="8"/>
    <cellStyle name="Komma 2" xfId="8" xr:uid="{C4F2C2A1-EF2E-45E2-B05A-CF07C24C9151}"/>
    <cellStyle name="Normal" xfId="0" builtinId="0"/>
    <cellStyle name="Normal 2" xfId="1" xr:uid="{494B2BB5-8380-4053-A1BF-0BB51EA62B49}"/>
    <cellStyle name="Normal 2 2" xfId="9" xr:uid="{C6F9D1AF-1312-490B-A7C1-9D4EB3D22250}"/>
    <cellStyle name="Normal 3" xfId="7" xr:uid="{A997A50E-185A-48C2-9B23-88E1CF38E98D}"/>
    <cellStyle name="Normal 7 2 2" xfId="6" xr:uid="{FD59C46C-8C4E-4382-A225-8B80B5546992}"/>
    <cellStyle name="Percent" xfId="2" builtinId="5"/>
    <cellStyle name="Percent 2" xfId="4" xr:uid="{3B36D7D0-6D55-4376-A1A6-DAE2250322BE}"/>
    <cellStyle name="Procent 2" xfId="10" xr:uid="{9C2727F8-1858-4EF8-A41D-CC43EC0C2538}"/>
  </cellStyles>
  <dxfs count="21"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171" formatCode="_(* #,##0_);_(* \(#,##0\);_(* &quot;-&quot;??_);_(@_)"/>
    </dxf>
    <dxf>
      <numFmt numFmtId="3" formatCode="#,##0"/>
    </dxf>
    <dxf>
      <numFmt numFmtId="35" formatCode="_-* #,##0.00_-;\-* #,##0.00_-;_-* &quot;-&quot;??_-;_-@_-"/>
    </dxf>
    <dxf>
      <numFmt numFmtId="171" formatCode="_(* #,##0_);_(* \(#,##0\);_(* &quot;-&quot;??_);_(@_)"/>
    </dxf>
    <dxf>
      <numFmt numFmtId="170" formatCode="_(* #,##0.0_);_(* \(#,##0.0\);_(* &quot;-&quot;??_);_(@_)"/>
    </dxf>
    <dxf>
      <numFmt numFmtId="3" formatCode="#,##0"/>
    </dxf>
    <dxf>
      <numFmt numFmtId="1" formatCode="0"/>
    </dxf>
    <dxf>
      <numFmt numFmtId="1" formatCode="0"/>
    </dxf>
    <dxf>
      <numFmt numFmtId="172" formatCode="#,##0.0,,"/>
    </dxf>
    <dxf>
      <numFmt numFmtId="171" formatCode="_(* #,##0_);_(* \(#,##0\);_(* &quot;-&quot;??_);_(@_)"/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</dxfs>
  <tableStyles count="0" defaultTableStyle="TableStyleMedium2" defaultPivotStyle="PivotStyleLight16"/>
  <colors>
    <mruColors>
      <color rgb="FF44546A"/>
      <color rgb="FFCCFF66"/>
      <color rgb="FF558537"/>
      <color rgb="FFCDFF9B"/>
      <color rgb="FF336600"/>
      <color rgb="FFE2C4A6"/>
      <color rgb="FFCB9661"/>
      <color rgb="FFFFFF99"/>
      <color rgb="FF9966FF"/>
      <color rgb="FF00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pivotCacheDefinition" Target="pivotCache/pivotCacheDefinition2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pivotCacheDefinition" Target="pivotCache/pivotCacheDefinition5.xml"/><Relationship Id="rId47" Type="http://schemas.openxmlformats.org/officeDocument/2006/relationships/styles" Target="styles.xml"/><Relationship Id="rId50" Type="http://schemas.openxmlformats.org/officeDocument/2006/relationships/calcChain" Target="calcChain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externalLink" Target="externalLinks/externalLink1.xml"/><Relationship Id="rId40" Type="http://schemas.openxmlformats.org/officeDocument/2006/relationships/pivotCacheDefinition" Target="pivotCache/pivotCacheDefinition3.xml"/><Relationship Id="rId45" Type="http://schemas.openxmlformats.org/officeDocument/2006/relationships/pivotCacheDefinition" Target="pivotCache/pivotCacheDefinition8.xml"/><Relationship Id="rId53" Type="http://schemas.openxmlformats.org/officeDocument/2006/relationships/customXml" Target="../customXml/item3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pivotCacheDefinition" Target="pivotCache/pivotCacheDefinition7.xml"/><Relationship Id="rId52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pivotCacheDefinition" Target="pivotCache/pivotCacheDefinition6.xml"/><Relationship Id="rId4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pivotCacheDefinition" Target="pivotCache/pivotCacheDefinition1.xml"/><Relationship Id="rId46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pivotCacheDefinition" Target="pivotCache/pivotCacheDefinition4.xml"/><Relationship Id="rId54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1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2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3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4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5"/>
        <c:spPr>
          <a:solidFill>
            <a:schemeClr val="accent3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6"/>
        <c:spPr>
          <a:solidFill>
            <a:schemeClr val="accent3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7"/>
        <c:spPr>
          <a:solidFill>
            <a:schemeClr val="accent6">
              <a:lumMod val="60000"/>
              <a:lumOff val="4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8"/>
        <c:spPr>
          <a:solidFill>
            <a:schemeClr val="accent6">
              <a:lumMod val="50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19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</c:pivotFmt>
      <c:pivotFmt>
        <c:idx val="20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6391285644743856"/>
          <c:y val="9.3492521677740387E-2"/>
          <c:w val="0.67773725392639061"/>
          <c:h val="0.5390695794262160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74-478D-AB3A-A40B3BAABE17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74-478D-AB3A-A40B3BAABE17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874-478D-AB3A-A40B3BAABE17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874-478D-AB3A-A40B3BAABE17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874-478D-AB3A-A40B3BAAB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Arealanvendelse [ha]</a:t>
                </a:r>
              </a:p>
            </c:rich>
          </c:tx>
          <c:layout>
            <c:manualLayout>
              <c:xMode val="edge"/>
              <c:yMode val="edge"/>
              <c:x val="0.13150227156968861"/>
              <c:y val="0.1102640044181028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2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3"/>
        <c:spPr>
          <a:solidFill>
            <a:srgbClr val="4472C4"/>
          </a:solidFill>
          <a:ln w="25400">
            <a:noFill/>
          </a:ln>
          <a:effectLst/>
        </c:spPr>
      </c:pivotFmt>
      <c:pivotFmt>
        <c:idx val="44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</c:pivotFmt>
    </c:pivotFmts>
    <c:plotArea>
      <c:layout>
        <c:manualLayout>
          <c:layoutTarget val="inner"/>
          <c:xMode val="edge"/>
          <c:yMode val="edge"/>
          <c:x val="0.21742162248613586"/>
          <c:y val="0.13122832094326414"/>
          <c:w val="0.71524989889858936"/>
          <c:h val="0.55167297636182577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0C9-4334-9442-499208BF0D07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0C9-4334-9442-499208BF0D07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0C9-4334-9442-499208BF0D07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0C9-4334-9442-499208BF0D07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570-4604-822E-4715D9F3AA1F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41-41F4-884D-1C959E9387B5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DD-470A-89BA-E3A030681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0C9-4334-9442-499208BF0D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0.14019452575513561"/>
              <c:y val="0.2703552453465257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[BAUp20.xlsm]Pivot chart - landbrug!PivotTable1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400">
                <a:effectLst/>
              </a:rPr>
              <a:t>Afgrødefordeling landbrugsjord</a:t>
            </a:r>
            <a:endParaRPr lang="en-DK" sz="14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8750943461008643"/>
          <c:y val="6.0289188657619334E-2"/>
          <c:w val="0.78773324343127116"/>
          <c:h val="0.441405386342211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'Pivot chart - landbrug'!$B$4:$B$5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landbrug'!$B$6:$B$9</c:f>
              <c:numCache>
                <c:formatCode>_(* #,##0_);_(* \(#,##0\);_(* "-"??_);_(@_)</c:formatCode>
                <c:ptCount val="3"/>
                <c:pt idx="0">
                  <c:v>76853.212866422313</c:v>
                </c:pt>
                <c:pt idx="1">
                  <c:v>75894.211512917434</c:v>
                </c:pt>
                <c:pt idx="2">
                  <c:v>74611.772091610444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C61-482C-AAB5-60D2374ED6DB}"/>
            </c:ext>
          </c:extLst>
        </c:ser>
        <c:ser>
          <c:idx val="1"/>
          <c:order val="1"/>
          <c:tx>
            <c:strRef>
              <c:f>'Pivot chart - landbrug'!$C$4:$C$5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landbrug'!$C$6:$C$9</c:f>
              <c:numCache>
                <c:formatCode>_(* #,##0_);_(* \(#,##0\);_(* "-"??_);_(@_)</c:formatCode>
                <c:ptCount val="3"/>
                <c:pt idx="0">
                  <c:v>5114.7808931059071</c:v>
                </c:pt>
                <c:pt idx="1">
                  <c:v>5061.7462007604217</c:v>
                </c:pt>
                <c:pt idx="2">
                  <c:v>4992.9413474389539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C61-482C-AAB5-60D2374ED6DB}"/>
            </c:ext>
          </c:extLst>
        </c:ser>
        <c:ser>
          <c:idx val="2"/>
          <c:order val="2"/>
          <c:tx>
            <c:strRef>
              <c:f>'Pivot chart - landbrug'!$D$4:$D$5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landbrug'!$D$6:$D$9</c:f>
              <c:numCache>
                <c:formatCode>_(* #,##0_);_(* \(#,##0\);_(* "-"??_);_(@_)</c:formatCode>
                <c:ptCount val="3"/>
                <c:pt idx="0">
                  <c:v>288931.41565564787</c:v>
                </c:pt>
                <c:pt idx="1">
                  <c:v>282589.13188024791</c:v>
                </c:pt>
                <c:pt idx="2">
                  <c:v>278445.99362396839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C61-482C-AAB5-60D2374ED6DB}"/>
            </c:ext>
          </c:extLst>
        </c:ser>
        <c:ser>
          <c:idx val="3"/>
          <c:order val="3"/>
          <c:tx>
            <c:strRef>
              <c:f>'Pivot chart - landbrug'!$E$4:$E$5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landbrug'!$E$6:$E$9</c:f>
              <c:numCache>
                <c:formatCode>_(* #,##0_);_(* \(#,##0\);_(* "-"??_);_(@_)</c:formatCode>
                <c:ptCount val="3"/>
                <c:pt idx="0">
                  <c:v>12752.078568827996</c:v>
                </c:pt>
                <c:pt idx="1">
                  <c:v>12639.370816764706</c:v>
                </c:pt>
                <c:pt idx="2">
                  <c:v>12457.143108539938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C61-482C-AAB5-60D2374ED6DB}"/>
            </c:ext>
          </c:extLst>
        </c:ser>
        <c:ser>
          <c:idx val="4"/>
          <c:order val="4"/>
          <c:tx>
            <c:strRef>
              <c:f>'Pivot chart - landbrug'!$F$4:$F$5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landbrug'!$F$6:$F$9</c:f>
              <c:numCache>
                <c:formatCode>_(* #,##0_);_(* \(#,##0\);_(* "-"??_);_(@_)</c:formatCode>
                <c:ptCount val="3"/>
                <c:pt idx="0">
                  <c:v>18942.69646674622</c:v>
                </c:pt>
                <c:pt idx="1">
                  <c:v>18710.553661240276</c:v>
                </c:pt>
                <c:pt idx="2">
                  <c:v>18409.47067327406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C61-482C-AAB5-60D2374ED6DB}"/>
            </c:ext>
          </c:extLst>
        </c:ser>
        <c:ser>
          <c:idx val="5"/>
          <c:order val="5"/>
          <c:tx>
            <c:strRef>
              <c:f>'Pivot chart - landbrug'!$G$4:$G$5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landbrug'!$G$6:$G$9</c:f>
              <c:numCache>
                <c:formatCode>_(* #,##0_);_(* \(#,##0\);_(* "-"??_);_(@_)</c:formatCode>
                <c:ptCount val="3"/>
                <c:pt idx="0">
                  <c:v>55075.520801981496</c:v>
                </c:pt>
                <c:pt idx="1">
                  <c:v>54298.35247077707</c:v>
                </c:pt>
                <c:pt idx="2">
                  <c:v>53367.370861566276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C61-482C-AAB5-60D2374ED6DB}"/>
            </c:ext>
          </c:extLst>
        </c:ser>
        <c:ser>
          <c:idx val="6"/>
          <c:order val="6"/>
          <c:tx>
            <c:strRef>
              <c:f>'Pivot chart - landbrug'!$H$4:$H$5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landbrug'!$H$6:$H$9</c:f>
              <c:numCache>
                <c:formatCode>_(* #,##0_);_(* \(#,##0\);_(* "-"??_);_(@_)</c:formatCode>
                <c:ptCount val="3"/>
                <c:pt idx="0">
                  <c:v>1337821.3326830014</c:v>
                </c:pt>
                <c:pt idx="1">
                  <c:v>1323109.1146040615</c:v>
                </c:pt>
                <c:pt idx="2">
                  <c:v>1303035.234021947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C61-482C-AAB5-60D2374ED6DB}"/>
            </c:ext>
          </c:extLst>
        </c:ser>
        <c:ser>
          <c:idx val="7"/>
          <c:order val="7"/>
          <c:tx>
            <c:strRef>
              <c:f>'Pivot chart - landbrug'!$I$4:$I$5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landbrug'!$I$6:$I$9</c:f>
              <c:numCache>
                <c:formatCode>_(* #,##0_);_(* \(#,##0\);_(* "-"??_);_(@_)</c:formatCode>
                <c:ptCount val="3"/>
                <c:pt idx="0">
                  <c:v>180140.67588310441</c:v>
                </c:pt>
                <c:pt idx="1">
                  <c:v>177819.27950831145</c:v>
                </c:pt>
                <c:pt idx="2">
                  <c:v>174714.53228951979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C61-482C-AAB5-60D2374ED6DB}"/>
            </c:ext>
          </c:extLst>
        </c:ser>
        <c:ser>
          <c:idx val="8"/>
          <c:order val="8"/>
          <c:tx>
            <c:strRef>
              <c:f>'Pivot chart - landbrug'!$J$4:$J$5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landbrug'!$J$6:$J$9</c:f>
              <c:numCache>
                <c:formatCode>_(* #,##0_);_(* \(#,##0\);_(* "-"??_);_(@_)</c:formatCode>
                <c:ptCount val="3"/>
                <c:pt idx="0">
                  <c:v>69938.636069140397</c:v>
                </c:pt>
                <c:pt idx="1">
                  <c:v>69104.195969111795</c:v>
                </c:pt>
                <c:pt idx="2">
                  <c:v>68021.901921824086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C61-482C-AAB5-60D2374ED6DB}"/>
            </c:ext>
          </c:extLst>
        </c:ser>
        <c:ser>
          <c:idx val="9"/>
          <c:order val="9"/>
          <c:tx>
            <c:strRef>
              <c:f>'Pivot chart - landbrug'!$K$4:$K$5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landbrug'!$K$6:$K$9</c:f>
              <c:numCache>
                <c:formatCode>_(* #,##0_);_(* \(#,##0\);_(* "-"??_);_(@_)</c:formatCode>
                <c:ptCount val="3"/>
                <c:pt idx="0">
                  <c:v>161431.62233269325</c:v>
                </c:pt>
                <c:pt idx="1">
                  <c:v>159802.81644068591</c:v>
                </c:pt>
                <c:pt idx="2">
                  <c:v>157421.73721827005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C61-482C-AAB5-60D2374ED6DB}"/>
            </c:ext>
          </c:extLst>
        </c:ser>
        <c:ser>
          <c:idx val="10"/>
          <c:order val="10"/>
          <c:tx>
            <c:strRef>
              <c:f>'Pivot chart - landbrug'!$L$4:$L$5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landbrug'!$L$6:$L$9</c:f>
              <c:numCache>
                <c:formatCode>_(* #,##0_);_(* \(#,##0\);_(* "-"??_);_(@_)</c:formatCode>
                <c:ptCount val="3"/>
                <c:pt idx="0">
                  <c:v>33966.356863719026</c:v>
                </c:pt>
                <c:pt idx="1">
                  <c:v>33795.467038967829</c:v>
                </c:pt>
                <c:pt idx="2">
                  <c:v>33512.483920016224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C61-482C-AAB5-60D2374ED6DB}"/>
            </c:ext>
          </c:extLst>
        </c:ser>
        <c:ser>
          <c:idx val="11"/>
          <c:order val="11"/>
          <c:tx>
            <c:strRef>
              <c:f>'Pivot chart - landbrug'!$M$4:$M$5</c:f>
              <c:strCache>
                <c:ptCount val="1"/>
                <c:pt idx="0">
                  <c:v>Permanent græs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landbrug'!$M$6:$M$9</c:f>
              <c:numCache>
                <c:formatCode>_(* #,##0_);_(* \(#,##0\);_(* "-"??_);_(@_)</c:formatCode>
                <c:ptCount val="3"/>
                <c:pt idx="0">
                  <c:v>221005.01507630604</c:v>
                </c:pt>
                <c:pt idx="1">
                  <c:v>214938.45789911941</c:v>
                </c:pt>
                <c:pt idx="2">
                  <c:v>212209.58099609043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C61-482C-AAB5-60D2374ED6DB}"/>
            </c:ext>
          </c:extLst>
        </c:ser>
        <c:ser>
          <c:idx val="12"/>
          <c:order val="12"/>
          <c:tx>
            <c:strRef>
              <c:f>'Pivot chart - landbrug'!$N$4:$N$5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landbrug'!$N$6:$N$9</c:f>
              <c:numCache>
                <c:formatCode>_(* #,##0_);_(* \(#,##0\);_(* "-"??_);_(@_)</c:formatCode>
                <c:ptCount val="3"/>
                <c:pt idx="0">
                  <c:v>8579.6273865744097</c:v>
                </c:pt>
                <c:pt idx="1">
                  <c:v>8385.8091715253049</c:v>
                </c:pt>
                <c:pt idx="2">
                  <c:v>8272.9113069354553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C61-482C-AAB5-60D2374ED6DB}"/>
            </c:ext>
          </c:extLst>
        </c:ser>
        <c:ser>
          <c:idx val="13"/>
          <c:order val="13"/>
          <c:tx>
            <c:strRef>
              <c:f>'Pivot chart - landbrug'!$O$4:$O$5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'Pivot chart - landbrug'!$A$6:$A$9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'Pivot chart - landbrug'!$O$6:$O$9</c:f>
              <c:numCache>
                <c:formatCode>_(* #,##0_);_(* \(#,##0\);_(* "-"??_);_(@_)</c:formatCode>
                <c:ptCount val="3"/>
                <c:pt idx="0">
                  <c:v>107817.02845272887</c:v>
                </c:pt>
                <c:pt idx="1">
                  <c:v>106321.49282550839</c:v>
                </c:pt>
                <c:pt idx="2">
                  <c:v>104996.92661899899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C61-482C-AAB5-60D2374ED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3"/>
        <c:overlap val="100"/>
        <c:axId val="120692048"/>
        <c:axId val="1336948192"/>
      </c:barChart>
      <c:catAx>
        <c:axId val="120692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6948192"/>
        <c:crosses val="autoZero"/>
        <c:auto val="1"/>
        <c:lblAlgn val="ctr"/>
        <c:lblOffset val="100"/>
        <c:noMultiLvlLbl val="0"/>
      </c:catAx>
      <c:valAx>
        <c:axId val="133694819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Arealanvendelse - landbrug [ha]</a:t>
                </a:r>
              </a:p>
            </c:rich>
          </c:tx>
          <c:layout>
            <c:manualLayout>
              <c:xMode val="edge"/>
              <c:yMode val="edge"/>
              <c:x val="4.7923345195207974E-2"/>
              <c:y val="4.3964543191790946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206920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b="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sVisible val="1"/>
      </c14:pivotOptions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i="0"/>
              <a:t>Potentiale til energianvendelse</a:t>
            </a:r>
            <a:endParaRPr lang="en-DK" i="0"/>
          </a:p>
          <a:p>
            <a:pPr>
              <a:defRPr i="0"/>
            </a:pPr>
            <a:r>
              <a:rPr lang="en-GB" i="0"/>
              <a:t>Venstre kolonne indeholder alle biomasser ikke allokeret til biogasproduktion - </a:t>
            </a:r>
            <a:endParaRPr lang="en-DK" i="0"/>
          </a:p>
          <a:p>
            <a:pPr>
              <a:defRPr i="0"/>
            </a:pPr>
            <a:r>
              <a:rPr lang="en-GB" i="0"/>
              <a:t>hvis biomassen kun kan bruges til biogasproduktion er mængden af biogas fra biomassen brugt som brændværdi</a:t>
            </a:r>
            <a:endParaRPr lang="en-DK" i="0"/>
          </a:p>
        </c:rich>
      </c:tx>
      <c:layout>
        <c:manualLayout>
          <c:xMode val="edge"/>
          <c:yMode val="edge"/>
          <c:x val="0.14142857142857143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4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5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6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7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8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0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3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9.6128441595236716E-2"/>
          <c:y val="0.16395027011690255"/>
          <c:w val="0.78070685675750118"/>
          <c:h val="0.415322200850160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ECF-4FFF-8E54-385D4017F98A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B31-4C40-B336-7774A1495BA6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B31-4C40-B336-7774A1495BA6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31-4C40-B336-7774A1495BA6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B31-4C40-B336-7774A1495BA6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31-4C40-B336-7774A1495BA6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B31-4C40-B336-7774A1495BA6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B31-4C40-B336-7774A1495BA6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34E-43EF-AFF5-2780509386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1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PJ/år</a:t>
                </a:r>
              </a:p>
            </c:rich>
          </c:tx>
          <c:layout>
            <c:manualLayout>
              <c:xMode val="edge"/>
              <c:yMode val="edge"/>
              <c:x val="0.10926591808527195"/>
              <c:y val="0.147584302241119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1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1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 i="1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Potentiale til energianvendelse i tørstof</a:t>
            </a:r>
            <a:endParaRPr lang="en-DK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8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4.6156782126372135E-2"/>
          <c:w val="0.80231790500786004"/>
          <c:h val="0.495648888716496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45-4D17-888B-2D8D03542383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40-4758-A59B-5B2FBE26F82D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E40-4758-A59B-5B2FBE26F82D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7E40-4758-A59B-5B2FBE26F82D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7E40-4758-A59B-5B2FBE26F82D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7E40-4758-A59B-5B2FBE26F82D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7E40-4758-A59B-5B2FBE26F8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TS</a:t>
                </a:r>
              </a:p>
            </c:rich>
          </c:tx>
          <c:layout>
            <c:manualLayout>
              <c:xMode val="edge"/>
              <c:yMode val="edge"/>
              <c:x val="1.0077118738536058E-2"/>
              <c:y val="0.1847267589092377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1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15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3.1871347287703175E-2"/>
          <c:w val="0.88975870372134169"/>
          <c:h val="0.5962094959558063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32-4B93-9D8E-F7E05A7B5288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32-4B93-9D8E-F7E05A7B5288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E32-4B93-9D8E-F7E05A7B5288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E32-4B93-9D8E-F7E05A7B5288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32-4B93-9D8E-F7E05A7B5288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E32-4B93-9D8E-F7E05A7B5288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E32-4B93-9D8E-F7E05A7B5288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E32-4B93-9D8E-F7E05A7B5288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E32-4B93-9D8E-F7E05A7B5288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E32-4B93-9D8E-F7E05A7B5288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CE32-4B93-9D8E-F7E05A7B5288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CE32-4B93-9D8E-F7E05A7B5288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CE32-4B93-9D8E-F7E05A7B5288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CE32-4B93-9D8E-F7E05A7B5288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CE32-4B93-9D8E-F7E05A7B5288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CE32-4B93-9D8E-F7E05A7B5288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CE32-4B93-9D8E-F7E05A7B5288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E32-4B93-9D8E-F7E05A7B5288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CE32-4B93-9D8E-F7E05A7B5288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CE32-4B93-9D8E-F7E05A7B5288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CE32-4B93-9D8E-F7E05A7B5288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CE32-4B93-9D8E-F7E05A7B5288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CE32-4B93-9D8E-F7E05A7B5288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CE32-4B93-9D8E-F7E05A7B5288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D05-4401-AD73-EE72E29B786B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05-4401-AD73-EE72E29B786B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D05-4401-AD73-EE72E29B786B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D05-4401-AD73-EE72E29B786B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1D05-4401-AD73-EE72E29B786B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1D05-4401-AD73-EE72E29B786B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B4B-4F68-B969-9724CD1A1BA8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45-47C1-9EE1-58708F97A4A2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45-47C1-9EE1-58708F97A4A2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C6-4581-AEC2-90A316E7858F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C6-4581-AEC2-90A316E785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Millioner ton VV (for træ m3)</a:t>
                </a:r>
              </a:p>
            </c:rich>
          </c:tx>
          <c:layout>
            <c:manualLayout>
              <c:xMode val="edge"/>
              <c:yMode val="edge"/>
              <c:x val="4.4858331538355924E-2"/>
              <c:y val="7.1636314361869513E-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,,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74114032971688137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73A-4075-975B-39670C840D85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73A-4075-975B-39670C840D85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73A-4075-975B-39670C840D85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73A-4075-975B-39670C840D85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73A-4075-975B-39670C840D85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73A-4075-975B-39670C840D85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5A9-4A75-B553-CD2B522EF5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281189426535114"/>
          <c:h val="0.2636205952979282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58-400D-BF8D-21AF5E59CD25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558-400D-BF8D-21AF5E59CD25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558-400D-BF8D-21AF5E59CD25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558-400D-BF8D-21AF5E59CD25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558-400D-BF8D-21AF5E59CD25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558-400D-BF8D-21AF5E59CD25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558-400D-BF8D-21AF5E59CD25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558-400D-BF8D-21AF5E59CD25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558-400D-BF8D-21AF5E59CD25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558-400D-BF8D-21AF5E59CD25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558-400D-BF8D-21AF5E59CD25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A558-400D-BF8D-21AF5E59CD25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A558-400D-BF8D-21AF5E59CD25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A558-400D-BF8D-21AF5E59CD25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558-400D-BF8D-21AF5E59CD25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A558-400D-BF8D-21AF5E59CD25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A558-400D-BF8D-21AF5E59CD25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A558-400D-BF8D-21AF5E59CD25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A558-400D-BF8D-21AF5E59CD25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A558-400D-BF8D-21AF5E59CD25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A558-400D-BF8D-21AF5E59CD25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A558-400D-BF8D-21AF5E59CD25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A558-400D-BF8D-21AF5E59CD25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6B-418D-9934-54C79CE397C7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3A-45DD-83B1-2F8D0CCB33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2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[BAUp20.xlsm]Arealanvendelse - pivot!PivotTable1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4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600"/>
              <a:t>Arealanvendelse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4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C9C9C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7B7B7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6874967655923098"/>
          <c:y val="0.1408693192348586"/>
          <c:w val="0.56773351170149933"/>
          <c:h val="0.7541691523853636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'Arealanvendelse - pivot'!$B$3:$B$4</c:f>
              <c:strCache>
                <c:ptCount val="1"/>
                <c:pt idx="0">
                  <c:v>Ikke klassificeret</c:v>
                </c:pt>
              </c:strCache>
            </c:strRef>
          </c:tx>
          <c:spPr>
            <a:solidFill>
              <a:srgbClr val="7B7B7B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pivot'!$B$5:$B$8</c:f>
              <c:numCache>
                <c:formatCode>_(* #,##0_);_(* \(#,##0\);_(* "-"??_);_(@_)</c:formatCode>
                <c:ptCount val="3"/>
                <c:pt idx="0">
                  <c:v>65860</c:v>
                </c:pt>
                <c:pt idx="1">
                  <c:v>65860</c:v>
                </c:pt>
                <c:pt idx="2">
                  <c:v>65860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89-4CA9-A0FA-39DEAF03F441}"/>
            </c:ext>
          </c:extLst>
        </c:ser>
        <c:ser>
          <c:idx val="1"/>
          <c:order val="1"/>
          <c:tx>
            <c:strRef>
              <c:f>'Arealanvendelse - pivot'!$C$3:$C$4</c:f>
              <c:strCache>
                <c:ptCount val="1"/>
                <c:pt idx="0">
                  <c:v>Bebyggelse &amp; infrastruktur</c:v>
                </c:pt>
              </c:strCache>
            </c:strRef>
          </c:tx>
          <c:spPr>
            <a:solidFill>
              <a:srgbClr val="C9C9C9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pivot'!$C$5:$C$8</c:f>
              <c:numCache>
                <c:formatCode>_(* #,##0_);_(* \(#,##0\);_(* "-"??_);_(@_)</c:formatCode>
                <c:ptCount val="3"/>
                <c:pt idx="0">
                  <c:v>591230</c:v>
                </c:pt>
                <c:pt idx="1">
                  <c:v>591230</c:v>
                </c:pt>
                <c:pt idx="2">
                  <c:v>591230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C89-4CA9-A0FA-39DEAF03F441}"/>
            </c:ext>
          </c:extLst>
        </c:ser>
        <c:ser>
          <c:idx val="2"/>
          <c:order val="2"/>
          <c:tx>
            <c:strRef>
              <c:f>'Arealanvendelse - pivot'!$D$3:$D$4</c:f>
              <c:strCache>
                <c:ptCount val="1"/>
                <c:pt idx="0">
                  <c:v>Landbrugsafgrøder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pivot'!$D$5:$D$8</c:f>
              <c:numCache>
                <c:formatCode>_(* #,##0_);_(* \(#,##0\);_(* "-"??_);_(@_)</c:formatCode>
                <c:ptCount val="3"/>
                <c:pt idx="0">
                  <c:v>2578370</c:v>
                </c:pt>
                <c:pt idx="1">
                  <c:v>2542469.9999999995</c:v>
                </c:pt>
                <c:pt idx="2">
                  <c:v>2504470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C89-4CA9-A0FA-39DEAF03F441}"/>
            </c:ext>
          </c:extLst>
        </c:ser>
        <c:ser>
          <c:idx val="3"/>
          <c:order val="3"/>
          <c:tx>
            <c:strRef>
              <c:f>'Arealanvendelse - pivot'!$E$3:$E$4</c:f>
              <c:strCache>
                <c:ptCount val="1"/>
                <c:pt idx="0">
                  <c:v>Natur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pivot'!$E$5:$E$8</c:f>
              <c:numCache>
                <c:formatCode>_(* #,##0_);_(* \(#,##0\);_(* "-"??_);_(@_)</c:formatCode>
                <c:ptCount val="3"/>
                <c:pt idx="0">
                  <c:v>472920</c:v>
                </c:pt>
                <c:pt idx="1">
                  <c:v>487920</c:v>
                </c:pt>
                <c:pt idx="2">
                  <c:v>487920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C89-4CA9-A0FA-39DEAF03F441}"/>
            </c:ext>
          </c:extLst>
        </c:ser>
        <c:ser>
          <c:idx val="4"/>
          <c:order val="4"/>
          <c:tx>
            <c:strRef>
              <c:f>'Arealanvendelse - pivot'!$F$3:$F$4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'Arealanvendelse - pivot'!$A$5:$A$8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'Arealanvendelse - pivot'!$F$5:$F$8</c:f>
              <c:numCache>
                <c:formatCode>_(* #,##0_);_(* \(#,##0\);_(* "-"??_);_(@_)</c:formatCode>
                <c:ptCount val="3"/>
                <c:pt idx="0">
                  <c:v>561900</c:v>
                </c:pt>
                <c:pt idx="1">
                  <c:v>582800</c:v>
                </c:pt>
                <c:pt idx="2">
                  <c:v>620800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C89-4CA9-A0FA-39DEAF03F4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2"/>
        <c:overlap val="100"/>
        <c:axId val="1331959663"/>
        <c:axId val="1321760655"/>
      </c:barChart>
      <c:catAx>
        <c:axId val="133195966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21760655"/>
        <c:crosses val="autoZero"/>
        <c:auto val="1"/>
        <c:lblAlgn val="ctr"/>
        <c:lblOffset val="100"/>
        <c:noMultiLvlLbl val="0"/>
      </c:catAx>
      <c:valAx>
        <c:axId val="132176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Millioner ha</a:t>
                </a:r>
              </a:p>
            </c:rich>
          </c:tx>
          <c:layout>
            <c:manualLayout>
              <c:xMode val="edge"/>
              <c:yMode val="edge"/>
              <c:x val="9.5665154401381999E-2"/>
              <c:y val="0.16041106398812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331959663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373587429738195"/>
          <c:y val="0.25761925367595839"/>
          <c:w val="0.25738681102362204"/>
          <c:h val="0.500447738150378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1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BF-4FB2-8E8E-92306D48848E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8BF-4FB2-8E8E-92306D48848E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8BF-4FB2-8E8E-92306D48848E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8BF-4FB2-8E8E-92306D48848E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8BF-4FB2-8E8E-92306D48848E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28BF-4FB2-8E8E-92306D48848E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28BF-4FB2-8E8E-92306D4884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1459017811258"/>
          <c:h val="0.5589375727025978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4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rgbClr val="BDEEFF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64-49A6-8C0A-C4D1A1429B37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64-49A6-8C0A-C4D1A1429B37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64-49A6-8C0A-C4D1A1429B37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64-49A6-8C0A-C4D1A1429B37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64-49A6-8C0A-C4D1A1429B37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164-49A6-8C0A-C4D1A1429B37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91-42A3-9937-5217C2CD6C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5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 (overproduktion)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38-4342-93FD-F14698E44E38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538-4342-93FD-F14698E44E38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538-4342-93FD-F14698E44E38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538-4342-93FD-F14698E44E38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538-4342-93FD-F14698E44E38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538-4342-93FD-F14698E44E38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9538-4342-93FD-F14698E44E38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538-4342-93FD-F14698E44E38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9538-4342-93FD-F14698E44E38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9538-4342-93FD-F14698E44E38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9538-4342-93FD-F14698E44E38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9538-4342-93FD-F14698E44E38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9538-4342-93FD-F14698E44E38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9538-4342-93FD-F14698E44E38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9538-4342-93FD-F14698E44E38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9538-4342-93FD-F14698E44E38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9538-4342-93FD-F14698E44E38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538-4342-93FD-F14698E44E38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9538-4342-93FD-F14698E44E38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9538-4342-93FD-F14698E44E38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9538-4342-93FD-F14698E44E38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9538-4342-93FD-F14698E44E38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9538-4342-93FD-F14698E44E38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4-4233-BB51-0F23B1184AF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23-4743-B2DE-0337E5763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[BAUp20.xlsm]CO2-pivot!PivotTable1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sz="1800">
                <a:effectLst/>
              </a:rPr>
              <a:t>Udledning af drivhusgasser per år </a:t>
            </a:r>
          </a:p>
          <a:p>
            <a:pPr>
              <a:defRPr/>
            </a:pPr>
            <a:r>
              <a:rPr lang="en-GB" sz="1200">
                <a:effectLst/>
              </a:rPr>
              <a:t>"Marker" indeholder både LULUCF og</a:t>
            </a:r>
            <a:r>
              <a:rPr lang="en-GB" sz="1200" baseline="0">
                <a:effectLst/>
              </a:rPr>
              <a:t> emissionerne relateret til markerne som rapporteret i Denmark's national inventory report 2020. Negative emissioner skal forstås som optag</a:t>
            </a:r>
            <a:endParaRPr lang="en-DK" sz="1050">
              <a:effectLst/>
            </a:endParaRPr>
          </a:p>
        </c:rich>
      </c:tx>
      <c:layout>
        <c:manualLayout>
          <c:xMode val="edge"/>
          <c:yMode val="edge"/>
          <c:x val="0.12111061932090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70AD4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rgbClr val="D0CEC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ln w="25400" cap="rnd">
            <a:solidFill>
              <a:srgbClr val="44546A"/>
            </a:solidFill>
            <a:round/>
          </a:ln>
          <a:effectLst/>
        </c:spPr>
        <c:marker>
          <c:symbol val="circle"/>
          <c:size val="5"/>
          <c:spPr>
            <a:solidFill>
              <a:srgbClr val="44546A"/>
            </a:solidFill>
            <a:ln w="9525">
              <a:solidFill>
                <a:srgbClr val="44546A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2140182637270974"/>
          <c:y val="0.26410059758684395"/>
          <c:w val="0.57590229203196741"/>
          <c:h val="0.62827931482790855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'CO2-pivot'!$C$1:$C$2</c:f>
              <c:strCache>
                <c:ptCount val="1"/>
                <c:pt idx="0">
                  <c:v>Hav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'CO2-pivot'!$C$3:$C$6</c:f>
              <c:numCache>
                <c:formatCode>#,##0</c:formatCode>
                <c:ptCount val="3"/>
                <c:pt idx="0">
                  <c:v>-158.43719999999996</c:v>
                </c:pt>
                <c:pt idx="1">
                  <c:v>-50273.43159900204</c:v>
                </c:pt>
                <c:pt idx="2">
                  <c:v>-50273.43159900204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FD-470D-ADEA-4A3B452F1E84}"/>
            </c:ext>
          </c:extLst>
        </c:ser>
        <c:ser>
          <c:idx val="2"/>
          <c:order val="2"/>
          <c:tx>
            <c:strRef>
              <c:f>'CO2-pivot'!$D$1:$D$2</c:f>
              <c:strCache>
                <c:ptCount val="1"/>
                <c:pt idx="0">
                  <c:v>Husdyr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'CO2-pivot'!$D$3:$D$6</c:f>
              <c:numCache>
                <c:formatCode>#,##0</c:formatCode>
                <c:ptCount val="3"/>
                <c:pt idx="0">
                  <c:v>5519261.9007367166</c:v>
                </c:pt>
                <c:pt idx="1">
                  <c:v>6608780.2582464404</c:v>
                </c:pt>
                <c:pt idx="2">
                  <c:v>6582277.0918141343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FD-470D-ADEA-4A3B452F1E84}"/>
            </c:ext>
          </c:extLst>
        </c:ser>
        <c:ser>
          <c:idx val="3"/>
          <c:order val="3"/>
          <c:tx>
            <c:strRef>
              <c:f>'CO2-pivot'!$E$1:$E$2</c:f>
              <c:strCache>
                <c:ptCount val="1"/>
                <c:pt idx="0">
                  <c:v>Marker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'CO2-pivot'!$E$3:$E$6</c:f>
              <c:numCache>
                <c:formatCode>#,##0</c:formatCode>
                <c:ptCount val="3"/>
                <c:pt idx="0">
                  <c:v>9725466.1897341814</c:v>
                </c:pt>
                <c:pt idx="1">
                  <c:v>9296833.4976137169</c:v>
                </c:pt>
                <c:pt idx="2">
                  <c:v>9211339.4377100542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3FD-470D-ADEA-4A3B452F1E84}"/>
            </c:ext>
          </c:extLst>
        </c:ser>
        <c:ser>
          <c:idx val="4"/>
          <c:order val="4"/>
          <c:tx>
            <c:strRef>
              <c:f>'CO2-pivot'!$F$1:$F$2</c:f>
              <c:strCache>
                <c:ptCount val="1"/>
                <c:pt idx="0">
                  <c:v>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'CO2-pivot'!$F$3:$F$6</c:f>
              <c:numCache>
                <c:formatCode>#,##0</c:formatCode>
                <c:ptCount val="3"/>
                <c:pt idx="0">
                  <c:v>-561900</c:v>
                </c:pt>
                <c:pt idx="1">
                  <c:v>-673493.54240423942</c:v>
                </c:pt>
                <c:pt idx="2">
                  <c:v>-1554610.6284261232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3FD-470D-ADEA-4A3B452F1E84}"/>
            </c:ext>
          </c:extLst>
        </c:ser>
        <c:ser>
          <c:idx val="5"/>
          <c:order val="5"/>
          <c:tx>
            <c:strRef>
              <c:f>'CO2-pivot'!$G$1:$G$2</c:f>
              <c:strCache>
                <c:ptCount val="1"/>
                <c:pt idx="0">
                  <c:v>Biogasanlæg</c:v>
                </c:pt>
              </c:strCache>
            </c:strRef>
          </c:tx>
          <c:spPr>
            <a:solidFill>
              <a:srgbClr val="D0CECE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'CO2-pivot'!$G$3:$G$6</c:f>
              <c:numCache>
                <c:formatCode>#,##0</c:formatCode>
                <c:ptCount val="3"/>
                <c:pt idx="0">
                  <c:v>-165207.21089505972</c:v>
                </c:pt>
                <c:pt idx="1">
                  <c:v>-512909.13665768696</c:v>
                </c:pt>
                <c:pt idx="2">
                  <c:v>-499823.11753171525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FD-470D-ADEA-4A3B452F1E84}"/>
            </c:ext>
          </c:extLst>
        </c:ser>
        <c:ser>
          <c:idx val="6"/>
          <c:order val="6"/>
          <c:tx>
            <c:strRef>
              <c:f>'CO2-pivot'!$H$1:$H$2</c:f>
              <c:strCache>
                <c:ptCount val="1"/>
                <c:pt idx="0">
                  <c:v>Pyrolyseproces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'CO2-pivot'!$H$3:$H$6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3FD-470D-ADEA-4A3B452F1E84}"/>
            </c:ext>
          </c:extLst>
        </c:ser>
        <c:ser>
          <c:idx val="7"/>
          <c:order val="7"/>
          <c:tx>
            <c:strRef>
              <c:f>'CO2-pivot'!$I$1:$I$2</c:f>
              <c:strCache>
                <c:ptCount val="1"/>
                <c:pt idx="0">
                  <c:v>Træprodukter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'CO2-pivot'!$I$3:$I$6</c:f>
              <c:numCache>
                <c:formatCode>#,##0</c:formatCode>
                <c:ptCount val="3"/>
                <c:pt idx="0">
                  <c:v>-605900.32409827493</c:v>
                </c:pt>
                <c:pt idx="1">
                  <c:v>-573396.54662085196</c:v>
                </c:pt>
                <c:pt idx="2">
                  <c:v>-541640.22643362987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21"/>
        <c:overlap val="100"/>
        <c:axId val="449196064"/>
        <c:axId val="449195648"/>
      </c:barChart>
      <c:lineChart>
        <c:grouping val="standard"/>
        <c:varyColors val="0"/>
        <c:ser>
          <c:idx val="0"/>
          <c:order val="0"/>
          <c:tx>
            <c:strRef>
              <c:f>'CO2-pivot'!$B$1:$B$2</c:f>
              <c:strCache>
                <c:ptCount val="1"/>
                <c:pt idx="0">
                  <c:v>CO2 - atmosfære</c:v>
                </c:pt>
              </c:strCache>
            </c:strRef>
          </c:tx>
          <c:spPr>
            <a:ln w="25400" cap="rnd">
              <a:solidFill>
                <a:srgbClr val="44546A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rgbClr val="44546A"/>
              </a:solidFill>
              <a:ln w="9525">
                <a:solidFill>
                  <a:srgbClr val="44546A"/>
                </a:solidFill>
              </a:ln>
              <a:effectLst/>
            </c:spPr>
          </c:marker>
          <c:cat>
            <c:strRef>
              <c:f>'CO2-pivot'!$A$3:$A$6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'CO2-pivot'!$B$3:$B$6</c:f>
              <c:numCache>
                <c:formatCode>#,##0</c:formatCode>
                <c:ptCount val="3"/>
                <c:pt idx="0">
                  <c:v>13911562.11827757</c:v>
                </c:pt>
                <c:pt idx="1">
                  <c:v>14095541.098578379</c:v>
                </c:pt>
                <c:pt idx="2">
                  <c:v>13147269.125533711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63FD-470D-ADEA-4A3B452F1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49196064"/>
        <c:axId val="449195648"/>
      </c:lineChart>
      <c:catAx>
        <c:axId val="4491960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5648"/>
        <c:crosses val="autoZero"/>
        <c:auto val="1"/>
        <c:lblAlgn val="ctr"/>
        <c:lblOffset val="100"/>
        <c:noMultiLvlLbl val="0"/>
      </c:catAx>
      <c:valAx>
        <c:axId val="449195648"/>
        <c:scaling>
          <c:orientation val="minMax"/>
          <c:max val="160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Milliioner</a:t>
                </a:r>
                <a:r>
                  <a:rPr lang="en-GB" baseline="0"/>
                  <a:t> </a:t>
                </a:r>
                <a:r>
                  <a:rPr lang="en-GB"/>
                  <a:t>ton CO2-eq</a:t>
                </a:r>
              </a:p>
            </c:rich>
          </c:tx>
          <c:layout>
            <c:manualLayout>
              <c:xMode val="edge"/>
              <c:yMode val="edge"/>
              <c:x val="3.678140461799078E-2"/>
              <c:y val="0.2703553018725908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449196064"/>
        <c:crosses val="autoZero"/>
        <c:crossBetween val="between"/>
        <c:dispUnits>
          <c:builtInUnit val="millions"/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448327182980214"/>
          <c:y val="0.31634867595739341"/>
          <c:w val="0.22490193574130235"/>
          <c:h val="0.552634360786425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6"/>
  </c:pivotSource>
  <c:chart>
    <c:title>
      <c:tx>
        <c:rich>
          <a:bodyPr rot="0" vert="horz"/>
          <a:lstStyle/>
          <a:p>
            <a:pPr>
              <a:defRPr b="0"/>
            </a:pPr>
            <a:r>
              <a:rPr lang="en-GB" b="0"/>
              <a:t>Import af biomasse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2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2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3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4">
              <a:lumMod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9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0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19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rgbClr val="375623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rgbClr val="CDFF9B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rgbClr val="203764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rgbClr val="3A3838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rgbClr val="FF656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rgbClr val="222B35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rgbClr val="CCFF66"/>
          </a:solidFill>
          <a:ln w="25400">
            <a:noFill/>
          </a:ln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9162822715398556"/>
          <c:y val="6.848216683866043E-2"/>
          <c:w val="0.6986780411695942"/>
          <c:h val="0.4657589165806698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6F8-4A59-A100-C5C14DAA680C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6F8-4A59-A100-C5C14DAA680C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6F8-4A59-A100-C5C14DAA680C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6F8-4A59-A100-C5C14DAA680C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6F8-4A59-A100-C5C14DAA680C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6F8-4A59-A100-C5C14DAA680C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6F8-4A59-A100-C5C14DAA68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vert="horz"/>
              <a:lstStyle/>
              <a:p>
                <a:pPr>
                  <a:defRPr b="0"/>
                </a:pPr>
                <a:r>
                  <a:rPr lang="en-US" b="0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vert="horz"/>
          <a:lstStyle/>
          <a:p>
            <a:pPr>
              <a:defRPr/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</c:dTable>
    </c:plotArea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 af biomasse (overproduktion)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25080317010217118"/>
          <c:y val="4.8191139993663694E-2"/>
          <c:w val="0.71399439563791012"/>
          <c:h val="0.31073068376660801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B1E-4FEC-8C32-3D9BE6EB5CCB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B1E-4FEC-8C32-3D9BE6EB5CCB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B1E-4FEC-8C32-3D9BE6EB5CCB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B1E-4FEC-8C32-3D9BE6EB5CCB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B1E-4FEC-8C32-3D9BE6EB5CCB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B1E-4FEC-8C32-3D9BE6EB5CCB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B1E-4FEC-8C32-3D9BE6EB5CCB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B1E-4FEC-8C32-3D9BE6EB5CCB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B1E-4FEC-8C32-3D9BE6EB5CCB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0B1E-4FEC-8C32-3D9BE6EB5CCB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0B1E-4FEC-8C32-3D9BE6EB5CCB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B1E-4FEC-8C32-3D9BE6EB5CCB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B1E-4FEC-8C32-3D9BE6EB5CCB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0B1E-4FEC-8C32-3D9BE6EB5CCB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B1E-4FEC-8C32-3D9BE6EB5CCB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0B1E-4FEC-8C32-3D9BE6EB5CCB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0B1E-4FEC-8C32-3D9BE6EB5CCB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0B1E-4FEC-8C32-3D9BE6EB5CCB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0B1E-4FEC-8C32-3D9BE6EB5CCB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0B1E-4FEC-8C32-3D9BE6EB5CCB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0B1E-4FEC-8C32-3D9BE6EB5CCB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0B1E-4FEC-8C32-3D9BE6EB5CCB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0B1E-4FEC-8C32-3D9BE6EB5CCB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0B1E-4FEC-8C32-3D9BE6EB5CCB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EA-40E1-95CB-216FE0CC77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Ton vådvægt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</c:dTable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0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skovbrug!PivotTable3</c:name>
    <c:fmtId val="9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Produktion af træ til materialer og til energi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skovbrug'!$B$4:$B$5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skovbrug'!$B$6:$B$9</c:f>
              <c:numCache>
                <c:formatCode>_(* #,##0_);_(* \(#,##0\);_(* "-"??_);_(@_)</c:formatCode>
                <c:ptCount val="3"/>
                <c:pt idx="0">
                  <c:v>3010238.4923246857</c:v>
                </c:pt>
                <c:pt idx="1">
                  <c:v>2848752.9835421797</c:v>
                </c:pt>
                <c:pt idx="2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71-4180-AD66-6B70BD4B4FFB}"/>
            </c:ext>
          </c:extLst>
        </c:ser>
        <c:ser>
          <c:idx val="1"/>
          <c:order val="1"/>
          <c:tx>
            <c:strRef>
              <c:f>'Produkt skovbrug'!$C$4:$C$5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'Produkt skovbrug'!$A$6:$A$9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skovbrug'!$C$6:$C$9</c:f>
              <c:numCache>
                <c:formatCode>_(* #,##0_);_(* \(#,##0\);_(* "-"??_);_(@_)</c:formatCode>
                <c:ptCount val="3"/>
                <c:pt idx="0">
                  <c:v>827693.20492220437</c:v>
                </c:pt>
                <c:pt idx="1">
                  <c:v>783291.25515859458</c:v>
                </c:pt>
                <c:pt idx="2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71-4180-AD66-6B70BD4B4F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56104608"/>
        <c:axId val="1856087136"/>
      </c:barChart>
      <c:catAx>
        <c:axId val="1856104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087136"/>
        <c:crosses val="autoZero"/>
        <c:auto val="1"/>
        <c:lblAlgn val="ctr"/>
        <c:lblOffset val="100"/>
        <c:noMultiLvlLbl val="0"/>
      </c:catAx>
      <c:valAx>
        <c:axId val="1856087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m3/år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561046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Skovtyper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>
        <c:manualLayout>
          <c:layoutTarget val="inner"/>
          <c:xMode val="edge"/>
          <c:yMode val="edge"/>
          <c:x val="0.13516266814356082"/>
          <c:y val="0.12347813531615115"/>
          <c:w val="0.72476420513606077"/>
          <c:h val="0.76160363853794033"/>
        </c:manualLayout>
      </c:layout>
      <c:barChart>
        <c:barDir val="col"/>
        <c:grouping val="stacked"/>
        <c:varyColors val="0"/>
        <c:ser>
          <c:idx val="1"/>
          <c:order val="1"/>
          <c:tx>
            <c:strRef>
              <c:f>Skovbrug!$A$49</c:f>
              <c:strCache>
                <c:ptCount val="1"/>
                <c:pt idx="0">
                  <c:v>Basisskov</c:v>
                </c:pt>
              </c:strCache>
            </c:strRef>
          </c:tx>
          <c:spPr>
            <a:solidFill>
              <a:srgbClr val="70AD47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Skovbrug!$H$49:$J$49</c:f>
              <c:numCache>
                <c:formatCode>General</c:formatCode>
                <c:ptCount val="3"/>
                <c:pt idx="0">
                  <c:v>562410</c:v>
                </c:pt>
                <c:pt idx="1">
                  <c:v>532239.27923287847</c:v>
                </c:pt>
                <c:pt idx="2">
                  <c:v>481469.23000787059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AD0-476F-847A-93E15E510130}"/>
            </c:ext>
          </c:extLst>
        </c:ser>
        <c:ser>
          <c:idx val="2"/>
          <c:order val="2"/>
          <c:tx>
            <c:strRef>
              <c:f>Skovbrug!$A$50</c:f>
              <c:strCache>
                <c:ptCount val="1"/>
                <c:pt idx="0">
                  <c:v>Skovtype1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Skovbrug!$H$50:$J$50</c:f>
              <c:numCache>
                <c:formatCode>General</c:formatCode>
                <c:ptCount val="3"/>
                <c:pt idx="0">
                  <c:v>0</c:v>
                </c:pt>
                <c:pt idx="1">
                  <c:v>51070.720767121515</c:v>
                </c:pt>
                <c:pt idx="2">
                  <c:v>139840.7699921293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AD0-476F-847A-93E15E510130}"/>
            </c:ext>
          </c:extLst>
        </c:ser>
        <c:ser>
          <c:idx val="3"/>
          <c:order val="3"/>
          <c:tx>
            <c:strRef>
              <c:f>Skovbrug!$A$51</c:f>
              <c:strCache>
                <c:ptCount val="1"/>
                <c:pt idx="0">
                  <c:v>Skovtype2</c:v>
                </c:pt>
              </c:strCache>
            </c:strRef>
          </c:tx>
          <c:spPr>
            <a:solidFill>
              <a:srgbClr val="C6E0B4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Skovbrug!$H$51:$J$51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AD0-476F-847A-93E15E510130}"/>
            </c:ext>
          </c:extLst>
        </c:ser>
        <c:ser>
          <c:idx val="4"/>
          <c:order val="4"/>
          <c:tx>
            <c:strRef>
              <c:f>Skovbrug!$A$52</c:f>
              <c:strCache>
                <c:ptCount val="1"/>
                <c:pt idx="0">
                  <c:v>Skovtype3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Skovbrug!$H$52:$J$52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AD0-476F-847A-93E15E510130}"/>
            </c:ext>
          </c:extLst>
        </c:ser>
        <c:ser>
          <c:idx val="5"/>
          <c:order val="5"/>
          <c:tx>
            <c:strRef>
              <c:f>Skovbrug!$A$53</c:f>
              <c:strCache>
                <c:ptCount val="1"/>
                <c:pt idx="0">
                  <c:v>Skovtype4</c:v>
                </c:pt>
              </c:strCache>
            </c:strRef>
          </c:tx>
          <c:spPr>
            <a:solidFill>
              <a:srgbClr val="548235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Skovbrug!$H$53:$J$53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AD0-476F-847A-93E15E510130}"/>
            </c:ext>
          </c:extLst>
        </c:ser>
        <c:ser>
          <c:idx val="6"/>
          <c:order val="6"/>
          <c:tx>
            <c:strRef>
              <c:f>Skovbrug!$A$54</c:f>
              <c:strCache>
                <c:ptCount val="1"/>
                <c:pt idx="0">
                  <c:v>Skovtype5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numRef>
              <c:f>Skovbrug!$H$48:$J$48</c:f>
              <c:numCache>
                <c:formatCode>General</c:formatCod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numCache>
            </c:numRef>
          </c:cat>
          <c:val>
            <c:numRef>
              <c:f>Skovbrug!$H$54:$J$54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C56-43A6-8A39-27734B1964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54192464"/>
        <c:axId val="154190384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Skovbrug!$A$48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cat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Skovbrug!$H$48:$J$48</c15:sqref>
                        </c15:formulaRef>
                      </c:ext>
                    </c:extLst>
                    <c:numCache>
                      <c:formatCode>General</c:formatCode>
                      <c:ptCount val="3"/>
                      <c:pt idx="0">
                        <c:v>2019</c:v>
                      </c:pt>
                      <c:pt idx="1">
                        <c:v>2030</c:v>
                      </c:pt>
                      <c:pt idx="2">
                        <c:v>2050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8AD0-476F-847A-93E15E510130}"/>
                  </c:ext>
                </c:extLst>
              </c15:ser>
            </c15:filteredBarSeries>
          </c:ext>
        </c:extLst>
      </c:barChart>
      <c:catAx>
        <c:axId val="1541924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0384"/>
        <c:crosses val="autoZero"/>
        <c:auto val="1"/>
        <c:lblAlgn val="ctr"/>
        <c:lblOffset val="100"/>
        <c:noMultiLvlLbl val="0"/>
      </c:catAx>
      <c:valAx>
        <c:axId val="15419038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Tusind hektar</a:t>
                </a:r>
              </a:p>
            </c:rich>
          </c:tx>
          <c:layout>
            <c:manualLayout>
              <c:xMode val="edge"/>
              <c:yMode val="edge"/>
              <c:x val="3.9046441506148485E-2"/>
              <c:y val="0.1063292391537217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54192464"/>
        <c:crosses val="autoZero"/>
        <c:crossBetween val="between"/>
        <c:dispUnits>
          <c:builtInUnit val="thousands"/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[BAUp20.xlsm]Produkt havbrug!PivotTable3</c:name>
    <c:fmtId val="5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'Produkt havbrug'!$B$4:$B$5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havbrug'!$B$6:$B$9</c:f>
              <c:numCache>
                <c:formatCode>_(* #,##0_);_(* \(#,##0\);_(* "-"??_);_(@_)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A6-4011-865C-D54B0E6763E9}"/>
            </c:ext>
          </c:extLst>
        </c:ser>
        <c:ser>
          <c:idx val="1"/>
          <c:order val="1"/>
          <c:tx>
            <c:strRef>
              <c:f>'Produkt havbrug'!$C$4:$C$5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'Produkt havbrug'!$A$6:$A$9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'Produkt havbrug'!$C$6:$C$9</c:f>
              <c:numCache>
                <c:formatCode>_(* #,##0_);_(* \(#,##0\);_(* "-"??_);_(@_)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A6-4011-865C-D54B0E6763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Havbrug!$A$12</c:f>
              <c:strCache>
                <c:ptCount val="1"/>
                <c:pt idx="0">
                  <c:v>Musling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Havbrug!$B$12:$G$12</c:f>
              <c:numCache>
                <c:formatCode>General</c:formatCode>
                <c:ptCount val="6"/>
                <c:pt idx="0">
                  <c:v>440.29999999999995</c:v>
                </c:pt>
                <c:pt idx="1">
                  <c:v>105000</c:v>
                </c:pt>
                <c:pt idx="2">
                  <c:v>105000</c:v>
                </c:pt>
                <c:pt idx="3">
                  <c:v>0.6</c:v>
                </c:pt>
                <c:pt idx="4">
                  <c:v>35000</c:v>
                </c:pt>
                <c:pt idx="5">
                  <c:v>35000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9E-4A77-8247-D79ADB2EEBF5}"/>
            </c:ext>
          </c:extLst>
        </c:ser>
        <c:ser>
          <c:idx val="1"/>
          <c:order val="1"/>
          <c:tx>
            <c:strRef>
              <c:f>Havbrug!$A$13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multiLvlStrRef>
              <c:f>Havbrug!$B$10:$G$11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Vestdanmark</c:v>
                  </c:pt>
                  <c:pt idx="3">
                    <c:v>Østdanmark</c:v>
                  </c:pt>
                </c:lvl>
              </c:multiLvlStrCache>
            </c:multiLvlStrRef>
          </c:cat>
          <c:val>
            <c:numRef>
              <c:f>Havbrug!$B$13:$G$13</c:f>
              <c:numCache>
                <c:formatCode>General</c:formatCode>
                <c:ptCount val="6"/>
                <c:pt idx="0">
                  <c:v>17</c:v>
                </c:pt>
                <c:pt idx="1">
                  <c:v>3760</c:v>
                </c:pt>
                <c:pt idx="2">
                  <c:v>3760</c:v>
                </c:pt>
                <c:pt idx="3">
                  <c:v>0</c:v>
                </c:pt>
                <c:pt idx="4">
                  <c:v>1600</c:v>
                </c:pt>
                <c:pt idx="5">
                  <c:v>1600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9E-4A77-8247-D79ADB2EEB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4356352"/>
        <c:axId val="1834353024"/>
      </c:barChart>
      <c:catAx>
        <c:axId val="183435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3024"/>
        <c:crosses val="autoZero"/>
        <c:auto val="1"/>
        <c:lblAlgn val="ctr"/>
        <c:lblOffset val="100"/>
        <c:noMultiLvlLbl val="0"/>
      </c:catAx>
      <c:valAx>
        <c:axId val="1834353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Hektar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83435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Danskernes diæt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Adfærd!$B$16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Adfærd!$B$17:$B$30</c:f>
              <c:numCache>
                <c:formatCode>General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 formatCode="0">
                  <c:v>89.78</c:v>
                </c:pt>
                <c:pt idx="4" formatCode="0">
                  <c:v>44.22</c:v>
                </c:pt>
                <c:pt idx="5" formatCode="0">
                  <c:v>0</c:v>
                </c:pt>
                <c:pt idx="6" formatCode="0">
                  <c:v>0</c:v>
                </c:pt>
                <c:pt idx="7" formatCode="0">
                  <c:v>0</c:v>
                </c:pt>
                <c:pt idx="8" formatCode="0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412-45FC-A29B-55FCEFC29984}"/>
            </c:ext>
          </c:extLst>
        </c:ser>
        <c:ser>
          <c:idx val="1"/>
          <c:order val="1"/>
          <c:tx>
            <c:strRef>
              <c:f>Adfærd!$C$16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Adfærd!$C$17:$C$30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412-45FC-A29B-55FCEFC29984}"/>
            </c:ext>
          </c:extLst>
        </c:ser>
        <c:ser>
          <c:idx val="2"/>
          <c:order val="2"/>
          <c:tx>
            <c:strRef>
              <c:f>Adfærd!$D$16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Adfærd!$A$17:$A$30</c:f>
              <c:strCache>
                <c:ptCount val="14"/>
                <c:pt idx="0">
                  <c:v>Korn</c:v>
                </c:pt>
                <c:pt idx="1">
                  <c:v>Grøntsager</c:v>
                </c:pt>
                <c:pt idx="2">
                  <c:v>Kartofler</c:v>
                </c:pt>
                <c:pt idx="3">
                  <c:v>Svinekød</c:v>
                </c:pt>
                <c:pt idx="4">
                  <c:v>Oksekød</c:v>
                </c:pt>
                <c:pt idx="5">
                  <c:v>Bælgsæd</c:v>
                </c:pt>
                <c:pt idx="6">
                  <c:v>Muslinger</c:v>
                </c:pt>
                <c:pt idx="7">
                  <c:v>Tang</c:v>
                </c:pt>
                <c:pt idx="8">
                  <c:v>Kunstigt kød</c:v>
                </c:pt>
                <c:pt idx="9">
                  <c:v>Mejeriprodukter</c:v>
                </c:pt>
                <c:pt idx="10">
                  <c:v>Fjerkrækød</c:v>
                </c:pt>
                <c:pt idx="11">
                  <c:v>Æg</c:v>
                </c:pt>
                <c:pt idx="12">
                  <c:v>Frugt</c:v>
                </c:pt>
                <c:pt idx="13">
                  <c:v>Fisk</c:v>
                </c:pt>
              </c:strCache>
            </c:strRef>
          </c:cat>
          <c:val>
            <c:numRef>
              <c:f>Adfærd!$D$17:$D$30</c:f>
              <c:numCache>
                <c:formatCode>0</c:formatCode>
                <c:ptCount val="14"/>
                <c:pt idx="0">
                  <c:v>218</c:v>
                </c:pt>
                <c:pt idx="1">
                  <c:v>199</c:v>
                </c:pt>
                <c:pt idx="2">
                  <c:v>91</c:v>
                </c:pt>
                <c:pt idx="3">
                  <c:v>89.78</c:v>
                </c:pt>
                <c:pt idx="4">
                  <c:v>44.22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348</c:v>
                </c:pt>
                <c:pt idx="10">
                  <c:v>26</c:v>
                </c:pt>
                <c:pt idx="11">
                  <c:v>24</c:v>
                </c:pt>
                <c:pt idx="12">
                  <c:v>190</c:v>
                </c:pt>
                <c:pt idx="13">
                  <c:v>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412-45FC-A29B-55FCEFC299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32269871"/>
        <c:axId val="1932271951"/>
      </c:barChart>
      <c:catAx>
        <c:axId val="19322698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71951"/>
        <c:crosses val="autoZero"/>
        <c:auto val="1"/>
        <c:lblAlgn val="ctr"/>
        <c:lblOffset val="100"/>
        <c:noMultiLvlLbl val="0"/>
      </c:catAx>
      <c:valAx>
        <c:axId val="1932271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Adfærd!$A$16</c:f>
              <c:strCache>
                <c:ptCount val="1"/>
                <c:pt idx="0">
                  <c:v>g/indb/dag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9322698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Adfærd!$F$4</c:f>
          <c:strCache>
            <c:ptCount val="1"/>
            <c:pt idx="0">
              <c:v>Produktion minus forbrug, ton per år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Adfærd!$H$4</c:f>
              <c:strCache>
                <c:ptCount val="1"/>
                <c:pt idx="0">
                  <c:v>2019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Adfærd!$H$5:$H$7</c:f>
              <c:numCache>
                <c:formatCode>0</c:formatCode>
                <c:ptCount val="3"/>
                <c:pt idx="0">
                  <c:v>212954.7645341866</c:v>
                </c:pt>
                <c:pt idx="1">
                  <c:v>880.09999999999991</c:v>
                </c:pt>
                <c:pt idx="2">
                  <c:v>76.5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A2B-4357-87AA-EC7C8026FF39}"/>
            </c:ext>
          </c:extLst>
        </c:ser>
        <c:ser>
          <c:idx val="1"/>
          <c:order val="1"/>
          <c:tx>
            <c:strRef>
              <c:f>Adfærd!$I$4</c:f>
              <c:strCache>
                <c:ptCount val="1"/>
                <c:pt idx="0">
                  <c:v>2030</c:v>
                </c:pt>
              </c:strCache>
            </c:strRef>
          </c:tx>
          <c:spPr>
            <a:solidFill>
              <a:srgbClr val="9BC2E6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Adfærd!$I$5:$I$7</c:f>
              <c:numCache>
                <c:formatCode>0</c:formatCode>
                <c:ptCount val="3"/>
                <c:pt idx="0">
                  <c:v>212125.14362511929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A2B-4357-87AA-EC7C8026FF39}"/>
            </c:ext>
          </c:extLst>
        </c:ser>
        <c:ser>
          <c:idx val="2"/>
          <c:order val="2"/>
          <c:tx>
            <c:strRef>
              <c:f>Adfærd!$J$4</c:f>
              <c:strCache>
                <c:ptCount val="1"/>
                <c:pt idx="0">
                  <c:v>2050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Adfærd!$F$5:$F$7</c:f>
              <c:strCache>
                <c:ptCount val="3"/>
                <c:pt idx="0">
                  <c:v>Planteprotein*</c:v>
                </c:pt>
                <c:pt idx="1">
                  <c:v>Muslinger</c:v>
                </c:pt>
                <c:pt idx="2">
                  <c:v>Tang</c:v>
                </c:pt>
              </c:strCache>
            </c:strRef>
          </c:cat>
          <c:val>
            <c:numRef>
              <c:f>Adfærd!$J$5:$J$7</c:f>
              <c:numCache>
                <c:formatCode>0</c:formatCode>
                <c:ptCount val="3"/>
                <c:pt idx="0">
                  <c:v>222884.37279909273</c:v>
                </c:pt>
                <c:pt idx="1">
                  <c:v>279460.19505556813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A2B-4357-87AA-EC7C8026FF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412544"/>
        <c:axId val="163417952"/>
      </c:barChart>
      <c:catAx>
        <c:axId val="1634125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7952"/>
        <c:crosses val="autoZero"/>
        <c:auto val="1"/>
        <c:lblAlgn val="ctr"/>
        <c:lblOffset val="100"/>
        <c:noMultiLvlLbl val="0"/>
      </c:catAx>
      <c:valAx>
        <c:axId val="163417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634125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[BAUp20.xlsm]Resultat-Forbrug af biomasse!PivotTable1</c:name>
    <c:fmtId val="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Forbrug af biomasser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8CBAD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rgbClr val="5585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BDEE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rgbClr val="F4B08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rgbClr val="FF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rgbClr val="ED7D3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rgbClr val="E2EFDA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rgbClr val="714B2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rgbClr val="DFDA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4722666742630778E-2"/>
          <c:y val="8.9448286869546714E-2"/>
          <c:w val="0.7003341443633414"/>
          <c:h val="0.7276755692700575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'Resultat-Forbrug af biomasse'!$B$3:$B$4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biomasse'!$B$5:$B$33</c:f>
              <c:numCache>
                <c:formatCode>#,##0.0,,</c:formatCode>
                <c:ptCount val="21"/>
                <c:pt idx="6">
                  <c:v>58403.100598004137</c:v>
                </c:pt>
                <c:pt idx="7">
                  <c:v>60789.12467762841</c:v>
                </c:pt>
                <c:pt idx="8">
                  <c:v>63381.970906546776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3448-4110-AE96-14C7EDAF3862}"/>
            </c:ext>
          </c:extLst>
        </c:ser>
        <c:ser>
          <c:idx val="1"/>
          <c:order val="1"/>
          <c:tx>
            <c:strRef>
              <c:f>'Resultat-Forbrug af biomasse'!$C$3:$C$4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biomasse'!$C$5:$C$33</c:f>
              <c:numCache>
                <c:formatCode>#,##0.0,,</c:formatCode>
                <c:ptCount val="21"/>
                <c:pt idx="3">
                  <c:v>72415.092228932088</c:v>
                </c:pt>
                <c:pt idx="4">
                  <c:v>86898.110674718482</c:v>
                </c:pt>
                <c:pt idx="5">
                  <c:v>86898.110674718497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1568-4FC1-BC73-F1280D03E9F1}"/>
            </c:ext>
          </c:extLst>
        </c:ser>
        <c:ser>
          <c:idx val="2"/>
          <c:order val="2"/>
          <c:tx>
            <c:strRef>
              <c:f>'Resultat-Forbrug af biomasse'!$D$3:$D$4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biomasse'!$D$5:$D$33</c:f>
              <c:numCache>
                <c:formatCode>#,##0.0,,</c:formatCode>
                <c:ptCount val="21"/>
                <c:pt idx="0">
                  <c:v>729134</c:v>
                </c:pt>
                <c:pt idx="1">
                  <c:v>363995</c:v>
                </c:pt>
                <c:pt idx="2">
                  <c:v>369777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1568-4FC1-BC73-F1280D03E9F1}"/>
            </c:ext>
          </c:extLst>
        </c:ser>
        <c:ser>
          <c:idx val="3"/>
          <c:order val="3"/>
          <c:tx>
            <c:strRef>
              <c:f>'Resultat-Forbrug af biomasse'!$E$3:$E$4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biomasse'!$E$5:$E$33</c:f>
              <c:numCache>
                <c:formatCode>#,##0.0,,</c:formatCode>
                <c:ptCount val="21"/>
                <c:pt idx="0">
                  <c:v>757087.00000000012</c:v>
                </c:pt>
                <c:pt idx="1">
                  <c:v>1806588.5568306167</c:v>
                </c:pt>
                <c:pt idx="2">
                  <c:v>1893021.5008227448</c:v>
                </c:pt>
                <c:pt idx="15">
                  <c:v>823764.99285714305</c:v>
                </c:pt>
                <c:pt idx="16">
                  <c:v>683922.81080016203</c:v>
                </c:pt>
                <c:pt idx="17">
                  <c:v>716643.85388289625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2-1568-4FC1-BC73-F1280D03E9F1}"/>
            </c:ext>
          </c:extLst>
        </c:ser>
        <c:ser>
          <c:idx val="4"/>
          <c:order val="4"/>
          <c:tx>
            <c:strRef>
              <c:f>'Resultat-Forbrug af biomasse'!$F$3:$F$4</c:f>
              <c:strCache>
                <c:ptCount val="1"/>
                <c:pt idx="0">
                  <c:v>Fisk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biomasse'!$F$5:$F$33</c:f>
              <c:numCache>
                <c:formatCode>#,##0.0,,</c:formatCode>
                <c:ptCount val="21"/>
                <c:pt idx="6">
                  <c:v>90038.113421923044</c:v>
                </c:pt>
                <c:pt idx="7">
                  <c:v>93716.56721134379</c:v>
                </c:pt>
                <c:pt idx="8">
                  <c:v>97713.871814259604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3-1568-4FC1-BC73-F1280D03E9F1}"/>
            </c:ext>
          </c:extLst>
        </c:ser>
        <c:ser>
          <c:idx val="5"/>
          <c:order val="5"/>
          <c:tx>
            <c:strRef>
              <c:f>'Resultat-Forbrug af biomasse'!$G$3:$G$4</c:f>
              <c:strCache>
                <c:ptCount val="1"/>
                <c:pt idx="0">
                  <c:v>Fjerkrægylle</c:v>
                </c:pt>
              </c:strCache>
            </c:strRef>
          </c:tx>
          <c:spPr>
            <a:solidFill>
              <a:srgbClr val="F8CBAD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biomasse'!$G$5:$G$33</c:f>
              <c:numCache>
                <c:formatCode>#,##0.0,,</c:formatCode>
                <c:ptCount val="21"/>
                <c:pt idx="0">
                  <c:v>4441.5</c:v>
                </c:pt>
                <c:pt idx="1">
                  <c:v>5425.756836419002</c:v>
                </c:pt>
                <c:pt idx="2">
                  <c:v>5603.1780719105855</c:v>
                </c:pt>
                <c:pt idx="15">
                  <c:v>4441.5</c:v>
                </c:pt>
                <c:pt idx="16">
                  <c:v>5425.756836419002</c:v>
                </c:pt>
                <c:pt idx="17">
                  <c:v>5603.1780719105855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4-1568-4FC1-BC73-F1280D03E9F1}"/>
            </c:ext>
          </c:extLst>
        </c:ser>
        <c:ser>
          <c:idx val="6"/>
          <c:order val="6"/>
          <c:tx>
            <c:strRef>
              <c:f>'Resultat-Forbrug af biomasse'!$H$3:$H$4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biomasse'!$H$5:$H$33</c:f>
              <c:numCache>
                <c:formatCode>#,##0.0,,</c:formatCode>
                <c:ptCount val="21"/>
                <c:pt idx="6">
                  <c:v>63270.025647837821</c:v>
                </c:pt>
                <c:pt idx="7">
                  <c:v>65854.885067430776</c:v>
                </c:pt>
                <c:pt idx="8">
                  <c:v>68663.801815425672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35-1568-4FC1-BC73-F1280D03E9F1}"/>
            </c:ext>
          </c:extLst>
        </c:ser>
        <c:ser>
          <c:idx val="7"/>
          <c:order val="7"/>
          <c:tx>
            <c:strRef>
              <c:f>'Resultat-Forbrug af biomasse'!$I$3:$I$4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biomasse'!$I$5:$I$33</c:f>
              <c:numCache>
                <c:formatCode>#,##0.0,,</c:formatCode>
                <c:ptCount val="21"/>
                <c:pt idx="6">
                  <c:v>462357.87973419944</c:v>
                </c:pt>
                <c:pt idx="7">
                  <c:v>481247.23703122488</c:v>
                </c:pt>
                <c:pt idx="8">
                  <c:v>501773.93634349527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C8-472E-BFCA-3B842242399E}"/>
            </c:ext>
          </c:extLst>
        </c:ser>
        <c:ser>
          <c:idx val="8"/>
          <c:order val="8"/>
          <c:tx>
            <c:strRef>
              <c:f>'Resultat-Forbrug af biomasse'!$J$3:$J$4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biomasse'!$J$5:$J$33</c:f>
              <c:numCache>
                <c:formatCode>#,##0.0,,</c:formatCode>
                <c:ptCount val="21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9C8-472E-BFCA-3B842242399E}"/>
            </c:ext>
          </c:extLst>
        </c:ser>
        <c:ser>
          <c:idx val="9"/>
          <c:order val="9"/>
          <c:tx>
            <c:strRef>
              <c:f>'Resultat-Forbrug af biomasse'!$K$3:$K$4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biomasse'!$K$5:$K$33</c:f>
              <c:numCache>
                <c:formatCode>#,##0.0,,</c:formatCode>
                <c:ptCount val="21"/>
                <c:pt idx="0">
                  <c:v>85676.999999999985</c:v>
                </c:pt>
                <c:pt idx="1">
                  <c:v>85677.000000000029</c:v>
                </c:pt>
                <c:pt idx="2">
                  <c:v>85676.999999999985</c:v>
                </c:pt>
                <c:pt idx="3">
                  <c:v>13739757.985270014</c:v>
                </c:pt>
                <c:pt idx="4">
                  <c:v>16487709.582324015</c:v>
                </c:pt>
                <c:pt idx="5">
                  <c:v>16487709.582324017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9C8-472E-BFCA-3B842242399E}"/>
            </c:ext>
          </c:extLst>
        </c:ser>
        <c:ser>
          <c:idx val="10"/>
          <c:order val="10"/>
          <c:tx>
            <c:strRef>
              <c:f>'Resultat-Forbrug af biomasse'!$L$3:$L$4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biomasse'!$L$5:$L$33</c:f>
              <c:numCache>
                <c:formatCode>#,##0.0,,</c:formatCode>
                <c:ptCount val="21"/>
                <c:pt idx="6">
                  <c:v>484259.042458451</c:v>
                </c:pt>
                <c:pt idx="7">
                  <c:v>504043.1587853356</c:v>
                </c:pt>
                <c:pt idx="8">
                  <c:v>525542.17543345026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9C8-472E-BFCA-3B842242399E}"/>
            </c:ext>
          </c:extLst>
        </c:ser>
        <c:ser>
          <c:idx val="11"/>
          <c:order val="11"/>
          <c:tx>
            <c:strRef>
              <c:f>'Resultat-Forbrug af biomasse'!$M$3:$M$4</c:f>
              <c:strCache>
                <c:ptCount val="1"/>
                <c:pt idx="0">
                  <c:v>Halm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biomasse'!$M$5:$M$33</c:f>
              <c:numCache>
                <c:formatCode>#,##0.0,,</c:formatCode>
                <c:ptCount val="21"/>
                <c:pt idx="0">
                  <c:v>75934</c:v>
                </c:pt>
                <c:pt idx="1">
                  <c:v>75934</c:v>
                </c:pt>
                <c:pt idx="2">
                  <c:v>75934.000000000015</c:v>
                </c:pt>
                <c:pt idx="3">
                  <c:v>867975.34157733875</c:v>
                </c:pt>
                <c:pt idx="4">
                  <c:v>1041570.4098928064</c:v>
                </c:pt>
                <c:pt idx="5">
                  <c:v>1041570.4098928064</c:v>
                </c:pt>
                <c:pt idx="9">
                  <c:v>1893765.2125355615</c:v>
                </c:pt>
                <c:pt idx="10">
                  <c:v>1462839.8903218857</c:v>
                </c:pt>
                <c:pt idx="11">
                  <c:v>1361806.1726509859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9C8-472E-BFCA-3B842242399E}"/>
            </c:ext>
          </c:extLst>
        </c:ser>
        <c:ser>
          <c:idx val="12"/>
          <c:order val="12"/>
          <c:tx>
            <c:strRef>
              <c:f>'Resultat-Forbrug af biomasse'!$N$3:$N$4</c:f>
              <c:strCache>
                <c:ptCount val="1"/>
                <c:pt idx="0">
                  <c:v>Have/parkaffald</c:v>
                </c:pt>
              </c:strCache>
            </c:strRef>
          </c:tx>
          <c:spPr>
            <a:solidFill>
              <a:srgbClr val="55853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biomasse'!$N$5:$N$33</c:f>
              <c:numCache>
                <c:formatCode>#,##0.0,,</c:formatCode>
                <c:ptCount val="21"/>
                <c:pt idx="0">
                  <c:v>78</c:v>
                </c:pt>
                <c:pt idx="1">
                  <c:v>78</c:v>
                </c:pt>
                <c:pt idx="2">
                  <c:v>78</c:v>
                </c:pt>
                <c:pt idx="9">
                  <c:v>982731</c:v>
                </c:pt>
                <c:pt idx="10">
                  <c:v>982731</c:v>
                </c:pt>
                <c:pt idx="11">
                  <c:v>982731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9C8-472E-BFCA-3B842242399E}"/>
            </c:ext>
          </c:extLst>
        </c:ser>
        <c:ser>
          <c:idx val="13"/>
          <c:order val="13"/>
          <c:tx>
            <c:strRef>
              <c:f>'Resultat-Forbrug af biomasse'!$O$3:$O$4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BDEEFF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biomasse'!$O$5:$O$33</c:f>
              <c:numCache>
                <c:formatCode>#,##0.0,,</c:formatCode>
                <c:ptCount val="21"/>
                <c:pt idx="3">
                  <c:v>5421074.2654714445</c:v>
                </c:pt>
                <c:pt idx="4">
                  <c:v>6505289.1185657317</c:v>
                </c:pt>
                <c:pt idx="5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9C8-472E-BFCA-3B842242399E}"/>
            </c:ext>
          </c:extLst>
        </c:ser>
        <c:ser>
          <c:idx val="14"/>
          <c:order val="14"/>
          <c:tx>
            <c:strRef>
              <c:f>'Resultat-Forbrug af biomasse'!$P$3:$P$4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biomasse'!$P$5:$P$33</c:f>
              <c:numCache>
                <c:formatCode>#,##0.0,,</c:formatCode>
                <c:ptCount val="21"/>
                <c:pt idx="0">
                  <c:v>995654</c:v>
                </c:pt>
                <c:pt idx="1">
                  <c:v>725967.99999999977</c:v>
                </c:pt>
                <c:pt idx="2">
                  <c:v>723031.99999999988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01-420B-AAE9-2AC9740436EF}"/>
            </c:ext>
          </c:extLst>
        </c:ser>
        <c:ser>
          <c:idx val="15"/>
          <c:order val="15"/>
          <c:tx>
            <c:strRef>
              <c:f>'Resultat-Forbrug af biomasse'!$Q$3:$Q$4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biomasse'!$Q$5:$Q$33</c:f>
              <c:numCache>
                <c:formatCode>#,##0.0,,</c:formatCode>
                <c:ptCount val="21"/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221445.08976743236</c:v>
                </c:pt>
                <c:pt idx="7">
                  <c:v>230492.09773600774</c:v>
                </c:pt>
                <c:pt idx="8">
                  <c:v>240323.30635398987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001-420B-AAE9-2AC9740436EF}"/>
            </c:ext>
          </c:extLst>
        </c:ser>
        <c:ser>
          <c:idx val="16"/>
          <c:order val="16"/>
          <c:tx>
            <c:strRef>
              <c:f>'Resultat-Forbrug af biomasse'!$R$3:$R$4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biomasse'!$R$5:$R$33</c:f>
              <c:numCache>
                <c:formatCode>#,##0.0,,</c:formatCode>
                <c:ptCount val="21"/>
                <c:pt idx="0">
                  <c:v>3785.9999999999991</c:v>
                </c:pt>
                <c:pt idx="1">
                  <c:v>3786.0000000000009</c:v>
                </c:pt>
                <c:pt idx="2">
                  <c:v>3786</c:v>
                </c:pt>
                <c:pt idx="3">
                  <c:v>6600836.8097011279</c:v>
                </c:pt>
                <c:pt idx="4">
                  <c:v>7921004.1716413517</c:v>
                </c:pt>
                <c:pt idx="5">
                  <c:v>7921004.1716413526</c:v>
                </c:pt>
                <c:pt idx="6">
                  <c:v>530494.83043187088</c:v>
                </c:pt>
                <c:pt idx="7">
                  <c:v>552167.88248845807</c:v>
                </c:pt>
                <c:pt idx="8">
                  <c:v>575719.56906779984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001-420B-AAE9-2AC9740436EF}"/>
            </c:ext>
          </c:extLst>
        </c:ser>
        <c:ser>
          <c:idx val="17"/>
          <c:order val="17"/>
          <c:tx>
            <c:strRef>
              <c:f>'Resultat-Forbrug af biomasse'!$S$3:$S$4</c:f>
              <c:strCache>
                <c:ptCount val="1"/>
                <c:pt idx="0">
                  <c:v>Kvæggylle</c:v>
                </c:pt>
              </c:strCache>
            </c:strRef>
          </c:tx>
          <c:spPr>
            <a:solidFill>
              <a:srgbClr val="F4B084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biomasse'!$S$5:$S$33</c:f>
              <c:numCache>
                <c:formatCode>#,##0.0,,</c:formatCode>
                <c:ptCount val="21"/>
                <c:pt idx="0">
                  <c:v>4353509.666666667</c:v>
                </c:pt>
                <c:pt idx="1">
                  <c:v>12682532.726209817</c:v>
                </c:pt>
                <c:pt idx="2">
                  <c:v>12440193.373265471</c:v>
                </c:pt>
                <c:pt idx="15">
                  <c:v>9696490.333333334</c:v>
                </c:pt>
                <c:pt idx="16">
                  <c:v>4005010.3345925738</c:v>
                </c:pt>
                <c:pt idx="17">
                  <c:v>3928482.1178733069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001-420B-AAE9-2AC9740436EF}"/>
            </c:ext>
          </c:extLst>
        </c:ser>
        <c:ser>
          <c:idx val="18"/>
          <c:order val="18"/>
          <c:tx>
            <c:strRef>
              <c:f>'Resultat-Forbrug af biomasse'!$T$3:$T$4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biomasse'!$T$5:$T$33</c:f>
              <c:numCache>
                <c:formatCode>#,##0.0,,</c:formatCode>
                <c:ptCount val="21"/>
                <c:pt idx="3">
                  <c:v>1701754.6673799041</c:v>
                </c:pt>
                <c:pt idx="4">
                  <c:v>2042105.6008558844</c:v>
                </c:pt>
                <c:pt idx="5">
                  <c:v>2042105.6008558844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A001-420B-AAE9-2AC9740436EF}"/>
            </c:ext>
          </c:extLst>
        </c:ser>
        <c:ser>
          <c:idx val="19"/>
          <c:order val="19"/>
          <c:tx>
            <c:strRef>
              <c:f>'Resultat-Forbrug af biomasse'!$U$3:$U$4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biomasse'!$U$5:$U$33</c:f>
              <c:numCache>
                <c:formatCode>#,##0.0,,</c:formatCode>
                <c:ptCount val="21"/>
                <c:pt idx="0">
                  <c:v>330026</c:v>
                </c:pt>
                <c:pt idx="1">
                  <c:v>330026</c:v>
                </c:pt>
                <c:pt idx="2">
                  <c:v>330026</c:v>
                </c:pt>
                <c:pt idx="3">
                  <c:v>6351407.0475792512</c:v>
                </c:pt>
                <c:pt idx="4">
                  <c:v>7621688.4570950996</c:v>
                </c:pt>
                <c:pt idx="5">
                  <c:v>7621688.4570951005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001-420B-AAE9-2AC9740436EF}"/>
            </c:ext>
          </c:extLst>
        </c:ser>
        <c:ser>
          <c:idx val="20"/>
          <c:order val="20"/>
          <c:tx>
            <c:strRef>
              <c:f>'Resultat-Forbrug af biomasse'!$V$3:$V$4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biomasse'!$V$5:$V$33</c:f>
              <c:numCache>
                <c:formatCode>#,##0.0,,</c:formatCode>
                <c:ptCount val="21"/>
                <c:pt idx="6">
                  <c:v>846844.95867106004</c:v>
                </c:pt>
                <c:pt idx="7">
                  <c:v>881442.3078256119</c:v>
                </c:pt>
                <c:pt idx="8">
                  <c:v>919038.57814492821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A001-420B-AAE9-2AC9740436EF}"/>
            </c:ext>
          </c:extLst>
        </c:ser>
        <c:ser>
          <c:idx val="21"/>
          <c:order val="21"/>
          <c:tx>
            <c:strRef>
              <c:f>'Resultat-Forbrug af biomasse'!$W$3:$W$4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biomasse'!$W$5:$W$33</c:f>
              <c:numCache>
                <c:formatCode>#,##0.0,,</c:formatCode>
                <c:ptCount val="21"/>
                <c:pt idx="6">
                  <c:v>107607.71285182264</c:v>
                </c:pt>
                <c:pt idx="7">
                  <c:v>112003.96221853035</c:v>
                </c:pt>
                <c:pt idx="8">
                  <c:v>116781.28139531243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001-420B-AAE9-2AC9740436EF}"/>
            </c:ext>
          </c:extLst>
        </c:ser>
        <c:ser>
          <c:idx val="22"/>
          <c:order val="22"/>
          <c:tx>
            <c:strRef>
              <c:f>'Resultat-Forbrug af biomasse'!$X$3:$X$4</c:f>
              <c:strCache>
                <c:ptCount val="1"/>
                <c:pt idx="0">
                  <c:v>Raps</c:v>
                </c:pt>
              </c:strCache>
            </c:strRef>
          </c:tx>
          <c:spPr>
            <a:solidFill>
              <a:srgbClr val="FFFF66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biomasse'!$X$5:$X$33</c:f>
              <c:numCache>
                <c:formatCode>#,##0.0,,</c:formatCode>
                <c:ptCount val="21"/>
                <c:pt idx="18">
                  <c:v>678407.81727843033</c:v>
                </c:pt>
                <c:pt idx="19">
                  <c:v>712198.49644007557</c:v>
                </c:pt>
                <c:pt idx="20">
                  <c:v>738277.61746310792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001-420B-AAE9-2AC9740436EF}"/>
            </c:ext>
          </c:extLst>
        </c:ser>
        <c:ser>
          <c:idx val="23"/>
          <c:order val="23"/>
          <c:tx>
            <c:strRef>
              <c:f>'Resultat-Forbrug af biomasse'!$Y$3:$Y$4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biomasse'!$Y$5:$Y$33</c:f>
              <c:numCache>
                <c:formatCode>#,##0.0,,</c:formatCode>
                <c:ptCount val="21"/>
                <c:pt idx="0">
                  <c:v>28645.000000000004</c:v>
                </c:pt>
                <c:pt idx="1">
                  <c:v>28644.999999999996</c:v>
                </c:pt>
                <c:pt idx="2">
                  <c:v>28645.000000000007</c:v>
                </c:pt>
                <c:pt idx="3">
                  <c:v>944413.49448565592</c:v>
                </c:pt>
                <c:pt idx="4">
                  <c:v>1133296.1933827871</c:v>
                </c:pt>
                <c:pt idx="5">
                  <c:v>1133296.1933827871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A001-420B-AAE9-2AC9740436EF}"/>
            </c:ext>
          </c:extLst>
        </c:ser>
        <c:ser>
          <c:idx val="24"/>
          <c:order val="24"/>
          <c:tx>
            <c:strRef>
              <c:f>'Resultat-Forbrug af biomasse'!$Z$3:$Z$4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biomasse'!$Z$5:$Z$33</c:f>
              <c:numCache>
                <c:formatCode>#,##0.0,,</c:formatCode>
                <c:ptCount val="21"/>
                <c:pt idx="3">
                  <c:v>44253.667473236274</c:v>
                </c:pt>
                <c:pt idx="4">
                  <c:v>53104.400967883521</c:v>
                </c:pt>
                <c:pt idx="5">
                  <c:v>53104.400967883521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4B-4929-B475-494F5C87E790}"/>
            </c:ext>
          </c:extLst>
        </c:ser>
        <c:ser>
          <c:idx val="25"/>
          <c:order val="25"/>
          <c:tx>
            <c:strRef>
              <c:f>'Resultat-Forbrug af biomasse'!$AA$3:$AA$4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biomasse'!$AA$5:$AA$33</c:f>
              <c:numCache>
                <c:formatCode>#,##0.0,,</c:formatCode>
                <c:ptCount val="21"/>
                <c:pt idx="0">
                  <c:v>2668834</c:v>
                </c:pt>
                <c:pt idx="1">
                  <c:v>2785221.7345641684</c:v>
                </c:pt>
                <c:pt idx="2">
                  <c:v>2900386.1464459291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4B-4929-B475-494F5C87E790}"/>
            </c:ext>
          </c:extLst>
        </c:ser>
        <c:ser>
          <c:idx val="26"/>
          <c:order val="26"/>
          <c:tx>
            <c:strRef>
              <c:f>'Resultat-Forbrug af biomasse'!$AB$3:$AB$4</c:f>
              <c:strCache>
                <c:ptCount val="1"/>
                <c:pt idx="0">
                  <c:v>Svinegylle</c:v>
                </c:pt>
              </c:strCache>
            </c:strRef>
          </c:tx>
          <c:spPr>
            <a:solidFill>
              <a:srgbClr val="ED7D31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biomasse'!$AB$5:$AB$33</c:f>
              <c:numCache>
                <c:formatCode>#,##0.0,,</c:formatCode>
                <c:ptCount val="21"/>
                <c:pt idx="0">
                  <c:v>2914869.3333333335</c:v>
                </c:pt>
                <c:pt idx="1">
                  <c:v>10976808.596855612</c:v>
                </c:pt>
                <c:pt idx="2">
                  <c:v>10508939.137061903</c:v>
                </c:pt>
                <c:pt idx="15">
                  <c:v>14742130.666666664</c:v>
                </c:pt>
                <c:pt idx="16">
                  <c:v>9734151.0198530871</c:v>
                </c:pt>
                <c:pt idx="17">
                  <c:v>9319247.9139982909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34B-4929-B475-494F5C87E790}"/>
            </c:ext>
          </c:extLst>
        </c:ser>
        <c:ser>
          <c:idx val="27"/>
          <c:order val="27"/>
          <c:tx>
            <c:strRef>
              <c:f>'Resultat-Forbrug af biomasse'!$AC$3:$AC$4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biomasse'!$AC$5:$AC$33</c:f>
              <c:numCache>
                <c:formatCode>#,##0.0,,</c:formatCode>
                <c:ptCount val="21"/>
                <c:pt idx="6">
                  <c:v>218476.26548703379</c:v>
                </c:pt>
                <c:pt idx="7">
                  <c:v>227401.98389822827</c:v>
                </c:pt>
                <c:pt idx="8">
                  <c:v>237101.38949957371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34B-4929-B475-494F5C87E790}"/>
            </c:ext>
          </c:extLst>
        </c:ser>
        <c:ser>
          <c:idx val="28"/>
          <c:order val="28"/>
          <c:tx>
            <c:strRef>
              <c:f>'Resultat-Forbrug af biomasse'!$AD$3:$AD$4</c:f>
              <c:strCache>
                <c:ptCount val="1"/>
                <c:pt idx="0">
                  <c:v>Pil &amp; poppel</c:v>
                </c:pt>
              </c:strCache>
            </c:strRef>
          </c:tx>
          <c:spPr>
            <a:solidFill>
              <a:srgbClr val="E2EFDA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biomasse'!$AD$5:$AD$33</c:f>
              <c:numCache>
                <c:formatCode>#,##0.0,,</c:formatCode>
                <c:ptCount val="21"/>
                <c:pt idx="9">
                  <c:v>209782.38739500003</c:v>
                </c:pt>
                <c:pt idx="10">
                  <c:v>216936.14364827855</c:v>
                </c:pt>
                <c:pt idx="11">
                  <c:v>225542.84146215921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34B-4929-B475-494F5C87E790}"/>
            </c:ext>
          </c:extLst>
        </c:ser>
        <c:ser>
          <c:idx val="29"/>
          <c:order val="29"/>
          <c:tx>
            <c:strRef>
              <c:f>'Resultat-Forbrug af biomasse'!$AE$3:$AE$4</c:f>
              <c:strCache>
                <c:ptCount val="1"/>
                <c:pt idx="0">
                  <c:v>Træ til energi</c:v>
                </c:pt>
              </c:strCache>
            </c:strRef>
          </c:tx>
          <c:spPr>
            <a:solidFill>
              <a:srgbClr val="714B25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biomasse'!$AE$5:$AE$33</c:f>
              <c:numCache>
                <c:formatCode>#,##0.0,,</c:formatCode>
                <c:ptCount val="21"/>
                <c:pt idx="9">
                  <c:v>3010238.4923246857</c:v>
                </c:pt>
                <c:pt idx="10">
                  <c:v>2848752.9835421797</c:v>
                </c:pt>
                <c:pt idx="11">
                  <c:v>2586353.261057131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34B-4929-B475-494F5C87E790}"/>
            </c:ext>
          </c:extLst>
        </c:ser>
        <c:ser>
          <c:idx val="30"/>
          <c:order val="30"/>
          <c:tx>
            <c:strRef>
              <c:f>'Resultat-Forbrug af biomasse'!$AF$3:$AF$4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rgbClr val="DFDA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biomasse'!$AF$5:$AF$33</c:f>
              <c:numCache>
                <c:formatCode>#,##0.0,,</c:formatCode>
                <c:ptCount val="21"/>
                <c:pt idx="3">
                  <c:v>240377.87559326066</c:v>
                </c:pt>
                <c:pt idx="4">
                  <c:v>288453.45071191277</c:v>
                </c:pt>
                <c:pt idx="5">
                  <c:v>288453.45071191277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B8-4877-80BE-E305CFEB20FC}"/>
            </c:ext>
          </c:extLst>
        </c:ser>
        <c:ser>
          <c:idx val="31"/>
          <c:order val="31"/>
          <c:tx>
            <c:strRef>
              <c:f>'Resultat-Forbrug af biomasse'!$AG$3:$AG$4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biomasse'!$AG$5:$AG$33</c:f>
              <c:numCache>
                <c:formatCode>#,##0.0,,</c:formatCode>
                <c:ptCount val="21"/>
                <c:pt idx="9">
                  <c:v>112887.06079513082</c:v>
                </c:pt>
                <c:pt idx="10">
                  <c:v>227903.51886082417</c:v>
                </c:pt>
                <c:pt idx="11">
                  <c:v>236248.83758819452</c:v>
                </c:pt>
                <c:pt idx="12">
                  <c:v>104203.4407339669</c:v>
                </c:pt>
                <c:pt idx="13">
                  <c:v>0</c:v>
                </c:pt>
                <c:pt idx="1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AA-42FE-AC78-5D6B6B38613B}"/>
            </c:ext>
          </c:extLst>
        </c:ser>
        <c:ser>
          <c:idx val="32"/>
          <c:order val="32"/>
          <c:tx>
            <c:strRef>
              <c:f>'Resultat-Forbrug af biomasse'!$AH$3:$AH$4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biomasse'!$AH$5:$AH$33</c:f>
              <c:numCache>
                <c:formatCode>#,##0.0,,</c:formatCode>
                <c:ptCount val="21"/>
                <c:pt idx="15">
                  <c:v>8803491.7355084848</c:v>
                </c:pt>
                <c:pt idx="16">
                  <c:v>24685936.556263804</c:v>
                </c:pt>
                <c:pt idx="17">
                  <c:v>24083543.844583277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9AA-42FE-AC78-5D6B6B38613B}"/>
            </c:ext>
          </c:extLst>
        </c:ser>
        <c:ser>
          <c:idx val="33"/>
          <c:order val="33"/>
          <c:tx>
            <c:strRef>
              <c:f>'Resultat-Forbrug af biomasse'!$AI$3:$AI$4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biomasse'!$AI$5:$AI$33</c:f>
              <c:numCache>
                <c:formatCode>#,##0.0,,</c:formatCode>
                <c:ptCount val="21"/>
                <c:pt idx="15">
                  <c:v>944815.08868008247</c:v>
                </c:pt>
                <c:pt idx="16">
                  <c:v>667092.98344465159</c:v>
                </c:pt>
                <c:pt idx="17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9AA-42FE-AC78-5D6B6B38613B}"/>
            </c:ext>
          </c:extLst>
        </c:ser>
        <c:ser>
          <c:idx val="34"/>
          <c:order val="34"/>
          <c:tx>
            <c:strRef>
              <c:f>'Resultat-Forbrug af biomasse'!$AJ$3:$AJ$4</c:f>
              <c:strCache>
                <c:ptCount val="1"/>
                <c:pt idx="0">
                  <c:v>Træmaterialer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'Resultat-Forbrug af biomasse'!$A$5:$A$33</c:f>
              <c:multiLvlStrCache>
                <c:ptCount val="21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  <c:pt idx="6">
                    <c:v>2019</c:v>
                  </c:pt>
                  <c:pt idx="7">
                    <c:v>2030</c:v>
                  </c:pt>
                  <c:pt idx="8">
                    <c:v>2050</c:v>
                  </c:pt>
                  <c:pt idx="9">
                    <c:v>2019</c:v>
                  </c:pt>
                  <c:pt idx="10">
                    <c:v>2030</c:v>
                  </c:pt>
                  <c:pt idx="11">
                    <c:v>2050</c:v>
                  </c:pt>
                  <c:pt idx="12">
                    <c:v>2019</c:v>
                  </c:pt>
                  <c:pt idx="13">
                    <c:v>2030</c:v>
                  </c:pt>
                  <c:pt idx="14">
                    <c:v>2050</c:v>
                  </c:pt>
                  <c:pt idx="15">
                    <c:v>2019</c:v>
                  </c:pt>
                  <c:pt idx="16">
                    <c:v>2030</c:v>
                  </c:pt>
                  <c:pt idx="17">
                    <c:v>2050</c:v>
                  </c:pt>
                  <c:pt idx="18">
                    <c:v>2019</c:v>
                  </c:pt>
                  <c:pt idx="19">
                    <c:v>2030</c:v>
                  </c:pt>
                  <c:pt idx="20">
                    <c:v>2050</c:v>
                  </c:pt>
                </c:lvl>
                <c:lvl>
                  <c:pt idx="0">
                    <c:v>Biogas</c:v>
                  </c:pt>
                  <c:pt idx="3">
                    <c:v>Foder</c:v>
                  </c:pt>
                  <c:pt idx="6">
                    <c:v>Fødevarer</c:v>
                  </c:pt>
                  <c:pt idx="9">
                    <c:v>Energi</c:v>
                  </c:pt>
                  <c:pt idx="12">
                    <c:v>Materialer</c:v>
                  </c:pt>
                  <c:pt idx="15">
                    <c:v>Gødning</c:v>
                  </c:pt>
                  <c:pt idx="18">
                    <c:v>Rapskageproduktion</c:v>
                  </c:pt>
                </c:lvl>
              </c:multiLvlStrCache>
            </c:multiLvlStrRef>
          </c:cat>
          <c:val>
            <c:numRef>
              <c:f>'Resultat-Forbrug af biomasse'!$AJ$5:$AJ$33</c:f>
              <c:numCache>
                <c:formatCode>#,##0.0,,</c:formatCode>
                <c:ptCount val="21"/>
                <c:pt idx="12">
                  <c:v>827693.20492220437</c:v>
                </c:pt>
                <c:pt idx="13">
                  <c:v>783291.25515859458</c:v>
                </c:pt>
                <c:pt idx="14">
                  <c:v>712875.04265379638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8F-44E5-ACC2-D9239AA4BE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0"/>
        <c:overlap val="100"/>
        <c:axId val="1007471408"/>
        <c:axId val="1007471824"/>
      </c:barChart>
      <c:catAx>
        <c:axId val="100747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824"/>
        <c:crosses val="autoZero"/>
        <c:auto val="1"/>
        <c:lblAlgn val="ctr"/>
        <c:lblOffset val="100"/>
        <c:noMultiLvlLbl val="0"/>
      </c:catAx>
      <c:valAx>
        <c:axId val="1007471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/>
                  <a:t>Ton VV (for træ m3)</a:t>
                </a:r>
              </a:p>
            </c:rich>
          </c:tx>
          <c:layout>
            <c:manualLayout>
              <c:xMode val="edge"/>
              <c:yMode val="edge"/>
              <c:x val="1.3378733063772432E-2"/>
              <c:y val="0.314322018869262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#,##0.0,,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00747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413219789132216"/>
          <c:y val="4.2332657519606439E-3"/>
          <c:w val="0.20519816166531496"/>
          <c:h val="0.9852459904406080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[BAUp20.xlsm]Resultat-Import!Import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Import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rgbClr val="CDFF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3A3838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rgbClr val="CCFF6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73918486723626664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'Resultat-Import'!$B$4:$B$5</c:f>
              <c:strCache>
                <c:ptCount val="1"/>
                <c:pt idx="0">
                  <c:v>Bioaffald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'Resultat-Import'!$B$6:$B$9</c:f>
              <c:numCache>
                <c:formatCode>0</c:formatCode>
                <c:ptCount val="3"/>
                <c:pt idx="0">
                  <c:v>370459.67448149773</c:v>
                </c:pt>
                <c:pt idx="1">
                  <c:v>2.825725611182861E-2</c:v>
                </c:pt>
                <c:pt idx="2">
                  <c:v>0.18489040050189942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53-435B-9B3B-B73E5A10621F}"/>
            </c:ext>
          </c:extLst>
        </c:ser>
        <c:ser>
          <c:idx val="1"/>
          <c:order val="1"/>
          <c:tx>
            <c:strRef>
              <c:f>'Resultat-Import'!$C$4:$C$5</c:f>
              <c:strCache>
                <c:ptCount val="1"/>
                <c:pt idx="0">
                  <c:v>Grøntsager</c:v>
                </c:pt>
              </c:strCache>
            </c:strRef>
          </c:tx>
          <c:spPr>
            <a:solidFill>
              <a:srgbClr val="CDFF9B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'Resultat-Import'!$C$6:$C$9</c:f>
              <c:numCache>
                <c:formatCode>0</c:formatCode>
                <c:ptCount val="3"/>
                <c:pt idx="0">
                  <c:v>203649.62100550608</c:v>
                </c:pt>
                <c:pt idx="1">
                  <c:v>210965.35838487741</c:v>
                </c:pt>
                <c:pt idx="2">
                  <c:v>223376.70355809579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5-5ABD-4C2B-828D-ED8456C7142A}"/>
            </c:ext>
          </c:extLst>
        </c:ser>
        <c:ser>
          <c:idx val="2"/>
          <c:order val="2"/>
          <c:tx>
            <c:strRef>
              <c:f>'Resultat-Import'!$D$4:$D$5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'Resultat-Import'!$D$6:$D$9</c:f>
              <c:numCache>
                <c:formatCode>0</c:formatCode>
                <c:ptCount val="3"/>
                <c:pt idx="0">
                  <c:v>282332.03034110228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6-5ABD-4C2B-828D-ED8456C7142A}"/>
            </c:ext>
          </c:extLst>
        </c:ser>
        <c:ser>
          <c:idx val="3"/>
          <c:order val="3"/>
          <c:tx>
            <c:strRef>
              <c:f>'Resultat-Import'!$E$4:$E$5</c:f>
              <c:strCache>
                <c:ptCount val="1"/>
                <c:pt idx="0">
                  <c:v>Kunstgødning</c:v>
                </c:pt>
              </c:strCache>
            </c:strRef>
          </c:tx>
          <c:spPr>
            <a:solidFill>
              <a:srgbClr val="3A3838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'Resultat-Import'!$E$6:$E$9</c:f>
              <c:numCache>
                <c:formatCode>0</c:formatCode>
                <c:ptCount val="3"/>
                <c:pt idx="0">
                  <c:v>944815.08868008247</c:v>
                </c:pt>
                <c:pt idx="1">
                  <c:v>667092.98344465159</c:v>
                </c:pt>
                <c:pt idx="2">
                  <c:v>641699.34825806518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0-D4AC-4E06-8568-E007E3F9A77D}"/>
            </c:ext>
          </c:extLst>
        </c:ser>
        <c:ser>
          <c:idx val="4"/>
          <c:order val="4"/>
          <c:tx>
            <c:strRef>
              <c:f>'Resultat-Import'!$F$4:$F$5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'Resultat-Import'!$F$6:$F$9</c:f>
              <c:numCache>
                <c:formatCode>0</c:formatCode>
                <c:ptCount val="3"/>
                <c:pt idx="0">
                  <c:v>142742</c:v>
                </c:pt>
                <c:pt idx="1">
                  <c:v>142742</c:v>
                </c:pt>
                <c:pt idx="2">
                  <c:v>142742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1-D4AC-4E06-8568-E007E3F9A77D}"/>
            </c:ext>
          </c:extLst>
        </c:ser>
        <c:ser>
          <c:idx val="5"/>
          <c:order val="5"/>
          <c:tx>
            <c:strRef>
              <c:f>'Resultat-Import'!$G$4:$G$5</c:f>
              <c:strCache>
                <c:ptCount val="1"/>
                <c:pt idx="0">
                  <c:v>Frugt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'Resultat-Import'!$G$6:$G$9</c:f>
              <c:numCache>
                <c:formatCode>0</c:formatCode>
                <c:ptCount val="3"/>
                <c:pt idx="0">
                  <c:v>420629.98984142789</c:v>
                </c:pt>
                <c:pt idx="1">
                  <c:v>437443.77822737186</c:v>
                </c:pt>
                <c:pt idx="2">
                  <c:v>456262.55953572609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52-D4AC-4E06-8568-E007E3F9A77D}"/>
            </c:ext>
          </c:extLst>
        </c:ser>
        <c:ser>
          <c:idx val="6"/>
          <c:order val="6"/>
          <c:tx>
            <c:strRef>
              <c:f>'Resultat-Import'!$H$4:$H$5</c:f>
              <c:strCache>
                <c:ptCount val="1"/>
                <c:pt idx="0">
                  <c:v>Import af foder</c:v>
                </c:pt>
              </c:strCache>
            </c:strRef>
          </c:tx>
          <c:spPr>
            <a:solidFill>
              <a:srgbClr val="CCFF66"/>
            </a:solidFill>
            <a:ln w="25400">
              <a:noFill/>
            </a:ln>
            <a:effectLst/>
          </c:spPr>
          <c:invertIfNegative val="0"/>
          <c:cat>
            <c:strRef>
              <c:f>'Resultat-Import'!$A$6:$A$9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'Resultat-Import'!$H$6:$H$9</c:f>
              <c:numCache>
                <c:formatCode>0</c:formatCode>
                <c:ptCount val="3"/>
                <c:pt idx="0">
                  <c:v>5421074.2654714445</c:v>
                </c:pt>
                <c:pt idx="1">
                  <c:v>6505289.1185657317</c:v>
                </c:pt>
                <c:pt idx="2">
                  <c:v>6505289.1185657317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DF3-4A5C-9F46-D5E5EB34B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[BAUp20.xlsm]Resultat-Eksport!PivotTable3</c:name>
    <c:fmtId val="1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32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Eksport</a:t>
            </a:r>
            <a:r>
              <a:rPr lang="en-GB" baseline="0"/>
              <a:t> af biomasse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32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rgbClr val="20376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rgbClr val="E2C4A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rgbClr val="FFFF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rgbClr val="CB966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rgbClr val="8EA9D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rgbClr val="B4C6E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rgbClr val="9966FF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rgbClr val="FF656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rgbClr val="DDEBF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rgbClr val="00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rgbClr val="C0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rgbClr val="6C00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rgbClr val="FFCC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rgbClr val="7030A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rgbClr val="00206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rgbClr val="3366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rgbClr val="009999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rgbClr val="FFF2CC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rgbClr val="F2F2F2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rgbClr val="FFCB37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rgbClr val="FF9B9B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rgbClr val="FCE4D6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1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8.2691562969683038E-2"/>
          <c:y val="0.10311772486772487"/>
          <c:w val="0.69994616637341878"/>
          <c:h val="0.82152954144620816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'Resultat-Eksport'!$B$4:$B$5</c:f>
              <c:strCache>
                <c:ptCount val="1"/>
                <c:pt idx="0">
                  <c:v>Æg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'Resultat-Eksport'!$B$6:$B$9</c:f>
              <c:numCache>
                <c:formatCode>#,##0</c:formatCode>
                <c:ptCount val="3"/>
                <c:pt idx="0">
                  <c:v>176596.89940199585</c:v>
                </c:pt>
                <c:pt idx="1">
                  <c:v>217293.39047131393</c:v>
                </c:pt>
                <c:pt idx="2">
                  <c:v>207457.23539403747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8CE-422F-9AF3-6B6B61CDDA40}"/>
            </c:ext>
          </c:extLst>
        </c:ser>
        <c:ser>
          <c:idx val="1"/>
          <c:order val="1"/>
          <c:tx>
            <c:strRef>
              <c:f>'Resultat-Eksport'!$C$4:$C$5</c:f>
              <c:strCache>
                <c:ptCount val="1"/>
                <c:pt idx="0">
                  <c:v>Bælgsæd</c:v>
                </c:pt>
              </c:strCache>
            </c:strRef>
          </c:tx>
          <c:spPr>
            <a:solidFill>
              <a:srgbClr val="FFF2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'Resultat-Eksport'!$C$6:$C$9</c:f>
              <c:numCache>
                <c:formatCode>#,##0</c:formatCode>
                <c:ptCount val="3"/>
                <c:pt idx="0">
                  <c:v>212711.00975574681</c:v>
                </c:pt>
                <c:pt idx="1">
                  <c:v>211772.75782853554</c:v>
                </c:pt>
                <c:pt idx="2">
                  <c:v>222389.489994237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8CE-422F-9AF3-6B6B61CDDA40}"/>
            </c:ext>
          </c:extLst>
        </c:ser>
        <c:ser>
          <c:idx val="2"/>
          <c:order val="2"/>
          <c:tx>
            <c:strRef>
              <c:f>'Resultat-Eksport'!$D$4:$D$5</c:f>
              <c:strCache>
                <c:ptCount val="1"/>
                <c:pt idx="0">
                  <c:v>Biogasgylle</c:v>
                </c:pt>
              </c:strCache>
            </c:strRef>
          </c:tx>
          <c:spPr>
            <a:solidFill>
              <a:srgbClr val="F2F2F2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'Resultat-Eksport'!$D$6:$D$9</c:f>
              <c:numCache>
                <c:formatCode>#,##0</c:formatCode>
                <c:ptCount val="3"/>
                <c:pt idx="0">
                  <c:v>3230529.0722415121</c:v>
                </c:pt>
                <c:pt idx="1">
                  <c:v>2905408.1454691943</c:v>
                </c:pt>
                <c:pt idx="2">
                  <c:v>3043013.7759962841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8CE-422F-9AF3-6B6B61CDDA40}"/>
            </c:ext>
          </c:extLst>
        </c:ser>
        <c:ser>
          <c:idx val="3"/>
          <c:order val="3"/>
          <c:tx>
            <c:strRef>
              <c:f>'Resultat-Eksport'!$E$4:$E$5</c:f>
              <c:strCache>
                <c:ptCount val="1"/>
                <c:pt idx="0">
                  <c:v>Dybstrøelse</c:v>
                </c:pt>
              </c:strCache>
            </c:strRef>
          </c:tx>
          <c:spPr>
            <a:solidFill>
              <a:srgbClr val="FFCB3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'Resultat-Eksport'!$E$6:$E$9</c:f>
              <c:numCache>
                <c:formatCode>#,##0</c:formatCode>
                <c:ptCount val="3"/>
                <c:pt idx="0">
                  <c:v>1352218.0071428574</c:v>
                </c:pt>
                <c:pt idx="1">
                  <c:v>1122665.7460304548</c:v>
                </c:pt>
                <c:pt idx="2">
                  <c:v>1176377.6469398488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8CE-422F-9AF3-6B6B61CDDA40}"/>
            </c:ext>
          </c:extLst>
        </c:ser>
        <c:ser>
          <c:idx val="4"/>
          <c:order val="4"/>
          <c:tx>
            <c:strRef>
              <c:f>'Resultat-Eksport'!$F$4:$F$5</c:f>
              <c:strCache>
                <c:ptCount val="1"/>
                <c:pt idx="0">
                  <c:v>Fjerkrækød</c:v>
                </c:pt>
              </c:strCache>
            </c:strRef>
          </c:tx>
          <c:spPr>
            <a:solidFill>
              <a:srgbClr val="FF9B9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'Resultat-Eksport'!$F$6:$F$9</c:f>
              <c:numCache>
                <c:formatCode>#,##0</c:formatCode>
                <c:ptCount val="3"/>
                <c:pt idx="0">
                  <c:v>138275.28002889914</c:v>
                </c:pt>
                <c:pt idx="1">
                  <c:v>170392.63720029866</c:v>
                </c:pt>
                <c:pt idx="2">
                  <c:v>157216.83755586346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8CE-422F-9AF3-6B6B61CDDA40}"/>
            </c:ext>
          </c:extLst>
        </c:ser>
        <c:ser>
          <c:idx val="5"/>
          <c:order val="5"/>
          <c:tx>
            <c:strRef>
              <c:f>'Resultat-Eksport'!$G$4:$G$5</c:f>
              <c:strCache>
                <c:ptCount val="1"/>
                <c:pt idx="0">
                  <c:v>Frø</c:v>
                </c:pt>
              </c:strCache>
            </c:strRef>
          </c:tx>
          <c:spPr>
            <a:solidFill>
              <a:srgbClr val="FCE4D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'Resultat-Eksport'!$G$6:$G$9</c:f>
              <c:numCache>
                <c:formatCode>#,##0</c:formatCode>
                <c:ptCount val="3"/>
                <c:pt idx="0">
                  <c:v>1502558.0356082148</c:v>
                </c:pt>
                <c:pt idx="1">
                  <c:v>1570157.2016349281</c:v>
                </c:pt>
                <c:pt idx="2">
                  <c:v>1633518.8473632084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C8CE-422F-9AF3-6B6B61CDDA40}"/>
            </c:ext>
          </c:extLst>
        </c:ser>
        <c:ser>
          <c:idx val="6"/>
          <c:order val="6"/>
          <c:tx>
            <c:strRef>
              <c:f>'Resultat-Eksport'!$H$4:$H$5</c:f>
              <c:strCache>
                <c:ptCount val="1"/>
                <c:pt idx="0">
                  <c:v>Græs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'Resultat-Eksport'!$H$6:$H$9</c:f>
              <c:numCache>
                <c:formatCode>#,##0</c:formatCode>
                <c:ptCount val="3"/>
                <c:pt idx="0">
                  <c:v>4118003.7103001666</c:v>
                </c:pt>
                <c:pt idx="1">
                  <c:v>2080969.6515073958</c:v>
                </c:pt>
                <c:pt idx="2">
                  <c:v>3019148.2239866257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8CE-422F-9AF3-6B6B61CDDA40}"/>
            </c:ext>
          </c:extLst>
        </c:ser>
        <c:ser>
          <c:idx val="7"/>
          <c:order val="7"/>
          <c:tx>
            <c:strRef>
              <c:f>'Resultat-Eksport'!$I$4:$I$5</c:f>
              <c:strCache>
                <c:ptCount val="1"/>
                <c:pt idx="0">
                  <c:v>Industriaffald</c:v>
                </c:pt>
              </c:strCache>
            </c:strRef>
          </c:tx>
          <c:spPr>
            <a:solidFill>
              <a:srgbClr val="203764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'Resultat-Eksport'!$I$6:$I$9</c:f>
              <c:numCache>
                <c:formatCode>#,##0</c:formatCode>
                <c:ptCount val="3"/>
                <c:pt idx="1">
                  <c:v>74190.483462749107</c:v>
                </c:pt>
                <c:pt idx="2">
                  <c:v>73602.662086251483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C8CE-422F-9AF3-6B6B61CDDA40}"/>
            </c:ext>
          </c:extLst>
        </c:ser>
        <c:ser>
          <c:idx val="8"/>
          <c:order val="8"/>
          <c:tx>
            <c:strRef>
              <c:f>'Resultat-Eksport'!$J$4:$J$5</c:f>
              <c:strCache>
                <c:ptCount val="1"/>
                <c:pt idx="0">
                  <c:v>Kartofler</c:v>
                </c:pt>
              </c:strCache>
            </c:strRef>
          </c:tx>
          <c:spPr>
            <a:solidFill>
              <a:srgbClr val="CB9661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'Resultat-Eksport'!$J$6:$J$9</c:f>
              <c:numCache>
                <c:formatCode>#,##0</c:formatCode>
                <c:ptCount val="3"/>
                <c:pt idx="0">
                  <c:v>2040873.7508661344</c:v>
                </c:pt>
                <c:pt idx="1">
                  <c:v>2134206.5118205468</c:v>
                </c:pt>
                <c:pt idx="2">
                  <c:v>2208063.52547062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8CE-422F-9AF3-6B6B61CDDA40}"/>
            </c:ext>
          </c:extLst>
        </c:ser>
        <c:ser>
          <c:idx val="9"/>
          <c:order val="9"/>
          <c:tx>
            <c:strRef>
              <c:f>'Resultat-Eksport'!$K$4:$K$5</c:f>
              <c:strCache>
                <c:ptCount val="1"/>
                <c:pt idx="0">
                  <c:v>Korn</c:v>
                </c:pt>
              </c:strCache>
            </c:strRef>
          </c:tx>
          <c:spPr>
            <a:solidFill>
              <a:srgbClr val="E2C4A6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'Resultat-Eksport'!$K$6:$K$9</c:f>
              <c:numCache>
                <c:formatCode>#,##0</c:formatCode>
                <c:ptCount val="3"/>
                <c:pt idx="0">
                  <c:v>1974670.329311419</c:v>
                </c:pt>
                <c:pt idx="1">
                  <c:v>1103365.8104808955</c:v>
                </c:pt>
                <c:pt idx="2">
                  <c:v>1482422.5612646407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C8CE-422F-9AF3-6B6B61CDDA40}"/>
            </c:ext>
          </c:extLst>
        </c:ser>
        <c:ser>
          <c:idx val="10"/>
          <c:order val="10"/>
          <c:tx>
            <c:strRef>
              <c:f>'Resultat-Eksport'!$L$4:$L$5</c:f>
              <c:strCache>
                <c:ptCount val="1"/>
                <c:pt idx="0">
                  <c:v>Mælk til foder</c:v>
                </c:pt>
              </c:strCache>
            </c:strRef>
          </c:tx>
          <c:spPr>
            <a:solidFill>
              <a:srgbClr val="8EA9DB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'Resultat-Eksport'!$L$6:$L$9</c:f>
              <c:numCache>
                <c:formatCode>#,##0</c:formatCode>
                <c:ptCount val="3"/>
                <c:pt idx="0">
                  <c:v>51892.132620096323</c:v>
                </c:pt>
                <c:pt idx="1">
                  <c:v>41339.678256422805</c:v>
                </c:pt>
                <c:pt idx="2">
                  <c:v>2639.1240738517372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7-C8CE-422F-9AF3-6B6B61CDDA40}"/>
            </c:ext>
          </c:extLst>
        </c:ser>
        <c:ser>
          <c:idx val="11"/>
          <c:order val="11"/>
          <c:tx>
            <c:strRef>
              <c:f>'Resultat-Eksport'!$M$4:$M$5</c:f>
              <c:strCache>
                <c:ptCount val="1"/>
                <c:pt idx="0">
                  <c:v>Majs</c:v>
                </c:pt>
              </c:strCache>
            </c:strRef>
          </c:tx>
          <c:spPr>
            <a:solidFill>
              <a:srgbClr val="FFFF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'Resultat-Eksport'!$M$6:$M$9</c:f>
              <c:numCache>
                <c:formatCode>#,##0</c:formatCode>
                <c:ptCount val="3"/>
                <c:pt idx="0">
                  <c:v>1266262.2462674922</c:v>
                </c:pt>
                <c:pt idx="1">
                  <c:v>420587.66554026748</c:v>
                </c:pt>
                <c:pt idx="2">
                  <c:v>813064.48232254898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8-C8CE-422F-9AF3-6B6B61CDDA40}"/>
            </c:ext>
          </c:extLst>
        </c:ser>
        <c:ser>
          <c:idx val="12"/>
          <c:order val="12"/>
          <c:tx>
            <c:strRef>
              <c:f>'Resultat-Eksport'!$N$4:$N$5</c:f>
              <c:strCache>
                <c:ptCount val="1"/>
                <c:pt idx="0">
                  <c:v>Mejeriprodukter</c:v>
                </c:pt>
              </c:strCache>
            </c:strRef>
          </c:tx>
          <c:spPr>
            <a:solidFill>
              <a:srgbClr val="B4C6E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'Resultat-Eksport'!$N$6:$N$9</c:f>
              <c:numCache>
                <c:formatCode>#,##0</c:formatCode>
                <c:ptCount val="3"/>
                <c:pt idx="0">
                  <c:v>2536783.2413289398</c:v>
                </c:pt>
                <c:pt idx="1">
                  <c:v>3138525.7949652532</c:v>
                </c:pt>
                <c:pt idx="2">
                  <c:v>3026257.5402487507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9-C8CE-422F-9AF3-6B6B61CDDA40}"/>
            </c:ext>
          </c:extLst>
        </c:ser>
        <c:ser>
          <c:idx val="13"/>
          <c:order val="13"/>
          <c:tx>
            <c:strRef>
              <c:f>'Resultat-Eksport'!$O$4:$O$5</c:f>
              <c:strCache>
                <c:ptCount val="1"/>
                <c:pt idx="0">
                  <c:v>Muslinger</c:v>
                </c:pt>
              </c:strCache>
            </c:strRef>
          </c:tx>
          <c:spPr>
            <a:solidFill>
              <a:srgbClr val="9966FF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'Resultat-Eksport'!$O$6:$O$9</c:f>
              <c:numCache>
                <c:formatCode>#,##0</c:formatCode>
                <c:ptCount val="3"/>
                <c:pt idx="0">
                  <c:v>880.09999999999991</c:v>
                </c:pt>
                <c:pt idx="1">
                  <c:v>279460.19505556813</c:v>
                </c:pt>
                <c:pt idx="2">
                  <c:v>279460.19505556813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A-C8CE-422F-9AF3-6B6B61CDDA40}"/>
            </c:ext>
          </c:extLst>
        </c:ser>
        <c:ser>
          <c:idx val="14"/>
          <c:order val="14"/>
          <c:tx>
            <c:strRef>
              <c:f>'Resultat-Eksport'!$P$4:$P$5</c:f>
              <c:strCache>
                <c:ptCount val="1"/>
                <c:pt idx="0">
                  <c:v>Oksekød</c:v>
                </c:pt>
              </c:strCache>
            </c:strRef>
          </c:tx>
          <c:spPr>
            <a:solidFill>
              <a:srgbClr val="FF6565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'Resultat-Eksport'!$P$6:$P$9</c:f>
              <c:numCache>
                <c:formatCode>#,##0</c:formatCode>
                <c:ptCount val="3"/>
                <c:pt idx="0">
                  <c:v>8064.2063400965635</c:v>
                </c:pt>
                <c:pt idx="1">
                  <c:v>24452.758415859222</c:v>
                </c:pt>
                <c:pt idx="2">
                  <c:v>15331.133745803432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B-C8CE-422F-9AF3-6B6B61CDDA40}"/>
            </c:ext>
          </c:extLst>
        </c:ser>
        <c:ser>
          <c:idx val="15"/>
          <c:order val="15"/>
          <c:tx>
            <c:strRef>
              <c:f>'Resultat-Eksport'!$Q$4:$Q$5</c:f>
              <c:strCache>
                <c:ptCount val="1"/>
                <c:pt idx="0">
                  <c:v>Råmælk</c:v>
                </c:pt>
              </c:strCache>
            </c:strRef>
          </c:tx>
          <c:spPr>
            <a:solidFill>
              <a:srgbClr val="DDEBF7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'Resultat-Eksport'!$Q$6:$Q$9</c:f>
              <c:numCache>
                <c:formatCode>#,##0</c:formatCode>
                <c:ptCount val="3"/>
                <c:pt idx="0">
                  <c:v>5269000</c:v>
                </c:pt>
                <c:pt idx="1">
                  <c:v>6259911.1609263299</c:v>
                </c:pt>
                <c:pt idx="2">
                  <c:v>6143631.6341778617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C-C8CE-422F-9AF3-6B6B61CDDA40}"/>
            </c:ext>
          </c:extLst>
        </c:ser>
        <c:ser>
          <c:idx val="16"/>
          <c:order val="16"/>
          <c:tx>
            <c:strRef>
              <c:f>'Resultat-Eksport'!$R$4:$R$5</c:f>
              <c:strCache>
                <c:ptCount val="1"/>
                <c:pt idx="0">
                  <c:v>Roer</c:v>
                </c:pt>
              </c:strCache>
            </c:strRef>
          </c:tx>
          <c:spPr>
            <a:solidFill>
              <a:srgbClr val="00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'Resultat-Eksport'!$R$6:$R$9</c:f>
              <c:numCache>
                <c:formatCode>#,##0</c:formatCode>
                <c:ptCount val="3"/>
                <c:pt idx="0">
                  <c:v>1656364.6415009145</c:v>
                </c:pt>
                <c:pt idx="1">
                  <c:v>1614896.5629563848</c:v>
                </c:pt>
                <c:pt idx="2">
                  <c:v>1738095.5427716447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D-C8CE-422F-9AF3-6B6B61CDDA40}"/>
            </c:ext>
          </c:extLst>
        </c:ser>
        <c:ser>
          <c:idx val="17"/>
          <c:order val="17"/>
          <c:tx>
            <c:strRef>
              <c:f>'Resultat-Eksport'!$S$4:$S$5</c:f>
              <c:strCache>
                <c:ptCount val="1"/>
                <c:pt idx="0">
                  <c:v>Slagteriaffald til andet</c:v>
                </c:pt>
              </c:strCache>
            </c:strRef>
          </c:tx>
          <c:spPr>
            <a:solidFill>
              <a:srgbClr val="C0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'Resultat-Eksport'!$S$6:$S$9</c:f>
              <c:numCache>
                <c:formatCode>#,##0</c:formatCode>
                <c:ptCount val="3"/>
                <c:pt idx="0">
                  <c:v>217010.36743552322</c:v>
                </c:pt>
                <c:pt idx="1">
                  <c:v>256390.68053839679</c:v>
                </c:pt>
                <c:pt idx="2">
                  <c:v>248954.56944042741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E-C8CE-422F-9AF3-6B6B61CDDA40}"/>
            </c:ext>
          </c:extLst>
        </c:ser>
        <c:ser>
          <c:idx val="18"/>
          <c:order val="18"/>
          <c:tx>
            <c:strRef>
              <c:f>'Resultat-Eksport'!$T$4:$T$5</c:f>
              <c:strCache>
                <c:ptCount val="1"/>
                <c:pt idx="0">
                  <c:v>Slagteriaffald til foder</c:v>
                </c:pt>
              </c:strCache>
            </c:strRef>
          </c:tx>
          <c:spPr>
            <a:solidFill>
              <a:srgbClr val="6C00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'Resultat-Eksport'!$T$6:$T$9</c:f>
              <c:numCache>
                <c:formatCode>#,##0</c:formatCode>
                <c:ptCount val="3"/>
                <c:pt idx="0">
                  <c:v>105946.31157195524</c:v>
                </c:pt>
                <c:pt idx="1">
                  <c:v>124476.10379382074</c:v>
                </c:pt>
                <c:pt idx="2">
                  <c:v>119558.82549268498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7F-C8CE-422F-9AF3-6B6B61CDDA40}"/>
            </c:ext>
          </c:extLst>
        </c:ser>
        <c:ser>
          <c:idx val="19"/>
          <c:order val="19"/>
          <c:tx>
            <c:strRef>
              <c:f>'Resultat-Eksport'!$U$4:$U$5</c:f>
              <c:strCache>
                <c:ptCount val="1"/>
                <c:pt idx="0">
                  <c:v>Svinekød</c:v>
                </c:pt>
              </c:strCache>
            </c:strRef>
          </c:tx>
          <c:spPr>
            <a:solidFill>
              <a:srgbClr val="FFCCCC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'Resultat-Eksport'!$U$6:$U$9</c:f>
              <c:numCache>
                <c:formatCode>#,##0</c:formatCode>
                <c:ptCount val="3"/>
                <c:pt idx="0">
                  <c:v>1382651.4311789067</c:v>
                </c:pt>
                <c:pt idx="1">
                  <c:v>1665817.7814738885</c:v>
                </c:pt>
                <c:pt idx="2">
                  <c:v>1604100.4550699559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0-C8CE-422F-9AF3-6B6B61CDDA40}"/>
            </c:ext>
          </c:extLst>
        </c:ser>
        <c:ser>
          <c:idx val="20"/>
          <c:order val="20"/>
          <c:tx>
            <c:strRef>
              <c:f>'Resultat-Eksport'!$V$4:$V$5</c:f>
              <c:strCache>
                <c:ptCount val="1"/>
                <c:pt idx="0">
                  <c:v>Tang</c:v>
                </c:pt>
              </c:strCache>
            </c:strRef>
          </c:tx>
          <c:spPr>
            <a:solidFill>
              <a:srgbClr val="7030A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'Resultat-Eksport'!$V$6:$V$9</c:f>
              <c:numCache>
                <c:formatCode>#,##0</c:formatCode>
                <c:ptCount val="3"/>
                <c:pt idx="0">
                  <c:v>76.5</c:v>
                </c:pt>
                <c:pt idx="1">
                  <c:v>120600</c:v>
                </c:pt>
                <c:pt idx="2">
                  <c:v>120600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1-C8CE-422F-9AF3-6B6B61CDDA40}"/>
            </c:ext>
          </c:extLst>
        </c:ser>
        <c:ser>
          <c:idx val="21"/>
          <c:order val="21"/>
          <c:tx>
            <c:strRef>
              <c:f>'Resultat-Eksport'!$W$4:$W$5</c:f>
              <c:strCache>
                <c:ptCount val="1"/>
                <c:pt idx="0">
                  <c:v>Spildevandsslam</c:v>
                </c:pt>
              </c:strCache>
            </c:strRef>
          </c:tx>
          <c:spPr>
            <a:solidFill>
              <a:srgbClr val="00206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'Resultat-Eksport'!$W$6:$W$9</c:f>
              <c:numCache>
                <c:formatCode>#,##0</c:formatCode>
                <c:ptCount val="3"/>
                <c:pt idx="0">
                  <c:v>4368323.901678659</c:v>
                </c:pt>
                <c:pt idx="1">
                  <c:v>4558826.316875292</c:v>
                </c:pt>
                <c:pt idx="2">
                  <c:v>4747326.4083181694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2-C8CE-422F-9AF3-6B6B61CDDA40}"/>
            </c:ext>
          </c:extLst>
        </c:ser>
        <c:ser>
          <c:idx val="22"/>
          <c:order val="22"/>
          <c:tx>
            <c:strRef>
              <c:f>'Resultat-Eksport'!$X$4:$X$5</c:f>
              <c:strCache>
                <c:ptCount val="1"/>
                <c:pt idx="0">
                  <c:v>Juletræer</c:v>
                </c:pt>
              </c:strCache>
            </c:strRef>
          </c:tx>
          <c:spPr>
            <a:solidFill>
              <a:srgbClr val="336600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'Resultat-Eksport'!$X$6:$X$9</c:f>
              <c:numCache>
                <c:formatCode>#,##0</c:formatCode>
                <c:ptCount val="3"/>
                <c:pt idx="0">
                  <c:v>911574.64248506655</c:v>
                </c:pt>
                <c:pt idx="1">
                  <c:v>954977.96501922607</c:v>
                </c:pt>
                <c:pt idx="2">
                  <c:v>989747.08638991043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3-C8CE-422F-9AF3-6B6B61CDDA40}"/>
            </c:ext>
          </c:extLst>
        </c:ser>
        <c:ser>
          <c:idx val="23"/>
          <c:order val="23"/>
          <c:tx>
            <c:strRef>
              <c:f>'Resultat-Eksport'!$Y$4:$Y$5</c:f>
              <c:strCache>
                <c:ptCount val="1"/>
                <c:pt idx="0">
                  <c:v>Øvrige</c:v>
                </c:pt>
              </c:strCache>
            </c:strRef>
          </c:tx>
          <c:spPr>
            <a:solidFill>
              <a:srgbClr val="009999"/>
            </a:solidFill>
            <a:ln w="25400"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'Resultat-Eksport'!$Y$6:$Y$9</c:f>
              <c:numCache>
                <c:formatCode>#,##0</c:formatCode>
                <c:ptCount val="3"/>
                <c:pt idx="0">
                  <c:v>2005102.1714007764</c:v>
                </c:pt>
                <c:pt idx="1">
                  <c:v>2101303.8465657956</c:v>
                </c:pt>
                <c:pt idx="2">
                  <c:v>2178741.0896790312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84-C8CE-422F-9AF3-6B6B61CDDA40}"/>
            </c:ext>
          </c:extLst>
        </c:ser>
        <c:ser>
          <c:idx val="24"/>
          <c:order val="24"/>
          <c:tx>
            <c:strRef>
              <c:f>'Resultat-Eksport'!$Z$4:$Z$5</c:f>
              <c:strCache>
                <c:ptCount val="1"/>
                <c:pt idx="0">
                  <c:v>Rapskage</c:v>
                </c:pt>
              </c:strCache>
            </c:strRef>
          </c:tx>
          <c:spPr>
            <a:solidFill>
              <a:schemeClr val="accent1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cat>
            <c:strRef>
              <c:f>'Resultat-Eksport'!$A$6:$A$9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'Resultat-Eksport'!$Z$6:$Z$9</c:f>
              <c:numCache>
                <c:formatCode>#,##0</c:formatCode>
                <c:ptCount val="3"/>
                <c:pt idx="0">
                  <c:v>98826.033045954537</c:v>
                </c:pt>
                <c:pt idx="1">
                  <c:v>67645.79750812499</c:v>
                </c:pt>
                <c:pt idx="2">
                  <c:v>80685.358019641164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18-4B03-941A-6B8127AA77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  <c:dispUnits>
          <c:builtInUnit val="millions"/>
          <c:dispUnitsLbl>
            <c:tx>
              <c:rich>
                <a:bodyPr rot="-5400000" spcFirstLastPara="1" vertOverflow="ellipsis" vert="horz" wrap="square" anchor="ctr" anchorCtr="1"/>
                <a:lstStyle/>
                <a:p>
                  <a:pPr>
                    <a:defRPr sz="11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rPr lang="en-GB"/>
                    <a:t>Millioner ton VV</a:t>
                  </a:r>
                </a:p>
              </c:rich>
            </c:tx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8159451994573381"/>
          <c:y val="0.12066413264960088"/>
          <c:w val="0.21840548005426619"/>
          <c:h val="0.8258542197366031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 sz="11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[BAUp20.xlsm]Resultat-Potentiale til energi!PivotTable3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0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1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2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2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3"/>
        <c:spPr>
          <a:solidFill>
            <a:schemeClr val="accent3">
              <a:lumMod val="40000"/>
              <a:lumOff val="6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4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6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4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5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6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7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8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5"/>
        <c:spPr>
          <a:solidFill>
            <a:schemeClr val="accent4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6"/>
        <c:spPr>
          <a:solidFill>
            <a:schemeClr val="accent6">
              <a:lumMod val="75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7"/>
        <c:spPr>
          <a:solidFill>
            <a:schemeClr val="accent2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0"/>
        <c:spPr>
          <a:solidFill>
            <a:schemeClr val="accent4">
              <a:lumMod val="50000"/>
            </a:schemeClr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1"/>
        <c:spPr>
          <a:solidFill>
            <a:srgbClr val="7030A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09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0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1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2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3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4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6"/>
        <c:spPr>
          <a:solidFill>
            <a:srgbClr val="6664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7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9"/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0"/>
        <c:spPr>
          <a:solidFill>
            <a:srgbClr val="7571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0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</c:pivotFmts>
    <c:plotArea>
      <c:layout>
        <c:manualLayout>
          <c:layoutTarget val="inner"/>
          <c:xMode val="edge"/>
          <c:yMode val="edge"/>
          <c:x val="9.6128441595236716E-2"/>
          <c:y val="2.2739018087855296E-2"/>
          <c:w val="0.66960124054282677"/>
          <c:h val="0.6773342261836038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'Resultat-Potentiale til energi'!$B$3:$B$4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energi'!$B$5:$B$14</c:f>
              <c:numCache>
                <c:formatCode>_(* #,##0.0_);_(* \(#,##0.0\);_(* "-"??_);_(@_)</c:formatCode>
                <c:ptCount val="6"/>
                <c:pt idx="0">
                  <c:v>17.543930524502301</c:v>
                </c:pt>
                <c:pt idx="1">
                  <c:v>20.140307454493183</c:v>
                </c:pt>
                <c:pt idx="2">
                  <c:v>20.231823778682948</c:v>
                </c:pt>
                <c:pt idx="3">
                  <c:v>7.483154704207001</c:v>
                </c:pt>
                <c:pt idx="4">
                  <c:v>5.3039408145388656</c:v>
                </c:pt>
                <c:pt idx="5">
                  <c:v>5.3702940021039831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D04-48C2-8AB8-13845168885F}"/>
            </c:ext>
          </c:extLst>
        </c:ser>
        <c:ser>
          <c:idx val="1"/>
          <c:order val="1"/>
          <c:tx>
            <c:strRef>
              <c:f>'Resultat-Potentiale til energi'!$C$3:$C$4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energi'!$C$5:$C$14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2.1694819870080004</c:v>
                </c:pt>
                <c:pt idx="4">
                  <c:v>2.1694819870080004</c:v>
                </c:pt>
                <c:pt idx="5">
                  <c:v>2.1694819870080004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88-4403-A1B8-A5228D8DFFFA}"/>
            </c:ext>
          </c:extLst>
        </c:ser>
        <c:ser>
          <c:idx val="2"/>
          <c:order val="2"/>
          <c:tx>
            <c:strRef>
              <c:f>'Resultat-Potentiale til energi'!$D$3:$D$4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energi'!$D$5:$D$14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9.7215276245828761</c:v>
                </c:pt>
                <c:pt idx="2">
                  <c:v>13.191017657049301</c:v>
                </c:pt>
                <c:pt idx="3">
                  <c:v>1.4201719861750002</c:v>
                </c:pt>
                <c:pt idx="4">
                  <c:v>1.4201719861750004</c:v>
                </c:pt>
                <c:pt idx="5">
                  <c:v>1.4201719861750002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188-4403-A1B8-A5228D8DFFFA}"/>
            </c:ext>
          </c:extLst>
        </c:ser>
        <c:ser>
          <c:idx val="3"/>
          <c:order val="3"/>
          <c:tx>
            <c:strRef>
              <c:f>'Resultat-Potentiale til energi'!$E$3:$E$4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energi'!$E$5:$E$14</c:f>
              <c:numCache>
                <c:formatCode>_(* #,##0.0_);_(* \(#,##0.0\);_(* "-"??_);_(@_)</c:formatCode>
                <c:ptCount val="6"/>
                <c:pt idx="0">
                  <c:v>19.573590488557194</c:v>
                </c:pt>
                <c:pt idx="1">
                  <c:v>18.898503241211166</c:v>
                </c:pt>
                <c:pt idx="2">
                  <c:v>19.152454605131187</c:v>
                </c:pt>
                <c:pt idx="3">
                  <c:v>0.45076703431999998</c:v>
                </c:pt>
                <c:pt idx="4">
                  <c:v>0.45076703432000004</c:v>
                </c:pt>
                <c:pt idx="5">
                  <c:v>0.45076703432000015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188-4403-A1B8-A5228D8DFFFA}"/>
            </c:ext>
          </c:extLst>
        </c:ser>
        <c:ser>
          <c:idx val="4"/>
          <c:order val="4"/>
          <c:tx>
            <c:strRef>
              <c:f>'Resultat-Potentiale til energi'!$F$3:$F$4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energi'!$F$5:$F$14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0.35905402506237244</c:v>
                </c:pt>
                <c:pt idx="2">
                  <c:v>0.35905402506237249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188-4403-A1B8-A5228D8DFFFA}"/>
            </c:ext>
          </c:extLst>
        </c:ser>
        <c:ser>
          <c:idx val="5"/>
          <c:order val="5"/>
          <c:tx>
            <c:strRef>
              <c:f>'Resultat-Potentiale til energi'!$G$3:$G$4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energi'!$G$5:$G$14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2.4182220169495992</c:v>
                </c:pt>
                <c:pt idx="2">
                  <c:v>2.5339174515084348</c:v>
                </c:pt>
                <c:pt idx="3">
                  <c:v>5.0922829580050024</c:v>
                </c:pt>
                <c:pt idx="4">
                  <c:v>15.042523814801294</c:v>
                </c:pt>
                <c:pt idx="5">
                  <c:v>14.90455589524715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188-4403-A1B8-A5228D8DFFFA}"/>
            </c:ext>
          </c:extLst>
        </c:ser>
        <c:ser>
          <c:idx val="6"/>
          <c:order val="6"/>
          <c:tx>
            <c:strRef>
              <c:f>'Resultat-Potentiale til energi'!$H$3:$H$4</c:f>
              <c:strCache>
                <c:ptCount val="1"/>
                <c:pt idx="0">
                  <c:v>Pyrolyseprodukter</c:v>
                </c:pt>
              </c:strCache>
            </c:strRef>
          </c:tx>
          <c:spPr>
            <a:solidFill>
              <a:srgbClr val="757171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energi'!$H$5:$H$14</c:f>
              <c:numCache>
                <c:formatCode>_(* #,##0.0_);_(* \(#,##0.0\);_(* "-"??_);_(@_)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188-4403-A1B8-A5228D8DFFFA}"/>
            </c:ext>
          </c:extLst>
        </c:ser>
        <c:ser>
          <c:idx val="7"/>
          <c:order val="7"/>
          <c:tx>
            <c:strRef>
              <c:f>'Resultat-Potentiale til energi'!$I$3:$I$4</c:f>
              <c:strCache>
                <c:ptCount val="1"/>
                <c:pt idx="0">
                  <c:v>Rapsolie</c:v>
                </c:pt>
              </c:strCache>
            </c:strRef>
          </c:tx>
          <c:spPr>
            <a:solidFill>
              <a:srgbClr val="666400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energi'!$I$5:$I$14</c:f>
              <c:numCache>
                <c:formatCode>_(* #,##0.0_);_(* \(#,##0.0\);_(* "-"??_);_(@_)</c:formatCode>
                <c:ptCount val="6"/>
                <c:pt idx="0">
                  <c:v>3.951047127829578</c:v>
                </c:pt>
                <c:pt idx="1">
                  <c:v>7.9766231601288453</c:v>
                </c:pt>
                <c:pt idx="2">
                  <c:v>8.2687093155868077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188-4403-A1B8-A5228D8DFFFA}"/>
            </c:ext>
          </c:extLst>
        </c:ser>
        <c:ser>
          <c:idx val="8"/>
          <c:order val="8"/>
          <c:tx>
            <c:strRef>
              <c:f>'Resultat-Potentiale til energi'!$J$3:$J$4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multiLvlStrRef>
              <c:f>'Resultat-Potentiale til energi'!$A$5:$A$14</c:f>
              <c:multiLvlStrCache>
                <c:ptCount val="6"/>
                <c:lvl>
                  <c:pt idx="0">
                    <c:v>2019</c:v>
                  </c:pt>
                  <c:pt idx="1">
                    <c:v>2030</c:v>
                  </c:pt>
                  <c:pt idx="2">
                    <c:v>2050</c:v>
                  </c:pt>
                  <c:pt idx="3">
                    <c:v>2019</c:v>
                  </c:pt>
                  <c:pt idx="4">
                    <c:v>2030</c:v>
                  </c:pt>
                  <c:pt idx="5">
                    <c:v>2050</c:v>
                  </c:pt>
                </c:lvl>
                <c:lvl>
                  <c:pt idx="0">
                    <c:v>Sum of Biomasser til energi eksl. biogas [PJ]</c:v>
                  </c:pt>
                  <c:pt idx="3">
                    <c:v>Sum of Biogasproduktion [PJ]</c:v>
                  </c:pt>
                </c:lvl>
              </c:multiLvlStrCache>
            </c:multiLvlStrRef>
          </c:cat>
          <c:val>
            <c:numRef>
              <c:f>'Resultat-Potentiale til energi'!$J$5:$J$14</c:f>
              <c:numCache>
                <c:formatCode>_(* #,##0.0_);_(* \(#,##0.0\);_(* "-"??_);_(@_)</c:formatCode>
                <c:ptCount val="6"/>
                <c:pt idx="0">
                  <c:v>47.489094924341849</c:v>
                </c:pt>
                <c:pt idx="1">
                  <c:v>45.280222691386172</c:v>
                </c:pt>
                <c:pt idx="2">
                  <c:v>41.635477473780199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188-4403-A1B8-A5228D8DFF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1496238304"/>
        <c:axId val="1496234144"/>
      </c:barChart>
      <c:catAx>
        <c:axId val="14962383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4144"/>
        <c:crosses val="autoZero"/>
        <c:auto val="1"/>
        <c:lblAlgn val="ctr"/>
        <c:lblOffset val="100"/>
        <c:noMultiLvlLbl val="0"/>
      </c:catAx>
      <c:valAx>
        <c:axId val="1496234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600"/>
                  <a:t>PJ/år</a:t>
                </a:r>
              </a:p>
            </c:rich>
          </c:tx>
          <c:layout>
            <c:manualLayout>
              <c:xMode val="edge"/>
              <c:yMode val="edge"/>
              <c:x val="1.1219837341270912E-2"/>
              <c:y val="0.4270413559008935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.0_);_(* \(#,##0.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14962383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407907364797637"/>
          <c:y val="0.16087837993857804"/>
          <c:w val="0.18126189930082728"/>
          <c:h val="0.547618014023906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[BAUp20.xlsm]Resultat-Tørstof til energi!PivotTable1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2"/>
        <c:spPr>
          <a:solidFill>
            <a:srgbClr val="99663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95"/>
        <c:spPr>
          <a:solidFill>
            <a:srgbClr val="375623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6"/>
        <c:spPr>
          <a:solidFill>
            <a:srgbClr val="222B35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7"/>
        <c:spPr>
          <a:solidFill>
            <a:srgbClr val="A9D08E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8"/>
        <c:spPr>
          <a:solidFill>
            <a:srgbClr val="BF8F00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9"/>
        <c:spPr>
          <a:solidFill>
            <a:srgbClr val="4472C4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0"/>
        <c:spPr>
          <a:solidFill>
            <a:srgbClr val="F3A671"/>
          </a:solidFill>
          <a:ln w="25400"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0.10080853560685336"/>
          <c:y val="6.7721732803201581E-2"/>
          <c:w val="0.64997836523489927"/>
          <c:h val="0.83771766152993254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'Resultat-Tørstof til energi'!$B$1:$B$2</c:f>
              <c:strCache>
                <c:ptCount val="1"/>
                <c:pt idx="0">
                  <c:v>Bionedbrydeligt affald</c:v>
                </c:pt>
              </c:strCache>
            </c:strRef>
          </c:tx>
          <c:spPr>
            <a:solidFill>
              <a:srgbClr val="37562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energi'!$B$3:$B$6</c:f>
              <c:numCache>
                <c:formatCode>_(* #,##0_);_(* \(#,##0\);_(* "-"??_);_(@_)</c:formatCode>
                <c:ptCount val="3"/>
                <c:pt idx="0">
                  <c:v>1077304.94</c:v>
                </c:pt>
                <c:pt idx="1">
                  <c:v>1173470.7461407222</c:v>
                </c:pt>
                <c:pt idx="2">
                  <c:v>1191829.5713620714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96-4FB8-B912-C5A070137C35}"/>
            </c:ext>
          </c:extLst>
        </c:ser>
        <c:ser>
          <c:idx val="1"/>
          <c:order val="1"/>
          <c:tx>
            <c:strRef>
              <c:f>'Resultat-Tørstof til energi'!$C$1:$C$2</c:f>
              <c:strCache>
                <c:ptCount val="1"/>
                <c:pt idx="0">
                  <c:v>Glycerin</c:v>
                </c:pt>
              </c:strCache>
            </c:strRef>
          </c:tx>
          <c:spPr>
            <a:solidFill>
              <a:srgbClr val="222B35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energi'!$C$3:$C$6</c:f>
              <c:numCache>
                <c:formatCode>_(* #,##0_);_(* \(#,##0\);_(* "-"??_);_(@_)</c:formatCode>
                <c:ptCount val="3"/>
                <c:pt idx="0">
                  <c:v>128467.8</c:v>
                </c:pt>
                <c:pt idx="1">
                  <c:v>128467.8</c:v>
                </c:pt>
                <c:pt idx="2">
                  <c:v>128467.8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E96-4FB8-B912-C5A070137C35}"/>
            </c:ext>
          </c:extLst>
        </c:ser>
        <c:ser>
          <c:idx val="2"/>
          <c:order val="2"/>
          <c:tx>
            <c:strRef>
              <c:f>'Resultat-Tørstof til energi'!$D$1:$D$2</c:f>
              <c:strCache>
                <c:ptCount val="1"/>
                <c:pt idx="0">
                  <c:v>Græs og urter</c:v>
                </c:pt>
              </c:strCache>
            </c:strRef>
          </c:tx>
          <c:spPr>
            <a:solidFill>
              <a:srgbClr val="A9D08E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energi'!$D$3:$D$6</c:f>
              <c:numCache>
                <c:formatCode>_(* #,##0_);_(* \(#,##0\);_(* "-"??_);_(@_)</c:formatCode>
                <c:ptCount val="3"/>
                <c:pt idx="0">
                  <c:v>128726.35999999999</c:v>
                </c:pt>
                <c:pt idx="1">
                  <c:v>1160553.4746754284</c:v>
                </c:pt>
                <c:pt idx="2">
                  <c:v>1565626.3159673489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E96-4FB8-B912-C5A070137C35}"/>
            </c:ext>
          </c:extLst>
        </c:ser>
        <c:ser>
          <c:idx val="3"/>
          <c:order val="3"/>
          <c:tx>
            <c:strRef>
              <c:f>'Resultat-Tørstof til energi'!$E$1:$E$2</c:f>
              <c:strCache>
                <c:ptCount val="1"/>
                <c:pt idx="0">
                  <c:v>Halm og strå</c:v>
                </c:pt>
              </c:strCache>
            </c:strRef>
          </c:tx>
          <c:spPr>
            <a:solidFill>
              <a:srgbClr val="BF8F00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energi'!$E$3:$E$6</c:f>
              <c:numCache>
                <c:formatCode>_(* #,##0_);_(* \(#,##0\);_(* "-"??_);_(@_)</c:formatCode>
                <c:ptCount val="3"/>
                <c:pt idx="0">
                  <c:v>1675417.9906552273</c:v>
                </c:pt>
                <c:pt idx="1">
                  <c:v>1651174.8680226803</c:v>
                </c:pt>
                <c:pt idx="2">
                  <c:v>1682803.8007453769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E96-4FB8-B912-C5A070137C35}"/>
            </c:ext>
          </c:extLst>
        </c:ser>
        <c:ser>
          <c:idx val="4"/>
          <c:order val="4"/>
          <c:tx>
            <c:strRef>
              <c:f>'Resultat-Tørstof til energi'!$F$1:$F$2</c:f>
              <c:strCache>
                <c:ptCount val="1"/>
                <c:pt idx="0">
                  <c:v>Havbiomasse</c:v>
                </c:pt>
              </c:strCache>
            </c:strRef>
          </c:tx>
          <c:spPr>
            <a:solidFill>
              <a:srgbClr val="4472C4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energi'!$F$3:$F$6</c:f>
              <c:numCache>
                <c:formatCode>_(* #,##0_);_(* \(#,##0\);_(* "-"??_);_(@_)</c:formatCode>
                <c:ptCount val="3"/>
                <c:pt idx="0">
                  <c:v>0</c:v>
                </c:pt>
                <c:pt idx="1">
                  <c:v>60009.02925833522</c:v>
                </c:pt>
                <c:pt idx="2">
                  <c:v>60009.02925833522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DE96-4FB8-B912-C5A070137C35}"/>
            </c:ext>
          </c:extLst>
        </c:ser>
        <c:ser>
          <c:idx val="5"/>
          <c:order val="5"/>
          <c:tx>
            <c:strRef>
              <c:f>'Resultat-Tørstof til energi'!$G$1:$G$2</c:f>
              <c:strCache>
                <c:ptCount val="1"/>
                <c:pt idx="0">
                  <c:v>Husdyrgødning</c:v>
                </c:pt>
              </c:strCache>
            </c:strRef>
          </c:tx>
          <c:spPr>
            <a:solidFill>
              <a:srgbClr val="F3A671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energi'!$G$3:$G$6</c:f>
              <c:numCache>
                <c:formatCode>_(* #,##0_);_(* \(#,##0\);_(* "-"??_);_(@_)</c:formatCode>
                <c:ptCount val="3"/>
                <c:pt idx="0">
                  <c:v>704016.11583333346</c:v>
                </c:pt>
                <c:pt idx="1">
                  <c:v>2391831.0305737425</c:v>
                </c:pt>
                <c:pt idx="2">
                  <c:v>2392074.3977685794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DE96-4FB8-B912-C5A070137C35}"/>
            </c:ext>
          </c:extLst>
        </c:ser>
        <c:ser>
          <c:idx val="6"/>
          <c:order val="6"/>
          <c:tx>
            <c:strRef>
              <c:f>'Resultat-Tørstof til energi'!$H$1:$H$2</c:f>
              <c:strCache>
                <c:ptCount val="1"/>
                <c:pt idx="0">
                  <c:v>Vedmasse</c:v>
                </c:pt>
              </c:strCache>
            </c:strRef>
          </c:tx>
          <c:spPr>
            <a:solidFill>
              <a:srgbClr val="996633"/>
            </a:solidFill>
            <a:ln w="25400">
              <a:noFill/>
            </a:ln>
            <a:effectLst/>
          </c:spPr>
          <c:invertIfNegative val="0"/>
          <c:cat>
            <c:strRef>
              <c:f>'Resultat-Tørstof til energi'!$A$3:$A$6</c:f>
              <c:strCache>
                <c:ptCount val="3"/>
                <c:pt idx="0">
                  <c:v>2019</c:v>
                </c:pt>
                <c:pt idx="1">
                  <c:v>2030</c:v>
                </c:pt>
                <c:pt idx="2">
                  <c:v>2050</c:v>
                </c:pt>
              </c:strCache>
            </c:strRef>
          </c:cat>
          <c:val>
            <c:numRef>
              <c:f>'Resultat-Tørstof til energi'!$H$3:$H$6</c:f>
              <c:numCache>
                <c:formatCode>_(* #,##0_);_(* \(#,##0\);_(* "-"??_);_(@_)</c:formatCode>
                <c:ptCount val="3"/>
                <c:pt idx="0">
                  <c:v>1575873.4784311759</c:v>
                </c:pt>
                <c:pt idx="1">
                  <c:v>1498974.2460576054</c:v>
                </c:pt>
                <c:pt idx="2">
                  <c:v>1372767.4962379688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DE96-4FB8-B912-C5A070137C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233149743"/>
        <c:axId val="233150159"/>
      </c:barChart>
      <c:catAx>
        <c:axId val="2331497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50159"/>
        <c:crosses val="autoZero"/>
        <c:auto val="1"/>
        <c:lblAlgn val="ctr"/>
        <c:lblOffset val="100"/>
        <c:noMultiLvlLbl val="0"/>
      </c:catAx>
      <c:valAx>
        <c:axId val="233150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sz="1200"/>
                  <a:t>Ton</a:t>
                </a:r>
              </a:p>
            </c:rich>
          </c:tx>
          <c:layout>
            <c:manualLayout>
              <c:xMode val="edge"/>
              <c:yMode val="edge"/>
              <c:x val="2.3973159050852989E-2"/>
              <c:y val="0.4608159871105220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DK"/>
            </a:p>
          </c:txPr>
        </c:title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DK"/>
          </a:p>
        </c:txPr>
        <c:crossAx val="233149743"/>
        <c:crosses val="autoZero"/>
        <c:crossBetween val="between"/>
        <c:dispUnits>
          <c:builtInUnit val="millions"/>
          <c:dispUnitsLbl>
            <c:spPr>
              <a:noFill/>
              <a:ln>
                <a:noFill/>
              </a:ln>
              <a:effectLst/>
            </c:spPr>
            <c:txPr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DK"/>
              </a:p>
            </c:txPr>
          </c:dispUnitsLbl>
        </c:dispUnits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2671809718962941"/>
          <c:y val="0.2441606680353075"/>
          <c:w val="0.16634348066948307"/>
          <c:h val="0.4522725500896546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DK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DK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image" Target="../media/image2.svg"/><Relationship Id="rId4" Type="http://schemas.openxmlformats.org/officeDocument/2006/relationships/chart" Target="../charts/chart4.xml"/><Relationship Id="rId9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1.png"/><Relationship Id="rId1" Type="http://schemas.openxmlformats.org/officeDocument/2006/relationships/chart" Target="../charts/chart9.xml"/><Relationship Id="rId4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5" Type="http://schemas.openxmlformats.org/officeDocument/2006/relationships/chart" Target="../charts/chart13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.xml"/><Relationship Id="rId2" Type="http://schemas.openxmlformats.org/officeDocument/2006/relationships/image" Target="../media/image3.svg"/><Relationship Id="rId1" Type="http://schemas.openxmlformats.org/officeDocument/2006/relationships/image" Target="../media/image1.png"/><Relationship Id="rId4" Type="http://schemas.openxmlformats.org/officeDocument/2006/relationships/chart" Target="../charts/chart15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4" Type="http://schemas.openxmlformats.org/officeDocument/2006/relationships/image" Target="../media/image3.sv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image" Target="../media/image3.svg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21.xml"/><Relationship Id="rId1" Type="http://schemas.openxmlformats.org/officeDocument/2006/relationships/chart" Target="../charts/chart20.xml"/><Relationship Id="rId4" Type="http://schemas.openxmlformats.org/officeDocument/2006/relationships/image" Target="../media/image3.sv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svg"/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4</xdr:row>
      <xdr:rowOff>180975</xdr:rowOff>
    </xdr:from>
    <xdr:to>
      <xdr:col>14</xdr:col>
      <xdr:colOff>310863</xdr:colOff>
      <xdr:row>28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B549938-3C1E-4C4C-B8EF-5E8891144F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327025</xdr:colOff>
      <xdr:row>27</xdr:row>
      <xdr:rowOff>174625</xdr:rowOff>
    </xdr:from>
    <xdr:to>
      <xdr:col>14</xdr:col>
      <xdr:colOff>317500</xdr:colOff>
      <xdr:row>60</xdr:row>
      <xdr:rowOff>9525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C7BC977-A100-49DA-A113-88122B9AFE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450274</xdr:colOff>
      <xdr:row>59</xdr:row>
      <xdr:rowOff>173182</xdr:rowOff>
    </xdr:from>
    <xdr:to>
      <xdr:col>13</xdr:col>
      <xdr:colOff>489858</xdr:colOff>
      <xdr:row>98</xdr:row>
      <xdr:rowOff>116032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909C8B2-04AD-4178-82F1-CF7BCBC0435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102</xdr:row>
      <xdr:rowOff>76199</xdr:rowOff>
    </xdr:from>
    <xdr:to>
      <xdr:col>14</xdr:col>
      <xdr:colOff>577562</xdr:colOff>
      <xdr:row>134</xdr:row>
      <xdr:rowOff>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BD54DE3-A201-4FEB-A7CA-50B91E66669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oneCellAnchor>
    <xdr:from>
      <xdr:col>14</xdr:col>
      <xdr:colOff>123825</xdr:colOff>
      <xdr:row>0</xdr:row>
      <xdr:rowOff>160020</xdr:rowOff>
    </xdr:from>
    <xdr:ext cx="184731" cy="311496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F458C36B-E47D-42B1-8F91-57D7A1801B67}"/>
            </a:ext>
          </a:extLst>
        </xdr:cNvPr>
        <xdr:cNvSpPr txBox="1"/>
      </xdr:nvSpPr>
      <xdr:spPr>
        <a:xfrm>
          <a:off x="8658225" y="160020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15</xdr:col>
      <xdr:colOff>406111</xdr:colOff>
      <xdr:row>101</xdr:row>
      <xdr:rowOff>47625</xdr:rowOff>
    </xdr:from>
    <xdr:to>
      <xdr:col>28</xdr:col>
      <xdr:colOff>0</xdr:colOff>
      <xdr:row>135</xdr:row>
      <xdr:rowOff>15875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3FD1CD0-B7CB-4BF9-A9D5-2F3AF5B8F6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2</xdr:col>
      <xdr:colOff>504825</xdr:colOff>
      <xdr:row>56</xdr:row>
      <xdr:rowOff>114300</xdr:rowOff>
    </xdr:from>
    <xdr:ext cx="184731" cy="311496"/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3CF49BC9-BBA5-4DB5-BDDC-5F05548FD165}"/>
            </a:ext>
          </a:extLst>
        </xdr:cNvPr>
        <xdr:cNvSpPr txBox="1"/>
      </xdr:nvSpPr>
      <xdr:spPr>
        <a:xfrm>
          <a:off x="1724025" y="10791825"/>
          <a:ext cx="184731" cy="31149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GB" sz="1400"/>
        </a:p>
      </xdr:txBody>
    </xdr:sp>
    <xdr:clientData/>
  </xdr:oneCellAnchor>
  <xdr:twoCellAnchor>
    <xdr:from>
      <xdr:col>1</xdr:col>
      <xdr:colOff>517526</xdr:colOff>
      <xdr:row>183</xdr:row>
      <xdr:rowOff>1588</xdr:rowOff>
    </xdr:from>
    <xdr:to>
      <xdr:col>25</xdr:col>
      <xdr:colOff>514350</xdr:colOff>
      <xdr:row>247</xdr:row>
      <xdr:rowOff>127000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2869FBBA-D7EE-4C50-AB5B-C1A5D18477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</xdr:col>
      <xdr:colOff>339995</xdr:colOff>
      <xdr:row>136</xdr:row>
      <xdr:rowOff>167120</xdr:rowOff>
    </xdr:from>
    <xdr:to>
      <xdr:col>12</xdr:col>
      <xdr:colOff>432954</xdr:colOff>
      <xdr:row>164</xdr:row>
      <xdr:rowOff>138545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D89DBFE2-523D-4A0B-B271-BCF83E3789E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15</xdr:col>
      <xdr:colOff>571501</xdr:colOff>
      <xdr:row>134</xdr:row>
      <xdr:rowOff>142876</xdr:rowOff>
    </xdr:from>
    <xdr:to>
      <xdr:col>26</xdr:col>
      <xdr:colOff>519894</xdr:colOff>
      <xdr:row>182</xdr:row>
      <xdr:rowOff>178594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3E61E9DE-A235-42BF-954E-118A61E7BE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139700</xdr:colOff>
      <xdr:row>3</xdr:row>
      <xdr:rowOff>133350</xdr:rowOff>
    </xdr:from>
    <xdr:to>
      <xdr:col>2</xdr:col>
      <xdr:colOff>279400</xdr:colOff>
      <xdr:row>5</xdr:row>
      <xdr:rowOff>165100</xdr:rowOff>
    </xdr:to>
    <xdr:grpSp>
      <xdr:nvGrpSpPr>
        <xdr:cNvPr id="18" name="Group 17">
          <a:extLst>
            <a:ext uri="{FF2B5EF4-FFF2-40B4-BE49-F238E27FC236}">
              <a16:creationId xmlns:a16="http://schemas.microsoft.com/office/drawing/2014/main" id="{CD609B87-A871-4D1E-B9D5-11A72EE130FB}"/>
            </a:ext>
          </a:extLst>
        </xdr:cNvPr>
        <xdr:cNvGrpSpPr/>
      </xdr:nvGrpSpPr>
      <xdr:grpSpPr>
        <a:xfrm>
          <a:off x="139700" y="704850"/>
          <a:ext cx="1364343" cy="41275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16" name="Rectangle: Rounded Corners 15">
            <a:extLst>
              <a:ext uri="{FF2B5EF4-FFF2-40B4-BE49-F238E27FC236}">
                <a16:creationId xmlns:a16="http://schemas.microsoft.com/office/drawing/2014/main" id="{C8E84409-F266-43FA-9025-F85ED2FCF61A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</a:t>
            </a:r>
            <a:endParaRPr lang="en-DK" sz="9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65E41C5B-B904-4BA2-810E-690326EA061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0</xdr:rowOff>
    </xdr:from>
    <xdr:to>
      <xdr:col>4</xdr:col>
      <xdr:colOff>145143</xdr:colOff>
      <xdr:row>4</xdr:row>
      <xdr:rowOff>174625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719F669E-7800-422D-8B6D-086E209FF9E5}"/>
            </a:ext>
          </a:extLst>
        </xdr:cNvPr>
        <xdr:cNvGrpSpPr/>
      </xdr:nvGrpSpPr>
      <xdr:grpSpPr>
        <a:xfrm>
          <a:off x="2009775" y="190500"/>
          <a:ext cx="1364343" cy="746125"/>
          <a:chOff x="9855200" y="1371598"/>
          <a:chExt cx="2387600" cy="1147885"/>
        </a:xfrm>
        <a:solidFill>
          <a:schemeClr val="accent1">
            <a:lumMod val="75000"/>
          </a:schemeClr>
        </a:solidFill>
      </xdr:grpSpPr>
      <xdr:sp macro="[0]!ColorByCategoryLabel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45718031-6CCD-4795-807C-965998C1D939}"/>
              </a:ext>
            </a:extLst>
          </xdr:cNvPr>
          <xdr:cNvSpPr/>
        </xdr:nvSpPr>
        <xdr:spPr>
          <a:xfrm>
            <a:off x="9855200" y="1371598"/>
            <a:ext cx="2387600" cy="1147885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800" b="1"/>
              <a:t>Opdatér farver</a:t>
            </a:r>
            <a:endParaRPr lang="en-DK" sz="900" b="1"/>
          </a:p>
        </xdr:txBody>
      </xdr:sp>
      <xdr:pic>
        <xdr:nvPicPr>
          <xdr:cNvPr id="4" name="Graphic 3" descr="Repeat with solid fill">
            <a:extLst>
              <a:ext uri="{FF2B5EF4-FFF2-40B4-BE49-F238E27FC236}">
                <a16:creationId xmlns:a16="http://schemas.microsoft.com/office/drawing/2014/main" id="{591CF8B2-D95D-4E9C-BF85-507F92C5141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18138" y="1689100"/>
            <a:ext cx="603249" cy="603249"/>
          </a:xfrm>
          <a:prstGeom prst="rect">
            <a:avLst/>
          </a:prstGeom>
        </xdr:spPr>
      </xdr:pic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49305</xdr:colOff>
      <xdr:row>18</xdr:row>
      <xdr:rowOff>20843</xdr:rowOff>
    </xdr:from>
    <xdr:to>
      <xdr:col>3</xdr:col>
      <xdr:colOff>42581</xdr:colOff>
      <xdr:row>57</xdr:row>
      <xdr:rowOff>123264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292305-C0BD-4504-98A3-69B5E170981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2622176</xdr:colOff>
      <xdr:row>17</xdr:row>
      <xdr:rowOff>168088</xdr:rowOff>
    </xdr:from>
    <xdr:to>
      <xdr:col>2</xdr:col>
      <xdr:colOff>324971</xdr:colOff>
      <xdr:row>19</xdr:row>
      <xdr:rowOff>145677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618526-90D3-4345-BFF5-A00178158BE1}"/>
            </a:ext>
          </a:extLst>
        </xdr:cNvPr>
        <xdr:cNvGrpSpPr/>
      </xdr:nvGrpSpPr>
      <xdr:grpSpPr>
        <a:xfrm>
          <a:off x="5020235" y="3765176"/>
          <a:ext cx="1187824" cy="358589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42553731-2BB1-4F66-A1F0-46CF4080861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6" name="Graphic 5" descr="Repeat with solid fill">
            <a:extLst>
              <a:ext uri="{FF2B5EF4-FFF2-40B4-BE49-F238E27FC236}">
                <a16:creationId xmlns:a16="http://schemas.microsoft.com/office/drawing/2014/main" id="{96CC0D94-B8A5-489F-95B7-AC0D0474E23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414618</xdr:colOff>
      <xdr:row>18</xdr:row>
      <xdr:rowOff>44824</xdr:rowOff>
    </xdr:from>
    <xdr:to>
      <xdr:col>8</xdr:col>
      <xdr:colOff>1439770</xdr:colOff>
      <xdr:row>57</xdr:row>
      <xdr:rowOff>123264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ADE3276A-B720-4005-BE94-F5AEF71D08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403412</xdr:colOff>
      <xdr:row>0</xdr:row>
      <xdr:rowOff>179294</xdr:rowOff>
    </xdr:from>
    <xdr:to>
      <xdr:col>6</xdr:col>
      <xdr:colOff>683559</xdr:colOff>
      <xdr:row>2</xdr:row>
      <xdr:rowOff>168088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D55A1D4-E963-4D29-A0A1-1491BE108F01}"/>
            </a:ext>
          </a:extLst>
        </xdr:cNvPr>
        <xdr:cNvGrpSpPr/>
      </xdr:nvGrpSpPr>
      <xdr:grpSpPr>
        <a:xfrm>
          <a:off x="6790765" y="179294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6E0ABC5B-271A-4A50-9697-115DDEA3EB1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29D70D6D-6EF3-42B5-976C-8A93F55076B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683559</xdr:colOff>
      <xdr:row>18</xdr:row>
      <xdr:rowOff>80273</xdr:rowOff>
    </xdr:from>
    <xdr:to>
      <xdr:col>10</xdr:col>
      <xdr:colOff>156883</xdr:colOff>
      <xdr:row>45</xdr:row>
      <xdr:rowOff>40492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338FF8F-AAB1-4ACA-AEC2-4589671F44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1004710</xdr:colOff>
      <xdr:row>18</xdr:row>
      <xdr:rowOff>33619</xdr:rowOff>
    </xdr:from>
    <xdr:to>
      <xdr:col>19</xdr:col>
      <xdr:colOff>347381</xdr:colOff>
      <xdr:row>65</xdr:row>
      <xdr:rowOff>11205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2E2B4BC-292B-4275-9470-4553611F2F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145677</xdr:colOff>
      <xdr:row>0</xdr:row>
      <xdr:rowOff>0</xdr:rowOff>
    </xdr:from>
    <xdr:to>
      <xdr:col>15</xdr:col>
      <xdr:colOff>341594</xdr:colOff>
      <xdr:row>18</xdr:row>
      <xdr:rowOff>67234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0F30B4D-91F6-4BE7-9CE9-9D271F726EA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190500</xdr:colOff>
      <xdr:row>1</xdr:row>
      <xdr:rowOff>9525</xdr:rowOff>
    </xdr:from>
    <xdr:to>
      <xdr:col>8</xdr:col>
      <xdr:colOff>170329</xdr:colOff>
      <xdr:row>3</xdr:row>
      <xdr:rowOff>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BB2E9C09-0B2C-4768-9BBD-CB5715013B02}"/>
            </a:ext>
          </a:extLst>
        </xdr:cNvPr>
        <xdr:cNvGrpSpPr/>
      </xdr:nvGrpSpPr>
      <xdr:grpSpPr>
        <a:xfrm>
          <a:off x="6505575" y="2000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2CAECEC0-288C-4445-A4AB-8401C1B7098F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B88F4F41-365A-480F-894E-B133A834B3D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0</xdr:colOff>
      <xdr:row>4</xdr:row>
      <xdr:rowOff>46654</xdr:rowOff>
    </xdr:from>
    <xdr:to>
      <xdr:col>13</xdr:col>
      <xdr:colOff>226359</xdr:colOff>
      <xdr:row>31</xdr:row>
      <xdr:rowOff>189529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9EFA24CC-40CB-4D50-A0FD-B305D84990D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585610</xdr:colOff>
      <xdr:row>4</xdr:row>
      <xdr:rowOff>0</xdr:rowOff>
    </xdr:from>
    <xdr:to>
      <xdr:col>23</xdr:col>
      <xdr:colOff>428063</xdr:colOff>
      <xdr:row>52</xdr:row>
      <xdr:rowOff>126624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4C387279-A875-426A-8170-EF765853FD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133910</xdr:colOff>
      <xdr:row>18</xdr:row>
      <xdr:rowOff>100853</xdr:rowOff>
    </xdr:from>
    <xdr:to>
      <xdr:col>14</xdr:col>
      <xdr:colOff>78441</xdr:colOff>
      <xdr:row>71</xdr:row>
      <xdr:rowOff>184898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CDDE6EC-FB44-425A-A8A9-2DCB192249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204786</xdr:colOff>
      <xdr:row>1</xdr:row>
      <xdr:rowOff>0</xdr:rowOff>
    </xdr:from>
    <xdr:to>
      <xdr:col>14</xdr:col>
      <xdr:colOff>145676</xdr:colOff>
      <xdr:row>16</xdr:row>
      <xdr:rowOff>134471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15F52DD-8325-413A-9320-D01BDF265C9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112059</xdr:colOff>
      <xdr:row>1</xdr:row>
      <xdr:rowOff>22412</xdr:rowOff>
    </xdr:from>
    <xdr:to>
      <xdr:col>7</xdr:col>
      <xdr:colOff>100853</xdr:colOff>
      <xdr:row>3</xdr:row>
      <xdr:rowOff>22412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36A28B9-BDA4-4586-A8C4-A43ECCCB03A0}"/>
            </a:ext>
          </a:extLst>
        </xdr:cNvPr>
        <xdr:cNvGrpSpPr/>
      </xdr:nvGrpSpPr>
      <xdr:grpSpPr>
        <a:xfrm>
          <a:off x="3760134" y="212912"/>
          <a:ext cx="1207994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D4D32E5C-0EFD-418F-BC5F-361AC3040956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479E5F71-FA86-4ADA-96E9-6C18873FE55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967740</xdr:colOff>
      <xdr:row>8</xdr:row>
      <xdr:rowOff>121920</xdr:rowOff>
    </xdr:from>
    <xdr:to>
      <xdr:col>9</xdr:col>
      <xdr:colOff>539114</xdr:colOff>
      <xdr:row>26</xdr:row>
      <xdr:rowOff>93345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C3046B8-63EA-4CD6-9D01-3E3512A713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</xdr:colOff>
      <xdr:row>8</xdr:row>
      <xdr:rowOff>102870</xdr:rowOff>
    </xdr:from>
    <xdr:to>
      <xdr:col>5</xdr:col>
      <xdr:colOff>952500</xdr:colOff>
      <xdr:row>26</xdr:row>
      <xdr:rowOff>11430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4710DB88-6590-4361-8F5B-07A67E0C6FD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361950</xdr:colOff>
      <xdr:row>2</xdr:row>
      <xdr:rowOff>38100</xdr:rowOff>
    </xdr:from>
    <xdr:to>
      <xdr:col>9</xdr:col>
      <xdr:colOff>179854</xdr:colOff>
      <xdr:row>4</xdr:row>
      <xdr:rowOff>38100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6B05B455-DF29-4650-8182-0B31B82662F6}"/>
            </a:ext>
          </a:extLst>
        </xdr:cNvPr>
        <xdr:cNvGrpSpPr/>
      </xdr:nvGrpSpPr>
      <xdr:grpSpPr>
        <a:xfrm>
          <a:off x="8648700" y="419100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9" name="Rectangle: Rounded Corners 8">
            <a:extLst>
              <a:ext uri="{FF2B5EF4-FFF2-40B4-BE49-F238E27FC236}">
                <a16:creationId xmlns:a16="http://schemas.microsoft.com/office/drawing/2014/main" id="{23AA88D9-E705-498C-9D4B-A1C2A7438911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10" name="Graphic 9" descr="Repeat with solid fill">
            <a:extLst>
              <a:ext uri="{FF2B5EF4-FFF2-40B4-BE49-F238E27FC236}">
                <a16:creationId xmlns:a16="http://schemas.microsoft.com/office/drawing/2014/main" id="{FA52FF13-01E7-4059-8F1C-15825DA7EC9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107271</xdr:colOff>
      <xdr:row>13</xdr:row>
      <xdr:rowOff>59185</xdr:rowOff>
    </xdr:from>
    <xdr:to>
      <xdr:col>3</xdr:col>
      <xdr:colOff>188650</xdr:colOff>
      <xdr:row>51</xdr:row>
      <xdr:rowOff>127617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442D65-8D87-4EF5-B7E4-16CD222D3BE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477175</xdr:colOff>
      <xdr:row>1</xdr:row>
      <xdr:rowOff>100613</xdr:rowOff>
    </xdr:from>
    <xdr:to>
      <xdr:col>10</xdr:col>
      <xdr:colOff>540059</xdr:colOff>
      <xdr:row>36</xdr:row>
      <xdr:rowOff>106531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D4A71D54-47B2-439F-A260-D4A1F9E2D9C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0</xdr:row>
      <xdr:rowOff>129466</xdr:rowOff>
    </xdr:from>
    <xdr:to>
      <xdr:col>3</xdr:col>
      <xdr:colOff>588689</xdr:colOff>
      <xdr:row>2</xdr:row>
      <xdr:rowOff>112820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B5209525-F08D-492E-86FD-55592167572B}"/>
            </a:ext>
          </a:extLst>
        </xdr:cNvPr>
        <xdr:cNvGrpSpPr/>
      </xdr:nvGrpSpPr>
      <xdr:grpSpPr>
        <a:xfrm>
          <a:off x="4475825" y="129466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8" name="Rectangle: Rounded Corners 7">
            <a:extLst>
              <a:ext uri="{FF2B5EF4-FFF2-40B4-BE49-F238E27FC236}">
                <a16:creationId xmlns:a16="http://schemas.microsoft.com/office/drawing/2014/main" id="{6E24FEEE-9BD8-4221-B569-5E6794E065A8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9" name="Graphic 8" descr="Repeat with solid fill">
            <a:extLst>
              <a:ext uri="{FF2B5EF4-FFF2-40B4-BE49-F238E27FC236}">
                <a16:creationId xmlns:a16="http://schemas.microsoft.com/office/drawing/2014/main" id="{CAE44051-4B25-493D-9CAC-091C8D4C39A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0</xdr:colOff>
      <xdr:row>8</xdr:row>
      <xdr:rowOff>0</xdr:rowOff>
    </xdr:from>
    <xdr:to>
      <xdr:col>25</xdr:col>
      <xdr:colOff>593911</xdr:colOff>
      <xdr:row>9</xdr:row>
      <xdr:rowOff>224117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F046007-2DC1-40EA-AA3C-051DEF680749}"/>
            </a:ext>
          </a:extLst>
        </xdr:cNvPr>
        <xdr:cNvGrpSpPr/>
      </xdr:nvGrpSpPr>
      <xdr:grpSpPr>
        <a:xfrm>
          <a:off x="7048500" y="1692088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AC2C4696-821D-4CE7-A5C2-CA797B59CF73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5C5EF8C5-7626-48C1-84A4-5288640340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257175</xdr:colOff>
      <xdr:row>0</xdr:row>
      <xdr:rowOff>161925</xdr:rowOff>
    </xdr:from>
    <xdr:to>
      <xdr:col>4</xdr:col>
      <xdr:colOff>1456204</xdr:colOff>
      <xdr:row>2</xdr:row>
      <xdr:rowOff>152400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1E59CD0B-7477-4701-B988-A192A5451909}"/>
            </a:ext>
          </a:extLst>
        </xdr:cNvPr>
        <xdr:cNvGrpSpPr/>
      </xdr:nvGrpSpPr>
      <xdr:grpSpPr>
        <a:xfrm>
          <a:off x="3914775" y="161925"/>
          <a:ext cx="1199029" cy="381000"/>
          <a:chOff x="9855200" y="1371600"/>
          <a:chExt cx="2387600" cy="635000"/>
        </a:xfrm>
        <a:solidFill>
          <a:schemeClr val="accent1">
            <a:lumMod val="75000"/>
          </a:schemeClr>
        </a:solidFill>
      </xdr:grpSpPr>
      <xdr:sp macro="[0]!RefreshAll" textlink="">
        <xdr:nvSpPr>
          <xdr:cNvPr id="6" name="Rectangle: Rounded Corners 5">
            <a:extLst>
              <a:ext uri="{FF2B5EF4-FFF2-40B4-BE49-F238E27FC236}">
                <a16:creationId xmlns:a16="http://schemas.microsoft.com/office/drawing/2014/main" id="{BFCBA449-7668-4CFF-BA5E-796EEB3A25AD}"/>
              </a:ext>
            </a:extLst>
          </xdr:cNvPr>
          <xdr:cNvSpPr/>
        </xdr:nvSpPr>
        <xdr:spPr>
          <a:xfrm>
            <a:off x="9855200" y="1371600"/>
            <a:ext cx="2387600" cy="635000"/>
          </a:xfrm>
          <a:prstGeom prst="roundRect">
            <a:avLst/>
          </a:prstGeom>
          <a:grpFill/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600" b="1"/>
              <a:t>Opdatér</a:t>
            </a:r>
            <a:endParaRPr lang="en-DK" sz="800" b="1"/>
          </a:p>
        </xdr:txBody>
      </xdr:sp>
      <xdr:pic>
        <xdr:nvPicPr>
          <xdr:cNvPr id="7" name="Graphic 6" descr="Repeat with solid fill">
            <a:extLst>
              <a:ext uri="{FF2B5EF4-FFF2-40B4-BE49-F238E27FC236}">
                <a16:creationId xmlns:a16="http://schemas.microsoft.com/office/drawing/2014/main" id="{AD58B0BC-EDE2-41AC-B5EB-FA86546A89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alphaModFix/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1474450" y="1371600"/>
            <a:ext cx="603250" cy="603250"/>
          </a:xfrm>
          <a:prstGeom prst="rect">
            <a:avLst/>
          </a:prstGeom>
        </xdr:spPr>
      </xdr:pic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417195</xdr:colOff>
      <xdr:row>6</xdr:row>
      <xdr:rowOff>114300</xdr:rowOff>
    </xdr:from>
    <xdr:to>
      <xdr:col>8</xdr:col>
      <xdr:colOff>332355</xdr:colOff>
      <xdr:row>37</xdr:row>
      <xdr:rowOff>83820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0C9626A-2011-47C3-8B47-DD51CE5CA9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7B6EA8F-CB02-4C72-86F5-72432C9C1D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940593</xdr:colOff>
      <xdr:row>13</xdr:row>
      <xdr:rowOff>75724</xdr:rowOff>
    </xdr:from>
    <xdr:to>
      <xdr:col>7</xdr:col>
      <xdr:colOff>807493</xdr:colOff>
      <xdr:row>38</xdr:row>
      <xdr:rowOff>60890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7370D6D-5D6D-4834-B7C6-D9C8EAE0E35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826767</xdr:colOff>
      <xdr:row>16</xdr:row>
      <xdr:rowOff>19050</xdr:rowOff>
    </xdr:from>
    <xdr:to>
      <xdr:col>10</xdr:col>
      <xdr:colOff>742949</xdr:colOff>
      <xdr:row>50</xdr:row>
      <xdr:rowOff>38100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BB4F227-C207-403C-87A5-7E483B05F3C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617220</xdr:colOff>
      <xdr:row>9</xdr:row>
      <xdr:rowOff>19050</xdr:rowOff>
    </xdr:from>
    <xdr:to>
      <xdr:col>11</xdr:col>
      <xdr:colOff>731519</xdr:colOff>
      <xdr:row>39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60C908B-3C34-4AAA-A960-E3952542C2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K-BioRe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verblik"/>
      <sheetName val="Processer - data"/>
      <sheetName val="Processer &amp; råvarer"/>
      <sheetName val="Procesdata (baggrund)"/>
      <sheetName val="Arealanvendelse"/>
      <sheetName val="Jordbundstypefordeling"/>
      <sheetName val="Afgrødefordeling"/>
      <sheetName val="Afgrødefordeling - jordtype"/>
      <sheetName val="Afgrødedata"/>
      <sheetName val="Foder"/>
      <sheetName val="Dyrehold"/>
      <sheetName val="Hugst"/>
      <sheetName val="Kulstofoptag, skov"/>
      <sheetName val="Befolkningstal"/>
      <sheetName val="Produktion af spildevand"/>
      <sheetName val="Affald"/>
      <sheetName val="Biogasudbytte"/>
      <sheetName val="Energiindhold"/>
      <sheetName val="Tørstofindhold"/>
    </sheetNames>
    <definedNames>
      <definedName name="Afgrøder" refersTo="='Overblik'!$D$17"/>
      <definedName name="År1" refersTo="='Overblik'!$D$23"/>
      <definedName name="År2" refersTo="='Overblik'!$D$24"/>
      <definedName name="År3" refersTo="='Overblik'!$D$25"/>
      <definedName name="Bebyg" refersTo="='Overblik'!$D$16"/>
      <definedName name="IKareal" refersTo="='Overblik'!$D$20"/>
      <definedName name="Jordbund1" refersTo="='Overblik'!$D$11"/>
      <definedName name="NaturAreal" refersTo="='Overblik'!$D$19"/>
      <definedName name="Organ12" refersTo="='Overblik'!$D$13"/>
      <definedName name="Organ6" refersTo="='Overblik'!$D$12"/>
      <definedName name="SkovAreal" refersTo="='Overblik'!$D$18"/>
    </definedNames>
    <sheetDataSet>
      <sheetData sheetId="0">
        <row r="11">
          <cell r="D11" t="str">
            <v>JB1-10</v>
          </cell>
        </row>
        <row r="12">
          <cell r="D12" t="str">
            <v>OC6</v>
          </cell>
        </row>
        <row r="13">
          <cell r="D13" t="str">
            <v>OC12</v>
          </cell>
        </row>
        <row r="16">
          <cell r="D16" t="str">
            <v>Bebyggelse &amp; infrastruktur</v>
          </cell>
        </row>
        <row r="17">
          <cell r="D17" t="str">
            <v>Landbrugsafgrøder</v>
          </cell>
        </row>
        <row r="18">
          <cell r="D18" t="str">
            <v>Skov</v>
          </cell>
        </row>
        <row r="19">
          <cell r="D19" t="str">
            <v>Natur</v>
          </cell>
        </row>
        <row r="20">
          <cell r="D20" t="str">
            <v>Ikke klassificeret</v>
          </cell>
        </row>
        <row r="23">
          <cell r="D23">
            <v>2019</v>
          </cell>
        </row>
        <row r="24">
          <cell r="D24">
            <v>2030</v>
          </cell>
        </row>
        <row r="25">
          <cell r="D25">
            <v>2050</v>
          </cell>
        </row>
      </sheetData>
      <sheetData sheetId="1">
        <row r="2">
          <cell r="A2" t="str">
            <v>Processer</v>
          </cell>
          <cell r="B2" t="str">
            <v>Konventionel/økologisk</v>
          </cell>
          <cell r="C2" t="str">
            <v>Jordbundstype</v>
          </cell>
          <cell r="D2" t="str">
            <v>Input</v>
          </cell>
          <cell r="E2" t="str">
            <v>Enhed</v>
          </cell>
          <cell r="F2" t="str">
            <v>Output</v>
          </cell>
          <cell r="G2" t="str">
            <v>Enhed</v>
          </cell>
          <cell r="H2">
            <v>2019</v>
          </cell>
          <cell r="I2">
            <v>2030</v>
          </cell>
          <cell r="J2">
            <v>2050</v>
          </cell>
          <cell r="K2" t="str">
            <v>Kilde</v>
          </cell>
        </row>
        <row r="3">
          <cell r="A3" t="str">
            <v>Spildevandsproduktion</v>
          </cell>
          <cell r="D3" t="str">
            <v>Befolkning</v>
          </cell>
          <cell r="E3" t="str">
            <v>Antal</v>
          </cell>
          <cell r="F3" t="str">
            <v>Spildevandsslam</v>
          </cell>
          <cell r="G3" t="str">
            <v>Ton</v>
          </cell>
          <cell r="H3">
            <v>1.1893449129763534</v>
          </cell>
          <cell r="I3">
            <v>1.1893449129763534</v>
          </cell>
          <cell r="J3">
            <v>1.1893449129763534</v>
          </cell>
        </row>
        <row r="4">
          <cell r="A4" t="str">
            <v>Bioaffaldsproduktion</v>
          </cell>
          <cell r="D4" t="str">
            <v>Befolkning</v>
          </cell>
          <cell r="E4" t="str">
            <v>Antal</v>
          </cell>
          <cell r="F4" t="str">
            <v>Bioaffald</v>
          </cell>
          <cell r="G4" t="str">
            <v>Ton</v>
          </cell>
          <cell r="H4">
            <v>6.1775632396189835E-2</v>
          </cell>
          <cell r="I4">
            <v>6.0231309915508513E-2</v>
          </cell>
          <cell r="J4">
            <v>5.8684951731790655E-2</v>
          </cell>
        </row>
        <row r="5">
          <cell r="A5" t="str">
            <v>Bioaffaldsproduktion</v>
          </cell>
          <cell r="D5" t="str">
            <v>Befolkning</v>
          </cell>
          <cell r="E5" t="str">
            <v>Antal</v>
          </cell>
          <cell r="F5" t="str">
            <v>Have/parkaffald</v>
          </cell>
          <cell r="G5" t="str">
            <v>Ton</v>
          </cell>
          <cell r="H5">
            <v>0.1692723542782128</v>
          </cell>
          <cell r="I5">
            <v>0.16262827253720452</v>
          </cell>
          <cell r="J5">
            <v>0.15597543266598424</v>
          </cell>
        </row>
        <row r="6">
          <cell r="A6" t="str">
            <v>Bioaffaldsproduktion</v>
          </cell>
          <cell r="D6" t="str">
            <v>Befolkning</v>
          </cell>
          <cell r="E6" t="str">
            <v>Antal</v>
          </cell>
          <cell r="F6" t="str">
            <v>Industriaffald</v>
          </cell>
          <cell r="G6" t="str">
            <v>Ton</v>
          </cell>
          <cell r="H6">
            <v>6.1145891695276039E-2</v>
          </cell>
          <cell r="I6">
            <v>5.8745864211269205E-2</v>
          </cell>
          <cell r="J6">
            <v>5.6342673046555734E-2</v>
          </cell>
        </row>
        <row r="7">
          <cell r="A7" t="str">
            <v>Muslingefarm</v>
          </cell>
          <cell r="D7" t="str">
            <v>Muslingeareal</v>
          </cell>
          <cell r="E7" t="str">
            <v>Hektar</v>
          </cell>
          <cell r="F7" t="str">
            <v>Muslinger</v>
          </cell>
          <cell r="G7" t="str">
            <v>Ton</v>
          </cell>
          <cell r="H7">
            <v>1.9961442503969153</v>
          </cell>
          <cell r="I7">
            <v>1.9961442503969153</v>
          </cell>
          <cell r="J7">
            <v>1.9961442503969153</v>
          </cell>
        </row>
        <row r="8">
          <cell r="A8" t="str">
            <v>Muslingefarm</v>
          </cell>
          <cell r="D8" t="str">
            <v>Muslingeareal</v>
          </cell>
          <cell r="E8" t="str">
            <v>Hektar</v>
          </cell>
          <cell r="F8" t="str">
            <v>CO2 - atmosfære</v>
          </cell>
          <cell r="G8" t="str">
            <v>t CO2-ækvivalenter</v>
          </cell>
          <cell r="H8">
            <v>-0.32337536856430027</v>
          </cell>
          <cell r="I8">
            <v>-0.32337536856430027</v>
          </cell>
          <cell r="J8">
            <v>-0.32337536856430027</v>
          </cell>
        </row>
        <row r="9">
          <cell r="A9" t="str">
            <v>Tangfarm</v>
          </cell>
          <cell r="D9" t="str">
            <v>Tangfarmareal</v>
          </cell>
          <cell r="E9" t="str">
            <v>Hektar</v>
          </cell>
          <cell r="F9" t="str">
            <v>Tang</v>
          </cell>
          <cell r="G9" t="str">
            <v>Ton</v>
          </cell>
          <cell r="H9">
            <v>4.5</v>
          </cell>
          <cell r="I9">
            <v>22.5</v>
          </cell>
          <cell r="J9">
            <v>22.5</v>
          </cell>
        </row>
        <row r="10">
          <cell r="A10" t="str">
            <v>Tangfarm</v>
          </cell>
          <cell r="D10" t="str">
            <v>Tangfarmareal</v>
          </cell>
          <cell r="E10" t="str">
            <v>Hektar</v>
          </cell>
          <cell r="F10" t="str">
            <v>CO2 - atmosfære</v>
          </cell>
          <cell r="G10" t="str">
            <v>t CO2-ækvivalenter</v>
          </cell>
          <cell r="H10">
            <v>-0.93300000000000005</v>
          </cell>
          <cell r="I10">
            <v>-0.93300000000000005</v>
          </cell>
          <cell r="J10">
            <v>-0.93300000000000005</v>
          </cell>
        </row>
        <row r="11">
          <cell r="A11" t="str">
            <v>Skovproduktion</v>
          </cell>
          <cell r="C11" t="str">
            <v>Basisskov</v>
          </cell>
          <cell r="D11" t="str">
            <v>Areal-basisskov</v>
          </cell>
          <cell r="E11" t="str">
            <v>Hektar</v>
          </cell>
          <cell r="F11" t="str">
            <v>Træer</v>
          </cell>
          <cell r="G11" t="str">
            <v>m3</v>
          </cell>
          <cell r="H11">
            <v>3.0660755171951402</v>
          </cell>
          <cell r="I11">
            <v>3.0660755171951402</v>
          </cell>
          <cell r="J11">
            <v>3.0660755171951402</v>
          </cell>
        </row>
        <row r="12">
          <cell r="A12" t="str">
            <v>Skovproduktion</v>
          </cell>
          <cell r="C12" t="str">
            <v>Basisskov</v>
          </cell>
          <cell r="D12" t="str">
            <v>Areal-basisskov</v>
          </cell>
          <cell r="E12" t="str">
            <v>Hektar</v>
          </cell>
          <cell r="F12" t="str">
            <v>Træ til energi</v>
          </cell>
          <cell r="G12" t="str">
            <v>m3</v>
          </cell>
          <cell r="H12">
            <v>3.7581274663933448</v>
          </cell>
          <cell r="I12">
            <v>3.7581274663933448</v>
          </cell>
          <cell r="J12">
            <v>3.7581274663933448</v>
          </cell>
        </row>
        <row r="13">
          <cell r="A13" t="str">
            <v>Skovproduktion</v>
          </cell>
          <cell r="C13" t="str">
            <v>Basisskov</v>
          </cell>
          <cell r="D13" t="str">
            <v>Areal-basisskov</v>
          </cell>
          <cell r="E13" t="str">
            <v>Hektar</v>
          </cell>
          <cell r="F13" t="str">
            <v>CO2 - atmosfære</v>
          </cell>
          <cell r="G13" t="str">
            <v>t CO2-ækvivalenter</v>
          </cell>
          <cell r="H13">
            <v>-1</v>
          </cell>
          <cell r="I13">
            <v>-1</v>
          </cell>
          <cell r="J13">
            <v>-1</v>
          </cell>
        </row>
        <row r="14">
          <cell r="A14" t="str">
            <v>Skovproduktion</v>
          </cell>
          <cell r="C14" t="str">
            <v>Basisskov</v>
          </cell>
          <cell r="D14" t="str">
            <v>Areal-basisskov</v>
          </cell>
          <cell r="E14" t="str">
            <v>Hektar</v>
          </cell>
          <cell r="F14" t="str">
            <v>CO2 - HWP</v>
          </cell>
          <cell r="G14" t="str">
            <v>t CO2-ækvivalenter</v>
          </cell>
          <cell r="H14">
            <v>-2.2464715107161526</v>
          </cell>
          <cell r="I14">
            <v>-2.2464715107161526</v>
          </cell>
          <cell r="J14">
            <v>-2.2464715107161526</v>
          </cell>
        </row>
        <row r="15">
          <cell r="A15" t="str">
            <v>Skovproduktion</v>
          </cell>
          <cell r="C15" t="str">
            <v>Skovtype1</v>
          </cell>
          <cell r="D15" t="str">
            <v>Areal-skovtype1-10</v>
          </cell>
          <cell r="E15" t="str">
            <v>Hektar</v>
          </cell>
          <cell r="F15" t="str">
            <v>Træer</v>
          </cell>
          <cell r="G15" t="str">
            <v>m3</v>
          </cell>
          <cell r="H15">
            <v>0</v>
          </cell>
          <cell r="I15">
            <v>0</v>
          </cell>
          <cell r="J15">
            <v>0</v>
          </cell>
        </row>
        <row r="16">
          <cell r="A16" t="str">
            <v>Skovproduktion</v>
          </cell>
          <cell r="C16" t="str">
            <v>Skovtype1</v>
          </cell>
          <cell r="D16" t="str">
            <v>Areal-skovtype1-10</v>
          </cell>
          <cell r="E16" t="str">
            <v>Hektar</v>
          </cell>
          <cell r="F16" t="str">
            <v>Træ til energi</v>
          </cell>
          <cell r="G16" t="str">
            <v>m3</v>
          </cell>
          <cell r="H16">
            <v>0</v>
          </cell>
          <cell r="I16">
            <v>0</v>
          </cell>
          <cell r="J16">
            <v>0</v>
          </cell>
        </row>
        <row r="17">
          <cell r="A17" t="str">
            <v>Skovproduktion</v>
          </cell>
          <cell r="C17" t="str">
            <v>Skovtype1</v>
          </cell>
          <cell r="D17" t="str">
            <v>Areal-skovtype1-10</v>
          </cell>
          <cell r="E17" t="str">
            <v>Hektar</v>
          </cell>
          <cell r="F17" t="str">
            <v>CO2 - atmosfære</v>
          </cell>
          <cell r="G17" t="str">
            <v>t CO2-ækvivalenter</v>
          </cell>
          <cell r="H17">
            <v>-2.5</v>
          </cell>
          <cell r="I17">
            <v>-2.5</v>
          </cell>
          <cell r="J17">
            <v>-2.5</v>
          </cell>
        </row>
        <row r="18">
          <cell r="A18" t="str">
            <v>Skovproduktion</v>
          </cell>
          <cell r="C18" t="str">
            <v>Skovtype1</v>
          </cell>
          <cell r="D18" t="str">
            <v>Areal-skovtype1-10</v>
          </cell>
          <cell r="E18" t="str">
            <v>Hektar</v>
          </cell>
          <cell r="F18" t="str">
            <v>CO2 - HWP</v>
          </cell>
          <cell r="G18" t="str">
            <v>t CO2-ækvivalenter</v>
          </cell>
          <cell r="H18">
            <v>0</v>
          </cell>
          <cell r="I18">
            <v>0</v>
          </cell>
          <cell r="J18">
            <v>0</v>
          </cell>
        </row>
        <row r="19">
          <cell r="A19" t="str">
            <v>Skovproduktion</v>
          </cell>
          <cell r="C19" t="str">
            <v>Skovtype1</v>
          </cell>
          <cell r="D19" t="str">
            <v>Areal-skovtype1-20</v>
          </cell>
          <cell r="E19" t="str">
            <v>Hektar</v>
          </cell>
          <cell r="F19" t="str">
            <v>Træer</v>
          </cell>
          <cell r="G19" t="str">
            <v>m3</v>
          </cell>
          <cell r="H19">
            <v>0</v>
          </cell>
          <cell r="I19">
            <v>0</v>
          </cell>
          <cell r="J19">
            <v>0</v>
          </cell>
        </row>
        <row r="20">
          <cell r="A20" t="str">
            <v>Skovproduktion</v>
          </cell>
          <cell r="C20" t="str">
            <v>Skovtype1</v>
          </cell>
          <cell r="D20" t="str">
            <v>Areal-skovtype1-20</v>
          </cell>
          <cell r="E20" t="str">
            <v>Hektar</v>
          </cell>
          <cell r="F20" t="str">
            <v>Træ til energi</v>
          </cell>
          <cell r="G20" t="str">
            <v>m3</v>
          </cell>
          <cell r="H20">
            <v>0</v>
          </cell>
          <cell r="I20">
            <v>0</v>
          </cell>
          <cell r="J20">
            <v>0</v>
          </cell>
        </row>
        <row r="21">
          <cell r="A21" t="str">
            <v>Skovproduktion</v>
          </cell>
          <cell r="C21" t="str">
            <v>Skovtype1</v>
          </cell>
          <cell r="D21" t="str">
            <v>Areal-skovtype1-20</v>
          </cell>
          <cell r="E21" t="str">
            <v>Hektar</v>
          </cell>
          <cell r="F21" t="str">
            <v>CO2 - atmosfære</v>
          </cell>
          <cell r="G21" t="str">
            <v>t CO2-ækvivalenter</v>
          </cell>
          <cell r="H21">
            <v>-5.5</v>
          </cell>
          <cell r="I21">
            <v>-5.5</v>
          </cell>
          <cell r="J21">
            <v>-5.5</v>
          </cell>
        </row>
        <row r="22">
          <cell r="A22" t="str">
            <v>Skovproduktion</v>
          </cell>
          <cell r="C22" t="str">
            <v>Skovtype1</v>
          </cell>
          <cell r="D22" t="str">
            <v>Areal-skovtype1-20</v>
          </cell>
          <cell r="E22" t="str">
            <v>Hektar</v>
          </cell>
          <cell r="F22" t="str">
            <v>CO2 - HWP</v>
          </cell>
          <cell r="G22" t="str">
            <v>t CO2-ækvivalenter</v>
          </cell>
          <cell r="H22">
            <v>0</v>
          </cell>
          <cell r="I22">
            <v>0</v>
          </cell>
          <cell r="J22">
            <v>0</v>
          </cell>
        </row>
        <row r="23">
          <cell r="A23" t="str">
            <v>Skovproduktion</v>
          </cell>
          <cell r="C23" t="str">
            <v>Skovtype1</v>
          </cell>
          <cell r="D23" t="str">
            <v>Areal-skovtype1-30</v>
          </cell>
          <cell r="E23" t="str">
            <v>Hektar</v>
          </cell>
          <cell r="F23" t="str">
            <v>Træer</v>
          </cell>
          <cell r="G23" t="str">
            <v>m3</v>
          </cell>
          <cell r="H23">
            <v>0</v>
          </cell>
          <cell r="I23">
            <v>0</v>
          </cell>
          <cell r="J23">
            <v>0</v>
          </cell>
        </row>
        <row r="24">
          <cell r="A24" t="str">
            <v>Skovproduktion</v>
          </cell>
          <cell r="C24" t="str">
            <v>Skovtype1</v>
          </cell>
          <cell r="D24" t="str">
            <v>Areal-skovtype1-30</v>
          </cell>
          <cell r="E24" t="str">
            <v>Hektar</v>
          </cell>
          <cell r="F24" t="str">
            <v>Træ til energi</v>
          </cell>
          <cell r="G24" t="str">
            <v>m3</v>
          </cell>
          <cell r="H24">
            <v>0</v>
          </cell>
          <cell r="I24">
            <v>0</v>
          </cell>
          <cell r="J24">
            <v>0</v>
          </cell>
        </row>
        <row r="25">
          <cell r="A25" t="str">
            <v>Skovproduktion</v>
          </cell>
          <cell r="C25" t="str">
            <v>Skovtype1</v>
          </cell>
          <cell r="D25" t="str">
            <v>Areal-skovtype1-30</v>
          </cell>
          <cell r="E25" t="str">
            <v>Hektar</v>
          </cell>
          <cell r="F25" t="str">
            <v>CO2 - atmosfære</v>
          </cell>
          <cell r="G25" t="str">
            <v>t CO2-ækvivalenter</v>
          </cell>
          <cell r="H25">
            <v>-14</v>
          </cell>
          <cell r="I25">
            <v>-14</v>
          </cell>
          <cell r="J25">
            <v>-14</v>
          </cell>
        </row>
        <row r="26">
          <cell r="A26" t="str">
            <v>Skovproduktion</v>
          </cell>
          <cell r="C26" t="str">
            <v>Skovtype1</v>
          </cell>
          <cell r="D26" t="str">
            <v>Areal-skovtype1-30</v>
          </cell>
          <cell r="E26" t="str">
            <v>Hektar</v>
          </cell>
          <cell r="F26" t="str">
            <v>CO2 - HWP</v>
          </cell>
          <cell r="G26" t="str">
            <v>t CO2-ækvivalenter</v>
          </cell>
          <cell r="H26">
            <v>0</v>
          </cell>
          <cell r="I26">
            <v>0</v>
          </cell>
          <cell r="J26">
            <v>0</v>
          </cell>
        </row>
        <row r="27">
          <cell r="A27" t="str">
            <v>Skovproduktion</v>
          </cell>
          <cell r="C27" t="str">
            <v>Skovtype1</v>
          </cell>
          <cell r="D27" t="str">
            <v>Areal-skovtype1-40</v>
          </cell>
          <cell r="E27" t="str">
            <v>Hektar</v>
          </cell>
          <cell r="F27" t="str">
            <v>Træer</v>
          </cell>
          <cell r="G27" t="str">
            <v>m3</v>
          </cell>
          <cell r="H27">
            <v>1.9074743425132601</v>
          </cell>
          <cell r="I27">
            <v>1.9074743425132601</v>
          </cell>
          <cell r="J27">
            <v>1.9074743425132601</v>
          </cell>
        </row>
        <row r="28">
          <cell r="A28" t="str">
            <v>Skovproduktion</v>
          </cell>
          <cell r="C28" t="str">
            <v>Skovtype1</v>
          </cell>
          <cell r="D28" t="str">
            <v>Areal-skovtype1-40</v>
          </cell>
          <cell r="E28" t="str">
            <v>Hektar</v>
          </cell>
          <cell r="F28" t="str">
            <v>Træ til energi</v>
          </cell>
          <cell r="G28" t="str">
            <v>m3</v>
          </cell>
          <cell r="H28">
            <v>0.99644182071588216</v>
          </cell>
          <cell r="I28">
            <v>0.99644182071588216</v>
          </cell>
          <cell r="J28">
            <v>0.99644182071588216</v>
          </cell>
        </row>
        <row r="29">
          <cell r="A29" t="str">
            <v>Skovproduktion</v>
          </cell>
          <cell r="C29" t="str">
            <v>Skovtype1</v>
          </cell>
          <cell r="D29" t="str">
            <v>Areal-skovtype1-40</v>
          </cell>
          <cell r="E29" t="str">
            <v>Hektar</v>
          </cell>
          <cell r="F29" t="str">
            <v>CO2 - atmosfære</v>
          </cell>
          <cell r="G29" t="str">
            <v>t CO2-ækvivalenter</v>
          </cell>
          <cell r="H29">
            <v>-14.5</v>
          </cell>
          <cell r="I29">
            <v>-14.5</v>
          </cell>
          <cell r="J29">
            <v>-14.5</v>
          </cell>
        </row>
        <row r="30">
          <cell r="A30" t="str">
            <v>Skovproduktion</v>
          </cell>
          <cell r="C30" t="str">
            <v>Skovtype1</v>
          </cell>
          <cell r="D30" t="str">
            <v>Areal-skovtype1-40</v>
          </cell>
          <cell r="E30" t="str">
            <v>Hektar</v>
          </cell>
          <cell r="F30" t="str">
            <v>CO2 - HWP</v>
          </cell>
          <cell r="G30" t="str">
            <v>t CO2-ækvivalenter</v>
          </cell>
          <cell r="H30">
            <v>-10.181372549019608</v>
          </cell>
          <cell r="I30">
            <v>-10.181372549019608</v>
          </cell>
          <cell r="J30">
            <v>-10.181372549019608</v>
          </cell>
        </row>
        <row r="31">
          <cell r="A31" t="str">
            <v>Skovproduktion</v>
          </cell>
          <cell r="C31" t="str">
            <v>Skovtype2</v>
          </cell>
          <cell r="D31" t="str">
            <v>Areal-skovtype2-10</v>
          </cell>
          <cell r="E31" t="str">
            <v>Hektar</v>
          </cell>
          <cell r="F31" t="str">
            <v>Træer</v>
          </cell>
          <cell r="G31" t="str">
            <v>m3</v>
          </cell>
          <cell r="H31">
            <v>0</v>
          </cell>
          <cell r="I31">
            <v>0</v>
          </cell>
          <cell r="J31">
            <v>0</v>
          </cell>
        </row>
        <row r="32">
          <cell r="A32" t="str">
            <v>Skovproduktion</v>
          </cell>
          <cell r="C32" t="str">
            <v>Skovtype2</v>
          </cell>
          <cell r="D32" t="str">
            <v>Areal-skovtype2-10</v>
          </cell>
          <cell r="E32" t="str">
            <v>Hektar</v>
          </cell>
          <cell r="F32" t="str">
            <v>Træ til energi</v>
          </cell>
          <cell r="G32" t="str">
            <v>m3</v>
          </cell>
          <cell r="H32">
            <v>0</v>
          </cell>
          <cell r="I32">
            <v>0</v>
          </cell>
          <cell r="J32">
            <v>0</v>
          </cell>
        </row>
        <row r="33">
          <cell r="A33" t="str">
            <v>Skovproduktion</v>
          </cell>
          <cell r="C33" t="str">
            <v>Skovtype2</v>
          </cell>
          <cell r="D33" t="str">
            <v>Areal-skovtype2-10</v>
          </cell>
          <cell r="E33" t="str">
            <v>Hektar</v>
          </cell>
          <cell r="F33" t="str">
            <v>CO2 - atmosfære</v>
          </cell>
          <cell r="G33" t="str">
            <v>t CO2-ækvivalenter</v>
          </cell>
          <cell r="H33">
            <v>-12.5</v>
          </cell>
          <cell r="I33">
            <v>-12.5</v>
          </cell>
          <cell r="J33">
            <v>-12.5</v>
          </cell>
        </row>
        <row r="34">
          <cell r="A34" t="str">
            <v>Skovproduktion</v>
          </cell>
          <cell r="C34" t="str">
            <v>Skovtype2</v>
          </cell>
          <cell r="D34" t="str">
            <v>Areal-skovtype2-10</v>
          </cell>
          <cell r="E34" t="str">
            <v>Hektar</v>
          </cell>
          <cell r="F34" t="str">
            <v>CO2 - HWP</v>
          </cell>
          <cell r="G34" t="str">
            <v>t CO2-ækvivalenter</v>
          </cell>
          <cell r="H34">
            <v>0</v>
          </cell>
          <cell r="I34">
            <v>0</v>
          </cell>
          <cell r="J34">
            <v>0</v>
          </cell>
        </row>
        <row r="35">
          <cell r="A35" t="str">
            <v>Skovproduktion</v>
          </cell>
          <cell r="C35" t="str">
            <v>Skovtype2</v>
          </cell>
          <cell r="D35" t="str">
            <v>Areal-skovtype2-20</v>
          </cell>
          <cell r="E35" t="str">
            <v>Hektar</v>
          </cell>
          <cell r="F35" t="str">
            <v>Træer</v>
          </cell>
          <cell r="G35" t="str">
            <v>m3</v>
          </cell>
          <cell r="H35">
            <v>2.2834402547600621</v>
          </cell>
          <cell r="I35">
            <v>2.2834402547600621</v>
          </cell>
          <cell r="J35">
            <v>2.2834402547600621</v>
          </cell>
        </row>
        <row r="36">
          <cell r="A36" t="str">
            <v>Skovproduktion</v>
          </cell>
          <cell r="C36" t="str">
            <v>Skovtype2</v>
          </cell>
          <cell r="D36" t="str">
            <v>Areal-skovtype2-20</v>
          </cell>
          <cell r="E36" t="str">
            <v>Hektar</v>
          </cell>
          <cell r="F36" t="str">
            <v>Træ til energi</v>
          </cell>
          <cell r="G36" t="str">
            <v>m3</v>
          </cell>
          <cell r="H36">
            <v>0.57086006369001541</v>
          </cell>
          <cell r="I36">
            <v>0.57086006369001541</v>
          </cell>
          <cell r="J36">
            <v>0.57086006369001541</v>
          </cell>
        </row>
        <row r="37">
          <cell r="A37" t="str">
            <v>Skovproduktion</v>
          </cell>
          <cell r="C37" t="str">
            <v>Skovtype2</v>
          </cell>
          <cell r="D37" t="str">
            <v>Areal-skovtype2-20</v>
          </cell>
          <cell r="E37" t="str">
            <v>Hektar</v>
          </cell>
          <cell r="F37" t="str">
            <v>CO2 - atmosfære</v>
          </cell>
          <cell r="G37" t="str">
            <v>t CO2-ækvivalenter</v>
          </cell>
          <cell r="H37">
            <v>-16</v>
          </cell>
          <cell r="I37">
            <v>-16</v>
          </cell>
          <cell r="J37">
            <v>-16</v>
          </cell>
        </row>
        <row r="38">
          <cell r="A38" t="str">
            <v>Skovproduktion</v>
          </cell>
          <cell r="C38" t="str">
            <v>Skovtype2</v>
          </cell>
          <cell r="D38" t="str">
            <v>Areal-skovtype2-20</v>
          </cell>
          <cell r="E38" t="str">
            <v>Hektar</v>
          </cell>
          <cell r="F38" t="str">
            <v>CO2 - HWP</v>
          </cell>
          <cell r="G38" t="str">
            <v>t CO2-ækvivalenter</v>
          </cell>
          <cell r="H38">
            <v>-14.400000000000002</v>
          </cell>
          <cell r="I38">
            <v>-14.400000000000002</v>
          </cell>
          <cell r="J38">
            <v>-14.400000000000002</v>
          </cell>
        </row>
        <row r="39">
          <cell r="A39" t="str">
            <v>Skovproduktion</v>
          </cell>
          <cell r="C39" t="str">
            <v>Skovtype2</v>
          </cell>
          <cell r="D39" t="str">
            <v>Areal-skovtype2-30</v>
          </cell>
          <cell r="E39" t="str">
            <v>Hektar</v>
          </cell>
          <cell r="F39" t="str">
            <v>Træer</v>
          </cell>
          <cell r="G39" t="str">
            <v>m3</v>
          </cell>
          <cell r="H39">
            <v>2.4148286821172875</v>
          </cell>
          <cell r="I39">
            <v>2.4148286821172875</v>
          </cell>
          <cell r="J39">
            <v>2.4148286821172875</v>
          </cell>
        </row>
        <row r="40">
          <cell r="A40" t="str">
            <v>Skovproduktion</v>
          </cell>
          <cell r="C40" t="str">
            <v>Skovtype2</v>
          </cell>
          <cell r="D40" t="str">
            <v>Areal-skovtype2-30</v>
          </cell>
          <cell r="E40" t="str">
            <v>Hektar</v>
          </cell>
          <cell r="F40" t="str">
            <v>Træ til energi</v>
          </cell>
          <cell r="G40" t="str">
            <v>m3</v>
          </cell>
          <cell r="H40">
            <v>0.83590223611752268</v>
          </cell>
          <cell r="I40">
            <v>0.83590223611752268</v>
          </cell>
          <cell r="J40">
            <v>0.83590223611752268</v>
          </cell>
        </row>
        <row r="41">
          <cell r="A41" t="str">
            <v>Skovproduktion</v>
          </cell>
          <cell r="C41" t="str">
            <v>Skovtype2</v>
          </cell>
          <cell r="D41" t="str">
            <v>Areal-skovtype2-30</v>
          </cell>
          <cell r="E41" t="str">
            <v>Hektar</v>
          </cell>
          <cell r="F41" t="str">
            <v>CO2 - atmosfære</v>
          </cell>
          <cell r="G41" t="str">
            <v>t CO2-ækvivalenter</v>
          </cell>
          <cell r="H41">
            <v>-0.5</v>
          </cell>
          <cell r="I41">
            <v>-0.5</v>
          </cell>
          <cell r="J41">
            <v>-0.5</v>
          </cell>
        </row>
        <row r="42">
          <cell r="A42" t="str">
            <v>Skovproduktion</v>
          </cell>
          <cell r="C42" t="str">
            <v>Skovtype2</v>
          </cell>
          <cell r="D42" t="str">
            <v>Areal-skovtype2-30</v>
          </cell>
          <cell r="E42" t="str">
            <v>Hektar</v>
          </cell>
          <cell r="F42" t="str">
            <v>CO2 - HWP</v>
          </cell>
          <cell r="G42" t="str">
            <v>t CO2-ækvivalenter</v>
          </cell>
          <cell r="H42">
            <v>-15.228571428571428</v>
          </cell>
          <cell r="I42">
            <v>-15.228571428571428</v>
          </cell>
          <cell r="J42">
            <v>-15.228571428571428</v>
          </cell>
        </row>
        <row r="43">
          <cell r="A43" t="str">
            <v>Skovproduktion</v>
          </cell>
          <cell r="C43" t="str">
            <v>Skovtype2</v>
          </cell>
          <cell r="D43" t="str">
            <v>Areal-skovtype2-40</v>
          </cell>
          <cell r="E43" t="str">
            <v>Hektar</v>
          </cell>
          <cell r="F43" t="str">
            <v>Træer</v>
          </cell>
          <cell r="G43" t="str">
            <v>m3</v>
          </cell>
          <cell r="H43">
            <v>1.1100056793972521</v>
          </cell>
          <cell r="I43">
            <v>1.1100056793972521</v>
          </cell>
          <cell r="J43">
            <v>1.1100056793972521</v>
          </cell>
        </row>
        <row r="44">
          <cell r="A44" t="str">
            <v>Skovproduktion</v>
          </cell>
          <cell r="C44" t="str">
            <v>Skovtype2</v>
          </cell>
          <cell r="D44" t="str">
            <v>Areal-skovtype2-40</v>
          </cell>
          <cell r="E44" t="str">
            <v>Hektar</v>
          </cell>
          <cell r="F44" t="str">
            <v>Træ til energi</v>
          </cell>
          <cell r="G44" t="str">
            <v>m3</v>
          </cell>
          <cell r="H44">
            <v>0.55500283969862618</v>
          </cell>
          <cell r="I44">
            <v>0.55500283969862618</v>
          </cell>
          <cell r="J44">
            <v>0.55500283969862618</v>
          </cell>
        </row>
        <row r="45">
          <cell r="A45" t="str">
            <v>Skovproduktion</v>
          </cell>
          <cell r="C45" t="str">
            <v>Skovtype2</v>
          </cell>
          <cell r="D45" t="str">
            <v>Areal-skovtype2-40</v>
          </cell>
          <cell r="E45" t="str">
            <v>Hektar</v>
          </cell>
          <cell r="F45" t="str">
            <v>CO2 - atmosfære</v>
          </cell>
          <cell r="G45" t="str">
            <v>t CO2-ækvivalenter</v>
          </cell>
          <cell r="H45">
            <v>-12.5</v>
          </cell>
          <cell r="I45">
            <v>-12.5</v>
          </cell>
          <cell r="J45">
            <v>-12.5</v>
          </cell>
        </row>
        <row r="46">
          <cell r="A46" t="str">
            <v>Skovproduktion</v>
          </cell>
          <cell r="C46" t="str">
            <v>Skovtype2</v>
          </cell>
          <cell r="D46" t="str">
            <v>Areal-skovtype2-40</v>
          </cell>
          <cell r="E46" t="str">
            <v>Hektar</v>
          </cell>
          <cell r="F46" t="str">
            <v>CO2 - HWP</v>
          </cell>
          <cell r="G46" t="str">
            <v>t CO2-ækvivalenter</v>
          </cell>
          <cell r="H46">
            <v>-6.9999999999999991</v>
          </cell>
          <cell r="I46">
            <v>-6.9999999999999991</v>
          </cell>
          <cell r="J46">
            <v>-6.9999999999999991</v>
          </cell>
        </row>
        <row r="47">
          <cell r="A47" t="str">
            <v>Skovproduktion</v>
          </cell>
          <cell r="C47" t="str">
            <v>Skovtype3</v>
          </cell>
          <cell r="D47" t="str">
            <v>Areal-skovtype3-10</v>
          </cell>
          <cell r="E47" t="str">
            <v>Hektar</v>
          </cell>
          <cell r="F47" t="str">
            <v>Træer</v>
          </cell>
          <cell r="G47" t="str">
            <v>m3</v>
          </cell>
          <cell r="H47">
            <v>0</v>
          </cell>
          <cell r="I47">
            <v>0</v>
          </cell>
          <cell r="J47">
            <v>0</v>
          </cell>
        </row>
        <row r="48">
          <cell r="A48" t="str">
            <v>Skovproduktion</v>
          </cell>
          <cell r="C48" t="str">
            <v>Skovtype3</v>
          </cell>
          <cell r="D48" t="str">
            <v>Areal-skovtype3-10</v>
          </cell>
          <cell r="E48" t="str">
            <v>Hektar</v>
          </cell>
          <cell r="F48" t="str">
            <v>Træ til energi</v>
          </cell>
          <cell r="G48" t="str">
            <v>m3</v>
          </cell>
          <cell r="H48">
            <v>0</v>
          </cell>
          <cell r="I48">
            <v>0</v>
          </cell>
          <cell r="J48">
            <v>0</v>
          </cell>
        </row>
        <row r="49">
          <cell r="A49" t="str">
            <v>Skovproduktion</v>
          </cell>
          <cell r="C49" t="str">
            <v>Skovtype3</v>
          </cell>
          <cell r="D49" t="str">
            <v>Areal-skovtype3-10</v>
          </cell>
          <cell r="E49" t="str">
            <v>Hektar</v>
          </cell>
          <cell r="F49" t="str">
            <v>CO2 - atmosfære</v>
          </cell>
          <cell r="G49" t="str">
            <v>t CO2-ækvivalenter</v>
          </cell>
          <cell r="H49">
            <v>-2.5</v>
          </cell>
          <cell r="I49">
            <v>-2.5</v>
          </cell>
          <cell r="J49">
            <v>-2.5</v>
          </cell>
        </row>
        <row r="50">
          <cell r="A50" t="str">
            <v>Skovproduktion</v>
          </cell>
          <cell r="C50" t="str">
            <v>Skovtype3</v>
          </cell>
          <cell r="D50" t="str">
            <v>Areal-skovtype3-10</v>
          </cell>
          <cell r="E50" t="str">
            <v>Hektar</v>
          </cell>
          <cell r="F50" t="str">
            <v>CO2 - HWP</v>
          </cell>
          <cell r="G50" t="str">
            <v>t CO2-ækvivalenter</v>
          </cell>
          <cell r="H50">
            <v>0</v>
          </cell>
          <cell r="I50">
            <v>0</v>
          </cell>
          <cell r="J50">
            <v>0</v>
          </cell>
        </row>
        <row r="51">
          <cell r="A51" t="str">
            <v>Skovproduktion</v>
          </cell>
          <cell r="C51" t="str">
            <v>Skovtype3</v>
          </cell>
          <cell r="D51" t="str">
            <v>Areal-skovtype3-20</v>
          </cell>
          <cell r="E51" t="str">
            <v>Hektar</v>
          </cell>
          <cell r="F51" t="str">
            <v>Træer</v>
          </cell>
          <cell r="G51" t="str">
            <v>m3</v>
          </cell>
          <cell r="H51">
            <v>0</v>
          </cell>
          <cell r="I51">
            <v>0</v>
          </cell>
          <cell r="J51">
            <v>0</v>
          </cell>
        </row>
        <row r="52">
          <cell r="A52" t="str">
            <v>Skovproduktion</v>
          </cell>
          <cell r="C52" t="str">
            <v>Skovtype3</v>
          </cell>
          <cell r="D52" t="str">
            <v>Areal-skovtype3-20</v>
          </cell>
          <cell r="E52" t="str">
            <v>Hektar</v>
          </cell>
          <cell r="F52" t="str">
            <v>Træ til energi</v>
          </cell>
          <cell r="G52" t="str">
            <v>m3</v>
          </cell>
          <cell r="H52">
            <v>0</v>
          </cell>
          <cell r="I52">
            <v>0</v>
          </cell>
          <cell r="J52">
            <v>0</v>
          </cell>
        </row>
        <row r="53">
          <cell r="A53" t="str">
            <v>Skovproduktion</v>
          </cell>
          <cell r="C53" t="str">
            <v>Skovtype3</v>
          </cell>
          <cell r="D53" t="str">
            <v>Areal-skovtype3-20</v>
          </cell>
          <cell r="E53" t="str">
            <v>Hektar</v>
          </cell>
          <cell r="F53" t="str">
            <v>CO2 - atmosfære</v>
          </cell>
          <cell r="G53" t="str">
            <v>t CO2-ækvivalenter</v>
          </cell>
          <cell r="H53">
            <v>-4.25</v>
          </cell>
          <cell r="I53">
            <v>-4.25</v>
          </cell>
          <cell r="J53">
            <v>-4.25</v>
          </cell>
        </row>
        <row r="54">
          <cell r="A54" t="str">
            <v>Skovproduktion</v>
          </cell>
          <cell r="C54" t="str">
            <v>Skovtype3</v>
          </cell>
          <cell r="D54" t="str">
            <v>Areal-skovtype3-20</v>
          </cell>
          <cell r="E54" t="str">
            <v>Hektar</v>
          </cell>
          <cell r="F54" t="str">
            <v>CO2 - HWP</v>
          </cell>
          <cell r="G54" t="str">
            <v>t CO2-ækvivalenter</v>
          </cell>
          <cell r="H54">
            <v>0</v>
          </cell>
          <cell r="I54">
            <v>0</v>
          </cell>
          <cell r="J54">
            <v>0</v>
          </cell>
        </row>
        <row r="55">
          <cell r="A55" t="str">
            <v>Skovproduktion</v>
          </cell>
          <cell r="C55" t="str">
            <v>Skovtype3</v>
          </cell>
          <cell r="D55" t="str">
            <v>Areal-skovtype3-30</v>
          </cell>
          <cell r="E55" t="str">
            <v>Hektar</v>
          </cell>
          <cell r="F55" t="str">
            <v>Træer</v>
          </cell>
          <cell r="G55" t="str">
            <v>m3</v>
          </cell>
          <cell r="H55">
            <v>0</v>
          </cell>
          <cell r="I55">
            <v>0</v>
          </cell>
          <cell r="J55">
            <v>0</v>
          </cell>
        </row>
        <row r="56">
          <cell r="A56" t="str">
            <v>Skovproduktion</v>
          </cell>
          <cell r="C56" t="str">
            <v>Skovtype3</v>
          </cell>
          <cell r="D56" t="str">
            <v>Areal-skovtype3-30</v>
          </cell>
          <cell r="E56" t="str">
            <v>Hektar</v>
          </cell>
          <cell r="F56" t="str">
            <v>Træ til energi</v>
          </cell>
          <cell r="G56" t="str">
            <v>m3</v>
          </cell>
          <cell r="H56">
            <v>0</v>
          </cell>
          <cell r="I56">
            <v>0</v>
          </cell>
          <cell r="J56">
            <v>0</v>
          </cell>
        </row>
        <row r="57">
          <cell r="A57" t="str">
            <v>Skovproduktion</v>
          </cell>
          <cell r="C57" t="str">
            <v>Skovtype3</v>
          </cell>
          <cell r="D57" t="str">
            <v>Areal-skovtype3-30</v>
          </cell>
          <cell r="E57" t="str">
            <v>Hektar</v>
          </cell>
          <cell r="F57" t="str">
            <v>CO2 - atmosfære</v>
          </cell>
          <cell r="G57" t="str">
            <v>t CO2-ækvivalenter</v>
          </cell>
          <cell r="H57">
            <v>-13.75</v>
          </cell>
          <cell r="I57">
            <v>-13.75</v>
          </cell>
          <cell r="J57">
            <v>-13.75</v>
          </cell>
        </row>
        <row r="58">
          <cell r="A58" t="str">
            <v>Skovproduktion</v>
          </cell>
          <cell r="C58" t="str">
            <v>Skovtype3</v>
          </cell>
          <cell r="D58" t="str">
            <v>Areal-skovtype3-30</v>
          </cell>
          <cell r="E58" t="str">
            <v>Hektar</v>
          </cell>
          <cell r="F58" t="str">
            <v>CO2 - HWP</v>
          </cell>
          <cell r="G58" t="str">
            <v>t CO2-ækvivalenter</v>
          </cell>
          <cell r="H58">
            <v>0</v>
          </cell>
          <cell r="I58">
            <v>0</v>
          </cell>
          <cell r="J58">
            <v>0</v>
          </cell>
        </row>
        <row r="59">
          <cell r="A59" t="str">
            <v>Skovproduktion</v>
          </cell>
          <cell r="C59" t="str">
            <v>Skovtype3</v>
          </cell>
          <cell r="D59" t="str">
            <v>Areal-skovtype3-40</v>
          </cell>
          <cell r="E59" t="str">
            <v>Hektar</v>
          </cell>
          <cell r="F59" t="str">
            <v>Træer</v>
          </cell>
          <cell r="G59" t="str">
            <v>m3</v>
          </cell>
          <cell r="H59">
            <v>1.3985083913236362</v>
          </cell>
          <cell r="I59">
            <v>1.3985083913236362</v>
          </cell>
          <cell r="J59">
            <v>1.3985083913236362</v>
          </cell>
        </row>
        <row r="60">
          <cell r="A60" t="str">
            <v>Skovproduktion</v>
          </cell>
          <cell r="C60" t="str">
            <v>Skovtype3</v>
          </cell>
          <cell r="D60" t="str">
            <v>Areal-skovtype3-40</v>
          </cell>
          <cell r="E60" t="str">
            <v>Hektar</v>
          </cell>
          <cell r="F60" t="str">
            <v>Træ til energi</v>
          </cell>
          <cell r="G60" t="str">
            <v>m3</v>
          </cell>
          <cell r="H60">
            <v>0.7628227589038018</v>
          </cell>
          <cell r="I60">
            <v>0.7628227589038018</v>
          </cell>
          <cell r="J60">
            <v>0.7628227589038018</v>
          </cell>
        </row>
        <row r="61">
          <cell r="A61" t="str">
            <v>Skovproduktion</v>
          </cell>
          <cell r="C61" t="str">
            <v>Skovtype3</v>
          </cell>
          <cell r="D61" t="str">
            <v>Areal-skovtype3-40</v>
          </cell>
          <cell r="E61" t="str">
            <v>Hektar</v>
          </cell>
          <cell r="F61" t="str">
            <v>CO2 - atmosfære</v>
          </cell>
          <cell r="G61" t="str">
            <v>t CO2-ækvivalenter</v>
          </cell>
          <cell r="H61">
            <v>-13.25</v>
          </cell>
          <cell r="I61">
            <v>-13.25</v>
          </cell>
          <cell r="J61">
            <v>-13.25</v>
          </cell>
        </row>
        <row r="62">
          <cell r="A62" t="str">
            <v>Skovproduktion</v>
          </cell>
          <cell r="C62" t="str">
            <v>Skovtype3</v>
          </cell>
          <cell r="D62" t="str">
            <v>Areal-skovtype3-40</v>
          </cell>
          <cell r="E62" t="str">
            <v>Hektar</v>
          </cell>
          <cell r="F62" t="str">
            <v>CO2 - HWP</v>
          </cell>
          <cell r="G62" t="str">
            <v>t CO2-ækvivalenter</v>
          </cell>
          <cell r="H62">
            <v>-2.5882352941176467</v>
          </cell>
          <cell r="I62">
            <v>-2.5882352941176467</v>
          </cell>
          <cell r="J62">
            <v>-2.5882352941176467</v>
          </cell>
        </row>
        <row r="63">
          <cell r="A63" t="str">
            <v>Skovproduktion</v>
          </cell>
          <cell r="C63" t="str">
            <v>Skovtype4</v>
          </cell>
          <cell r="D63" t="str">
            <v>Areal-skovtype4-10</v>
          </cell>
          <cell r="E63" t="str">
            <v>Hektar</v>
          </cell>
          <cell r="F63" t="str">
            <v>Træer</v>
          </cell>
          <cell r="G63" t="str">
            <v>m3</v>
          </cell>
          <cell r="H63">
            <v>0</v>
          </cell>
          <cell r="I63">
            <v>0</v>
          </cell>
          <cell r="J63">
            <v>0</v>
          </cell>
        </row>
        <row r="64">
          <cell r="A64" t="str">
            <v>Skovproduktion</v>
          </cell>
          <cell r="C64" t="str">
            <v>Skovtype4</v>
          </cell>
          <cell r="D64" t="str">
            <v>Areal-skovtype4-10</v>
          </cell>
          <cell r="E64" t="str">
            <v>Hektar</v>
          </cell>
          <cell r="F64" t="str">
            <v>Træ til energi</v>
          </cell>
          <cell r="G64" t="str">
            <v>m3</v>
          </cell>
          <cell r="H64">
            <v>0</v>
          </cell>
          <cell r="I64">
            <v>0</v>
          </cell>
          <cell r="J64">
            <v>0</v>
          </cell>
        </row>
        <row r="65">
          <cell r="A65" t="str">
            <v>Skovproduktion</v>
          </cell>
          <cell r="C65" t="str">
            <v>Skovtype4</v>
          </cell>
          <cell r="D65" t="str">
            <v>Areal-skovtype4-10</v>
          </cell>
          <cell r="E65" t="str">
            <v>Hektar</v>
          </cell>
          <cell r="F65" t="str">
            <v>CO2 - atmosfære</v>
          </cell>
          <cell r="G65" t="str">
            <v>t CO2-ækvivalenter</v>
          </cell>
          <cell r="H65">
            <v>-9.5</v>
          </cell>
          <cell r="I65">
            <v>-9.5</v>
          </cell>
          <cell r="J65">
            <v>-9.5</v>
          </cell>
        </row>
        <row r="66">
          <cell r="A66" t="str">
            <v>Skovproduktion</v>
          </cell>
          <cell r="C66" t="str">
            <v>Skovtype4</v>
          </cell>
          <cell r="D66" t="str">
            <v>Areal-skovtype4-10</v>
          </cell>
          <cell r="E66" t="str">
            <v>Hektar</v>
          </cell>
          <cell r="F66" t="str">
            <v>CO2 - HWP</v>
          </cell>
          <cell r="G66" t="str">
            <v>t CO2-ækvivalenter</v>
          </cell>
          <cell r="H66">
            <v>0</v>
          </cell>
          <cell r="I66">
            <v>0</v>
          </cell>
          <cell r="J66">
            <v>0</v>
          </cell>
        </row>
        <row r="67">
          <cell r="A67" t="str">
            <v>Skovproduktion</v>
          </cell>
          <cell r="C67" t="str">
            <v>Skovtype4</v>
          </cell>
          <cell r="D67" t="str">
            <v>Areal-skovtype4-20</v>
          </cell>
          <cell r="E67" t="str">
            <v>Hektar</v>
          </cell>
          <cell r="F67" t="str">
            <v>Træer</v>
          </cell>
          <cell r="G67" t="str">
            <v>m3</v>
          </cell>
          <cell r="H67">
            <v>0.5798693329878496</v>
          </cell>
          <cell r="I67">
            <v>0.5798693329878496</v>
          </cell>
          <cell r="J67">
            <v>0.5798693329878496</v>
          </cell>
        </row>
        <row r="68">
          <cell r="A68" t="str">
            <v>Skovproduktion</v>
          </cell>
          <cell r="C68" t="str">
            <v>Skovtype4</v>
          </cell>
          <cell r="D68" t="str">
            <v>Areal-skovtype4-20</v>
          </cell>
          <cell r="E68" t="str">
            <v>Hektar</v>
          </cell>
          <cell r="F68" t="str">
            <v>Træ til energi</v>
          </cell>
          <cell r="G68" t="str">
            <v>m3</v>
          </cell>
          <cell r="H68">
            <v>2.0295426654574724</v>
          </cell>
          <cell r="I68">
            <v>2.0295426654574724</v>
          </cell>
          <cell r="J68">
            <v>2.0295426654574724</v>
          </cell>
        </row>
        <row r="69">
          <cell r="A69" t="str">
            <v>Skovproduktion</v>
          </cell>
          <cell r="C69" t="str">
            <v>Skovtype4</v>
          </cell>
          <cell r="D69" t="str">
            <v>Areal-skovtype4-20</v>
          </cell>
          <cell r="E69" t="str">
            <v>Hektar</v>
          </cell>
          <cell r="F69" t="str">
            <v>CO2 - atmosfære</v>
          </cell>
          <cell r="G69" t="str">
            <v>t CO2-ækvivalenter</v>
          </cell>
          <cell r="H69">
            <v>-8</v>
          </cell>
          <cell r="I69">
            <v>-8</v>
          </cell>
          <cell r="J69">
            <v>-8</v>
          </cell>
        </row>
        <row r="70">
          <cell r="A70" t="str">
            <v>Skovproduktion</v>
          </cell>
          <cell r="C70" t="str">
            <v>Skovtype4</v>
          </cell>
          <cell r="D70" t="str">
            <v>Areal-skovtype4-20</v>
          </cell>
          <cell r="E70" t="str">
            <v>Hektar</v>
          </cell>
          <cell r="F70" t="str">
            <v>CO2 - HWP</v>
          </cell>
          <cell r="G70" t="str">
            <v>t CO2-ækvivalenter</v>
          </cell>
          <cell r="H70">
            <v>-4.0000000000000018</v>
          </cell>
          <cell r="I70">
            <v>-4.0000000000000018</v>
          </cell>
          <cell r="J70">
            <v>-4.0000000000000018</v>
          </cell>
        </row>
        <row r="71">
          <cell r="A71" t="str">
            <v>Skovproduktion</v>
          </cell>
          <cell r="C71" t="str">
            <v>Skovtype4</v>
          </cell>
          <cell r="D71" t="str">
            <v>Areal-skovtype4-30</v>
          </cell>
          <cell r="E71" t="str">
            <v>Hektar</v>
          </cell>
          <cell r="F71" t="str">
            <v>Træer</v>
          </cell>
          <cell r="G71" t="str">
            <v>m3</v>
          </cell>
          <cell r="H71">
            <v>0.62416490703553229</v>
          </cell>
          <cell r="I71">
            <v>0.62416490703553229</v>
          </cell>
          <cell r="J71">
            <v>0.62416490703553229</v>
          </cell>
        </row>
        <row r="72">
          <cell r="A72" t="str">
            <v>Skovproduktion</v>
          </cell>
          <cell r="C72" t="str">
            <v>Skovtype4</v>
          </cell>
          <cell r="D72" t="str">
            <v>Areal-skovtype4-30</v>
          </cell>
          <cell r="E72" t="str">
            <v>Hektar</v>
          </cell>
          <cell r="F72" t="str">
            <v>Træ til energi</v>
          </cell>
          <cell r="G72" t="str">
            <v>m3</v>
          </cell>
          <cell r="H72">
            <v>0.82550842543409109</v>
          </cell>
          <cell r="I72">
            <v>0.82550842543409109</v>
          </cell>
          <cell r="J72">
            <v>0.82550842543409109</v>
          </cell>
        </row>
        <row r="73">
          <cell r="A73" t="str">
            <v>Skovproduktion</v>
          </cell>
          <cell r="C73" t="str">
            <v>Skovtype4</v>
          </cell>
          <cell r="D73" t="str">
            <v>Areal-skovtype4-30</v>
          </cell>
          <cell r="E73" t="str">
            <v>Hektar</v>
          </cell>
          <cell r="F73" t="str">
            <v>CO2 - atmosfære</v>
          </cell>
          <cell r="G73" t="str">
            <v>t CO2-ækvivalenter</v>
          </cell>
          <cell r="H73">
            <v>-4.5</v>
          </cell>
          <cell r="I73">
            <v>-4.5</v>
          </cell>
          <cell r="J73">
            <v>-4.5</v>
          </cell>
        </row>
        <row r="74">
          <cell r="A74" t="str">
            <v>Skovproduktion</v>
          </cell>
          <cell r="C74" t="str">
            <v>Skovtype4</v>
          </cell>
          <cell r="D74" t="str">
            <v>Areal-skovtype4-30</v>
          </cell>
          <cell r="E74" t="str">
            <v>Hektar</v>
          </cell>
          <cell r="F74" t="str">
            <v>CO2 - HWP</v>
          </cell>
          <cell r="G74" t="str">
            <v>t CO2-ækvivalenter</v>
          </cell>
          <cell r="H74">
            <v>-4.3055555555555554</v>
          </cell>
          <cell r="I74">
            <v>-4.3055555555555554</v>
          </cell>
          <cell r="J74">
            <v>-4.3055555555555554</v>
          </cell>
        </row>
        <row r="75">
          <cell r="A75" t="str">
            <v>Skovproduktion</v>
          </cell>
          <cell r="C75" t="str">
            <v>Skovtype4</v>
          </cell>
          <cell r="D75" t="str">
            <v>Areal-skovtype4-40</v>
          </cell>
          <cell r="E75" t="str">
            <v>Hektar</v>
          </cell>
          <cell r="F75" t="str">
            <v>Træer</v>
          </cell>
          <cell r="G75" t="str">
            <v>m3</v>
          </cell>
          <cell r="H75">
            <v>0.51591315655536585</v>
          </cell>
          <cell r="I75">
            <v>0.51591315655536585</v>
          </cell>
          <cell r="J75">
            <v>0.51591315655536585</v>
          </cell>
        </row>
        <row r="76">
          <cell r="A76" t="str">
            <v>Skovproduktion</v>
          </cell>
          <cell r="C76" t="str">
            <v>Skovtype4</v>
          </cell>
          <cell r="D76" t="str">
            <v>Areal-skovtype4-40</v>
          </cell>
          <cell r="E76" t="str">
            <v>Hektar</v>
          </cell>
          <cell r="F76" t="str">
            <v>Træ til energi</v>
          </cell>
          <cell r="G76" t="str">
            <v>m3</v>
          </cell>
          <cell r="H76">
            <v>0.28140717630292689</v>
          </cell>
          <cell r="I76">
            <v>0.28140717630292689</v>
          </cell>
          <cell r="J76">
            <v>0.28140717630292689</v>
          </cell>
        </row>
        <row r="77">
          <cell r="A77" t="str">
            <v>Skovproduktion</v>
          </cell>
          <cell r="C77" t="str">
            <v>Skovtype4</v>
          </cell>
          <cell r="D77" t="str">
            <v>Areal-skovtype4-40</v>
          </cell>
          <cell r="E77" t="str">
            <v>Hektar</v>
          </cell>
          <cell r="F77" t="str">
            <v>CO2 - atmosfære</v>
          </cell>
          <cell r="G77" t="str">
            <v>t CO2-ækvivalenter</v>
          </cell>
          <cell r="H77">
            <v>-13</v>
          </cell>
          <cell r="I77">
            <v>-13</v>
          </cell>
          <cell r="J77">
            <v>-13</v>
          </cell>
        </row>
        <row r="78">
          <cell r="A78" t="str">
            <v>Skovproduktion</v>
          </cell>
          <cell r="C78" t="str">
            <v>Skovtype4</v>
          </cell>
          <cell r="D78" t="str">
            <v>Areal-skovtype4-40</v>
          </cell>
          <cell r="E78" t="str">
            <v>Hektar</v>
          </cell>
          <cell r="F78" t="str">
            <v>CO2 - HWP</v>
          </cell>
          <cell r="G78" t="str">
            <v>t CO2-ækvivalenter</v>
          </cell>
          <cell r="H78">
            <v>-3.5588235294117645</v>
          </cell>
          <cell r="I78">
            <v>-3.5588235294117645</v>
          </cell>
          <cell r="J78">
            <v>-3.5588235294117645</v>
          </cell>
        </row>
        <row r="79">
          <cell r="A79" t="str">
            <v>Skovproduktion</v>
          </cell>
          <cell r="C79" t="str">
            <v>Skovtype5</v>
          </cell>
          <cell r="D79" t="str">
            <v>Areal-skovtype5-10</v>
          </cell>
          <cell r="E79" t="str">
            <v>Hektar</v>
          </cell>
          <cell r="F79" t="str">
            <v>Træer</v>
          </cell>
          <cell r="G79" t="str">
            <v>m3</v>
          </cell>
          <cell r="H79">
            <v>0</v>
          </cell>
          <cell r="I79">
            <v>0</v>
          </cell>
          <cell r="J79">
            <v>0</v>
          </cell>
        </row>
        <row r="80">
          <cell r="A80" t="str">
            <v>Skovproduktion</v>
          </cell>
          <cell r="C80" t="str">
            <v>Skovtype5</v>
          </cell>
          <cell r="D80" t="str">
            <v>Areal-skovtype5-10</v>
          </cell>
          <cell r="E80" t="str">
            <v>Hektar</v>
          </cell>
          <cell r="F80" t="str">
            <v>Træ til energi</v>
          </cell>
          <cell r="G80" t="str">
            <v>m3</v>
          </cell>
          <cell r="H80">
            <v>0</v>
          </cell>
          <cell r="I80">
            <v>0</v>
          </cell>
          <cell r="J80">
            <v>0</v>
          </cell>
        </row>
        <row r="81">
          <cell r="A81" t="str">
            <v>Skovproduktion</v>
          </cell>
          <cell r="C81" t="str">
            <v>Skovtype5</v>
          </cell>
          <cell r="D81" t="str">
            <v>Areal-skovtype5-10</v>
          </cell>
          <cell r="E81" t="str">
            <v>Hektar</v>
          </cell>
          <cell r="F81" t="str">
            <v>CO2 - atmosfære</v>
          </cell>
          <cell r="G81" t="str">
            <v>t CO2-ækvivalenter</v>
          </cell>
          <cell r="H81">
            <v>-2.6666666666666665</v>
          </cell>
          <cell r="I81">
            <v>-2.6666666666666665</v>
          </cell>
          <cell r="J81">
            <v>-2.6666666666666665</v>
          </cell>
        </row>
        <row r="82">
          <cell r="A82" t="str">
            <v>Skovproduktion</v>
          </cell>
          <cell r="C82" t="str">
            <v>Skovtype5</v>
          </cell>
          <cell r="D82" t="str">
            <v>Areal-skovtype5-10</v>
          </cell>
          <cell r="E82" t="str">
            <v>Hektar</v>
          </cell>
          <cell r="F82" t="str">
            <v>CO2 - HWP</v>
          </cell>
          <cell r="G82" t="str">
            <v>t CO2-ækvivalenter</v>
          </cell>
          <cell r="H82">
            <v>0</v>
          </cell>
          <cell r="I82">
            <v>0</v>
          </cell>
          <cell r="J82">
            <v>0</v>
          </cell>
        </row>
        <row r="83">
          <cell r="A83" t="str">
            <v>Skovproduktion</v>
          </cell>
          <cell r="C83" t="str">
            <v>Skovtype5</v>
          </cell>
          <cell r="D83" t="str">
            <v>Areal-skovtype5-20</v>
          </cell>
          <cell r="E83" t="str">
            <v>Hektar</v>
          </cell>
          <cell r="F83" t="str">
            <v>Træer</v>
          </cell>
          <cell r="G83" t="str">
            <v>m3</v>
          </cell>
          <cell r="H83">
            <v>0</v>
          </cell>
          <cell r="I83">
            <v>0</v>
          </cell>
          <cell r="J83">
            <v>0</v>
          </cell>
        </row>
        <row r="84">
          <cell r="A84" t="str">
            <v>Skovproduktion</v>
          </cell>
          <cell r="C84" t="str">
            <v>Skovtype5</v>
          </cell>
          <cell r="D84" t="str">
            <v>Areal-skovtype5-20</v>
          </cell>
          <cell r="E84" t="str">
            <v>Hektar</v>
          </cell>
          <cell r="F84" t="str">
            <v>Træ til energi</v>
          </cell>
          <cell r="G84" t="str">
            <v>m3</v>
          </cell>
          <cell r="H84">
            <v>0</v>
          </cell>
          <cell r="I84">
            <v>0</v>
          </cell>
          <cell r="J84">
            <v>0</v>
          </cell>
        </row>
        <row r="85">
          <cell r="A85" t="str">
            <v>Skovproduktion</v>
          </cell>
          <cell r="C85" t="str">
            <v>Skovtype5</v>
          </cell>
          <cell r="D85" t="str">
            <v>Areal-skovtype5-20</v>
          </cell>
          <cell r="E85" t="str">
            <v>Hektar</v>
          </cell>
          <cell r="F85" t="str">
            <v>CO2 - atmosfære</v>
          </cell>
          <cell r="G85" t="str">
            <v>t CO2-ækvivalenter</v>
          </cell>
          <cell r="H85">
            <v>-2.6666666666666665</v>
          </cell>
          <cell r="I85">
            <v>-2.6666666666666665</v>
          </cell>
          <cell r="J85">
            <v>-2.6666666666666665</v>
          </cell>
        </row>
        <row r="86">
          <cell r="A86" t="str">
            <v>Skovproduktion</v>
          </cell>
          <cell r="C86" t="str">
            <v>Skovtype5</v>
          </cell>
          <cell r="D86" t="str">
            <v>Areal-skovtype5-20</v>
          </cell>
          <cell r="E86" t="str">
            <v>Hektar</v>
          </cell>
          <cell r="F86" t="str">
            <v>CO2 - HWP</v>
          </cell>
          <cell r="G86" t="str">
            <v>t CO2-ækvivalenter</v>
          </cell>
          <cell r="H86">
            <v>0</v>
          </cell>
          <cell r="I86">
            <v>0</v>
          </cell>
          <cell r="J86">
            <v>0</v>
          </cell>
        </row>
        <row r="87">
          <cell r="A87" t="str">
            <v>Skovproduktion</v>
          </cell>
          <cell r="C87" t="str">
            <v>Skovtype5</v>
          </cell>
          <cell r="D87" t="str">
            <v>Areal-skovtype5-30</v>
          </cell>
          <cell r="E87" t="str">
            <v>Hektar</v>
          </cell>
          <cell r="F87" t="str">
            <v>Træer</v>
          </cell>
          <cell r="G87" t="str">
            <v>m3</v>
          </cell>
          <cell r="H87">
            <v>0.17060507458971214</v>
          </cell>
          <cell r="I87">
            <v>0.17060507458971214</v>
          </cell>
          <cell r="J87">
            <v>0.17060507458971214</v>
          </cell>
        </row>
        <row r="88">
          <cell r="A88" t="str">
            <v>Skovproduktion</v>
          </cell>
          <cell r="C88" t="str">
            <v>Skovtype5</v>
          </cell>
          <cell r="D88" t="str">
            <v>Areal-skovtype5-30</v>
          </cell>
          <cell r="E88" t="str">
            <v>Hektar</v>
          </cell>
          <cell r="F88" t="str">
            <v>Træ til energi</v>
          </cell>
          <cell r="G88" t="str">
            <v>m3</v>
          </cell>
          <cell r="H88">
            <v>0.22563896961865154</v>
          </cell>
          <cell r="I88">
            <v>0.22563896961865154</v>
          </cell>
          <cell r="J88">
            <v>0.22563896961865154</v>
          </cell>
        </row>
        <row r="89">
          <cell r="A89" t="str">
            <v>Skovproduktion</v>
          </cell>
          <cell r="C89" t="str">
            <v>Skovtype5</v>
          </cell>
          <cell r="D89" t="str">
            <v>Areal-skovtype5-30</v>
          </cell>
          <cell r="E89" t="str">
            <v>Hektar</v>
          </cell>
          <cell r="F89" t="str">
            <v>CO2 - atmosfære</v>
          </cell>
          <cell r="G89" t="str">
            <v>t CO2-ækvivalenter</v>
          </cell>
          <cell r="H89">
            <v>-3.3333333333333335</v>
          </cell>
          <cell r="I89">
            <v>-3.3333333333333335</v>
          </cell>
          <cell r="J89">
            <v>-3.3333333333333335</v>
          </cell>
        </row>
        <row r="90">
          <cell r="A90" t="str">
            <v>Skovproduktion</v>
          </cell>
          <cell r="C90" t="str">
            <v>Skovtype5</v>
          </cell>
          <cell r="D90" t="str">
            <v>Areal-skovtype5-30</v>
          </cell>
          <cell r="E90" t="str">
            <v>Hektar</v>
          </cell>
          <cell r="F90" t="str">
            <v>CO2 - HWP</v>
          </cell>
          <cell r="G90" t="str">
            <v>t CO2-ækvivalenter</v>
          </cell>
          <cell r="H90">
            <v>-0.14351851851851852</v>
          </cell>
          <cell r="I90">
            <v>-0.14351851851851852</v>
          </cell>
          <cell r="J90">
            <v>-0.14351851851851852</v>
          </cell>
        </row>
        <row r="91">
          <cell r="A91" t="str">
            <v>Skovproduktion</v>
          </cell>
          <cell r="C91" t="str">
            <v>Skovtype5</v>
          </cell>
          <cell r="D91" t="str">
            <v>Areal-skovtype5-40</v>
          </cell>
          <cell r="E91" t="str">
            <v>Hektar</v>
          </cell>
          <cell r="F91" t="str">
            <v>Træer</v>
          </cell>
          <cell r="G91" t="str">
            <v>m3</v>
          </cell>
          <cell r="H91">
            <v>2.051145640608</v>
          </cell>
          <cell r="I91">
            <v>2.051145640608</v>
          </cell>
          <cell r="J91">
            <v>2.051145640608</v>
          </cell>
        </row>
        <row r="92">
          <cell r="A92" t="str">
            <v>Skovproduktion</v>
          </cell>
          <cell r="C92" t="str">
            <v>Skovtype5</v>
          </cell>
          <cell r="D92" t="str">
            <v>Areal-skovtype5-40</v>
          </cell>
          <cell r="E92" t="str">
            <v>Hektar</v>
          </cell>
          <cell r="F92" t="str">
            <v>Træ til energi</v>
          </cell>
          <cell r="G92" t="str">
            <v>m3</v>
          </cell>
          <cell r="H92">
            <v>1.1188067130589092</v>
          </cell>
          <cell r="I92">
            <v>1.1188067130589092</v>
          </cell>
          <cell r="J92">
            <v>1.1188067130589092</v>
          </cell>
        </row>
        <row r="93">
          <cell r="A93" t="str">
            <v>Skovproduktion</v>
          </cell>
          <cell r="C93" t="str">
            <v>Skovtype5</v>
          </cell>
          <cell r="D93" t="str">
            <v>Areal-skovtype5-40</v>
          </cell>
          <cell r="E93" t="str">
            <v>Hektar</v>
          </cell>
          <cell r="F93" t="str">
            <v>CO2 - atmosfære</v>
          </cell>
          <cell r="G93" t="str">
            <v>t CO2-ækvivalenter</v>
          </cell>
          <cell r="H93">
            <v>-4.333333333333333</v>
          </cell>
          <cell r="I93">
            <v>-4.333333333333333</v>
          </cell>
          <cell r="J93">
            <v>-4.333333333333333</v>
          </cell>
        </row>
        <row r="94">
          <cell r="A94" t="str">
            <v>Skovproduktion</v>
          </cell>
          <cell r="C94" t="str">
            <v>Skovtype5</v>
          </cell>
          <cell r="D94" t="str">
            <v>Areal-skovtype5-40</v>
          </cell>
          <cell r="E94" t="str">
            <v>Hektar</v>
          </cell>
          <cell r="F94" t="str">
            <v>CO2 - HWP</v>
          </cell>
          <cell r="G94" t="str">
            <v>t CO2-ækvivalenter</v>
          </cell>
          <cell r="H94">
            <v>-1.725490196078431</v>
          </cell>
          <cell r="I94">
            <v>-1.725490196078431</v>
          </cell>
          <cell r="J94">
            <v>-1.725490196078431</v>
          </cell>
        </row>
        <row r="95">
          <cell r="A95" t="str">
            <v>Grisestald</v>
          </cell>
          <cell r="B95" t="str">
            <v>Konventionel</v>
          </cell>
          <cell r="D95" t="str">
            <v>Svin</v>
          </cell>
          <cell r="E95" t="str">
            <v>Antal</v>
          </cell>
          <cell r="F95" t="str">
            <v>Slagtesvin</v>
          </cell>
          <cell r="G95" t="str">
            <v>Antal</v>
          </cell>
          <cell r="H95">
            <v>1.3861685078371839</v>
          </cell>
          <cell r="I95">
            <v>1.3861685078371839</v>
          </cell>
          <cell r="J95">
            <v>1.3861685078371839</v>
          </cell>
        </row>
        <row r="96">
          <cell r="A96" t="str">
            <v>Grisestald</v>
          </cell>
          <cell r="B96" t="str">
            <v>Konventionel</v>
          </cell>
          <cell r="D96" t="str">
            <v>Svin</v>
          </cell>
          <cell r="E96" t="str">
            <v>Antal</v>
          </cell>
          <cell r="F96" t="str">
            <v>Svinegylle</v>
          </cell>
          <cell r="G96" t="str">
            <v>Ton</v>
          </cell>
          <cell r="H96">
            <v>1.4953335295833323</v>
          </cell>
          <cell r="I96">
            <v>1.4953335295833323</v>
          </cell>
          <cell r="J96">
            <v>1.4953335295833323</v>
          </cell>
        </row>
        <row r="97">
          <cell r="A97" t="str">
            <v>Grisestald</v>
          </cell>
          <cell r="B97" t="str">
            <v>Konventionel</v>
          </cell>
          <cell r="D97" t="str">
            <v>Svin</v>
          </cell>
          <cell r="E97" t="str">
            <v>Antal</v>
          </cell>
          <cell r="F97" t="str">
            <v>Dybstrøelse</v>
          </cell>
          <cell r="G97" t="str">
            <v>Ton</v>
          </cell>
          <cell r="H97">
            <v>0.19169096925932338</v>
          </cell>
          <cell r="I97">
            <v>0.19169096925932338</v>
          </cell>
          <cell r="J97">
            <v>0.19169096925932338</v>
          </cell>
        </row>
        <row r="98">
          <cell r="A98" t="str">
            <v>Grisestald</v>
          </cell>
          <cell r="B98" t="str">
            <v>Konventionel</v>
          </cell>
          <cell r="D98" t="str">
            <v>Svin</v>
          </cell>
          <cell r="E98" t="str">
            <v>Antal</v>
          </cell>
          <cell r="F98" t="str">
            <v>Industriaffald</v>
          </cell>
          <cell r="G98" t="str">
            <v>Ton</v>
          </cell>
          <cell r="H98">
            <v>1.5668203052737979E-2</v>
          </cell>
          <cell r="I98">
            <v>1.5668203052737979E-2</v>
          </cell>
          <cell r="J98">
            <v>1.5668203052737979E-2</v>
          </cell>
        </row>
        <row r="99">
          <cell r="A99" t="str">
            <v>Grisestald</v>
          </cell>
          <cell r="B99" t="str">
            <v>Konventionel</v>
          </cell>
          <cell r="D99" t="str">
            <v>Svin</v>
          </cell>
          <cell r="E99" t="str">
            <v>Antal</v>
          </cell>
          <cell r="F99" t="str">
            <v>Foder</v>
          </cell>
          <cell r="G99" t="str">
            <v>FE</v>
          </cell>
          <cell r="H99">
            <v>-855.47</v>
          </cell>
          <cell r="I99">
            <v>-855.47</v>
          </cell>
          <cell r="J99">
            <v>-855.47</v>
          </cell>
        </row>
        <row r="100">
          <cell r="A100" t="str">
            <v>Grisestald</v>
          </cell>
          <cell r="B100" t="str">
            <v>Konventionel</v>
          </cell>
          <cell r="D100" t="str">
            <v>Svin</v>
          </cell>
          <cell r="E100" t="str">
            <v>Antal</v>
          </cell>
          <cell r="F100" t="str">
            <v>Halm</v>
          </cell>
          <cell r="G100" t="str">
            <v>Ton</v>
          </cell>
          <cell r="H100">
            <v>-6.5699999999999995E-2</v>
          </cell>
          <cell r="I100">
            <v>-6.5699999999999995E-2</v>
          </cell>
          <cell r="J100">
            <v>-6.5699999999999995E-2</v>
          </cell>
        </row>
        <row r="101">
          <cell r="A101" t="str">
            <v>Grisestald</v>
          </cell>
          <cell r="B101" t="str">
            <v>Konventionel</v>
          </cell>
          <cell r="D101" t="str">
            <v>Svin</v>
          </cell>
          <cell r="E101" t="str">
            <v>Antal</v>
          </cell>
          <cell r="F101" t="str">
            <v>CO2 - atmosfære</v>
          </cell>
          <cell r="G101" t="str">
            <v>t CO2-ækvivalenter</v>
          </cell>
          <cell r="H101">
            <v>0.11202449132751124</v>
          </cell>
          <cell r="I101">
            <v>0.11202449132751124</v>
          </cell>
          <cell r="J101">
            <v>0.11202449132751124</v>
          </cell>
        </row>
        <row r="102">
          <cell r="A102" t="str">
            <v>Grisestald</v>
          </cell>
          <cell r="B102" t="str">
            <v>Økologisk</v>
          </cell>
          <cell r="D102" t="str">
            <v>Svin</v>
          </cell>
          <cell r="E102" t="str">
            <v>Antal</v>
          </cell>
          <cell r="F102" t="str">
            <v>Slagtesvin</v>
          </cell>
          <cell r="G102" t="str">
            <v>Antal</v>
          </cell>
          <cell r="H102">
            <v>0.47263527552126194</v>
          </cell>
          <cell r="I102">
            <v>0.47263527552126194</v>
          </cell>
          <cell r="J102">
            <v>0.47263527552126194</v>
          </cell>
        </row>
        <row r="103">
          <cell r="A103" t="str">
            <v>Grisestald</v>
          </cell>
          <cell r="B103" t="str">
            <v>Økologisk</v>
          </cell>
          <cell r="D103" t="str">
            <v>Svin</v>
          </cell>
          <cell r="E103" t="str">
            <v>Antal</v>
          </cell>
          <cell r="F103" t="str">
            <v>Svinegylle</v>
          </cell>
          <cell r="G103" t="str">
            <v>Ton</v>
          </cell>
          <cell r="H103">
            <v>0</v>
          </cell>
          <cell r="I103">
            <v>0</v>
          </cell>
          <cell r="J103">
            <v>0</v>
          </cell>
        </row>
        <row r="104">
          <cell r="A104" t="str">
            <v>Grisestald</v>
          </cell>
          <cell r="B104" t="str">
            <v>Økologisk</v>
          </cell>
          <cell r="D104" t="str">
            <v>Svin</v>
          </cell>
          <cell r="E104" t="str">
            <v>Antal</v>
          </cell>
          <cell r="F104" t="str">
            <v>Dybstrøelse</v>
          </cell>
          <cell r="G104" t="str">
            <v>Ton</v>
          </cell>
          <cell r="H104">
            <v>0.51229925609666671</v>
          </cell>
          <cell r="I104">
            <v>0.51229925609666671</v>
          </cell>
          <cell r="J104">
            <v>0.51229925609666671</v>
          </cell>
        </row>
        <row r="105">
          <cell r="A105" t="str">
            <v>Grisestald</v>
          </cell>
          <cell r="B105" t="str">
            <v>Økologisk</v>
          </cell>
          <cell r="D105" t="str">
            <v>Svin</v>
          </cell>
          <cell r="E105" t="str">
            <v>Antal</v>
          </cell>
          <cell r="F105" t="str">
            <v>Industriaffald</v>
          </cell>
          <cell r="G105" t="str">
            <v>Ton</v>
          </cell>
          <cell r="H105">
            <v>1.5668203052737979E-2</v>
          </cell>
          <cell r="I105">
            <v>1.5668203052737979E-2</v>
          </cell>
          <cell r="J105">
            <v>1.5668203052737979E-2</v>
          </cell>
        </row>
        <row r="106">
          <cell r="A106" t="str">
            <v>Grisestald</v>
          </cell>
          <cell r="B106" t="str">
            <v>Økologisk</v>
          </cell>
          <cell r="D106" t="str">
            <v>Svin</v>
          </cell>
          <cell r="E106" t="str">
            <v>Antal</v>
          </cell>
          <cell r="F106" t="str">
            <v>Foder</v>
          </cell>
          <cell r="G106" t="str">
            <v>FE</v>
          </cell>
          <cell r="H106">
            <v>-855.47</v>
          </cell>
          <cell r="I106">
            <v>-855.47</v>
          </cell>
          <cell r="J106">
            <v>-855.47</v>
          </cell>
        </row>
        <row r="107">
          <cell r="A107" t="str">
            <v>Grisestald</v>
          </cell>
          <cell r="B107" t="str">
            <v>Økologisk</v>
          </cell>
          <cell r="D107" t="str">
            <v>Svin</v>
          </cell>
          <cell r="E107" t="str">
            <v>Antal</v>
          </cell>
          <cell r="F107" t="str">
            <v>Halm</v>
          </cell>
          <cell r="G107" t="str">
            <v>Ton</v>
          </cell>
          <cell r="H107">
            <v>-5.7750000000000003E-2</v>
          </cell>
          <cell r="I107">
            <v>-5.7750000000000003E-2</v>
          </cell>
          <cell r="J107">
            <v>-5.7750000000000003E-2</v>
          </cell>
        </row>
        <row r="108">
          <cell r="A108" t="str">
            <v>Grisestald</v>
          </cell>
          <cell r="B108" t="str">
            <v>Økologisk</v>
          </cell>
          <cell r="D108" t="str">
            <v>Svin</v>
          </cell>
          <cell r="E108" t="str">
            <v>Antal</v>
          </cell>
          <cell r="F108" t="str">
            <v>CO2 - atmosfære</v>
          </cell>
          <cell r="G108" t="str">
            <v>t CO2-ækvivalenter</v>
          </cell>
          <cell r="H108">
            <v>0.12322694046026236</v>
          </cell>
          <cell r="I108">
            <v>0.12322694046026236</v>
          </cell>
          <cell r="J108">
            <v>0.12322694046026236</v>
          </cell>
        </row>
        <row r="109">
          <cell r="A109" t="str">
            <v>Kostald</v>
          </cell>
          <cell r="B109" t="str">
            <v>Konventionel</v>
          </cell>
          <cell r="D109" t="str">
            <v>Køer</v>
          </cell>
          <cell r="E109" t="str">
            <v>Antal</v>
          </cell>
          <cell r="F109" t="str">
            <v>Slagtekøer</v>
          </cell>
          <cell r="G109" t="str">
            <v>Antal</v>
          </cell>
          <cell r="H109">
            <v>0.34772753819004898</v>
          </cell>
          <cell r="I109">
            <v>0.34772753819004898</v>
          </cell>
          <cell r="J109">
            <v>0.34772753819004898</v>
          </cell>
        </row>
        <row r="110">
          <cell r="A110" t="str">
            <v>Kostald</v>
          </cell>
          <cell r="B110" t="str">
            <v>Konventionel</v>
          </cell>
          <cell r="D110" t="str">
            <v>Køer</v>
          </cell>
          <cell r="E110" t="str">
            <v>Antal</v>
          </cell>
          <cell r="F110" t="str">
            <v>Kvæggylle</v>
          </cell>
          <cell r="G110" t="str">
            <v>Ton</v>
          </cell>
          <cell r="H110">
            <v>10.090491238149957</v>
          </cell>
          <cell r="I110">
            <v>10.090491238149957</v>
          </cell>
          <cell r="J110">
            <v>10.090491238149957</v>
          </cell>
        </row>
        <row r="111">
          <cell r="A111" t="str">
            <v>Kostald</v>
          </cell>
          <cell r="B111" t="str">
            <v>Konventionel</v>
          </cell>
          <cell r="D111" t="str">
            <v>Køer</v>
          </cell>
          <cell r="E111" t="str">
            <v>Antal</v>
          </cell>
          <cell r="F111" t="str">
            <v>Dybstrøelse</v>
          </cell>
          <cell r="G111" t="str">
            <v>Ton</v>
          </cell>
          <cell r="H111">
            <v>0.19774537441874415</v>
          </cell>
          <cell r="I111">
            <v>0.19774537441874415</v>
          </cell>
          <cell r="J111">
            <v>0.19774537441874415</v>
          </cell>
        </row>
        <row r="112">
          <cell r="A112" t="str">
            <v>Kostald</v>
          </cell>
          <cell r="B112" t="str">
            <v>Konventionel</v>
          </cell>
          <cell r="D112" t="str">
            <v>Køer</v>
          </cell>
          <cell r="E112" t="str">
            <v>Antal</v>
          </cell>
          <cell r="F112" t="str">
            <v>Råmælk</v>
          </cell>
          <cell r="G112" t="str">
            <v>Ton</v>
          </cell>
          <cell r="H112">
            <v>3.7771765723503732</v>
          </cell>
          <cell r="I112">
            <v>3.7771765723503732</v>
          </cell>
          <cell r="J112">
            <v>3.7771765723503732</v>
          </cell>
        </row>
        <row r="113">
          <cell r="A113" t="str">
            <v>Kostald</v>
          </cell>
          <cell r="B113" t="str">
            <v>Konventionel</v>
          </cell>
          <cell r="D113" t="str">
            <v>Køer</v>
          </cell>
          <cell r="E113" t="str">
            <v>Antal</v>
          </cell>
          <cell r="F113" t="str">
            <v>Industriaffald</v>
          </cell>
          <cell r="G113" t="str">
            <v>Ton</v>
          </cell>
          <cell r="H113">
            <v>4.3029625219252375E-2</v>
          </cell>
          <cell r="I113">
            <v>4.3029625219252375E-2</v>
          </cell>
          <cell r="J113">
            <v>4.3029625219252375E-2</v>
          </cell>
        </row>
        <row r="114">
          <cell r="A114" t="str">
            <v>Kostald</v>
          </cell>
          <cell r="B114" t="str">
            <v>Konventionel</v>
          </cell>
          <cell r="D114" t="str">
            <v>Køer</v>
          </cell>
          <cell r="E114" t="str">
            <v>Antal</v>
          </cell>
          <cell r="F114" t="str">
            <v>Foder</v>
          </cell>
          <cell r="G114" t="str">
            <v>FE</v>
          </cell>
          <cell r="H114">
            <v>-2618</v>
          </cell>
          <cell r="I114">
            <v>-2618</v>
          </cell>
          <cell r="J114">
            <v>-2618</v>
          </cell>
        </row>
        <row r="115">
          <cell r="A115" t="str">
            <v>Kostald</v>
          </cell>
          <cell r="B115" t="str">
            <v>Konventionel</v>
          </cell>
          <cell r="D115" t="str">
            <v>Køer</v>
          </cell>
          <cell r="E115" t="str">
            <v>Antal</v>
          </cell>
          <cell r="F115" t="str">
            <v>Halm</v>
          </cell>
          <cell r="G115" t="str">
            <v>Ton</v>
          </cell>
          <cell r="H115">
            <v>-1.095E-2</v>
          </cell>
          <cell r="I115">
            <v>-1.095E-2</v>
          </cell>
          <cell r="J115">
            <v>-1.095E-2</v>
          </cell>
        </row>
        <row r="116">
          <cell r="A116" t="str">
            <v>Kostald</v>
          </cell>
          <cell r="B116" t="str">
            <v>Konventionel</v>
          </cell>
          <cell r="D116" t="str">
            <v>Køer</v>
          </cell>
          <cell r="E116" t="str">
            <v>Antal</v>
          </cell>
          <cell r="F116" t="str">
            <v>CO2 - atmosfære</v>
          </cell>
          <cell r="G116" t="str">
            <v>t CO2-ækvivalenter</v>
          </cell>
          <cell r="H116">
            <v>2.831717934524296</v>
          </cell>
          <cell r="I116">
            <v>2.831717934524296</v>
          </cell>
          <cell r="J116">
            <v>2.831717934524296</v>
          </cell>
        </row>
        <row r="117">
          <cell r="A117" t="str">
            <v>Kostald</v>
          </cell>
          <cell r="B117" t="str">
            <v>Økologisk</v>
          </cell>
          <cell r="D117" t="str">
            <v>Køer</v>
          </cell>
          <cell r="E117" t="str">
            <v>Antal</v>
          </cell>
          <cell r="F117" t="str">
            <v>Slagtekøer</v>
          </cell>
          <cell r="G117" t="str">
            <v>Antal</v>
          </cell>
          <cell r="H117">
            <v>0.10430224472694208</v>
          </cell>
          <cell r="I117">
            <v>0.10430224472694208</v>
          </cell>
          <cell r="J117">
            <v>0.10430224472694208</v>
          </cell>
        </row>
        <row r="118">
          <cell r="A118" t="str">
            <v>Kostald</v>
          </cell>
          <cell r="B118" t="str">
            <v>Økologisk</v>
          </cell>
          <cell r="D118" t="str">
            <v>Køer</v>
          </cell>
          <cell r="E118" t="str">
            <v>Antal</v>
          </cell>
          <cell r="F118" t="str">
            <v>Kvæggylle</v>
          </cell>
          <cell r="G118" t="str">
            <v>Ton</v>
          </cell>
          <cell r="H118">
            <v>5.636332840052062</v>
          </cell>
          <cell r="I118">
            <v>5.636332840052062</v>
          </cell>
          <cell r="J118">
            <v>5.636332840052062</v>
          </cell>
        </row>
        <row r="119">
          <cell r="A119" t="str">
            <v>Kostald</v>
          </cell>
          <cell r="B119" t="str">
            <v>Økologisk</v>
          </cell>
          <cell r="D119" t="str">
            <v>Køer</v>
          </cell>
          <cell r="E119" t="str">
            <v>Antal</v>
          </cell>
          <cell r="F119" t="str">
            <v>Dybstrøelse</v>
          </cell>
          <cell r="G119" t="str">
            <v>Ton</v>
          </cell>
          <cell r="H119">
            <v>4.6534847647404926E-2</v>
          </cell>
          <cell r="I119">
            <v>4.6534847647404926E-2</v>
          </cell>
          <cell r="J119">
            <v>4.6534847647404926E-2</v>
          </cell>
        </row>
        <row r="120">
          <cell r="A120" t="str">
            <v>Kostald</v>
          </cell>
          <cell r="B120" t="str">
            <v>Økologisk</v>
          </cell>
          <cell r="D120" t="str">
            <v>Køer</v>
          </cell>
          <cell r="E120" t="str">
            <v>Antal</v>
          </cell>
          <cell r="F120" t="str">
            <v>Råmælk</v>
          </cell>
          <cell r="G120" t="str">
            <v>Ton</v>
          </cell>
          <cell r="H120">
            <v>2.1529053078253426</v>
          </cell>
          <cell r="I120">
            <v>2.1529053078253426</v>
          </cell>
          <cell r="J120">
            <v>2.1529053078253426</v>
          </cell>
        </row>
        <row r="121">
          <cell r="A121" t="str">
            <v>Kostald</v>
          </cell>
          <cell r="B121" t="str">
            <v>Økologisk</v>
          </cell>
          <cell r="D121" t="str">
            <v>Køer</v>
          </cell>
          <cell r="E121" t="str">
            <v>Antal</v>
          </cell>
          <cell r="F121" t="str">
            <v>Industriaffald</v>
          </cell>
          <cell r="G121" t="str">
            <v>Ton</v>
          </cell>
          <cell r="H121">
            <v>4.3029625219252375E-2</v>
          </cell>
          <cell r="I121">
            <v>4.3029625219252375E-2</v>
          </cell>
          <cell r="J121">
            <v>4.3029625219252375E-2</v>
          </cell>
        </row>
        <row r="122">
          <cell r="A122" t="str">
            <v>Kostald</v>
          </cell>
          <cell r="B122" t="str">
            <v>Økologisk</v>
          </cell>
          <cell r="D122" t="str">
            <v>Køer</v>
          </cell>
          <cell r="E122" t="str">
            <v>Antal</v>
          </cell>
          <cell r="F122" t="str">
            <v>Foder</v>
          </cell>
          <cell r="G122" t="str">
            <v>FE</v>
          </cell>
          <cell r="H122">
            <v>-2618</v>
          </cell>
          <cell r="I122">
            <v>-2618</v>
          </cell>
          <cell r="J122">
            <v>-2618</v>
          </cell>
        </row>
        <row r="123">
          <cell r="A123" t="str">
            <v>Kostald</v>
          </cell>
          <cell r="B123" t="str">
            <v>Økologisk</v>
          </cell>
          <cell r="D123" t="str">
            <v>Køer</v>
          </cell>
          <cell r="E123" t="str">
            <v>Antal</v>
          </cell>
          <cell r="F123" t="str">
            <v>Halm</v>
          </cell>
          <cell r="G123" t="str">
            <v>Ton</v>
          </cell>
          <cell r="H123">
            <v>-1.32E-2</v>
          </cell>
          <cell r="I123">
            <v>-1.32E-2</v>
          </cell>
          <cell r="J123">
            <v>-1.32E-2</v>
          </cell>
        </row>
        <row r="124">
          <cell r="A124" t="str">
            <v>Kostald</v>
          </cell>
          <cell r="B124" t="str">
            <v>Økologisk</v>
          </cell>
          <cell r="D124" t="str">
            <v>Køer</v>
          </cell>
          <cell r="E124" t="str">
            <v>Antal</v>
          </cell>
          <cell r="F124" t="str">
            <v>CO2 - atmosfære</v>
          </cell>
          <cell r="G124" t="str">
            <v>t CO2-ækvivalenter</v>
          </cell>
          <cell r="H124">
            <v>2.3680201988872902</v>
          </cell>
          <cell r="I124">
            <v>2.3680201988872902</v>
          </cell>
          <cell r="J124">
            <v>2.3680201988872902</v>
          </cell>
        </row>
        <row r="125">
          <cell r="A125" t="str">
            <v>Fjerkræbrug</v>
          </cell>
          <cell r="B125" t="str">
            <v>Konventionel</v>
          </cell>
          <cell r="D125" t="str">
            <v>Fjerkræ</v>
          </cell>
          <cell r="E125" t="str">
            <v>Antal</v>
          </cell>
          <cell r="F125" t="str">
            <v>Slagtefjerkræ</v>
          </cell>
          <cell r="G125" t="str">
            <v>Antal</v>
          </cell>
          <cell r="H125">
            <v>5.3363578103053619</v>
          </cell>
          <cell r="I125">
            <v>5.3363578103053619</v>
          </cell>
          <cell r="J125">
            <v>5.3363578103053619</v>
          </cell>
        </row>
        <row r="126">
          <cell r="A126" t="str">
            <v>Fjerkræbrug</v>
          </cell>
          <cell r="B126" t="str">
            <v>Konventionel</v>
          </cell>
          <cell r="D126" t="str">
            <v>Fjerkræ</v>
          </cell>
          <cell r="E126" t="str">
            <v>Antal</v>
          </cell>
          <cell r="F126" t="str">
            <v>Fjerkrægylle</v>
          </cell>
          <cell r="G126" t="str">
            <v>Ton</v>
          </cell>
          <cell r="H126">
            <v>3.3965332371824528E-4</v>
          </cell>
          <cell r="I126">
            <v>3.3965332371824528E-4</v>
          </cell>
          <cell r="J126">
            <v>3.3965332371824528E-4</v>
          </cell>
        </row>
        <row r="127">
          <cell r="A127" t="str">
            <v>Fjerkræbrug</v>
          </cell>
          <cell r="B127" t="str">
            <v>Konventionel</v>
          </cell>
          <cell r="D127" t="str">
            <v>Fjerkræ</v>
          </cell>
          <cell r="E127" t="str">
            <v>Antal</v>
          </cell>
          <cell r="F127" t="str">
            <v>Dybstrøelse</v>
          </cell>
          <cell r="G127" t="str">
            <v>Ton</v>
          </cell>
          <cell r="H127">
            <v>7.5279568763122248E-3</v>
          </cell>
          <cell r="I127">
            <v>7.5279568763122248E-3</v>
          </cell>
          <cell r="J127">
            <v>7.5279568763122248E-3</v>
          </cell>
        </row>
        <row r="128">
          <cell r="A128" t="str">
            <v>Fjerkræbrug</v>
          </cell>
          <cell r="B128" t="str">
            <v>Konventionel</v>
          </cell>
          <cell r="D128" t="str">
            <v>Fjerkræ</v>
          </cell>
          <cell r="E128" t="str">
            <v>Antal</v>
          </cell>
          <cell r="F128" t="str">
            <v>Æg</v>
          </cell>
          <cell r="G128" t="str">
            <v>Ton</v>
          </cell>
          <cell r="H128">
            <v>1.1120887382109748E-2</v>
          </cell>
          <cell r="I128">
            <v>1.1120887382109748E-2</v>
          </cell>
          <cell r="J128">
            <v>1.1120887382109748E-2</v>
          </cell>
        </row>
        <row r="129">
          <cell r="A129" t="str">
            <v>Fjerkræbrug</v>
          </cell>
          <cell r="B129" t="str">
            <v>Konventionel</v>
          </cell>
          <cell r="D129" t="str">
            <v>Fjerkræ</v>
          </cell>
          <cell r="E129" t="str">
            <v>Antal</v>
          </cell>
          <cell r="F129" t="str">
            <v>Industriaffald</v>
          </cell>
          <cell r="G129" t="str">
            <v>Ton</v>
          </cell>
          <cell r="H129">
            <v>4.6967971777477953E-4</v>
          </cell>
          <cell r="I129">
            <v>4.6967971777477953E-4</v>
          </cell>
          <cell r="J129">
            <v>4.6967971777477953E-4</v>
          </cell>
        </row>
        <row r="130">
          <cell r="A130" t="str">
            <v>Fjerkræbrug</v>
          </cell>
          <cell r="B130" t="str">
            <v>Konventionel</v>
          </cell>
          <cell r="D130" t="str">
            <v>Fjerkræ</v>
          </cell>
          <cell r="E130" t="str">
            <v>Antal</v>
          </cell>
          <cell r="F130" t="str">
            <v>Foder</v>
          </cell>
          <cell r="G130" t="str">
            <v>FE</v>
          </cell>
          <cell r="H130">
            <v>-18.48</v>
          </cell>
          <cell r="I130">
            <v>-18.48</v>
          </cell>
          <cell r="J130">
            <v>-18.48</v>
          </cell>
        </row>
        <row r="131">
          <cell r="A131" t="str">
            <v>Fjerkræbrug</v>
          </cell>
          <cell r="B131" t="str">
            <v>Konventionel</v>
          </cell>
          <cell r="D131" t="str">
            <v>Fjerkræ</v>
          </cell>
          <cell r="E131" t="str">
            <v>Antal</v>
          </cell>
          <cell r="F131" t="str">
            <v>Halm</v>
          </cell>
          <cell r="G131" t="str">
            <v>Ton</v>
          </cell>
          <cell r="H131">
            <v>-4.3799999999999997E-4</v>
          </cell>
          <cell r="I131">
            <v>-4.3799999999999997E-4</v>
          </cell>
          <cell r="J131">
            <v>-4.3799999999999997E-4</v>
          </cell>
        </row>
        <row r="132">
          <cell r="A132" t="str">
            <v>Fjerkræbrug</v>
          </cell>
          <cell r="B132" t="str">
            <v>Konventionel</v>
          </cell>
          <cell r="D132" t="str">
            <v>Fjerkræ</v>
          </cell>
          <cell r="E132" t="str">
            <v>Antal</v>
          </cell>
          <cell r="F132" t="str">
            <v>CO2 - atmosfære</v>
          </cell>
          <cell r="G132" t="str">
            <v>t CO2-ækvivalenter</v>
          </cell>
          <cell r="H132">
            <v>7.1358057718871957E-4</v>
          </cell>
          <cell r="I132">
            <v>7.1358057718871957E-4</v>
          </cell>
          <cell r="J132">
            <v>7.1358057718871957E-4</v>
          </cell>
        </row>
        <row r="133">
          <cell r="A133" t="str">
            <v>Fjerkræbrug</v>
          </cell>
          <cell r="B133" t="str">
            <v>Økologisk</v>
          </cell>
          <cell r="D133" t="str">
            <v>Fjerkræ</v>
          </cell>
          <cell r="E133" t="str">
            <v>Antal</v>
          </cell>
          <cell r="F133" t="str">
            <v>Slagtefjerkræ</v>
          </cell>
          <cell r="G133" t="str">
            <v>Antal</v>
          </cell>
          <cell r="H133">
            <v>0.37369537669419861</v>
          </cell>
          <cell r="I133">
            <v>0.37369537669419861</v>
          </cell>
          <cell r="J133">
            <v>0.37369537669419861</v>
          </cell>
        </row>
        <row r="134">
          <cell r="A134" t="str">
            <v>Fjerkræbrug</v>
          </cell>
          <cell r="B134" t="str">
            <v>Økologisk</v>
          </cell>
          <cell r="D134" t="str">
            <v>Fjerkræ</v>
          </cell>
          <cell r="E134" t="str">
            <v>Antal</v>
          </cell>
          <cell r="F134" t="str">
            <v>Fjerkrægylle</v>
          </cell>
          <cell r="G134" t="str">
            <v>Ton</v>
          </cell>
          <cell r="H134">
            <v>6.6023396673266124E-4</v>
          </cell>
          <cell r="I134">
            <v>6.6023396673266124E-4</v>
          </cell>
          <cell r="J134">
            <v>6.6023396673266124E-4</v>
          </cell>
        </row>
        <row r="135">
          <cell r="A135" t="str">
            <v>Fjerkræbrug</v>
          </cell>
          <cell r="B135" t="str">
            <v>Økologisk</v>
          </cell>
          <cell r="D135" t="str">
            <v>Fjerkræ</v>
          </cell>
          <cell r="E135" t="str">
            <v>Antal</v>
          </cell>
          <cell r="F135" t="str">
            <v>Dybstrøelse</v>
          </cell>
          <cell r="G135" t="str">
            <v>Ton</v>
          </cell>
          <cell r="H135">
            <v>2.4860457648070043E-3</v>
          </cell>
          <cell r="I135">
            <v>2.4860457648070043E-3</v>
          </cell>
          <cell r="J135">
            <v>2.4860457648070043E-3</v>
          </cell>
        </row>
        <row r="136">
          <cell r="A136" t="str">
            <v>Fjerkræbrug</v>
          </cell>
          <cell r="B136" t="str">
            <v>Økologisk</v>
          </cell>
          <cell r="D136" t="str">
            <v>Fjerkræ</v>
          </cell>
          <cell r="E136" t="str">
            <v>Antal</v>
          </cell>
          <cell r="F136" t="str">
            <v>Æg</v>
          </cell>
          <cell r="G136" t="str">
            <v>Ton</v>
          </cell>
          <cell r="H136">
            <v>4.5769564887054442E-3</v>
          </cell>
          <cell r="I136">
            <v>4.5769564887054442E-3</v>
          </cell>
          <cell r="J136">
            <v>4.5769564887054442E-3</v>
          </cell>
        </row>
        <row r="137">
          <cell r="A137" t="str">
            <v>Fjerkræbrug</v>
          </cell>
          <cell r="B137" t="str">
            <v>Økologisk</v>
          </cell>
          <cell r="D137" t="str">
            <v>Fjerkræ</v>
          </cell>
          <cell r="E137" t="str">
            <v>Antal</v>
          </cell>
          <cell r="F137" t="str">
            <v>Industriaffald</v>
          </cell>
          <cell r="G137" t="str">
            <v>Ton</v>
          </cell>
          <cell r="H137">
            <v>4.6967971777477953E-4</v>
          </cell>
          <cell r="I137">
            <v>4.6967971777477953E-4</v>
          </cell>
          <cell r="J137">
            <v>4.6967971777477953E-4</v>
          </cell>
        </row>
        <row r="138">
          <cell r="A138" t="str">
            <v>Fjerkræbrug</v>
          </cell>
          <cell r="B138" t="str">
            <v>Økologisk</v>
          </cell>
          <cell r="D138" t="str">
            <v>Fjerkræ</v>
          </cell>
          <cell r="E138" t="str">
            <v>Antal</v>
          </cell>
          <cell r="F138" t="str">
            <v>Foder</v>
          </cell>
          <cell r="G138" t="str">
            <v>FE</v>
          </cell>
          <cell r="H138">
            <v>-18.48</v>
          </cell>
          <cell r="I138">
            <v>-18.48</v>
          </cell>
          <cell r="J138">
            <v>-18.48</v>
          </cell>
        </row>
        <row r="139">
          <cell r="A139" t="str">
            <v>Fjerkræbrug</v>
          </cell>
          <cell r="B139" t="str">
            <v>Økologisk</v>
          </cell>
          <cell r="D139" t="str">
            <v>Fjerkræ</v>
          </cell>
          <cell r="E139" t="str">
            <v>Antal</v>
          </cell>
          <cell r="F139" t="str">
            <v>Halm</v>
          </cell>
          <cell r="G139" t="str">
            <v>Ton</v>
          </cell>
          <cell r="H139">
            <v>-8.25E-4</v>
          </cell>
          <cell r="I139">
            <v>-8.25E-4</v>
          </cell>
          <cell r="J139">
            <v>-8.25E-4</v>
          </cell>
        </row>
        <row r="140">
          <cell r="A140" t="str">
            <v>Fjerkræbrug</v>
          </cell>
          <cell r="B140" t="str">
            <v>Økologisk</v>
          </cell>
          <cell r="D140" t="str">
            <v>Fjerkræ</v>
          </cell>
          <cell r="E140" t="str">
            <v>Antal</v>
          </cell>
          <cell r="F140" t="str">
            <v>CO2 - atmosfære</v>
          </cell>
          <cell r="G140" t="str">
            <v>t CO2-ækvivalenter</v>
          </cell>
          <cell r="H140">
            <v>7.8493863490759156E-4</v>
          </cell>
          <cell r="I140">
            <v>7.8493863490759156E-4</v>
          </cell>
          <cell r="J140">
            <v>7.8493863490759156E-4</v>
          </cell>
        </row>
        <row r="141">
          <cell r="A141" t="str">
            <v>Kornmark</v>
          </cell>
          <cell r="B141" t="str">
            <v>Konventionel</v>
          </cell>
          <cell r="C141" t="str">
            <v>JB1-10</v>
          </cell>
          <cell r="D141" t="str">
            <v>Areal-korn</v>
          </cell>
          <cell r="E141" t="str">
            <v>Hektar</v>
          </cell>
          <cell r="F141" t="str">
            <v>Korn</v>
          </cell>
          <cell r="G141" t="str">
            <v>Ton</v>
          </cell>
          <cell r="H141">
            <v>7.01</v>
          </cell>
          <cell r="I141">
            <v>7.01</v>
          </cell>
          <cell r="J141">
            <v>7.01</v>
          </cell>
        </row>
        <row r="142">
          <cell r="A142" t="str">
            <v>Kornmark</v>
          </cell>
          <cell r="B142" t="str">
            <v>Konventionel</v>
          </cell>
          <cell r="C142" t="str">
            <v>JB1-10</v>
          </cell>
          <cell r="D142" t="str">
            <v>Areal-korn</v>
          </cell>
          <cell r="E142" t="str">
            <v>Hektar</v>
          </cell>
          <cell r="F142" t="str">
            <v>Halm</v>
          </cell>
          <cell r="G142" t="str">
            <v>Ton</v>
          </cell>
          <cell r="H142">
            <v>3.8555000000000001</v>
          </cell>
          <cell r="I142">
            <v>3.8555000000000001</v>
          </cell>
          <cell r="J142">
            <v>3.8555000000000001</v>
          </cell>
        </row>
        <row r="143">
          <cell r="A143" t="str">
            <v>Kornmark</v>
          </cell>
          <cell r="B143" t="str">
            <v>Konventionel</v>
          </cell>
          <cell r="C143" t="str">
            <v>JB1-10</v>
          </cell>
          <cell r="D143" t="str">
            <v>Areal-korn</v>
          </cell>
          <cell r="E143" t="str">
            <v>Hektar</v>
          </cell>
          <cell r="F143" t="str">
            <v>Gødning</v>
          </cell>
          <cell r="G143" t="str">
            <v>kg N</v>
          </cell>
          <cell r="H143">
            <v>-160</v>
          </cell>
          <cell r="I143">
            <v>-160</v>
          </cell>
          <cell r="J143">
            <v>-160</v>
          </cell>
        </row>
        <row r="144">
          <cell r="A144" t="str">
            <v>Kornmark</v>
          </cell>
          <cell r="B144" t="str">
            <v>Konventionel</v>
          </cell>
          <cell r="C144" t="str">
            <v>JB1-10</v>
          </cell>
          <cell r="D144" t="str">
            <v>Areal-korn</v>
          </cell>
          <cell r="E144" t="str">
            <v>Hektar</v>
          </cell>
          <cell r="F144" t="str">
            <v>CO2 - atmosfære</v>
          </cell>
          <cell r="G144" t="str">
            <v>t CO2-ækvivalenter</v>
          </cell>
          <cell r="H144">
            <v>2.2736943674854606</v>
          </cell>
          <cell r="I144">
            <v>2.2736943674854606</v>
          </cell>
          <cell r="J144">
            <v>2.2736943674854606</v>
          </cell>
        </row>
        <row r="145">
          <cell r="A145" t="str">
            <v>Kornmark</v>
          </cell>
          <cell r="B145" t="str">
            <v>Konventionel</v>
          </cell>
          <cell r="C145" t="str">
            <v>OC6</v>
          </cell>
          <cell r="D145" t="str">
            <v>Areal-korn</v>
          </cell>
          <cell r="E145" t="str">
            <v>Hektar</v>
          </cell>
          <cell r="F145" t="str">
            <v>Korn</v>
          </cell>
          <cell r="G145" t="str">
            <v>Ton</v>
          </cell>
          <cell r="H145">
            <v>8.411999999999999</v>
          </cell>
          <cell r="I145">
            <v>8.411999999999999</v>
          </cell>
          <cell r="J145">
            <v>8.411999999999999</v>
          </cell>
        </row>
        <row r="146">
          <cell r="A146" t="str">
            <v>Kornmark</v>
          </cell>
          <cell r="B146" t="str">
            <v>Konventionel</v>
          </cell>
          <cell r="C146" t="str">
            <v>OC6</v>
          </cell>
          <cell r="D146" t="str">
            <v>Areal-korn</v>
          </cell>
          <cell r="E146" t="str">
            <v>Hektar</v>
          </cell>
          <cell r="F146" t="str">
            <v>Halm</v>
          </cell>
          <cell r="G146" t="str">
            <v>Ton</v>
          </cell>
          <cell r="H146">
            <v>4.6265999999999998</v>
          </cell>
          <cell r="I146">
            <v>4.6265999999999998</v>
          </cell>
          <cell r="J146">
            <v>4.6265999999999998</v>
          </cell>
        </row>
        <row r="147">
          <cell r="A147" t="str">
            <v>Kornmark</v>
          </cell>
          <cell r="B147" t="str">
            <v>Konventionel</v>
          </cell>
          <cell r="C147" t="str">
            <v>OC6</v>
          </cell>
          <cell r="D147" t="str">
            <v>Areal-korn</v>
          </cell>
          <cell r="E147" t="str">
            <v>Hektar</v>
          </cell>
          <cell r="F147" t="str">
            <v>Gødning</v>
          </cell>
          <cell r="G147" t="str">
            <v>kg N</v>
          </cell>
          <cell r="H147">
            <v>-130</v>
          </cell>
          <cell r="I147">
            <v>-130</v>
          </cell>
          <cell r="J147">
            <v>-130</v>
          </cell>
        </row>
        <row r="148">
          <cell r="A148" t="str">
            <v>Kornmark</v>
          </cell>
          <cell r="B148" t="str">
            <v>Konventionel</v>
          </cell>
          <cell r="C148" t="str">
            <v>OC6</v>
          </cell>
          <cell r="D148" t="str">
            <v>Areal-korn</v>
          </cell>
          <cell r="E148" t="str">
            <v>Hektar</v>
          </cell>
          <cell r="F148" t="str">
            <v>CO2 - atmosfære</v>
          </cell>
          <cell r="G148" t="str">
            <v>t CO2-ækvivalenter</v>
          </cell>
          <cell r="H148">
            <v>15.99169436748546</v>
          </cell>
          <cell r="I148">
            <v>15.99169436748546</v>
          </cell>
          <cell r="J148">
            <v>15.99169436748546</v>
          </cell>
        </row>
        <row r="149">
          <cell r="A149" t="str">
            <v>Kornmark</v>
          </cell>
          <cell r="B149" t="str">
            <v>Konventionel</v>
          </cell>
          <cell r="C149" t="str">
            <v>OC12</v>
          </cell>
          <cell r="D149" t="str">
            <v>Areal-korn</v>
          </cell>
          <cell r="E149" t="str">
            <v>Hektar</v>
          </cell>
          <cell r="F149" t="str">
            <v>Korn</v>
          </cell>
          <cell r="G149" t="str">
            <v>Ton</v>
          </cell>
          <cell r="H149">
            <v>9.8139999999999983</v>
          </cell>
          <cell r="I149">
            <v>9.8139999999999983</v>
          </cell>
          <cell r="J149">
            <v>9.8139999999999983</v>
          </cell>
        </row>
        <row r="150">
          <cell r="A150" t="str">
            <v>Kornmark</v>
          </cell>
          <cell r="B150" t="str">
            <v>Konventionel</v>
          </cell>
          <cell r="C150" t="str">
            <v>OC12</v>
          </cell>
          <cell r="D150" t="str">
            <v>Areal-korn</v>
          </cell>
          <cell r="E150" t="str">
            <v>Hektar</v>
          </cell>
          <cell r="F150" t="str">
            <v>Halm</v>
          </cell>
          <cell r="G150" t="str">
            <v>Ton</v>
          </cell>
          <cell r="H150">
            <v>5.3976999999999995</v>
          </cell>
          <cell r="I150">
            <v>5.3976999999999995</v>
          </cell>
          <cell r="J150">
            <v>5.3976999999999995</v>
          </cell>
        </row>
        <row r="151">
          <cell r="A151" t="str">
            <v>Kornmark</v>
          </cell>
          <cell r="B151" t="str">
            <v>Konventionel</v>
          </cell>
          <cell r="C151" t="str">
            <v>OC12</v>
          </cell>
          <cell r="D151" t="str">
            <v>Areal-korn</v>
          </cell>
          <cell r="E151" t="str">
            <v>Hektar</v>
          </cell>
          <cell r="F151" t="str">
            <v>Gødning</v>
          </cell>
          <cell r="G151" t="str">
            <v>kg N</v>
          </cell>
          <cell r="H151">
            <v>-100</v>
          </cell>
          <cell r="I151">
            <v>-100</v>
          </cell>
          <cell r="J151">
            <v>-100</v>
          </cell>
        </row>
        <row r="152">
          <cell r="A152" t="str">
            <v>Kornmark</v>
          </cell>
          <cell r="B152" t="str">
            <v>Konventionel</v>
          </cell>
          <cell r="C152" t="str">
            <v>OC12</v>
          </cell>
          <cell r="D152" t="str">
            <v>Areal-korn</v>
          </cell>
          <cell r="E152" t="str">
            <v>Hektar</v>
          </cell>
          <cell r="F152" t="str">
            <v>CO2 - atmosfære</v>
          </cell>
          <cell r="G152" t="str">
            <v>t CO2-ækvivalenter</v>
          </cell>
          <cell r="H152">
            <v>40.951694367485452</v>
          </cell>
          <cell r="I152">
            <v>40.951694367485452</v>
          </cell>
          <cell r="J152">
            <v>40.951694367485452</v>
          </cell>
        </row>
        <row r="153">
          <cell r="A153" t="str">
            <v>Kornmark</v>
          </cell>
          <cell r="B153" t="str">
            <v>Økologisk</v>
          </cell>
          <cell r="C153" t="str">
            <v>JB1-10</v>
          </cell>
          <cell r="D153" t="str">
            <v>Areal-korn</v>
          </cell>
          <cell r="E153" t="str">
            <v>Hektar</v>
          </cell>
          <cell r="F153" t="str">
            <v>Korn</v>
          </cell>
          <cell r="G153" t="str">
            <v>Ton</v>
          </cell>
          <cell r="H153">
            <v>4.6966999999999999</v>
          </cell>
          <cell r="I153">
            <v>4.6966999999999999</v>
          </cell>
          <cell r="J153">
            <v>4.6966999999999999</v>
          </cell>
        </row>
        <row r="154">
          <cell r="A154" t="str">
            <v>Kornmark</v>
          </cell>
          <cell r="B154" t="str">
            <v>Økologisk</v>
          </cell>
          <cell r="C154" t="str">
            <v>JB1-10</v>
          </cell>
          <cell r="D154" t="str">
            <v>Areal-korn</v>
          </cell>
          <cell r="E154" t="str">
            <v>Hektar</v>
          </cell>
          <cell r="F154" t="str">
            <v>Halm</v>
          </cell>
          <cell r="G154" t="str">
            <v>Ton</v>
          </cell>
          <cell r="H154">
            <v>2.5831850000000003</v>
          </cell>
          <cell r="I154">
            <v>2.5831850000000003</v>
          </cell>
          <cell r="J154">
            <v>2.5831850000000003</v>
          </cell>
        </row>
        <row r="155">
          <cell r="A155" t="str">
            <v>Kornmark</v>
          </cell>
          <cell r="B155" t="str">
            <v>Økologisk</v>
          </cell>
          <cell r="C155" t="str">
            <v>JB1-10</v>
          </cell>
          <cell r="D155" t="str">
            <v>Areal-korn</v>
          </cell>
          <cell r="E155" t="str">
            <v>Hektar</v>
          </cell>
          <cell r="F155" t="str">
            <v>Gødning</v>
          </cell>
          <cell r="G155" t="str">
            <v>kg N</v>
          </cell>
          <cell r="H155">
            <v>-107.2</v>
          </cell>
          <cell r="I155">
            <v>-107.2</v>
          </cell>
          <cell r="J155">
            <v>-107.2</v>
          </cell>
        </row>
        <row r="156">
          <cell r="A156" t="str">
            <v>Kornmark</v>
          </cell>
          <cell r="B156" t="str">
            <v>Økologisk</v>
          </cell>
          <cell r="C156" t="str">
            <v>JB1-10</v>
          </cell>
          <cell r="D156" t="str">
            <v>Areal-korn</v>
          </cell>
          <cell r="E156" t="str">
            <v>Hektar</v>
          </cell>
          <cell r="F156" t="str">
            <v>CO2 - atmosfære</v>
          </cell>
          <cell r="G156" t="str">
            <v>t CO2-ækvivalenter</v>
          </cell>
          <cell r="H156">
            <v>2.2736943674854606</v>
          </cell>
          <cell r="I156">
            <v>2.2736943674854606</v>
          </cell>
          <cell r="J156">
            <v>2.2736943674854606</v>
          </cell>
        </row>
        <row r="157">
          <cell r="A157" t="str">
            <v>Kornmark</v>
          </cell>
          <cell r="B157" t="str">
            <v>Økologisk</v>
          </cell>
          <cell r="C157" t="str">
            <v>OC6</v>
          </cell>
          <cell r="D157" t="str">
            <v>Areal-korn</v>
          </cell>
          <cell r="E157" t="str">
            <v>Hektar</v>
          </cell>
          <cell r="F157" t="str">
            <v>Korn</v>
          </cell>
          <cell r="G157" t="str">
            <v>Ton</v>
          </cell>
          <cell r="H157">
            <v>5.6360399999999995</v>
          </cell>
          <cell r="I157">
            <v>5.6360399999999995</v>
          </cell>
          <cell r="J157">
            <v>5.6360399999999995</v>
          </cell>
        </row>
        <row r="158">
          <cell r="A158" t="str">
            <v>Kornmark</v>
          </cell>
          <cell r="B158" t="str">
            <v>Økologisk</v>
          </cell>
          <cell r="C158" t="str">
            <v>OC6</v>
          </cell>
          <cell r="D158" t="str">
            <v>Areal-korn</v>
          </cell>
          <cell r="E158" t="str">
            <v>Hektar</v>
          </cell>
          <cell r="F158" t="str">
            <v>Halm</v>
          </cell>
          <cell r="G158" t="str">
            <v>Ton</v>
          </cell>
          <cell r="H158">
            <v>3.0998220000000001</v>
          </cell>
          <cell r="I158">
            <v>3.0998220000000001</v>
          </cell>
          <cell r="J158">
            <v>3.0998220000000001</v>
          </cell>
        </row>
        <row r="159">
          <cell r="A159" t="str">
            <v>Kornmark</v>
          </cell>
          <cell r="B159" t="str">
            <v>Økologisk</v>
          </cell>
          <cell r="C159" t="str">
            <v>OC6</v>
          </cell>
          <cell r="D159" t="str">
            <v>Areal-korn</v>
          </cell>
          <cell r="E159" t="str">
            <v>Hektar</v>
          </cell>
          <cell r="F159" t="str">
            <v>Gødning</v>
          </cell>
          <cell r="G159" t="str">
            <v>kg N</v>
          </cell>
          <cell r="H159">
            <v>-87.100000000000009</v>
          </cell>
          <cell r="I159">
            <v>-87.100000000000009</v>
          </cell>
          <cell r="J159">
            <v>-87.100000000000009</v>
          </cell>
        </row>
        <row r="160">
          <cell r="A160" t="str">
            <v>Kornmark</v>
          </cell>
          <cell r="B160" t="str">
            <v>Økologisk</v>
          </cell>
          <cell r="C160" t="str">
            <v>OC6</v>
          </cell>
          <cell r="D160" t="str">
            <v>Areal-korn</v>
          </cell>
          <cell r="E160" t="str">
            <v>Hektar</v>
          </cell>
          <cell r="F160" t="str">
            <v>CO2 - atmosfære</v>
          </cell>
          <cell r="G160" t="str">
            <v>t CO2-ækvivalenter</v>
          </cell>
          <cell r="H160">
            <v>15.99169436748546</v>
          </cell>
          <cell r="I160">
            <v>15.99169436748546</v>
          </cell>
          <cell r="J160">
            <v>15.99169436748546</v>
          </cell>
        </row>
        <row r="161">
          <cell r="A161" t="str">
            <v>Kornmark</v>
          </cell>
          <cell r="B161" t="str">
            <v>Økologisk</v>
          </cell>
          <cell r="C161" t="str">
            <v>OC12</v>
          </cell>
          <cell r="D161" t="str">
            <v>Areal-korn</v>
          </cell>
          <cell r="E161" t="str">
            <v>Hektar</v>
          </cell>
          <cell r="F161" t="str">
            <v>Korn</v>
          </cell>
          <cell r="G161" t="str">
            <v>Ton</v>
          </cell>
          <cell r="H161">
            <v>6.5753799999999991</v>
          </cell>
          <cell r="I161">
            <v>6.5753799999999991</v>
          </cell>
          <cell r="J161">
            <v>6.5753799999999991</v>
          </cell>
        </row>
        <row r="162">
          <cell r="A162" t="str">
            <v>Kornmark</v>
          </cell>
          <cell r="B162" t="str">
            <v>Økologisk</v>
          </cell>
          <cell r="C162" t="str">
            <v>OC12</v>
          </cell>
          <cell r="D162" t="str">
            <v>Areal-korn</v>
          </cell>
          <cell r="E162" t="str">
            <v>Hektar</v>
          </cell>
          <cell r="F162" t="str">
            <v>Halm</v>
          </cell>
          <cell r="G162" t="str">
            <v>Ton</v>
          </cell>
          <cell r="H162">
            <v>3.6164589999999999</v>
          </cell>
          <cell r="I162">
            <v>3.6164589999999999</v>
          </cell>
          <cell r="J162">
            <v>3.6164589999999999</v>
          </cell>
        </row>
        <row r="163">
          <cell r="A163" t="str">
            <v>Kornmark</v>
          </cell>
          <cell r="B163" t="str">
            <v>Økologisk</v>
          </cell>
          <cell r="C163" t="str">
            <v>OC12</v>
          </cell>
          <cell r="D163" t="str">
            <v>Areal-korn</v>
          </cell>
          <cell r="E163" t="str">
            <v>Hektar</v>
          </cell>
          <cell r="F163" t="str">
            <v>Gødning</v>
          </cell>
          <cell r="G163" t="str">
            <v>kg N</v>
          </cell>
          <cell r="H163">
            <v>-67</v>
          </cell>
          <cell r="I163">
            <v>-67</v>
          </cell>
          <cell r="J163">
            <v>-67</v>
          </cell>
        </row>
        <row r="164">
          <cell r="A164" t="str">
            <v>Kornmark</v>
          </cell>
          <cell r="B164" t="str">
            <v>Økologisk</v>
          </cell>
          <cell r="C164" t="str">
            <v>OC12</v>
          </cell>
          <cell r="D164" t="str">
            <v>Areal-korn</v>
          </cell>
          <cell r="E164" t="str">
            <v>Hektar</v>
          </cell>
          <cell r="F164" t="str">
            <v>CO2 - atmosfære</v>
          </cell>
          <cell r="G164" t="str">
            <v>t CO2-ækvivalenter</v>
          </cell>
          <cell r="H164">
            <v>40.951694367485452</v>
          </cell>
          <cell r="I164">
            <v>40.951694367485452</v>
          </cell>
          <cell r="J164">
            <v>40.951694367485452</v>
          </cell>
        </row>
        <row r="165">
          <cell r="A165" t="str">
            <v>Grøntsager på land</v>
          </cell>
          <cell r="B165" t="str">
            <v>Konventionel</v>
          </cell>
          <cell r="C165" t="str">
            <v>JB1-10</v>
          </cell>
          <cell r="D165" t="str">
            <v>Areal-grøntsager</v>
          </cell>
          <cell r="E165" t="str">
            <v>Hektar</v>
          </cell>
          <cell r="F165" t="str">
            <v>Grøntsager</v>
          </cell>
          <cell r="G165" t="str">
            <v>Ton</v>
          </cell>
          <cell r="H165">
            <v>20.75</v>
          </cell>
          <cell r="I165">
            <v>20.75</v>
          </cell>
          <cell r="J165">
            <v>20.75</v>
          </cell>
        </row>
        <row r="166">
          <cell r="A166" t="str">
            <v>Grøntsager på land</v>
          </cell>
          <cell r="B166" t="str">
            <v>Konventionel</v>
          </cell>
          <cell r="C166" t="str">
            <v>JB1-10</v>
          </cell>
          <cell r="D166" t="str">
            <v>Areal-grøntsager</v>
          </cell>
          <cell r="E166" t="str">
            <v>Hektar</v>
          </cell>
          <cell r="F166" t="str">
            <v>Gødning</v>
          </cell>
          <cell r="G166" t="str">
            <v>kg N</v>
          </cell>
          <cell r="H166">
            <v>-200</v>
          </cell>
          <cell r="I166">
            <v>-200</v>
          </cell>
          <cell r="J166">
            <v>-200</v>
          </cell>
        </row>
        <row r="167">
          <cell r="A167" t="str">
            <v>Grøntsager på land</v>
          </cell>
          <cell r="B167" t="str">
            <v>Konventionel</v>
          </cell>
          <cell r="C167" t="str">
            <v>JB1-10</v>
          </cell>
          <cell r="D167" t="str">
            <v>Areal-grøntsager</v>
          </cell>
          <cell r="E167" t="str">
            <v>Hektar</v>
          </cell>
          <cell r="F167" t="str">
            <v>CO2 - atmosfære</v>
          </cell>
          <cell r="G167" t="str">
            <v>t CO2-ækvivalenter</v>
          </cell>
          <cell r="H167">
            <v>2.2736943674854606</v>
          </cell>
          <cell r="I167">
            <v>2.2736943674854606</v>
          </cell>
          <cell r="J167">
            <v>2.2736943674854606</v>
          </cell>
        </row>
        <row r="168">
          <cell r="A168" t="str">
            <v>Grøntsager på land</v>
          </cell>
          <cell r="B168" t="str">
            <v>Konventionel</v>
          </cell>
          <cell r="C168" t="str">
            <v>OC6</v>
          </cell>
          <cell r="D168" t="str">
            <v>Areal-grøntsager</v>
          </cell>
          <cell r="E168" t="str">
            <v>Hektar</v>
          </cell>
          <cell r="F168" t="str">
            <v>Grøntsager</v>
          </cell>
          <cell r="G168" t="str">
            <v>Ton</v>
          </cell>
          <cell r="H168">
            <v>24.9</v>
          </cell>
          <cell r="I168">
            <v>24.9</v>
          </cell>
          <cell r="J168">
            <v>24.9</v>
          </cell>
        </row>
        <row r="169">
          <cell r="A169" t="str">
            <v>Grøntsager på land</v>
          </cell>
          <cell r="B169" t="str">
            <v>Konventionel</v>
          </cell>
          <cell r="C169" t="str">
            <v>OC6</v>
          </cell>
          <cell r="D169" t="str">
            <v>Areal-grøntsager</v>
          </cell>
          <cell r="E169" t="str">
            <v>Hektar</v>
          </cell>
          <cell r="F169" t="str">
            <v>Gødning</v>
          </cell>
          <cell r="G169" t="str">
            <v>kg N</v>
          </cell>
          <cell r="H169">
            <v>-195</v>
          </cell>
          <cell r="I169">
            <v>-195</v>
          </cell>
          <cell r="J169">
            <v>-195</v>
          </cell>
        </row>
        <row r="170">
          <cell r="A170" t="str">
            <v>Grøntsager på land</v>
          </cell>
          <cell r="B170" t="str">
            <v>Konventionel</v>
          </cell>
          <cell r="C170" t="str">
            <v>OC6</v>
          </cell>
          <cell r="D170" t="str">
            <v>Areal-grøntsager</v>
          </cell>
          <cell r="E170" t="str">
            <v>Hektar</v>
          </cell>
          <cell r="F170" t="str">
            <v>CO2 - atmosfære</v>
          </cell>
          <cell r="G170" t="str">
            <v>t CO2-ækvivalenter</v>
          </cell>
          <cell r="H170">
            <v>15.99169436748546</v>
          </cell>
          <cell r="I170">
            <v>15.99169436748546</v>
          </cell>
          <cell r="J170">
            <v>15.99169436748546</v>
          </cell>
        </row>
        <row r="171">
          <cell r="A171" t="str">
            <v>Grøntsager på land</v>
          </cell>
          <cell r="B171" t="str">
            <v>Konventionel</v>
          </cell>
          <cell r="C171" t="str">
            <v>OC12</v>
          </cell>
          <cell r="D171" t="str">
            <v>Areal-grøntsager</v>
          </cell>
          <cell r="E171" t="str">
            <v>Hektar</v>
          </cell>
          <cell r="F171" t="str">
            <v>Grøntsager</v>
          </cell>
          <cell r="G171" t="str">
            <v>Ton</v>
          </cell>
          <cell r="H171">
            <v>29.049999999999997</v>
          </cell>
          <cell r="I171">
            <v>29.049999999999997</v>
          </cell>
          <cell r="J171">
            <v>29.049999999999997</v>
          </cell>
        </row>
        <row r="172">
          <cell r="A172" t="str">
            <v>Grøntsager på land</v>
          </cell>
          <cell r="B172" t="str">
            <v>Konventionel</v>
          </cell>
          <cell r="C172" t="str">
            <v>OC12</v>
          </cell>
          <cell r="D172" t="str">
            <v>Areal-grøntsager</v>
          </cell>
          <cell r="E172" t="str">
            <v>Hektar</v>
          </cell>
          <cell r="F172" t="str">
            <v>Gødning</v>
          </cell>
          <cell r="G172" t="str">
            <v>kg N</v>
          </cell>
          <cell r="H172">
            <v>-190</v>
          </cell>
          <cell r="I172">
            <v>-190</v>
          </cell>
          <cell r="J172">
            <v>-190</v>
          </cell>
        </row>
        <row r="173">
          <cell r="A173" t="str">
            <v>Grøntsager på land</v>
          </cell>
          <cell r="B173" t="str">
            <v>Konventionel</v>
          </cell>
          <cell r="C173" t="str">
            <v>OC12</v>
          </cell>
          <cell r="D173" t="str">
            <v>Areal-grøntsager</v>
          </cell>
          <cell r="E173" t="str">
            <v>Hektar</v>
          </cell>
          <cell r="F173" t="str">
            <v>CO2 - atmosfære</v>
          </cell>
          <cell r="G173" t="str">
            <v>t CO2-ækvivalenter</v>
          </cell>
          <cell r="H173">
            <v>40.951694367485452</v>
          </cell>
          <cell r="I173">
            <v>40.951694367485452</v>
          </cell>
          <cell r="J173">
            <v>40.951694367485452</v>
          </cell>
        </row>
        <row r="174">
          <cell r="A174" t="str">
            <v>Grøntsager på land</v>
          </cell>
          <cell r="B174" t="str">
            <v>Økologisk</v>
          </cell>
          <cell r="C174" t="str">
            <v>JB1-10</v>
          </cell>
          <cell r="D174" t="str">
            <v>Areal-grøntsager</v>
          </cell>
          <cell r="E174" t="str">
            <v>Hektar</v>
          </cell>
          <cell r="F174" t="str">
            <v>Grøntsager</v>
          </cell>
          <cell r="G174" t="str">
            <v>Ton</v>
          </cell>
          <cell r="H174">
            <v>11.827499999999999</v>
          </cell>
          <cell r="I174">
            <v>11.827499999999999</v>
          </cell>
          <cell r="J174">
            <v>11.827499999999999</v>
          </cell>
        </row>
        <row r="175">
          <cell r="A175" t="str">
            <v>Grøntsager på land</v>
          </cell>
          <cell r="B175" t="str">
            <v>Økologisk</v>
          </cell>
          <cell r="C175" t="str">
            <v>JB1-10</v>
          </cell>
          <cell r="D175" t="str">
            <v>Areal-grøntsager</v>
          </cell>
          <cell r="E175" t="str">
            <v>Hektar</v>
          </cell>
          <cell r="F175" t="str">
            <v>Gødning</v>
          </cell>
          <cell r="G175" t="str">
            <v>kg N</v>
          </cell>
          <cell r="H175">
            <v>-113.99999999999999</v>
          </cell>
          <cell r="I175">
            <v>-113.99999999999999</v>
          </cell>
          <cell r="J175">
            <v>-113.99999999999999</v>
          </cell>
        </row>
        <row r="176">
          <cell r="A176" t="str">
            <v>Grøntsager på land</v>
          </cell>
          <cell r="B176" t="str">
            <v>Økologisk</v>
          </cell>
          <cell r="C176" t="str">
            <v>JB1-10</v>
          </cell>
          <cell r="D176" t="str">
            <v>Areal-grøntsager</v>
          </cell>
          <cell r="E176" t="str">
            <v>Hektar</v>
          </cell>
          <cell r="F176" t="str">
            <v>CO2 - atmosfære</v>
          </cell>
          <cell r="G176" t="str">
            <v>t CO2-ækvivalenter</v>
          </cell>
          <cell r="H176">
            <v>2.2736943674854606</v>
          </cell>
          <cell r="I176">
            <v>2.2736943674854606</v>
          </cell>
          <cell r="J176">
            <v>2.2736943674854606</v>
          </cell>
        </row>
        <row r="177">
          <cell r="A177" t="str">
            <v>Grøntsager på land</v>
          </cell>
          <cell r="B177" t="str">
            <v>Økologisk</v>
          </cell>
          <cell r="C177" t="str">
            <v>OC6</v>
          </cell>
          <cell r="D177" t="str">
            <v>Areal-grøntsager</v>
          </cell>
          <cell r="E177" t="str">
            <v>Hektar</v>
          </cell>
          <cell r="F177" t="str">
            <v>Grøntsager</v>
          </cell>
          <cell r="G177" t="str">
            <v>Ton</v>
          </cell>
          <cell r="H177">
            <v>14.192999999999998</v>
          </cell>
          <cell r="I177">
            <v>14.192999999999998</v>
          </cell>
          <cell r="J177">
            <v>14.192999999999998</v>
          </cell>
        </row>
        <row r="178">
          <cell r="A178" t="str">
            <v>Grøntsager på land</v>
          </cell>
          <cell r="B178" t="str">
            <v>Økologisk</v>
          </cell>
          <cell r="C178" t="str">
            <v>OC6</v>
          </cell>
          <cell r="D178" t="str">
            <v>Areal-grøntsager</v>
          </cell>
          <cell r="E178" t="str">
            <v>Hektar</v>
          </cell>
          <cell r="F178" t="str">
            <v>Gødning</v>
          </cell>
          <cell r="G178" t="str">
            <v>kg N</v>
          </cell>
          <cell r="H178">
            <v>-111.14999999999999</v>
          </cell>
          <cell r="I178">
            <v>-111.14999999999999</v>
          </cell>
          <cell r="J178">
            <v>-111.14999999999999</v>
          </cell>
        </row>
        <row r="179">
          <cell r="A179" t="str">
            <v>Grøntsager på land</v>
          </cell>
          <cell r="B179" t="str">
            <v>Økologisk</v>
          </cell>
          <cell r="C179" t="str">
            <v>OC6</v>
          </cell>
          <cell r="D179" t="str">
            <v>Areal-grøntsager</v>
          </cell>
          <cell r="E179" t="str">
            <v>Hektar</v>
          </cell>
          <cell r="F179" t="str">
            <v>CO2 - atmosfære</v>
          </cell>
          <cell r="G179" t="str">
            <v>t CO2-ækvivalenter</v>
          </cell>
          <cell r="H179">
            <v>15.99169436748546</v>
          </cell>
          <cell r="I179">
            <v>15.99169436748546</v>
          </cell>
          <cell r="J179">
            <v>15.99169436748546</v>
          </cell>
        </row>
        <row r="180">
          <cell r="A180" t="str">
            <v>Grøntsager på land</v>
          </cell>
          <cell r="B180" t="str">
            <v>Økologisk</v>
          </cell>
          <cell r="C180" t="str">
            <v>OC12</v>
          </cell>
          <cell r="D180" t="str">
            <v>Areal-grøntsager</v>
          </cell>
          <cell r="E180" t="str">
            <v>Hektar</v>
          </cell>
          <cell r="F180" t="str">
            <v>Grøntsager</v>
          </cell>
          <cell r="G180" t="str">
            <v>Ton</v>
          </cell>
          <cell r="H180">
            <v>16.558499999999999</v>
          </cell>
          <cell r="I180">
            <v>16.558499999999999</v>
          </cell>
          <cell r="J180">
            <v>16.558499999999999</v>
          </cell>
        </row>
        <row r="181">
          <cell r="A181" t="str">
            <v>Grøntsager på land</v>
          </cell>
          <cell r="B181" t="str">
            <v>Økologisk</v>
          </cell>
          <cell r="C181" t="str">
            <v>OC12</v>
          </cell>
          <cell r="D181" t="str">
            <v>Areal-grøntsager</v>
          </cell>
          <cell r="E181" t="str">
            <v>Hektar</v>
          </cell>
          <cell r="F181" t="str">
            <v>Gødning</v>
          </cell>
          <cell r="G181" t="str">
            <v>kg N</v>
          </cell>
          <cell r="H181">
            <v>-108.3</v>
          </cell>
          <cell r="I181">
            <v>-108.3</v>
          </cell>
          <cell r="J181">
            <v>-108.3</v>
          </cell>
        </row>
        <row r="182">
          <cell r="A182" t="str">
            <v>Grøntsager på land</v>
          </cell>
          <cell r="B182" t="str">
            <v>Økologisk</v>
          </cell>
          <cell r="C182" t="str">
            <v>OC12</v>
          </cell>
          <cell r="D182" t="str">
            <v>Areal-grøntsager</v>
          </cell>
          <cell r="E182" t="str">
            <v>Hektar</v>
          </cell>
          <cell r="F182" t="str">
            <v>CO2 - atmosfære</v>
          </cell>
          <cell r="G182" t="str">
            <v>t CO2-ækvivalenter</v>
          </cell>
          <cell r="H182">
            <v>40.951694367485452</v>
          </cell>
          <cell r="I182">
            <v>40.951694367485452</v>
          </cell>
          <cell r="J182">
            <v>40.951694367485452</v>
          </cell>
        </row>
        <row r="183">
          <cell r="A183" t="str">
            <v>Grøntsager i drivhus</v>
          </cell>
          <cell r="B183" t="str">
            <v>Konventionel</v>
          </cell>
          <cell r="D183" t="str">
            <v>Areal-grøntsager</v>
          </cell>
          <cell r="E183" t="str">
            <v>Hektar</v>
          </cell>
          <cell r="F183" t="str">
            <v>Grøntsager</v>
          </cell>
          <cell r="G183" t="str">
            <v>Ton</v>
          </cell>
          <cell r="H183">
            <v>379.01908396946601</v>
          </cell>
          <cell r="I183">
            <v>379.01908396946601</v>
          </cell>
          <cell r="J183">
            <v>379.01908396946601</v>
          </cell>
        </row>
        <row r="184">
          <cell r="A184" t="str">
            <v>Grøntsager i drivhus</v>
          </cell>
          <cell r="B184" t="str">
            <v>Konventionel</v>
          </cell>
          <cell r="D184" t="str">
            <v>Areal-grøntsager</v>
          </cell>
          <cell r="E184" t="str">
            <v>Hektar</v>
          </cell>
          <cell r="F184" t="str">
            <v>Gødning</v>
          </cell>
          <cell r="G184" t="str">
            <v>kg N</v>
          </cell>
          <cell r="H184">
            <v>-2100</v>
          </cell>
          <cell r="I184">
            <v>-2100</v>
          </cell>
          <cell r="J184">
            <v>-2100</v>
          </cell>
        </row>
        <row r="185">
          <cell r="A185" t="str">
            <v>Grøntsager i drivhus</v>
          </cell>
          <cell r="B185" t="str">
            <v>Konventionel</v>
          </cell>
          <cell r="D185" t="str">
            <v>Areal-grøntsager</v>
          </cell>
          <cell r="E185" t="str">
            <v>Hektar</v>
          </cell>
          <cell r="F185" t="str">
            <v>CO2 - atmosfære</v>
          </cell>
          <cell r="G185" t="str">
            <v>t CO2-ækvivalenter</v>
          </cell>
          <cell r="H185">
            <v>0.45473887349709213</v>
          </cell>
          <cell r="I185">
            <v>0.45473887349709213</v>
          </cell>
          <cell r="J185">
            <v>0.45473887349709213</v>
          </cell>
        </row>
        <row r="186">
          <cell r="A186" t="str">
            <v>Grøntsager i drivhus</v>
          </cell>
          <cell r="B186" t="str">
            <v>Økologisk</v>
          </cell>
          <cell r="D186" t="str">
            <v>Areal-grøntsager</v>
          </cell>
          <cell r="E186" t="str">
            <v>Hektar</v>
          </cell>
          <cell r="F186" t="str">
            <v>Grøntsager</v>
          </cell>
          <cell r="G186" t="str">
            <v>Ton</v>
          </cell>
          <cell r="H186">
            <v>216.04087786259561</v>
          </cell>
          <cell r="I186">
            <v>216.04087786259561</v>
          </cell>
          <cell r="J186">
            <v>216.04087786259561</v>
          </cell>
        </row>
        <row r="187">
          <cell r="A187" t="str">
            <v>Grøntsager i drivhus</v>
          </cell>
          <cell r="B187" t="str">
            <v>Økologisk</v>
          </cell>
          <cell r="D187" t="str">
            <v>Areal-grøntsager</v>
          </cell>
          <cell r="E187" t="str">
            <v>Hektar</v>
          </cell>
          <cell r="F187" t="str">
            <v>Gødning</v>
          </cell>
          <cell r="G187" t="str">
            <v>kg N</v>
          </cell>
          <cell r="H187">
            <v>-1197</v>
          </cell>
          <cell r="I187">
            <v>-1197</v>
          </cell>
          <cell r="J187">
            <v>-1197</v>
          </cell>
        </row>
        <row r="188">
          <cell r="A188" t="str">
            <v>Grøntsager i drivhus</v>
          </cell>
          <cell r="B188" t="str">
            <v>Økologisk</v>
          </cell>
          <cell r="D188" t="str">
            <v>Areal-grøntsager</v>
          </cell>
          <cell r="E188" t="str">
            <v>Hektar</v>
          </cell>
          <cell r="F188" t="str">
            <v>CO2 - atmosfære</v>
          </cell>
          <cell r="G188" t="str">
            <v>t CO2-ækvivalenter</v>
          </cell>
          <cell r="H188">
            <v>0.45473887349709213</v>
          </cell>
          <cell r="I188">
            <v>0.45473887349709213</v>
          </cell>
          <cell r="J188">
            <v>0.45473887349709213</v>
          </cell>
        </row>
        <row r="189">
          <cell r="A189" t="str">
            <v>Kartoffelmark</v>
          </cell>
          <cell r="B189" t="str">
            <v>Konventionel</v>
          </cell>
          <cell r="C189" t="str">
            <v>JB1-10</v>
          </cell>
          <cell r="D189" t="str">
            <v>Areal-kartofler</v>
          </cell>
          <cell r="E189" t="str">
            <v>Hektar</v>
          </cell>
          <cell r="F189" t="str">
            <v>Kartofler</v>
          </cell>
          <cell r="G189" t="str">
            <v>Ton</v>
          </cell>
          <cell r="H189">
            <v>42.470899470899468</v>
          </cell>
          <cell r="I189">
            <v>42.470899470899468</v>
          </cell>
          <cell r="J189">
            <v>42.470899470899468</v>
          </cell>
        </row>
        <row r="190">
          <cell r="A190" t="str">
            <v>Kartoffelmark</v>
          </cell>
          <cell r="B190" t="str">
            <v>Konventionel</v>
          </cell>
          <cell r="C190" t="str">
            <v>JB1-10</v>
          </cell>
          <cell r="D190" t="str">
            <v>Areal-kartofler</v>
          </cell>
          <cell r="E190" t="str">
            <v>Hektar</v>
          </cell>
          <cell r="F190" t="str">
            <v>Gødning</v>
          </cell>
          <cell r="G190" t="str">
            <v>kg N</v>
          </cell>
          <cell r="H190">
            <v>-150</v>
          </cell>
          <cell r="I190">
            <v>-150</v>
          </cell>
          <cell r="J190">
            <v>-150</v>
          </cell>
        </row>
        <row r="191">
          <cell r="A191" t="str">
            <v>Kartoffelmark</v>
          </cell>
          <cell r="B191" t="str">
            <v>Konventionel</v>
          </cell>
          <cell r="C191" t="str">
            <v>JB1-10</v>
          </cell>
          <cell r="D191" t="str">
            <v>Areal-kartofler</v>
          </cell>
          <cell r="E191" t="str">
            <v>Hektar</v>
          </cell>
          <cell r="F191" t="str">
            <v>CO2 - atmosfære</v>
          </cell>
          <cell r="G191" t="str">
            <v>t CO2-ækvivalenter</v>
          </cell>
          <cell r="H191">
            <v>2.2736943674854606</v>
          </cell>
          <cell r="I191">
            <v>2.2736943674854606</v>
          </cell>
          <cell r="J191">
            <v>2.2736943674854606</v>
          </cell>
        </row>
        <row r="192">
          <cell r="A192" t="str">
            <v>Kartoffelmark</v>
          </cell>
          <cell r="B192" t="str">
            <v>Konventionel</v>
          </cell>
          <cell r="C192" t="str">
            <v>OC6</v>
          </cell>
          <cell r="D192" t="str">
            <v>Areal-kartofler</v>
          </cell>
          <cell r="E192" t="str">
            <v>Hektar</v>
          </cell>
          <cell r="F192" t="str">
            <v>Kartofler</v>
          </cell>
          <cell r="G192" t="str">
            <v>Ton</v>
          </cell>
          <cell r="H192">
            <v>50.965079365079362</v>
          </cell>
          <cell r="I192">
            <v>50.965079365079362</v>
          </cell>
          <cell r="J192">
            <v>50.965079365079362</v>
          </cell>
        </row>
        <row r="193">
          <cell r="A193" t="str">
            <v>Kartoffelmark</v>
          </cell>
          <cell r="B193" t="str">
            <v>Konventionel</v>
          </cell>
          <cell r="C193" t="str">
            <v>OC6</v>
          </cell>
          <cell r="D193" t="str">
            <v>Areal-kartofler</v>
          </cell>
          <cell r="E193" t="str">
            <v>Hektar</v>
          </cell>
          <cell r="F193" t="str">
            <v>Gødning</v>
          </cell>
          <cell r="G193" t="str">
            <v>kg N</v>
          </cell>
          <cell r="H193">
            <v>-120</v>
          </cell>
          <cell r="I193">
            <v>-120</v>
          </cell>
          <cell r="J193">
            <v>-120</v>
          </cell>
        </row>
        <row r="194">
          <cell r="A194" t="str">
            <v>Kartoffelmark</v>
          </cell>
          <cell r="B194" t="str">
            <v>Konventionel</v>
          </cell>
          <cell r="C194" t="str">
            <v>OC6</v>
          </cell>
          <cell r="D194" t="str">
            <v>Areal-kartofler</v>
          </cell>
          <cell r="E194" t="str">
            <v>Hektar</v>
          </cell>
          <cell r="F194" t="str">
            <v>CO2 - atmosfære</v>
          </cell>
          <cell r="G194" t="str">
            <v>t CO2-ækvivalenter</v>
          </cell>
          <cell r="H194">
            <v>15.99169436748546</v>
          </cell>
          <cell r="I194">
            <v>15.99169436748546</v>
          </cell>
          <cell r="J194">
            <v>15.99169436748546</v>
          </cell>
        </row>
        <row r="195">
          <cell r="A195" t="str">
            <v>Kartoffelmark</v>
          </cell>
          <cell r="B195" t="str">
            <v>Konventionel</v>
          </cell>
          <cell r="C195" t="str">
            <v>OC12</v>
          </cell>
          <cell r="D195" t="str">
            <v>Areal-kartofler</v>
          </cell>
          <cell r="E195" t="str">
            <v>Hektar</v>
          </cell>
          <cell r="F195" t="str">
            <v>Kartofler</v>
          </cell>
          <cell r="G195" t="str">
            <v>Ton</v>
          </cell>
          <cell r="H195">
            <v>59.459259259259248</v>
          </cell>
          <cell r="I195">
            <v>59.459259259259248</v>
          </cell>
          <cell r="J195">
            <v>59.459259259259248</v>
          </cell>
        </row>
        <row r="196">
          <cell r="A196" t="str">
            <v>Kartoffelmark</v>
          </cell>
          <cell r="B196" t="str">
            <v>Konventionel</v>
          </cell>
          <cell r="C196" t="str">
            <v>OC12</v>
          </cell>
          <cell r="D196" t="str">
            <v>Areal-kartofler</v>
          </cell>
          <cell r="E196" t="str">
            <v>Hektar</v>
          </cell>
          <cell r="F196" t="str">
            <v>Gødning</v>
          </cell>
          <cell r="G196" t="str">
            <v>kg N</v>
          </cell>
          <cell r="H196">
            <v>-90</v>
          </cell>
          <cell r="I196">
            <v>-90</v>
          </cell>
          <cell r="J196">
            <v>-90</v>
          </cell>
        </row>
        <row r="197">
          <cell r="A197" t="str">
            <v>Kartoffelmark</v>
          </cell>
          <cell r="B197" t="str">
            <v>Konventionel</v>
          </cell>
          <cell r="C197" t="str">
            <v>OC12</v>
          </cell>
          <cell r="D197" t="str">
            <v>Areal-kartofler</v>
          </cell>
          <cell r="E197" t="str">
            <v>Hektar</v>
          </cell>
          <cell r="F197" t="str">
            <v>CO2 - atmosfære</v>
          </cell>
          <cell r="G197" t="str">
            <v>t CO2-ækvivalenter</v>
          </cell>
          <cell r="H197">
            <v>40.951694367485452</v>
          </cell>
          <cell r="I197">
            <v>40.951694367485452</v>
          </cell>
          <cell r="J197">
            <v>40.951694367485452</v>
          </cell>
        </row>
        <row r="198">
          <cell r="A198" t="str">
            <v>Kartoffelmark</v>
          </cell>
          <cell r="B198" t="str">
            <v>Økologisk</v>
          </cell>
          <cell r="C198" t="str">
            <v>JB1-10</v>
          </cell>
          <cell r="D198" t="str">
            <v>Areal-kartofler</v>
          </cell>
          <cell r="E198" t="str">
            <v>Hektar</v>
          </cell>
          <cell r="F198" t="str">
            <v>Kartofler</v>
          </cell>
          <cell r="G198" t="str">
            <v>Ton</v>
          </cell>
          <cell r="H198">
            <v>24.208412698412694</v>
          </cell>
          <cell r="I198">
            <v>24.208412698412694</v>
          </cell>
          <cell r="J198">
            <v>24.208412698412694</v>
          </cell>
        </row>
        <row r="199">
          <cell r="A199" t="str">
            <v>Kartoffelmark</v>
          </cell>
          <cell r="B199" t="str">
            <v>Økologisk</v>
          </cell>
          <cell r="C199" t="str">
            <v>JB1-10</v>
          </cell>
          <cell r="D199" t="str">
            <v>Areal-kartofler</v>
          </cell>
          <cell r="E199" t="str">
            <v>Hektar</v>
          </cell>
          <cell r="F199" t="str">
            <v>Gødning</v>
          </cell>
          <cell r="G199" t="str">
            <v>kg N</v>
          </cell>
          <cell r="H199">
            <v>-85.499999999999986</v>
          </cell>
          <cell r="I199">
            <v>-85.499999999999986</v>
          </cell>
          <cell r="J199">
            <v>-85.499999999999986</v>
          </cell>
        </row>
        <row r="200">
          <cell r="A200" t="str">
            <v>Kartoffelmark</v>
          </cell>
          <cell r="B200" t="str">
            <v>Økologisk</v>
          </cell>
          <cell r="C200" t="str">
            <v>JB1-10</v>
          </cell>
          <cell r="D200" t="str">
            <v>Areal-kartofler</v>
          </cell>
          <cell r="E200" t="str">
            <v>Hektar</v>
          </cell>
          <cell r="F200" t="str">
            <v>CO2 - atmosfære</v>
          </cell>
          <cell r="G200" t="str">
            <v>t CO2-ækvivalenter</v>
          </cell>
          <cell r="H200">
            <v>2.2736943674854606</v>
          </cell>
          <cell r="I200">
            <v>2.2736943674854606</v>
          </cell>
          <cell r="J200">
            <v>2.2736943674854606</v>
          </cell>
        </row>
        <row r="201">
          <cell r="A201" t="str">
            <v>Kartoffelmark</v>
          </cell>
          <cell r="B201" t="str">
            <v>Økologisk</v>
          </cell>
          <cell r="C201" t="str">
            <v>OC6</v>
          </cell>
          <cell r="D201" t="str">
            <v>Areal-kartofler</v>
          </cell>
          <cell r="E201" t="str">
            <v>Hektar</v>
          </cell>
          <cell r="F201" t="str">
            <v>Kartofler</v>
          </cell>
          <cell r="G201" t="str">
            <v>Ton</v>
          </cell>
          <cell r="H201">
            <v>29.050095238095235</v>
          </cell>
          <cell r="I201">
            <v>29.050095238095235</v>
          </cell>
          <cell r="J201">
            <v>29.050095238095235</v>
          </cell>
        </row>
        <row r="202">
          <cell r="A202" t="str">
            <v>Kartoffelmark</v>
          </cell>
          <cell r="B202" t="str">
            <v>Økologisk</v>
          </cell>
          <cell r="C202" t="str">
            <v>OC6</v>
          </cell>
          <cell r="D202" t="str">
            <v>Areal-kartofler</v>
          </cell>
          <cell r="E202" t="str">
            <v>Hektar</v>
          </cell>
          <cell r="F202" t="str">
            <v>Gødning</v>
          </cell>
          <cell r="G202" t="str">
            <v>kg N</v>
          </cell>
          <cell r="H202">
            <v>-68.399999999999991</v>
          </cell>
          <cell r="I202">
            <v>-68.399999999999991</v>
          </cell>
          <cell r="J202">
            <v>-68.399999999999991</v>
          </cell>
        </row>
        <row r="203">
          <cell r="A203" t="str">
            <v>Kartoffelmark</v>
          </cell>
          <cell r="B203" t="str">
            <v>Økologisk</v>
          </cell>
          <cell r="C203" t="str">
            <v>OC6</v>
          </cell>
          <cell r="D203" t="str">
            <v>Areal-kartofler</v>
          </cell>
          <cell r="E203" t="str">
            <v>Hektar</v>
          </cell>
          <cell r="F203" t="str">
            <v>CO2 - atmosfære</v>
          </cell>
          <cell r="G203" t="str">
            <v>t CO2-ækvivalenter</v>
          </cell>
          <cell r="H203">
            <v>15.99169436748546</v>
          </cell>
          <cell r="I203">
            <v>15.99169436748546</v>
          </cell>
          <cell r="J203">
            <v>15.99169436748546</v>
          </cell>
        </row>
        <row r="204">
          <cell r="A204" t="str">
            <v>Kartoffelmark</v>
          </cell>
          <cell r="B204" t="str">
            <v>Økologisk</v>
          </cell>
          <cell r="C204" t="str">
            <v>OC12</v>
          </cell>
          <cell r="D204" t="str">
            <v>Areal-kartofler</v>
          </cell>
          <cell r="E204" t="str">
            <v>Hektar</v>
          </cell>
          <cell r="F204" t="str">
            <v>Kartofler</v>
          </cell>
          <cell r="G204" t="str">
            <v>Ton</v>
          </cell>
          <cell r="H204">
            <v>33.891777777777769</v>
          </cell>
          <cell r="I204">
            <v>33.891777777777769</v>
          </cell>
          <cell r="J204">
            <v>33.891777777777769</v>
          </cell>
        </row>
        <row r="205">
          <cell r="A205" t="str">
            <v>Kartoffelmark</v>
          </cell>
          <cell r="B205" t="str">
            <v>Økologisk</v>
          </cell>
          <cell r="C205" t="str">
            <v>OC12</v>
          </cell>
          <cell r="D205" t="str">
            <v>Areal-kartofler</v>
          </cell>
          <cell r="E205" t="str">
            <v>Hektar</v>
          </cell>
          <cell r="F205" t="str">
            <v>Gødning</v>
          </cell>
          <cell r="G205" t="str">
            <v>kg N</v>
          </cell>
          <cell r="H205">
            <v>-51.3</v>
          </cell>
          <cell r="I205">
            <v>-51.3</v>
          </cell>
          <cell r="J205">
            <v>-51.3</v>
          </cell>
        </row>
        <row r="206">
          <cell r="A206" t="str">
            <v>Kartoffelmark</v>
          </cell>
          <cell r="B206" t="str">
            <v>Økologisk</v>
          </cell>
          <cell r="C206" t="str">
            <v>OC12</v>
          </cell>
          <cell r="D206" t="str">
            <v>Areal-kartofler</v>
          </cell>
          <cell r="E206" t="str">
            <v>Hektar</v>
          </cell>
          <cell r="F206" t="str">
            <v>CO2 - atmosfære</v>
          </cell>
          <cell r="G206" t="str">
            <v>t CO2-ækvivalenter</v>
          </cell>
          <cell r="H206">
            <v>40.951694367485452</v>
          </cell>
          <cell r="I206">
            <v>40.951694367485452</v>
          </cell>
          <cell r="J206">
            <v>40.951694367485452</v>
          </cell>
        </row>
        <row r="207">
          <cell r="A207" t="str">
            <v>Græsmark</v>
          </cell>
          <cell r="B207" t="str">
            <v>Konventionel</v>
          </cell>
          <cell r="C207" t="str">
            <v>JB1-10</v>
          </cell>
          <cell r="D207" t="str">
            <v>Areal-græs</v>
          </cell>
          <cell r="E207" t="str">
            <v>Hektar</v>
          </cell>
          <cell r="F207" t="str">
            <v>Græs</v>
          </cell>
          <cell r="G207" t="str">
            <v>Ton</v>
          </cell>
          <cell r="H207">
            <v>49.62</v>
          </cell>
          <cell r="I207">
            <v>49.62</v>
          </cell>
          <cell r="J207">
            <v>49.62</v>
          </cell>
        </row>
        <row r="208">
          <cell r="A208" t="str">
            <v>Græsmark</v>
          </cell>
          <cell r="B208" t="str">
            <v>Konventionel</v>
          </cell>
          <cell r="C208" t="str">
            <v>JB1-10</v>
          </cell>
          <cell r="D208" t="str">
            <v>Areal-græs</v>
          </cell>
          <cell r="E208" t="str">
            <v>Hektar</v>
          </cell>
          <cell r="F208" t="str">
            <v>Gødning</v>
          </cell>
          <cell r="G208" t="str">
            <v>kg N</v>
          </cell>
          <cell r="H208">
            <v>-155</v>
          </cell>
          <cell r="I208">
            <v>-155</v>
          </cell>
          <cell r="J208">
            <v>-155</v>
          </cell>
        </row>
        <row r="209">
          <cell r="A209" t="str">
            <v>Græsmark</v>
          </cell>
          <cell r="B209" t="str">
            <v>Konventionel</v>
          </cell>
          <cell r="C209" t="str">
            <v>JB1-10</v>
          </cell>
          <cell r="D209" t="str">
            <v>Areal-græs</v>
          </cell>
          <cell r="E209" t="str">
            <v>Hektar</v>
          </cell>
          <cell r="F209" t="str">
            <v>CO2 - atmosfære</v>
          </cell>
          <cell r="G209" t="str">
            <v>t CO2-ækvivalenter</v>
          </cell>
          <cell r="H209">
            <v>2.2736943674854606</v>
          </cell>
          <cell r="I209">
            <v>2.2736943674854606</v>
          </cell>
          <cell r="J209">
            <v>2.2736943674854606</v>
          </cell>
        </row>
        <row r="210">
          <cell r="A210" t="str">
            <v>Græsmark</v>
          </cell>
          <cell r="B210" t="str">
            <v>Konventionel</v>
          </cell>
          <cell r="C210" t="str">
            <v>OC6</v>
          </cell>
          <cell r="D210" t="str">
            <v>Areal-græs</v>
          </cell>
          <cell r="E210" t="str">
            <v>Hektar</v>
          </cell>
          <cell r="F210" t="str">
            <v>Græs</v>
          </cell>
          <cell r="G210" t="str">
            <v>Ton</v>
          </cell>
          <cell r="H210">
            <v>59.543999999999997</v>
          </cell>
          <cell r="I210">
            <v>59.543999999999997</v>
          </cell>
          <cell r="J210">
            <v>59.543999999999997</v>
          </cell>
        </row>
        <row r="211">
          <cell r="A211" t="str">
            <v>Græsmark</v>
          </cell>
          <cell r="B211" t="str">
            <v>Konventionel</v>
          </cell>
          <cell r="C211" t="str">
            <v>OC6</v>
          </cell>
          <cell r="D211" t="str">
            <v>Areal-græs</v>
          </cell>
          <cell r="E211" t="str">
            <v>Hektar</v>
          </cell>
          <cell r="F211" t="str">
            <v>Gødning</v>
          </cell>
          <cell r="G211" t="str">
            <v>kg N</v>
          </cell>
          <cell r="H211">
            <v>-130</v>
          </cell>
          <cell r="I211">
            <v>-130</v>
          </cell>
          <cell r="J211">
            <v>-130</v>
          </cell>
        </row>
        <row r="212">
          <cell r="A212" t="str">
            <v>Græsmark</v>
          </cell>
          <cell r="B212" t="str">
            <v>Konventionel</v>
          </cell>
          <cell r="C212" t="str">
            <v>OC6</v>
          </cell>
          <cell r="D212" t="str">
            <v>Areal-græs</v>
          </cell>
          <cell r="E212" t="str">
            <v>Hektar</v>
          </cell>
          <cell r="F212" t="str">
            <v>CO2 - atmosfære</v>
          </cell>
          <cell r="G212" t="str">
            <v>t CO2-ækvivalenter</v>
          </cell>
          <cell r="H212">
            <v>15.99169436748546</v>
          </cell>
          <cell r="I212">
            <v>15.99169436748546</v>
          </cell>
          <cell r="J212">
            <v>15.99169436748546</v>
          </cell>
        </row>
        <row r="213">
          <cell r="A213" t="str">
            <v>Græsmark</v>
          </cell>
          <cell r="B213" t="str">
            <v>Konventionel</v>
          </cell>
          <cell r="C213" t="str">
            <v>OC12</v>
          </cell>
          <cell r="D213" t="str">
            <v>Areal-græs</v>
          </cell>
          <cell r="E213" t="str">
            <v>Hektar</v>
          </cell>
          <cell r="F213" t="str">
            <v>Græs</v>
          </cell>
          <cell r="G213" t="str">
            <v>Ton</v>
          </cell>
          <cell r="H213">
            <v>69.467999999999989</v>
          </cell>
          <cell r="I213">
            <v>69.467999999999989</v>
          </cell>
          <cell r="J213">
            <v>69.467999999999989</v>
          </cell>
        </row>
        <row r="214">
          <cell r="A214" t="str">
            <v>Græsmark</v>
          </cell>
          <cell r="B214" t="str">
            <v>Konventionel</v>
          </cell>
          <cell r="C214" t="str">
            <v>OC12</v>
          </cell>
          <cell r="D214" t="str">
            <v>Areal-græs</v>
          </cell>
          <cell r="E214" t="str">
            <v>Hektar</v>
          </cell>
          <cell r="F214" t="str">
            <v>Gødning</v>
          </cell>
          <cell r="G214" t="str">
            <v>kg N</v>
          </cell>
          <cell r="H214">
            <v>-105</v>
          </cell>
          <cell r="I214">
            <v>-105</v>
          </cell>
          <cell r="J214">
            <v>-105</v>
          </cell>
        </row>
        <row r="215">
          <cell r="A215" t="str">
            <v>Græsmark</v>
          </cell>
          <cell r="B215" t="str">
            <v>Konventionel</v>
          </cell>
          <cell r="C215" t="str">
            <v>OC12</v>
          </cell>
          <cell r="D215" t="str">
            <v>Areal-græs</v>
          </cell>
          <cell r="E215" t="str">
            <v>Hektar</v>
          </cell>
          <cell r="F215" t="str">
            <v>CO2 - atmosfære</v>
          </cell>
          <cell r="G215" t="str">
            <v>t CO2-ækvivalenter</v>
          </cell>
          <cell r="H215">
            <v>40.951694367485452</v>
          </cell>
          <cell r="I215">
            <v>40.951694367485452</v>
          </cell>
          <cell r="J215">
            <v>40.951694367485452</v>
          </cell>
        </row>
        <row r="216">
          <cell r="A216" t="str">
            <v>Græsmark</v>
          </cell>
          <cell r="B216" t="str">
            <v>Økologisk</v>
          </cell>
          <cell r="C216" t="str">
            <v>JB1-10</v>
          </cell>
          <cell r="D216" t="str">
            <v>Areal-græs</v>
          </cell>
          <cell r="E216" t="str">
            <v>Hektar</v>
          </cell>
          <cell r="F216" t="str">
            <v>Græs</v>
          </cell>
          <cell r="G216" t="str">
            <v>Ton</v>
          </cell>
          <cell r="H216">
            <v>38.703600000000002</v>
          </cell>
          <cell r="I216">
            <v>38.703600000000002</v>
          </cell>
          <cell r="J216">
            <v>38.703600000000002</v>
          </cell>
        </row>
        <row r="217">
          <cell r="A217" t="str">
            <v>Græsmark</v>
          </cell>
          <cell r="B217" t="str">
            <v>Økologisk</v>
          </cell>
          <cell r="C217" t="str">
            <v>JB1-10</v>
          </cell>
          <cell r="D217" t="str">
            <v>Areal-græs</v>
          </cell>
          <cell r="E217" t="str">
            <v>Hektar</v>
          </cell>
          <cell r="F217" t="str">
            <v>Gødning</v>
          </cell>
          <cell r="G217" t="str">
            <v>kg N</v>
          </cell>
          <cell r="H217">
            <v>-120.9</v>
          </cell>
          <cell r="I217">
            <v>-120.9</v>
          </cell>
          <cell r="J217">
            <v>-120.9</v>
          </cell>
        </row>
        <row r="218">
          <cell r="A218" t="str">
            <v>Græsmark</v>
          </cell>
          <cell r="B218" t="str">
            <v>Økologisk</v>
          </cell>
          <cell r="C218" t="str">
            <v>JB1-10</v>
          </cell>
          <cell r="D218" t="str">
            <v>Areal-græs</v>
          </cell>
          <cell r="E218" t="str">
            <v>Hektar</v>
          </cell>
          <cell r="F218" t="str">
            <v>CO2 - atmosfære</v>
          </cell>
          <cell r="G218" t="str">
            <v>t CO2-ækvivalenter</v>
          </cell>
          <cell r="H218">
            <v>2.2736943674854606</v>
          </cell>
          <cell r="I218">
            <v>2.2736943674854606</v>
          </cell>
          <cell r="J218">
            <v>2.2736943674854606</v>
          </cell>
        </row>
        <row r="219">
          <cell r="A219" t="str">
            <v>Græsmark</v>
          </cell>
          <cell r="B219" t="str">
            <v>Økologisk</v>
          </cell>
          <cell r="C219" t="str">
            <v>OC6</v>
          </cell>
          <cell r="D219" t="str">
            <v>Areal-græs</v>
          </cell>
          <cell r="E219" t="str">
            <v>Hektar</v>
          </cell>
          <cell r="F219" t="str">
            <v>Græs</v>
          </cell>
          <cell r="G219" t="str">
            <v>Ton</v>
          </cell>
          <cell r="H219">
            <v>46.444319999999998</v>
          </cell>
          <cell r="I219">
            <v>46.444319999999998</v>
          </cell>
          <cell r="J219">
            <v>46.444319999999998</v>
          </cell>
        </row>
        <row r="220">
          <cell r="A220" t="str">
            <v>Græsmark</v>
          </cell>
          <cell r="B220" t="str">
            <v>Økologisk</v>
          </cell>
          <cell r="C220" t="str">
            <v>OC6</v>
          </cell>
          <cell r="D220" t="str">
            <v>Areal-græs</v>
          </cell>
          <cell r="E220" t="str">
            <v>Hektar</v>
          </cell>
          <cell r="F220" t="str">
            <v>Gødning</v>
          </cell>
          <cell r="G220" t="str">
            <v>kg N</v>
          </cell>
          <cell r="H220">
            <v>-101.4</v>
          </cell>
          <cell r="I220">
            <v>-101.4</v>
          </cell>
          <cell r="J220">
            <v>-101.4</v>
          </cell>
        </row>
        <row r="221">
          <cell r="A221" t="str">
            <v>Græsmark</v>
          </cell>
          <cell r="B221" t="str">
            <v>Økologisk</v>
          </cell>
          <cell r="C221" t="str">
            <v>OC6</v>
          </cell>
          <cell r="D221" t="str">
            <v>Areal-græs</v>
          </cell>
          <cell r="E221" t="str">
            <v>Hektar</v>
          </cell>
          <cell r="F221" t="str">
            <v>CO2 - atmosfære</v>
          </cell>
          <cell r="G221" t="str">
            <v>t CO2-ækvivalenter</v>
          </cell>
          <cell r="H221">
            <v>15.99169436748546</v>
          </cell>
          <cell r="I221">
            <v>15.99169436748546</v>
          </cell>
          <cell r="J221">
            <v>15.99169436748546</v>
          </cell>
        </row>
        <row r="222">
          <cell r="A222" t="str">
            <v>Græsmark</v>
          </cell>
          <cell r="B222" t="str">
            <v>Økologisk</v>
          </cell>
          <cell r="C222" t="str">
            <v>OC12</v>
          </cell>
          <cell r="D222" t="str">
            <v>Areal-græs</v>
          </cell>
          <cell r="E222" t="str">
            <v>Hektar</v>
          </cell>
          <cell r="F222" t="str">
            <v>Græs</v>
          </cell>
          <cell r="G222" t="str">
            <v>Ton</v>
          </cell>
          <cell r="H222">
            <v>54.185039999999994</v>
          </cell>
          <cell r="I222">
            <v>54.185039999999994</v>
          </cell>
          <cell r="J222">
            <v>54.185039999999994</v>
          </cell>
        </row>
        <row r="223">
          <cell r="A223" t="str">
            <v>Græsmark</v>
          </cell>
          <cell r="B223" t="str">
            <v>Økologisk</v>
          </cell>
          <cell r="C223" t="str">
            <v>OC12</v>
          </cell>
          <cell r="D223" t="str">
            <v>Areal-græs</v>
          </cell>
          <cell r="E223" t="str">
            <v>Hektar</v>
          </cell>
          <cell r="F223" t="str">
            <v>Gødning</v>
          </cell>
          <cell r="G223" t="str">
            <v>kg N</v>
          </cell>
          <cell r="H223">
            <v>-81.900000000000006</v>
          </cell>
          <cell r="I223">
            <v>-81.900000000000006</v>
          </cell>
          <cell r="J223">
            <v>-81.900000000000006</v>
          </cell>
        </row>
        <row r="224">
          <cell r="A224" t="str">
            <v>Græsmark</v>
          </cell>
          <cell r="B224" t="str">
            <v>Økologisk</v>
          </cell>
          <cell r="C224" t="str">
            <v>OC12</v>
          </cell>
          <cell r="D224" t="str">
            <v>Areal-græs</v>
          </cell>
          <cell r="E224" t="str">
            <v>Hektar</v>
          </cell>
          <cell r="F224" t="str">
            <v>CO2 - atmosfære</v>
          </cell>
          <cell r="G224" t="str">
            <v>t CO2-ækvivalenter</v>
          </cell>
          <cell r="H224">
            <v>40.951694367485452</v>
          </cell>
          <cell r="I224">
            <v>40.951694367485452</v>
          </cell>
          <cell r="J224">
            <v>40.951694367485452</v>
          </cell>
        </row>
        <row r="225">
          <cell r="A225" t="str">
            <v>Bælgsædsmark</v>
          </cell>
          <cell r="B225" t="str">
            <v>Konventionel</v>
          </cell>
          <cell r="C225" t="str">
            <v>JB1-10</v>
          </cell>
          <cell r="D225" t="str">
            <v>Areal-bælgsæd</v>
          </cell>
          <cell r="E225" t="str">
            <v>Hektar</v>
          </cell>
          <cell r="F225" t="str">
            <v>Bælgsæd</v>
          </cell>
          <cell r="G225" t="str">
            <v>Ton</v>
          </cell>
          <cell r="H225">
            <v>3.8600000000000003</v>
          </cell>
          <cell r="I225">
            <v>3.8600000000000003</v>
          </cell>
          <cell r="J225">
            <v>3.8600000000000003</v>
          </cell>
        </row>
        <row r="226">
          <cell r="A226" t="str">
            <v>Bælgsædsmark</v>
          </cell>
          <cell r="B226" t="str">
            <v>Konventionel</v>
          </cell>
          <cell r="C226" t="str">
            <v>JB1-10</v>
          </cell>
          <cell r="D226" t="str">
            <v>Areal-bælgsæd</v>
          </cell>
          <cell r="E226" t="str">
            <v>Hektar</v>
          </cell>
          <cell r="F226" t="str">
            <v>Halm</v>
          </cell>
          <cell r="G226" t="str">
            <v>Ton</v>
          </cell>
          <cell r="H226">
            <v>1.9309999999999998</v>
          </cell>
          <cell r="I226">
            <v>1.9309999999999998</v>
          </cell>
          <cell r="J226">
            <v>1.9309999999999998</v>
          </cell>
        </row>
        <row r="227">
          <cell r="A227" t="str">
            <v>Bælgsædsmark</v>
          </cell>
          <cell r="B227" t="str">
            <v>Konventionel</v>
          </cell>
          <cell r="C227" t="str">
            <v>JB1-10</v>
          </cell>
          <cell r="D227" t="str">
            <v>Areal-bælgsæd</v>
          </cell>
          <cell r="E227" t="str">
            <v>Hektar</v>
          </cell>
          <cell r="F227" t="str">
            <v>Gødning</v>
          </cell>
          <cell r="G227" t="str">
            <v>kg N</v>
          </cell>
          <cell r="H227">
            <v>0</v>
          </cell>
          <cell r="I227">
            <v>0</v>
          </cell>
          <cell r="J227">
            <v>0</v>
          </cell>
        </row>
        <row r="228">
          <cell r="A228" t="str">
            <v>Bælgsædsmark</v>
          </cell>
          <cell r="B228" t="str">
            <v>Konventionel</v>
          </cell>
          <cell r="C228" t="str">
            <v>JB1-10</v>
          </cell>
          <cell r="D228" t="str">
            <v>Areal-bælgsæd</v>
          </cell>
          <cell r="E228" t="str">
            <v>Hektar</v>
          </cell>
          <cell r="F228" t="str">
            <v>CO2 - atmosfære</v>
          </cell>
          <cell r="G228" t="str">
            <v>t CO2-ækvivalenter</v>
          </cell>
          <cell r="H228">
            <v>2.2736943674854606</v>
          </cell>
          <cell r="I228">
            <v>2.2736943674854606</v>
          </cell>
          <cell r="J228">
            <v>2.2736943674854606</v>
          </cell>
        </row>
        <row r="229">
          <cell r="A229" t="str">
            <v>Bælgsædsmark</v>
          </cell>
          <cell r="B229" t="str">
            <v>Konventionel</v>
          </cell>
          <cell r="C229" t="str">
            <v>OC6</v>
          </cell>
          <cell r="D229" t="str">
            <v>Areal-bælgsæd</v>
          </cell>
          <cell r="E229" t="str">
            <v>Hektar</v>
          </cell>
          <cell r="F229" t="str">
            <v>Bælgsæd</v>
          </cell>
          <cell r="G229" t="str">
            <v>Ton</v>
          </cell>
          <cell r="H229">
            <v>4.6320000000000006</v>
          </cell>
          <cell r="I229">
            <v>4.6320000000000006</v>
          </cell>
          <cell r="J229">
            <v>4.6320000000000006</v>
          </cell>
        </row>
        <row r="230">
          <cell r="A230" t="str">
            <v>Bælgsædsmark</v>
          </cell>
          <cell r="B230" t="str">
            <v>Konventionel</v>
          </cell>
          <cell r="C230" t="str">
            <v>OC6</v>
          </cell>
          <cell r="D230" t="str">
            <v>Areal-bælgsæd</v>
          </cell>
          <cell r="E230" t="str">
            <v>Hektar</v>
          </cell>
          <cell r="F230" t="str">
            <v>Halm</v>
          </cell>
          <cell r="G230" t="str">
            <v>Ton</v>
          </cell>
          <cell r="H230">
            <v>2.3171999999999997</v>
          </cell>
          <cell r="I230">
            <v>2.3171999999999997</v>
          </cell>
          <cell r="J230">
            <v>2.3171999999999997</v>
          </cell>
        </row>
        <row r="231">
          <cell r="A231" t="str">
            <v>Bælgsædsmark</v>
          </cell>
          <cell r="B231" t="str">
            <v>Konventionel</v>
          </cell>
          <cell r="C231" t="str">
            <v>OC6</v>
          </cell>
          <cell r="D231" t="str">
            <v>Areal-bælgsæd</v>
          </cell>
          <cell r="E231" t="str">
            <v>Hektar</v>
          </cell>
          <cell r="F231" t="str">
            <v>Gødning</v>
          </cell>
          <cell r="G231" t="str">
            <v>kg N</v>
          </cell>
          <cell r="H231">
            <v>0</v>
          </cell>
          <cell r="I231">
            <v>0</v>
          </cell>
          <cell r="J231">
            <v>0</v>
          </cell>
        </row>
        <row r="232">
          <cell r="A232" t="str">
            <v>Bælgsædsmark</v>
          </cell>
          <cell r="B232" t="str">
            <v>Konventionel</v>
          </cell>
          <cell r="C232" t="str">
            <v>OC6</v>
          </cell>
          <cell r="D232" t="str">
            <v>Areal-bælgsæd</v>
          </cell>
          <cell r="E232" t="str">
            <v>Hektar</v>
          </cell>
          <cell r="F232" t="str">
            <v>CO2 - atmosfære</v>
          </cell>
          <cell r="G232" t="str">
            <v>t CO2-ækvivalenter</v>
          </cell>
          <cell r="H232">
            <v>15.99169436748546</v>
          </cell>
          <cell r="I232">
            <v>15.99169436748546</v>
          </cell>
          <cell r="J232">
            <v>15.99169436748546</v>
          </cell>
        </row>
        <row r="233">
          <cell r="A233" t="str">
            <v>Bælgsædsmark</v>
          </cell>
          <cell r="B233" t="str">
            <v>Konventionel</v>
          </cell>
          <cell r="C233" t="str">
            <v>OC12</v>
          </cell>
          <cell r="D233" t="str">
            <v>Areal-bælgsæd</v>
          </cell>
          <cell r="E233" t="str">
            <v>Hektar</v>
          </cell>
          <cell r="F233" t="str">
            <v>Bælgsæd</v>
          </cell>
          <cell r="G233" t="str">
            <v>Ton</v>
          </cell>
          <cell r="H233">
            <v>5.4039999999999999</v>
          </cell>
          <cell r="I233">
            <v>5.4039999999999999</v>
          </cell>
          <cell r="J233">
            <v>5.4039999999999999</v>
          </cell>
        </row>
        <row r="234">
          <cell r="A234" t="str">
            <v>Bælgsædsmark</v>
          </cell>
          <cell r="B234" t="str">
            <v>Konventionel</v>
          </cell>
          <cell r="C234" t="str">
            <v>OC12</v>
          </cell>
          <cell r="D234" t="str">
            <v>Areal-bælgsæd</v>
          </cell>
          <cell r="E234" t="str">
            <v>Hektar</v>
          </cell>
          <cell r="F234" t="str">
            <v>Halm</v>
          </cell>
          <cell r="G234" t="str">
            <v>Ton</v>
          </cell>
          <cell r="H234">
            <v>2.7033999999999998</v>
          </cell>
          <cell r="I234">
            <v>2.7033999999999998</v>
          </cell>
          <cell r="J234">
            <v>2.7033999999999998</v>
          </cell>
        </row>
        <row r="235">
          <cell r="A235" t="str">
            <v>Bælgsædsmark</v>
          </cell>
          <cell r="B235" t="str">
            <v>Konventionel</v>
          </cell>
          <cell r="C235" t="str">
            <v>OC12</v>
          </cell>
          <cell r="D235" t="str">
            <v>Areal-bælgsæd</v>
          </cell>
          <cell r="E235" t="str">
            <v>Hektar</v>
          </cell>
          <cell r="F235" t="str">
            <v>Gødning</v>
          </cell>
          <cell r="G235" t="str">
            <v>kg N</v>
          </cell>
          <cell r="H235">
            <v>0</v>
          </cell>
          <cell r="I235">
            <v>0</v>
          </cell>
          <cell r="J235">
            <v>0</v>
          </cell>
        </row>
        <row r="236">
          <cell r="A236" t="str">
            <v>Bælgsædsmark</v>
          </cell>
          <cell r="B236" t="str">
            <v>Konventionel</v>
          </cell>
          <cell r="C236" t="str">
            <v>OC12</v>
          </cell>
          <cell r="D236" t="str">
            <v>Areal-bælgsæd</v>
          </cell>
          <cell r="E236" t="str">
            <v>Hektar</v>
          </cell>
          <cell r="F236" t="str">
            <v>CO2 - atmosfære</v>
          </cell>
          <cell r="G236" t="str">
            <v>t CO2-ækvivalenter</v>
          </cell>
          <cell r="H236">
            <v>40.951694367485452</v>
          </cell>
          <cell r="I236">
            <v>40.951694367485452</v>
          </cell>
          <cell r="J236">
            <v>40.951694367485452</v>
          </cell>
        </row>
        <row r="237">
          <cell r="A237" t="str">
            <v>Bælgsædsmark</v>
          </cell>
          <cell r="B237" t="str">
            <v>Økologisk</v>
          </cell>
          <cell r="C237" t="str">
            <v>JB1-10</v>
          </cell>
          <cell r="D237" t="str">
            <v>Areal-bælgsæd</v>
          </cell>
          <cell r="E237" t="str">
            <v>Hektar</v>
          </cell>
          <cell r="F237" t="str">
            <v>Bælgsæd</v>
          </cell>
          <cell r="G237" t="str">
            <v>Ton</v>
          </cell>
          <cell r="H237">
            <v>2.2002000000000002</v>
          </cell>
          <cell r="I237">
            <v>2.2002000000000002</v>
          </cell>
          <cell r="J237">
            <v>2.2002000000000002</v>
          </cell>
        </row>
        <row r="238">
          <cell r="A238" t="str">
            <v>Bælgsædsmark</v>
          </cell>
          <cell r="B238" t="str">
            <v>Økologisk</v>
          </cell>
          <cell r="C238" t="str">
            <v>JB1-10</v>
          </cell>
          <cell r="D238" t="str">
            <v>Areal-bælgsæd</v>
          </cell>
          <cell r="E238" t="str">
            <v>Hektar</v>
          </cell>
          <cell r="F238" t="str">
            <v>Halm</v>
          </cell>
          <cell r="G238" t="str">
            <v>Ton</v>
          </cell>
          <cell r="H238">
            <v>1.1006699999999998</v>
          </cell>
          <cell r="I238">
            <v>1.1006699999999998</v>
          </cell>
          <cell r="J238">
            <v>1.1006699999999998</v>
          </cell>
        </row>
        <row r="239">
          <cell r="A239" t="str">
            <v>Bælgsædsmark</v>
          </cell>
          <cell r="B239" t="str">
            <v>Økologisk</v>
          </cell>
          <cell r="C239" t="str">
            <v>JB1-10</v>
          </cell>
          <cell r="D239" t="str">
            <v>Areal-bælgsæd</v>
          </cell>
          <cell r="E239" t="str">
            <v>Hektar</v>
          </cell>
          <cell r="F239" t="str">
            <v>Gødning</v>
          </cell>
          <cell r="G239" t="str">
            <v>kg N</v>
          </cell>
          <cell r="H239">
            <v>0</v>
          </cell>
          <cell r="I239">
            <v>0</v>
          </cell>
          <cell r="J239">
            <v>0</v>
          </cell>
        </row>
        <row r="240">
          <cell r="A240" t="str">
            <v>Bælgsædsmark</v>
          </cell>
          <cell r="B240" t="str">
            <v>Økologisk</v>
          </cell>
          <cell r="C240" t="str">
            <v>JB1-10</v>
          </cell>
          <cell r="D240" t="str">
            <v>Areal-bælgsæd</v>
          </cell>
          <cell r="E240" t="str">
            <v>Hektar</v>
          </cell>
          <cell r="F240" t="str">
            <v>CO2 - atmosfære</v>
          </cell>
          <cell r="G240" t="str">
            <v>t CO2-ækvivalenter</v>
          </cell>
          <cell r="H240">
            <v>2.2736943674854606</v>
          </cell>
          <cell r="I240">
            <v>2.2736943674854606</v>
          </cell>
          <cell r="J240">
            <v>2.2736943674854606</v>
          </cell>
        </row>
        <row r="241">
          <cell r="A241" t="str">
            <v>Bælgsædsmark</v>
          </cell>
          <cell r="B241" t="str">
            <v>Økologisk</v>
          </cell>
          <cell r="C241" t="str">
            <v>OC6</v>
          </cell>
          <cell r="D241" t="str">
            <v>Areal-bælgsæd</v>
          </cell>
          <cell r="E241" t="str">
            <v>Hektar</v>
          </cell>
          <cell r="F241" t="str">
            <v>Bælgsæd</v>
          </cell>
          <cell r="G241" t="str">
            <v>Ton</v>
          </cell>
          <cell r="H241">
            <v>2.6402399999999999</v>
          </cell>
          <cell r="I241">
            <v>2.6402399999999999</v>
          </cell>
          <cell r="J241">
            <v>2.6402399999999999</v>
          </cell>
        </row>
        <row r="242">
          <cell r="A242" t="str">
            <v>Bælgsædsmark</v>
          </cell>
          <cell r="B242" t="str">
            <v>Økologisk</v>
          </cell>
          <cell r="C242" t="str">
            <v>OC6</v>
          </cell>
          <cell r="D242" t="str">
            <v>Areal-bælgsæd</v>
          </cell>
          <cell r="E242" t="str">
            <v>Hektar</v>
          </cell>
          <cell r="F242" t="str">
            <v>Halm</v>
          </cell>
          <cell r="G242" t="str">
            <v>Ton</v>
          </cell>
          <cell r="H242">
            <v>1.3208039999999996</v>
          </cell>
          <cell r="I242">
            <v>1.3208039999999996</v>
          </cell>
          <cell r="J242">
            <v>1.3208039999999996</v>
          </cell>
        </row>
        <row r="243">
          <cell r="A243" t="str">
            <v>Bælgsædsmark</v>
          </cell>
          <cell r="B243" t="str">
            <v>Økologisk</v>
          </cell>
          <cell r="C243" t="str">
            <v>OC6</v>
          </cell>
          <cell r="D243" t="str">
            <v>Areal-bælgsæd</v>
          </cell>
          <cell r="E243" t="str">
            <v>Hektar</v>
          </cell>
          <cell r="F243" t="str">
            <v>Gødning</v>
          </cell>
          <cell r="G243" t="str">
            <v>kg N</v>
          </cell>
          <cell r="H243">
            <v>0</v>
          </cell>
          <cell r="I243">
            <v>0</v>
          </cell>
          <cell r="J243">
            <v>0</v>
          </cell>
        </row>
        <row r="244">
          <cell r="A244" t="str">
            <v>Bælgsædsmark</v>
          </cell>
          <cell r="B244" t="str">
            <v>Økologisk</v>
          </cell>
          <cell r="C244" t="str">
            <v>OC6</v>
          </cell>
          <cell r="D244" t="str">
            <v>Areal-bælgsæd</v>
          </cell>
          <cell r="E244" t="str">
            <v>Hektar</v>
          </cell>
          <cell r="F244" t="str">
            <v>CO2 - atmosfære</v>
          </cell>
          <cell r="G244" t="str">
            <v>t CO2-ækvivalenter</v>
          </cell>
          <cell r="H244">
            <v>15.99169436748546</v>
          </cell>
          <cell r="I244">
            <v>15.99169436748546</v>
          </cell>
          <cell r="J244">
            <v>15.99169436748546</v>
          </cell>
        </row>
        <row r="245">
          <cell r="A245" t="str">
            <v>Bælgsædsmark</v>
          </cell>
          <cell r="B245" t="str">
            <v>Økologisk</v>
          </cell>
          <cell r="C245" t="str">
            <v>OC12</v>
          </cell>
          <cell r="D245" t="str">
            <v>Areal-bælgsæd</v>
          </cell>
          <cell r="E245" t="str">
            <v>Hektar</v>
          </cell>
          <cell r="F245" t="str">
            <v>Bælgsæd</v>
          </cell>
          <cell r="G245" t="str">
            <v>Ton</v>
          </cell>
          <cell r="H245">
            <v>3.0802799999999997</v>
          </cell>
          <cell r="I245">
            <v>3.0802799999999997</v>
          </cell>
          <cell r="J245">
            <v>3.0802799999999997</v>
          </cell>
        </row>
        <row r="246">
          <cell r="A246" t="str">
            <v>Bælgsædsmark</v>
          </cell>
          <cell r="B246" t="str">
            <v>Økologisk</v>
          </cell>
          <cell r="C246" t="str">
            <v>OC12</v>
          </cell>
          <cell r="D246" t="str">
            <v>Areal-bælgsæd</v>
          </cell>
          <cell r="E246" t="str">
            <v>Hektar</v>
          </cell>
          <cell r="F246" t="str">
            <v>Halm</v>
          </cell>
          <cell r="G246" t="str">
            <v>Ton</v>
          </cell>
          <cell r="H246">
            <v>1.5409379999999997</v>
          </cell>
          <cell r="I246">
            <v>1.5409379999999997</v>
          </cell>
          <cell r="J246">
            <v>1.5409379999999997</v>
          </cell>
        </row>
        <row r="247">
          <cell r="A247" t="str">
            <v>Bælgsædsmark</v>
          </cell>
          <cell r="B247" t="str">
            <v>Økologisk</v>
          </cell>
          <cell r="C247" t="str">
            <v>OC12</v>
          </cell>
          <cell r="D247" t="str">
            <v>Areal-bælgsæd</v>
          </cell>
          <cell r="E247" t="str">
            <v>Hektar</v>
          </cell>
          <cell r="F247" t="str">
            <v>Gødning</v>
          </cell>
          <cell r="G247" t="str">
            <v>kg N</v>
          </cell>
          <cell r="H247">
            <v>0</v>
          </cell>
          <cell r="I247">
            <v>0</v>
          </cell>
          <cell r="J247">
            <v>0</v>
          </cell>
        </row>
        <row r="248">
          <cell r="A248" t="str">
            <v>Bælgsædsmark</v>
          </cell>
          <cell r="B248" t="str">
            <v>Økologisk</v>
          </cell>
          <cell r="C248" t="str">
            <v>OC12</v>
          </cell>
          <cell r="D248" t="str">
            <v>Areal-bælgsæd</v>
          </cell>
          <cell r="E248" t="str">
            <v>Hektar</v>
          </cell>
          <cell r="F248" t="str">
            <v>CO2 - atmosfære</v>
          </cell>
          <cell r="G248" t="str">
            <v>t CO2-ækvivalenter</v>
          </cell>
          <cell r="H248">
            <v>40.951694367485452</v>
          </cell>
          <cell r="I248">
            <v>40.951694367485452</v>
          </cell>
          <cell r="J248">
            <v>40.951694367485452</v>
          </cell>
        </row>
        <row r="249">
          <cell r="A249" t="str">
            <v>Roemark</v>
          </cell>
          <cell r="B249" t="str">
            <v>Konventionel</v>
          </cell>
          <cell r="C249" t="str">
            <v>JB1-10</v>
          </cell>
          <cell r="D249" t="str">
            <v>Areal-roer</v>
          </cell>
          <cell r="E249" t="str">
            <v>Hektar</v>
          </cell>
          <cell r="F249" t="str">
            <v>Roer</v>
          </cell>
          <cell r="G249" t="str">
            <v>Ton</v>
          </cell>
          <cell r="H249">
            <v>81.253731343283576</v>
          </cell>
          <cell r="I249">
            <v>81.253731343283576</v>
          </cell>
          <cell r="J249">
            <v>81.253731343283576</v>
          </cell>
        </row>
        <row r="250">
          <cell r="A250" t="str">
            <v>Roemark</v>
          </cell>
          <cell r="B250" t="str">
            <v>Konventionel</v>
          </cell>
          <cell r="C250" t="str">
            <v>JB1-10</v>
          </cell>
          <cell r="D250" t="str">
            <v>Areal-roer</v>
          </cell>
          <cell r="E250" t="str">
            <v>Hektar</v>
          </cell>
          <cell r="F250" t="str">
            <v>Gødning</v>
          </cell>
          <cell r="G250" t="str">
            <v>kg N</v>
          </cell>
          <cell r="H250">
            <v>-135</v>
          </cell>
          <cell r="I250">
            <v>-135</v>
          </cell>
          <cell r="J250">
            <v>-135</v>
          </cell>
        </row>
        <row r="251">
          <cell r="A251" t="str">
            <v>Roemark</v>
          </cell>
          <cell r="B251" t="str">
            <v>Konventionel</v>
          </cell>
          <cell r="C251" t="str">
            <v>JB1-10</v>
          </cell>
          <cell r="D251" t="str">
            <v>Areal-roer</v>
          </cell>
          <cell r="E251" t="str">
            <v>Hektar</v>
          </cell>
          <cell r="F251" t="str">
            <v>CO2 - atmosfære</v>
          </cell>
          <cell r="G251" t="str">
            <v>t CO2-ækvivalenter</v>
          </cell>
          <cell r="H251">
            <v>2.2736943674854606</v>
          </cell>
          <cell r="I251">
            <v>2.2736943674854606</v>
          </cell>
          <cell r="J251">
            <v>2.2736943674854606</v>
          </cell>
        </row>
        <row r="252">
          <cell r="A252" t="str">
            <v>Roemark</v>
          </cell>
          <cell r="B252" t="str">
            <v>Konventionel</v>
          </cell>
          <cell r="C252" t="str">
            <v>OC6</v>
          </cell>
          <cell r="D252" t="str">
            <v>Areal-roer</v>
          </cell>
          <cell r="E252" t="str">
            <v>Hektar</v>
          </cell>
          <cell r="F252" t="str">
            <v>Roer</v>
          </cell>
          <cell r="G252" t="str">
            <v>Ton</v>
          </cell>
          <cell r="H252">
            <v>97.504477611940288</v>
          </cell>
          <cell r="I252">
            <v>97.504477611940288</v>
          </cell>
          <cell r="J252">
            <v>97.504477611940288</v>
          </cell>
        </row>
        <row r="253">
          <cell r="A253" t="str">
            <v>Roemark</v>
          </cell>
          <cell r="B253" t="str">
            <v>Konventionel</v>
          </cell>
          <cell r="C253" t="str">
            <v>OC6</v>
          </cell>
          <cell r="D253" t="str">
            <v>Areal-roer</v>
          </cell>
          <cell r="E253" t="str">
            <v>Hektar</v>
          </cell>
          <cell r="F253" t="str">
            <v>Gødning</v>
          </cell>
          <cell r="G253" t="str">
            <v>kg N</v>
          </cell>
          <cell r="H253">
            <v>-105</v>
          </cell>
          <cell r="I253">
            <v>-105</v>
          </cell>
          <cell r="J253">
            <v>-105</v>
          </cell>
        </row>
        <row r="254">
          <cell r="A254" t="str">
            <v>Roemark</v>
          </cell>
          <cell r="B254" t="str">
            <v>Konventionel</v>
          </cell>
          <cell r="C254" t="str">
            <v>OC6</v>
          </cell>
          <cell r="D254" t="str">
            <v>Areal-roer</v>
          </cell>
          <cell r="E254" t="str">
            <v>Hektar</v>
          </cell>
          <cell r="F254" t="str">
            <v>CO2 - atmosfære</v>
          </cell>
          <cell r="G254" t="str">
            <v>t CO2-ækvivalenter</v>
          </cell>
          <cell r="H254">
            <v>15.99169436748546</v>
          </cell>
          <cell r="I254">
            <v>15.99169436748546</v>
          </cell>
          <cell r="J254">
            <v>15.99169436748546</v>
          </cell>
        </row>
        <row r="255">
          <cell r="A255" t="str">
            <v>Roemark</v>
          </cell>
          <cell r="B255" t="str">
            <v>Konventionel</v>
          </cell>
          <cell r="C255" t="str">
            <v>OC12</v>
          </cell>
          <cell r="D255" t="str">
            <v>Areal-roer</v>
          </cell>
          <cell r="E255" t="str">
            <v>Hektar</v>
          </cell>
          <cell r="F255" t="str">
            <v>Roer</v>
          </cell>
          <cell r="G255" t="str">
            <v>Ton</v>
          </cell>
          <cell r="H255">
            <v>113.755223880597</v>
          </cell>
          <cell r="I255">
            <v>113.755223880597</v>
          </cell>
          <cell r="J255">
            <v>113.755223880597</v>
          </cell>
        </row>
        <row r="256">
          <cell r="A256" t="str">
            <v>Roemark</v>
          </cell>
          <cell r="B256" t="str">
            <v>Konventionel</v>
          </cell>
          <cell r="C256" t="str">
            <v>OC12</v>
          </cell>
          <cell r="D256" t="str">
            <v>Areal-roer</v>
          </cell>
          <cell r="E256" t="str">
            <v>Hektar</v>
          </cell>
          <cell r="F256" t="str">
            <v>Gødning</v>
          </cell>
          <cell r="G256" t="str">
            <v>kg N</v>
          </cell>
          <cell r="H256">
            <v>-75</v>
          </cell>
          <cell r="I256">
            <v>-75</v>
          </cell>
          <cell r="J256">
            <v>-75</v>
          </cell>
        </row>
        <row r="257">
          <cell r="A257" t="str">
            <v>Roemark</v>
          </cell>
          <cell r="B257" t="str">
            <v>Konventionel</v>
          </cell>
          <cell r="C257" t="str">
            <v>OC12</v>
          </cell>
          <cell r="D257" t="str">
            <v>Areal-roer</v>
          </cell>
          <cell r="E257" t="str">
            <v>Hektar</v>
          </cell>
          <cell r="F257" t="str">
            <v>CO2 - atmosfære</v>
          </cell>
          <cell r="G257" t="str">
            <v>t CO2-ækvivalenter</v>
          </cell>
          <cell r="H257">
            <v>40.951694367485452</v>
          </cell>
          <cell r="I257">
            <v>40.951694367485452</v>
          </cell>
          <cell r="J257">
            <v>40.951694367485452</v>
          </cell>
        </row>
        <row r="258">
          <cell r="A258" t="str">
            <v>Roemark</v>
          </cell>
          <cell r="B258" t="str">
            <v>Økologisk</v>
          </cell>
          <cell r="C258" t="str">
            <v>JB1-10</v>
          </cell>
          <cell r="D258" t="str">
            <v>Areal-roer</v>
          </cell>
          <cell r="E258" t="str">
            <v>Hektar</v>
          </cell>
          <cell r="F258" t="str">
            <v>Roer</v>
          </cell>
          <cell r="G258" t="str">
            <v>Ton</v>
          </cell>
          <cell r="H258">
            <v>46.314626865671634</v>
          </cell>
          <cell r="I258">
            <v>46.314626865671634</v>
          </cell>
          <cell r="J258">
            <v>46.314626865671634</v>
          </cell>
        </row>
        <row r="259">
          <cell r="A259" t="str">
            <v>Roemark</v>
          </cell>
          <cell r="B259" t="str">
            <v>Økologisk</v>
          </cell>
          <cell r="C259" t="str">
            <v>JB1-10</v>
          </cell>
          <cell r="D259" t="str">
            <v>Areal-roer</v>
          </cell>
          <cell r="E259" t="str">
            <v>Hektar</v>
          </cell>
          <cell r="F259" t="str">
            <v>Gødning</v>
          </cell>
          <cell r="G259" t="str">
            <v>kg N</v>
          </cell>
          <cell r="H259">
            <v>-76.949999999999989</v>
          </cell>
          <cell r="I259">
            <v>-76.949999999999989</v>
          </cell>
          <cell r="J259">
            <v>-76.949999999999989</v>
          </cell>
        </row>
        <row r="260">
          <cell r="A260" t="str">
            <v>Roemark</v>
          </cell>
          <cell r="B260" t="str">
            <v>Økologisk</v>
          </cell>
          <cell r="C260" t="str">
            <v>JB1-10</v>
          </cell>
          <cell r="D260" t="str">
            <v>Areal-roer</v>
          </cell>
          <cell r="E260" t="str">
            <v>Hektar</v>
          </cell>
          <cell r="F260" t="str">
            <v>CO2 - atmosfære</v>
          </cell>
          <cell r="G260" t="str">
            <v>t CO2-ækvivalenter</v>
          </cell>
          <cell r="H260">
            <v>2.2736943674854606</v>
          </cell>
          <cell r="I260">
            <v>2.2736943674854606</v>
          </cell>
          <cell r="J260">
            <v>2.2736943674854606</v>
          </cell>
        </row>
        <row r="261">
          <cell r="A261" t="str">
            <v>Roemark</v>
          </cell>
          <cell r="B261" t="str">
            <v>Økologisk</v>
          </cell>
          <cell r="C261" t="str">
            <v>OC6</v>
          </cell>
          <cell r="D261" t="str">
            <v>Areal-roer</v>
          </cell>
          <cell r="E261" t="str">
            <v>Hektar</v>
          </cell>
          <cell r="F261" t="str">
            <v>Roer</v>
          </cell>
          <cell r="G261" t="str">
            <v>Ton</v>
          </cell>
          <cell r="H261">
            <v>55.577552238805957</v>
          </cell>
          <cell r="I261">
            <v>55.577552238805957</v>
          </cell>
          <cell r="J261">
            <v>55.577552238805957</v>
          </cell>
        </row>
        <row r="262">
          <cell r="A262" t="str">
            <v>Roemark</v>
          </cell>
          <cell r="B262" t="str">
            <v>Økologisk</v>
          </cell>
          <cell r="C262" t="str">
            <v>OC6</v>
          </cell>
          <cell r="D262" t="str">
            <v>Areal-roer</v>
          </cell>
          <cell r="E262" t="str">
            <v>Hektar</v>
          </cell>
          <cell r="F262" t="str">
            <v>Gødning</v>
          </cell>
          <cell r="G262" t="str">
            <v>kg N</v>
          </cell>
          <cell r="H262">
            <v>-59.849999999999994</v>
          </cell>
          <cell r="I262">
            <v>-59.849999999999994</v>
          </cell>
          <cell r="J262">
            <v>-59.849999999999994</v>
          </cell>
        </row>
        <row r="263">
          <cell r="A263" t="str">
            <v>Roemark</v>
          </cell>
          <cell r="B263" t="str">
            <v>Økologisk</v>
          </cell>
          <cell r="C263" t="str">
            <v>OC6</v>
          </cell>
          <cell r="D263" t="str">
            <v>Areal-roer</v>
          </cell>
          <cell r="E263" t="str">
            <v>Hektar</v>
          </cell>
          <cell r="F263" t="str">
            <v>CO2 - atmosfære</v>
          </cell>
          <cell r="G263" t="str">
            <v>t CO2-ækvivalenter</v>
          </cell>
          <cell r="H263">
            <v>15.99169436748546</v>
          </cell>
          <cell r="I263">
            <v>15.99169436748546</v>
          </cell>
          <cell r="J263">
            <v>15.99169436748546</v>
          </cell>
        </row>
        <row r="264">
          <cell r="A264" t="str">
            <v>Roemark</v>
          </cell>
          <cell r="B264" t="str">
            <v>Økologisk</v>
          </cell>
          <cell r="C264" t="str">
            <v>OC12</v>
          </cell>
          <cell r="D264" t="str">
            <v>Areal-roer</v>
          </cell>
          <cell r="E264" t="str">
            <v>Hektar</v>
          </cell>
          <cell r="F264" t="str">
            <v>Roer</v>
          </cell>
          <cell r="G264" t="str">
            <v>Ton</v>
          </cell>
          <cell r="H264">
            <v>64.840477611940287</v>
          </cell>
          <cell r="I264">
            <v>64.840477611940287</v>
          </cell>
          <cell r="J264">
            <v>64.840477611940287</v>
          </cell>
        </row>
        <row r="265">
          <cell r="A265" t="str">
            <v>Roemark</v>
          </cell>
          <cell r="B265" t="str">
            <v>Økologisk</v>
          </cell>
          <cell r="C265" t="str">
            <v>OC12</v>
          </cell>
          <cell r="D265" t="str">
            <v>Areal-roer</v>
          </cell>
          <cell r="E265" t="str">
            <v>Hektar</v>
          </cell>
          <cell r="F265" t="str">
            <v>Gødning</v>
          </cell>
          <cell r="G265" t="str">
            <v>kg N</v>
          </cell>
          <cell r="H265">
            <v>-42.749999999999993</v>
          </cell>
          <cell r="I265">
            <v>-42.749999999999993</v>
          </cell>
          <cell r="J265">
            <v>-42.749999999999993</v>
          </cell>
        </row>
        <row r="266">
          <cell r="A266" t="str">
            <v>Roemark</v>
          </cell>
          <cell r="B266" t="str">
            <v>Økologisk</v>
          </cell>
          <cell r="C266" t="str">
            <v>OC12</v>
          </cell>
          <cell r="D266" t="str">
            <v>Areal-roer</v>
          </cell>
          <cell r="E266" t="str">
            <v>Hektar</v>
          </cell>
          <cell r="F266" t="str">
            <v>CO2 - atmosfære</v>
          </cell>
          <cell r="G266" t="str">
            <v>t CO2-ækvivalenter</v>
          </cell>
          <cell r="H266">
            <v>40.951694367485452</v>
          </cell>
          <cell r="I266">
            <v>40.951694367485452</v>
          </cell>
          <cell r="J266">
            <v>40.951694367485452</v>
          </cell>
        </row>
        <row r="267">
          <cell r="A267" t="str">
            <v>Frugtmark</v>
          </cell>
          <cell r="B267" t="str">
            <v>Konventionel</v>
          </cell>
          <cell r="C267" t="str">
            <v>JB1-10</v>
          </cell>
          <cell r="D267" t="str">
            <v>Areal-frugt</v>
          </cell>
          <cell r="E267" t="str">
            <v>Hektar</v>
          </cell>
          <cell r="F267" t="str">
            <v>Frugt</v>
          </cell>
          <cell r="G267" t="str">
            <v>Ton</v>
          </cell>
          <cell r="H267">
            <v>8.49</v>
          </cell>
          <cell r="I267">
            <v>8.49</v>
          </cell>
          <cell r="J267">
            <v>8.49</v>
          </cell>
        </row>
        <row r="268">
          <cell r="A268" t="str">
            <v>Frugtmark</v>
          </cell>
          <cell r="B268" t="str">
            <v>Konventionel</v>
          </cell>
          <cell r="C268" t="str">
            <v>JB1-10</v>
          </cell>
          <cell r="D268" t="str">
            <v>Areal-frugt</v>
          </cell>
          <cell r="E268" t="str">
            <v>Hektar</v>
          </cell>
          <cell r="F268" t="str">
            <v>Gødning</v>
          </cell>
          <cell r="G268" t="str">
            <v>kg N</v>
          </cell>
          <cell r="H268">
            <v>-140</v>
          </cell>
          <cell r="I268">
            <v>-140</v>
          </cell>
          <cell r="J268">
            <v>-140</v>
          </cell>
        </row>
        <row r="269">
          <cell r="A269" t="str">
            <v>Frugtmark</v>
          </cell>
          <cell r="B269" t="str">
            <v>Konventionel</v>
          </cell>
          <cell r="C269" t="str">
            <v>JB1-10</v>
          </cell>
          <cell r="D269" t="str">
            <v>Areal-frugt</v>
          </cell>
          <cell r="E269" t="str">
            <v>Hektar</v>
          </cell>
          <cell r="F269" t="str">
            <v>CO2 - atmosfære</v>
          </cell>
          <cell r="G269" t="str">
            <v>t CO2-ækvivalenter</v>
          </cell>
          <cell r="H269">
            <v>1.9656943674854606</v>
          </cell>
          <cell r="I269">
            <v>1.9656943674854606</v>
          </cell>
          <cell r="J269">
            <v>1.9656943674854606</v>
          </cell>
        </row>
        <row r="270">
          <cell r="A270" t="str">
            <v>Frugtmark</v>
          </cell>
          <cell r="B270" t="str">
            <v>Konventionel</v>
          </cell>
          <cell r="C270" t="str">
            <v>OC6</v>
          </cell>
          <cell r="D270" t="str">
            <v>Areal-frugt</v>
          </cell>
          <cell r="E270" t="str">
            <v>Hektar</v>
          </cell>
          <cell r="F270" t="str">
            <v>Frugt</v>
          </cell>
          <cell r="G270" t="str">
            <v>Ton</v>
          </cell>
          <cell r="H270">
            <v>10.188000000000001</v>
          </cell>
          <cell r="I270">
            <v>10.188000000000001</v>
          </cell>
          <cell r="J270">
            <v>10.188000000000001</v>
          </cell>
        </row>
        <row r="271">
          <cell r="A271" t="str">
            <v>Frugtmark</v>
          </cell>
          <cell r="B271" t="str">
            <v>Konventionel</v>
          </cell>
          <cell r="C271" t="str">
            <v>OC6</v>
          </cell>
          <cell r="D271" t="str">
            <v>Areal-frugt</v>
          </cell>
          <cell r="E271" t="str">
            <v>Hektar</v>
          </cell>
          <cell r="F271" t="str">
            <v>Gødning</v>
          </cell>
          <cell r="G271" t="str">
            <v>kg N</v>
          </cell>
          <cell r="H271">
            <v>-140</v>
          </cell>
          <cell r="I271">
            <v>-140</v>
          </cell>
          <cell r="J271">
            <v>-140</v>
          </cell>
        </row>
        <row r="272">
          <cell r="A272" t="str">
            <v>Frugtmark</v>
          </cell>
          <cell r="B272" t="str">
            <v>Konventionel</v>
          </cell>
          <cell r="C272" t="str">
            <v>OC6</v>
          </cell>
          <cell r="D272" t="str">
            <v>Areal-frugt</v>
          </cell>
          <cell r="E272" t="str">
            <v>Hektar</v>
          </cell>
          <cell r="F272" t="str">
            <v>CO2 - atmosfære</v>
          </cell>
          <cell r="G272" t="str">
            <v>t CO2-ækvivalenter</v>
          </cell>
          <cell r="H272">
            <v>10.661694367485461</v>
          </cell>
          <cell r="I272">
            <v>10.661694367485461</v>
          </cell>
          <cell r="J272">
            <v>10.661694367485461</v>
          </cell>
        </row>
        <row r="273">
          <cell r="A273" t="str">
            <v>Frugtmark</v>
          </cell>
          <cell r="B273" t="str">
            <v>Konventionel</v>
          </cell>
          <cell r="C273" t="str">
            <v>OC12</v>
          </cell>
          <cell r="D273" t="str">
            <v>Areal-frugt</v>
          </cell>
          <cell r="E273" t="str">
            <v>Hektar</v>
          </cell>
          <cell r="F273" t="str">
            <v>Frugt</v>
          </cell>
          <cell r="G273" t="str">
            <v>Ton</v>
          </cell>
          <cell r="H273">
            <v>11.885999999999999</v>
          </cell>
          <cell r="I273">
            <v>11.885999999999999</v>
          </cell>
          <cell r="J273">
            <v>11.885999999999999</v>
          </cell>
        </row>
        <row r="274">
          <cell r="A274" t="str">
            <v>Frugtmark</v>
          </cell>
          <cell r="B274" t="str">
            <v>Konventionel</v>
          </cell>
          <cell r="C274" t="str">
            <v>OC12</v>
          </cell>
          <cell r="D274" t="str">
            <v>Areal-frugt</v>
          </cell>
          <cell r="E274" t="str">
            <v>Hektar</v>
          </cell>
          <cell r="F274" t="str">
            <v>Gødning</v>
          </cell>
          <cell r="G274" t="str">
            <v>kg N</v>
          </cell>
          <cell r="H274">
            <v>-140</v>
          </cell>
          <cell r="I274">
            <v>-140</v>
          </cell>
          <cell r="J274">
            <v>-140</v>
          </cell>
        </row>
        <row r="275">
          <cell r="A275" t="str">
            <v>Frugtmark</v>
          </cell>
          <cell r="B275" t="str">
            <v>Konventionel</v>
          </cell>
          <cell r="C275" t="str">
            <v>OC12</v>
          </cell>
          <cell r="D275" t="str">
            <v>Areal-frugt</v>
          </cell>
          <cell r="E275" t="str">
            <v>Hektar</v>
          </cell>
          <cell r="F275" t="str">
            <v>CO2 - atmosfære</v>
          </cell>
          <cell r="G275" t="str">
            <v>t CO2-ækvivalenter</v>
          </cell>
          <cell r="H275">
            <v>28.501694367485467</v>
          </cell>
          <cell r="I275">
            <v>28.501694367485467</v>
          </cell>
          <cell r="J275">
            <v>28.501694367485467</v>
          </cell>
        </row>
        <row r="276">
          <cell r="A276" t="str">
            <v>Frugtmark</v>
          </cell>
          <cell r="B276" t="str">
            <v>Økologisk</v>
          </cell>
          <cell r="C276" t="str">
            <v>JB1-10</v>
          </cell>
          <cell r="D276" t="str">
            <v>Areal-frugt</v>
          </cell>
          <cell r="E276" t="str">
            <v>Hektar</v>
          </cell>
          <cell r="F276" t="str">
            <v>Frugt</v>
          </cell>
          <cell r="G276" t="str">
            <v>Ton</v>
          </cell>
          <cell r="H276">
            <v>4.8392999999999997</v>
          </cell>
          <cell r="I276">
            <v>4.8392999999999997</v>
          </cell>
          <cell r="J276">
            <v>4.8392999999999997</v>
          </cell>
        </row>
        <row r="277">
          <cell r="A277" t="str">
            <v>Frugtmark</v>
          </cell>
          <cell r="B277" t="str">
            <v>Økologisk</v>
          </cell>
          <cell r="C277" t="str">
            <v>JB1-10</v>
          </cell>
          <cell r="D277" t="str">
            <v>Areal-frugt</v>
          </cell>
          <cell r="E277" t="str">
            <v>Hektar</v>
          </cell>
          <cell r="F277" t="str">
            <v>Gødning</v>
          </cell>
          <cell r="G277" t="str">
            <v>kg N</v>
          </cell>
          <cell r="H277">
            <v>-79.8</v>
          </cell>
          <cell r="I277">
            <v>-79.8</v>
          </cell>
          <cell r="J277">
            <v>-79.8</v>
          </cell>
        </row>
        <row r="278">
          <cell r="A278" t="str">
            <v>Frugtmark</v>
          </cell>
          <cell r="B278" t="str">
            <v>Økologisk</v>
          </cell>
          <cell r="C278" t="str">
            <v>JB1-10</v>
          </cell>
          <cell r="D278" t="str">
            <v>Areal-frugt</v>
          </cell>
          <cell r="E278" t="str">
            <v>Hektar</v>
          </cell>
          <cell r="F278" t="str">
            <v>CO2 - atmosfære</v>
          </cell>
          <cell r="G278" t="str">
            <v>t CO2-ækvivalenter</v>
          </cell>
          <cell r="H278">
            <v>1.9656943674854606</v>
          </cell>
          <cell r="I278">
            <v>1.9656943674854606</v>
          </cell>
          <cell r="J278">
            <v>1.9656943674854606</v>
          </cell>
        </row>
        <row r="279">
          <cell r="A279" t="str">
            <v>Frugtmark</v>
          </cell>
          <cell r="B279" t="str">
            <v>Økologisk</v>
          </cell>
          <cell r="C279" t="str">
            <v>OC6</v>
          </cell>
          <cell r="D279" t="str">
            <v>Areal-frugt</v>
          </cell>
          <cell r="E279" t="str">
            <v>Hektar</v>
          </cell>
          <cell r="F279" t="str">
            <v>Frugt</v>
          </cell>
          <cell r="G279" t="str">
            <v>Ton</v>
          </cell>
          <cell r="H279">
            <v>5.8071599999999997</v>
          </cell>
          <cell r="I279">
            <v>5.8071599999999997</v>
          </cell>
          <cell r="J279">
            <v>5.8071599999999997</v>
          </cell>
        </row>
        <row r="280">
          <cell r="A280" t="str">
            <v>Frugtmark</v>
          </cell>
          <cell r="B280" t="str">
            <v>Økologisk</v>
          </cell>
          <cell r="C280" t="str">
            <v>OC6</v>
          </cell>
          <cell r="D280" t="str">
            <v>Areal-frugt</v>
          </cell>
          <cell r="E280" t="str">
            <v>Hektar</v>
          </cell>
          <cell r="F280" t="str">
            <v>Gødning</v>
          </cell>
          <cell r="G280" t="str">
            <v>kg N</v>
          </cell>
          <cell r="H280">
            <v>-79.8</v>
          </cell>
          <cell r="I280">
            <v>-79.8</v>
          </cell>
          <cell r="J280">
            <v>-79.8</v>
          </cell>
        </row>
        <row r="281">
          <cell r="A281" t="str">
            <v>Frugtmark</v>
          </cell>
          <cell r="B281" t="str">
            <v>Økologisk</v>
          </cell>
          <cell r="C281" t="str">
            <v>OC6</v>
          </cell>
          <cell r="D281" t="str">
            <v>Areal-frugt</v>
          </cell>
          <cell r="E281" t="str">
            <v>Hektar</v>
          </cell>
          <cell r="F281" t="str">
            <v>CO2 - atmosfære</v>
          </cell>
          <cell r="G281" t="str">
            <v>t CO2-ækvivalenter</v>
          </cell>
          <cell r="H281">
            <v>10.661694367485461</v>
          </cell>
          <cell r="I281">
            <v>10.661694367485461</v>
          </cell>
          <cell r="J281">
            <v>10.661694367485461</v>
          </cell>
        </row>
        <row r="282">
          <cell r="A282" t="str">
            <v>Frugtmark</v>
          </cell>
          <cell r="B282" t="str">
            <v>Økologisk</v>
          </cell>
          <cell r="C282" t="str">
            <v>OC12</v>
          </cell>
          <cell r="D282" t="str">
            <v>Areal-frugt</v>
          </cell>
          <cell r="E282" t="str">
            <v>Hektar</v>
          </cell>
          <cell r="F282" t="str">
            <v>Frugt</v>
          </cell>
          <cell r="G282" t="str">
            <v>Ton</v>
          </cell>
          <cell r="H282">
            <v>6.7750199999999987</v>
          </cell>
          <cell r="I282">
            <v>6.7750199999999987</v>
          </cell>
          <cell r="J282">
            <v>6.7750199999999987</v>
          </cell>
        </row>
        <row r="283">
          <cell r="A283" t="str">
            <v>Frugtmark</v>
          </cell>
          <cell r="B283" t="str">
            <v>Økologisk</v>
          </cell>
          <cell r="C283" t="str">
            <v>OC12</v>
          </cell>
          <cell r="D283" t="str">
            <v>Areal-frugt</v>
          </cell>
          <cell r="E283" t="str">
            <v>Hektar</v>
          </cell>
          <cell r="F283" t="str">
            <v>Gødning</v>
          </cell>
          <cell r="G283" t="str">
            <v>kg N</v>
          </cell>
          <cell r="H283">
            <v>-79.8</v>
          </cell>
          <cell r="I283">
            <v>-79.8</v>
          </cell>
          <cell r="J283">
            <v>-79.8</v>
          </cell>
        </row>
        <row r="284">
          <cell r="A284" t="str">
            <v>Frugtmark</v>
          </cell>
          <cell r="B284" t="str">
            <v>Økologisk</v>
          </cell>
          <cell r="C284" t="str">
            <v>OC12</v>
          </cell>
          <cell r="D284" t="str">
            <v>Areal-frugt</v>
          </cell>
          <cell r="E284" t="str">
            <v>Hektar</v>
          </cell>
          <cell r="F284" t="str">
            <v>CO2 - atmosfære</v>
          </cell>
          <cell r="G284" t="str">
            <v>t CO2-ækvivalenter</v>
          </cell>
          <cell r="H284">
            <v>28.501694367485467</v>
          </cell>
          <cell r="I284">
            <v>28.501694367485467</v>
          </cell>
          <cell r="J284">
            <v>28.501694367485467</v>
          </cell>
        </row>
        <row r="285">
          <cell r="A285" t="str">
            <v>Øvrig mark</v>
          </cell>
          <cell r="B285" t="str">
            <v>Konventionel</v>
          </cell>
          <cell r="C285" t="str">
            <v>JB1-10</v>
          </cell>
          <cell r="D285" t="str">
            <v>Areal-øvrige</v>
          </cell>
          <cell r="E285" t="str">
            <v>Hektar</v>
          </cell>
          <cell r="F285" t="str">
            <v>Øvrige</v>
          </cell>
          <cell r="G285" t="str">
            <v>Ton</v>
          </cell>
          <cell r="H285">
            <v>29.795943508186305</v>
          </cell>
          <cell r="I285">
            <v>29.795943508186305</v>
          </cell>
          <cell r="J285">
            <v>29.795943508186305</v>
          </cell>
        </row>
        <row r="286">
          <cell r="A286" t="str">
            <v>Øvrig mark</v>
          </cell>
          <cell r="B286" t="str">
            <v>Konventionel</v>
          </cell>
          <cell r="C286" t="str">
            <v>JB1-10</v>
          </cell>
          <cell r="D286" t="str">
            <v>Areal-øvrige</v>
          </cell>
          <cell r="E286" t="str">
            <v>Hektar</v>
          </cell>
          <cell r="F286" t="str">
            <v>Gødning</v>
          </cell>
          <cell r="G286" t="str">
            <v>kg N</v>
          </cell>
          <cell r="H286">
            <v>-142.08333333333334</v>
          </cell>
          <cell r="I286">
            <v>-142.08333333333334</v>
          </cell>
          <cell r="J286">
            <v>-142.08333333333334</v>
          </cell>
        </row>
        <row r="287">
          <cell r="A287" t="str">
            <v>Øvrig mark</v>
          </cell>
          <cell r="B287" t="str">
            <v>Konventionel</v>
          </cell>
          <cell r="C287" t="str">
            <v>JB1-10</v>
          </cell>
          <cell r="D287" t="str">
            <v>Areal-øvrige</v>
          </cell>
          <cell r="E287" t="str">
            <v>Hektar</v>
          </cell>
          <cell r="F287" t="str">
            <v>CO2 - atmosfære</v>
          </cell>
          <cell r="G287" t="str">
            <v>t CO2-ækvivalenter</v>
          </cell>
          <cell r="H287">
            <v>2.2736943674854606</v>
          </cell>
          <cell r="I287">
            <v>2.2736943674854606</v>
          </cell>
          <cell r="J287">
            <v>2.2736943674854606</v>
          </cell>
        </row>
        <row r="288">
          <cell r="A288" t="str">
            <v>Øvrig mark</v>
          </cell>
          <cell r="B288" t="str">
            <v>Konventionel</v>
          </cell>
          <cell r="C288" t="str">
            <v>OC6</v>
          </cell>
          <cell r="D288" t="str">
            <v>Areal-øvrige</v>
          </cell>
          <cell r="E288" t="str">
            <v>Hektar</v>
          </cell>
          <cell r="F288" t="str">
            <v>Øvrige</v>
          </cell>
          <cell r="G288" t="str">
            <v>Ton</v>
          </cell>
          <cell r="H288">
            <v>35.755132209823564</v>
          </cell>
          <cell r="I288">
            <v>35.755132209823564</v>
          </cell>
          <cell r="J288">
            <v>35.755132209823564</v>
          </cell>
        </row>
        <row r="289">
          <cell r="A289" t="str">
            <v>Øvrig mark</v>
          </cell>
          <cell r="B289" t="str">
            <v>Konventionel</v>
          </cell>
          <cell r="C289" t="str">
            <v>OC6</v>
          </cell>
          <cell r="D289" t="str">
            <v>Areal-øvrige</v>
          </cell>
          <cell r="E289" t="str">
            <v>Hektar</v>
          </cell>
          <cell r="F289" t="str">
            <v>Gødning</v>
          </cell>
          <cell r="G289" t="str">
            <v>kg N</v>
          </cell>
          <cell r="H289">
            <v>-125</v>
          </cell>
          <cell r="I289">
            <v>-125</v>
          </cell>
          <cell r="J289">
            <v>-125</v>
          </cell>
        </row>
        <row r="290">
          <cell r="A290" t="str">
            <v>Øvrig mark</v>
          </cell>
          <cell r="B290" t="str">
            <v>Konventionel</v>
          </cell>
          <cell r="C290" t="str">
            <v>OC6</v>
          </cell>
          <cell r="D290" t="str">
            <v>Areal-øvrige</v>
          </cell>
          <cell r="E290" t="str">
            <v>Hektar</v>
          </cell>
          <cell r="F290" t="str">
            <v>CO2 - atmosfære</v>
          </cell>
          <cell r="G290" t="str">
            <v>t CO2-ækvivalenter</v>
          </cell>
          <cell r="H290">
            <v>15.99169436748546</v>
          </cell>
          <cell r="I290">
            <v>15.99169436748546</v>
          </cell>
          <cell r="J290">
            <v>15.99169436748546</v>
          </cell>
        </row>
        <row r="291">
          <cell r="A291" t="str">
            <v>Øvrig mark</v>
          </cell>
          <cell r="B291" t="str">
            <v>Konventionel</v>
          </cell>
          <cell r="C291" t="str">
            <v>OC12</v>
          </cell>
          <cell r="D291" t="str">
            <v>Areal-øvrige</v>
          </cell>
          <cell r="E291" t="str">
            <v>Hektar</v>
          </cell>
          <cell r="F291" t="str">
            <v>Øvrige</v>
          </cell>
          <cell r="G291" t="str">
            <v>Ton</v>
          </cell>
          <cell r="H291">
            <v>41.714320911460824</v>
          </cell>
          <cell r="I291">
            <v>41.714320911460824</v>
          </cell>
          <cell r="J291">
            <v>41.714320911460824</v>
          </cell>
        </row>
        <row r="292">
          <cell r="A292" t="str">
            <v>Øvrig mark</v>
          </cell>
          <cell r="B292" t="str">
            <v>Konventionel</v>
          </cell>
          <cell r="C292" t="str">
            <v>OC12</v>
          </cell>
          <cell r="D292" t="str">
            <v>Areal-øvrige</v>
          </cell>
          <cell r="E292" t="str">
            <v>Hektar</v>
          </cell>
          <cell r="F292" t="str">
            <v>Gødning</v>
          </cell>
          <cell r="G292" t="str">
            <v>kg N</v>
          </cell>
          <cell r="H292">
            <v>-107.91666666666667</v>
          </cell>
          <cell r="I292">
            <v>-107.91666666666667</v>
          </cell>
          <cell r="J292">
            <v>-107.91666666666667</v>
          </cell>
        </row>
        <row r="293">
          <cell r="A293" t="str">
            <v>Øvrig mark</v>
          </cell>
          <cell r="B293" t="str">
            <v>Konventionel</v>
          </cell>
          <cell r="C293" t="str">
            <v>OC12</v>
          </cell>
          <cell r="D293" t="str">
            <v>Areal-øvrige</v>
          </cell>
          <cell r="E293" t="str">
            <v>Hektar</v>
          </cell>
          <cell r="F293" t="str">
            <v>CO2 - atmosfære</v>
          </cell>
          <cell r="G293" t="str">
            <v>t CO2-ækvivalenter</v>
          </cell>
          <cell r="H293">
            <v>40.951694367485452</v>
          </cell>
          <cell r="I293">
            <v>40.951694367485452</v>
          </cell>
          <cell r="J293">
            <v>40.951694367485452</v>
          </cell>
        </row>
        <row r="294">
          <cell r="A294" t="str">
            <v>Øvrig mark</v>
          </cell>
          <cell r="B294" t="str">
            <v>Økologisk</v>
          </cell>
          <cell r="C294" t="str">
            <v>JB1-10</v>
          </cell>
          <cell r="D294" t="str">
            <v>Areal-øvrige</v>
          </cell>
          <cell r="E294" t="str">
            <v>Hektar</v>
          </cell>
          <cell r="F294" t="str">
            <v>Øvrige</v>
          </cell>
          <cell r="G294" t="str">
            <v>Ton</v>
          </cell>
          <cell r="H294">
            <v>16.983687799666193</v>
          </cell>
          <cell r="I294">
            <v>16.983687799666193</v>
          </cell>
          <cell r="J294">
            <v>16.983687799666193</v>
          </cell>
        </row>
        <row r="295">
          <cell r="A295" t="str">
            <v>Øvrig mark</v>
          </cell>
          <cell r="B295" t="str">
            <v>Økologisk</v>
          </cell>
          <cell r="C295" t="str">
            <v>JB1-10</v>
          </cell>
          <cell r="D295" t="str">
            <v>Areal-øvrige</v>
          </cell>
          <cell r="E295" t="str">
            <v>Hektar</v>
          </cell>
          <cell r="F295" t="str">
            <v>Gødning</v>
          </cell>
          <cell r="G295" t="str">
            <v>kg N</v>
          </cell>
          <cell r="H295">
            <v>-80.987499999999997</v>
          </cell>
          <cell r="I295">
            <v>-80.987499999999997</v>
          </cell>
          <cell r="J295">
            <v>-80.987499999999997</v>
          </cell>
        </row>
        <row r="296">
          <cell r="A296" t="str">
            <v>Øvrig mark</v>
          </cell>
          <cell r="B296" t="str">
            <v>Økologisk</v>
          </cell>
          <cell r="C296" t="str">
            <v>JB1-10</v>
          </cell>
          <cell r="D296" t="str">
            <v>Areal-øvrige</v>
          </cell>
          <cell r="E296" t="str">
            <v>Hektar</v>
          </cell>
          <cell r="F296" t="str">
            <v>CO2 - atmosfære</v>
          </cell>
          <cell r="G296" t="str">
            <v>t CO2-ækvivalenter</v>
          </cell>
          <cell r="H296">
            <v>2.2736943674854606</v>
          </cell>
          <cell r="I296">
            <v>2.2736943674854606</v>
          </cell>
          <cell r="J296">
            <v>2.2736943674854606</v>
          </cell>
        </row>
        <row r="297">
          <cell r="A297" t="str">
            <v>Øvrig mark</v>
          </cell>
          <cell r="B297" t="str">
            <v>Økologisk</v>
          </cell>
          <cell r="C297" t="str">
            <v>OC6</v>
          </cell>
          <cell r="D297" t="str">
            <v>Areal-øvrige</v>
          </cell>
          <cell r="E297" t="str">
            <v>Hektar</v>
          </cell>
          <cell r="F297" t="str">
            <v>Øvrige</v>
          </cell>
          <cell r="G297" t="str">
            <v>Ton</v>
          </cell>
          <cell r="H297">
            <v>20.380425359599428</v>
          </cell>
          <cell r="I297">
            <v>20.380425359599428</v>
          </cell>
          <cell r="J297">
            <v>20.380425359599428</v>
          </cell>
        </row>
        <row r="298">
          <cell r="A298" t="str">
            <v>Øvrig mark</v>
          </cell>
          <cell r="B298" t="str">
            <v>Økologisk</v>
          </cell>
          <cell r="C298" t="str">
            <v>OC6</v>
          </cell>
          <cell r="D298" t="str">
            <v>Areal-øvrige</v>
          </cell>
          <cell r="E298" t="str">
            <v>Hektar</v>
          </cell>
          <cell r="F298" t="str">
            <v>Gødning</v>
          </cell>
          <cell r="G298" t="str">
            <v>kg N</v>
          </cell>
          <cell r="H298">
            <v>-71.25</v>
          </cell>
          <cell r="I298">
            <v>-71.25</v>
          </cell>
          <cell r="J298">
            <v>-71.25</v>
          </cell>
        </row>
        <row r="299">
          <cell r="A299" t="str">
            <v>Øvrig mark</v>
          </cell>
          <cell r="B299" t="str">
            <v>Økologisk</v>
          </cell>
          <cell r="C299" t="str">
            <v>OC6</v>
          </cell>
          <cell r="D299" t="str">
            <v>Areal-øvrige</v>
          </cell>
          <cell r="E299" t="str">
            <v>Hektar</v>
          </cell>
          <cell r="F299" t="str">
            <v>CO2 - atmosfære</v>
          </cell>
          <cell r="G299" t="str">
            <v>t CO2-ækvivalenter</v>
          </cell>
          <cell r="H299">
            <v>15.99169436748546</v>
          </cell>
          <cell r="I299">
            <v>15.99169436748546</v>
          </cell>
          <cell r="J299">
            <v>15.99169436748546</v>
          </cell>
        </row>
        <row r="300">
          <cell r="A300" t="str">
            <v>Øvrig mark</v>
          </cell>
          <cell r="B300" t="str">
            <v>Økologisk</v>
          </cell>
          <cell r="C300" t="str">
            <v>OC12</v>
          </cell>
          <cell r="D300" t="str">
            <v>Areal-øvrige</v>
          </cell>
          <cell r="E300" t="str">
            <v>Hektar</v>
          </cell>
          <cell r="F300" t="str">
            <v>Øvrige</v>
          </cell>
          <cell r="G300" t="str">
            <v>Ton</v>
          </cell>
          <cell r="H300">
            <v>23.777162919532667</v>
          </cell>
          <cell r="I300">
            <v>23.777162919532667</v>
          </cell>
          <cell r="J300">
            <v>23.777162919532667</v>
          </cell>
        </row>
        <row r="301">
          <cell r="A301" t="str">
            <v>Øvrig mark</v>
          </cell>
          <cell r="B301" t="str">
            <v>Økologisk</v>
          </cell>
          <cell r="C301" t="str">
            <v>OC12</v>
          </cell>
          <cell r="D301" t="str">
            <v>Areal-øvrige</v>
          </cell>
          <cell r="E301" t="str">
            <v>Hektar</v>
          </cell>
          <cell r="F301" t="str">
            <v>Gødning</v>
          </cell>
          <cell r="G301" t="str">
            <v>kg N</v>
          </cell>
          <cell r="H301">
            <v>-61.512499999999996</v>
          </cell>
          <cell r="I301">
            <v>-61.512499999999996</v>
          </cell>
          <cell r="J301">
            <v>-61.512499999999996</v>
          </cell>
        </row>
        <row r="302">
          <cell r="A302" t="str">
            <v>Øvrig mark</v>
          </cell>
          <cell r="B302" t="str">
            <v>Økologisk</v>
          </cell>
          <cell r="C302" t="str">
            <v>OC12</v>
          </cell>
          <cell r="D302" t="str">
            <v>Areal-øvrige</v>
          </cell>
          <cell r="E302" t="str">
            <v>Hektar</v>
          </cell>
          <cell r="F302" t="str">
            <v>CO2 - atmosfære</v>
          </cell>
          <cell r="G302" t="str">
            <v>t CO2-ækvivalenter</v>
          </cell>
          <cell r="H302">
            <v>40.951694367485452</v>
          </cell>
          <cell r="I302">
            <v>40.951694367485452</v>
          </cell>
          <cell r="J302">
            <v>40.951694367485452</v>
          </cell>
        </row>
        <row r="303">
          <cell r="A303" t="str">
            <v>Majsmark</v>
          </cell>
          <cell r="B303" t="str">
            <v>Konventionel</v>
          </cell>
          <cell r="C303" t="str">
            <v>JB1-10</v>
          </cell>
          <cell r="D303" t="str">
            <v>Areal-majs</v>
          </cell>
          <cell r="E303" t="str">
            <v>Hektar</v>
          </cell>
          <cell r="F303" t="str">
            <v>Majs</v>
          </cell>
          <cell r="G303" t="str">
            <v>Ton</v>
          </cell>
          <cell r="H303">
            <v>44.510000000000005</v>
          </cell>
          <cell r="I303">
            <v>44.510000000000005</v>
          </cell>
          <cell r="J303">
            <v>44.510000000000005</v>
          </cell>
        </row>
        <row r="304">
          <cell r="A304" t="str">
            <v>Majsmark</v>
          </cell>
          <cell r="B304" t="str">
            <v>Konventionel</v>
          </cell>
          <cell r="C304" t="str">
            <v>JB1-10</v>
          </cell>
          <cell r="D304" t="str">
            <v>Areal-majs</v>
          </cell>
          <cell r="E304" t="str">
            <v>Hektar</v>
          </cell>
          <cell r="F304" t="str">
            <v>Gødning</v>
          </cell>
          <cell r="G304" t="str">
            <v>kg N</v>
          </cell>
          <cell r="H304">
            <v>-160</v>
          </cell>
          <cell r="I304">
            <v>-160</v>
          </cell>
          <cell r="J304">
            <v>-160</v>
          </cell>
        </row>
        <row r="305">
          <cell r="A305" t="str">
            <v>Majsmark</v>
          </cell>
          <cell r="B305" t="str">
            <v>Konventionel</v>
          </cell>
          <cell r="C305" t="str">
            <v>JB1-10</v>
          </cell>
          <cell r="D305" t="str">
            <v>Areal-majs</v>
          </cell>
          <cell r="E305" t="str">
            <v>Hektar</v>
          </cell>
          <cell r="F305" t="str">
            <v>CO2 - atmosfære</v>
          </cell>
          <cell r="G305" t="str">
            <v>t CO2-ækvivalenter</v>
          </cell>
          <cell r="H305">
            <v>2.2736943674854606</v>
          </cell>
          <cell r="I305">
            <v>2.2736943674854606</v>
          </cell>
          <cell r="J305">
            <v>2.2736943674854606</v>
          </cell>
        </row>
        <row r="306">
          <cell r="A306" t="str">
            <v>Majsmark</v>
          </cell>
          <cell r="B306" t="str">
            <v>Konventionel</v>
          </cell>
          <cell r="C306" t="str">
            <v>OC6</v>
          </cell>
          <cell r="D306" t="str">
            <v>Areal-majs</v>
          </cell>
          <cell r="E306" t="str">
            <v>Hektar</v>
          </cell>
          <cell r="F306" t="str">
            <v>Majs</v>
          </cell>
          <cell r="G306" t="str">
            <v>Ton</v>
          </cell>
          <cell r="H306">
            <v>53.412000000000006</v>
          </cell>
          <cell r="I306">
            <v>53.412000000000006</v>
          </cell>
          <cell r="J306">
            <v>53.412000000000006</v>
          </cell>
        </row>
        <row r="307">
          <cell r="A307" t="str">
            <v>Majsmark</v>
          </cell>
          <cell r="B307" t="str">
            <v>Konventionel</v>
          </cell>
          <cell r="C307" t="str">
            <v>OC6</v>
          </cell>
          <cell r="D307" t="str">
            <v>Areal-majs</v>
          </cell>
          <cell r="E307" t="str">
            <v>Hektar</v>
          </cell>
          <cell r="F307" t="str">
            <v>Gødning</v>
          </cell>
          <cell r="G307" t="str">
            <v>kg N</v>
          </cell>
          <cell r="H307">
            <v>-130</v>
          </cell>
          <cell r="I307">
            <v>-130</v>
          </cell>
          <cell r="J307">
            <v>-130</v>
          </cell>
        </row>
        <row r="308">
          <cell r="A308" t="str">
            <v>Majsmark</v>
          </cell>
          <cell r="B308" t="str">
            <v>Konventionel</v>
          </cell>
          <cell r="C308" t="str">
            <v>OC6</v>
          </cell>
          <cell r="D308" t="str">
            <v>Areal-majs</v>
          </cell>
          <cell r="E308" t="str">
            <v>Hektar</v>
          </cell>
          <cell r="F308" t="str">
            <v>CO2 - atmosfære</v>
          </cell>
          <cell r="G308" t="str">
            <v>t CO2-ækvivalenter</v>
          </cell>
          <cell r="H308">
            <v>15.99169436748546</v>
          </cell>
          <cell r="I308">
            <v>15.99169436748546</v>
          </cell>
          <cell r="J308">
            <v>15.99169436748546</v>
          </cell>
        </row>
        <row r="309">
          <cell r="A309" t="str">
            <v>Majsmark</v>
          </cell>
          <cell r="B309" t="str">
            <v>Konventionel</v>
          </cell>
          <cell r="C309" t="str">
            <v>OC12</v>
          </cell>
          <cell r="D309" t="str">
            <v>Areal-majs</v>
          </cell>
          <cell r="E309" t="str">
            <v>Hektar</v>
          </cell>
          <cell r="F309" t="str">
            <v>Majs</v>
          </cell>
          <cell r="G309" t="str">
            <v>Ton</v>
          </cell>
          <cell r="H309">
            <v>62.314</v>
          </cell>
          <cell r="I309">
            <v>62.314</v>
          </cell>
          <cell r="J309">
            <v>62.314</v>
          </cell>
        </row>
        <row r="310">
          <cell r="A310" t="str">
            <v>Majsmark</v>
          </cell>
          <cell r="B310" t="str">
            <v>Konventionel</v>
          </cell>
          <cell r="C310" t="str">
            <v>OC12</v>
          </cell>
          <cell r="D310" t="str">
            <v>Areal-majs</v>
          </cell>
          <cell r="E310" t="str">
            <v>Hektar</v>
          </cell>
          <cell r="F310" t="str">
            <v>Gødning</v>
          </cell>
          <cell r="G310" t="str">
            <v>kg N</v>
          </cell>
          <cell r="H310">
            <v>-100</v>
          </cell>
          <cell r="I310">
            <v>-100</v>
          </cell>
          <cell r="J310">
            <v>-100</v>
          </cell>
        </row>
        <row r="311">
          <cell r="A311" t="str">
            <v>Majsmark</v>
          </cell>
          <cell r="B311" t="str">
            <v>Konventionel</v>
          </cell>
          <cell r="C311" t="str">
            <v>OC12</v>
          </cell>
          <cell r="D311" t="str">
            <v>Areal-majs</v>
          </cell>
          <cell r="E311" t="str">
            <v>Hektar</v>
          </cell>
          <cell r="F311" t="str">
            <v>CO2 - atmosfære</v>
          </cell>
          <cell r="G311" t="str">
            <v>t CO2-ækvivalenter</v>
          </cell>
          <cell r="H311">
            <v>40.951694367485452</v>
          </cell>
          <cell r="I311">
            <v>40.951694367485452</v>
          </cell>
          <cell r="J311">
            <v>40.951694367485452</v>
          </cell>
        </row>
        <row r="312">
          <cell r="A312" t="str">
            <v>Majsmark</v>
          </cell>
          <cell r="B312" t="str">
            <v>Økologisk</v>
          </cell>
          <cell r="C312" t="str">
            <v>JB1-10</v>
          </cell>
          <cell r="D312" t="str">
            <v>Areal-majs</v>
          </cell>
          <cell r="E312" t="str">
            <v>Hektar</v>
          </cell>
          <cell r="F312" t="str">
            <v>Majs</v>
          </cell>
          <cell r="G312" t="str">
            <v>Ton</v>
          </cell>
          <cell r="H312">
            <v>36.943300000000001</v>
          </cell>
          <cell r="I312">
            <v>36.943300000000001</v>
          </cell>
          <cell r="J312">
            <v>36.943300000000001</v>
          </cell>
        </row>
        <row r="313">
          <cell r="A313" t="str">
            <v>Majsmark</v>
          </cell>
          <cell r="B313" t="str">
            <v>Økologisk</v>
          </cell>
          <cell r="C313" t="str">
            <v>JB1-10</v>
          </cell>
          <cell r="D313" t="str">
            <v>Areal-majs</v>
          </cell>
          <cell r="E313" t="str">
            <v>Hektar</v>
          </cell>
          <cell r="F313" t="str">
            <v>Gødning</v>
          </cell>
          <cell r="G313" t="str">
            <v>kg N</v>
          </cell>
          <cell r="H313">
            <v>-132.79999999999998</v>
          </cell>
          <cell r="I313">
            <v>-132.79999999999998</v>
          </cell>
          <cell r="J313">
            <v>-132.79999999999998</v>
          </cell>
        </row>
        <row r="314">
          <cell r="A314" t="str">
            <v>Majsmark</v>
          </cell>
          <cell r="B314" t="str">
            <v>Økologisk</v>
          </cell>
          <cell r="C314" t="str">
            <v>JB1-10</v>
          </cell>
          <cell r="D314" t="str">
            <v>Areal-majs</v>
          </cell>
          <cell r="E314" t="str">
            <v>Hektar</v>
          </cell>
          <cell r="F314" t="str">
            <v>CO2 - atmosfære</v>
          </cell>
          <cell r="G314" t="str">
            <v>t CO2-ækvivalenter</v>
          </cell>
          <cell r="H314">
            <v>2.2736943674854606</v>
          </cell>
          <cell r="I314">
            <v>2.2736943674854606</v>
          </cell>
          <cell r="J314">
            <v>2.2736943674854606</v>
          </cell>
        </row>
        <row r="315">
          <cell r="A315" t="str">
            <v>Majsmark</v>
          </cell>
          <cell r="B315" t="str">
            <v>Økologisk</v>
          </cell>
          <cell r="C315" t="str">
            <v>OC6</v>
          </cell>
          <cell r="D315" t="str">
            <v>Areal-majs</v>
          </cell>
          <cell r="E315" t="str">
            <v>Hektar</v>
          </cell>
          <cell r="F315" t="str">
            <v>Majs</v>
          </cell>
          <cell r="G315" t="str">
            <v>Ton</v>
          </cell>
          <cell r="H315">
            <v>44.331960000000002</v>
          </cell>
          <cell r="I315">
            <v>44.331960000000002</v>
          </cell>
          <cell r="J315">
            <v>44.331960000000002</v>
          </cell>
        </row>
        <row r="316">
          <cell r="A316" t="str">
            <v>Majsmark</v>
          </cell>
          <cell r="B316" t="str">
            <v>Økologisk</v>
          </cell>
          <cell r="C316" t="str">
            <v>OC6</v>
          </cell>
          <cell r="D316" t="str">
            <v>Areal-majs</v>
          </cell>
          <cell r="E316" t="str">
            <v>Hektar</v>
          </cell>
          <cell r="F316" t="str">
            <v>Gødning</v>
          </cell>
          <cell r="G316" t="str">
            <v>kg N</v>
          </cell>
          <cell r="H316">
            <v>-107.89999999999999</v>
          </cell>
          <cell r="I316">
            <v>-107.89999999999999</v>
          </cell>
          <cell r="J316">
            <v>-107.89999999999999</v>
          </cell>
        </row>
        <row r="317">
          <cell r="A317" t="str">
            <v>Majsmark</v>
          </cell>
          <cell r="B317" t="str">
            <v>Økologisk</v>
          </cell>
          <cell r="C317" t="str">
            <v>OC6</v>
          </cell>
          <cell r="D317" t="str">
            <v>Areal-majs</v>
          </cell>
          <cell r="E317" t="str">
            <v>Hektar</v>
          </cell>
          <cell r="F317" t="str">
            <v>CO2 - atmosfære</v>
          </cell>
          <cell r="G317" t="str">
            <v>t CO2-ækvivalenter</v>
          </cell>
          <cell r="H317">
            <v>15.99169436748546</v>
          </cell>
          <cell r="I317">
            <v>15.99169436748546</v>
          </cell>
          <cell r="J317">
            <v>15.99169436748546</v>
          </cell>
        </row>
        <row r="318">
          <cell r="A318" t="str">
            <v>Majsmark</v>
          </cell>
          <cell r="B318" t="str">
            <v>Økologisk</v>
          </cell>
          <cell r="C318" t="str">
            <v>OC12</v>
          </cell>
          <cell r="D318" t="str">
            <v>Areal-majs</v>
          </cell>
          <cell r="E318" t="str">
            <v>Hektar</v>
          </cell>
          <cell r="F318" t="str">
            <v>Majs</v>
          </cell>
          <cell r="G318" t="str">
            <v>Ton</v>
          </cell>
          <cell r="H318">
            <v>51.720619999999997</v>
          </cell>
          <cell r="I318">
            <v>51.720619999999997</v>
          </cell>
          <cell r="J318">
            <v>51.720619999999997</v>
          </cell>
        </row>
        <row r="319">
          <cell r="A319" t="str">
            <v>Majsmark</v>
          </cell>
          <cell r="B319" t="str">
            <v>Økologisk</v>
          </cell>
          <cell r="C319" t="str">
            <v>OC12</v>
          </cell>
          <cell r="D319" t="str">
            <v>Areal-majs</v>
          </cell>
          <cell r="E319" t="str">
            <v>Hektar</v>
          </cell>
          <cell r="F319" t="str">
            <v>Gødning</v>
          </cell>
          <cell r="G319" t="str">
            <v>kg N</v>
          </cell>
          <cell r="H319">
            <v>-83</v>
          </cell>
          <cell r="I319">
            <v>-83</v>
          </cell>
          <cell r="J319">
            <v>-83</v>
          </cell>
        </row>
        <row r="320">
          <cell r="A320" t="str">
            <v>Majsmark</v>
          </cell>
          <cell r="B320" t="str">
            <v>Økologisk</v>
          </cell>
          <cell r="C320" t="str">
            <v>OC12</v>
          </cell>
          <cell r="D320" t="str">
            <v>Areal-majs</v>
          </cell>
          <cell r="E320" t="str">
            <v>Hektar</v>
          </cell>
          <cell r="F320" t="str">
            <v>CO2 - atmosfære</v>
          </cell>
          <cell r="G320" t="str">
            <v>t CO2-ækvivalenter</v>
          </cell>
          <cell r="H320">
            <v>40.951694367485452</v>
          </cell>
          <cell r="I320">
            <v>40.951694367485452</v>
          </cell>
          <cell r="J320">
            <v>40.951694367485452</v>
          </cell>
        </row>
        <row r="321">
          <cell r="A321" t="str">
            <v>Rapsmark</v>
          </cell>
          <cell r="B321" t="str">
            <v>Konventionel</v>
          </cell>
          <cell r="C321" t="str">
            <v>JB1-10</v>
          </cell>
          <cell r="D321" t="str">
            <v>Areal-raps</v>
          </cell>
          <cell r="E321" t="str">
            <v>Hektar</v>
          </cell>
          <cell r="F321" t="str">
            <v>Raps</v>
          </cell>
          <cell r="G321" t="str">
            <v>Ton</v>
          </cell>
          <cell r="H321">
            <v>4.4000000000000004</v>
          </cell>
          <cell r="I321">
            <v>4.4000000000000004</v>
          </cell>
          <cell r="J321">
            <v>4.4000000000000004</v>
          </cell>
        </row>
        <row r="322">
          <cell r="A322" t="str">
            <v>Rapsmark</v>
          </cell>
          <cell r="B322" t="str">
            <v>Konventionel</v>
          </cell>
          <cell r="C322" t="str">
            <v>JB1-10</v>
          </cell>
          <cell r="D322" t="str">
            <v>Areal-raps</v>
          </cell>
          <cell r="E322" t="str">
            <v>Hektar</v>
          </cell>
          <cell r="F322" t="str">
            <v>Halm</v>
          </cell>
          <cell r="G322" t="str">
            <v>Ton</v>
          </cell>
          <cell r="H322">
            <v>3.96</v>
          </cell>
          <cell r="I322">
            <v>3.96</v>
          </cell>
          <cell r="J322">
            <v>3.96</v>
          </cell>
        </row>
        <row r="323">
          <cell r="A323" t="str">
            <v>Rapsmark</v>
          </cell>
          <cell r="B323" t="str">
            <v>Konventionel</v>
          </cell>
          <cell r="C323" t="str">
            <v>JB1-10</v>
          </cell>
          <cell r="D323" t="str">
            <v>Areal-raps</v>
          </cell>
          <cell r="E323" t="str">
            <v>Hektar</v>
          </cell>
          <cell r="F323" t="str">
            <v>Gødning</v>
          </cell>
          <cell r="G323" t="str">
            <v>kg N</v>
          </cell>
          <cell r="H323">
            <v>-175</v>
          </cell>
          <cell r="I323">
            <v>-175</v>
          </cell>
          <cell r="J323">
            <v>-175</v>
          </cell>
        </row>
        <row r="324">
          <cell r="A324" t="str">
            <v>Rapsmark</v>
          </cell>
          <cell r="B324" t="str">
            <v>Konventionel</v>
          </cell>
          <cell r="C324" t="str">
            <v>JB1-10</v>
          </cell>
          <cell r="D324" t="str">
            <v>Areal-raps</v>
          </cell>
          <cell r="E324" t="str">
            <v>Hektar</v>
          </cell>
          <cell r="F324" t="str">
            <v>CO2 - atmosfære</v>
          </cell>
          <cell r="G324" t="str">
            <v>t CO2-ækvivalenter</v>
          </cell>
          <cell r="H324">
            <v>2.2736943674854606</v>
          </cell>
          <cell r="I324">
            <v>2.2736943674854606</v>
          </cell>
          <cell r="J324">
            <v>2.2736943674854606</v>
          </cell>
        </row>
        <row r="325">
          <cell r="A325" t="str">
            <v>Rapsmark</v>
          </cell>
          <cell r="B325" t="str">
            <v>Konventionel</v>
          </cell>
          <cell r="C325" t="str">
            <v>OC6</v>
          </cell>
          <cell r="D325" t="str">
            <v>Areal-raps</v>
          </cell>
          <cell r="E325" t="str">
            <v>Hektar</v>
          </cell>
          <cell r="F325" t="str">
            <v>Raps</v>
          </cell>
          <cell r="G325" t="str">
            <v>Ton</v>
          </cell>
          <cell r="H325">
            <v>5.28</v>
          </cell>
          <cell r="I325">
            <v>5.28</v>
          </cell>
          <cell r="J325">
            <v>5.28</v>
          </cell>
        </row>
        <row r="326">
          <cell r="A326" t="str">
            <v>Rapsmark</v>
          </cell>
          <cell r="B326" t="str">
            <v>Konventionel</v>
          </cell>
          <cell r="C326" t="str">
            <v>OC6</v>
          </cell>
          <cell r="D326" t="str">
            <v>Areal-raps</v>
          </cell>
          <cell r="E326" t="str">
            <v>Hektar</v>
          </cell>
          <cell r="F326" t="str">
            <v>Halm</v>
          </cell>
          <cell r="G326" t="str">
            <v>Ton</v>
          </cell>
          <cell r="H326">
            <v>4.7519999999999998</v>
          </cell>
          <cell r="I326">
            <v>4.7519999999999998</v>
          </cell>
          <cell r="J326">
            <v>4.7519999999999998</v>
          </cell>
        </row>
        <row r="327">
          <cell r="A327" t="str">
            <v>Rapsmark</v>
          </cell>
          <cell r="B327" t="str">
            <v>Konventionel</v>
          </cell>
          <cell r="C327" t="str">
            <v>OC6</v>
          </cell>
          <cell r="D327" t="str">
            <v>Areal-raps</v>
          </cell>
          <cell r="E327" t="str">
            <v>Hektar</v>
          </cell>
          <cell r="F327" t="str">
            <v>Gødning</v>
          </cell>
          <cell r="G327" t="str">
            <v>kg N</v>
          </cell>
          <cell r="H327">
            <v>-145</v>
          </cell>
          <cell r="I327">
            <v>-145</v>
          </cell>
          <cell r="J327">
            <v>-145</v>
          </cell>
        </row>
        <row r="328">
          <cell r="A328" t="str">
            <v>Rapsmark</v>
          </cell>
          <cell r="B328" t="str">
            <v>Konventionel</v>
          </cell>
          <cell r="C328" t="str">
            <v>OC6</v>
          </cell>
          <cell r="D328" t="str">
            <v>Areal-raps</v>
          </cell>
          <cell r="E328" t="str">
            <v>Hektar</v>
          </cell>
          <cell r="F328" t="str">
            <v>CO2 - atmosfære</v>
          </cell>
          <cell r="G328" t="str">
            <v>t CO2-ækvivalenter</v>
          </cell>
          <cell r="H328">
            <v>15.99169436748546</v>
          </cell>
          <cell r="I328">
            <v>15.99169436748546</v>
          </cell>
          <cell r="J328">
            <v>15.99169436748546</v>
          </cell>
        </row>
        <row r="329">
          <cell r="A329" t="str">
            <v>Rapsmark</v>
          </cell>
          <cell r="B329" t="str">
            <v>Konventionel</v>
          </cell>
          <cell r="C329" t="str">
            <v>OC12</v>
          </cell>
          <cell r="D329" t="str">
            <v>Areal-raps</v>
          </cell>
          <cell r="E329" t="str">
            <v>Hektar</v>
          </cell>
          <cell r="F329" t="str">
            <v>Raps</v>
          </cell>
          <cell r="G329" t="str">
            <v>Ton</v>
          </cell>
          <cell r="H329">
            <v>6.16</v>
          </cell>
          <cell r="I329">
            <v>6.16</v>
          </cell>
          <cell r="J329">
            <v>6.16</v>
          </cell>
        </row>
        <row r="330">
          <cell r="A330" t="str">
            <v>Rapsmark</v>
          </cell>
          <cell r="B330" t="str">
            <v>Konventionel</v>
          </cell>
          <cell r="C330" t="str">
            <v>OC12</v>
          </cell>
          <cell r="D330" t="str">
            <v>Areal-raps</v>
          </cell>
          <cell r="E330" t="str">
            <v>Hektar</v>
          </cell>
          <cell r="F330" t="str">
            <v>Halm</v>
          </cell>
          <cell r="G330" t="str">
            <v>Ton</v>
          </cell>
          <cell r="H330">
            <v>5.5439999999999996</v>
          </cell>
          <cell r="I330">
            <v>5.5439999999999996</v>
          </cell>
          <cell r="J330">
            <v>5.5439999999999996</v>
          </cell>
        </row>
        <row r="331">
          <cell r="A331" t="str">
            <v>Rapsmark</v>
          </cell>
          <cell r="B331" t="str">
            <v>Konventionel</v>
          </cell>
          <cell r="C331" t="str">
            <v>OC12</v>
          </cell>
          <cell r="D331" t="str">
            <v>Areal-raps</v>
          </cell>
          <cell r="E331" t="str">
            <v>Hektar</v>
          </cell>
          <cell r="F331" t="str">
            <v>Gødning</v>
          </cell>
          <cell r="G331" t="str">
            <v>kg N</v>
          </cell>
          <cell r="H331">
            <v>-115</v>
          </cell>
          <cell r="I331">
            <v>-115</v>
          </cell>
          <cell r="J331">
            <v>-115</v>
          </cell>
        </row>
        <row r="332">
          <cell r="A332" t="str">
            <v>Rapsmark</v>
          </cell>
          <cell r="B332" t="str">
            <v>Konventionel</v>
          </cell>
          <cell r="C332" t="str">
            <v>OC12</v>
          </cell>
          <cell r="D332" t="str">
            <v>Areal-raps</v>
          </cell>
          <cell r="E332" t="str">
            <v>Hektar</v>
          </cell>
          <cell r="F332" t="str">
            <v>CO2 - atmosfære</v>
          </cell>
          <cell r="G332" t="str">
            <v>t CO2-ækvivalenter</v>
          </cell>
          <cell r="H332">
            <v>40.951694367485452</v>
          </cell>
          <cell r="I332">
            <v>40.951694367485452</v>
          </cell>
          <cell r="J332">
            <v>40.951694367485452</v>
          </cell>
        </row>
        <row r="333">
          <cell r="A333" t="str">
            <v>Rapsmark</v>
          </cell>
          <cell r="B333" t="str">
            <v>Økologisk</v>
          </cell>
          <cell r="C333" t="str">
            <v>JB1-10</v>
          </cell>
          <cell r="D333" t="str">
            <v>Areal-raps</v>
          </cell>
          <cell r="E333" t="str">
            <v>Hektar</v>
          </cell>
          <cell r="F333" t="str">
            <v>Raps</v>
          </cell>
          <cell r="G333" t="str">
            <v>Ton</v>
          </cell>
          <cell r="H333">
            <v>2.4200000000000004</v>
          </cell>
          <cell r="I333">
            <v>2.4200000000000004</v>
          </cell>
          <cell r="J333">
            <v>2.4200000000000004</v>
          </cell>
        </row>
        <row r="334">
          <cell r="A334" t="str">
            <v>Rapsmark</v>
          </cell>
          <cell r="B334" t="str">
            <v>Økologisk</v>
          </cell>
          <cell r="C334" t="str">
            <v>JB1-10</v>
          </cell>
          <cell r="D334" t="str">
            <v>Areal-raps</v>
          </cell>
          <cell r="E334" t="str">
            <v>Hektar</v>
          </cell>
          <cell r="F334" t="str">
            <v>Halm</v>
          </cell>
          <cell r="G334" t="str">
            <v>Ton</v>
          </cell>
          <cell r="H334">
            <v>2.1779999999999999</v>
          </cell>
          <cell r="I334">
            <v>2.1779999999999999</v>
          </cell>
          <cell r="J334">
            <v>2.1779999999999999</v>
          </cell>
        </row>
        <row r="335">
          <cell r="A335" t="str">
            <v>Rapsmark</v>
          </cell>
          <cell r="B335" t="str">
            <v>Økologisk</v>
          </cell>
          <cell r="C335" t="str">
            <v>JB1-10</v>
          </cell>
          <cell r="D335" t="str">
            <v>Areal-raps</v>
          </cell>
          <cell r="E335" t="str">
            <v>Hektar</v>
          </cell>
          <cell r="F335" t="str">
            <v>Gødning</v>
          </cell>
          <cell r="G335" t="str">
            <v>kg N</v>
          </cell>
          <cell r="H335">
            <v>-96.250000000000014</v>
          </cell>
          <cell r="I335">
            <v>-96.250000000000014</v>
          </cell>
          <cell r="J335">
            <v>-96.250000000000014</v>
          </cell>
        </row>
        <row r="336">
          <cell r="A336" t="str">
            <v>Rapsmark</v>
          </cell>
          <cell r="B336" t="str">
            <v>Økologisk</v>
          </cell>
          <cell r="C336" t="str">
            <v>JB1-10</v>
          </cell>
          <cell r="D336" t="str">
            <v>Areal-raps</v>
          </cell>
          <cell r="E336" t="str">
            <v>Hektar</v>
          </cell>
          <cell r="F336" t="str">
            <v>CO2 - atmosfære</v>
          </cell>
          <cell r="G336" t="str">
            <v>t CO2-ækvivalenter</v>
          </cell>
          <cell r="H336">
            <v>2.2736943674854606</v>
          </cell>
          <cell r="I336">
            <v>2.2736943674854606</v>
          </cell>
          <cell r="J336">
            <v>2.2736943674854606</v>
          </cell>
        </row>
        <row r="337">
          <cell r="A337" t="str">
            <v>Rapsmark</v>
          </cell>
          <cell r="B337" t="str">
            <v>Økologisk</v>
          </cell>
          <cell r="C337" t="str">
            <v>OC6</v>
          </cell>
          <cell r="D337" t="str">
            <v>Areal-raps</v>
          </cell>
          <cell r="E337" t="str">
            <v>Hektar</v>
          </cell>
          <cell r="F337" t="str">
            <v>Raps</v>
          </cell>
          <cell r="G337" t="str">
            <v>Ton</v>
          </cell>
          <cell r="H337">
            <v>2.9040000000000004</v>
          </cell>
          <cell r="I337">
            <v>2.9040000000000004</v>
          </cell>
          <cell r="J337">
            <v>2.9040000000000004</v>
          </cell>
        </row>
        <row r="338">
          <cell r="A338" t="str">
            <v>Rapsmark</v>
          </cell>
          <cell r="B338" t="str">
            <v>Økologisk</v>
          </cell>
          <cell r="C338" t="str">
            <v>OC6</v>
          </cell>
          <cell r="D338" t="str">
            <v>Areal-raps</v>
          </cell>
          <cell r="E338" t="str">
            <v>Hektar</v>
          </cell>
          <cell r="F338" t="str">
            <v>Halm</v>
          </cell>
          <cell r="G338" t="str">
            <v>Ton</v>
          </cell>
          <cell r="H338">
            <v>2.6135999999999999</v>
          </cell>
          <cell r="I338">
            <v>2.6135999999999999</v>
          </cell>
          <cell r="J338">
            <v>2.6135999999999999</v>
          </cell>
        </row>
        <row r="339">
          <cell r="A339" t="str">
            <v>Rapsmark</v>
          </cell>
          <cell r="B339" t="str">
            <v>Økologisk</v>
          </cell>
          <cell r="C339" t="str">
            <v>OC6</v>
          </cell>
          <cell r="D339" t="str">
            <v>Areal-raps</v>
          </cell>
          <cell r="E339" t="str">
            <v>Hektar</v>
          </cell>
          <cell r="F339" t="str">
            <v>Gødning</v>
          </cell>
          <cell r="G339" t="str">
            <v>kg N</v>
          </cell>
          <cell r="H339">
            <v>-79.75</v>
          </cell>
          <cell r="I339">
            <v>-79.75</v>
          </cell>
          <cell r="J339">
            <v>-79.75</v>
          </cell>
        </row>
        <row r="340">
          <cell r="A340" t="str">
            <v>Rapsmark</v>
          </cell>
          <cell r="B340" t="str">
            <v>Økologisk</v>
          </cell>
          <cell r="C340" t="str">
            <v>OC6</v>
          </cell>
          <cell r="D340" t="str">
            <v>Areal-raps</v>
          </cell>
          <cell r="E340" t="str">
            <v>Hektar</v>
          </cell>
          <cell r="F340" t="str">
            <v>CO2 - atmosfære</v>
          </cell>
          <cell r="G340" t="str">
            <v>t CO2-ækvivalenter</v>
          </cell>
          <cell r="H340">
            <v>15.99169436748546</v>
          </cell>
          <cell r="I340">
            <v>15.99169436748546</v>
          </cell>
          <cell r="J340">
            <v>15.99169436748546</v>
          </cell>
        </row>
        <row r="341">
          <cell r="A341" t="str">
            <v>Rapsmark</v>
          </cell>
          <cell r="B341" t="str">
            <v>Økologisk</v>
          </cell>
          <cell r="C341" t="str">
            <v>OC12</v>
          </cell>
          <cell r="D341" t="str">
            <v>Areal-raps</v>
          </cell>
          <cell r="E341" t="str">
            <v>Hektar</v>
          </cell>
          <cell r="F341" t="str">
            <v>Raps</v>
          </cell>
          <cell r="G341" t="str">
            <v>Ton</v>
          </cell>
          <cell r="H341">
            <v>3.3880000000000003</v>
          </cell>
          <cell r="I341">
            <v>3.3880000000000003</v>
          </cell>
          <cell r="J341">
            <v>3.3880000000000003</v>
          </cell>
        </row>
        <row r="342">
          <cell r="A342" t="str">
            <v>Rapsmark</v>
          </cell>
          <cell r="B342" t="str">
            <v>Økologisk</v>
          </cell>
          <cell r="C342" t="str">
            <v>OC12</v>
          </cell>
          <cell r="D342" t="str">
            <v>Areal-raps</v>
          </cell>
          <cell r="E342" t="str">
            <v>Hektar</v>
          </cell>
          <cell r="F342" t="str">
            <v>Halm</v>
          </cell>
          <cell r="G342" t="str">
            <v>Ton</v>
          </cell>
          <cell r="H342">
            <v>3.0491999999999999</v>
          </cell>
          <cell r="I342">
            <v>3.0491999999999999</v>
          </cell>
          <cell r="J342">
            <v>3.0491999999999999</v>
          </cell>
        </row>
        <row r="343">
          <cell r="A343" t="str">
            <v>Rapsmark</v>
          </cell>
          <cell r="B343" t="str">
            <v>Økologisk</v>
          </cell>
          <cell r="C343" t="str">
            <v>OC12</v>
          </cell>
          <cell r="D343" t="str">
            <v>Areal-raps</v>
          </cell>
          <cell r="E343" t="str">
            <v>Hektar</v>
          </cell>
          <cell r="F343" t="str">
            <v>Gødning</v>
          </cell>
          <cell r="G343" t="str">
            <v>kg N</v>
          </cell>
          <cell r="H343">
            <v>-63.250000000000007</v>
          </cell>
          <cell r="I343">
            <v>-63.250000000000007</v>
          </cell>
          <cell r="J343">
            <v>-63.250000000000007</v>
          </cell>
        </row>
        <row r="344">
          <cell r="A344" t="str">
            <v>Rapsmark</v>
          </cell>
          <cell r="B344" t="str">
            <v>Økologisk</v>
          </cell>
          <cell r="C344" t="str">
            <v>OC12</v>
          </cell>
          <cell r="D344" t="str">
            <v>Areal-raps</v>
          </cell>
          <cell r="E344" t="str">
            <v>Hektar</v>
          </cell>
          <cell r="F344" t="str">
            <v>CO2 - atmosfære</v>
          </cell>
          <cell r="G344" t="str">
            <v>t CO2-ækvivalenter</v>
          </cell>
          <cell r="H344">
            <v>40.951694367485452</v>
          </cell>
          <cell r="I344">
            <v>40.951694367485452</v>
          </cell>
          <cell r="J344">
            <v>40.951694367485452</v>
          </cell>
        </row>
        <row r="345">
          <cell r="A345" t="str">
            <v>Frøgræsmark</v>
          </cell>
          <cell r="B345" t="str">
            <v>Konventionel</v>
          </cell>
          <cell r="C345" t="str">
            <v>JB1-10</v>
          </cell>
          <cell r="D345" t="str">
            <v>Areal-frøgræs</v>
          </cell>
          <cell r="E345" t="str">
            <v>Hektar</v>
          </cell>
          <cell r="F345" t="str">
            <v>Frø</v>
          </cell>
          <cell r="G345" t="str">
            <v>Ton</v>
          </cell>
          <cell r="H345">
            <v>14.288860759493669</v>
          </cell>
          <cell r="I345">
            <v>14.288860759493669</v>
          </cell>
          <cell r="J345">
            <v>14.288860759493669</v>
          </cell>
        </row>
        <row r="346">
          <cell r="A346" t="str">
            <v>Frøgræsmark</v>
          </cell>
          <cell r="B346" t="str">
            <v>Konventionel</v>
          </cell>
          <cell r="C346" t="str">
            <v>JB1-10</v>
          </cell>
          <cell r="D346" t="str">
            <v>Areal-frøgræs</v>
          </cell>
          <cell r="E346" t="str">
            <v>Hektar</v>
          </cell>
          <cell r="F346" t="str">
            <v>Halm</v>
          </cell>
          <cell r="G346" t="str">
            <v>Ton</v>
          </cell>
          <cell r="H346">
            <v>4</v>
          </cell>
          <cell r="I346">
            <v>4</v>
          </cell>
          <cell r="J346">
            <v>4</v>
          </cell>
        </row>
        <row r="347">
          <cell r="A347" t="str">
            <v>Frøgræsmark</v>
          </cell>
          <cell r="B347" t="str">
            <v>Konventionel</v>
          </cell>
          <cell r="C347" t="str">
            <v>JB1-10</v>
          </cell>
          <cell r="D347" t="str">
            <v>Areal-frøgræs</v>
          </cell>
          <cell r="E347" t="str">
            <v>Hektar</v>
          </cell>
          <cell r="F347" t="str">
            <v>Gødning</v>
          </cell>
          <cell r="G347" t="str">
            <v>kg N</v>
          </cell>
          <cell r="H347">
            <v>-150</v>
          </cell>
          <cell r="I347">
            <v>-150</v>
          </cell>
          <cell r="J347">
            <v>-150</v>
          </cell>
        </row>
        <row r="348">
          <cell r="A348" t="str">
            <v>Frøgræsmark</v>
          </cell>
          <cell r="B348" t="str">
            <v>Konventionel</v>
          </cell>
          <cell r="C348" t="str">
            <v>JB1-10</v>
          </cell>
          <cell r="D348" t="str">
            <v>Areal-frøgræs</v>
          </cell>
          <cell r="E348" t="str">
            <v>Hektar</v>
          </cell>
          <cell r="F348" t="str">
            <v>CO2 - atmosfære</v>
          </cell>
          <cell r="G348" t="str">
            <v>t CO2-ækvivalenter</v>
          </cell>
          <cell r="H348">
            <v>2.2736943674854606</v>
          </cell>
          <cell r="I348">
            <v>2.2736943674854606</v>
          </cell>
          <cell r="J348">
            <v>2.2736943674854606</v>
          </cell>
        </row>
        <row r="349">
          <cell r="A349" t="str">
            <v>Frøgræsmark</v>
          </cell>
          <cell r="B349" t="str">
            <v>Konventionel</v>
          </cell>
          <cell r="C349" t="str">
            <v>OC6</v>
          </cell>
          <cell r="D349" t="str">
            <v>Areal-frøgræs</v>
          </cell>
          <cell r="E349" t="str">
            <v>Hektar</v>
          </cell>
          <cell r="F349" t="str">
            <v>Frø</v>
          </cell>
          <cell r="G349" t="str">
            <v>Ton</v>
          </cell>
          <cell r="H349">
            <v>17.146632911392402</v>
          </cell>
          <cell r="I349">
            <v>17.146632911392402</v>
          </cell>
          <cell r="J349">
            <v>17.146632911392402</v>
          </cell>
        </row>
        <row r="350">
          <cell r="A350" t="str">
            <v>Frøgræsmark</v>
          </cell>
          <cell r="B350" t="str">
            <v>Konventionel</v>
          </cell>
          <cell r="C350" t="str">
            <v>OC6</v>
          </cell>
          <cell r="D350" t="str">
            <v>Areal-frøgræs</v>
          </cell>
          <cell r="E350" t="str">
            <v>Hektar</v>
          </cell>
          <cell r="F350" t="str">
            <v>Halm</v>
          </cell>
          <cell r="G350" t="str">
            <v>Ton</v>
          </cell>
          <cell r="H350">
            <v>4.8</v>
          </cell>
          <cell r="I350">
            <v>4.8</v>
          </cell>
          <cell r="J350">
            <v>4.8</v>
          </cell>
        </row>
        <row r="351">
          <cell r="A351" t="str">
            <v>Frøgræsmark</v>
          </cell>
          <cell r="B351" t="str">
            <v>Konventionel</v>
          </cell>
          <cell r="C351" t="str">
            <v>OC6</v>
          </cell>
          <cell r="D351" t="str">
            <v>Areal-frøgræs</v>
          </cell>
          <cell r="E351" t="str">
            <v>Hektar</v>
          </cell>
          <cell r="F351" t="str">
            <v>Gødning</v>
          </cell>
          <cell r="G351" t="str">
            <v>kg N</v>
          </cell>
          <cell r="H351">
            <v>-135</v>
          </cell>
          <cell r="I351">
            <v>-135</v>
          </cell>
          <cell r="J351">
            <v>-135</v>
          </cell>
        </row>
        <row r="352">
          <cell r="A352" t="str">
            <v>Frøgræsmark</v>
          </cell>
          <cell r="B352" t="str">
            <v>Konventionel</v>
          </cell>
          <cell r="C352" t="str">
            <v>OC6</v>
          </cell>
          <cell r="D352" t="str">
            <v>Areal-frøgræs</v>
          </cell>
          <cell r="E352" t="str">
            <v>Hektar</v>
          </cell>
          <cell r="F352" t="str">
            <v>CO2 - atmosfære</v>
          </cell>
          <cell r="G352" t="str">
            <v>t CO2-ækvivalenter</v>
          </cell>
          <cell r="H352">
            <v>15.99169436748546</v>
          </cell>
          <cell r="I352">
            <v>15.99169436748546</v>
          </cell>
          <cell r="J352">
            <v>15.99169436748546</v>
          </cell>
        </row>
        <row r="353">
          <cell r="A353" t="str">
            <v>Frøgræsmark</v>
          </cell>
          <cell r="B353" t="str">
            <v>Konventionel</v>
          </cell>
          <cell r="C353" t="str">
            <v>OC12</v>
          </cell>
          <cell r="D353" t="str">
            <v>Areal-frøgræs</v>
          </cell>
          <cell r="E353" t="str">
            <v>Hektar</v>
          </cell>
          <cell r="F353" t="str">
            <v>Frø</v>
          </cell>
          <cell r="G353" t="str">
            <v>Ton</v>
          </cell>
          <cell r="H353">
            <v>20.004405063291134</v>
          </cell>
          <cell r="I353">
            <v>20.004405063291134</v>
          </cell>
          <cell r="J353">
            <v>20.004405063291134</v>
          </cell>
        </row>
        <row r="354">
          <cell r="A354" t="str">
            <v>Frøgræsmark</v>
          </cell>
          <cell r="B354" t="str">
            <v>Konventionel</v>
          </cell>
          <cell r="C354" t="str">
            <v>OC12</v>
          </cell>
          <cell r="D354" t="str">
            <v>Areal-frøgræs</v>
          </cell>
          <cell r="E354" t="str">
            <v>Hektar</v>
          </cell>
          <cell r="F354" t="str">
            <v>Halm</v>
          </cell>
          <cell r="G354" t="str">
            <v>Ton</v>
          </cell>
          <cell r="H354">
            <v>5.6</v>
          </cell>
          <cell r="I354">
            <v>5.6</v>
          </cell>
          <cell r="J354">
            <v>5.6</v>
          </cell>
        </row>
        <row r="355">
          <cell r="A355" t="str">
            <v>Frøgræsmark</v>
          </cell>
          <cell r="B355" t="str">
            <v>Konventionel</v>
          </cell>
          <cell r="C355" t="str">
            <v>OC12</v>
          </cell>
          <cell r="D355" t="str">
            <v>Areal-frøgræs</v>
          </cell>
          <cell r="E355" t="str">
            <v>Hektar</v>
          </cell>
          <cell r="F355" t="str">
            <v>Gødning</v>
          </cell>
          <cell r="G355" t="str">
            <v>kg N</v>
          </cell>
          <cell r="H355">
            <v>-120</v>
          </cell>
          <cell r="I355">
            <v>-120</v>
          </cell>
          <cell r="J355">
            <v>-120</v>
          </cell>
        </row>
        <row r="356">
          <cell r="A356" t="str">
            <v>Frøgræsmark</v>
          </cell>
          <cell r="B356" t="str">
            <v>Konventionel</v>
          </cell>
          <cell r="C356" t="str">
            <v>OC12</v>
          </cell>
          <cell r="D356" t="str">
            <v>Areal-frøgræs</v>
          </cell>
          <cell r="E356" t="str">
            <v>Hektar</v>
          </cell>
          <cell r="F356" t="str">
            <v>CO2 - atmosfære</v>
          </cell>
          <cell r="G356" t="str">
            <v>t CO2-ækvivalenter</v>
          </cell>
          <cell r="H356">
            <v>40.951694367485452</v>
          </cell>
          <cell r="I356">
            <v>40.951694367485452</v>
          </cell>
          <cell r="J356">
            <v>40.951694367485452</v>
          </cell>
        </row>
        <row r="357">
          <cell r="A357" t="str">
            <v>Frøgræsmark</v>
          </cell>
          <cell r="B357" t="str">
            <v>Økologisk</v>
          </cell>
          <cell r="C357" t="str">
            <v>JB1-10</v>
          </cell>
          <cell r="D357" t="str">
            <v>Areal-frøgræs</v>
          </cell>
          <cell r="E357" t="str">
            <v>Hektar</v>
          </cell>
          <cell r="F357" t="str">
            <v>Frø</v>
          </cell>
          <cell r="G357" t="str">
            <v>Ton</v>
          </cell>
          <cell r="H357">
            <v>8.1446506329113912</v>
          </cell>
          <cell r="I357">
            <v>8.1446506329113912</v>
          </cell>
          <cell r="J357">
            <v>8.1446506329113912</v>
          </cell>
        </row>
        <row r="358">
          <cell r="A358" t="str">
            <v>Frøgræsmark</v>
          </cell>
          <cell r="B358" t="str">
            <v>Økologisk</v>
          </cell>
          <cell r="C358" t="str">
            <v>JB1-10</v>
          </cell>
          <cell r="D358" t="str">
            <v>Areal-frøgræs</v>
          </cell>
          <cell r="E358" t="str">
            <v>Hektar</v>
          </cell>
          <cell r="F358" t="str">
            <v>Halm</v>
          </cell>
          <cell r="G358" t="str">
            <v>Ton</v>
          </cell>
          <cell r="H358">
            <v>2.2799999999999998</v>
          </cell>
          <cell r="I358">
            <v>2.2799999999999998</v>
          </cell>
          <cell r="J358">
            <v>2.2799999999999998</v>
          </cell>
        </row>
        <row r="359">
          <cell r="A359" t="str">
            <v>Frøgræsmark</v>
          </cell>
          <cell r="B359" t="str">
            <v>Økologisk</v>
          </cell>
          <cell r="C359" t="str">
            <v>JB1-10</v>
          </cell>
          <cell r="D359" t="str">
            <v>Areal-frøgræs</v>
          </cell>
          <cell r="E359" t="str">
            <v>Hektar</v>
          </cell>
          <cell r="F359" t="str">
            <v>Gødning</v>
          </cell>
          <cell r="G359" t="str">
            <v>kg N</v>
          </cell>
          <cell r="H359">
            <v>-85.499999999999986</v>
          </cell>
          <cell r="I359">
            <v>-85.499999999999986</v>
          </cell>
          <cell r="J359">
            <v>-85.499999999999986</v>
          </cell>
        </row>
        <row r="360">
          <cell r="A360" t="str">
            <v>Frøgræsmark</v>
          </cell>
          <cell r="B360" t="str">
            <v>Økologisk</v>
          </cell>
          <cell r="C360" t="str">
            <v>JB1-10</v>
          </cell>
          <cell r="D360" t="str">
            <v>Areal-frøgræs</v>
          </cell>
          <cell r="E360" t="str">
            <v>Hektar</v>
          </cell>
          <cell r="F360" t="str">
            <v>CO2 - atmosfære</v>
          </cell>
          <cell r="G360" t="str">
            <v>t CO2-ækvivalenter</v>
          </cell>
          <cell r="H360">
            <v>2.2736943674854606</v>
          </cell>
          <cell r="I360">
            <v>2.2736943674854606</v>
          </cell>
          <cell r="J360">
            <v>2.2736943674854606</v>
          </cell>
        </row>
        <row r="361">
          <cell r="A361" t="str">
            <v>Frøgræsmark</v>
          </cell>
          <cell r="B361" t="str">
            <v>Økologisk</v>
          </cell>
          <cell r="C361" t="str">
            <v>OC6</v>
          </cell>
          <cell r="D361" t="str">
            <v>Areal-frøgræs</v>
          </cell>
          <cell r="E361" t="str">
            <v>Hektar</v>
          </cell>
          <cell r="F361" t="str">
            <v>Frø</v>
          </cell>
          <cell r="G361" t="str">
            <v>Ton</v>
          </cell>
          <cell r="H361">
            <v>9.7735807594936688</v>
          </cell>
          <cell r="I361">
            <v>9.7735807594936688</v>
          </cell>
          <cell r="J361">
            <v>9.7735807594936688</v>
          </cell>
        </row>
        <row r="362">
          <cell r="A362" t="str">
            <v>Frøgræsmark</v>
          </cell>
          <cell r="B362" t="str">
            <v>Økologisk</v>
          </cell>
          <cell r="C362" t="str">
            <v>OC6</v>
          </cell>
          <cell r="D362" t="str">
            <v>Areal-frøgræs</v>
          </cell>
          <cell r="E362" t="str">
            <v>Hektar</v>
          </cell>
          <cell r="F362" t="str">
            <v>Halm</v>
          </cell>
          <cell r="G362" t="str">
            <v>Ton</v>
          </cell>
          <cell r="H362">
            <v>2.7359999999999998</v>
          </cell>
          <cell r="I362">
            <v>2.7359999999999998</v>
          </cell>
          <cell r="J362">
            <v>2.7359999999999998</v>
          </cell>
        </row>
        <row r="363">
          <cell r="A363" t="str">
            <v>Frøgræsmark</v>
          </cell>
          <cell r="B363" t="str">
            <v>Økologisk</v>
          </cell>
          <cell r="C363" t="str">
            <v>OC6</v>
          </cell>
          <cell r="D363" t="str">
            <v>Areal-frøgræs</v>
          </cell>
          <cell r="E363" t="str">
            <v>Hektar</v>
          </cell>
          <cell r="F363" t="str">
            <v>Gødning</v>
          </cell>
          <cell r="G363" t="str">
            <v>kg N</v>
          </cell>
          <cell r="H363">
            <v>-76.949999999999989</v>
          </cell>
          <cell r="I363">
            <v>-76.949999999999989</v>
          </cell>
          <cell r="J363">
            <v>-76.949999999999989</v>
          </cell>
        </row>
        <row r="364">
          <cell r="A364" t="str">
            <v>Frøgræsmark</v>
          </cell>
          <cell r="B364" t="str">
            <v>Økologisk</v>
          </cell>
          <cell r="C364" t="str">
            <v>OC6</v>
          </cell>
          <cell r="D364" t="str">
            <v>Areal-frøgræs</v>
          </cell>
          <cell r="E364" t="str">
            <v>Hektar</v>
          </cell>
          <cell r="F364" t="str">
            <v>CO2 - atmosfære</v>
          </cell>
          <cell r="G364" t="str">
            <v>t CO2-ækvivalenter</v>
          </cell>
          <cell r="H364">
            <v>15.99169436748546</v>
          </cell>
          <cell r="I364">
            <v>15.99169436748546</v>
          </cell>
          <cell r="J364">
            <v>15.99169436748546</v>
          </cell>
        </row>
        <row r="365">
          <cell r="A365" t="str">
            <v>Frøgræsmark</v>
          </cell>
          <cell r="B365" t="str">
            <v>Økologisk</v>
          </cell>
          <cell r="C365" t="str">
            <v>OC12</v>
          </cell>
          <cell r="D365" t="str">
            <v>Areal-frøgræs</v>
          </cell>
          <cell r="E365" t="str">
            <v>Hektar</v>
          </cell>
          <cell r="F365" t="str">
            <v>Frø</v>
          </cell>
          <cell r="G365" t="str">
            <v>Ton</v>
          </cell>
          <cell r="H365">
            <v>11.402510886075946</v>
          </cell>
          <cell r="I365">
            <v>11.402510886075946</v>
          </cell>
          <cell r="J365">
            <v>11.402510886075946</v>
          </cell>
        </row>
        <row r="366">
          <cell r="A366" t="str">
            <v>Frøgræsmark</v>
          </cell>
          <cell r="B366" t="str">
            <v>Økologisk</v>
          </cell>
          <cell r="C366" t="str">
            <v>OC12</v>
          </cell>
          <cell r="D366" t="str">
            <v>Areal-frøgræs</v>
          </cell>
          <cell r="E366" t="str">
            <v>Hektar</v>
          </cell>
          <cell r="F366" t="str">
            <v>Halm</v>
          </cell>
          <cell r="G366" t="str">
            <v>Ton</v>
          </cell>
          <cell r="H366">
            <v>3.1919999999999997</v>
          </cell>
          <cell r="I366">
            <v>3.1919999999999997</v>
          </cell>
          <cell r="J366">
            <v>3.1919999999999997</v>
          </cell>
        </row>
        <row r="367">
          <cell r="A367" t="str">
            <v>Frøgræsmark</v>
          </cell>
          <cell r="B367" t="str">
            <v>Økologisk</v>
          </cell>
          <cell r="C367" t="str">
            <v>OC12</v>
          </cell>
          <cell r="D367" t="str">
            <v>Areal-frøgræs</v>
          </cell>
          <cell r="E367" t="str">
            <v>Hektar</v>
          </cell>
          <cell r="F367" t="str">
            <v>Gødning</v>
          </cell>
          <cell r="G367" t="str">
            <v>kg N</v>
          </cell>
          <cell r="H367">
            <v>-68.399999999999991</v>
          </cell>
          <cell r="I367">
            <v>-68.399999999999991</v>
          </cell>
          <cell r="J367">
            <v>-68.399999999999991</v>
          </cell>
        </row>
        <row r="368">
          <cell r="A368" t="str">
            <v>Frøgræsmark</v>
          </cell>
          <cell r="B368" t="str">
            <v>Økologisk</v>
          </cell>
          <cell r="C368" t="str">
            <v>OC12</v>
          </cell>
          <cell r="D368" t="str">
            <v>Areal-frøgræs</v>
          </cell>
          <cell r="E368" t="str">
            <v>Hektar</v>
          </cell>
          <cell r="F368" t="str">
            <v>CO2 - atmosfære</v>
          </cell>
          <cell r="G368" t="str">
            <v>t CO2-ækvivalenter</v>
          </cell>
          <cell r="H368">
            <v>40.951694367485452</v>
          </cell>
          <cell r="I368">
            <v>40.951694367485452</v>
          </cell>
          <cell r="J368">
            <v>40.951694367485452</v>
          </cell>
        </row>
        <row r="369">
          <cell r="A369" t="str">
            <v>Juletræsmark</v>
          </cell>
          <cell r="B369" t="str">
            <v>Konventionel</v>
          </cell>
          <cell r="C369" t="str">
            <v>JB1-10</v>
          </cell>
          <cell r="D369" t="str">
            <v>Areal-juletræer</v>
          </cell>
          <cell r="E369" t="str">
            <v>Hektar</v>
          </cell>
          <cell r="F369" t="str">
            <v>Juletræer</v>
          </cell>
          <cell r="G369" t="str">
            <v>Ton</v>
          </cell>
          <cell r="H369">
            <v>50</v>
          </cell>
          <cell r="I369">
            <v>50</v>
          </cell>
          <cell r="J369">
            <v>50</v>
          </cell>
        </row>
        <row r="370">
          <cell r="A370" t="str">
            <v>Juletræsmark</v>
          </cell>
          <cell r="B370" t="str">
            <v>Konventionel</v>
          </cell>
          <cell r="C370" t="str">
            <v>JB1-10</v>
          </cell>
          <cell r="D370" t="str">
            <v>Areal-juletræer</v>
          </cell>
          <cell r="E370" t="str">
            <v>Hektar</v>
          </cell>
          <cell r="F370" t="str">
            <v>Gødning</v>
          </cell>
          <cell r="G370" t="str">
            <v>kg N</v>
          </cell>
          <cell r="H370">
            <v>-110</v>
          </cell>
          <cell r="I370">
            <v>-110</v>
          </cell>
          <cell r="J370">
            <v>-110</v>
          </cell>
        </row>
        <row r="371">
          <cell r="A371" t="str">
            <v>Juletræsmark</v>
          </cell>
          <cell r="B371" t="str">
            <v>Konventionel</v>
          </cell>
          <cell r="C371" t="str">
            <v>JB1-10</v>
          </cell>
          <cell r="D371" t="str">
            <v>Areal-juletræer</v>
          </cell>
          <cell r="E371" t="str">
            <v>Hektar</v>
          </cell>
          <cell r="F371" t="str">
            <v>CO2 - atmosfære</v>
          </cell>
          <cell r="G371" t="str">
            <v>t CO2-ækvivalenter</v>
          </cell>
          <cell r="H371">
            <v>1.9656943674854606</v>
          </cell>
          <cell r="I371">
            <v>1.9656943674854606</v>
          </cell>
          <cell r="J371">
            <v>1.9656943674854606</v>
          </cell>
        </row>
        <row r="372">
          <cell r="A372" t="str">
            <v>Juletræsmark</v>
          </cell>
          <cell r="B372" t="str">
            <v>Konventionel</v>
          </cell>
          <cell r="C372" t="str">
            <v>OC6</v>
          </cell>
          <cell r="D372" t="str">
            <v>Areal-juletræer</v>
          </cell>
          <cell r="E372" t="str">
            <v>Hektar</v>
          </cell>
          <cell r="F372" t="str">
            <v>Juletræer</v>
          </cell>
          <cell r="G372" t="str">
            <v>Ton</v>
          </cell>
          <cell r="H372">
            <v>60</v>
          </cell>
          <cell r="I372">
            <v>60</v>
          </cell>
          <cell r="J372">
            <v>60</v>
          </cell>
        </row>
        <row r="373">
          <cell r="A373" t="str">
            <v>Juletræsmark</v>
          </cell>
          <cell r="B373" t="str">
            <v>Konventionel</v>
          </cell>
          <cell r="C373" t="str">
            <v>OC6</v>
          </cell>
          <cell r="D373" t="str">
            <v>Areal-juletræer</v>
          </cell>
          <cell r="E373" t="str">
            <v>Hektar</v>
          </cell>
          <cell r="F373" t="str">
            <v>Gødning</v>
          </cell>
          <cell r="G373" t="str">
            <v>kg N</v>
          </cell>
          <cell r="H373">
            <v>-100</v>
          </cell>
          <cell r="I373">
            <v>-100</v>
          </cell>
          <cell r="J373">
            <v>-100</v>
          </cell>
        </row>
        <row r="374">
          <cell r="A374" t="str">
            <v>Juletræsmark</v>
          </cell>
          <cell r="B374" t="str">
            <v>Konventionel</v>
          </cell>
          <cell r="C374" t="str">
            <v>OC6</v>
          </cell>
          <cell r="D374" t="str">
            <v>Areal-juletræer</v>
          </cell>
          <cell r="E374" t="str">
            <v>Hektar</v>
          </cell>
          <cell r="F374" t="str">
            <v>CO2 - atmosfære</v>
          </cell>
          <cell r="G374" t="str">
            <v>t CO2-ækvivalenter</v>
          </cell>
          <cell r="H374">
            <v>10.661694367485461</v>
          </cell>
          <cell r="I374">
            <v>10.661694367485461</v>
          </cell>
          <cell r="J374">
            <v>10.661694367485461</v>
          </cell>
        </row>
        <row r="375">
          <cell r="A375" t="str">
            <v>Juletræsmark</v>
          </cell>
          <cell r="B375" t="str">
            <v>Konventionel</v>
          </cell>
          <cell r="C375" t="str">
            <v>OC12</v>
          </cell>
          <cell r="D375" t="str">
            <v>Areal-juletræer</v>
          </cell>
          <cell r="E375" t="str">
            <v>Hektar</v>
          </cell>
          <cell r="F375" t="str">
            <v>Juletræer</v>
          </cell>
          <cell r="G375" t="str">
            <v>Ton</v>
          </cell>
          <cell r="H375">
            <v>70</v>
          </cell>
          <cell r="I375">
            <v>70</v>
          </cell>
          <cell r="J375">
            <v>70</v>
          </cell>
        </row>
        <row r="376">
          <cell r="A376" t="str">
            <v>Juletræsmark</v>
          </cell>
          <cell r="B376" t="str">
            <v>Konventionel</v>
          </cell>
          <cell r="C376" t="str">
            <v>OC12</v>
          </cell>
          <cell r="D376" t="str">
            <v>Areal-juletræer</v>
          </cell>
          <cell r="E376" t="str">
            <v>Hektar</v>
          </cell>
          <cell r="F376" t="str">
            <v>Gødning</v>
          </cell>
          <cell r="G376" t="str">
            <v>kg N</v>
          </cell>
          <cell r="H376">
            <v>-90</v>
          </cell>
          <cell r="I376">
            <v>-90</v>
          </cell>
          <cell r="J376">
            <v>-90</v>
          </cell>
        </row>
        <row r="377">
          <cell r="A377" t="str">
            <v>Juletræsmark</v>
          </cell>
          <cell r="B377" t="str">
            <v>Konventionel</v>
          </cell>
          <cell r="C377" t="str">
            <v>OC12</v>
          </cell>
          <cell r="D377" t="str">
            <v>Areal-juletræer</v>
          </cell>
          <cell r="E377" t="str">
            <v>Hektar</v>
          </cell>
          <cell r="F377" t="str">
            <v>CO2 - atmosfære</v>
          </cell>
          <cell r="G377" t="str">
            <v>t CO2-ækvivalenter</v>
          </cell>
          <cell r="H377">
            <v>28.501694367485467</v>
          </cell>
          <cell r="I377">
            <v>28.501694367485467</v>
          </cell>
          <cell r="J377">
            <v>28.501694367485467</v>
          </cell>
        </row>
        <row r="378">
          <cell r="A378" t="str">
            <v>Juletræsmark</v>
          </cell>
          <cell r="B378" t="str">
            <v>Økologisk</v>
          </cell>
          <cell r="C378" t="str">
            <v>JB1-10</v>
          </cell>
          <cell r="D378" t="str">
            <v>Areal-juletræer</v>
          </cell>
          <cell r="E378" t="str">
            <v>Hektar</v>
          </cell>
          <cell r="F378" t="str">
            <v>Juletræer</v>
          </cell>
          <cell r="G378" t="str">
            <v>Ton</v>
          </cell>
          <cell r="H378">
            <v>28.499999999999996</v>
          </cell>
          <cell r="I378">
            <v>28.499999999999996</v>
          </cell>
          <cell r="J378">
            <v>28.499999999999996</v>
          </cell>
        </row>
        <row r="379">
          <cell r="A379" t="str">
            <v>Juletræsmark</v>
          </cell>
          <cell r="B379" t="str">
            <v>Økologisk</v>
          </cell>
          <cell r="C379" t="str">
            <v>JB1-10</v>
          </cell>
          <cell r="D379" t="str">
            <v>Areal-juletræer</v>
          </cell>
          <cell r="E379" t="str">
            <v>Hektar</v>
          </cell>
          <cell r="F379" t="str">
            <v>Gødning</v>
          </cell>
          <cell r="G379" t="str">
            <v>kg N</v>
          </cell>
          <cell r="H379">
            <v>-62.699999999999996</v>
          </cell>
          <cell r="I379">
            <v>-62.699999999999996</v>
          </cell>
          <cell r="J379">
            <v>-62.699999999999996</v>
          </cell>
        </row>
        <row r="380">
          <cell r="A380" t="str">
            <v>Juletræsmark</v>
          </cell>
          <cell r="B380" t="str">
            <v>Økologisk</v>
          </cell>
          <cell r="C380" t="str">
            <v>JB1-10</v>
          </cell>
          <cell r="D380" t="str">
            <v>Areal-juletræer</v>
          </cell>
          <cell r="E380" t="str">
            <v>Hektar</v>
          </cell>
          <cell r="F380" t="str">
            <v>CO2 - atmosfære</v>
          </cell>
          <cell r="G380" t="str">
            <v>t CO2-ækvivalenter</v>
          </cell>
          <cell r="H380">
            <v>1.9656943674854606</v>
          </cell>
          <cell r="I380">
            <v>1.9656943674854606</v>
          </cell>
          <cell r="J380">
            <v>1.9656943674854606</v>
          </cell>
        </row>
        <row r="381">
          <cell r="A381" t="str">
            <v>Juletræsmark</v>
          </cell>
          <cell r="B381" t="str">
            <v>Økologisk</v>
          </cell>
          <cell r="C381" t="str">
            <v>OC6</v>
          </cell>
          <cell r="D381" t="str">
            <v>Areal-juletræer</v>
          </cell>
          <cell r="E381" t="str">
            <v>Hektar</v>
          </cell>
          <cell r="F381" t="str">
            <v>Juletræer</v>
          </cell>
          <cell r="G381" t="str">
            <v>Ton</v>
          </cell>
          <cell r="H381">
            <v>34.199999999999996</v>
          </cell>
          <cell r="I381">
            <v>34.199999999999996</v>
          </cell>
          <cell r="J381">
            <v>34.199999999999996</v>
          </cell>
        </row>
        <row r="382">
          <cell r="A382" t="str">
            <v>Juletræsmark</v>
          </cell>
          <cell r="B382" t="str">
            <v>Økologisk</v>
          </cell>
          <cell r="C382" t="str">
            <v>OC6</v>
          </cell>
          <cell r="D382" t="str">
            <v>Areal-juletræer</v>
          </cell>
          <cell r="E382" t="str">
            <v>Hektar</v>
          </cell>
          <cell r="F382" t="str">
            <v>Gødning</v>
          </cell>
          <cell r="G382" t="str">
            <v>kg N</v>
          </cell>
          <cell r="H382">
            <v>-56.999999999999993</v>
          </cell>
          <cell r="I382">
            <v>-56.999999999999993</v>
          </cell>
          <cell r="J382">
            <v>-56.999999999999993</v>
          </cell>
        </row>
        <row r="383">
          <cell r="A383" t="str">
            <v>Juletræsmark</v>
          </cell>
          <cell r="B383" t="str">
            <v>Økologisk</v>
          </cell>
          <cell r="C383" t="str">
            <v>OC6</v>
          </cell>
          <cell r="D383" t="str">
            <v>Areal-juletræer</v>
          </cell>
          <cell r="E383" t="str">
            <v>Hektar</v>
          </cell>
          <cell r="F383" t="str">
            <v>CO2 - atmosfære</v>
          </cell>
          <cell r="G383" t="str">
            <v>t CO2-ækvivalenter</v>
          </cell>
          <cell r="H383">
            <v>10.661694367485461</v>
          </cell>
          <cell r="I383">
            <v>10.661694367485461</v>
          </cell>
          <cell r="J383">
            <v>10.661694367485461</v>
          </cell>
        </row>
        <row r="384">
          <cell r="A384" t="str">
            <v>Juletræsmark</v>
          </cell>
          <cell r="B384" t="str">
            <v>Økologisk</v>
          </cell>
          <cell r="C384" t="str">
            <v>OC12</v>
          </cell>
          <cell r="D384" t="str">
            <v>Areal-juletræer</v>
          </cell>
          <cell r="E384" t="str">
            <v>Hektar</v>
          </cell>
          <cell r="F384" t="str">
            <v>Juletræer</v>
          </cell>
          <cell r="G384" t="str">
            <v>Ton</v>
          </cell>
          <cell r="H384">
            <v>39.9</v>
          </cell>
          <cell r="I384">
            <v>39.9</v>
          </cell>
          <cell r="J384">
            <v>39.9</v>
          </cell>
        </row>
        <row r="385">
          <cell r="A385" t="str">
            <v>Juletræsmark</v>
          </cell>
          <cell r="B385" t="str">
            <v>Økologisk</v>
          </cell>
          <cell r="C385" t="str">
            <v>OC12</v>
          </cell>
          <cell r="D385" t="str">
            <v>Areal-juletræer</v>
          </cell>
          <cell r="E385" t="str">
            <v>Hektar</v>
          </cell>
          <cell r="F385" t="str">
            <v>Gødning</v>
          </cell>
          <cell r="G385" t="str">
            <v>kg N</v>
          </cell>
          <cell r="H385">
            <v>-51.3</v>
          </cell>
          <cell r="I385">
            <v>-51.3</v>
          </cell>
          <cell r="J385">
            <v>-51.3</v>
          </cell>
        </row>
        <row r="386">
          <cell r="A386" t="str">
            <v>Juletræsmark</v>
          </cell>
          <cell r="B386" t="str">
            <v>Økologisk</v>
          </cell>
          <cell r="C386" t="str">
            <v>OC12</v>
          </cell>
          <cell r="D386" t="str">
            <v>Areal-juletræer</v>
          </cell>
          <cell r="E386" t="str">
            <v>Hektar</v>
          </cell>
          <cell r="F386" t="str">
            <v>CO2 - atmosfære</v>
          </cell>
          <cell r="G386" t="str">
            <v>t CO2-ækvivalenter</v>
          </cell>
          <cell r="H386">
            <v>28.501694367485467</v>
          </cell>
          <cell r="I386">
            <v>28.501694367485467</v>
          </cell>
          <cell r="J386">
            <v>28.501694367485467</v>
          </cell>
        </row>
        <row r="387">
          <cell r="A387" t="str">
            <v>Pil- og poppeldyrkning</v>
          </cell>
          <cell r="B387" t="str">
            <v>Konventionel</v>
          </cell>
          <cell r="C387" t="str">
            <v>JB1-10</v>
          </cell>
          <cell r="D387" t="str">
            <v>Areal-pil-poppel</v>
          </cell>
          <cell r="E387" t="str">
            <v>Hektar</v>
          </cell>
          <cell r="F387" t="str">
            <v>Pil &amp; poppel</v>
          </cell>
          <cell r="G387" t="str">
            <v>Ton</v>
          </cell>
          <cell r="H387">
            <v>24.390243902439025</v>
          </cell>
          <cell r="I387">
            <v>24.390243902439025</v>
          </cell>
          <cell r="J387">
            <v>24.390243902439025</v>
          </cell>
        </row>
        <row r="388">
          <cell r="A388" t="str">
            <v>Pil- og poppeldyrkning</v>
          </cell>
          <cell r="B388" t="str">
            <v>Konventionel</v>
          </cell>
          <cell r="C388" t="str">
            <v>JB1-10</v>
          </cell>
          <cell r="D388" t="str">
            <v>Areal-pil-poppel</v>
          </cell>
          <cell r="E388" t="str">
            <v>Hektar</v>
          </cell>
          <cell r="F388" t="str">
            <v>Gødning</v>
          </cell>
          <cell r="G388" t="str">
            <v>kg N</v>
          </cell>
          <cell r="H388">
            <v>-120</v>
          </cell>
          <cell r="I388">
            <v>-120</v>
          </cell>
          <cell r="J388">
            <v>-120</v>
          </cell>
        </row>
        <row r="389">
          <cell r="A389" t="str">
            <v>Pil- og poppeldyrkning</v>
          </cell>
          <cell r="B389" t="str">
            <v>Konventionel</v>
          </cell>
          <cell r="C389" t="str">
            <v>JB1-10</v>
          </cell>
          <cell r="D389" t="str">
            <v>Areal-pil-poppel</v>
          </cell>
          <cell r="E389" t="str">
            <v>Hektar</v>
          </cell>
          <cell r="F389" t="str">
            <v>CO2 - atmosfære</v>
          </cell>
          <cell r="G389" t="str">
            <v>t CO2-ækvivalenter</v>
          </cell>
          <cell r="H389">
            <v>1.9656943674854606</v>
          </cell>
          <cell r="I389">
            <v>1.9656943674854606</v>
          </cell>
          <cell r="J389">
            <v>1.9656943674854606</v>
          </cell>
        </row>
        <row r="390">
          <cell r="A390" t="str">
            <v>Pil- og poppeldyrkning</v>
          </cell>
          <cell r="B390" t="str">
            <v>Konventionel</v>
          </cell>
          <cell r="C390" t="str">
            <v>OC6</v>
          </cell>
          <cell r="D390" t="str">
            <v>Areal-pil-poppel</v>
          </cell>
          <cell r="E390" t="str">
            <v>Hektar</v>
          </cell>
          <cell r="F390" t="str">
            <v>Pil &amp; poppel</v>
          </cell>
          <cell r="G390" t="str">
            <v>Ton</v>
          </cell>
          <cell r="H390">
            <v>29.268292682926827</v>
          </cell>
          <cell r="I390">
            <v>29.268292682926827</v>
          </cell>
          <cell r="J390">
            <v>29.268292682926827</v>
          </cell>
        </row>
        <row r="391">
          <cell r="A391" t="str">
            <v>Pil- og poppeldyrkning</v>
          </cell>
          <cell r="B391" t="str">
            <v>Konventionel</v>
          </cell>
          <cell r="C391" t="str">
            <v>OC6</v>
          </cell>
          <cell r="D391" t="str">
            <v>Areal-pil-poppel</v>
          </cell>
          <cell r="E391" t="str">
            <v>Hektar</v>
          </cell>
          <cell r="F391" t="str">
            <v>Gødning</v>
          </cell>
          <cell r="G391" t="str">
            <v>kg N</v>
          </cell>
          <cell r="H391">
            <v>-120</v>
          </cell>
          <cell r="I391">
            <v>-120</v>
          </cell>
          <cell r="J391">
            <v>-120</v>
          </cell>
        </row>
        <row r="392">
          <cell r="A392" t="str">
            <v>Pil- og poppeldyrkning</v>
          </cell>
          <cell r="B392" t="str">
            <v>Konventionel</v>
          </cell>
          <cell r="C392" t="str">
            <v>OC6</v>
          </cell>
          <cell r="D392" t="str">
            <v>Areal-pil-poppel</v>
          </cell>
          <cell r="E392" t="str">
            <v>Hektar</v>
          </cell>
          <cell r="F392" t="str">
            <v>CO2 - atmosfære</v>
          </cell>
          <cell r="G392" t="str">
            <v>t CO2-ækvivalenter</v>
          </cell>
          <cell r="H392">
            <v>10.661694367485461</v>
          </cell>
          <cell r="I392">
            <v>10.661694367485461</v>
          </cell>
          <cell r="J392">
            <v>10.661694367485461</v>
          </cell>
        </row>
        <row r="393">
          <cell r="A393" t="str">
            <v>Pil- og poppeldyrkning</v>
          </cell>
          <cell r="B393" t="str">
            <v>Konventionel</v>
          </cell>
          <cell r="C393" t="str">
            <v>OC12</v>
          </cell>
          <cell r="D393" t="str">
            <v>Areal-pil-poppel</v>
          </cell>
          <cell r="E393" t="str">
            <v>Hektar</v>
          </cell>
          <cell r="F393" t="str">
            <v>Pil &amp; poppel</v>
          </cell>
          <cell r="G393" t="str">
            <v>Ton</v>
          </cell>
          <cell r="H393">
            <v>34.146341463414629</v>
          </cell>
          <cell r="I393">
            <v>34.146341463414629</v>
          </cell>
          <cell r="J393">
            <v>34.146341463414629</v>
          </cell>
        </row>
        <row r="394">
          <cell r="A394" t="str">
            <v>Pil- og poppeldyrkning</v>
          </cell>
          <cell r="B394" t="str">
            <v>Konventionel</v>
          </cell>
          <cell r="C394" t="str">
            <v>OC12</v>
          </cell>
          <cell r="D394" t="str">
            <v>Areal-pil-poppel</v>
          </cell>
          <cell r="E394" t="str">
            <v>Hektar</v>
          </cell>
          <cell r="F394" t="str">
            <v>Gødning</v>
          </cell>
          <cell r="G394" t="str">
            <v>kg N</v>
          </cell>
          <cell r="H394">
            <v>-120</v>
          </cell>
          <cell r="I394">
            <v>-120</v>
          </cell>
          <cell r="J394">
            <v>-120</v>
          </cell>
        </row>
        <row r="395">
          <cell r="A395" t="str">
            <v>Pil- og poppeldyrkning</v>
          </cell>
          <cell r="B395" t="str">
            <v>Konventionel</v>
          </cell>
          <cell r="C395" t="str">
            <v>OC12</v>
          </cell>
          <cell r="D395" t="str">
            <v>Areal-pil-poppel</v>
          </cell>
          <cell r="E395" t="str">
            <v>Hektar</v>
          </cell>
          <cell r="F395" t="str">
            <v>CO2 - atmosfære</v>
          </cell>
          <cell r="G395" t="str">
            <v>t CO2-ækvivalenter</v>
          </cell>
          <cell r="H395">
            <v>28.501694367485467</v>
          </cell>
          <cell r="I395">
            <v>28.501694367485467</v>
          </cell>
          <cell r="J395">
            <v>28.501694367485467</v>
          </cell>
        </row>
        <row r="396">
          <cell r="A396" t="str">
            <v>Pil- og poppeldyrkning</v>
          </cell>
          <cell r="B396" t="str">
            <v>Økologisk</v>
          </cell>
          <cell r="C396" t="str">
            <v>JB1-10</v>
          </cell>
          <cell r="D396" t="str">
            <v>Areal-pil-poppel</v>
          </cell>
          <cell r="E396" t="str">
            <v>Hektar</v>
          </cell>
          <cell r="F396" t="str">
            <v>Pil &amp; poppel</v>
          </cell>
          <cell r="G396" t="str">
            <v>Ton</v>
          </cell>
          <cell r="H396">
            <v>13.902439024390242</v>
          </cell>
          <cell r="I396">
            <v>13.902439024390242</v>
          </cell>
          <cell r="J396">
            <v>13.902439024390242</v>
          </cell>
        </row>
        <row r="397">
          <cell r="A397" t="str">
            <v>Pil- og poppeldyrkning</v>
          </cell>
          <cell r="B397" t="str">
            <v>Økologisk</v>
          </cell>
          <cell r="C397" t="str">
            <v>JB1-10</v>
          </cell>
          <cell r="D397" t="str">
            <v>Areal-pil-poppel</v>
          </cell>
          <cell r="E397" t="str">
            <v>Hektar</v>
          </cell>
          <cell r="F397" t="str">
            <v>Gødning</v>
          </cell>
          <cell r="G397" t="str">
            <v>kg N</v>
          </cell>
          <cell r="H397">
            <v>-68.399999999999991</v>
          </cell>
          <cell r="I397">
            <v>-68.399999999999991</v>
          </cell>
          <cell r="J397">
            <v>-68.399999999999991</v>
          </cell>
        </row>
        <row r="398">
          <cell r="A398" t="str">
            <v>Pil- og poppeldyrkning</v>
          </cell>
          <cell r="B398" t="str">
            <v>Økologisk</v>
          </cell>
          <cell r="C398" t="str">
            <v>JB1-10</v>
          </cell>
          <cell r="D398" t="str">
            <v>Areal-pil-poppel</v>
          </cell>
          <cell r="E398" t="str">
            <v>Hektar</v>
          </cell>
          <cell r="F398" t="str">
            <v>CO2 - atmosfære</v>
          </cell>
          <cell r="G398" t="str">
            <v>t CO2-ækvivalenter</v>
          </cell>
          <cell r="H398">
            <v>1.9656943674854606</v>
          </cell>
          <cell r="I398">
            <v>1.9656943674854606</v>
          </cell>
          <cell r="J398">
            <v>1.9656943674854606</v>
          </cell>
        </row>
        <row r="399">
          <cell r="A399" t="str">
            <v>Pil- og poppeldyrkning</v>
          </cell>
          <cell r="B399" t="str">
            <v>Økologisk</v>
          </cell>
          <cell r="C399" t="str">
            <v>OC6</v>
          </cell>
          <cell r="D399" t="str">
            <v>Areal-pil-poppel</v>
          </cell>
          <cell r="E399" t="str">
            <v>Hektar</v>
          </cell>
          <cell r="F399" t="str">
            <v>Pil &amp; poppel</v>
          </cell>
          <cell r="G399" t="str">
            <v>Ton</v>
          </cell>
          <cell r="H399">
            <v>16.68292682926829</v>
          </cell>
          <cell r="I399">
            <v>16.68292682926829</v>
          </cell>
          <cell r="J399">
            <v>16.68292682926829</v>
          </cell>
        </row>
        <row r="400">
          <cell r="A400" t="str">
            <v>Pil- og poppeldyrkning</v>
          </cell>
          <cell r="B400" t="str">
            <v>Økologisk</v>
          </cell>
          <cell r="C400" t="str">
            <v>OC6</v>
          </cell>
          <cell r="D400" t="str">
            <v>Areal-pil-poppel</v>
          </cell>
          <cell r="E400" t="str">
            <v>Hektar</v>
          </cell>
          <cell r="F400" t="str">
            <v>Gødning</v>
          </cell>
          <cell r="G400" t="str">
            <v>kg N</v>
          </cell>
          <cell r="H400">
            <v>-68.399999999999991</v>
          </cell>
          <cell r="I400">
            <v>-68.399999999999991</v>
          </cell>
          <cell r="J400">
            <v>-68.399999999999991</v>
          </cell>
        </row>
        <row r="401">
          <cell r="A401" t="str">
            <v>Pil- og poppeldyrkning</v>
          </cell>
          <cell r="B401" t="str">
            <v>Økologisk</v>
          </cell>
          <cell r="C401" t="str">
            <v>OC6</v>
          </cell>
          <cell r="D401" t="str">
            <v>Areal-pil-poppel</v>
          </cell>
          <cell r="E401" t="str">
            <v>Hektar</v>
          </cell>
          <cell r="F401" t="str">
            <v>CO2 - atmosfære</v>
          </cell>
          <cell r="G401" t="str">
            <v>t CO2-ækvivalenter</v>
          </cell>
          <cell r="H401">
            <v>10.661694367485461</v>
          </cell>
          <cell r="I401">
            <v>10.661694367485461</v>
          </cell>
          <cell r="J401">
            <v>10.661694367485461</v>
          </cell>
        </row>
        <row r="402">
          <cell r="A402" t="str">
            <v>Pil- og poppeldyrkning</v>
          </cell>
          <cell r="B402" t="str">
            <v>Økologisk</v>
          </cell>
          <cell r="C402" t="str">
            <v>OC12</v>
          </cell>
          <cell r="D402" t="str">
            <v>Areal-pil-poppel</v>
          </cell>
          <cell r="E402" t="str">
            <v>Hektar</v>
          </cell>
          <cell r="F402" t="str">
            <v>Pil &amp; poppel</v>
          </cell>
          <cell r="G402" t="str">
            <v>Ton</v>
          </cell>
          <cell r="H402">
            <v>19.463414634146336</v>
          </cell>
          <cell r="I402">
            <v>19.463414634146336</v>
          </cell>
          <cell r="J402">
            <v>19.463414634146336</v>
          </cell>
        </row>
        <row r="403">
          <cell r="A403" t="str">
            <v>Pil- og poppeldyrkning</v>
          </cell>
          <cell r="B403" t="str">
            <v>Økologisk</v>
          </cell>
          <cell r="C403" t="str">
            <v>OC12</v>
          </cell>
          <cell r="D403" t="str">
            <v>Areal-pil-poppel</v>
          </cell>
          <cell r="E403" t="str">
            <v>Hektar</v>
          </cell>
          <cell r="F403" t="str">
            <v>Gødning</v>
          </cell>
          <cell r="G403" t="str">
            <v>kg N</v>
          </cell>
          <cell r="H403">
            <v>-68.399999999999991</v>
          </cell>
          <cell r="I403">
            <v>-68.399999999999991</v>
          </cell>
          <cell r="J403">
            <v>-68.399999999999991</v>
          </cell>
        </row>
        <row r="404">
          <cell r="A404" t="str">
            <v>Pil- og poppeldyrkning</v>
          </cell>
          <cell r="B404" t="str">
            <v>Økologisk</v>
          </cell>
          <cell r="C404" t="str">
            <v>OC12</v>
          </cell>
          <cell r="D404" t="str">
            <v>Areal-pil-poppel</v>
          </cell>
          <cell r="E404" t="str">
            <v>Hektar</v>
          </cell>
          <cell r="F404" t="str">
            <v>CO2 - atmosfære</v>
          </cell>
          <cell r="G404" t="str">
            <v>t CO2-ækvivalenter</v>
          </cell>
          <cell r="H404">
            <v>28.501694367485467</v>
          </cell>
          <cell r="I404">
            <v>28.501694367485467</v>
          </cell>
          <cell r="J404">
            <v>28.501694367485467</v>
          </cell>
        </row>
        <row r="405">
          <cell r="A405" t="str">
            <v>Permanent græs</v>
          </cell>
          <cell r="B405" t="str">
            <v>Konventionel</v>
          </cell>
          <cell r="C405" t="str">
            <v>JB1-10</v>
          </cell>
          <cell r="D405" t="str">
            <v>Areal-permanent græs</v>
          </cell>
          <cell r="E405" t="str">
            <v>Hektar</v>
          </cell>
          <cell r="F405" t="str">
            <v>Græs</v>
          </cell>
          <cell r="G405" t="str">
            <v>Ton</v>
          </cell>
          <cell r="H405">
            <v>13.790000000000001</v>
          </cell>
          <cell r="I405">
            <v>13.790000000000001</v>
          </cell>
          <cell r="J405">
            <v>13.790000000000001</v>
          </cell>
        </row>
        <row r="406">
          <cell r="A406" t="str">
            <v>Permanent græs</v>
          </cell>
          <cell r="B406" t="str">
            <v>Konventionel</v>
          </cell>
          <cell r="C406" t="str">
            <v>JB1-10</v>
          </cell>
          <cell r="D406" t="str">
            <v>Areal-permanent græs</v>
          </cell>
          <cell r="E406" t="str">
            <v>Hektar</v>
          </cell>
          <cell r="F406" t="str">
            <v>Gødning</v>
          </cell>
          <cell r="G406" t="str">
            <v>kg N</v>
          </cell>
          <cell r="H406">
            <v>-50</v>
          </cell>
          <cell r="I406">
            <v>-50</v>
          </cell>
          <cell r="J406">
            <v>-50</v>
          </cell>
        </row>
        <row r="407">
          <cell r="A407" t="str">
            <v>Permanent græs</v>
          </cell>
          <cell r="B407" t="str">
            <v>Konventionel</v>
          </cell>
          <cell r="C407" t="str">
            <v>JB1-10</v>
          </cell>
          <cell r="D407" t="str">
            <v>Areal-permanent græs</v>
          </cell>
          <cell r="E407" t="str">
            <v>Hektar</v>
          </cell>
          <cell r="F407" t="str">
            <v>CO2 - atmosfære</v>
          </cell>
          <cell r="G407" t="str">
            <v>t CO2-ækvivalenter</v>
          </cell>
          <cell r="H407">
            <v>1.9656943674854606</v>
          </cell>
          <cell r="I407">
            <v>1.9656943674854606</v>
          </cell>
          <cell r="J407">
            <v>1.9656943674854606</v>
          </cell>
        </row>
        <row r="408">
          <cell r="A408" t="str">
            <v>Permanent græs</v>
          </cell>
          <cell r="B408" t="str">
            <v>Konventionel</v>
          </cell>
          <cell r="C408" t="str">
            <v>OC6</v>
          </cell>
          <cell r="D408" t="str">
            <v>Areal-permanent græs</v>
          </cell>
          <cell r="E408" t="str">
            <v>Hektar</v>
          </cell>
          <cell r="F408" t="str">
            <v>Græs</v>
          </cell>
          <cell r="G408" t="str">
            <v>Ton</v>
          </cell>
          <cell r="H408">
            <v>16.548000000000002</v>
          </cell>
          <cell r="I408">
            <v>16.548000000000002</v>
          </cell>
          <cell r="J408">
            <v>16.548000000000002</v>
          </cell>
        </row>
        <row r="409">
          <cell r="A409" t="str">
            <v>Permanent græs</v>
          </cell>
          <cell r="B409" t="str">
            <v>Konventionel</v>
          </cell>
          <cell r="C409" t="str">
            <v>OC6</v>
          </cell>
          <cell r="D409" t="str">
            <v>Areal-permanent græs</v>
          </cell>
          <cell r="E409" t="str">
            <v>Hektar</v>
          </cell>
          <cell r="F409" t="str">
            <v>Gødning</v>
          </cell>
          <cell r="G409" t="str">
            <v>kg N</v>
          </cell>
          <cell r="H409">
            <v>-50</v>
          </cell>
          <cell r="I409">
            <v>-50</v>
          </cell>
          <cell r="J409">
            <v>-50</v>
          </cell>
        </row>
        <row r="410">
          <cell r="A410" t="str">
            <v>Permanent græs</v>
          </cell>
          <cell r="B410" t="str">
            <v>Konventionel</v>
          </cell>
          <cell r="C410" t="str">
            <v>OC6</v>
          </cell>
          <cell r="D410" t="str">
            <v>Areal-permanent græs</v>
          </cell>
          <cell r="E410" t="str">
            <v>Hektar</v>
          </cell>
          <cell r="F410" t="str">
            <v>CO2 - atmosfære</v>
          </cell>
          <cell r="G410" t="str">
            <v>t CO2-ækvivalenter</v>
          </cell>
          <cell r="H410">
            <v>10.661694367485461</v>
          </cell>
          <cell r="I410">
            <v>10.661694367485461</v>
          </cell>
          <cell r="J410">
            <v>10.661694367485461</v>
          </cell>
        </row>
        <row r="411">
          <cell r="A411" t="str">
            <v>Permanent græs</v>
          </cell>
          <cell r="B411" t="str">
            <v>Konventionel</v>
          </cell>
          <cell r="C411" t="str">
            <v>OC12</v>
          </cell>
          <cell r="D411" t="str">
            <v>Areal-permanent græs</v>
          </cell>
          <cell r="E411" t="str">
            <v>Hektar</v>
          </cell>
          <cell r="F411" t="str">
            <v>Græs</v>
          </cell>
          <cell r="G411" t="str">
            <v>Ton</v>
          </cell>
          <cell r="H411">
            <v>19.306000000000001</v>
          </cell>
          <cell r="I411">
            <v>19.306000000000001</v>
          </cell>
          <cell r="J411">
            <v>19.306000000000001</v>
          </cell>
        </row>
        <row r="412">
          <cell r="A412" t="str">
            <v>Permanent græs</v>
          </cell>
          <cell r="B412" t="str">
            <v>Konventionel</v>
          </cell>
          <cell r="C412" t="str">
            <v>OC12</v>
          </cell>
          <cell r="D412" t="str">
            <v>Areal-permanent græs</v>
          </cell>
          <cell r="E412" t="str">
            <v>Hektar</v>
          </cell>
          <cell r="F412" t="str">
            <v>Gødning</v>
          </cell>
          <cell r="G412" t="str">
            <v>kg N</v>
          </cell>
          <cell r="H412">
            <v>-50</v>
          </cell>
          <cell r="I412">
            <v>-50</v>
          </cell>
          <cell r="J412">
            <v>-50</v>
          </cell>
        </row>
        <row r="413">
          <cell r="A413" t="str">
            <v>Permanent græs</v>
          </cell>
          <cell r="B413" t="str">
            <v>Konventionel</v>
          </cell>
          <cell r="C413" t="str">
            <v>OC12</v>
          </cell>
          <cell r="D413" t="str">
            <v>Areal-permanent græs</v>
          </cell>
          <cell r="E413" t="str">
            <v>Hektar</v>
          </cell>
          <cell r="F413" t="str">
            <v>CO2 - atmosfære</v>
          </cell>
          <cell r="G413" t="str">
            <v>t CO2-ækvivalenter</v>
          </cell>
          <cell r="H413">
            <v>28.501694367485467</v>
          </cell>
          <cell r="I413">
            <v>28.501694367485467</v>
          </cell>
          <cell r="J413">
            <v>28.501694367485467</v>
          </cell>
        </row>
        <row r="414">
          <cell r="A414" t="str">
            <v>Permanent græs</v>
          </cell>
          <cell r="B414" t="str">
            <v>Økologisk</v>
          </cell>
          <cell r="C414" t="str">
            <v>JB1-10</v>
          </cell>
          <cell r="D414" t="str">
            <v>Areal-permanent græs</v>
          </cell>
          <cell r="E414" t="str">
            <v>Hektar</v>
          </cell>
          <cell r="F414" t="str">
            <v>Græs</v>
          </cell>
          <cell r="G414" t="str">
            <v>Ton</v>
          </cell>
          <cell r="H414">
            <v>13.790000000000001</v>
          </cell>
          <cell r="I414">
            <v>13.790000000000001</v>
          </cell>
          <cell r="J414">
            <v>13.790000000000001</v>
          </cell>
        </row>
        <row r="415">
          <cell r="A415" t="str">
            <v>Permanent græs</v>
          </cell>
          <cell r="B415" t="str">
            <v>Økologisk</v>
          </cell>
          <cell r="C415" t="str">
            <v>JB1-10</v>
          </cell>
          <cell r="D415" t="str">
            <v>Areal-permanent græs</v>
          </cell>
          <cell r="E415" t="str">
            <v>Hektar</v>
          </cell>
          <cell r="F415" t="str">
            <v>Gødning</v>
          </cell>
          <cell r="G415" t="str">
            <v>kg N</v>
          </cell>
          <cell r="H415">
            <v>-50</v>
          </cell>
          <cell r="I415">
            <v>-50</v>
          </cell>
          <cell r="J415">
            <v>-50</v>
          </cell>
        </row>
        <row r="416">
          <cell r="A416" t="str">
            <v>Permanent græs</v>
          </cell>
          <cell r="B416" t="str">
            <v>Økologisk</v>
          </cell>
          <cell r="C416" t="str">
            <v>JB1-10</v>
          </cell>
          <cell r="D416" t="str">
            <v>Areal-permanent græs</v>
          </cell>
          <cell r="E416" t="str">
            <v>Hektar</v>
          </cell>
          <cell r="F416" t="str">
            <v>CO2 - atmosfære</v>
          </cell>
          <cell r="G416" t="str">
            <v>t CO2-ækvivalenter</v>
          </cell>
          <cell r="H416">
            <v>1.9656943674854606</v>
          </cell>
          <cell r="I416">
            <v>1.9656943674854606</v>
          </cell>
          <cell r="J416">
            <v>1.9656943674854606</v>
          </cell>
        </row>
        <row r="417">
          <cell r="A417" t="str">
            <v>Permanent græs</v>
          </cell>
          <cell r="B417" t="str">
            <v>Økologisk</v>
          </cell>
          <cell r="C417" t="str">
            <v>OC6</v>
          </cell>
          <cell r="D417" t="str">
            <v>Areal-permanent græs</v>
          </cell>
          <cell r="E417" t="str">
            <v>Hektar</v>
          </cell>
          <cell r="F417" t="str">
            <v>Græs</v>
          </cell>
          <cell r="G417" t="str">
            <v>Ton</v>
          </cell>
          <cell r="H417">
            <v>16.548000000000002</v>
          </cell>
          <cell r="I417">
            <v>16.548000000000002</v>
          </cell>
          <cell r="J417">
            <v>16.548000000000002</v>
          </cell>
        </row>
        <row r="418">
          <cell r="A418" t="str">
            <v>Permanent græs</v>
          </cell>
          <cell r="B418" t="str">
            <v>Økologisk</v>
          </cell>
          <cell r="C418" t="str">
            <v>OC6</v>
          </cell>
          <cell r="D418" t="str">
            <v>Areal-permanent græs</v>
          </cell>
          <cell r="E418" t="str">
            <v>Hektar</v>
          </cell>
          <cell r="F418" t="str">
            <v>Gødning</v>
          </cell>
          <cell r="G418" t="str">
            <v>kg N</v>
          </cell>
          <cell r="H418">
            <v>-50</v>
          </cell>
          <cell r="I418">
            <v>-50</v>
          </cell>
          <cell r="J418">
            <v>-50</v>
          </cell>
        </row>
        <row r="419">
          <cell r="A419" t="str">
            <v>Permanent græs</v>
          </cell>
          <cell r="B419" t="str">
            <v>Økologisk</v>
          </cell>
          <cell r="C419" t="str">
            <v>OC6</v>
          </cell>
          <cell r="D419" t="str">
            <v>Areal-permanent græs</v>
          </cell>
          <cell r="E419" t="str">
            <v>Hektar</v>
          </cell>
          <cell r="F419" t="str">
            <v>CO2 - atmosfære</v>
          </cell>
          <cell r="G419" t="str">
            <v>t CO2-ækvivalenter</v>
          </cell>
          <cell r="H419">
            <v>10.661694367485461</v>
          </cell>
          <cell r="I419">
            <v>10.661694367485461</v>
          </cell>
          <cell r="J419">
            <v>10.661694367485461</v>
          </cell>
        </row>
        <row r="420">
          <cell r="A420" t="str">
            <v>Permanent græs</v>
          </cell>
          <cell r="B420" t="str">
            <v>Økologisk</v>
          </cell>
          <cell r="C420" t="str">
            <v>OC12</v>
          </cell>
          <cell r="D420" t="str">
            <v>Areal-permanent græs</v>
          </cell>
          <cell r="E420" t="str">
            <v>Hektar</v>
          </cell>
          <cell r="F420" t="str">
            <v>Græs</v>
          </cell>
          <cell r="G420" t="str">
            <v>Ton</v>
          </cell>
          <cell r="H420">
            <v>19.306000000000001</v>
          </cell>
          <cell r="I420">
            <v>19.306000000000001</v>
          </cell>
          <cell r="J420">
            <v>19.306000000000001</v>
          </cell>
        </row>
        <row r="421">
          <cell r="A421" t="str">
            <v>Permanent græs</v>
          </cell>
          <cell r="B421" t="str">
            <v>Økologisk</v>
          </cell>
          <cell r="C421" t="str">
            <v>OC12</v>
          </cell>
          <cell r="D421" t="str">
            <v>Areal-permanent græs</v>
          </cell>
          <cell r="E421" t="str">
            <v>Hektar</v>
          </cell>
          <cell r="F421" t="str">
            <v>Gødning</v>
          </cell>
          <cell r="G421" t="str">
            <v>kg N</v>
          </cell>
          <cell r="H421">
            <v>-50</v>
          </cell>
          <cell r="I421">
            <v>-50</v>
          </cell>
          <cell r="J421">
            <v>-50</v>
          </cell>
        </row>
        <row r="422">
          <cell r="A422" t="str">
            <v>Permanent græs</v>
          </cell>
          <cell r="B422" t="str">
            <v>Økologisk</v>
          </cell>
          <cell r="C422" t="str">
            <v>OC12</v>
          </cell>
          <cell r="D422" t="str">
            <v>Areal-permanent græs</v>
          </cell>
          <cell r="E422" t="str">
            <v>Hektar</v>
          </cell>
          <cell r="F422" t="str">
            <v>CO2 - atmosfære</v>
          </cell>
          <cell r="G422" t="str">
            <v>t CO2-ækvivalenter</v>
          </cell>
          <cell r="H422">
            <v>28.501694367485467</v>
          </cell>
          <cell r="I422">
            <v>28.501694367485467</v>
          </cell>
          <cell r="J422">
            <v>28.501694367485467</v>
          </cell>
        </row>
        <row r="423">
          <cell r="A423" t="str">
            <v>Tømmerproduktion</v>
          </cell>
          <cell r="D423" t="str">
            <v>Træer</v>
          </cell>
          <cell r="E423" t="str">
            <v>m3</v>
          </cell>
          <cell r="F423" t="str">
            <v>Træmaterialer</v>
          </cell>
          <cell r="G423" t="str">
            <v>m3</v>
          </cell>
          <cell r="H423">
            <v>0.48</v>
          </cell>
          <cell r="I423">
            <v>0.48</v>
          </cell>
          <cell r="J423">
            <v>0.48</v>
          </cell>
        </row>
        <row r="424">
          <cell r="A424" t="str">
            <v>Tømmerproduktion</v>
          </cell>
          <cell r="D424" t="str">
            <v>Træer</v>
          </cell>
          <cell r="E424" t="str">
            <v>m3</v>
          </cell>
          <cell r="F424" t="str">
            <v>Træ til energi</v>
          </cell>
          <cell r="G424" t="str">
            <v>m3</v>
          </cell>
          <cell r="H424">
            <v>0.52</v>
          </cell>
          <cell r="I424">
            <v>0.52</v>
          </cell>
          <cell r="J424">
            <v>0.52</v>
          </cell>
        </row>
        <row r="425">
          <cell r="A425" t="str">
            <v>Tømmerproduktion</v>
          </cell>
          <cell r="D425" t="str">
            <v>CO2 - HWP</v>
          </cell>
          <cell r="E425" t="str">
            <v>t CO2-ækvivalenter</v>
          </cell>
          <cell r="F425" t="str">
            <v>CO2 - atmosfære</v>
          </cell>
          <cell r="G425" t="str">
            <v>t CO2-ækvivalenter</v>
          </cell>
          <cell r="H425">
            <v>0.48</v>
          </cell>
          <cell r="I425">
            <v>0.48</v>
          </cell>
          <cell r="J425">
            <v>0.48</v>
          </cell>
        </row>
        <row r="426">
          <cell r="A426" t="str">
            <v>Mejeri</v>
          </cell>
          <cell r="D426" t="str">
            <v>Råmælk</v>
          </cell>
          <cell r="E426" t="str">
            <v>Ton</v>
          </cell>
          <cell r="F426" t="str">
            <v>Mejeriprodukter</v>
          </cell>
          <cell r="G426" t="str">
            <v>Ton</v>
          </cell>
          <cell r="H426">
            <v>0.64217654203833741</v>
          </cell>
          <cell r="I426">
            <v>0.64217654203833741</v>
          </cell>
          <cell r="J426">
            <v>0.64217654203833741</v>
          </cell>
        </row>
        <row r="427">
          <cell r="A427" t="str">
            <v>Mejeri</v>
          </cell>
          <cell r="D427" t="str">
            <v>Råmælk</v>
          </cell>
          <cell r="E427" t="str">
            <v>Ton</v>
          </cell>
          <cell r="F427" t="str">
            <v>Spildevandsslam</v>
          </cell>
          <cell r="G427" t="str">
            <v>Ton</v>
          </cell>
          <cell r="H427">
            <v>2.5000000000000001E-2</v>
          </cell>
          <cell r="I427">
            <v>2.5000000000000001E-2</v>
          </cell>
          <cell r="J427">
            <v>2.5000000000000001E-2</v>
          </cell>
        </row>
        <row r="428">
          <cell r="A428" t="str">
            <v>Mejeri</v>
          </cell>
          <cell r="D428" t="str">
            <v>Råmælk</v>
          </cell>
          <cell r="E428" t="str">
            <v>Ton</v>
          </cell>
          <cell r="F428" t="str">
            <v>Industriaffald</v>
          </cell>
          <cell r="G428" t="str">
            <v>Ton</v>
          </cell>
          <cell r="H428">
            <v>3.2850000000000002E-3</v>
          </cell>
          <cell r="I428">
            <v>3.2850000000000002E-3</v>
          </cell>
          <cell r="J428">
            <v>3.2850000000000002E-3</v>
          </cell>
        </row>
        <row r="429">
          <cell r="A429" t="str">
            <v>Mejeri</v>
          </cell>
          <cell r="D429" t="str">
            <v>Råmælk</v>
          </cell>
          <cell r="E429" t="str">
            <v>Ton</v>
          </cell>
          <cell r="F429" t="str">
            <v>Mælk til foder</v>
          </cell>
          <cell r="G429" t="str">
            <v>Ton</v>
          </cell>
          <cell r="H429">
            <v>0.33282345796166263</v>
          </cell>
          <cell r="I429">
            <v>0.33282345796166263</v>
          </cell>
          <cell r="J429">
            <v>0.33282345796166263</v>
          </cell>
        </row>
        <row r="430">
          <cell r="A430" t="str">
            <v>Slagteri</v>
          </cell>
          <cell r="D430" t="str">
            <v>Slagtesvin</v>
          </cell>
          <cell r="E430" t="str">
            <v>Antal</v>
          </cell>
          <cell r="F430" t="str">
            <v>Svinekød</v>
          </cell>
          <cell r="G430" t="str">
            <v>Ton</v>
          </cell>
          <cell r="H430">
            <v>9.6453475702767494E-2</v>
          </cell>
          <cell r="I430">
            <v>9.6453475702767494E-2</v>
          </cell>
          <cell r="J430">
            <v>9.6453475702767494E-2</v>
          </cell>
        </row>
        <row r="431">
          <cell r="A431" t="str">
            <v>Slagteri</v>
          </cell>
          <cell r="D431" t="str">
            <v>Slagtesvin</v>
          </cell>
          <cell r="E431" t="str">
            <v>Antal</v>
          </cell>
          <cell r="F431" t="str">
            <v>Industriaffald</v>
          </cell>
          <cell r="G431" t="str">
            <v>Ton</v>
          </cell>
          <cell r="H431">
            <v>1.3691762911309652E-3</v>
          </cell>
          <cell r="I431">
            <v>1.8478971453475702E-3</v>
          </cell>
          <cell r="J431">
            <v>1.8478971453475702E-3</v>
          </cell>
        </row>
        <row r="432">
          <cell r="A432" t="str">
            <v>Slagteri</v>
          </cell>
          <cell r="D432" t="str">
            <v>Slagtesvin</v>
          </cell>
          <cell r="E432" t="str">
            <v>Antal</v>
          </cell>
          <cell r="F432" t="str">
            <v>Slagteriaffald til foder</v>
          </cell>
          <cell r="G432" t="str">
            <v>Ton</v>
          </cell>
          <cell r="H432">
            <v>8.602091959032469E-3</v>
          </cell>
          <cell r="I432">
            <v>8.602091959032469E-3</v>
          </cell>
          <cell r="J432">
            <v>8.602091959032469E-3</v>
          </cell>
        </row>
        <row r="433">
          <cell r="A433" t="str">
            <v>Slagteri</v>
          </cell>
          <cell r="D433" t="str">
            <v>Slagtesvin</v>
          </cell>
          <cell r="E433" t="str">
            <v>Antal</v>
          </cell>
          <cell r="F433" t="str">
            <v>Slagteriaffald til andet</v>
          </cell>
          <cell r="G433" t="str">
            <v>Ton</v>
          </cell>
          <cell r="H433">
            <v>8.4876879494443225E-3</v>
          </cell>
          <cell r="I433">
            <v>8.4876879494443225E-3</v>
          </cell>
          <cell r="J433">
            <v>8.4876879494443225E-3</v>
          </cell>
        </row>
        <row r="434">
          <cell r="A434" t="str">
            <v>Slagteri</v>
          </cell>
          <cell r="D434" t="str">
            <v>Slagtekøer</v>
          </cell>
          <cell r="E434" t="str">
            <v>Antal</v>
          </cell>
          <cell r="F434" t="str">
            <v>Oksekød</v>
          </cell>
          <cell r="G434" t="str">
            <v>Ton</v>
          </cell>
          <cell r="H434">
            <v>0.24929292929292929</v>
          </cell>
          <cell r="I434">
            <v>0.24929292929292929</v>
          </cell>
          <cell r="J434">
            <v>0.24929292929292929</v>
          </cell>
        </row>
        <row r="435">
          <cell r="A435" t="str">
            <v>Slagteri</v>
          </cell>
          <cell r="D435" t="str">
            <v>Slagtekøer</v>
          </cell>
          <cell r="E435" t="str">
            <v>Antal</v>
          </cell>
          <cell r="F435" t="str">
            <v>Industriaffald</v>
          </cell>
          <cell r="G435" t="str">
            <v>Ton</v>
          </cell>
          <cell r="H435">
            <v>0.10777272727272727</v>
          </cell>
          <cell r="I435">
            <v>0.12090909090909092</v>
          </cell>
          <cell r="J435">
            <v>0.12090909090909092</v>
          </cell>
        </row>
        <row r="436">
          <cell r="A436" t="str">
            <v>Slagteri</v>
          </cell>
          <cell r="D436" t="str">
            <v>Slagtekøer</v>
          </cell>
          <cell r="E436" t="str">
            <v>Antal</v>
          </cell>
          <cell r="F436" t="str">
            <v>Slagteriaffald til foder</v>
          </cell>
          <cell r="G436" t="str">
            <v>Ton</v>
          </cell>
          <cell r="H436">
            <v>1.5959595959595962E-2</v>
          </cell>
          <cell r="I436">
            <v>1.5959595959595962E-2</v>
          </cell>
          <cell r="J436">
            <v>1.5959595959595962E-2</v>
          </cell>
        </row>
        <row r="437">
          <cell r="A437" t="str">
            <v>Slagteri</v>
          </cell>
          <cell r="D437" t="str">
            <v>Slagtekøer</v>
          </cell>
          <cell r="E437" t="str">
            <v>Antal</v>
          </cell>
          <cell r="F437" t="str">
            <v>Slagteriaffald til andet</v>
          </cell>
          <cell r="G437" t="str">
            <v>Ton</v>
          </cell>
          <cell r="H437">
            <v>0.16404040404040401</v>
          </cell>
          <cell r="I437">
            <v>0.16404040404040401</v>
          </cell>
          <cell r="J437">
            <v>0.16404040404040401</v>
          </cell>
        </row>
        <row r="438">
          <cell r="A438" t="str">
            <v>Slagteri</v>
          </cell>
          <cell r="D438" t="str">
            <v>Slagtefjerkræ</v>
          </cell>
          <cell r="E438" t="str">
            <v>Antal</v>
          </cell>
          <cell r="F438" t="str">
            <v>Fjerkrækød</v>
          </cell>
          <cell r="G438" t="str">
            <v>Ton</v>
          </cell>
          <cell r="H438">
            <v>1.8872748768472907E-3</v>
          </cell>
          <cell r="I438">
            <v>1.8872748768472907E-3</v>
          </cell>
          <cell r="J438">
            <v>1.8872748768472907E-3</v>
          </cell>
        </row>
        <row r="439">
          <cell r="A439" t="str">
            <v>Slagteri</v>
          </cell>
          <cell r="D439" t="str">
            <v>Slagtefjerkræ</v>
          </cell>
          <cell r="E439" t="str">
            <v>Antal</v>
          </cell>
          <cell r="F439" t="str">
            <v>Industriaffald</v>
          </cell>
          <cell r="G439" t="str">
            <v>Ton</v>
          </cell>
          <cell r="H439">
            <v>5.1578009852216749E-6</v>
          </cell>
          <cell r="I439">
            <v>6.9611822660098529E-6</v>
          </cell>
          <cell r="J439">
            <v>6.9611822660098529E-6</v>
          </cell>
        </row>
        <row r="440">
          <cell r="A440" t="str">
            <v>Foderproduktion</v>
          </cell>
          <cell r="D440" t="str">
            <v>Korn</v>
          </cell>
          <cell r="E440" t="str">
            <v>Ton</v>
          </cell>
          <cell r="F440" t="str">
            <v>Foder</v>
          </cell>
          <cell r="G440" t="str">
            <v>FE</v>
          </cell>
          <cell r="H440">
            <v>899.89334145969838</v>
          </cell>
          <cell r="I440">
            <v>899.89334145969838</v>
          </cell>
          <cell r="J440">
            <v>899.89334145969838</v>
          </cell>
        </row>
        <row r="441">
          <cell r="A441" t="str">
            <v>Foderproduktion</v>
          </cell>
          <cell r="D441" t="str">
            <v>Halm</v>
          </cell>
          <cell r="E441" t="str">
            <v>Ton</v>
          </cell>
          <cell r="F441" t="str">
            <v>Foder</v>
          </cell>
          <cell r="G441" t="str">
            <v>FE</v>
          </cell>
          <cell r="H441">
            <v>190.03476245654693</v>
          </cell>
          <cell r="I441">
            <v>190.03476245654693</v>
          </cell>
          <cell r="J441">
            <v>190.03476245654693</v>
          </cell>
        </row>
        <row r="442">
          <cell r="A442" t="str">
            <v>Foderproduktion</v>
          </cell>
          <cell r="D442" t="str">
            <v>Kartofler</v>
          </cell>
          <cell r="E442" t="str">
            <v>Ton</v>
          </cell>
          <cell r="F442" t="str">
            <v>Foder</v>
          </cell>
          <cell r="G442" t="str">
            <v>FE</v>
          </cell>
          <cell r="H442">
            <v>250</v>
          </cell>
          <cell r="I442">
            <v>250</v>
          </cell>
          <cell r="J442">
            <v>250</v>
          </cell>
        </row>
        <row r="443">
          <cell r="A443" t="str">
            <v>Foderproduktion</v>
          </cell>
          <cell r="D443" t="str">
            <v>Bælgsæd</v>
          </cell>
          <cell r="E443" t="str">
            <v>Ton</v>
          </cell>
          <cell r="F443" t="str">
            <v>Foder</v>
          </cell>
          <cell r="G443" t="str">
            <v>FE</v>
          </cell>
          <cell r="H443">
            <v>1083.3333333333333</v>
          </cell>
          <cell r="I443">
            <v>1083.3333333333333</v>
          </cell>
          <cell r="J443">
            <v>1083.3333333333333</v>
          </cell>
        </row>
        <row r="444">
          <cell r="A444" t="str">
            <v>Foderproduktion</v>
          </cell>
          <cell r="D444" t="str">
            <v>Roer</v>
          </cell>
          <cell r="E444" t="str">
            <v>Ton</v>
          </cell>
          <cell r="F444" t="str">
            <v>Foder</v>
          </cell>
          <cell r="G444" t="str">
            <v>FE</v>
          </cell>
          <cell r="H444">
            <v>152.28966986155484</v>
          </cell>
          <cell r="I444">
            <v>152.28966986155484</v>
          </cell>
          <cell r="J444">
            <v>152.28966986155484</v>
          </cell>
        </row>
        <row r="445">
          <cell r="A445" t="str">
            <v>Foderproduktion</v>
          </cell>
          <cell r="D445" t="str">
            <v>Majs</v>
          </cell>
          <cell r="E445" t="str">
            <v>Ton</v>
          </cell>
          <cell r="F445" t="str">
            <v>Foder</v>
          </cell>
          <cell r="G445" t="str">
            <v>FE</v>
          </cell>
          <cell r="H445">
            <v>264.92478226444973</v>
          </cell>
          <cell r="I445">
            <v>264.92478226444973</v>
          </cell>
          <cell r="J445">
            <v>264.92478226444973</v>
          </cell>
        </row>
        <row r="446">
          <cell r="A446" t="str">
            <v>Foderproduktion</v>
          </cell>
          <cell r="D446" t="str">
            <v>Rapskage</v>
          </cell>
          <cell r="E446" t="str">
            <v>Ton</v>
          </cell>
          <cell r="F446" t="str">
            <v>Foder</v>
          </cell>
          <cell r="G446" t="str">
            <v>FE</v>
          </cell>
          <cell r="H446">
            <v>1008.3682008368201</v>
          </cell>
          <cell r="I446">
            <v>1008.3682008368201</v>
          </cell>
          <cell r="J446">
            <v>1008.3682008368201</v>
          </cell>
        </row>
        <row r="447">
          <cell r="A447" t="str">
            <v>Foderproduktion</v>
          </cell>
          <cell r="D447" t="str">
            <v>Tang</v>
          </cell>
          <cell r="E447" t="str">
            <v>Ton</v>
          </cell>
          <cell r="F447" t="str">
            <v>Foder</v>
          </cell>
          <cell r="G447" t="str">
            <v>FE</v>
          </cell>
          <cell r="H447">
            <v>1360</v>
          </cell>
          <cell r="I447">
            <v>1360</v>
          </cell>
          <cell r="J447">
            <v>1360</v>
          </cell>
        </row>
        <row r="448">
          <cell r="A448" t="str">
            <v>Foderproduktion</v>
          </cell>
          <cell r="D448" t="str">
            <v>Muslinger</v>
          </cell>
          <cell r="E448" t="str">
            <v>Ton</v>
          </cell>
          <cell r="F448" t="str">
            <v>Foder</v>
          </cell>
          <cell r="G448" t="str">
            <v>FE</v>
          </cell>
          <cell r="H448">
            <v>1410</v>
          </cell>
          <cell r="I448">
            <v>1410</v>
          </cell>
          <cell r="J448">
            <v>1410</v>
          </cell>
        </row>
        <row r="449">
          <cell r="A449" t="str">
            <v>Foderproduktion</v>
          </cell>
          <cell r="D449" t="str">
            <v>Græs</v>
          </cell>
          <cell r="E449" t="str">
            <v>Ton</v>
          </cell>
          <cell r="F449" t="str">
            <v>Foder</v>
          </cell>
          <cell r="G449" t="str">
            <v>FE</v>
          </cell>
          <cell r="H449">
            <v>166.31286143034919</v>
          </cell>
          <cell r="I449">
            <v>166.31286143034919</v>
          </cell>
          <cell r="J449">
            <v>166.31286143034919</v>
          </cell>
        </row>
        <row r="450">
          <cell r="A450" t="str">
            <v>Foderproduktion</v>
          </cell>
          <cell r="D450" t="str">
            <v>Mælk til foder</v>
          </cell>
          <cell r="E450" t="str">
            <v>Ton</v>
          </cell>
          <cell r="F450" t="str">
            <v>Foder</v>
          </cell>
          <cell r="G450" t="str">
            <v>FE</v>
          </cell>
          <cell r="H450">
            <v>96.335697399527191</v>
          </cell>
          <cell r="I450">
            <v>96.335697399527191</v>
          </cell>
          <cell r="J450">
            <v>96.335697399527191</v>
          </cell>
        </row>
        <row r="451">
          <cell r="A451" t="str">
            <v>Foderproduktion</v>
          </cell>
          <cell r="D451" t="str">
            <v>Fiberfraktion</v>
          </cell>
          <cell r="E451" t="str">
            <v>Ton</v>
          </cell>
          <cell r="F451" t="str">
            <v>Foder</v>
          </cell>
          <cell r="G451" t="str">
            <v>FE</v>
          </cell>
          <cell r="H451">
            <v>309.40000000000003</v>
          </cell>
          <cell r="I451">
            <v>309.40000000000003</v>
          </cell>
          <cell r="J451">
            <v>309.40000000000003</v>
          </cell>
        </row>
        <row r="452">
          <cell r="A452" t="str">
            <v>Foderproduktion</v>
          </cell>
          <cell r="D452" t="str">
            <v>Græsprotein</v>
          </cell>
          <cell r="E452" t="str">
            <v>Ton</v>
          </cell>
          <cell r="F452" t="str">
            <v>Foder</v>
          </cell>
          <cell r="G452" t="str">
            <v>FE</v>
          </cell>
          <cell r="H452">
            <v>2750</v>
          </cell>
          <cell r="I452">
            <v>2750</v>
          </cell>
          <cell r="J452">
            <v>2750</v>
          </cell>
        </row>
        <row r="453">
          <cell r="A453" t="str">
            <v>Foderproduktion</v>
          </cell>
          <cell r="D453" t="str">
            <v>Slagteriaffald til foder</v>
          </cell>
          <cell r="E453" t="str">
            <v>Ton</v>
          </cell>
          <cell r="F453" t="str">
            <v>Foder</v>
          </cell>
          <cell r="G453" t="str">
            <v>FE</v>
          </cell>
          <cell r="H453">
            <v>2750</v>
          </cell>
          <cell r="I453">
            <v>2750</v>
          </cell>
          <cell r="J453">
            <v>2750</v>
          </cell>
        </row>
        <row r="454">
          <cell r="A454" t="str">
            <v>Foderproduktion</v>
          </cell>
          <cell r="D454" t="str">
            <v>Import af foder</v>
          </cell>
          <cell r="E454" t="str">
            <v>Ton</v>
          </cell>
          <cell r="F454" t="str">
            <v>Foder</v>
          </cell>
          <cell r="G454" t="str">
            <v>FE</v>
          </cell>
          <cell r="H454">
            <v>743.22820037105748</v>
          </cell>
          <cell r="I454">
            <v>743.22820037105748</v>
          </cell>
          <cell r="J454">
            <v>743.22820037105748</v>
          </cell>
        </row>
        <row r="455">
          <cell r="A455" t="str">
            <v>Biogasanlæg</v>
          </cell>
          <cell r="D455" t="str">
            <v>Halm</v>
          </cell>
          <cell r="E455" t="str">
            <v>Ton</v>
          </cell>
          <cell r="F455" t="str">
            <v>Biogas</v>
          </cell>
          <cell r="G455" t="str">
            <v>Nm3 CH4</v>
          </cell>
          <cell r="H455">
            <v>160.6</v>
          </cell>
          <cell r="I455">
            <v>160.6</v>
          </cell>
          <cell r="J455">
            <v>160.6</v>
          </cell>
        </row>
        <row r="456">
          <cell r="A456" t="str">
            <v>Biogasanlæg</v>
          </cell>
          <cell r="D456" t="str">
            <v>Korn</v>
          </cell>
          <cell r="E456" t="str">
            <v>Ton</v>
          </cell>
          <cell r="F456" t="str">
            <v>Biogas</v>
          </cell>
          <cell r="G456" t="str">
            <v>Nm3 CH4</v>
          </cell>
          <cell r="H456">
            <v>95.4</v>
          </cell>
          <cell r="I456">
            <v>95.4</v>
          </cell>
          <cell r="J456">
            <v>95.4</v>
          </cell>
        </row>
        <row r="457">
          <cell r="A457" t="str">
            <v>Biogasanlæg</v>
          </cell>
          <cell r="D457" t="str">
            <v>Græs</v>
          </cell>
          <cell r="E457" t="str">
            <v>Ton</v>
          </cell>
          <cell r="F457" t="str">
            <v>Biogas</v>
          </cell>
          <cell r="G457" t="str">
            <v>Nm3 CH4</v>
          </cell>
          <cell r="H457">
            <v>51.25</v>
          </cell>
          <cell r="I457">
            <v>51.25</v>
          </cell>
          <cell r="J457">
            <v>51.25</v>
          </cell>
        </row>
        <row r="458">
          <cell r="A458" t="str">
            <v>Biogasanlæg</v>
          </cell>
          <cell r="D458" t="str">
            <v>Svinegylle</v>
          </cell>
          <cell r="E458" t="str">
            <v>Ton</v>
          </cell>
          <cell r="F458" t="str">
            <v>Biogas</v>
          </cell>
          <cell r="G458" t="str">
            <v>Nm3 CH4</v>
          </cell>
          <cell r="H458">
            <v>12</v>
          </cell>
          <cell r="I458">
            <v>12</v>
          </cell>
          <cell r="J458">
            <v>12</v>
          </cell>
        </row>
        <row r="459">
          <cell r="A459" t="str">
            <v>Biogasanlæg</v>
          </cell>
          <cell r="D459" t="str">
            <v>Svinegylle</v>
          </cell>
          <cell r="E459" t="str">
            <v>Ton</v>
          </cell>
          <cell r="F459" t="str">
            <v>CO2 - atmosfære</v>
          </cell>
          <cell r="G459" t="str">
            <v>t CO2-ækvivalenter</v>
          </cell>
          <cell r="H459">
            <v>-1.2727600045138086E-2</v>
          </cell>
          <cell r="I459">
            <v>-1.2727600045138086E-2</v>
          </cell>
          <cell r="J459">
            <v>-1.2727600045138086E-2</v>
          </cell>
        </row>
        <row r="460">
          <cell r="A460" t="str">
            <v>Biogasanlæg</v>
          </cell>
          <cell r="D460" t="str">
            <v>Kvæggylle</v>
          </cell>
          <cell r="E460" t="str">
            <v>Ton</v>
          </cell>
          <cell r="F460" t="str">
            <v>Biogas</v>
          </cell>
          <cell r="G460" t="str">
            <v>Nm3 CH4</v>
          </cell>
          <cell r="H460">
            <v>14.1</v>
          </cell>
          <cell r="I460">
            <v>14.1</v>
          </cell>
          <cell r="J460">
            <v>14.1</v>
          </cell>
        </row>
        <row r="461">
          <cell r="A461" t="str">
            <v>Biogasanlæg</v>
          </cell>
          <cell r="D461" t="str">
            <v>Kvæggylle</v>
          </cell>
          <cell r="E461" t="str">
            <v>Ton</v>
          </cell>
          <cell r="F461" t="str">
            <v>CO2 - atmosfære</v>
          </cell>
          <cell r="G461" t="str">
            <v>t CO2-ækvivalenter</v>
          </cell>
          <cell r="H461">
            <v>-2.942635474487016E-2</v>
          </cell>
          <cell r="I461">
            <v>-2.942635474487016E-2</v>
          </cell>
          <cell r="J461">
            <v>-2.942635474487016E-2</v>
          </cell>
        </row>
        <row r="462">
          <cell r="A462" t="str">
            <v>Biogasanlæg</v>
          </cell>
          <cell r="D462" t="str">
            <v>Fjerkrægylle</v>
          </cell>
          <cell r="E462" t="str">
            <v>Ton</v>
          </cell>
          <cell r="F462" t="str">
            <v>Biogas</v>
          </cell>
          <cell r="G462" t="str">
            <v>Nm3 CH4</v>
          </cell>
          <cell r="H462">
            <v>13.1</v>
          </cell>
          <cell r="I462">
            <v>13.1</v>
          </cell>
          <cell r="J462">
            <v>13.1</v>
          </cell>
        </row>
        <row r="463">
          <cell r="A463" t="str">
            <v>Biogasanlæg</v>
          </cell>
          <cell r="D463" t="str">
            <v>Dybstrøelse</v>
          </cell>
          <cell r="E463" t="str">
            <v>Ton</v>
          </cell>
          <cell r="F463" t="str">
            <v>Biogas</v>
          </cell>
          <cell r="G463" t="str">
            <v>Nm3 CH4</v>
          </cell>
          <cell r="H463">
            <v>60</v>
          </cell>
          <cell r="I463">
            <v>60</v>
          </cell>
          <cell r="J463">
            <v>60</v>
          </cell>
        </row>
        <row r="464">
          <cell r="A464" t="str">
            <v>Biogasanlæg</v>
          </cell>
          <cell r="D464" t="str">
            <v>Majs</v>
          </cell>
          <cell r="E464" t="str">
            <v>Ton</v>
          </cell>
          <cell r="F464" t="str">
            <v>Biogas</v>
          </cell>
          <cell r="G464" t="str">
            <v>Nm3 CH4</v>
          </cell>
          <cell r="H464">
            <v>100</v>
          </cell>
          <cell r="I464">
            <v>100</v>
          </cell>
          <cell r="J464">
            <v>100</v>
          </cell>
        </row>
        <row r="465">
          <cell r="A465" t="str">
            <v>Biogasanlæg</v>
          </cell>
          <cell r="D465" t="str">
            <v>Roer</v>
          </cell>
          <cell r="E465" t="str">
            <v>Ton</v>
          </cell>
          <cell r="F465" t="str">
            <v>Biogas</v>
          </cell>
          <cell r="G465" t="str">
            <v>Nm3 CH4</v>
          </cell>
          <cell r="H465">
            <v>75.599999999999994</v>
          </cell>
          <cell r="I465">
            <v>75.599999999999994</v>
          </cell>
          <cell r="J465">
            <v>75.599999999999994</v>
          </cell>
        </row>
        <row r="466">
          <cell r="A466" t="str">
            <v>Biogasanlæg</v>
          </cell>
          <cell r="D466" t="str">
            <v>Bioaffald</v>
          </cell>
          <cell r="E466" t="str">
            <v>Ton</v>
          </cell>
          <cell r="F466" t="str">
            <v>Biogas</v>
          </cell>
          <cell r="G466" t="str">
            <v>Nm3 CH4</v>
          </cell>
          <cell r="H466">
            <v>94.9</v>
          </cell>
          <cell r="I466">
            <v>94.9</v>
          </cell>
          <cell r="J466">
            <v>94.9</v>
          </cell>
        </row>
        <row r="467">
          <cell r="A467" t="str">
            <v>Biogasanlæg</v>
          </cell>
          <cell r="D467" t="str">
            <v>Industriaffald</v>
          </cell>
          <cell r="E467" t="str">
            <v>Ton</v>
          </cell>
          <cell r="F467" t="str">
            <v>Biogas</v>
          </cell>
          <cell r="G467" t="str">
            <v>Nm3 CH4</v>
          </cell>
          <cell r="H467">
            <v>120.7</v>
          </cell>
          <cell r="I467">
            <v>120.7</v>
          </cell>
          <cell r="J467">
            <v>120.7</v>
          </cell>
        </row>
        <row r="468">
          <cell r="A468" t="str">
            <v>Biogasanlæg</v>
          </cell>
          <cell r="D468" t="str">
            <v>Muslinger</v>
          </cell>
          <cell r="E468" t="str">
            <v>Ton</v>
          </cell>
          <cell r="F468" t="str">
            <v>Biogas</v>
          </cell>
          <cell r="G468" t="str">
            <v>Nm3 CH4</v>
          </cell>
          <cell r="H468">
            <v>25</v>
          </cell>
          <cell r="I468">
            <v>25</v>
          </cell>
          <cell r="J468">
            <v>25</v>
          </cell>
        </row>
        <row r="469">
          <cell r="A469" t="str">
            <v>Biogasanlæg</v>
          </cell>
          <cell r="D469" t="str">
            <v>Tang</v>
          </cell>
          <cell r="E469" t="str">
            <v>Ton</v>
          </cell>
          <cell r="F469" t="str">
            <v>Biogas</v>
          </cell>
          <cell r="G469" t="str">
            <v>Nm3 CH4</v>
          </cell>
          <cell r="H469">
            <v>25</v>
          </cell>
          <cell r="I469">
            <v>25</v>
          </cell>
          <cell r="J469">
            <v>25</v>
          </cell>
        </row>
        <row r="470">
          <cell r="A470" t="str">
            <v>Biogasanlæg</v>
          </cell>
          <cell r="D470" t="str">
            <v>Have/parkaffald</v>
          </cell>
          <cell r="E470" t="str">
            <v>Ton</v>
          </cell>
          <cell r="F470" t="str">
            <v>Biogas</v>
          </cell>
          <cell r="G470" t="str">
            <v>Nm3 CH4</v>
          </cell>
          <cell r="H470">
            <v>47.3</v>
          </cell>
          <cell r="I470">
            <v>47.3</v>
          </cell>
          <cell r="J470">
            <v>47.3</v>
          </cell>
        </row>
        <row r="471">
          <cell r="A471" t="str">
            <v>Biogasanlæg</v>
          </cell>
          <cell r="D471" t="str">
            <v>Brun saft</v>
          </cell>
          <cell r="E471" t="str">
            <v>PJ</v>
          </cell>
          <cell r="F471" t="str">
            <v>Biogas</v>
          </cell>
          <cell r="G471" t="str">
            <v>Nm3 CH4</v>
          </cell>
          <cell r="H471">
            <v>15.822453396634783</v>
          </cell>
          <cell r="I471">
            <v>15.822453396634783</v>
          </cell>
          <cell r="J471">
            <v>15.822453396634783</v>
          </cell>
        </row>
        <row r="472">
          <cell r="A472" t="str">
            <v>Biogasanlæg</v>
          </cell>
          <cell r="D472" t="str">
            <v>Glycerin</v>
          </cell>
          <cell r="E472" t="str">
            <v>Ton</v>
          </cell>
          <cell r="F472" t="str">
            <v>Biogas</v>
          </cell>
          <cell r="G472" t="str">
            <v>Nm3 CH4</v>
          </cell>
          <cell r="H472">
            <v>423.36</v>
          </cell>
          <cell r="I472">
            <v>423.36</v>
          </cell>
          <cell r="J472">
            <v>423.36</v>
          </cell>
        </row>
        <row r="473">
          <cell r="A473" t="str">
            <v>Biogasanlæg</v>
          </cell>
          <cell r="D473" t="str">
            <v>Spildevandsslam</v>
          </cell>
          <cell r="E473" t="str">
            <v>Ton</v>
          </cell>
          <cell r="F473" t="str">
            <v>Biogas</v>
          </cell>
          <cell r="G473" t="str">
            <v>Nm3 CH4</v>
          </cell>
          <cell r="H473">
            <v>13.9</v>
          </cell>
          <cell r="I473">
            <v>13.9</v>
          </cell>
          <cell r="J473">
            <v>13.9</v>
          </cell>
        </row>
        <row r="474">
          <cell r="A474" t="str">
            <v>Biogasanlæg</v>
          </cell>
          <cell r="D474" t="str">
            <v>Total til biogas</v>
          </cell>
          <cell r="E474" t="str">
            <v>Ton</v>
          </cell>
          <cell r="F474" t="str">
            <v>Biogasgylle</v>
          </cell>
          <cell r="G474" t="str">
            <v>Ton</v>
          </cell>
          <cell r="H474">
            <v>0.91930000000000001</v>
          </cell>
          <cell r="I474">
            <v>0.91930000000000001</v>
          </cell>
          <cell r="J474">
            <v>0.91930000000000001</v>
          </cell>
        </row>
        <row r="475">
          <cell r="A475" t="str">
            <v>Gødning</v>
          </cell>
          <cell r="D475" t="str">
            <v>Svinegylle</v>
          </cell>
          <cell r="E475" t="str">
            <v>Ton</v>
          </cell>
          <cell r="F475" t="str">
            <v>Gødning</v>
          </cell>
          <cell r="G475" t="str">
            <v>kg N</v>
          </cell>
          <cell r="H475">
            <v>5.3</v>
          </cell>
          <cell r="I475">
            <v>5.3</v>
          </cell>
          <cell r="J475">
            <v>5.3</v>
          </cell>
        </row>
        <row r="476">
          <cell r="A476" t="str">
            <v>Gødning</v>
          </cell>
          <cell r="D476" t="str">
            <v>Kvæggylle</v>
          </cell>
          <cell r="E476" t="str">
            <v>Ton</v>
          </cell>
          <cell r="F476" t="str">
            <v>Gødning</v>
          </cell>
          <cell r="G476" t="str">
            <v>kg N</v>
          </cell>
          <cell r="H476">
            <v>8</v>
          </cell>
          <cell r="I476">
            <v>8</v>
          </cell>
          <cell r="J476">
            <v>8</v>
          </cell>
        </row>
        <row r="477">
          <cell r="A477" t="str">
            <v>Gødning</v>
          </cell>
          <cell r="D477" t="str">
            <v>Fjerkrægylle</v>
          </cell>
          <cell r="E477" t="str">
            <v>Ton</v>
          </cell>
          <cell r="F477" t="str">
            <v>Gødning</v>
          </cell>
          <cell r="G477" t="str">
            <v>kg N</v>
          </cell>
          <cell r="H477">
            <v>7</v>
          </cell>
          <cell r="I477">
            <v>7</v>
          </cell>
          <cell r="J477">
            <v>7</v>
          </cell>
        </row>
        <row r="478">
          <cell r="A478" t="str">
            <v>Gødning</v>
          </cell>
          <cell r="D478" t="str">
            <v>Dybstrøelse</v>
          </cell>
          <cell r="E478" t="str">
            <v>Ton</v>
          </cell>
          <cell r="F478" t="str">
            <v>Gødning</v>
          </cell>
          <cell r="G478" t="str">
            <v>kg N</v>
          </cell>
          <cell r="H478">
            <v>14</v>
          </cell>
          <cell r="I478">
            <v>14</v>
          </cell>
          <cell r="J478">
            <v>14</v>
          </cell>
        </row>
        <row r="479">
          <cell r="A479" t="str">
            <v>Gødning</v>
          </cell>
          <cell r="D479" t="str">
            <v>Biogasgylle</v>
          </cell>
          <cell r="E479" t="str">
            <v>Ton</v>
          </cell>
          <cell r="F479" t="str">
            <v>Gødning</v>
          </cell>
          <cell r="G479" t="str">
            <v>kg N</v>
          </cell>
          <cell r="H479">
            <v>7</v>
          </cell>
          <cell r="I479">
            <v>7</v>
          </cell>
          <cell r="J479">
            <v>7</v>
          </cell>
        </row>
        <row r="480">
          <cell r="A480" t="str">
            <v>Gødning</v>
          </cell>
          <cell r="D480" t="str">
            <v>Kunstgødning</v>
          </cell>
          <cell r="E480" t="str">
            <v>Ton</v>
          </cell>
          <cell r="F480" t="str">
            <v>Gødning</v>
          </cell>
          <cell r="G480" t="str">
            <v>kg N</v>
          </cell>
          <cell r="H480">
            <v>160</v>
          </cell>
          <cell r="I480">
            <v>160</v>
          </cell>
          <cell r="J480">
            <v>160</v>
          </cell>
        </row>
        <row r="481">
          <cell r="A481" t="str">
            <v>Til energi</v>
          </cell>
          <cell r="D481" t="str">
            <v>Halm</v>
          </cell>
          <cell r="E481" t="str">
            <v>Ton</v>
          </cell>
          <cell r="F481" t="str">
            <v>Energi</v>
          </cell>
          <cell r="G481" t="str">
            <v>PJ</v>
          </cell>
          <cell r="H481">
            <v>1.0335806339134365E-5</v>
          </cell>
          <cell r="I481">
            <v>1.0335806339134365E-5</v>
          </cell>
          <cell r="J481">
            <v>1.0335806339134365E-5</v>
          </cell>
        </row>
        <row r="482">
          <cell r="A482" t="str">
            <v>Til energi</v>
          </cell>
          <cell r="D482" t="str">
            <v>Rapsolie</v>
          </cell>
          <cell r="E482" t="str">
            <v>Ton</v>
          </cell>
          <cell r="F482" t="str">
            <v>Energi</v>
          </cell>
          <cell r="G482" t="str">
            <v>PJ</v>
          </cell>
          <cell r="H482">
            <v>3.4999999999999997E-5</v>
          </cell>
          <cell r="I482">
            <v>3.4999999999999997E-5</v>
          </cell>
          <cell r="J482">
            <v>3.4999999999999997E-5</v>
          </cell>
        </row>
        <row r="483">
          <cell r="A483" t="str">
            <v>Til energi</v>
          </cell>
          <cell r="D483" t="str">
            <v>Pil &amp; poppel</v>
          </cell>
          <cell r="E483" t="str">
            <v>Ton</v>
          </cell>
          <cell r="F483" t="str">
            <v>Energi</v>
          </cell>
          <cell r="G483" t="str">
            <v>PJ</v>
          </cell>
          <cell r="H483">
            <v>1.8399999999999997E-5</v>
          </cell>
          <cell r="I483">
            <v>1.8399999999999997E-5</v>
          </cell>
          <cell r="J483">
            <v>1.8399999999999997E-5</v>
          </cell>
        </row>
        <row r="484">
          <cell r="A484" t="str">
            <v>Til energi</v>
          </cell>
          <cell r="D484" t="str">
            <v>Træ til energi</v>
          </cell>
          <cell r="E484" t="str">
            <v>m3</v>
          </cell>
          <cell r="F484" t="str">
            <v>Energi</v>
          </cell>
          <cell r="G484" t="str">
            <v>PJ</v>
          </cell>
          <cell r="H484">
            <v>1.449356890077532E-5</v>
          </cell>
          <cell r="I484">
            <v>1.449356890077532E-5</v>
          </cell>
          <cell r="J484">
            <v>1.449356890077532E-5</v>
          </cell>
        </row>
        <row r="485">
          <cell r="A485" t="str">
            <v>Til energi</v>
          </cell>
          <cell r="D485" t="str">
            <v>Have/parkaffald</v>
          </cell>
          <cell r="E485" t="str">
            <v>Ton</v>
          </cell>
          <cell r="F485" t="str">
            <v>Energi</v>
          </cell>
          <cell r="G485" t="str">
            <v>PJ</v>
          </cell>
          <cell r="H485">
            <v>1.7852220520673815E-5</v>
          </cell>
          <cell r="I485">
            <v>1.7852220520673815E-5</v>
          </cell>
          <cell r="J485">
            <v>1.7852220520673815E-5</v>
          </cell>
        </row>
        <row r="486">
          <cell r="A486" t="str">
            <v>Til energi</v>
          </cell>
          <cell r="D486" t="str">
            <v>Bioaffald</v>
          </cell>
          <cell r="E486" t="str">
            <v>Ton</v>
          </cell>
          <cell r="F486" t="str">
            <v>Energi</v>
          </cell>
          <cell r="G486" t="str">
            <v>PJ</v>
          </cell>
          <cell r="H486">
            <v>1.7852220520673815E-5</v>
          </cell>
          <cell r="I486">
            <v>1.7852220520673815E-5</v>
          </cell>
          <cell r="J486">
            <v>1.7852220520673815E-5</v>
          </cell>
        </row>
        <row r="487">
          <cell r="A487" t="str">
            <v>Til energi</v>
          </cell>
          <cell r="D487" t="str">
            <v>Pyrolyseolie</v>
          </cell>
          <cell r="E487" t="str">
            <v>Ton</v>
          </cell>
          <cell r="F487" t="str">
            <v>Energi</v>
          </cell>
          <cell r="G487" t="str">
            <v>PJ</v>
          </cell>
          <cell r="H487">
            <v>3.326857142857142E-5</v>
          </cell>
          <cell r="I487">
            <v>3.326857142857142E-5</v>
          </cell>
          <cell r="J487">
            <v>3.326857142857142E-5</v>
          </cell>
        </row>
        <row r="488">
          <cell r="A488" t="str">
            <v>Til energi</v>
          </cell>
          <cell r="D488" t="str">
            <v>Pyrolysegas</v>
          </cell>
          <cell r="E488" t="str">
            <v>Ton</v>
          </cell>
          <cell r="F488" t="str">
            <v>Energi</v>
          </cell>
          <cell r="G488" t="str">
            <v>PJ</v>
          </cell>
          <cell r="H488">
            <v>8.9614285714285689E-6</v>
          </cell>
          <cell r="I488">
            <v>8.9614285714285689E-6</v>
          </cell>
          <cell r="J488">
            <v>8.9614285714285689E-6</v>
          </cell>
        </row>
        <row r="489">
          <cell r="A489" t="str">
            <v>Til energi</v>
          </cell>
          <cell r="D489" t="str">
            <v>Biogas</v>
          </cell>
          <cell r="E489" t="str">
            <v>Nm3 CH4</v>
          </cell>
          <cell r="F489" t="str">
            <v>Energi</v>
          </cell>
          <cell r="G489" t="str">
            <v>PJ</v>
          </cell>
          <cell r="H489">
            <v>3.5900000000000004E-8</v>
          </cell>
          <cell r="I489">
            <v>3.5900000000000004E-8</v>
          </cell>
          <cell r="J489">
            <v>3.5900000000000004E-8</v>
          </cell>
        </row>
        <row r="490">
          <cell r="A490" t="str">
            <v>Proteinproces</v>
          </cell>
          <cell r="D490" t="str">
            <v>Græs</v>
          </cell>
          <cell r="E490" t="str">
            <v>Ton</v>
          </cell>
          <cell r="F490" t="str">
            <v>Græsprotein</v>
          </cell>
          <cell r="G490" t="str">
            <v>Ton</v>
          </cell>
          <cell r="H490">
            <v>0.16717139181723129</v>
          </cell>
          <cell r="I490">
            <v>0.16717139181723129</v>
          </cell>
          <cell r="J490">
            <v>0.16717139181723129</v>
          </cell>
        </row>
        <row r="491">
          <cell r="A491" t="str">
            <v>Proteinproces</v>
          </cell>
          <cell r="D491" t="str">
            <v>Græs</v>
          </cell>
          <cell r="E491" t="str">
            <v>Ton</v>
          </cell>
          <cell r="F491" t="str">
            <v>Fiberfraktion</v>
          </cell>
          <cell r="G491" t="str">
            <v>Ton</v>
          </cell>
          <cell r="H491">
            <v>0.34417639491782914</v>
          </cell>
          <cell r="I491">
            <v>0.34417639491782914</v>
          </cell>
          <cell r="J491">
            <v>0.34417639491782914</v>
          </cell>
        </row>
        <row r="492">
          <cell r="A492" t="str">
            <v>Proteinproces</v>
          </cell>
          <cell r="D492" t="str">
            <v>Græs</v>
          </cell>
          <cell r="E492" t="str">
            <v>Ton</v>
          </cell>
          <cell r="F492" t="str">
            <v>Brun saft</v>
          </cell>
          <cell r="G492" t="str">
            <v>PJ</v>
          </cell>
          <cell r="H492">
            <v>0.48865221326493952</v>
          </cell>
          <cell r="I492">
            <v>0.48865221326493952</v>
          </cell>
          <cell r="J492">
            <v>0.48865221326493952</v>
          </cell>
        </row>
        <row r="493">
          <cell r="A493" t="str">
            <v>Rapskageproduktion</v>
          </cell>
          <cell r="D493" t="str">
            <v>Raps</v>
          </cell>
          <cell r="E493" t="str">
            <v>Ton</v>
          </cell>
          <cell r="F493" t="str">
            <v>Rapskage</v>
          </cell>
          <cell r="G493" t="str">
            <v>Ton</v>
          </cell>
          <cell r="H493">
            <v>0.5</v>
          </cell>
          <cell r="I493">
            <v>0.5</v>
          </cell>
          <cell r="J493">
            <v>0.5</v>
          </cell>
        </row>
        <row r="494">
          <cell r="A494" t="str">
            <v>Rapskageproduktion</v>
          </cell>
          <cell r="D494" t="str">
            <v>Raps</v>
          </cell>
          <cell r="E494" t="str">
            <v>Ton</v>
          </cell>
          <cell r="F494" t="str">
            <v>Rapsolie</v>
          </cell>
          <cell r="G494" t="str">
            <v>Ton</v>
          </cell>
          <cell r="H494">
            <v>0.32</v>
          </cell>
          <cell r="I494">
            <v>0.32</v>
          </cell>
          <cell r="J494">
            <v>0.32</v>
          </cell>
        </row>
        <row r="495">
          <cell r="A495" t="str">
            <v>Pyrolyseproces</v>
          </cell>
          <cell r="D495" t="str">
            <v>Halm</v>
          </cell>
          <cell r="E495" t="str">
            <v>Ton</v>
          </cell>
          <cell r="F495" t="str">
            <v>CO2 - atmosfære</v>
          </cell>
          <cell r="G495" t="str">
            <v>t CO2-ækvivalenter</v>
          </cell>
          <cell r="H495">
            <v>-0.65266666666666662</v>
          </cell>
          <cell r="I495">
            <v>-0.65266666666666662</v>
          </cell>
          <cell r="J495">
            <v>-0.65266666666666662</v>
          </cell>
        </row>
        <row r="496">
          <cell r="A496" t="str">
            <v>Pyrolyseproces</v>
          </cell>
          <cell r="D496" t="str">
            <v>Halm</v>
          </cell>
          <cell r="E496" t="str">
            <v>Ton</v>
          </cell>
          <cell r="F496" t="str">
            <v>Pyrolyseolie</v>
          </cell>
          <cell r="G496" t="str">
            <v>Ton</v>
          </cell>
          <cell r="H496">
            <v>0.14000000000000001</v>
          </cell>
          <cell r="I496">
            <v>0.14000000000000001</v>
          </cell>
          <cell r="J496">
            <v>0.14000000000000001</v>
          </cell>
        </row>
        <row r="497">
          <cell r="A497" t="str">
            <v>Pyrolyseproces</v>
          </cell>
          <cell r="D497" t="str">
            <v>Halm</v>
          </cell>
          <cell r="E497" t="str">
            <v>Ton</v>
          </cell>
          <cell r="F497" t="str">
            <v>Pyrolysegas</v>
          </cell>
          <cell r="G497" t="str">
            <v>Ton</v>
          </cell>
          <cell r="H497">
            <v>0.56000000000000005</v>
          </cell>
          <cell r="I497">
            <v>0.56000000000000005</v>
          </cell>
          <cell r="J497">
            <v>0.56000000000000005</v>
          </cell>
        </row>
      </sheetData>
      <sheetData sheetId="2"/>
      <sheetData sheetId="3">
        <row r="20">
          <cell r="D20" t="str">
            <v>PJ</v>
          </cell>
        </row>
        <row r="23">
          <cell r="D23">
            <v>4.6575999999999992E-6</v>
          </cell>
        </row>
        <row r="24">
          <cell r="D24">
            <v>5.0183999999999993E-6</v>
          </cell>
        </row>
      </sheetData>
      <sheetData sheetId="4">
        <row r="7">
          <cell r="A7" t="str">
            <v>Bebyggelse &amp; infrastruktur</v>
          </cell>
          <cell r="B7">
            <v>0.69807972734599422</v>
          </cell>
          <cell r="C7">
            <v>0.30192027265400578</v>
          </cell>
        </row>
        <row r="8">
          <cell r="A8" t="str">
            <v>Landbrugsafgrøder</v>
          </cell>
          <cell r="B8">
            <v>0.77910074969845278</v>
          </cell>
          <cell r="C8">
            <v>0.22089925030154708</v>
          </cell>
        </row>
        <row r="9">
          <cell r="A9" t="str">
            <v>Skov</v>
          </cell>
          <cell r="B9">
            <v>0.7735718099305926</v>
          </cell>
          <cell r="C9">
            <v>0.22642819006940737</v>
          </cell>
        </row>
        <row r="10">
          <cell r="A10" t="str">
            <v>Natur</v>
          </cell>
          <cell r="B10">
            <v>0.82141478769433085</v>
          </cell>
          <cell r="C10">
            <v>0.17858521230566929</v>
          </cell>
        </row>
        <row r="11">
          <cell r="A11" t="str">
            <v>Ikke klassificeret</v>
          </cell>
          <cell r="B11">
            <v>0.70816884300030369</v>
          </cell>
          <cell r="C11">
            <v>0.29183115699969636</v>
          </cell>
        </row>
        <row r="15">
          <cell r="B15" t="str">
            <v>Bebyggelse &amp; infrastruktur</v>
          </cell>
          <cell r="D15">
            <v>173613.41085600306</v>
          </cell>
          <cell r="E15">
            <v>62306.589143996935</v>
          </cell>
        </row>
        <row r="16">
          <cell r="B16" t="str">
            <v>Bebyggelse &amp; infrastruktur</v>
          </cell>
          <cell r="D16">
            <v>212291.90242033335</v>
          </cell>
          <cell r="E16">
            <v>101408.09757966665</v>
          </cell>
        </row>
        <row r="17">
          <cell r="B17" t="str">
            <v>Bebyggelse &amp; infrastruktur</v>
          </cell>
          <cell r="D17">
            <v>27441.654879773687</v>
          </cell>
          <cell r="E17">
            <v>15058.34512022631</v>
          </cell>
        </row>
        <row r="18">
          <cell r="B18" t="str">
            <v>Landbrugsafgrøder</v>
          </cell>
          <cell r="D18">
            <v>2009043.7302249093</v>
          </cell>
          <cell r="E18">
            <v>569626.26977509039</v>
          </cell>
        </row>
        <row r="19">
          <cell r="B19" t="str">
            <v>Skov</v>
          </cell>
          <cell r="D19">
            <v>435064.52162306459</v>
          </cell>
          <cell r="E19">
            <v>127345.4783769354</v>
          </cell>
        </row>
        <row r="20">
          <cell r="B20" t="str">
            <v>Natur</v>
          </cell>
          <cell r="D20">
            <v>332057.930153322</v>
          </cell>
          <cell r="E20">
            <v>56612.069846678038</v>
          </cell>
        </row>
        <row r="21">
          <cell r="B21" t="str">
            <v>Natur</v>
          </cell>
          <cell r="D21">
            <v>83241.172357054718</v>
          </cell>
          <cell r="E21">
            <v>33678.827642945296</v>
          </cell>
        </row>
        <row r="22">
          <cell r="B22" t="str">
            <v>Ikke klassificeret</v>
          </cell>
          <cell r="D22">
            <v>47192.371697540235</v>
          </cell>
          <cell r="E22">
            <v>19447.628302459765</v>
          </cell>
        </row>
        <row r="23">
          <cell r="D23">
            <v>3320161.5843531773</v>
          </cell>
        </row>
      </sheetData>
      <sheetData sheetId="5">
        <row r="3">
          <cell r="D3">
            <v>0.18592592592592594</v>
          </cell>
        </row>
        <row r="4">
          <cell r="D4">
            <v>0.35481481481481481</v>
          </cell>
          <cell r="F4">
            <v>0.86814814814814811</v>
          </cell>
          <cell r="G4">
            <v>0.13185185185185186</v>
          </cell>
        </row>
        <row r="5">
          <cell r="D5">
            <v>0.32740740740740742</v>
          </cell>
        </row>
        <row r="15">
          <cell r="D15">
            <v>78232</v>
          </cell>
          <cell r="E15">
            <v>129000</v>
          </cell>
        </row>
        <row r="16">
          <cell r="D16">
            <v>100502</v>
          </cell>
          <cell r="E16">
            <v>162000</v>
          </cell>
        </row>
        <row r="17">
          <cell r="D17">
            <v>178734</v>
          </cell>
        </row>
        <row r="23">
          <cell r="D23" t="str">
            <v>3 &amp; 4</v>
          </cell>
        </row>
        <row r="24">
          <cell r="D24">
            <v>3</v>
          </cell>
        </row>
        <row r="25">
          <cell r="D25">
            <v>0.5</v>
          </cell>
        </row>
      </sheetData>
      <sheetData sheetId="6">
        <row r="2">
          <cell r="C2" t="str">
            <v>Korn</v>
          </cell>
        </row>
        <row r="3">
          <cell r="C3" t="str">
            <v>Bælgsæd</v>
          </cell>
        </row>
        <row r="4">
          <cell r="C4" t="str">
            <v>Raps</v>
          </cell>
        </row>
        <row r="5">
          <cell r="C5" t="str">
            <v>Græs</v>
          </cell>
        </row>
        <row r="6">
          <cell r="C6" t="str">
            <v>Grøntsager</v>
          </cell>
        </row>
        <row r="7">
          <cell r="C7" t="str">
            <v>Kartofler</v>
          </cell>
        </row>
        <row r="8">
          <cell r="C8" t="str">
            <v>Roer</v>
          </cell>
        </row>
        <row r="9">
          <cell r="C9" t="str">
            <v>Majs</v>
          </cell>
        </row>
        <row r="10">
          <cell r="C10" t="str">
            <v>Frugt</v>
          </cell>
        </row>
        <row r="11">
          <cell r="C11" t="str">
            <v>Øvrige</v>
          </cell>
          <cell r="D11">
            <v>71837</v>
          </cell>
        </row>
        <row r="12">
          <cell r="C12" t="str">
            <v>Frø</v>
          </cell>
          <cell r="D12">
            <v>110335</v>
          </cell>
        </row>
        <row r="13">
          <cell r="C13" t="str">
            <v>Juletræer</v>
          </cell>
          <cell r="D13">
            <v>19484</v>
          </cell>
        </row>
        <row r="14">
          <cell r="C14" t="str">
            <v>Pil &amp; poppel</v>
          </cell>
        </row>
        <row r="15">
          <cell r="C15" t="str">
            <v>Permanent græs</v>
          </cell>
        </row>
        <row r="16">
          <cell r="D16">
            <v>2639353</v>
          </cell>
        </row>
        <row r="19">
          <cell r="D19" t="str">
            <v>I modellen</v>
          </cell>
        </row>
      </sheetData>
      <sheetData sheetId="7">
        <row r="3">
          <cell r="G3" t="str">
            <v>JB1-10</v>
          </cell>
          <cell r="H3" t="str">
            <v>OC6</v>
          </cell>
          <cell r="I3" t="str">
            <v>OC12</v>
          </cell>
          <cell r="P3" t="str">
            <v>JB1-10</v>
          </cell>
          <cell r="Q3" t="str">
            <v>OC6</v>
          </cell>
          <cell r="R3" t="str">
            <v>OC12</v>
          </cell>
        </row>
        <row r="4">
          <cell r="F4" t="str">
            <v>Korn</v>
          </cell>
          <cell r="G4">
            <v>0.52078807763652124</v>
          </cell>
          <cell r="H4">
            <v>0.29260742948449031</v>
          </cell>
          <cell r="I4">
            <v>0.19001733521339526</v>
          </cell>
          <cell r="O4" t="str">
            <v>Korn</v>
          </cell>
          <cell r="P4">
            <v>0.59758624874726696</v>
          </cell>
          <cell r="Q4">
            <v>0.38313743571343106</v>
          </cell>
          <cell r="R4">
            <v>0.26300634149592406</v>
          </cell>
          <cell r="Y4">
            <v>0.53753334285647836</v>
          </cell>
        </row>
        <row r="5">
          <cell r="F5" t="str">
            <v>Bælgsæd</v>
          </cell>
          <cell r="G5">
            <v>3.5982037432552356E-2</v>
          </cell>
          <cell r="H5">
            <v>2.5083538683672694E-2</v>
          </cell>
          <cell r="I5">
            <v>1.0941050385004404E-2</v>
          </cell>
          <cell r="O5" t="str">
            <v>Bælgsæd</v>
          </cell>
          <cell r="P5">
            <v>1.3024294772492263E-2</v>
          </cell>
          <cell r="Q5">
            <v>1.0360648699894549E-2</v>
          </cell>
          <cell r="R5">
            <v>4.777062450510427E-3</v>
          </cell>
          <cell r="Y5">
            <v>3.0976273829928767E-2</v>
          </cell>
        </row>
        <row r="6">
          <cell r="F6" t="str">
            <v>Raps</v>
          </cell>
          <cell r="G6">
            <v>6.0508874709232517E-2</v>
          </cell>
          <cell r="H6">
            <v>2.68590267661553E-2</v>
          </cell>
          <cell r="I6">
            <v>1.4168164812818053E-2</v>
          </cell>
          <cell r="O6" t="str">
            <v>Raps</v>
          </cell>
          <cell r="P6">
            <v>8.2618389494347674E-2</v>
          </cell>
          <cell r="Q6">
            <v>4.184827857039744E-2</v>
          </cell>
          <cell r="R6">
            <v>2.3334832279686194E-2</v>
          </cell>
          <cell r="Y6">
            <v>6.5329688585482673E-2</v>
          </cell>
        </row>
        <row r="7">
          <cell r="F7" t="str">
            <v>Græs</v>
          </cell>
          <cell r="G7">
            <v>0.1153713931066581</v>
          </cell>
          <cell r="H7">
            <v>0.247864579659376</v>
          </cell>
          <cell r="I7">
            <v>0.32676260561918435</v>
          </cell>
          <cell r="O7" t="str">
            <v>Græs</v>
          </cell>
          <cell r="P7">
            <v>5.0192728928725582E-2</v>
          </cell>
          <cell r="Q7">
            <v>0.12305147357318001</v>
          </cell>
          <cell r="R7">
            <v>0.17147801882246</v>
          </cell>
          <cell r="Y7">
            <v>0.10115967422642448</v>
          </cell>
        </row>
        <row r="8">
          <cell r="F8" t="str">
            <v>Grøntsager</v>
          </cell>
          <cell r="G8">
            <v>4.464610531367031E-3</v>
          </cell>
          <cell r="H8">
            <v>1.1592719622443278E-3</v>
          </cell>
          <cell r="I8">
            <v>3.7980026350827641E-4</v>
          </cell>
          <cell r="O8" t="str">
            <v>Grøntsager</v>
          </cell>
          <cell r="P8">
            <v>7.865213752064254E-3</v>
          </cell>
          <cell r="Q8">
            <v>2.3304616484464778E-3</v>
          </cell>
          <cell r="R8">
            <v>8.0707825675165219E-4</v>
          </cell>
          <cell r="Y8">
            <v>5.2060865589185204E-3</v>
          </cell>
        </row>
        <row r="9">
          <cell r="F9" t="str">
            <v>Kartofler</v>
          </cell>
          <cell r="G9">
            <v>2.6596251788237935E-2</v>
          </cell>
          <cell r="H9">
            <v>1.8301899560384409E-2</v>
          </cell>
          <cell r="I9">
            <v>2.0102939321744374E-2</v>
          </cell>
          <cell r="O9" t="str">
            <v>Kartofler</v>
          </cell>
          <cell r="P9">
            <v>5.0455539319474536E-3</v>
          </cell>
          <cell r="Q9">
            <v>3.9619980918168913E-3</v>
          </cell>
          <cell r="R9">
            <v>4.6002497853152241E-3</v>
          </cell>
          <cell r="Y9">
            <v>2.189728375215861E-2</v>
          </cell>
        </row>
        <row r="10">
          <cell r="F10" t="str">
            <v>Roer</v>
          </cell>
          <cell r="G10">
            <v>2.5963485234511219E-3</v>
          </cell>
          <cell r="H10">
            <v>4.801561809645839E-4</v>
          </cell>
          <cell r="I10">
            <v>2.1739444616266637E-4</v>
          </cell>
          <cell r="O10" t="str">
            <v>Roer</v>
          </cell>
          <cell r="P10">
            <v>5.2451600979001756E-2</v>
          </cell>
          <cell r="Q10">
            <v>1.1068989105563098E-2</v>
          </cell>
          <cell r="R10">
            <v>5.2975813997076116E-3</v>
          </cell>
          <cell r="Y10">
            <v>1.3466912404096722E-2</v>
          </cell>
        </row>
        <row r="11">
          <cell r="D11">
            <v>4971.7778828726805</v>
          </cell>
          <cell r="F11" t="str">
            <v>Majs</v>
          </cell>
          <cell r="G11">
            <v>8.8910930707760349E-2</v>
          </cell>
          <cell r="H11">
            <v>6.1980947409938016E-2</v>
          </cell>
          <cell r="I11">
            <v>2.7035127582052489E-2</v>
          </cell>
          <cell r="O11" t="str">
            <v>Majs</v>
          </cell>
          <cell r="P11">
            <v>1.4835264654900416E-2</v>
          </cell>
          <cell r="Q11">
            <v>1.180125052022097E-2</v>
          </cell>
          <cell r="R11">
            <v>5.4412915988347344E-3</v>
          </cell>
          <cell r="Y11">
            <v>7.2759287296729286E-2</v>
          </cell>
        </row>
        <row r="12">
          <cell r="D12">
            <v>84.698510248354609</v>
          </cell>
          <cell r="F12" t="str">
            <v>Frugt</v>
          </cell>
          <cell r="G12">
            <v>1.6337629108489173E-3</v>
          </cell>
          <cell r="H12">
            <v>1.0558987213584255E-3</v>
          </cell>
          <cell r="I12">
            <v>7.7474460216058903E-4</v>
          </cell>
          <cell r="O12" t="str">
            <v>Frugt</v>
          </cell>
          <cell r="P12">
            <v>3.4518876571883301E-3</v>
          </cell>
          <cell r="Q12">
            <v>2.5457723300503447E-3</v>
          </cell>
          <cell r="R12">
            <v>1.9745112589809222E-3</v>
          </cell>
          <cell r="Y12">
            <v>2.0301913757470973E-3</v>
          </cell>
        </row>
        <row r="13">
          <cell r="D13">
            <v>1497.9695004367711</v>
          </cell>
          <cell r="F13" t="str">
            <v>Øvrige</v>
          </cell>
          <cell r="G13">
            <v>2.8894569741786228E-2</v>
          </cell>
          <cell r="H13">
            <v>1.8674520667567855E-2</v>
          </cell>
          <cell r="I13">
            <v>1.3702056639031946E-2</v>
          </cell>
          <cell r="O13" t="str">
            <v>Øvrige</v>
          </cell>
          <cell r="P13">
            <v>2.4648152078224853E-2</v>
          </cell>
          <cell r="Q13">
            <v>1.8178049165924595E-2</v>
          </cell>
          <cell r="R13">
            <v>1.4098968050185802E-2</v>
          </cell>
          <cell r="Y13">
            <v>2.7968670218625629E-2</v>
          </cell>
        </row>
        <row r="14">
          <cell r="F14" t="str">
            <v>Frø</v>
          </cell>
          <cell r="G14">
            <v>3.0394546158686284E-2</v>
          </cell>
          <cell r="H14">
            <v>4.6094224108143921E-2</v>
          </cell>
          <cell r="I14">
            <v>4.3595363130338828E-2</v>
          </cell>
          <cell r="O14" t="str">
            <v>Frø</v>
          </cell>
          <cell r="P14">
            <v>7.6260655541220079E-2</v>
          </cell>
          <cell r="Q14">
            <v>0.13197177490971568</v>
          </cell>
          <cell r="R14">
            <v>0.13194064586313403</v>
          </cell>
          <cell r="Y14">
            <v>4.0395307311065158E-2</v>
          </cell>
        </row>
        <row r="15">
          <cell r="F15" t="str">
            <v>Juletræer</v>
          </cell>
          <cell r="G15">
            <v>8.1942098326515649E-3</v>
          </cell>
          <cell r="H15">
            <v>5.2959065402847453E-3</v>
          </cell>
          <cell r="I15">
            <v>3.8857656730126948E-3</v>
          </cell>
          <cell r="O15" t="str">
            <v>Juletræer</v>
          </cell>
          <cell r="P15">
            <v>5.4090883153768499E-3</v>
          </cell>
          <cell r="Q15">
            <v>3.9892107541244148E-3</v>
          </cell>
          <cell r="R15">
            <v>3.0940479065976268E-3</v>
          </cell>
          <cell r="Y15">
            <v>7.5869349743828522E-3</v>
          </cell>
        </row>
        <row r="16">
          <cell r="D16">
            <v>697.69320083554544</v>
          </cell>
          <cell r="F16" t="str">
            <v>Pil &amp; poppel</v>
          </cell>
          <cell r="G16">
            <v>3.0140932866304453E-3</v>
          </cell>
          <cell r="H16">
            <v>8.6978313609362562E-3</v>
          </cell>
          <cell r="I16">
            <v>9.1724425287411978E-3</v>
          </cell>
          <cell r="O16" t="str">
            <v>Pil &amp; poppel</v>
          </cell>
          <cell r="P16">
            <v>2.5711346585440159E-3</v>
          </cell>
          <cell r="Q16">
            <v>8.4665951501828891E-3</v>
          </cell>
          <cell r="R16">
            <v>9.4381433066404435E-3</v>
          </cell>
          <cell r="Y16">
            <v>2.9175094799916215E-3</v>
          </cell>
        </row>
        <row r="17">
          <cell r="D17">
            <v>19720.343681186703</v>
          </cell>
          <cell r="F17" t="str">
            <v>Permanent græs</v>
          </cell>
          <cell r="G17">
            <v>7.2650293633615873E-2</v>
          </cell>
          <cell r="H17">
            <v>0.24584476889448309</v>
          </cell>
          <cell r="I17">
            <v>0.33924520978284484</v>
          </cell>
          <cell r="O17" t="str">
            <v>Permanent græs</v>
          </cell>
          <cell r="P17">
            <v>6.4039786488699332E-2</v>
          </cell>
          <cell r="Q17">
            <v>0.24728806176705159</v>
          </cell>
          <cell r="R17">
            <v>0.36071122752527124</v>
          </cell>
          <cell r="Y17">
            <v>7.0772837129970206E-2</v>
          </cell>
        </row>
        <row r="20">
          <cell r="D20" t="str">
            <v>OC12</v>
          </cell>
        </row>
        <row r="23">
          <cell r="D23">
            <v>1176.2708480000085</v>
          </cell>
        </row>
        <row r="24">
          <cell r="D24">
            <v>30906.035967996911</v>
          </cell>
        </row>
        <row r="25">
          <cell r="D25">
            <v>38.260223999999972</v>
          </cell>
        </row>
      </sheetData>
      <sheetData sheetId="8">
        <row r="5">
          <cell r="A5" t="str">
            <v>Korn</v>
          </cell>
          <cell r="B5">
            <v>70.099999999999994</v>
          </cell>
          <cell r="C5">
            <v>38.555</v>
          </cell>
          <cell r="D5">
            <v>0.67</v>
          </cell>
          <cell r="E5">
            <v>1.2</v>
          </cell>
          <cell r="F5">
            <v>1.4</v>
          </cell>
        </row>
        <row r="6">
          <cell r="A6" t="str">
            <v>Bælgsæd</v>
          </cell>
          <cell r="B6">
            <v>38.6</v>
          </cell>
          <cell r="C6">
            <v>19.309999999999999</v>
          </cell>
          <cell r="D6">
            <v>0.56999999999999995</v>
          </cell>
          <cell r="E6">
            <v>1.2</v>
          </cell>
          <cell r="F6">
            <v>1.4</v>
          </cell>
        </row>
        <row r="7">
          <cell r="A7" t="str">
            <v>Raps</v>
          </cell>
          <cell r="B7">
            <v>44</v>
          </cell>
          <cell r="C7">
            <v>39.6</v>
          </cell>
          <cell r="D7">
            <v>0.55000000000000004</v>
          </cell>
          <cell r="E7">
            <v>1.2</v>
          </cell>
          <cell r="F7">
            <v>1.4</v>
          </cell>
        </row>
        <row r="8">
          <cell r="A8" t="str">
            <v>Græs</v>
          </cell>
          <cell r="B8">
            <v>496.2</v>
          </cell>
          <cell r="D8">
            <v>0.78</v>
          </cell>
          <cell r="E8">
            <v>1.2</v>
          </cell>
          <cell r="F8">
            <v>1.4</v>
          </cell>
        </row>
        <row r="9">
          <cell r="A9" t="str">
            <v>Grøntsager</v>
          </cell>
          <cell r="B9">
            <v>207.5</v>
          </cell>
          <cell r="D9">
            <v>0.56999999999999995</v>
          </cell>
          <cell r="E9">
            <v>1.2</v>
          </cell>
          <cell r="F9">
            <v>1.4</v>
          </cell>
        </row>
        <row r="10">
          <cell r="A10" t="str">
            <v>Kartofler</v>
          </cell>
          <cell r="B10">
            <v>424.70899470899468</v>
          </cell>
          <cell r="D10">
            <v>0.56999999999999995</v>
          </cell>
          <cell r="E10">
            <v>1.2</v>
          </cell>
          <cell r="F10">
            <v>1.4</v>
          </cell>
        </row>
        <row r="11">
          <cell r="A11" t="str">
            <v>Roer</v>
          </cell>
          <cell r="B11">
            <v>812.53731343283573</v>
          </cell>
          <cell r="D11">
            <v>0.56999999999999995</v>
          </cell>
          <cell r="E11">
            <v>1.2</v>
          </cell>
          <cell r="F11">
            <v>1.4</v>
          </cell>
        </row>
        <row r="12">
          <cell r="A12" t="str">
            <v>Majs</v>
          </cell>
          <cell r="B12">
            <v>445.1</v>
          </cell>
          <cell r="D12">
            <v>0.83</v>
          </cell>
          <cell r="E12">
            <v>1.2</v>
          </cell>
          <cell r="F12">
            <v>1.4</v>
          </cell>
        </row>
        <row r="13">
          <cell r="A13" t="str">
            <v>Frugt</v>
          </cell>
          <cell r="B13">
            <v>84.9</v>
          </cell>
          <cell r="D13">
            <v>0.56999999999999995</v>
          </cell>
          <cell r="E13">
            <v>1.2</v>
          </cell>
          <cell r="F13">
            <v>1.4</v>
          </cell>
        </row>
        <row r="14">
          <cell r="A14" t="str">
            <v>Øvrige</v>
          </cell>
          <cell r="B14">
            <v>297.95943508186303</v>
          </cell>
          <cell r="D14">
            <v>0.56999999999999995</v>
          </cell>
          <cell r="E14">
            <v>1.2</v>
          </cell>
          <cell r="F14">
            <v>1.4</v>
          </cell>
        </row>
        <row r="15">
          <cell r="A15" t="str">
            <v>Frø</v>
          </cell>
          <cell r="B15">
            <v>142.8886075949367</v>
          </cell>
          <cell r="C15">
            <v>40</v>
          </cell>
          <cell r="D15">
            <v>0.56999999999999995</v>
          </cell>
          <cell r="E15">
            <v>1.2</v>
          </cell>
          <cell r="F15">
            <v>1.4</v>
          </cell>
        </row>
        <row r="16">
          <cell r="A16" t="str">
            <v>Juletræer</v>
          </cell>
          <cell r="B16">
            <v>500</v>
          </cell>
          <cell r="D16">
            <v>0.56999999999999995</v>
          </cell>
          <cell r="E16">
            <v>1.2</v>
          </cell>
          <cell r="F16">
            <v>1.4</v>
          </cell>
        </row>
        <row r="17">
          <cell r="A17" t="str">
            <v>Pil &amp; poppel</v>
          </cell>
          <cell r="B17">
            <v>243.90243902439025</v>
          </cell>
          <cell r="D17">
            <v>0.56999999999999995</v>
          </cell>
          <cell r="E17">
            <v>1.2</v>
          </cell>
          <cell r="F17">
            <v>1.4</v>
          </cell>
        </row>
        <row r="18">
          <cell r="A18" t="str">
            <v>Permanent græs</v>
          </cell>
          <cell r="B18">
            <v>137.9</v>
          </cell>
          <cell r="D18">
            <v>1</v>
          </cell>
          <cell r="E18">
            <v>1.2</v>
          </cell>
          <cell r="F18">
            <v>1.4</v>
          </cell>
        </row>
      </sheetData>
      <sheetData sheetId="9">
        <row r="2">
          <cell r="A2" t="str">
            <v>Korn</v>
          </cell>
          <cell r="B2">
            <v>0.89989334145969835</v>
          </cell>
          <cell r="C2">
            <v>899.89334145969838</v>
          </cell>
          <cell r="D2">
            <v>5906</v>
          </cell>
          <cell r="E2">
            <v>0.39994582515067378</v>
          </cell>
        </row>
        <row r="3">
          <cell r="A3" t="str">
            <v>Halm</v>
          </cell>
          <cell r="B3">
            <v>0.19003476245654694</v>
          </cell>
          <cell r="C3">
            <v>190.03476245654693</v>
          </cell>
          <cell r="D3">
            <v>164</v>
          </cell>
          <cell r="E3">
            <v>1.1105844111871065E-2</v>
          </cell>
        </row>
        <row r="4">
          <cell r="A4" t="str">
            <v>Kartofler</v>
          </cell>
          <cell r="B4">
            <v>0.25</v>
          </cell>
          <cell r="C4">
            <v>250</v>
          </cell>
          <cell r="D4">
            <v>0</v>
          </cell>
          <cell r="E4">
            <v>0</v>
          </cell>
        </row>
        <row r="5">
          <cell r="A5" t="str">
            <v>Bælgsæd</v>
          </cell>
          <cell r="B5">
            <v>1.0833333333333333</v>
          </cell>
          <cell r="C5">
            <v>1083.3333333333333</v>
          </cell>
          <cell r="D5">
            <v>78</v>
          </cell>
          <cell r="E5">
            <v>5.2820478093045303E-3</v>
          </cell>
        </row>
        <row r="6">
          <cell r="A6" t="str">
            <v>Roer</v>
          </cell>
          <cell r="B6">
            <v>0.15228966986155484</v>
          </cell>
          <cell r="C6">
            <v>152.28966986155484</v>
          </cell>
          <cell r="D6">
            <v>143</v>
          </cell>
          <cell r="E6">
            <v>9.683754317058306E-3</v>
          </cell>
        </row>
        <row r="7">
          <cell r="A7" t="str">
            <v>Majs</v>
          </cell>
          <cell r="B7">
            <v>0.26492478226444971</v>
          </cell>
          <cell r="C7">
            <v>264.92478226444973</v>
          </cell>
          <cell r="D7">
            <v>1673</v>
          </cell>
          <cell r="E7">
            <v>0.1132931536534164</v>
          </cell>
        </row>
        <row r="8">
          <cell r="A8" t="str">
            <v>Rapskage</v>
          </cell>
          <cell r="B8">
            <v>1.00836820083682</v>
          </cell>
          <cell r="C8">
            <v>1008.3682008368201</v>
          </cell>
          <cell r="D8">
            <v>241</v>
          </cell>
          <cell r="E8">
            <v>1.6320173359517843E-2</v>
          </cell>
        </row>
        <row r="9">
          <cell r="A9" t="str">
            <v>Tang</v>
          </cell>
          <cell r="B9">
            <v>1.36</v>
          </cell>
          <cell r="C9">
            <v>1360</v>
          </cell>
          <cell r="D9">
            <v>0</v>
          </cell>
          <cell r="E9">
            <v>0</v>
          </cell>
        </row>
        <row r="10">
          <cell r="A10" t="str">
            <v>Muslinger</v>
          </cell>
          <cell r="B10">
            <v>1.41</v>
          </cell>
          <cell r="C10">
            <v>1410</v>
          </cell>
          <cell r="D10">
            <v>0</v>
          </cell>
          <cell r="E10">
            <v>0</v>
          </cell>
        </row>
        <row r="11">
          <cell r="A11" t="str">
            <v>Græs</v>
          </cell>
          <cell r="B11">
            <v>0.16631286143034918</v>
          </cell>
          <cell r="C11">
            <v>166.31286143034919</v>
          </cell>
          <cell r="D11">
            <v>2272</v>
          </cell>
          <cell r="E11">
            <v>0.15385657208640888</v>
          </cell>
        </row>
        <row r="12">
          <cell r="A12" t="str">
            <v>Mælk til foder</v>
          </cell>
          <cell r="B12">
            <v>9.6335697399527187E-2</v>
          </cell>
          <cell r="C12">
            <v>96.335697399527191</v>
          </cell>
          <cell r="D12">
            <v>163</v>
          </cell>
          <cell r="E12">
            <v>1.1038125550213313E-2</v>
          </cell>
        </row>
        <row r="13">
          <cell r="A13" t="str">
            <v>Fiberfraktion</v>
          </cell>
          <cell r="B13">
            <v>0.30940000000000001</v>
          </cell>
          <cell r="C13">
            <v>309.40000000000003</v>
          </cell>
          <cell r="D13">
            <v>0</v>
          </cell>
          <cell r="E13">
            <v>0</v>
          </cell>
        </row>
        <row r="14">
          <cell r="A14" t="str">
            <v>Græsprotein</v>
          </cell>
          <cell r="B14">
            <v>0.19800000000000001</v>
          </cell>
          <cell r="C14">
            <v>2750</v>
          </cell>
          <cell r="D14">
            <v>0</v>
          </cell>
          <cell r="E14">
            <v>0</v>
          </cell>
        </row>
        <row r="15">
          <cell r="A15" t="str">
            <v>Slagteriaffald til foder</v>
          </cell>
          <cell r="B15">
            <v>2.75</v>
          </cell>
          <cell r="C15">
            <v>2750</v>
          </cell>
          <cell r="D15">
            <v>121</v>
          </cell>
          <cell r="E15">
            <v>8.1939459605877979E-3</v>
          </cell>
        </row>
        <row r="16">
          <cell r="A16" t="str">
            <v>Import af foder</v>
          </cell>
          <cell r="B16">
            <v>0.74322820037105752</v>
          </cell>
          <cell r="C16">
            <v>743.22820037105748</v>
          </cell>
          <cell r="D16">
            <v>4006</v>
          </cell>
          <cell r="E16">
            <v>0.27128055800094808</v>
          </cell>
        </row>
        <row r="20">
          <cell r="D20" t="str">
            <v>Modelnavn</v>
          </cell>
        </row>
        <row r="23">
          <cell r="D23" t="str">
            <v>Korn</v>
          </cell>
        </row>
      </sheetData>
      <sheetData sheetId="10">
        <row r="11">
          <cell r="D11" t="str">
            <v>Fra Virkemidler til reduktion af klimagasser I landbruget, s. 94 - OBS: producerede mængder er fra 2015</v>
          </cell>
        </row>
        <row r="13">
          <cell r="C13" t="str">
            <v>Køer</v>
          </cell>
          <cell r="D13" t="str">
            <v>Svin</v>
          </cell>
          <cell r="E13" t="str">
            <v>Fjerkræ</v>
          </cell>
        </row>
        <row r="14">
          <cell r="A14" t="str">
            <v>Vestdanmark</v>
          </cell>
          <cell r="B14" t="str">
            <v>Konventionel</v>
          </cell>
          <cell r="C14">
            <v>1184629</v>
          </cell>
          <cell r="D14">
            <v>10266966</v>
          </cell>
          <cell r="E14">
            <v>18212034</v>
          </cell>
        </row>
        <row r="15">
          <cell r="A15" t="str">
            <v>Vestdanmark</v>
          </cell>
          <cell r="B15" t="str">
            <v>Økologisk</v>
          </cell>
          <cell r="C15">
            <v>207835</v>
          </cell>
          <cell r="D15">
            <v>475477</v>
          </cell>
          <cell r="E15">
            <v>3062300</v>
          </cell>
        </row>
        <row r="16">
          <cell r="A16" t="str">
            <v>Østdanmark</v>
          </cell>
          <cell r="B16" t="str">
            <v>Konventionel</v>
          </cell>
          <cell r="C16">
            <v>82455</v>
          </cell>
          <cell r="D16">
            <v>1541102</v>
          </cell>
          <cell r="E16">
            <v>1570560</v>
          </cell>
        </row>
        <row r="17">
          <cell r="A17" t="str">
            <v>Østdanmark</v>
          </cell>
          <cell r="B17" t="str">
            <v>Økologisk</v>
          </cell>
          <cell r="C17">
            <v>16513</v>
          </cell>
          <cell r="D17">
            <v>15447</v>
          </cell>
          <cell r="E17">
            <v>214987</v>
          </cell>
        </row>
        <row r="22">
          <cell r="D22">
            <v>29506</v>
          </cell>
          <cell r="E22">
            <v>287584</v>
          </cell>
          <cell r="F22">
            <v>864637</v>
          </cell>
        </row>
        <row r="23">
          <cell r="D23">
            <v>69462</v>
          </cell>
          <cell r="E23">
            <v>1268965</v>
          </cell>
          <cell r="F23">
            <v>920910</v>
          </cell>
        </row>
        <row r="24">
          <cell r="D24">
            <v>571543</v>
          </cell>
          <cell r="E24">
            <v>3681778</v>
          </cell>
          <cell r="F24">
            <v>9783918</v>
          </cell>
        </row>
        <row r="25">
          <cell r="D25">
            <v>475308</v>
          </cell>
          <cell r="E25">
            <v>4307984</v>
          </cell>
          <cell r="F25">
            <v>4748413</v>
          </cell>
        </row>
        <row r="26">
          <cell r="D26">
            <v>345613</v>
          </cell>
          <cell r="E26">
            <v>2752681</v>
          </cell>
          <cell r="F26">
            <v>6742003</v>
          </cell>
        </row>
        <row r="36">
          <cell r="C36">
            <v>848</v>
          </cell>
          <cell r="D36">
            <v>2359</v>
          </cell>
          <cell r="E36">
            <v>24420</v>
          </cell>
          <cell r="F36">
            <v>22801</v>
          </cell>
          <cell r="G36">
            <v>18657</v>
          </cell>
        </row>
        <row r="37">
          <cell r="C37">
            <v>505</v>
          </cell>
          <cell r="D37">
            <v>1349</v>
          </cell>
          <cell r="E37">
            <v>8183</v>
          </cell>
          <cell r="F37">
            <v>6354</v>
          </cell>
          <cell r="G37">
            <v>6057</v>
          </cell>
        </row>
        <row r="38">
          <cell r="C38">
            <v>1082</v>
          </cell>
          <cell r="D38">
            <v>3051</v>
          </cell>
          <cell r="E38">
            <v>22312</v>
          </cell>
          <cell r="F38">
            <v>17972</v>
          </cell>
          <cell r="G38">
            <v>14772</v>
          </cell>
        </row>
        <row r="39">
          <cell r="C39">
            <v>659</v>
          </cell>
          <cell r="D39">
            <v>495</v>
          </cell>
          <cell r="E39">
            <v>10929</v>
          </cell>
          <cell r="F39">
            <v>12310</v>
          </cell>
          <cell r="G39">
            <v>8777</v>
          </cell>
        </row>
        <row r="40">
          <cell r="C40">
            <v>247</v>
          </cell>
          <cell r="D40">
            <v>554</v>
          </cell>
          <cell r="E40">
            <v>1582</v>
          </cell>
          <cell r="F40">
            <v>1770</v>
          </cell>
          <cell r="G40">
            <v>1399</v>
          </cell>
        </row>
        <row r="41">
          <cell r="C41">
            <v>16</v>
          </cell>
          <cell r="D41">
            <v>20</v>
          </cell>
          <cell r="E41">
            <v>74</v>
          </cell>
          <cell r="F41">
            <v>75</v>
          </cell>
          <cell r="G41">
            <v>75</v>
          </cell>
        </row>
        <row r="42">
          <cell r="C42">
            <v>251</v>
          </cell>
          <cell r="D42">
            <v>1073</v>
          </cell>
          <cell r="E42">
            <v>2693</v>
          </cell>
          <cell r="F42">
            <v>3331</v>
          </cell>
          <cell r="G42">
            <v>1718</v>
          </cell>
        </row>
        <row r="43">
          <cell r="C43">
            <v>141</v>
          </cell>
          <cell r="D43">
            <v>378</v>
          </cell>
          <cell r="E43">
            <v>1131</v>
          </cell>
          <cell r="F43">
            <v>688</v>
          </cell>
          <cell r="G43">
            <v>533</v>
          </cell>
        </row>
        <row r="44">
          <cell r="C44">
            <v>495</v>
          </cell>
          <cell r="D44">
            <v>970</v>
          </cell>
          <cell r="E44">
            <v>2301</v>
          </cell>
          <cell r="F44">
            <v>2635</v>
          </cell>
          <cell r="G44">
            <v>1321</v>
          </cell>
        </row>
        <row r="45">
          <cell r="C45">
            <v>75</v>
          </cell>
          <cell r="D45">
            <v>163</v>
          </cell>
          <cell r="E45">
            <v>950</v>
          </cell>
          <cell r="F45">
            <v>2513</v>
          </cell>
          <cell r="G45">
            <v>573</v>
          </cell>
        </row>
        <row r="46">
          <cell r="C46">
            <v>26</v>
          </cell>
          <cell r="D46">
            <v>42</v>
          </cell>
          <cell r="E46">
            <v>296</v>
          </cell>
          <cell r="F46">
            <v>693</v>
          </cell>
          <cell r="G46">
            <v>112</v>
          </cell>
        </row>
        <row r="47">
          <cell r="C47" t="str">
            <v xml:space="preserve"> </v>
          </cell>
          <cell r="D47">
            <v>15</v>
          </cell>
          <cell r="E47">
            <v>14</v>
          </cell>
          <cell r="F47">
            <v>17</v>
          </cell>
          <cell r="G47">
            <v>11</v>
          </cell>
        </row>
        <row r="48">
          <cell r="C48">
            <v>23</v>
          </cell>
          <cell r="D48">
            <v>91</v>
          </cell>
          <cell r="E48">
            <v>262</v>
          </cell>
          <cell r="F48">
            <v>190</v>
          </cell>
          <cell r="G48">
            <v>127</v>
          </cell>
        </row>
        <row r="49">
          <cell r="C49">
            <v>369</v>
          </cell>
          <cell r="D49">
            <v>271</v>
          </cell>
          <cell r="E49">
            <v>1733</v>
          </cell>
          <cell r="F49">
            <v>1437</v>
          </cell>
          <cell r="G49">
            <v>993</v>
          </cell>
        </row>
        <row r="50">
          <cell r="C50">
            <v>294</v>
          </cell>
          <cell r="D50">
            <v>643</v>
          </cell>
          <cell r="E50">
            <v>736</v>
          </cell>
          <cell r="F50">
            <v>1319</v>
          </cell>
          <cell r="G50">
            <v>985</v>
          </cell>
        </row>
        <row r="51">
          <cell r="C51" t="str">
            <v xml:space="preserve"> </v>
          </cell>
          <cell r="D51">
            <v>8</v>
          </cell>
          <cell r="E51">
            <v>2</v>
          </cell>
          <cell r="F51">
            <v>2</v>
          </cell>
          <cell r="G51" t="str">
            <v xml:space="preserve"> </v>
          </cell>
        </row>
        <row r="58">
          <cell r="C58">
            <v>57</v>
          </cell>
          <cell r="D58">
            <v>450</v>
          </cell>
          <cell r="E58">
            <v>4506</v>
          </cell>
          <cell r="F58">
            <v>5750</v>
          </cell>
          <cell r="G58">
            <v>1898</v>
          </cell>
        </row>
        <row r="59">
          <cell r="C59">
            <v>655</v>
          </cell>
          <cell r="D59">
            <v>4922</v>
          </cell>
          <cell r="E59">
            <v>104993</v>
          </cell>
          <cell r="F59">
            <v>108801</v>
          </cell>
          <cell r="G59">
            <v>26855</v>
          </cell>
        </row>
        <row r="60">
          <cell r="C60">
            <v>1641</v>
          </cell>
          <cell r="D60">
            <v>7721</v>
          </cell>
          <cell r="E60">
            <v>85643</v>
          </cell>
          <cell r="F60">
            <v>100177</v>
          </cell>
          <cell r="G60">
            <v>36846</v>
          </cell>
        </row>
        <row r="61">
          <cell r="C61" t="str">
            <v xml:space="preserve"> </v>
          </cell>
          <cell r="D61">
            <v>1</v>
          </cell>
          <cell r="E61">
            <v>4</v>
          </cell>
          <cell r="F61">
            <v>4</v>
          </cell>
          <cell r="G61" t="str">
            <v xml:space="preserve"> </v>
          </cell>
        </row>
        <row r="65">
          <cell r="C65">
            <v>6712</v>
          </cell>
          <cell r="D65">
            <v>166472</v>
          </cell>
          <cell r="E65">
            <v>293520</v>
          </cell>
          <cell r="F65">
            <v>541007</v>
          </cell>
          <cell r="G65">
            <v>271753</v>
          </cell>
        </row>
        <row r="66">
          <cell r="C66" t="str">
            <v xml:space="preserve"> </v>
          </cell>
          <cell r="D66">
            <v>24</v>
          </cell>
          <cell r="E66" t="str">
            <v xml:space="preserve"> </v>
          </cell>
          <cell r="F66" t="str">
            <v xml:space="preserve"> </v>
          </cell>
          <cell r="G66" t="str">
            <v xml:space="preserve"> </v>
          </cell>
        </row>
        <row r="67">
          <cell r="C67" t="str">
            <v xml:space="preserve"> </v>
          </cell>
          <cell r="D67">
            <v>25005</v>
          </cell>
          <cell r="E67">
            <v>101840</v>
          </cell>
          <cell r="F67">
            <v>166634</v>
          </cell>
          <cell r="G67">
            <v>251586</v>
          </cell>
        </row>
        <row r="68">
          <cell r="C68" t="str">
            <v xml:space="preserve"> </v>
          </cell>
          <cell r="D68">
            <v>50</v>
          </cell>
          <cell r="E68" t="str">
            <v xml:space="preserve"> </v>
          </cell>
          <cell r="F68" t="str">
            <v xml:space="preserve"> </v>
          </cell>
          <cell r="G68" t="str">
            <v xml:space="preserve"> </v>
          </cell>
        </row>
        <row r="69">
          <cell r="C69">
            <v>200</v>
          </cell>
          <cell r="D69">
            <v>50</v>
          </cell>
          <cell r="E69" t="str">
            <v xml:space="preserve"> </v>
          </cell>
          <cell r="F69">
            <v>72</v>
          </cell>
          <cell r="G69" t="str">
            <v xml:space="preserve"> </v>
          </cell>
        </row>
        <row r="70">
          <cell r="C70" t="str">
            <v xml:space="preserve"> </v>
          </cell>
          <cell r="D70">
            <v>7443</v>
          </cell>
          <cell r="E70">
            <v>292682</v>
          </cell>
          <cell r="F70">
            <v>24810</v>
          </cell>
          <cell r="G70">
            <v>899700</v>
          </cell>
        </row>
        <row r="71">
          <cell r="C71" t="str">
            <v xml:space="preserve"> </v>
          </cell>
          <cell r="D71" t="str">
            <v xml:space="preserve"> </v>
          </cell>
          <cell r="E71">
            <v>72</v>
          </cell>
          <cell r="F71" t="str">
            <v xml:space="preserve"> </v>
          </cell>
          <cell r="G71" t="str">
            <v xml:space="preserve"> </v>
          </cell>
        </row>
        <row r="72">
          <cell r="C72" t="str">
            <v xml:space="preserve"> </v>
          </cell>
          <cell r="D72">
            <v>50</v>
          </cell>
          <cell r="E72">
            <v>50</v>
          </cell>
          <cell r="F72">
            <v>1005</v>
          </cell>
          <cell r="G72" t="str">
            <v xml:space="preserve"> </v>
          </cell>
        </row>
        <row r="73">
          <cell r="C73" t="str">
            <v xml:space="preserve"> </v>
          </cell>
          <cell r="D73" t="str">
            <v xml:space="preserve"> </v>
          </cell>
          <cell r="E73">
            <v>50</v>
          </cell>
          <cell r="F73">
            <v>160</v>
          </cell>
          <cell r="G73" t="str">
            <v xml:space="preserve"> </v>
          </cell>
        </row>
        <row r="74">
          <cell r="C74" t="str">
            <v xml:space="preserve"> </v>
          </cell>
          <cell r="D74">
            <v>2</v>
          </cell>
          <cell r="E74" t="str">
            <v xml:space="preserve"> </v>
          </cell>
          <cell r="F74" t="str">
            <v xml:space="preserve"> </v>
          </cell>
          <cell r="G74">
            <v>102</v>
          </cell>
        </row>
        <row r="75">
          <cell r="C75">
            <v>363</v>
          </cell>
          <cell r="D75">
            <v>2327</v>
          </cell>
          <cell r="E75">
            <v>450</v>
          </cell>
          <cell r="F75">
            <v>2901</v>
          </cell>
          <cell r="G75">
            <v>80</v>
          </cell>
        </row>
        <row r="76">
          <cell r="C76" t="str">
            <v xml:space="preserve"> </v>
          </cell>
          <cell r="D76" t="str">
            <v xml:space="preserve"> </v>
          </cell>
          <cell r="E76">
            <v>12</v>
          </cell>
          <cell r="F76" t="str">
            <v xml:space="preserve"> </v>
          </cell>
          <cell r="G76" t="str">
            <v xml:space="preserve"> </v>
          </cell>
        </row>
        <row r="77">
          <cell r="C77">
            <v>423</v>
          </cell>
          <cell r="D77">
            <v>5846</v>
          </cell>
          <cell r="E77">
            <v>3283</v>
          </cell>
          <cell r="F77">
            <v>152100</v>
          </cell>
          <cell r="G77">
            <v>58205</v>
          </cell>
        </row>
        <row r="78">
          <cell r="C78" t="str">
            <v xml:space="preserve"> </v>
          </cell>
          <cell r="D78">
            <v>20</v>
          </cell>
          <cell r="E78">
            <v>24</v>
          </cell>
          <cell r="F78" t="str">
            <v xml:space="preserve"> </v>
          </cell>
          <cell r="G78">
            <v>202</v>
          </cell>
        </row>
      </sheetData>
      <sheetData sheetId="11">
        <row r="4">
          <cell r="S4">
            <v>10</v>
          </cell>
          <cell r="T4">
            <v>20</v>
          </cell>
          <cell r="U4">
            <v>30</v>
          </cell>
          <cell r="V4">
            <v>40</v>
          </cell>
          <cell r="W4">
            <v>100</v>
          </cell>
        </row>
        <row r="5">
          <cell r="R5" t="str">
            <v>Skovtype1</v>
          </cell>
          <cell r="S5">
            <v>0</v>
          </cell>
          <cell r="T5">
            <v>0</v>
          </cell>
          <cell r="U5">
            <v>0</v>
          </cell>
          <cell r="V5">
            <v>3.2978723404255318E-3</v>
          </cell>
          <cell r="W5">
            <v>1.7021276595744681E-3</v>
          </cell>
        </row>
        <row r="6">
          <cell r="R6" t="str">
            <v>Skovtype2</v>
          </cell>
          <cell r="S6">
            <v>0</v>
          </cell>
          <cell r="T6">
            <v>1.5254237288135596E-3</v>
          </cell>
          <cell r="U6">
            <v>1.7372881355932203E-3</v>
          </cell>
          <cell r="V6">
            <v>8.8983050847457623E-4</v>
          </cell>
          <cell r="W6">
            <v>8.4745762711864404E-4</v>
          </cell>
        </row>
        <row r="7">
          <cell r="R7" t="str">
            <v>Skovtype3</v>
          </cell>
          <cell r="S7">
            <v>0</v>
          </cell>
          <cell r="T7">
            <v>0</v>
          </cell>
          <cell r="U7">
            <v>0</v>
          </cell>
          <cell r="V7">
            <v>1.818181818181818E-3</v>
          </cell>
          <cell r="W7">
            <v>3.1818181818181819E-3</v>
          </cell>
        </row>
        <row r="8">
          <cell r="R8" t="str">
            <v>Skovtype4</v>
          </cell>
          <cell r="S8">
            <v>0</v>
          </cell>
          <cell r="T8">
            <v>2.1951219512195124E-3</v>
          </cell>
          <cell r="U8">
            <v>1.2195121951219514E-3</v>
          </cell>
          <cell r="V8">
            <v>6.7073170731707312E-4</v>
          </cell>
          <cell r="W8">
            <v>9.1463414634146336E-4</v>
          </cell>
        </row>
        <row r="9">
          <cell r="R9" t="str">
            <v>Skovtype5</v>
          </cell>
          <cell r="S9">
            <v>0</v>
          </cell>
          <cell r="T9">
            <v>0</v>
          </cell>
          <cell r="U9">
            <v>3.3333333333333332E-4</v>
          </cell>
          <cell r="V9">
            <v>2.6666666666666666E-3</v>
          </cell>
          <cell r="W9">
            <v>2E-3</v>
          </cell>
        </row>
        <row r="11">
          <cell r="D11">
            <v>0</v>
          </cell>
        </row>
        <row r="12">
          <cell r="D12">
            <v>0.5798693329878496</v>
          </cell>
        </row>
        <row r="13">
          <cell r="D13">
            <v>2.0295426654574724</v>
          </cell>
        </row>
        <row r="18">
          <cell r="D18">
            <v>20</v>
          </cell>
        </row>
        <row r="19">
          <cell r="D19">
            <v>0</v>
          </cell>
        </row>
        <row r="20">
          <cell r="D20">
            <v>0.48888888888888882</v>
          </cell>
        </row>
        <row r="23">
          <cell r="D23">
            <v>0</v>
          </cell>
        </row>
        <row r="24">
          <cell r="D24">
            <v>0.77777777777777768</v>
          </cell>
        </row>
        <row r="25">
          <cell r="D25">
            <v>2.6094119984453221</v>
          </cell>
        </row>
      </sheetData>
      <sheetData sheetId="12">
        <row r="11">
          <cell r="D11">
            <v>0</v>
          </cell>
        </row>
        <row r="12">
          <cell r="D12">
            <v>2.6666666666666665</v>
          </cell>
        </row>
        <row r="13">
          <cell r="D13">
            <v>0</v>
          </cell>
        </row>
        <row r="16">
          <cell r="D16">
            <v>306</v>
          </cell>
        </row>
        <row r="17">
          <cell r="D17">
            <v>22</v>
          </cell>
        </row>
        <row r="18">
          <cell r="D18">
            <v>0</v>
          </cell>
        </row>
        <row r="19">
          <cell r="D19">
            <v>104</v>
          </cell>
        </row>
        <row r="20">
          <cell r="D20">
            <v>7</v>
          </cell>
        </row>
        <row r="23">
          <cell r="D23">
            <v>18</v>
          </cell>
        </row>
        <row r="24">
          <cell r="D24">
            <v>0</v>
          </cell>
        </row>
        <row r="25">
          <cell r="D25">
            <v>118</v>
          </cell>
        </row>
      </sheetData>
      <sheetData sheetId="13">
        <row r="3">
          <cell r="A3" t="str">
            <v>Årstal</v>
          </cell>
          <cell r="B3">
            <v>2019</v>
          </cell>
          <cell r="C3">
            <v>2030</v>
          </cell>
          <cell r="D3">
            <v>2050</v>
          </cell>
        </row>
        <row r="4">
          <cell r="A4" t="str">
            <v>Antal personer</v>
          </cell>
          <cell r="B4">
            <v>5806081</v>
          </cell>
          <cell r="C4">
            <v>6043285</v>
          </cell>
          <cell r="D4">
            <v>6301050</v>
          </cell>
        </row>
        <row r="5">
          <cell r="A5" t="str">
            <v>Vestdanmark</v>
          </cell>
          <cell r="B5">
            <v>3133781</v>
          </cell>
          <cell r="C5">
            <v>3238884</v>
          </cell>
          <cell r="D5">
            <v>3365158</v>
          </cell>
        </row>
        <row r="6">
          <cell r="A6" t="str">
            <v>Østdanmark</v>
          </cell>
          <cell r="B6">
            <v>2672300</v>
          </cell>
          <cell r="C6">
            <v>2804401</v>
          </cell>
          <cell r="D6">
            <v>2935892</v>
          </cell>
        </row>
        <row r="11">
          <cell r="D11">
            <v>1835562</v>
          </cell>
        </row>
        <row r="12">
          <cell r="D12">
            <v>836738</v>
          </cell>
        </row>
        <row r="13">
          <cell r="D13">
            <v>1223348</v>
          </cell>
        </row>
        <row r="19">
          <cell r="D19">
            <v>2048</v>
          </cell>
        </row>
        <row r="20">
          <cell r="D20">
            <v>2050612</v>
          </cell>
        </row>
        <row r="23">
          <cell r="D23">
            <v>1481432</v>
          </cell>
        </row>
        <row r="24">
          <cell r="D24">
            <v>603952</v>
          </cell>
        </row>
      </sheetData>
      <sheetData sheetId="14">
        <row r="16">
          <cell r="D16" t="str">
            <v>..</v>
          </cell>
        </row>
        <row r="17">
          <cell r="D17" t="str">
            <v>..</v>
          </cell>
        </row>
        <row r="18">
          <cell r="D18">
            <v>706269</v>
          </cell>
        </row>
        <row r="19">
          <cell r="D19" t="str">
            <v>..</v>
          </cell>
        </row>
        <row r="20">
          <cell r="D20" t="str">
            <v>..</v>
          </cell>
        </row>
      </sheetData>
      <sheetData sheetId="15">
        <row r="16">
          <cell r="D16">
            <v>189772</v>
          </cell>
        </row>
        <row r="17">
          <cell r="D17">
            <v>488981</v>
          </cell>
        </row>
        <row r="18">
          <cell r="D18">
            <v>222906</v>
          </cell>
        </row>
        <row r="19">
          <cell r="D19">
            <v>224372</v>
          </cell>
        </row>
        <row r="23">
          <cell r="D23" t="str">
            <v>100030 Mejerier</v>
          </cell>
        </row>
        <row r="24">
          <cell r="D24">
            <v>0</v>
          </cell>
        </row>
        <row r="25">
          <cell r="D25">
            <v>9</v>
          </cell>
        </row>
      </sheetData>
      <sheetData sheetId="16">
        <row r="2">
          <cell r="A2" t="str">
            <v>Halm</v>
          </cell>
          <cell r="B2">
            <v>160.6</v>
          </cell>
          <cell r="C2">
            <v>0.85</v>
          </cell>
        </row>
        <row r="3">
          <cell r="A3" t="str">
            <v>Græs</v>
          </cell>
          <cell r="B3">
            <v>51.25</v>
          </cell>
          <cell r="C3">
            <v>0.28000000000000003</v>
          </cell>
        </row>
        <row r="4">
          <cell r="A4" t="str">
            <v>Svinegylle</v>
          </cell>
          <cell r="B4">
            <v>12</v>
          </cell>
          <cell r="C4">
            <v>0.05</v>
          </cell>
        </row>
        <row r="5">
          <cell r="A5" t="str">
            <v>Kvæggylle</v>
          </cell>
          <cell r="B5">
            <v>14.1</v>
          </cell>
          <cell r="C5">
            <v>7.5999999999999998E-2</v>
          </cell>
        </row>
        <row r="6">
          <cell r="A6" t="str">
            <v>Fjerkrægylle</v>
          </cell>
          <cell r="B6">
            <v>13.1</v>
          </cell>
          <cell r="C6">
            <v>6.3E-2</v>
          </cell>
        </row>
        <row r="7">
          <cell r="A7" t="str">
            <v>Dybstrøelse</v>
          </cell>
          <cell r="B7">
            <v>60</v>
          </cell>
          <cell r="C7">
            <v>0.3</v>
          </cell>
        </row>
        <row r="8">
          <cell r="A8" t="str">
            <v>Majs</v>
          </cell>
          <cell r="B8">
            <v>100</v>
          </cell>
          <cell r="C8">
            <v>0.3</v>
          </cell>
        </row>
        <row r="9">
          <cell r="A9" t="str">
            <v>Roer</v>
          </cell>
          <cell r="B9">
            <v>75.599999999999994</v>
          </cell>
          <cell r="C9">
            <v>0.2</v>
          </cell>
        </row>
        <row r="10">
          <cell r="A10" t="str">
            <v>Bioaffald</v>
          </cell>
          <cell r="B10">
            <v>94.9</v>
          </cell>
          <cell r="C10">
            <v>0.28000000000000003</v>
          </cell>
        </row>
        <row r="11">
          <cell r="A11" t="str">
            <v>Industriaffald</v>
          </cell>
          <cell r="B11">
            <v>120.7</v>
          </cell>
          <cell r="C11">
            <v>0.42</v>
          </cell>
        </row>
        <row r="12">
          <cell r="A12" t="str">
            <v>Muslinger</v>
          </cell>
          <cell r="B12">
            <v>25</v>
          </cell>
          <cell r="C12">
            <v>0.15</v>
          </cell>
        </row>
        <row r="13">
          <cell r="A13" t="str">
            <v>Tang</v>
          </cell>
          <cell r="B13">
            <v>25</v>
          </cell>
          <cell r="C13">
            <v>0.15</v>
          </cell>
        </row>
        <row r="14">
          <cell r="A14" t="str">
            <v>Korn</v>
          </cell>
          <cell r="B14">
            <v>95.4</v>
          </cell>
          <cell r="C14">
            <v>0.31</v>
          </cell>
        </row>
        <row r="15">
          <cell r="A15" t="str">
            <v>Have/parkaffald</v>
          </cell>
          <cell r="B15">
            <v>47.3</v>
          </cell>
          <cell r="C15">
            <v>0.3</v>
          </cell>
        </row>
        <row r="16">
          <cell r="A16" t="str">
            <v>Brun saft</v>
          </cell>
          <cell r="B16">
            <v>15.822453396634783</v>
          </cell>
          <cell r="C16">
            <v>4.2763387558472386E-2</v>
          </cell>
        </row>
        <row r="17">
          <cell r="A17" t="str">
            <v>Glycerin</v>
          </cell>
          <cell r="B17">
            <v>423.36</v>
          </cell>
          <cell r="C17">
            <v>0.9</v>
          </cell>
        </row>
        <row r="18">
          <cell r="A18" t="str">
            <v>Spildevandsslam</v>
          </cell>
          <cell r="B18">
            <v>13.9</v>
          </cell>
          <cell r="C18">
            <v>0.06</v>
          </cell>
        </row>
      </sheetData>
      <sheetData sheetId="17">
        <row r="2">
          <cell r="A2" t="str">
            <v>Halm</v>
          </cell>
          <cell r="B2" t="str">
            <v>PJ/ton</v>
          </cell>
          <cell r="C2">
            <v>1.0335806339134365E-5</v>
          </cell>
        </row>
        <row r="3">
          <cell r="A3" t="str">
            <v>Rapsolie</v>
          </cell>
          <cell r="B3" t="str">
            <v>PJ/ton</v>
          </cell>
          <cell r="C3">
            <v>3.4999999999999997E-5</v>
          </cell>
        </row>
        <row r="4">
          <cell r="A4" t="str">
            <v>Pil &amp; poppel</v>
          </cell>
          <cell r="B4" t="str">
            <v>PJ/ton</v>
          </cell>
          <cell r="C4">
            <v>1.8399999999999997E-5</v>
          </cell>
        </row>
        <row r="5">
          <cell r="A5" t="str">
            <v>Træ til energi</v>
          </cell>
          <cell r="B5" t="str">
            <v>PJ/m3</v>
          </cell>
          <cell r="C5">
            <v>1.449356890077532E-5</v>
          </cell>
        </row>
        <row r="6">
          <cell r="A6" t="str">
            <v>Have/parkaffald</v>
          </cell>
          <cell r="B6" t="str">
            <v>PJ/ton</v>
          </cell>
          <cell r="C6">
            <v>1.7852220520673815E-5</v>
          </cell>
        </row>
        <row r="7">
          <cell r="A7" t="str">
            <v>Bioaffald</v>
          </cell>
          <cell r="B7" t="str">
            <v>PJ/ton</v>
          </cell>
          <cell r="C7">
            <v>1.7852220520673815E-5</v>
          </cell>
        </row>
        <row r="8">
          <cell r="A8" t="str">
            <v>Pyrolyseolie</v>
          </cell>
          <cell r="B8" t="str">
            <v>PJ/ton</v>
          </cell>
          <cell r="C8">
            <v>3.326857142857142E-5</v>
          </cell>
        </row>
        <row r="9">
          <cell r="A9" t="str">
            <v>Pyrolysegas</v>
          </cell>
          <cell r="B9" t="str">
            <v>PJ/ton</v>
          </cell>
          <cell r="C9">
            <v>8.9614285714285689E-6</v>
          </cell>
        </row>
        <row r="10">
          <cell r="A10" t="str">
            <v>Biogas</v>
          </cell>
          <cell r="B10" t="str">
            <v>PJ/m3</v>
          </cell>
          <cell r="C10">
            <v>3.5900000000000004E-8</v>
          </cell>
        </row>
        <row r="13">
          <cell r="D13" t="str">
            <v>DK-BioRes 2019</v>
          </cell>
        </row>
        <row r="18">
          <cell r="D18">
            <v>215072</v>
          </cell>
        </row>
        <row r="19">
          <cell r="D19">
            <v>1.449356890077532E-5</v>
          </cell>
        </row>
        <row r="24">
          <cell r="D24">
            <v>1.7852220520673815E-5</v>
          </cell>
        </row>
      </sheetData>
      <sheetData sheetId="18">
        <row r="2">
          <cell r="A2" t="str">
            <v>Bælgsæd</v>
          </cell>
          <cell r="B2">
            <v>0.85</v>
          </cell>
        </row>
        <row r="3">
          <cell r="A3" t="str">
            <v>Bioaffald</v>
          </cell>
          <cell r="B3">
            <v>0.28000000000000003</v>
          </cell>
        </row>
        <row r="4">
          <cell r="A4" t="str">
            <v>Brun saft</v>
          </cell>
          <cell r="B4">
            <v>4.2763387558472386E-2</v>
          </cell>
        </row>
        <row r="5">
          <cell r="A5" t="str">
            <v>Dybstrøelse</v>
          </cell>
          <cell r="B5">
            <v>0.3</v>
          </cell>
        </row>
        <row r="6">
          <cell r="A6" t="str">
            <v>Fjerkrægylle</v>
          </cell>
          <cell r="B6">
            <v>6.3E-2</v>
          </cell>
        </row>
        <row r="7">
          <cell r="A7" t="str">
            <v>Glycerin</v>
          </cell>
          <cell r="B7">
            <v>0.9</v>
          </cell>
        </row>
        <row r="8">
          <cell r="A8" t="str">
            <v>Græs</v>
          </cell>
          <cell r="B8">
            <v>0.28000000000000003</v>
          </cell>
        </row>
        <row r="9">
          <cell r="A9" t="str">
            <v>Halm</v>
          </cell>
          <cell r="B9">
            <v>0.85</v>
          </cell>
        </row>
        <row r="10">
          <cell r="A10" t="str">
            <v>Have/parkaffald</v>
          </cell>
          <cell r="B10">
            <v>0.3</v>
          </cell>
        </row>
        <row r="11">
          <cell r="A11" t="str">
            <v>Industriaffald</v>
          </cell>
          <cell r="B11">
            <v>0.42</v>
          </cell>
        </row>
        <row r="12">
          <cell r="A12" t="str">
            <v>Kartofler</v>
          </cell>
          <cell r="B12">
            <v>0.25</v>
          </cell>
        </row>
        <row r="13">
          <cell r="A13" t="str">
            <v>Korn</v>
          </cell>
          <cell r="B13">
            <v>0.31</v>
          </cell>
        </row>
        <row r="14">
          <cell r="A14" t="str">
            <v>Kvæggylle</v>
          </cell>
          <cell r="B14">
            <v>7.5999999999999998E-2</v>
          </cell>
        </row>
        <row r="15">
          <cell r="A15" t="str">
            <v>Majs</v>
          </cell>
          <cell r="B15">
            <v>0.3</v>
          </cell>
        </row>
        <row r="16">
          <cell r="A16" t="str">
            <v>Muslinger</v>
          </cell>
          <cell r="B16">
            <v>0.15</v>
          </cell>
        </row>
        <row r="17">
          <cell r="A17" t="str">
            <v>Pil &amp; poppel</v>
          </cell>
          <cell r="B17">
            <v>0.41500000000000004</v>
          </cell>
        </row>
        <row r="18">
          <cell r="A18" t="str">
            <v>Raps</v>
          </cell>
          <cell r="B18">
            <v>0.91</v>
          </cell>
        </row>
        <row r="19">
          <cell r="A19" t="str">
            <v>Rapskage</v>
          </cell>
          <cell r="B19">
            <v>0.91</v>
          </cell>
        </row>
        <row r="20">
          <cell r="A20" t="str">
            <v>Roer</v>
          </cell>
          <cell r="B20">
            <v>0.2</v>
          </cell>
        </row>
        <row r="21">
          <cell r="A21" t="str">
            <v>Spildevandsslam</v>
          </cell>
          <cell r="B21">
            <v>0.06</v>
          </cell>
        </row>
        <row r="22">
          <cell r="A22" t="str">
            <v>Svinegylle</v>
          </cell>
          <cell r="B22">
            <v>0.05</v>
          </cell>
        </row>
        <row r="23">
          <cell r="A23" t="str">
            <v>Tang</v>
          </cell>
          <cell r="B23">
            <v>0.15</v>
          </cell>
        </row>
        <row r="24">
          <cell r="A24" t="str">
            <v>Træ til energi</v>
          </cell>
          <cell r="B24">
            <v>0.49458333333333332</v>
          </cell>
        </row>
      </sheetData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_rels/pivotCacheDefinition6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6.xml"/></Relationships>
</file>

<file path=xl/pivotCache/_rels/pivotCacheDefinition7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7.xml"/></Relationships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8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444443" createdVersion="7" refreshedVersion="7" minRefreshableVersion="3" recordCount="415" xr:uid="{36C76FB9-81B2-490E-BBB1-DC6F97FF2F43}">
  <cacheSource type="worksheet">
    <worksheetSource ref="A1:E416" sheet="Forbrug af biomasse"/>
  </cacheSource>
  <cacheFields count="5">
    <cacheField name="Type" numFmtId="0">
      <sharedItems containsBlank="1" count="10">
        <s v="Fødevarer"/>
        <s v="Biogas"/>
        <s v="Foder"/>
        <s v="Energi"/>
        <s v="Materialer"/>
        <s v="Gødning"/>
        <s v="Proteinproces"/>
        <s v="Rapskageproduktion"/>
        <s v="Pyrolyseproces"/>
        <m/>
      </sharedItems>
    </cacheField>
    <cacheField name="Region" numFmtId="0">
      <sharedItems containsBlank="1"/>
    </cacheField>
    <cacheField name="Commodity" numFmtId="0">
      <sharedItems containsBlank="1" count="44">
        <s v="Korn"/>
        <s v="Grøntsager"/>
        <s v="Kartofler"/>
        <s v="Svinekød"/>
        <s v="Oksekød"/>
        <s v="Bælgsæd"/>
        <s v="Muslinger"/>
        <s v="Tang"/>
        <s v="Kunstigt kød"/>
        <s v="Mejeriprodukter"/>
        <s v="Fjerkrækød"/>
        <s v="Æg"/>
        <s v="Frugt"/>
        <s v="Fisk"/>
        <s v="Svinegylle"/>
        <s v="Kvæggylle"/>
        <s v="Fjerkrægylle"/>
        <s v="Spildevandsslam"/>
        <s v="Bioaffald"/>
        <s v="Industriaffald"/>
        <s v="Dybstrøelse"/>
        <s v="Brun saft"/>
        <s v="Halm"/>
        <s v="Græs"/>
        <s v="Majs"/>
        <s v="Roer"/>
        <s v="Have/parkaffald"/>
        <s v="Glycerin"/>
        <s v="Rapskage"/>
        <s v="Mælk til foder"/>
        <s v="Fiberfraktion"/>
        <s v="Græsprotein"/>
        <s v="Slagteriaffald til foder"/>
        <s v="Import af foder"/>
        <s v="Rapsolie"/>
        <s v="Pil &amp; poppel"/>
        <s v="Træ til energi"/>
        <s v="Træmaterialer"/>
        <s v="Biogasgylle"/>
        <s v="Kunstgødning"/>
        <s v="Raps"/>
        <s v="Pyrolysegas"/>
        <s v="Pyrolyseolie"/>
        <m/>
      </sharedItems>
    </cacheField>
    <cacheField name="År" numFmtId="0">
      <sharedItems containsString="0" containsBlank="1" containsNumber="1" containsInteger="1" minValue="2019" maxValue="2050" count="4">
        <n v="2019"/>
        <n v="2030"/>
        <n v="2050"/>
        <m/>
      </sharedItems>
    </cacheField>
    <cacheField name="Mængde [ton]" numFmtId="0">
      <sharedItems containsString="0" containsBlank="1" containsNumber="1" minValue="0" maxValue="21249287.82614949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675927" createdVersion="6" refreshedVersion="7" minRefreshableVersion="3" recordCount="90" xr:uid="{FC2A2616-E417-4F32-BDA6-6390F46EA845}">
  <cacheSource type="worksheet">
    <worksheetSource ref="A1:E91" sheet="Arealanvendelsesresultater-big"/>
  </cacheSource>
  <cacheFields count="5">
    <cacheField name="Region" numFmtId="0">
      <sharedItems count="2">
        <s v="Vest"/>
        <s v="Øst"/>
      </sharedItems>
    </cacheField>
    <cacheField name="Areal" numFmtId="0">
      <sharedItems count="5">
        <s v="Bebyggelse &amp; infrastruktur"/>
        <s v="Landbrugsafgrøder"/>
        <s v="Skov"/>
        <s v="Natur"/>
        <s v="Ikke klassificeret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Jordbund" numFmtId="0">
      <sharedItems/>
    </cacheField>
    <cacheField name="Værdi" numFmtId="3">
      <sharedItems containsSemiMixedTypes="0" containsString="0" containsNumber="1" minValue="0" maxValue="1847465.597830147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69907405" createdVersion="6" refreshedVersion="7" minRefreshableVersion="3" recordCount="78" xr:uid="{81824FDB-A755-4503-A5B2-EA8604CC17F6}">
  <cacheSource type="worksheet">
    <worksheetSource ref="A1:D79" sheet="Produktion af afgrøder"/>
  </cacheSource>
  <cacheFields count="4">
    <cacheField name="Afgrøde" numFmtId="0">
      <sharedItems count="13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</sharedItems>
    </cacheField>
    <cacheField name="Region" numFmtId="0">
      <sharedItems count="2">
        <s v="Vestdanmark"/>
        <s v="Østdanmark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Produktion" numFmtId="171">
      <sharedItems containsSemiMixedTypes="0" containsString="0" containsNumber="1" minValue="15804.526381892863" maxValue="17271454.7429873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138889" createdVersion="6" refreshedVersion="7" minRefreshableVersion="3" recordCount="504" xr:uid="{F72A13A1-772B-43D6-AC9C-AC1BB492D974}">
  <cacheSource type="worksheet">
    <worksheetSource ref="A1:J505" sheet="Landbrugsresultater - pivot"/>
  </cacheSource>
  <cacheFields count="10">
    <cacheField name="Region" numFmtId="0">
      <sharedItems count="2">
        <s v="Vestdanmark"/>
        <s v="Østdanmark"/>
      </sharedItems>
    </cacheField>
    <cacheField name="Afgrøde" numFmtId="0">
      <sharedItems count="15">
        <s v="Korn"/>
        <s v="Bælgsæd"/>
        <s v="Raps"/>
        <s v="Græs"/>
        <s v="Grøntsager"/>
        <s v="Kartofler"/>
        <s v="Roer"/>
        <s v="Majs"/>
        <s v="Frugt"/>
        <s v="Øvrige"/>
        <s v="Frø"/>
        <s v="Juletræer"/>
        <s v="Pil &amp; poppel"/>
        <s v="Permanent græs"/>
        <s v="Frøgræs" u="1"/>
      </sharedItems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Kon/Øko" numFmtId="0">
      <sharedItems/>
    </cacheField>
    <cacheField name="Jordbund" numFmtId="0">
      <sharedItems count="5">
        <s v="JB1-10"/>
        <s v="OC6"/>
        <s v="OC12"/>
        <s v="JB1" u="1"/>
        <s v="Jordbund1-10" u="1"/>
      </sharedItems>
    </cacheField>
    <cacheField name="Bioenergi-navn" numFmtId="0">
      <sharedItems/>
    </cacheField>
    <cacheField name="Arealanvendelse" numFmtId="1">
      <sharedItems containsSemiMixedTypes="0" containsString="0" containsNumber="1" minValue="0.69641242298342532" maxValue="853064.00210361299"/>
    </cacheField>
    <cacheField name="Udbytte, hovedafgrøde" numFmtId="0">
      <sharedItems containsSemiMixedTypes="0" containsString="0" containsNumber="1" minValue="11.531545105971047" maxValue="9377249.6664450932"/>
    </cacheField>
    <cacheField name="Halmudbytte" numFmtId="0">
      <sharedItems containsSemiMixedTypes="0" containsString="0" containsNumber="1" minValue="0" maxValue="1951850.0829625644"/>
    </cacheField>
    <cacheField name="Potentielt til bioenergi" numFmtId="1">
      <sharedItems containsSemiMixedTypes="0" containsString="0" containsNumber="1" minValue="3.7694768510062779" maxValue="9377249.66644509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370374" createdVersion="7" refreshedVersion="7" minRefreshableVersion="3" recordCount="288" xr:uid="{E73CE649-34D2-4547-A4AF-B1792D0E11FA}">
  <cacheSource type="worksheet">
    <worksheetSource ref="A2:Y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 count="2">
        <n v="0"/>
        <n v="1"/>
      </sharedItems>
    </cacheField>
    <cacheField name="Import" numFmtId="0" formula=" ABS('Produktion minus forbrug [ton]')" databaseField="0"/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601851" createdVersion="7" refreshedVersion="7" minRefreshableVersion="3" recordCount="288" xr:uid="{DB7E48C5-4053-49AC-B0E7-43CEB6C0C35A}">
  <cacheSource type="worksheet">
    <worksheetSource ref="A2:Z290" sheet="Resultat-Produktion &amp; forbrug"/>
  </cacheSource>
  <cacheFields count="26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/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  <cacheField name="Import at least one year" numFmtId="0">
      <sharedItems containsSemiMixedTypes="0" containsString="0" containsNumber="1" containsInteger="1" minValue="0" maxValue="1"/>
    </cacheField>
    <cacheField name="Export at least one year" numFmtId="0">
      <sharedItems containsSemiMixedTypes="0" containsString="0" containsNumber="1" containsInteger="1" minValue="0" maxValue="1" count="2">
        <n v="1"/>
        <n v="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0833336" createdVersion="7" refreshedVersion="7" minRefreshableVersion="3" recordCount="60" xr:uid="{AF2992CF-3A57-490B-B2C1-71BF0E3C8484}">
  <cacheSource type="worksheet">
    <worksheetSource ref="A1:E61" sheet="CO2-udledning"/>
  </cacheSource>
  <cacheFields count="5">
    <cacheField name="Region" numFmtId="0">
      <sharedItems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Total" numFmtId="0">
      <sharedItems containsSemiMixedTypes="0" containsString="0" containsNumber="1" minValue="-1260129.3549508662" maxValue="12263111.547924552"/>
    </cacheField>
    <cacheField name="Sted" numFmtId="0">
      <sharedItems/>
    </cacheField>
    <cacheField name="Sted2" numFmtId="0">
      <sharedItems count="8">
        <s v="CO2 - atmosfære"/>
        <s v="Husdyr"/>
        <s v="Marker"/>
        <s v="Hav"/>
        <s v="Skov"/>
        <s v="Træprodukter"/>
        <s v="Biogasanlæg"/>
        <s v="Pyrolyseproces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Ida Græsted Jensen" refreshedDate="44468.558671064813" createdVersion="6" refreshedVersion="7" minRefreshableVersion="3" recordCount="288" xr:uid="{822B5E33-E9A7-41DC-AB73-B52BC0B6315D}">
  <cacheSource type="worksheet">
    <worksheetSource ref="A2:X290" sheet="Resultat-Produktion &amp; forbrug"/>
  </cacheSource>
  <cacheFields count="24">
    <cacheField name="Commodity" numFmtId="0">
      <sharedItems count="48">
        <s v="Æg"/>
        <s v="Bælgsæd"/>
        <s v="Bioaffald"/>
        <s v="Biogas"/>
        <s v="Biogasgylle"/>
        <s v="Brun saft"/>
        <s v="Dybstrøelse"/>
        <s v="Fiberfraktion"/>
        <s v="Fjerkrægylle"/>
        <s v="Fjerkrækød"/>
        <s v="Frø"/>
        <s v="Frugt"/>
        <s v="Glycerin"/>
        <s v="Græs"/>
        <s v="Græsprotein"/>
        <s v="Grøntsager"/>
        <s v="Halm"/>
        <s v="Have/parkaffald"/>
        <s v="Import af foder"/>
        <s v="Industriaffald"/>
        <s v="Juletræer"/>
        <s v="Kartofler"/>
        <s v="Korn"/>
        <s v="Kunstgødning"/>
        <s v="Kvæggylle"/>
        <s v="Mælk til foder"/>
        <s v="Majs"/>
        <s v="Mejeriprodukter"/>
        <s v="Muslinger"/>
        <s v="Oksekød"/>
        <s v="Øvrige"/>
        <s v="Pil &amp; poppel"/>
        <s v="Pyrolysegas"/>
        <s v="Pyrolyseolie"/>
        <s v="Råmælk"/>
        <s v="Raps"/>
        <s v="Rapskage"/>
        <s v="Rapsolie"/>
        <s v="Roer"/>
        <s v="Slagteriaffald til andet"/>
        <s v="Slagteriaffald til foder"/>
        <s v="Spildevandsslam"/>
        <s v="Svinegylle"/>
        <s v="Svinekød"/>
        <s v="Tang"/>
        <s v="Total til biogas"/>
        <s v="Træ til energi"/>
        <s v="Træmaterialer"/>
      </sharedItems>
    </cacheField>
    <cacheField name="Biomassekategori" numFmtId="0">
      <sharedItems containsBlank="1" count="12">
        <m/>
        <s v="Bionedbrydeligt affald"/>
        <s v="Husdyrgødning"/>
        <s v="Glycerin"/>
        <s v="Græs og urter"/>
        <s v="Halm og strå"/>
        <s v="Havbiomasse"/>
        <s v="Vedmasse"/>
        <s v="Pyrolyseprodukter"/>
        <s v="Rapsolie"/>
        <s v=""/>
        <s v="Pyrolyse" u="1"/>
      </sharedItems>
    </cacheField>
    <cacheField name="Til energi" numFmtId="0">
      <sharedItems containsSemiMixedTypes="0" containsString="0" containsNumber="1" containsInteger="1" minValue="0" maxValue="1"/>
    </cacheField>
    <cacheField name="År" numFmtId="0">
      <sharedItems containsSemiMixedTypes="0" containsString="0" containsNumber="1" containsInteger="1" minValue="2019" maxValue="2050" count="3">
        <n v="2019"/>
        <n v="2030"/>
        <n v="2050"/>
      </sharedItems>
    </cacheField>
    <cacheField name="Region" numFmtId="0">
      <sharedItems/>
    </cacheField>
    <cacheField name="Produktion [ton]" numFmtId="3">
      <sharedItems containsSemiMixedTypes="0" containsString="0" containsNumber="1" minValue="0" maxValue="564672636.49941862"/>
    </cacheField>
    <cacheField name="Foder" numFmtId="3">
      <sharedItems containsSemiMixedTypes="0" containsString="0" containsNumber="1" minValue="0" maxValue="14685227.891109958"/>
    </cacheField>
    <cacheField name="Strøelse" numFmtId="0">
      <sharedItems containsSemiMixedTypes="0" containsString="0" containsNumber="1" minValue="0" maxValue="872369.9448285551"/>
    </cacheField>
    <cacheField name="Fødevarer" numFmtId="3">
      <sharedItems containsSemiMixedTypes="0" containsString="0" containsNumber="1" minValue="0" maxValue="490824.54885344987"/>
    </cacheField>
    <cacheField name="Biogas" numFmtId="3">
      <sharedItems containsSemiMixedTypes="0" containsString="0" containsNumber="1" minValue="0" maxValue="11840949.000738235"/>
    </cacheField>
    <cacheField name="Gødning" numFmtId="3">
      <sharedItems containsSemiMixedTypes="0" containsString="0" containsNumber="1" minValue="0" maxValue="21249287.826149497"/>
    </cacheField>
    <cacheField name="Energi" numFmtId="3">
      <sharedItems containsSemiMixedTypes="0" containsString="0" containsNumber="1" minValue="0" maxValue="564672636.49941862"/>
    </cacheField>
    <cacheField name="Materialer og processer" numFmtId="3">
      <sharedItems containsSemiMixedTypes="0" containsString="0" containsNumber="1" minValue="0" maxValue="640280.13059892249"/>
    </cacheField>
    <cacheField name="Produktion minus forbrug [ton]" numFmtId="3">
      <sharedItems containsSemiMixedTypes="0" containsString="0" containsNumber="1" minValue="-5794113.0468547465" maxValue="5844517.8424414396"/>
    </cacheField>
    <cacheField name="Potentiale til energi [ton]" numFmtId="3">
      <sharedItems containsSemiMixedTypes="0" containsString="0" containsNumber="1" minValue="0" maxValue="3550175.4953867961"/>
    </cacheField>
    <cacheField name="Forbrug energi [ton/m3]" numFmtId="3">
      <sharedItems containsSemiMixedTypes="0" containsString="0" containsNumber="1" minValue="0" maxValue="564672636.49941862"/>
    </cacheField>
    <cacheField name="Potentiale til energi [PJ]" numFmtId="0">
      <sharedItems containsSemiMixedTypes="0" containsString="0" containsNumber="1" minValue="0" maxValue="6.5318791395747819"/>
    </cacheField>
    <cacheField name="Forbrug/potentiale [PJ]" numFmtId="0">
      <sharedItems containsSemiMixedTypes="0" containsString="0" containsNumber="1" minValue="0" maxValue="33.750241076188566"/>
    </cacheField>
    <cacheField name="Biogasproduktion [PJ]" numFmtId="0">
      <sharedItems containsSemiMixedTypes="0" containsString="0" containsNumber="1" minValue="0" maxValue="5.9937699746836879"/>
    </cacheField>
    <cacheField name="Biomasser til energi eksl. biogas [PJ]" numFmtId="0">
      <sharedItems containsSemiMixedTypes="0" containsString="0" containsNumber="1" minValue="0" maxValue="33.750241076188566"/>
    </cacheField>
    <cacheField name="Potentiale til energi [Ton TS]" numFmtId="0">
      <sharedItems containsSemiMixedTypes="0" containsString="0" containsNumber="1" minValue="0" maxValue="994049.13870830298"/>
    </cacheField>
    <cacheField name="Forbrug/potentiale [Ton TS]" numFmtId="0">
      <sharedItems containsSemiMixedTypes="0" containsString="0" containsNumber="1" minValue="0" maxValue="1151704.3763715085"/>
    </cacheField>
    <cacheField name="Biogasproduktion [Ton TS]" numFmtId="0">
      <sharedItems containsSemiMixedTypes="0" containsString="0" containsNumber="1" minValue="0" maxValue="899912.12405610585"/>
    </cacheField>
    <cacheField name="Biomasser til energi eksl. biogas [Ton TS]" numFmtId="0">
      <sharedItems containsSemiMixedTypes="0" containsString="0" containsNumber="1" minValue="0" maxValue="1151704.376371508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5">
  <r>
    <x v="0"/>
    <s v="Vestdanmark"/>
    <x v="0"/>
    <x v="0"/>
    <n v="286329.90483694919"/>
  </r>
  <r>
    <x v="0"/>
    <s v="Vestdanmark"/>
    <x v="1"/>
    <x v="0"/>
    <n v="261374.54615849949"/>
  </r>
  <r>
    <x v="0"/>
    <s v="Vestdanmark"/>
    <x v="2"/>
    <x v="0"/>
    <n v="119523.03367046962"/>
  </r>
  <r>
    <x v="0"/>
    <s v="Vestdanmark"/>
    <x v="3"/>
    <x v="0"/>
    <n v="117920.63695532705"/>
  </r>
  <r>
    <x v="0"/>
    <s v="Vestdanmark"/>
    <x v="4"/>
    <x v="0"/>
    <n v="58080.313724265572"/>
  </r>
  <r>
    <x v="0"/>
    <s v="Vestdanmark"/>
    <x v="5"/>
    <x v="0"/>
    <n v="0"/>
  </r>
  <r>
    <x v="0"/>
    <s v="Vestdanmark"/>
    <x v="6"/>
    <x v="0"/>
    <n v="0"/>
  </r>
  <r>
    <x v="0"/>
    <s v="Vestdanmark"/>
    <x v="7"/>
    <x v="0"/>
    <n v="0"/>
  </r>
  <r>
    <x v="0"/>
    <s v="Vestdanmark"/>
    <x v="8"/>
    <x v="0"/>
    <n v="0"/>
  </r>
  <r>
    <x v="0"/>
    <s v="Vestdanmark"/>
    <x v="9"/>
    <x v="0"/>
    <n v="457077.09579476295"/>
  </r>
  <r>
    <x v="0"/>
    <s v="Vestdanmark"/>
    <x v="10"/>
    <x v="0"/>
    <n v="34149.438191562753"/>
  </r>
  <r>
    <x v="0"/>
    <s v="Vestdanmark"/>
    <x v="11"/>
    <x v="0"/>
    <n v="31522.55833067331"/>
  </r>
  <r>
    <x v="0"/>
    <s v="Vestdanmark"/>
    <x v="12"/>
    <x v="0"/>
    <n v="249553.58678449702"/>
  </r>
  <r>
    <x v="0"/>
    <s v="Vestdanmark"/>
    <x v="13"/>
    <x v="0"/>
    <n v="48597.277426454682"/>
  </r>
  <r>
    <x v="0"/>
    <s v="Vestdanmark"/>
    <x v="0"/>
    <x v="1"/>
    <n v="295933.04302308214"/>
  </r>
  <r>
    <x v="0"/>
    <s v="Vestdanmark"/>
    <x v="1"/>
    <x v="1"/>
    <n v="270140.71358529059"/>
  </r>
  <r>
    <x v="0"/>
    <s v="Vestdanmark"/>
    <x v="2"/>
    <x v="1"/>
    <n v="123531.68309679118"/>
  </r>
  <r>
    <x v="0"/>
    <s v="Vestdanmark"/>
    <x v="3"/>
    <x v="1"/>
    <n v="121875.54404868034"/>
  </r>
  <r>
    <x v="0"/>
    <s v="Vestdanmark"/>
    <x v="4"/>
    <x v="1"/>
    <n v="60028.253038902265"/>
  </r>
  <r>
    <x v="0"/>
    <s v="Vestdanmark"/>
    <x v="5"/>
    <x v="1"/>
    <n v="0"/>
  </r>
  <r>
    <x v="0"/>
    <s v="Vestdanmark"/>
    <x v="6"/>
    <x v="1"/>
    <n v="0"/>
  </r>
  <r>
    <x v="0"/>
    <s v="Vestdanmark"/>
    <x v="7"/>
    <x v="1"/>
    <n v="0"/>
  </r>
  <r>
    <x v="0"/>
    <s v="Vestdanmark"/>
    <x v="8"/>
    <x v="1"/>
    <n v="0"/>
  </r>
  <r>
    <x v="0"/>
    <s v="Vestdanmark"/>
    <x v="9"/>
    <x v="1"/>
    <n v="472406.87601849809"/>
  </r>
  <r>
    <x v="0"/>
    <s v="Vestdanmark"/>
    <x v="10"/>
    <x v="1"/>
    <n v="35294.766599083188"/>
  </r>
  <r>
    <x v="0"/>
    <s v="Vestdanmark"/>
    <x v="11"/>
    <x v="1"/>
    <n v="32579.784552999867"/>
  </r>
  <r>
    <x v="0"/>
    <s v="Vestdanmark"/>
    <x v="12"/>
    <x v="1"/>
    <n v="257923.29437791562"/>
  </r>
  <r>
    <x v="0"/>
    <s v="Vestdanmark"/>
    <x v="13"/>
    <x v="1"/>
    <n v="50227.167852541468"/>
  </r>
  <r>
    <x v="0"/>
    <s v="Vestdanmark"/>
    <x v="0"/>
    <x v="2"/>
    <n v="307470.55071854044"/>
  </r>
  <r>
    <x v="0"/>
    <s v="Vestdanmark"/>
    <x v="1"/>
    <x v="2"/>
    <n v="280672.65868343826"/>
  </r>
  <r>
    <x v="0"/>
    <s v="Vestdanmark"/>
    <x v="2"/>
    <x v="2"/>
    <n v="128347.79869443661"/>
  </r>
  <r>
    <x v="0"/>
    <s v="Vestdanmark"/>
    <x v="3"/>
    <x v="2"/>
    <n v="126627.09194270898"/>
  </r>
  <r>
    <x v="0"/>
    <s v="Vestdanmark"/>
    <x v="4"/>
    <x v="2"/>
    <n v="62368.567673274578"/>
  </r>
  <r>
    <x v="0"/>
    <s v="Vestdanmark"/>
    <x v="5"/>
    <x v="2"/>
    <n v="0"/>
  </r>
  <r>
    <x v="0"/>
    <s v="Vestdanmark"/>
    <x v="6"/>
    <x v="2"/>
    <n v="0"/>
  </r>
  <r>
    <x v="0"/>
    <s v="Vestdanmark"/>
    <x v="7"/>
    <x v="2"/>
    <n v="0"/>
  </r>
  <r>
    <x v="0"/>
    <s v="Vestdanmark"/>
    <x v="8"/>
    <x v="2"/>
    <n v="0"/>
  </r>
  <r>
    <x v="0"/>
    <s v="Vestdanmark"/>
    <x v="9"/>
    <x v="2"/>
    <n v="490824.54885344987"/>
  </r>
  <r>
    <x v="0"/>
    <s v="Vestdanmark"/>
    <x v="10"/>
    <x v="2"/>
    <n v="36670.799626981883"/>
  </r>
  <r>
    <x v="0"/>
    <s v="Vestdanmark"/>
    <x v="11"/>
    <x v="2"/>
    <n v="33849.968886444818"/>
  </r>
  <r>
    <x v="0"/>
    <s v="Vestdanmark"/>
    <x v="12"/>
    <x v="2"/>
    <n v="267978.92035102146"/>
  </r>
  <r>
    <x v="0"/>
    <s v="Vestdanmark"/>
    <x v="13"/>
    <x v="2"/>
    <n v="52185.36869993576"/>
  </r>
  <r>
    <x v="0"/>
    <s v="Østdanmark"/>
    <x v="0"/>
    <x v="0"/>
    <n v="244164.92559492172"/>
  </r>
  <r>
    <x v="0"/>
    <s v="Østdanmark"/>
    <x v="1"/>
    <x v="0"/>
    <n v="222884.49629995148"/>
  </r>
  <r>
    <x v="0"/>
    <s v="Østdanmark"/>
    <x v="2"/>
    <x v="0"/>
    <n v="101922.05609696274"/>
  </r>
  <r>
    <x v="0"/>
    <s v="Østdanmark"/>
    <x v="3"/>
    <x v="0"/>
    <n v="100555.62853170674"/>
  </r>
  <r>
    <x v="0"/>
    <s v="Østdanmark"/>
    <x v="4"/>
    <x v="0"/>
    <n v="49527.399127557059"/>
  </r>
  <r>
    <x v="0"/>
    <s v="Østdanmark"/>
    <x v="5"/>
    <x v="0"/>
    <n v="0"/>
  </r>
  <r>
    <x v="0"/>
    <s v="Østdanmark"/>
    <x v="6"/>
    <x v="0"/>
    <n v="0"/>
  </r>
  <r>
    <x v="0"/>
    <s v="Østdanmark"/>
    <x v="7"/>
    <x v="0"/>
    <n v="0"/>
  </r>
  <r>
    <x v="0"/>
    <s v="Østdanmark"/>
    <x v="8"/>
    <x v="0"/>
    <n v="0"/>
  </r>
  <r>
    <x v="0"/>
    <s v="Østdanmark"/>
    <x v="9"/>
    <x v="0"/>
    <n v="389767.86287629709"/>
  </r>
  <r>
    <x v="0"/>
    <s v="Østdanmark"/>
    <x v="10"/>
    <x v="0"/>
    <n v="29120.587456275069"/>
  </r>
  <r>
    <x v="0"/>
    <s v="Østdanmark"/>
    <x v="11"/>
    <x v="0"/>
    <n v="26880.542267330831"/>
  </r>
  <r>
    <x v="0"/>
    <s v="Østdanmark"/>
    <x v="12"/>
    <x v="0"/>
    <n v="212804.29294970242"/>
  </r>
  <r>
    <x v="0"/>
    <s v="Østdanmark"/>
    <x v="13"/>
    <x v="0"/>
    <n v="41440.835995468369"/>
  </r>
  <r>
    <x v="0"/>
    <s v="Østdanmark"/>
    <x v="0"/>
    <x v="1"/>
    <n v="256234.83946537593"/>
  </r>
  <r>
    <x v="0"/>
    <s v="Østdanmark"/>
    <x v="1"/>
    <x v="1"/>
    <n v="233902.44520004498"/>
  </r>
  <r>
    <x v="0"/>
    <s v="Østdanmark"/>
    <x v="2"/>
    <x v="1"/>
    <n v="106960.41463921656"/>
  </r>
  <r>
    <x v="0"/>
    <s v="Østdanmark"/>
    <x v="3"/>
    <x v="1"/>
    <n v="105526.43984954793"/>
  </r>
  <r>
    <x v="0"/>
    <s v="Østdanmark"/>
    <x v="4"/>
    <x v="1"/>
    <n v="51975.70917962808"/>
  </r>
  <r>
    <x v="0"/>
    <s v="Østdanmark"/>
    <x v="5"/>
    <x v="1"/>
    <n v="0"/>
  </r>
  <r>
    <x v="0"/>
    <s v="Østdanmark"/>
    <x v="6"/>
    <x v="1"/>
    <n v="0"/>
  </r>
  <r>
    <x v="0"/>
    <s v="Østdanmark"/>
    <x v="7"/>
    <x v="1"/>
    <n v="0"/>
  </r>
  <r>
    <x v="0"/>
    <s v="Østdanmark"/>
    <x v="8"/>
    <x v="1"/>
    <n v="0"/>
  </r>
  <r>
    <x v="0"/>
    <s v="Østdanmark"/>
    <x v="9"/>
    <x v="1"/>
    <n v="409035.43180711387"/>
  </r>
  <r>
    <x v="0"/>
    <s v="Østdanmark"/>
    <x v="10"/>
    <x v="1"/>
    <n v="30560.118468347584"/>
  </r>
  <r>
    <x v="0"/>
    <s v="Østdanmark"/>
    <x v="11"/>
    <x v="1"/>
    <n v="28209.340124628539"/>
  </r>
  <r>
    <x v="0"/>
    <s v="Østdanmark"/>
    <x v="12"/>
    <x v="1"/>
    <n v="223323.94265330929"/>
  </r>
  <r>
    <x v="0"/>
    <s v="Østdanmark"/>
    <x v="13"/>
    <x v="1"/>
    <n v="43489.39935880233"/>
  </r>
  <r>
    <x v="0"/>
    <s v="Østdanmark"/>
    <x v="0"/>
    <x v="2"/>
    <n v="268249.01834925939"/>
  </r>
  <r>
    <x v="0"/>
    <s v="Østdanmark"/>
    <x v="1"/>
    <x v="2"/>
    <n v="244869.51675001203"/>
  </r>
  <r>
    <x v="0"/>
    <s v="Østdanmark"/>
    <x v="2"/>
    <x v="2"/>
    <n v="111975.50765955324"/>
  </r>
  <r>
    <x v="0"/>
    <s v="Østdanmark"/>
    <x v="3"/>
    <x v="2"/>
    <n v="110474.29755686472"/>
  </r>
  <r>
    <x v="0"/>
    <s v="Østdanmark"/>
    <x v="4"/>
    <x v="2"/>
    <n v="54412.71372203785"/>
  </r>
  <r>
    <x v="0"/>
    <s v="Østdanmark"/>
    <x v="5"/>
    <x v="2"/>
    <n v="0"/>
  </r>
  <r>
    <x v="0"/>
    <s v="Østdanmark"/>
    <x v="6"/>
    <x v="2"/>
    <n v="0"/>
  </r>
  <r>
    <x v="0"/>
    <s v="Østdanmark"/>
    <x v="7"/>
    <x v="2"/>
    <n v="0"/>
  </r>
  <r>
    <x v="0"/>
    <s v="Østdanmark"/>
    <x v="8"/>
    <x v="2"/>
    <n v="0"/>
  </r>
  <r>
    <x v="0"/>
    <s v="Østdanmark"/>
    <x v="9"/>
    <x v="2"/>
    <n v="428214.02929147833"/>
  </r>
  <r>
    <x v="0"/>
    <s v="Østdanmark"/>
    <x v="10"/>
    <x v="2"/>
    <n v="31993.002188443785"/>
  </r>
  <r>
    <x v="0"/>
    <s v="Østdanmark"/>
    <x v="11"/>
    <x v="2"/>
    <n v="29532.002020101954"/>
  </r>
  <r>
    <x v="0"/>
    <s v="Østdanmark"/>
    <x v="12"/>
    <x v="2"/>
    <n v="233795.01599247381"/>
  </r>
  <r>
    <x v="0"/>
    <s v="Østdanmark"/>
    <x v="13"/>
    <x v="2"/>
    <n v="45528.503114323845"/>
  </r>
  <r>
    <x v="1"/>
    <s v="Vestdanmark"/>
    <x v="14"/>
    <x v="0"/>
    <n v="2534442.072977222"/>
  </r>
  <r>
    <x v="1"/>
    <s v="Vestdanmark"/>
    <x v="15"/>
    <x v="0"/>
    <n v="4066864.6068164087"/>
  </r>
  <r>
    <x v="1"/>
    <s v="Vestdanmark"/>
    <x v="16"/>
    <x v="0"/>
    <n v="4103.8061780475591"/>
  </r>
  <r>
    <x v="1"/>
    <s v="Vestdanmark"/>
    <x v="17"/>
    <x v="0"/>
    <n v="1460182.5874658169"/>
  </r>
  <r>
    <x v="1"/>
    <s v="Vestdanmark"/>
    <x v="18"/>
    <x v="0"/>
    <n v="393543.64426779439"/>
  </r>
  <r>
    <x v="1"/>
    <s v="Vestdanmark"/>
    <x v="19"/>
    <x v="0"/>
    <n v="716103.75203569303"/>
  </r>
  <r>
    <x v="1"/>
    <s v="Vestdanmark"/>
    <x v="20"/>
    <x v="0"/>
    <n v="671194.67155029252"/>
  </r>
  <r>
    <x v="1"/>
    <s v="Vestdanmark"/>
    <x v="21"/>
    <x v="0"/>
    <n v="0"/>
  </r>
  <r>
    <x v="1"/>
    <s v="Vestdanmark"/>
    <x v="22"/>
    <x v="0"/>
    <n v="53138.892747161146"/>
  </r>
  <r>
    <x v="1"/>
    <s v="Vestdanmark"/>
    <x v="0"/>
    <x v="0"/>
    <n v="2840.1853290986264"/>
  </r>
  <r>
    <x v="1"/>
    <s v="Vestdanmark"/>
    <x v="23"/>
    <x v="0"/>
    <n v="75746.163899662715"/>
  </r>
  <r>
    <x v="1"/>
    <s v="Vestdanmark"/>
    <x v="24"/>
    <x v="0"/>
    <n v="314821.43493156106"/>
  </r>
  <r>
    <x v="1"/>
    <s v="Vestdanmark"/>
    <x v="25"/>
    <x v="0"/>
    <n v="4101.0489241972273"/>
  </r>
  <r>
    <x v="1"/>
    <s v="Vestdanmark"/>
    <x v="26"/>
    <x v="0"/>
    <n v="42.099811904105366"/>
  </r>
  <r>
    <x v="1"/>
    <s v="Vestdanmark"/>
    <x v="27"/>
    <x v="0"/>
    <n v="114193.60000000001"/>
  </r>
  <r>
    <x v="1"/>
    <s v="Vestdanmark"/>
    <x v="6"/>
    <x v="0"/>
    <n v="0"/>
  </r>
  <r>
    <x v="1"/>
    <s v="Vestdanmark"/>
    <x v="7"/>
    <x v="0"/>
    <n v="0"/>
  </r>
  <r>
    <x v="1"/>
    <s v="Vestdanmark"/>
    <x v="14"/>
    <x v="1"/>
    <n v="9587593.8998603616"/>
  </r>
  <r>
    <x v="1"/>
    <s v="Vestdanmark"/>
    <x v="15"/>
    <x v="1"/>
    <n v="11840949.000738235"/>
  </r>
  <r>
    <x v="1"/>
    <s v="Vestdanmark"/>
    <x v="16"/>
    <x v="1"/>
    <n v="5005.6356813272896"/>
  </r>
  <r>
    <x v="1"/>
    <s v="Vestdanmark"/>
    <x v="17"/>
    <x v="1"/>
    <n v="1516336.6800324824"/>
  </r>
  <r>
    <x v="1"/>
    <s v="Vestdanmark"/>
    <x v="18"/>
    <x v="1"/>
    <n v="195082.24112879002"/>
  </r>
  <r>
    <x v="1"/>
    <s v="Vestdanmark"/>
    <x v="19"/>
    <x v="1"/>
    <n v="534945.77839568327"/>
  </r>
  <r>
    <x v="1"/>
    <s v="Vestdanmark"/>
    <x v="20"/>
    <x v="1"/>
    <n v="1591755.4910753078"/>
  </r>
  <r>
    <x v="1"/>
    <s v="Vestdanmark"/>
    <x v="21"/>
    <x v="1"/>
    <n v="0"/>
  </r>
  <r>
    <x v="1"/>
    <s v="Vestdanmark"/>
    <x v="22"/>
    <x v="1"/>
    <n v="51993.557721309648"/>
  </r>
  <r>
    <x v="1"/>
    <s v="Vestdanmark"/>
    <x v="0"/>
    <x v="1"/>
    <n v="2833.9333697705197"/>
  </r>
  <r>
    <x v="1"/>
    <s v="Vestdanmark"/>
    <x v="23"/>
    <x v="1"/>
    <n v="75614.059561949907"/>
  </r>
  <r>
    <x v="1"/>
    <s v="Vestdanmark"/>
    <x v="24"/>
    <x v="1"/>
    <n v="314692.31350359169"/>
  </r>
  <r>
    <x v="1"/>
    <s v="Vestdanmark"/>
    <x v="25"/>
    <x v="1"/>
    <n v="4075.7207832735812"/>
  </r>
  <r>
    <x v="1"/>
    <s v="Vestdanmark"/>
    <x v="26"/>
    <x v="1"/>
    <n v="41.80391161429587"/>
  </r>
  <r>
    <x v="1"/>
    <s v="Vestdanmark"/>
    <x v="27"/>
    <x v="1"/>
    <n v="114193.60000000001"/>
  </r>
  <r>
    <x v="1"/>
    <s v="Vestdanmark"/>
    <x v="6"/>
    <x v="1"/>
    <n v="0"/>
  </r>
  <r>
    <x v="1"/>
    <s v="Vestdanmark"/>
    <x v="7"/>
    <x v="1"/>
    <n v="0"/>
  </r>
  <r>
    <x v="1"/>
    <s v="Vestdanmark"/>
    <x v="14"/>
    <x v="2"/>
    <n v="9178937.5641805995"/>
  </r>
  <r>
    <x v="1"/>
    <s v="Vestdanmark"/>
    <x v="15"/>
    <x v="2"/>
    <n v="11614690.73032544"/>
  </r>
  <r>
    <x v="1"/>
    <s v="Vestdanmark"/>
    <x v="16"/>
    <x v="2"/>
    <n v="5169.3190334894534"/>
  </r>
  <r>
    <x v="1"/>
    <s v="Vestdanmark"/>
    <x v="17"/>
    <x v="2"/>
    <n v="1572264.2235564108"/>
  </r>
  <r>
    <x v="1"/>
    <s v="Vestdanmark"/>
    <x v="18"/>
    <x v="2"/>
    <n v="197484.23354298095"/>
  </r>
  <r>
    <x v="1"/>
    <s v="Vestdanmark"/>
    <x v="19"/>
    <x v="2"/>
    <n v="531600.61023474101"/>
  </r>
  <r>
    <x v="1"/>
    <s v="Vestdanmark"/>
    <x v="20"/>
    <x v="2"/>
    <n v="1666786.636613145"/>
  </r>
  <r>
    <x v="1"/>
    <s v="Vestdanmark"/>
    <x v="21"/>
    <x v="2"/>
    <n v="0"/>
  </r>
  <r>
    <x v="1"/>
    <s v="Vestdanmark"/>
    <x v="22"/>
    <x v="2"/>
    <n v="51614.661983045924"/>
  </r>
  <r>
    <x v="1"/>
    <s v="Vestdanmark"/>
    <x v="0"/>
    <x v="2"/>
    <n v="2825.7560217041437"/>
  </r>
  <r>
    <x v="1"/>
    <s v="Vestdanmark"/>
    <x v="23"/>
    <x v="2"/>
    <n v="75527.053678542026"/>
  </r>
  <r>
    <x v="1"/>
    <s v="Vestdanmark"/>
    <x v="24"/>
    <x v="2"/>
    <n v="314525.12457946909"/>
  </r>
  <r>
    <x v="1"/>
    <s v="Vestdanmark"/>
    <x v="25"/>
    <x v="2"/>
    <n v="4034.0707756292709"/>
  </r>
  <r>
    <x v="1"/>
    <s v="Vestdanmark"/>
    <x v="26"/>
    <x v="2"/>
    <n v="41.656918132692169"/>
  </r>
  <r>
    <x v="1"/>
    <s v="Vestdanmark"/>
    <x v="27"/>
    <x v="2"/>
    <n v="114193.60000000001"/>
  </r>
  <r>
    <x v="1"/>
    <s v="Vestdanmark"/>
    <x v="6"/>
    <x v="2"/>
    <n v="0"/>
  </r>
  <r>
    <x v="1"/>
    <s v="Vestdanmark"/>
    <x v="7"/>
    <x v="2"/>
    <n v="0"/>
  </r>
  <r>
    <x v="1"/>
    <s v="Østdanmark"/>
    <x v="14"/>
    <x v="0"/>
    <n v="380427.26035611134"/>
  </r>
  <r>
    <x v="1"/>
    <s v="Østdanmark"/>
    <x v="15"/>
    <x v="0"/>
    <n v="286645.05985025823"/>
  </r>
  <r>
    <x v="1"/>
    <s v="Østdanmark"/>
    <x v="16"/>
    <x v="0"/>
    <n v="337.693821952441"/>
  </r>
  <r>
    <x v="1"/>
    <s v="Østdanmark"/>
    <x v="17"/>
    <x v="0"/>
    <n v="1208651.4125341829"/>
  </r>
  <r>
    <x v="1"/>
    <s v="Østdanmark"/>
    <x v="18"/>
    <x v="0"/>
    <n v="335590.35573220561"/>
  </r>
  <r>
    <x v="1"/>
    <s v="Østdanmark"/>
    <x v="19"/>
    <x v="0"/>
    <n v="279550.24796430691"/>
  </r>
  <r>
    <x v="1"/>
    <s v="Østdanmark"/>
    <x v="20"/>
    <x v="0"/>
    <n v="85892.328449707566"/>
  </r>
  <r>
    <x v="1"/>
    <s v="Østdanmark"/>
    <x v="21"/>
    <x v="0"/>
    <n v="0"/>
  </r>
  <r>
    <x v="1"/>
    <s v="Østdanmark"/>
    <x v="22"/>
    <x v="0"/>
    <n v="22795.107252838847"/>
  </r>
  <r>
    <x v="1"/>
    <s v="Østdanmark"/>
    <x v="0"/>
    <x v="0"/>
    <n v="945.81467090137289"/>
  </r>
  <r>
    <x v="1"/>
    <s v="Østdanmark"/>
    <x v="23"/>
    <x v="0"/>
    <n v="9930.836100337272"/>
  </r>
  <r>
    <x v="1"/>
    <s v="Østdanmark"/>
    <x v="24"/>
    <x v="0"/>
    <n v="15204.565068438918"/>
  </r>
  <r>
    <x v="1"/>
    <s v="Østdanmark"/>
    <x v="25"/>
    <x v="0"/>
    <n v="24543.951075802775"/>
  </r>
  <r>
    <x v="1"/>
    <s v="Østdanmark"/>
    <x v="26"/>
    <x v="0"/>
    <n v="35.900188095894634"/>
  </r>
  <r>
    <x v="1"/>
    <s v="Østdanmark"/>
    <x v="27"/>
    <x v="0"/>
    <n v="28548.400000000001"/>
  </r>
  <r>
    <x v="1"/>
    <s v="Østdanmark"/>
    <x v="6"/>
    <x v="0"/>
    <n v="0"/>
  </r>
  <r>
    <x v="1"/>
    <s v="Østdanmark"/>
    <x v="7"/>
    <x v="0"/>
    <n v="0"/>
  </r>
  <r>
    <x v="1"/>
    <s v="Østdanmark"/>
    <x v="14"/>
    <x v="1"/>
    <n v="1389214.6969952502"/>
  </r>
  <r>
    <x v="1"/>
    <s v="Østdanmark"/>
    <x v="15"/>
    <x v="1"/>
    <n v="841583.7254715825"/>
  </r>
  <r>
    <x v="1"/>
    <s v="Østdanmark"/>
    <x v="16"/>
    <x v="1"/>
    <n v="420.12115509171275"/>
  </r>
  <r>
    <x v="1"/>
    <s v="Østdanmark"/>
    <x v="17"/>
    <x v="1"/>
    <n v="1268885.054531686"/>
  </r>
  <r>
    <x v="1"/>
    <s v="Østdanmark"/>
    <x v="18"/>
    <x v="1"/>
    <n v="168912.75887120995"/>
  </r>
  <r>
    <x v="1"/>
    <s v="Østdanmark"/>
    <x v="19"/>
    <x v="1"/>
    <n v="191022.2216043165"/>
  </r>
  <r>
    <x v="1"/>
    <s v="Østdanmark"/>
    <x v="20"/>
    <x v="1"/>
    <n v="214833.06575530887"/>
  </r>
  <r>
    <x v="1"/>
    <s v="Østdanmark"/>
    <x v="21"/>
    <x v="1"/>
    <n v="0"/>
  </r>
  <r>
    <x v="1"/>
    <s v="Østdanmark"/>
    <x v="22"/>
    <x v="1"/>
    <n v="23940.442278690352"/>
  </r>
  <r>
    <x v="1"/>
    <s v="Østdanmark"/>
    <x v="0"/>
    <x v="1"/>
    <n v="952.06663022948101"/>
  </r>
  <r>
    <x v="1"/>
    <s v="Østdanmark"/>
    <x v="23"/>
    <x v="1"/>
    <n v="10062.940438050116"/>
  </r>
  <r>
    <x v="1"/>
    <s v="Østdanmark"/>
    <x v="24"/>
    <x v="1"/>
    <n v="15333.686496408332"/>
  </r>
  <r>
    <x v="1"/>
    <s v="Østdanmark"/>
    <x v="25"/>
    <x v="1"/>
    <n v="24569.279216726416"/>
  </r>
  <r>
    <x v="1"/>
    <s v="Østdanmark"/>
    <x v="26"/>
    <x v="1"/>
    <n v="36.19608838570413"/>
  </r>
  <r>
    <x v="1"/>
    <s v="Østdanmark"/>
    <x v="27"/>
    <x v="1"/>
    <n v="28548.400000000001"/>
  </r>
  <r>
    <x v="1"/>
    <s v="Østdanmark"/>
    <x v="6"/>
    <x v="1"/>
    <n v="0"/>
  </r>
  <r>
    <x v="1"/>
    <s v="Østdanmark"/>
    <x v="7"/>
    <x v="1"/>
    <n v="0"/>
  </r>
  <r>
    <x v="1"/>
    <s v="Østdanmark"/>
    <x v="14"/>
    <x v="2"/>
    <n v="1330001.5728813037"/>
  </r>
  <r>
    <x v="1"/>
    <s v="Østdanmark"/>
    <x v="15"/>
    <x v="2"/>
    <n v="825502.64294003148"/>
  </r>
  <r>
    <x v="1"/>
    <s v="Østdanmark"/>
    <x v="16"/>
    <x v="2"/>
    <n v="433.85903842113186"/>
  </r>
  <r>
    <x v="1"/>
    <s v="Østdanmark"/>
    <x v="17"/>
    <x v="2"/>
    <n v="1328121.9228895183"/>
  </r>
  <r>
    <x v="1"/>
    <s v="Østdanmark"/>
    <x v="18"/>
    <x v="2"/>
    <n v="172292.76645701908"/>
  </r>
  <r>
    <x v="1"/>
    <s v="Østdanmark"/>
    <x v="19"/>
    <x v="2"/>
    <n v="191431.38976525888"/>
  </r>
  <r>
    <x v="1"/>
    <s v="Østdanmark"/>
    <x v="20"/>
    <x v="2"/>
    <n v="226234.86420959991"/>
  </r>
  <r>
    <x v="1"/>
    <s v="Østdanmark"/>
    <x v="21"/>
    <x v="2"/>
    <n v="0"/>
  </r>
  <r>
    <x v="1"/>
    <s v="Østdanmark"/>
    <x v="22"/>
    <x v="2"/>
    <n v="24319.338016954094"/>
  </r>
  <r>
    <x v="1"/>
    <s v="Østdanmark"/>
    <x v="0"/>
    <x v="2"/>
    <n v="960.24397829585621"/>
  </r>
  <r>
    <x v="1"/>
    <s v="Østdanmark"/>
    <x v="23"/>
    <x v="2"/>
    <n v="10149.946321457955"/>
  </r>
  <r>
    <x v="1"/>
    <s v="Østdanmark"/>
    <x v="24"/>
    <x v="2"/>
    <n v="15500.875420530891"/>
  </r>
  <r>
    <x v="1"/>
    <s v="Østdanmark"/>
    <x v="25"/>
    <x v="2"/>
    <n v="24610.929224370735"/>
  </r>
  <r>
    <x v="1"/>
    <s v="Østdanmark"/>
    <x v="26"/>
    <x v="2"/>
    <n v="36.343081867307831"/>
  </r>
  <r>
    <x v="1"/>
    <s v="Østdanmark"/>
    <x v="27"/>
    <x v="2"/>
    <n v="28548.400000000001"/>
  </r>
  <r>
    <x v="1"/>
    <s v="Østdanmark"/>
    <x v="6"/>
    <x v="2"/>
    <n v="0"/>
  </r>
  <r>
    <x v="1"/>
    <s v="Østdanmark"/>
    <x v="7"/>
    <x v="2"/>
    <n v="0"/>
  </r>
  <r>
    <x v="2"/>
    <s v="Vestdanmark"/>
    <x v="0"/>
    <x v="0"/>
    <n v="5879215.2019956242"/>
  </r>
  <r>
    <x v="2"/>
    <s v="Vestdanmark"/>
    <x v="22"/>
    <x v="0"/>
    <n v="773085.89354292618"/>
  </r>
  <r>
    <x v="2"/>
    <s v="Vestdanmark"/>
    <x v="2"/>
    <x v="0"/>
    <n v="0"/>
  </r>
  <r>
    <x v="2"/>
    <s v="Vestdanmark"/>
    <x v="5"/>
    <x v="0"/>
    <n v="64498.47547519199"/>
  </r>
  <r>
    <x v="2"/>
    <s v="Vestdanmark"/>
    <x v="25"/>
    <x v="0"/>
    <n v="841167.61765562883"/>
  </r>
  <r>
    <x v="2"/>
    <s v="Vestdanmark"/>
    <x v="24"/>
    <x v="0"/>
    <n v="5657053.7864699634"/>
  </r>
  <r>
    <x v="2"/>
    <s v="Vestdanmark"/>
    <x v="28"/>
    <x v="0"/>
    <n v="214099.10609126228"/>
  </r>
  <r>
    <x v="2"/>
    <s v="Vestdanmark"/>
    <x v="7"/>
    <x v="0"/>
    <n v="0"/>
  </r>
  <r>
    <x v="2"/>
    <s v="Vestdanmark"/>
    <x v="6"/>
    <x v="0"/>
    <n v="0"/>
  </r>
  <r>
    <x v="2"/>
    <s v="Vestdanmark"/>
    <x v="23"/>
    <x v="0"/>
    <n v="12237689.9092583"/>
  </r>
  <r>
    <x v="2"/>
    <s v="Vestdanmark"/>
    <x v="29"/>
    <x v="0"/>
    <n v="1515714.1736670118"/>
  </r>
  <r>
    <x v="2"/>
    <s v="Vestdanmark"/>
    <x v="30"/>
    <x v="0"/>
    <n v="0"/>
  </r>
  <r>
    <x v="2"/>
    <s v="Vestdanmark"/>
    <x v="31"/>
    <x v="0"/>
    <n v="0"/>
  </r>
  <r>
    <x v="2"/>
    <s v="Vestdanmark"/>
    <x v="32"/>
    <x v="0"/>
    <n v="39415.735012617326"/>
  </r>
  <r>
    <x v="2"/>
    <s v="Vestdanmark"/>
    <x v="33"/>
    <x v="0"/>
    <n v="4828427.5390456235"/>
  </r>
  <r>
    <x v="2"/>
    <s v="Vestdanmark"/>
    <x v="0"/>
    <x v="1"/>
    <n v="7055058.2423947481"/>
  </r>
  <r>
    <x v="2"/>
    <s v="Vestdanmark"/>
    <x v="22"/>
    <x v="1"/>
    <n v="927703.07225151139"/>
  </r>
  <r>
    <x v="2"/>
    <s v="Vestdanmark"/>
    <x v="2"/>
    <x v="1"/>
    <n v="0"/>
  </r>
  <r>
    <x v="2"/>
    <s v="Vestdanmark"/>
    <x v="5"/>
    <x v="1"/>
    <n v="77398.170570230373"/>
  </r>
  <r>
    <x v="2"/>
    <s v="Vestdanmark"/>
    <x v="25"/>
    <x v="1"/>
    <n v="1009401.1411867546"/>
  </r>
  <r>
    <x v="2"/>
    <s v="Vestdanmark"/>
    <x v="24"/>
    <x v="1"/>
    <n v="6788464.5437639551"/>
  </r>
  <r>
    <x v="2"/>
    <s v="Vestdanmark"/>
    <x v="28"/>
    <x v="1"/>
    <n v="256918.92730951472"/>
  </r>
  <r>
    <x v="2"/>
    <s v="Vestdanmark"/>
    <x v="7"/>
    <x v="1"/>
    <n v="0"/>
  </r>
  <r>
    <x v="2"/>
    <s v="Vestdanmark"/>
    <x v="6"/>
    <x v="1"/>
    <n v="0"/>
  </r>
  <r>
    <x v="2"/>
    <s v="Vestdanmark"/>
    <x v="23"/>
    <x v="1"/>
    <n v="14685227.891109958"/>
  </r>
  <r>
    <x v="2"/>
    <s v="Vestdanmark"/>
    <x v="29"/>
    <x v="1"/>
    <n v="1818857.0084004137"/>
  </r>
  <r>
    <x v="2"/>
    <s v="Vestdanmark"/>
    <x v="30"/>
    <x v="1"/>
    <n v="0"/>
  </r>
  <r>
    <x v="2"/>
    <s v="Vestdanmark"/>
    <x v="31"/>
    <x v="1"/>
    <n v="0"/>
  </r>
  <r>
    <x v="2"/>
    <s v="Vestdanmark"/>
    <x v="32"/>
    <x v="1"/>
    <n v="47298.882015140785"/>
  </r>
  <r>
    <x v="2"/>
    <s v="Vestdanmark"/>
    <x v="33"/>
    <x v="1"/>
    <n v="5794113.0468547465"/>
  </r>
  <r>
    <x v="2"/>
    <s v="Vestdanmark"/>
    <x v="0"/>
    <x v="2"/>
    <n v="7055058.2423947481"/>
  </r>
  <r>
    <x v="2"/>
    <s v="Vestdanmark"/>
    <x v="22"/>
    <x v="2"/>
    <n v="927703.07225151139"/>
  </r>
  <r>
    <x v="2"/>
    <s v="Vestdanmark"/>
    <x v="2"/>
    <x v="2"/>
    <n v="0"/>
  </r>
  <r>
    <x v="2"/>
    <s v="Vestdanmark"/>
    <x v="5"/>
    <x v="2"/>
    <n v="77398.170570230373"/>
  </r>
  <r>
    <x v="2"/>
    <s v="Vestdanmark"/>
    <x v="25"/>
    <x v="2"/>
    <n v="1009401.1411867546"/>
  </r>
  <r>
    <x v="2"/>
    <s v="Vestdanmark"/>
    <x v="24"/>
    <x v="2"/>
    <n v="6788464.5437639551"/>
  </r>
  <r>
    <x v="2"/>
    <s v="Vestdanmark"/>
    <x v="28"/>
    <x v="2"/>
    <n v="256918.92730951472"/>
  </r>
  <r>
    <x v="2"/>
    <s v="Vestdanmark"/>
    <x v="7"/>
    <x v="2"/>
    <n v="0"/>
  </r>
  <r>
    <x v="2"/>
    <s v="Vestdanmark"/>
    <x v="6"/>
    <x v="2"/>
    <n v="0"/>
  </r>
  <r>
    <x v="2"/>
    <s v="Vestdanmark"/>
    <x v="23"/>
    <x v="2"/>
    <n v="14685227.891109958"/>
  </r>
  <r>
    <x v="2"/>
    <s v="Vestdanmark"/>
    <x v="29"/>
    <x v="2"/>
    <n v="1818857.0084004137"/>
  </r>
  <r>
    <x v="2"/>
    <s v="Vestdanmark"/>
    <x v="30"/>
    <x v="2"/>
    <n v="0"/>
  </r>
  <r>
    <x v="2"/>
    <s v="Vestdanmark"/>
    <x v="31"/>
    <x v="2"/>
    <n v="0"/>
  </r>
  <r>
    <x v="2"/>
    <s v="Vestdanmark"/>
    <x v="32"/>
    <x v="2"/>
    <n v="47298.882015140785"/>
  </r>
  <r>
    <x v="2"/>
    <s v="Vestdanmark"/>
    <x v="33"/>
    <x v="2"/>
    <n v="5794113.0468547465"/>
  </r>
  <r>
    <x v="2"/>
    <s v="Østdanmark"/>
    <x v="0"/>
    <x v="0"/>
    <n v="721621.60770550335"/>
  </r>
  <r>
    <x v="2"/>
    <s v="Østdanmark"/>
    <x v="22"/>
    <x v="0"/>
    <n v="94889.448034412548"/>
  </r>
  <r>
    <x v="2"/>
    <s v="Østdanmark"/>
    <x v="2"/>
    <x v="0"/>
    <n v="0"/>
  </r>
  <r>
    <x v="2"/>
    <s v="Østdanmark"/>
    <x v="5"/>
    <x v="0"/>
    <n v="7916.616753740097"/>
  </r>
  <r>
    <x v="2"/>
    <s v="Østdanmark"/>
    <x v="25"/>
    <x v="0"/>
    <n v="103245.87683002709"/>
  </r>
  <r>
    <x v="2"/>
    <s v="Østdanmark"/>
    <x v="24"/>
    <x v="0"/>
    <n v="694353.2611092875"/>
  </r>
  <r>
    <x v="2"/>
    <s v="Østdanmark"/>
    <x v="28"/>
    <x v="0"/>
    <n v="26278.769501998373"/>
  </r>
  <r>
    <x v="2"/>
    <s v="Østdanmark"/>
    <x v="7"/>
    <x v="0"/>
    <n v="0"/>
  </r>
  <r>
    <x v="2"/>
    <s v="Østdanmark"/>
    <x v="6"/>
    <x v="0"/>
    <n v="0"/>
  </r>
  <r>
    <x v="2"/>
    <s v="Østdanmark"/>
    <x v="23"/>
    <x v="0"/>
    <n v="1502068.0760117143"/>
  </r>
  <r>
    <x v="2"/>
    <s v="Østdanmark"/>
    <x v="29"/>
    <x v="0"/>
    <n v="186040.49371289223"/>
  </r>
  <r>
    <x v="2"/>
    <s v="Østdanmark"/>
    <x v="30"/>
    <x v="0"/>
    <n v="0"/>
  </r>
  <r>
    <x v="2"/>
    <s v="Østdanmark"/>
    <x v="31"/>
    <x v="0"/>
    <n v="0"/>
  </r>
  <r>
    <x v="2"/>
    <s v="Østdanmark"/>
    <x v="32"/>
    <x v="0"/>
    <n v="4837.9324606189475"/>
  </r>
  <r>
    <x v="2"/>
    <s v="Østdanmark"/>
    <x v="33"/>
    <x v="0"/>
    <n v="592646.72642582108"/>
  </r>
  <r>
    <x v="2"/>
    <s v="Østdanmark"/>
    <x v="0"/>
    <x v="1"/>
    <n v="865945.92924660386"/>
  </r>
  <r>
    <x v="2"/>
    <s v="Østdanmark"/>
    <x v="22"/>
    <x v="1"/>
    <n v="113867.33764129503"/>
  </r>
  <r>
    <x v="2"/>
    <s v="Østdanmark"/>
    <x v="2"/>
    <x v="1"/>
    <n v="0"/>
  </r>
  <r>
    <x v="2"/>
    <s v="Østdanmark"/>
    <x v="5"/>
    <x v="1"/>
    <n v="9499.9401044881142"/>
  </r>
  <r>
    <x v="2"/>
    <s v="Østdanmark"/>
    <x v="25"/>
    <x v="1"/>
    <n v="123895.05219603248"/>
  </r>
  <r>
    <x v="2"/>
    <s v="Østdanmark"/>
    <x v="24"/>
    <x v="1"/>
    <n v="833223.91333114496"/>
  </r>
  <r>
    <x v="2"/>
    <s v="Østdanmark"/>
    <x v="28"/>
    <x v="1"/>
    <n v="31534.523402398045"/>
  </r>
  <r>
    <x v="2"/>
    <s v="Østdanmark"/>
    <x v="7"/>
    <x v="1"/>
    <n v="0"/>
  </r>
  <r>
    <x v="2"/>
    <s v="Østdanmark"/>
    <x v="6"/>
    <x v="1"/>
    <n v="0"/>
  </r>
  <r>
    <x v="2"/>
    <s v="Østdanmark"/>
    <x v="23"/>
    <x v="1"/>
    <n v="1802481.6912140569"/>
  </r>
  <r>
    <x v="2"/>
    <s v="Østdanmark"/>
    <x v="29"/>
    <x v="1"/>
    <n v="223248.59245547064"/>
  </r>
  <r>
    <x v="2"/>
    <s v="Østdanmark"/>
    <x v="30"/>
    <x v="1"/>
    <n v="0"/>
  </r>
  <r>
    <x v="2"/>
    <s v="Østdanmark"/>
    <x v="31"/>
    <x v="1"/>
    <n v="0"/>
  </r>
  <r>
    <x v="2"/>
    <s v="Østdanmark"/>
    <x v="32"/>
    <x v="1"/>
    <n v="5805.5189527427374"/>
  </r>
  <r>
    <x v="2"/>
    <s v="Østdanmark"/>
    <x v="33"/>
    <x v="1"/>
    <n v="711176.07171098527"/>
  </r>
  <r>
    <x v="2"/>
    <s v="Østdanmark"/>
    <x v="0"/>
    <x v="2"/>
    <n v="865945.92924660421"/>
  </r>
  <r>
    <x v="2"/>
    <s v="Østdanmark"/>
    <x v="22"/>
    <x v="2"/>
    <n v="113867.33764129507"/>
  </r>
  <r>
    <x v="2"/>
    <s v="Østdanmark"/>
    <x v="2"/>
    <x v="2"/>
    <n v="0"/>
  </r>
  <r>
    <x v="2"/>
    <s v="Østdanmark"/>
    <x v="5"/>
    <x v="2"/>
    <n v="9499.9401044881179"/>
  </r>
  <r>
    <x v="2"/>
    <s v="Østdanmark"/>
    <x v="25"/>
    <x v="2"/>
    <n v="123895.05219603253"/>
  </r>
  <r>
    <x v="2"/>
    <s v="Østdanmark"/>
    <x v="24"/>
    <x v="2"/>
    <n v="833223.91333114507"/>
  </r>
  <r>
    <x v="2"/>
    <s v="Østdanmark"/>
    <x v="28"/>
    <x v="2"/>
    <n v="31534.523402398052"/>
  </r>
  <r>
    <x v="2"/>
    <s v="Østdanmark"/>
    <x v="7"/>
    <x v="2"/>
    <n v="0"/>
  </r>
  <r>
    <x v="2"/>
    <s v="Østdanmark"/>
    <x v="6"/>
    <x v="2"/>
    <n v="0"/>
  </r>
  <r>
    <x v="2"/>
    <s v="Østdanmark"/>
    <x v="23"/>
    <x v="2"/>
    <n v="1802481.6912140576"/>
  </r>
  <r>
    <x v="2"/>
    <s v="Østdanmark"/>
    <x v="29"/>
    <x v="2"/>
    <n v="223248.59245547073"/>
  </r>
  <r>
    <x v="2"/>
    <s v="Østdanmark"/>
    <x v="30"/>
    <x v="2"/>
    <n v="0"/>
  </r>
  <r>
    <x v="2"/>
    <s v="Østdanmark"/>
    <x v="31"/>
    <x v="2"/>
    <n v="0"/>
  </r>
  <r>
    <x v="2"/>
    <s v="Østdanmark"/>
    <x v="32"/>
    <x v="2"/>
    <n v="5805.5189527427383"/>
  </r>
  <r>
    <x v="2"/>
    <s v="Østdanmark"/>
    <x v="33"/>
    <x v="2"/>
    <n v="711176.0717109855"/>
  </r>
  <r>
    <x v="3"/>
    <s v="Vestdanmark"/>
    <x v="22"/>
    <x v="0"/>
    <n v="1159590.3134327475"/>
  </r>
  <r>
    <x v="3"/>
    <s v="Vestdanmark"/>
    <x v="34"/>
    <x v="0"/>
    <n v="80676.325166481722"/>
  </r>
  <r>
    <x v="3"/>
    <s v="Vestdanmark"/>
    <x v="35"/>
    <x v="0"/>
    <n v="172205.06744997756"/>
  </r>
  <r>
    <x v="3"/>
    <s v="Vestdanmark"/>
    <x v="36"/>
    <x v="0"/>
    <n v="2328635.6388303456"/>
  </r>
  <r>
    <x v="3"/>
    <s v="Vestdanmark"/>
    <x v="26"/>
    <x v="0"/>
    <n v="530420.38785042788"/>
  </r>
  <r>
    <x v="3"/>
    <s v="Vestdanmark"/>
    <x v="18"/>
    <x v="0"/>
    <n v="0"/>
  </r>
  <r>
    <x v="4"/>
    <s v="Vestdanmark"/>
    <x v="22"/>
    <x v="0"/>
    <n v="0"/>
  </r>
  <r>
    <x v="4"/>
    <s v="Vestdanmark"/>
    <x v="34"/>
    <x v="0"/>
    <n v="74470.453999829275"/>
  </r>
  <r>
    <x v="4"/>
    <s v="Vestdanmark"/>
    <x v="35"/>
    <x v="0"/>
    <n v="0"/>
  </r>
  <r>
    <x v="4"/>
    <s v="Vestdanmark"/>
    <x v="37"/>
    <x v="0"/>
    <n v="640280.13059892249"/>
  </r>
  <r>
    <x v="4"/>
    <s v="Vestdanmark"/>
    <x v="26"/>
    <x v="0"/>
    <n v="0"/>
  </r>
  <r>
    <x v="4"/>
    <s v="Vestdanmark"/>
    <x v="18"/>
    <x v="0"/>
    <n v="0"/>
  </r>
  <r>
    <x v="3"/>
    <s v="Østdanmark"/>
    <x v="22"/>
    <x v="0"/>
    <n v="734174.89910281403"/>
  </r>
  <r>
    <x v="3"/>
    <s v="Østdanmark"/>
    <x v="34"/>
    <x v="0"/>
    <n v="32210.735628649098"/>
  </r>
  <r>
    <x v="3"/>
    <s v="Østdanmark"/>
    <x v="35"/>
    <x v="0"/>
    <n v="37577.319945022478"/>
  </r>
  <r>
    <x v="3"/>
    <s v="Østdanmark"/>
    <x v="36"/>
    <x v="0"/>
    <n v="681602.85349434032"/>
  </r>
  <r>
    <x v="3"/>
    <s v="Østdanmark"/>
    <x v="26"/>
    <x v="0"/>
    <n v="452310.61214957217"/>
  </r>
  <r>
    <x v="3"/>
    <s v="Østdanmark"/>
    <x v="18"/>
    <x v="0"/>
    <n v="0"/>
  </r>
  <r>
    <x v="4"/>
    <s v="Østdanmark"/>
    <x v="22"/>
    <x v="0"/>
    <n v="0"/>
  </r>
  <r>
    <x v="4"/>
    <s v="Østdanmark"/>
    <x v="34"/>
    <x v="0"/>
    <n v="29732.986734137623"/>
  </r>
  <r>
    <x v="4"/>
    <s v="Østdanmark"/>
    <x v="35"/>
    <x v="0"/>
    <n v="0"/>
  </r>
  <r>
    <x v="4"/>
    <s v="Østdanmark"/>
    <x v="37"/>
    <x v="0"/>
    <n v="187413.07432328182"/>
  </r>
  <r>
    <x v="4"/>
    <s v="Østdanmark"/>
    <x v="26"/>
    <x v="0"/>
    <n v="0"/>
  </r>
  <r>
    <x v="4"/>
    <s v="Østdanmark"/>
    <x v="18"/>
    <x v="0"/>
    <n v="0"/>
  </r>
  <r>
    <x v="3"/>
    <s v="Vestdanmark"/>
    <x v="22"/>
    <x v="1"/>
    <n v="787117.71293108177"/>
  </r>
  <r>
    <x v="3"/>
    <s v="Vestdanmark"/>
    <x v="34"/>
    <x v="1"/>
    <n v="162493.02564918654"/>
  </r>
  <r>
    <x v="3"/>
    <s v="Vestdanmark"/>
    <x v="35"/>
    <x v="1"/>
    <n v="177516.46640303911"/>
  </r>
  <r>
    <x v="3"/>
    <s v="Vestdanmark"/>
    <x v="36"/>
    <x v="1"/>
    <n v="2203715.0015238998"/>
  </r>
  <r>
    <x v="3"/>
    <s v="Vestdanmark"/>
    <x v="26"/>
    <x v="1"/>
    <n v="526692.30595677684"/>
  </r>
  <r>
    <x v="3"/>
    <s v="Vestdanmark"/>
    <x v="18"/>
    <x v="1"/>
    <n v="0"/>
  </r>
  <r>
    <x v="4"/>
    <s v="Vestdanmark"/>
    <x v="22"/>
    <x v="1"/>
    <n v="0"/>
  </r>
  <r>
    <x v="4"/>
    <s v="Vestdanmark"/>
    <x v="34"/>
    <x v="1"/>
    <n v="0"/>
  </r>
  <r>
    <x v="4"/>
    <s v="Vestdanmark"/>
    <x v="35"/>
    <x v="1"/>
    <n v="0"/>
  </r>
  <r>
    <x v="4"/>
    <s v="Vestdanmark"/>
    <x v="37"/>
    <x v="1"/>
    <n v="605932.0339558397"/>
  </r>
  <r>
    <x v="4"/>
    <s v="Vestdanmark"/>
    <x v="26"/>
    <x v="1"/>
    <n v="0"/>
  </r>
  <r>
    <x v="4"/>
    <s v="Vestdanmark"/>
    <x v="18"/>
    <x v="1"/>
    <n v="0"/>
  </r>
  <r>
    <x v="3"/>
    <s v="Østdanmark"/>
    <x v="22"/>
    <x v="1"/>
    <n v="675722.17739080405"/>
  </r>
  <r>
    <x v="3"/>
    <s v="Østdanmark"/>
    <x v="34"/>
    <x v="1"/>
    <n v="65410.493211637622"/>
  </r>
  <r>
    <x v="3"/>
    <s v="Østdanmark"/>
    <x v="35"/>
    <x v="1"/>
    <n v="39419.677245239443"/>
  </r>
  <r>
    <x v="3"/>
    <s v="Østdanmark"/>
    <x v="36"/>
    <x v="1"/>
    <n v="645037.98201828008"/>
  </r>
  <r>
    <x v="3"/>
    <s v="Østdanmark"/>
    <x v="26"/>
    <x v="1"/>
    <n v="456038.69404322316"/>
  </r>
  <r>
    <x v="3"/>
    <s v="Østdanmark"/>
    <x v="18"/>
    <x v="1"/>
    <n v="0"/>
  </r>
  <r>
    <x v="4"/>
    <s v="Østdanmark"/>
    <x v="22"/>
    <x v="1"/>
    <n v="0"/>
  </r>
  <r>
    <x v="4"/>
    <s v="Østdanmark"/>
    <x v="34"/>
    <x v="1"/>
    <n v="0"/>
  </r>
  <r>
    <x v="4"/>
    <s v="Østdanmark"/>
    <x v="35"/>
    <x v="1"/>
    <n v="0"/>
  </r>
  <r>
    <x v="4"/>
    <s v="Østdanmark"/>
    <x v="37"/>
    <x v="1"/>
    <n v="177359.22120275494"/>
  </r>
  <r>
    <x v="4"/>
    <s v="Østdanmark"/>
    <x v="26"/>
    <x v="1"/>
    <n v="0"/>
  </r>
  <r>
    <x v="4"/>
    <s v="Østdanmark"/>
    <x v="18"/>
    <x v="1"/>
    <n v="0"/>
  </r>
  <r>
    <x v="3"/>
    <s v="Vestdanmark"/>
    <x v="22"/>
    <x v="2"/>
    <n v="705945.48999946821"/>
  </r>
  <r>
    <x v="3"/>
    <s v="Vestdanmark"/>
    <x v="34"/>
    <x v="2"/>
    <n v="167879.3882726107"/>
  </r>
  <r>
    <x v="3"/>
    <s v="Vestdanmark"/>
    <x v="35"/>
    <x v="2"/>
    <n v="184273.6818542117"/>
  </r>
  <r>
    <x v="3"/>
    <s v="Vestdanmark"/>
    <x v="36"/>
    <x v="2"/>
    <n v="2001216.64646261"/>
  </r>
  <r>
    <x v="3"/>
    <s v="Vestdanmark"/>
    <x v="26"/>
    <x v="2"/>
    <n v="524840.3181212655"/>
  </r>
  <r>
    <x v="3"/>
    <s v="Vestdanmark"/>
    <x v="18"/>
    <x v="2"/>
    <n v="0"/>
  </r>
  <r>
    <x v="4"/>
    <s v="Vestdanmark"/>
    <x v="22"/>
    <x v="2"/>
    <n v="0"/>
  </r>
  <r>
    <x v="4"/>
    <s v="Vestdanmark"/>
    <x v="34"/>
    <x v="2"/>
    <n v="0"/>
  </r>
  <r>
    <x v="4"/>
    <s v="Vestdanmark"/>
    <x v="35"/>
    <x v="2"/>
    <n v="0"/>
  </r>
  <r>
    <x v="4"/>
    <s v="Vestdanmark"/>
    <x v="37"/>
    <x v="2"/>
    <n v="551684.14080425573"/>
  </r>
  <r>
    <x v="4"/>
    <s v="Vestdanmark"/>
    <x v="26"/>
    <x v="2"/>
    <n v="0"/>
  </r>
  <r>
    <x v="4"/>
    <s v="Vestdanmark"/>
    <x v="18"/>
    <x v="2"/>
    <n v="0"/>
  </r>
  <r>
    <x v="3"/>
    <s v="Østdanmark"/>
    <x v="22"/>
    <x v="2"/>
    <n v="655860.68265151768"/>
  </r>
  <r>
    <x v="3"/>
    <s v="Østdanmark"/>
    <x v="34"/>
    <x v="2"/>
    <n v="68369.449315583843"/>
  </r>
  <r>
    <x v="3"/>
    <s v="Østdanmark"/>
    <x v="35"/>
    <x v="2"/>
    <n v="41269.159607947513"/>
  </r>
  <r>
    <x v="3"/>
    <s v="Østdanmark"/>
    <x v="36"/>
    <x v="2"/>
    <n v="585136.614594521"/>
  </r>
  <r>
    <x v="3"/>
    <s v="Østdanmark"/>
    <x v="26"/>
    <x v="2"/>
    <n v="457890.6818787345"/>
  </r>
  <r>
    <x v="3"/>
    <s v="Østdanmark"/>
    <x v="18"/>
    <x v="2"/>
    <n v="0"/>
  </r>
  <r>
    <x v="4"/>
    <s v="Østdanmark"/>
    <x v="22"/>
    <x v="2"/>
    <n v="0"/>
  </r>
  <r>
    <x v="4"/>
    <s v="Østdanmark"/>
    <x v="34"/>
    <x v="2"/>
    <n v="0"/>
  </r>
  <r>
    <x v="4"/>
    <s v="Østdanmark"/>
    <x v="35"/>
    <x v="2"/>
    <n v="0"/>
  </r>
  <r>
    <x v="4"/>
    <s v="Østdanmark"/>
    <x v="37"/>
    <x v="2"/>
    <n v="161190.90184954062"/>
  </r>
  <r>
    <x v="4"/>
    <s v="Østdanmark"/>
    <x v="26"/>
    <x v="2"/>
    <n v="0"/>
  </r>
  <r>
    <x v="4"/>
    <s v="Østdanmark"/>
    <x v="18"/>
    <x v="2"/>
    <n v="0"/>
  </r>
  <r>
    <x v="5"/>
    <s v="Vestdanmark"/>
    <x v="14"/>
    <x v="0"/>
    <n v="12818096.433914844"/>
  </r>
  <r>
    <x v="5"/>
    <s v="Vestdanmark"/>
    <x v="15"/>
    <x v="0"/>
    <n v="9058051.1739541572"/>
  </r>
  <r>
    <x v="5"/>
    <s v="Vestdanmark"/>
    <x v="16"/>
    <x v="0"/>
    <n v="4103.8061780475591"/>
  </r>
  <r>
    <x v="5"/>
    <s v="Vestdanmark"/>
    <x v="20"/>
    <x v="0"/>
    <n v="730307.97492940596"/>
  </r>
  <r>
    <x v="5"/>
    <s v="Vestdanmark"/>
    <x v="38"/>
    <x v="0"/>
    <n v="7001759.6428652545"/>
  </r>
  <r>
    <x v="5"/>
    <s v="Vestdanmark"/>
    <x v="39"/>
    <x v="0"/>
    <n v="567745.18896312197"/>
  </r>
  <r>
    <x v="5"/>
    <s v="Vestdanmark"/>
    <x v="14"/>
    <x v="1"/>
    <n v="8502205.9111969229"/>
  </r>
  <r>
    <x v="5"/>
    <s v="Vestdanmark"/>
    <x v="15"/>
    <x v="1"/>
    <n v="3739247.0528647057"/>
  </r>
  <r>
    <x v="5"/>
    <s v="Vestdanmark"/>
    <x v="16"/>
    <x v="1"/>
    <n v="5005.6356813272896"/>
  </r>
  <r>
    <x v="5"/>
    <s v="Vestdanmark"/>
    <x v="20"/>
    <x v="1"/>
    <n v="602593.15019279509"/>
  </r>
  <r>
    <x v="5"/>
    <s v="Vestdanmark"/>
    <x v="38"/>
    <x v="1"/>
    <n v="21249287.826149497"/>
  </r>
  <r>
    <x v="5"/>
    <s v="Vestdanmark"/>
    <x v="39"/>
    <x v="1"/>
    <n v="326194.91053704952"/>
  </r>
  <r>
    <x v="5"/>
    <s v="Vestdanmark"/>
    <x v="14"/>
    <x v="2"/>
    <n v="8139812.5569148706"/>
  </r>
  <r>
    <x v="5"/>
    <s v="Vestdanmark"/>
    <x v="15"/>
    <x v="2"/>
    <n v="3667797.0727343494"/>
  </r>
  <r>
    <x v="5"/>
    <s v="Vestdanmark"/>
    <x v="16"/>
    <x v="2"/>
    <n v="5169.3190334894534"/>
  </r>
  <r>
    <x v="5"/>
    <s v="Vestdanmark"/>
    <x v="20"/>
    <x v="2"/>
    <n v="630997.79814640491"/>
  </r>
  <r>
    <x v="5"/>
    <s v="Vestdanmark"/>
    <x v="38"/>
    <x v="2"/>
    <n v="20673448.784384709"/>
  </r>
  <r>
    <x v="5"/>
    <s v="Vestdanmark"/>
    <x v="39"/>
    <x v="2"/>
    <n v="309762.85640159156"/>
  </r>
  <r>
    <x v="5"/>
    <s v="Østdanmark"/>
    <x v="14"/>
    <x v="0"/>
    <n v="1924034.2327518209"/>
  </r>
  <r>
    <x v="5"/>
    <s v="Østdanmark"/>
    <x v="15"/>
    <x v="0"/>
    <n v="638439.1593791761"/>
  </r>
  <r>
    <x v="5"/>
    <s v="Østdanmark"/>
    <x v="16"/>
    <x v="0"/>
    <n v="337.693821952441"/>
  </r>
  <r>
    <x v="5"/>
    <s v="Østdanmark"/>
    <x v="20"/>
    <x v="0"/>
    <n v="93457.017927737121"/>
  </r>
  <r>
    <x v="5"/>
    <s v="Østdanmark"/>
    <x v="38"/>
    <x v="0"/>
    <n v="1801732.0926432305"/>
  </r>
  <r>
    <x v="5"/>
    <s v="Østdanmark"/>
    <x v="39"/>
    <x v="0"/>
    <n v="377069.89971696056"/>
  </r>
  <r>
    <x v="5"/>
    <s v="Østdanmark"/>
    <x v="14"/>
    <x v="1"/>
    <n v="1231945.108656165"/>
  </r>
  <r>
    <x v="5"/>
    <s v="Østdanmark"/>
    <x v="15"/>
    <x v="1"/>
    <n v="265763.28172786813"/>
  </r>
  <r>
    <x v="5"/>
    <s v="Østdanmark"/>
    <x v="16"/>
    <x v="1"/>
    <n v="420.12115509171275"/>
  </r>
  <r>
    <x v="5"/>
    <s v="Østdanmark"/>
    <x v="20"/>
    <x v="1"/>
    <n v="81329.660607366925"/>
  </r>
  <r>
    <x v="5"/>
    <s v="Østdanmark"/>
    <x v="38"/>
    <x v="1"/>
    <n v="3436648.7301143073"/>
  </r>
  <r>
    <x v="5"/>
    <s v="Østdanmark"/>
    <x v="39"/>
    <x v="1"/>
    <n v="340898.07290760207"/>
  </r>
  <r>
    <x v="5"/>
    <s v="Østdanmark"/>
    <x v="14"/>
    <x v="2"/>
    <n v="1179435.3570834203"/>
  </r>
  <r>
    <x v="5"/>
    <s v="Østdanmark"/>
    <x v="15"/>
    <x v="2"/>
    <n v="260685.0451389573"/>
  </r>
  <r>
    <x v="5"/>
    <s v="Østdanmark"/>
    <x v="16"/>
    <x v="2"/>
    <n v="433.85903842113186"/>
  </r>
  <r>
    <x v="5"/>
    <s v="Østdanmark"/>
    <x v="20"/>
    <x v="2"/>
    <n v="85646.055736491384"/>
  </r>
  <r>
    <x v="5"/>
    <s v="Østdanmark"/>
    <x v="38"/>
    <x v="2"/>
    <n v="3410095.0601985683"/>
  </r>
  <r>
    <x v="5"/>
    <s v="Østdanmark"/>
    <x v="39"/>
    <x v="2"/>
    <n v="331936.49185647361"/>
  </r>
  <r>
    <x v="6"/>
    <s v="Vestdanmark"/>
    <x v="23"/>
    <x v="0"/>
    <n v="0"/>
  </r>
  <r>
    <x v="6"/>
    <s v="Vestdanmark"/>
    <x v="23"/>
    <x v="1"/>
    <n v="0"/>
  </r>
  <r>
    <x v="6"/>
    <s v="Vestdanmark"/>
    <x v="23"/>
    <x v="2"/>
    <n v="0"/>
  </r>
  <r>
    <x v="6"/>
    <s v="Østdanmark"/>
    <x v="23"/>
    <x v="0"/>
    <n v="0"/>
  </r>
  <r>
    <x v="6"/>
    <s v="Østdanmark"/>
    <x v="23"/>
    <x v="1"/>
    <n v="0"/>
  </r>
  <r>
    <x v="6"/>
    <s v="Østdanmark"/>
    <x v="23"/>
    <x v="2"/>
    <n v="0"/>
  </r>
  <r>
    <x v="7"/>
    <s v="Vestdanmark"/>
    <x v="40"/>
    <x v="0"/>
    <n v="484833.6848947219"/>
  </r>
  <r>
    <x v="7"/>
    <s v="Vestdanmark"/>
    <x v="40"/>
    <x v="1"/>
    <n v="507790.70515370794"/>
  </r>
  <r>
    <x v="7"/>
    <s v="Vestdanmark"/>
    <x v="40"/>
    <x v="2"/>
    <n v="524623.08835190837"/>
  </r>
  <r>
    <x v="7"/>
    <s v="Østdanmark"/>
    <x v="40"/>
    <x v="0"/>
    <n v="193574.13238370849"/>
  </r>
  <r>
    <x v="7"/>
    <s v="Østdanmark"/>
    <x v="40"/>
    <x v="1"/>
    <n v="204407.79128636757"/>
  </r>
  <r>
    <x v="7"/>
    <s v="Østdanmark"/>
    <x v="40"/>
    <x v="2"/>
    <n v="213654.52911119949"/>
  </r>
  <r>
    <x v="8"/>
    <s v="Vestdanmark"/>
    <x v="22"/>
    <x v="0"/>
    <n v="0"/>
  </r>
  <r>
    <x v="8"/>
    <s v="Vestdanmark"/>
    <x v="22"/>
    <x v="1"/>
    <n v="0"/>
  </r>
  <r>
    <x v="8"/>
    <s v="Vestdanmark"/>
    <x v="22"/>
    <x v="2"/>
    <n v="0"/>
  </r>
  <r>
    <x v="8"/>
    <s v="Østdanmark"/>
    <x v="22"/>
    <x v="0"/>
    <n v="0"/>
  </r>
  <r>
    <x v="8"/>
    <s v="Østdanmark"/>
    <x v="22"/>
    <x v="1"/>
    <n v="0"/>
  </r>
  <r>
    <x v="8"/>
    <s v="Østdanmark"/>
    <x v="22"/>
    <x v="2"/>
    <n v="0"/>
  </r>
  <r>
    <x v="3"/>
    <s v="Vestdanmark"/>
    <x v="41"/>
    <x v="0"/>
    <n v="0"/>
  </r>
  <r>
    <x v="3"/>
    <s v="Vestdanmark"/>
    <x v="42"/>
    <x v="0"/>
    <n v="0"/>
  </r>
  <r>
    <x v="3"/>
    <s v="Vestdanmark"/>
    <x v="41"/>
    <x v="1"/>
    <n v="0"/>
  </r>
  <r>
    <x v="3"/>
    <s v="Vestdanmark"/>
    <x v="42"/>
    <x v="1"/>
    <n v="0"/>
  </r>
  <r>
    <x v="3"/>
    <s v="Vestdanmark"/>
    <x v="41"/>
    <x v="2"/>
    <n v="0"/>
  </r>
  <r>
    <x v="3"/>
    <s v="Vestdanmark"/>
    <x v="42"/>
    <x v="2"/>
    <n v="0"/>
  </r>
  <r>
    <x v="3"/>
    <s v="Østdanmark"/>
    <x v="41"/>
    <x v="0"/>
    <n v="0"/>
  </r>
  <r>
    <x v="3"/>
    <s v="Østdanmark"/>
    <x v="42"/>
    <x v="0"/>
    <n v="0"/>
  </r>
  <r>
    <x v="3"/>
    <s v="Østdanmark"/>
    <x v="41"/>
    <x v="1"/>
    <n v="0"/>
  </r>
  <r>
    <x v="3"/>
    <s v="Østdanmark"/>
    <x v="42"/>
    <x v="1"/>
    <n v="0"/>
  </r>
  <r>
    <x v="3"/>
    <s v="Østdanmark"/>
    <x v="41"/>
    <x v="2"/>
    <n v="0"/>
  </r>
  <r>
    <x v="3"/>
    <s v="Østdanmark"/>
    <x v="42"/>
    <x v="2"/>
    <n v="0"/>
  </r>
  <r>
    <x v="9"/>
    <m/>
    <x v="43"/>
    <x v="3"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x v="0"/>
    <x v="0"/>
    <x v="0"/>
    <s v="JB1-10"/>
    <n v="412730"/>
  </r>
  <r>
    <x v="0"/>
    <x v="1"/>
    <x v="0"/>
    <s v="JB1-10"/>
    <n v="1847465.5978301479"/>
  </r>
  <r>
    <x v="0"/>
    <x v="2"/>
    <x v="0"/>
    <s v="JB1-10"/>
    <n v="434670"/>
  </r>
  <r>
    <x v="0"/>
    <x v="3"/>
    <x v="0"/>
    <s v="JB1-10"/>
    <n v="288846.71526402031"/>
  </r>
  <r>
    <x v="0"/>
    <x v="4"/>
    <x v="0"/>
    <s v="JB1-10"/>
    <n v="46640"/>
  </r>
  <r>
    <x v="0"/>
    <x v="0"/>
    <x v="0"/>
    <s v="OC6"/>
    <n v="0"/>
  </r>
  <r>
    <x v="0"/>
    <x v="1"/>
    <x v="0"/>
    <s v="OC6"/>
    <n v="90723.841613092387"/>
  </r>
  <r>
    <x v="0"/>
    <x v="2"/>
    <x v="0"/>
    <s v="OC6"/>
    <n v="0"/>
  </r>
  <r>
    <x v="0"/>
    <x v="3"/>
    <x v="0"/>
    <s v="OC6"/>
    <n v="55514.664499432409"/>
  </r>
  <r>
    <x v="0"/>
    <x v="4"/>
    <x v="0"/>
    <s v="OC6"/>
    <n v="0"/>
  </r>
  <r>
    <x v="0"/>
    <x v="0"/>
    <x v="0"/>
    <s v="OC12"/>
    <n v="0"/>
  </r>
  <r>
    <x v="0"/>
    <x v="1"/>
    <x v="0"/>
    <s v="OC12"/>
    <n v="70620.560556759505"/>
  </r>
  <r>
    <x v="0"/>
    <x v="2"/>
    <x v="0"/>
    <s v="OC12"/>
    <n v="0"/>
  </r>
  <r>
    <x v="0"/>
    <x v="3"/>
    <x v="0"/>
    <s v="OC12"/>
    <n v="45828.620236547278"/>
  </r>
  <r>
    <x v="0"/>
    <x v="4"/>
    <x v="0"/>
    <s v="OC12"/>
    <n v="0"/>
  </r>
  <r>
    <x v="0"/>
    <x v="0"/>
    <x v="1"/>
    <s v="JB1-10"/>
    <n v="412730"/>
  </r>
  <r>
    <x v="0"/>
    <x v="1"/>
    <x v="1"/>
    <s v="JB1-10"/>
    <n v="1828599.0251279764"/>
  </r>
  <r>
    <x v="0"/>
    <x v="2"/>
    <x v="1"/>
    <s v="JB1-10"/>
    <n v="453536.5727021714"/>
  </r>
  <r>
    <x v="0"/>
    <x v="3"/>
    <x v="1"/>
    <s v="JB1-10"/>
    <n v="288846.71526402031"/>
  </r>
  <r>
    <x v="0"/>
    <x v="4"/>
    <x v="1"/>
    <s v="JB1-10"/>
    <n v="46640"/>
  </r>
  <r>
    <x v="0"/>
    <x v="0"/>
    <x v="1"/>
    <s v="OC6"/>
    <n v="0"/>
  </r>
  <r>
    <x v="0"/>
    <x v="1"/>
    <x v="1"/>
    <s v="OC6"/>
    <n v="83953.540404179206"/>
  </r>
  <r>
    <x v="0"/>
    <x v="2"/>
    <x v="1"/>
    <s v="OC6"/>
    <n v="0"/>
  </r>
  <r>
    <x v="0"/>
    <x v="3"/>
    <x v="1"/>
    <s v="OC6"/>
    <n v="62284.965708345597"/>
  </r>
  <r>
    <x v="0"/>
    <x v="4"/>
    <x v="1"/>
    <s v="OC6"/>
    <n v="0"/>
  </r>
  <r>
    <x v="0"/>
    <x v="0"/>
    <x v="1"/>
    <s v="OC12"/>
    <n v="0"/>
  </r>
  <r>
    <x v="0"/>
    <x v="1"/>
    <x v="1"/>
    <s v="OC12"/>
    <n v="63850.259347846317"/>
  </r>
  <r>
    <x v="0"/>
    <x v="2"/>
    <x v="1"/>
    <s v="OC12"/>
    <n v="0"/>
  </r>
  <r>
    <x v="0"/>
    <x v="3"/>
    <x v="1"/>
    <s v="OC12"/>
    <n v="52598.921445460466"/>
  </r>
  <r>
    <x v="0"/>
    <x v="4"/>
    <x v="1"/>
    <s v="OC12"/>
    <n v="0"/>
  </r>
  <r>
    <x v="0"/>
    <x v="0"/>
    <x v="2"/>
    <s v="JB1-10"/>
    <n v="412730"/>
  </r>
  <r>
    <x v="0"/>
    <x v="1"/>
    <x v="2"/>
    <s v="JB1-10"/>
    <n v="1794296.1656694831"/>
  </r>
  <r>
    <x v="0"/>
    <x v="2"/>
    <x v="2"/>
    <s v="JB1-10"/>
    <n v="487839.43216066487"/>
  </r>
  <r>
    <x v="0"/>
    <x v="3"/>
    <x v="2"/>
    <s v="JB1-10"/>
    <n v="288846.71526402031"/>
  </r>
  <r>
    <x v="0"/>
    <x v="4"/>
    <x v="2"/>
    <s v="JB1-10"/>
    <n v="46640"/>
  </r>
  <r>
    <x v="0"/>
    <x v="0"/>
    <x v="2"/>
    <s v="OC6"/>
    <n v="0"/>
  </r>
  <r>
    <x v="0"/>
    <x v="1"/>
    <x v="2"/>
    <s v="OC6"/>
    <n v="83953.540404179206"/>
  </r>
  <r>
    <x v="0"/>
    <x v="2"/>
    <x v="2"/>
    <s v="OC6"/>
    <n v="0"/>
  </r>
  <r>
    <x v="0"/>
    <x v="3"/>
    <x v="2"/>
    <s v="OC6"/>
    <n v="62284.965708345597"/>
  </r>
  <r>
    <x v="0"/>
    <x v="4"/>
    <x v="2"/>
    <s v="OC6"/>
    <n v="0"/>
  </r>
  <r>
    <x v="0"/>
    <x v="0"/>
    <x v="2"/>
    <s v="OC12"/>
    <n v="0"/>
  </r>
  <r>
    <x v="0"/>
    <x v="1"/>
    <x v="2"/>
    <s v="OC12"/>
    <n v="63850.259347846317"/>
  </r>
  <r>
    <x v="0"/>
    <x v="2"/>
    <x v="2"/>
    <s v="OC12"/>
    <n v="0"/>
  </r>
  <r>
    <x v="0"/>
    <x v="3"/>
    <x v="2"/>
    <s v="OC12"/>
    <n v="52598.921445460466"/>
  </r>
  <r>
    <x v="0"/>
    <x v="4"/>
    <x v="2"/>
    <s v="OC12"/>
    <n v="0"/>
  </r>
  <r>
    <x v="1"/>
    <x v="0"/>
    <x v="0"/>
    <s v="JB1-10"/>
    <n v="178500"/>
  </r>
  <r>
    <x v="1"/>
    <x v="1"/>
    <x v="0"/>
    <s v="JB1-10"/>
    <n v="552170.40216985194"/>
  </r>
  <r>
    <x v="1"/>
    <x v="2"/>
    <x v="0"/>
    <s v="JB1-10"/>
    <n v="127230"/>
  </r>
  <r>
    <x v="1"/>
    <x v="3"/>
    <x v="0"/>
    <s v="JB1-10"/>
    <n v="71807.284735979716"/>
  </r>
  <r>
    <x v="1"/>
    <x v="4"/>
    <x v="0"/>
    <s v="JB1-10"/>
    <n v="19220"/>
  </r>
  <r>
    <x v="1"/>
    <x v="0"/>
    <x v="0"/>
    <s v="OC6"/>
    <n v="0"/>
  </r>
  <r>
    <x v="1"/>
    <x v="1"/>
    <x v="0"/>
    <s v="OC6"/>
    <n v="9778.158386907593"/>
  </r>
  <r>
    <x v="1"/>
    <x v="2"/>
    <x v="0"/>
    <s v="OC6"/>
    <n v="0"/>
  </r>
  <r>
    <x v="1"/>
    <x v="3"/>
    <x v="0"/>
    <s v="OC6"/>
    <n v="5983.3355005675821"/>
  </r>
  <r>
    <x v="1"/>
    <x v="4"/>
    <x v="0"/>
    <s v="OC6"/>
    <n v="0"/>
  </r>
  <r>
    <x v="1"/>
    <x v="0"/>
    <x v="0"/>
    <s v="OC12"/>
    <n v="0"/>
  </r>
  <r>
    <x v="1"/>
    <x v="1"/>
    <x v="0"/>
    <s v="OC12"/>
    <n v="7611.4394432404806"/>
  </r>
  <r>
    <x v="1"/>
    <x v="2"/>
    <x v="0"/>
    <s v="OC12"/>
    <n v="0"/>
  </r>
  <r>
    <x v="1"/>
    <x v="3"/>
    <x v="0"/>
    <s v="OC12"/>
    <n v="4939.3797634527136"/>
  </r>
  <r>
    <x v="1"/>
    <x v="4"/>
    <x v="0"/>
    <s v="OC12"/>
    <n v="0"/>
  </r>
  <r>
    <x v="1"/>
    <x v="0"/>
    <x v="1"/>
    <s v="JB1-10"/>
    <n v="178500"/>
  </r>
  <r>
    <x v="1"/>
    <x v="1"/>
    <x v="1"/>
    <s v="JB1-10"/>
    <n v="550136.97487202333"/>
  </r>
  <r>
    <x v="1"/>
    <x v="2"/>
    <x v="1"/>
    <s v="JB1-10"/>
    <n v="129263.42729782859"/>
  </r>
  <r>
    <x v="1"/>
    <x v="3"/>
    <x v="1"/>
    <s v="JB1-10"/>
    <n v="71807.284735979716"/>
  </r>
  <r>
    <x v="1"/>
    <x v="4"/>
    <x v="1"/>
    <s v="JB1-10"/>
    <n v="19220"/>
  </r>
  <r>
    <x v="1"/>
    <x v="0"/>
    <x v="1"/>
    <s v="OC6"/>
    <n v="0"/>
  </r>
  <r>
    <x v="1"/>
    <x v="1"/>
    <x v="1"/>
    <s v="OC6"/>
    <n v="9048.4595958207792"/>
  </r>
  <r>
    <x v="1"/>
    <x v="2"/>
    <x v="1"/>
    <s v="OC6"/>
    <n v="0"/>
  </r>
  <r>
    <x v="1"/>
    <x v="3"/>
    <x v="1"/>
    <s v="OC6"/>
    <n v="6713.0342916543959"/>
  </r>
  <r>
    <x v="1"/>
    <x v="4"/>
    <x v="1"/>
    <s v="OC6"/>
    <n v="0"/>
  </r>
  <r>
    <x v="1"/>
    <x v="0"/>
    <x v="1"/>
    <s v="OC12"/>
    <n v="0"/>
  </r>
  <r>
    <x v="1"/>
    <x v="1"/>
    <x v="1"/>
    <s v="OC12"/>
    <n v="6881.7406521536668"/>
  </r>
  <r>
    <x v="1"/>
    <x v="2"/>
    <x v="1"/>
    <s v="OC12"/>
    <n v="0"/>
  </r>
  <r>
    <x v="1"/>
    <x v="3"/>
    <x v="1"/>
    <s v="OC12"/>
    <n v="5669.0785545395274"/>
  </r>
  <r>
    <x v="1"/>
    <x v="4"/>
    <x v="1"/>
    <s v="OC12"/>
    <n v="0"/>
  </r>
  <r>
    <x v="1"/>
    <x v="0"/>
    <x v="2"/>
    <s v="JB1-10"/>
    <n v="178500"/>
  </r>
  <r>
    <x v="1"/>
    <x v="1"/>
    <x v="2"/>
    <s v="JB1-10"/>
    <n v="546439.83433051687"/>
  </r>
  <r>
    <x v="1"/>
    <x v="2"/>
    <x v="2"/>
    <s v="JB1-10"/>
    <n v="132960.5678393351"/>
  </r>
  <r>
    <x v="1"/>
    <x v="3"/>
    <x v="2"/>
    <s v="JB1-10"/>
    <n v="71807.284735979716"/>
  </r>
  <r>
    <x v="1"/>
    <x v="4"/>
    <x v="2"/>
    <s v="JB1-10"/>
    <n v="19220"/>
  </r>
  <r>
    <x v="1"/>
    <x v="0"/>
    <x v="2"/>
    <s v="OC6"/>
    <n v="0"/>
  </r>
  <r>
    <x v="1"/>
    <x v="1"/>
    <x v="2"/>
    <s v="OC6"/>
    <n v="9048.4595958207792"/>
  </r>
  <r>
    <x v="1"/>
    <x v="2"/>
    <x v="2"/>
    <s v="OC6"/>
    <n v="0"/>
  </r>
  <r>
    <x v="1"/>
    <x v="3"/>
    <x v="2"/>
    <s v="OC6"/>
    <n v="6713.0342916543959"/>
  </r>
  <r>
    <x v="1"/>
    <x v="4"/>
    <x v="2"/>
    <s v="OC6"/>
    <n v="0"/>
  </r>
  <r>
    <x v="1"/>
    <x v="0"/>
    <x v="2"/>
    <s v="OC12"/>
    <n v="0"/>
  </r>
  <r>
    <x v="1"/>
    <x v="1"/>
    <x v="2"/>
    <s v="OC12"/>
    <n v="6881.7406521536668"/>
  </r>
  <r>
    <x v="1"/>
    <x v="2"/>
    <x v="2"/>
    <s v="OC12"/>
    <n v="0"/>
  </r>
  <r>
    <x v="1"/>
    <x v="3"/>
    <x v="2"/>
    <s v="OC12"/>
    <n v="5669.0785545395274"/>
  </r>
  <r>
    <x v="1"/>
    <x v="4"/>
    <x v="2"/>
    <s v="OC1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8">
  <r>
    <x v="0"/>
    <x v="0"/>
    <x v="0"/>
    <n v="6833990.0005322779"/>
  </r>
  <r>
    <x v="1"/>
    <x v="0"/>
    <x v="0"/>
    <n v="258086.32953598633"/>
  </r>
  <r>
    <x v="2"/>
    <x v="0"/>
    <x v="0"/>
    <n v="484833.6848947219"/>
  </r>
  <r>
    <x v="3"/>
    <x v="0"/>
    <x v="0"/>
    <n v="15863611.568544758"/>
  </r>
  <r>
    <x v="4"/>
    <x v="0"/>
    <x v="0"/>
    <n v="184529.62070571107"/>
  </r>
  <r>
    <x v="5"/>
    <x v="0"/>
    <x v="0"/>
    <n v="2145904.0489790672"/>
  </r>
  <r>
    <x v="6"/>
    <x v="0"/>
    <x v="0"/>
    <n v="376449.39511597221"/>
  </r>
  <r>
    <x v="7"/>
    <x v="0"/>
    <x v="0"/>
    <n v="7581538.5357748987"/>
  </r>
  <r>
    <x v="8"/>
    <x v="0"/>
    <x v="0"/>
    <n v="25923.363510878662"/>
  </r>
  <r>
    <x v="9"/>
    <x v="0"/>
    <x v="0"/>
    <n v="1609044.2994914718"/>
  </r>
  <r>
    <x v="10"/>
    <x v="0"/>
    <x v="0"/>
    <n v="890042.58416558511"/>
  </r>
  <r>
    <x v="11"/>
    <x v="0"/>
    <x v="0"/>
    <n v="765723.03528474667"/>
  </r>
  <r>
    <x v="12"/>
    <x v="0"/>
    <x v="0"/>
    <n v="172205.06744997756"/>
  </r>
  <r>
    <x v="0"/>
    <x v="0"/>
    <x v="1"/>
    <n v="7171156.7599390233"/>
  </r>
  <r>
    <x v="1"/>
    <x v="0"/>
    <x v="1"/>
    <n v="270118.44306124689"/>
  </r>
  <r>
    <x v="2"/>
    <x v="0"/>
    <x v="1"/>
    <n v="507790.70515370794"/>
  </r>
  <r>
    <x v="3"/>
    <x v="0"/>
    <x v="1"/>
    <n v="16463363.602305863"/>
  </r>
  <r>
    <x v="4"/>
    <x v="0"/>
    <x v="1"/>
    <n v="192243.07548074043"/>
  </r>
  <r>
    <x v="5"/>
    <x v="0"/>
    <x v="1"/>
    <n v="2241845.3275075206"/>
  </r>
  <r>
    <x v="6"/>
    <x v="0"/>
    <x v="1"/>
    <n v="395099.15710561507"/>
  </r>
  <r>
    <x v="7"/>
    <x v="0"/>
    <x v="1"/>
    <n v="7983307.7524896674"/>
  </r>
  <r>
    <x v="8"/>
    <x v="0"/>
    <x v="1"/>
    <n v="27117.337735936886"/>
  </r>
  <r>
    <x v="9"/>
    <x v="0"/>
    <x v="1"/>
    <n v="1683153.4103621913"/>
  </r>
  <r>
    <x v="10"/>
    <x v="0"/>
    <x v="1"/>
    <n v="925155.87360935542"/>
  </r>
  <r>
    <x v="11"/>
    <x v="0"/>
    <x v="1"/>
    <n v="800990.58717012103"/>
  </r>
  <r>
    <x v="12"/>
    <x v="0"/>
    <x v="1"/>
    <n v="177516.46640303911"/>
  </r>
  <r>
    <x v="0"/>
    <x v="0"/>
    <x v="2"/>
    <n v="7450959.0772760846"/>
  </r>
  <r>
    <x v="1"/>
    <x v="0"/>
    <x v="2"/>
    <n v="279414.6339744032"/>
  </r>
  <r>
    <x v="2"/>
    <x v="0"/>
    <x v="2"/>
    <n v="524623.08835190837"/>
  </r>
  <r>
    <x v="3"/>
    <x v="0"/>
    <x v="2"/>
    <n v="17271454.74298735"/>
  </r>
  <r>
    <x v="4"/>
    <x v="0"/>
    <x v="2"/>
    <n v="197391.62155129627"/>
  </r>
  <r>
    <x v="5"/>
    <x v="0"/>
    <x v="2"/>
    <n v="2319843.659459726"/>
  </r>
  <r>
    <x v="6"/>
    <x v="0"/>
    <x v="2"/>
    <n v="408411.71044063132"/>
  </r>
  <r>
    <x v="7"/>
    <x v="0"/>
    <x v="2"/>
    <n v="8353109.1121058436"/>
  </r>
  <r>
    <x v="8"/>
    <x v="0"/>
    <x v="2"/>
    <n v="28053.238119137233"/>
  </r>
  <r>
    <x v="9"/>
    <x v="0"/>
    <x v="2"/>
    <n v="1741244.0657606875"/>
  </r>
  <r>
    <x v="10"/>
    <x v="0"/>
    <x v="2"/>
    <n v="958505.49613034155"/>
  </r>
  <r>
    <x v="11"/>
    <x v="0"/>
    <x v="2"/>
    <n v="828635.16661860154"/>
  </r>
  <r>
    <x v="12"/>
    <x v="0"/>
    <x v="2"/>
    <n v="184273.6818542117"/>
  </r>
  <r>
    <x v="0"/>
    <x v="1"/>
    <x v="0"/>
    <n v="2275797.9689121391"/>
  </r>
  <r>
    <x v="1"/>
    <x v="1"/>
    <x v="0"/>
    <n v="27039.772448692573"/>
  </r>
  <r>
    <x v="2"/>
    <x v="1"/>
    <x v="0"/>
    <n v="193574.13238370849"/>
  </r>
  <r>
    <x v="3"/>
    <x v="1"/>
    <x v="0"/>
    <n v="2079827.1270254222"/>
  </r>
  <r>
    <x v="4"/>
    <x v="1"/>
    <x v="0"/>
    <n v="96079.800747233821"/>
  </r>
  <r>
    <x v="5"/>
    <x v="1"/>
    <x v="0"/>
    <n v="116414.7916544996"/>
  </r>
  <r>
    <x v="6"/>
    <x v="1"/>
    <x v="0"/>
    <n v="2252973.7408705982"/>
  </r>
  <r>
    <x v="7"/>
    <x v="1"/>
    <x v="0"/>
    <n v="366156.75807184458"/>
  </r>
  <r>
    <x v="8"/>
    <x v="1"/>
    <x v="0"/>
    <n v="15804.526381892863"/>
  </r>
  <r>
    <x v="9"/>
    <x v="1"/>
    <x v="0"/>
    <n v="396057.87190930446"/>
  </r>
  <r>
    <x v="10"/>
    <x v="1"/>
    <x v="0"/>
    <n v="612515.4514426298"/>
  </r>
  <r>
    <x v="11"/>
    <x v="1"/>
    <x v="0"/>
    <n v="145851.60720031991"/>
  </r>
  <r>
    <x v="12"/>
    <x v="1"/>
    <x v="0"/>
    <n v="37577.319945022478"/>
  </r>
  <r>
    <x v="0"/>
    <x v="1"/>
    <x v="1"/>
    <n v="2409167.1046716827"/>
  </r>
  <r>
    <x v="1"/>
    <x v="1"/>
    <x v="1"/>
    <n v="28552.425442007137"/>
  </r>
  <r>
    <x v="2"/>
    <x v="1"/>
    <x v="1"/>
    <n v="204407.79128636757"/>
  </r>
  <r>
    <x v="3"/>
    <x v="1"/>
    <x v="1"/>
    <n v="2190992.6315255472"/>
  </r>
  <r>
    <x v="4"/>
    <x v="1"/>
    <x v="1"/>
    <n v="100834.72491971773"/>
  </r>
  <r>
    <x v="5"/>
    <x v="1"/>
    <x v="1"/>
    <n v="122853.28204903381"/>
  </r>
  <r>
    <x v="6"/>
    <x v="1"/>
    <x v="1"/>
    <n v="2381738.5992335565"/>
  </r>
  <r>
    <x v="7"/>
    <x v="1"/>
    <x v="1"/>
    <n v="388994.37014569982"/>
  </r>
  <r>
    <x v="8"/>
    <x v="1"/>
    <x v="1"/>
    <n v="16686.121067916127"/>
  </r>
  <r>
    <x v="9"/>
    <x v="1"/>
    <x v="1"/>
    <n v="418150.43620360433"/>
  </r>
  <r>
    <x v="10"/>
    <x v="1"/>
    <x v="1"/>
    <n v="645001.32802557282"/>
  </r>
  <r>
    <x v="11"/>
    <x v="1"/>
    <x v="1"/>
    <n v="153987.37784910508"/>
  </r>
  <r>
    <x v="12"/>
    <x v="1"/>
    <x v="1"/>
    <n v="39419.677245239443"/>
  </r>
  <r>
    <x v="0"/>
    <x v="1"/>
    <x v="2"/>
    <n v="2531973.2246977086"/>
  </r>
  <r>
    <x v="1"/>
    <x v="1"/>
    <x v="2"/>
    <n v="29872.966694552277"/>
  </r>
  <r>
    <x v="2"/>
    <x v="1"/>
    <x v="2"/>
    <n v="213654.52911119949"/>
  </r>
  <r>
    <x v="3"/>
    <x v="1"/>
    <x v="2"/>
    <n v="2321080.0633232924"/>
  </r>
  <r>
    <x v="4"/>
    <x v="1"/>
    <x v="2"/>
    <n v="104773.85032405822"/>
  </r>
  <r>
    <x v="5"/>
    <x v="1"/>
    <x v="2"/>
    <n v="128543.17236488358"/>
  </r>
  <r>
    <x v="6"/>
    <x v="1"/>
    <x v="2"/>
    <n v="2491625.0257138005"/>
  </r>
  <r>
    <x v="7"/>
    <x v="1"/>
    <x v="2"/>
    <n v="411669.82731180527"/>
  </r>
  <r>
    <x v="8"/>
    <x v="1"/>
    <x v="2"/>
    <n v="17458.138688631974"/>
  </r>
  <r>
    <x v="9"/>
    <x v="1"/>
    <x v="2"/>
    <n v="437497.02391834371"/>
  </r>
  <r>
    <x v="10"/>
    <x v="1"/>
    <x v="2"/>
    <n v="675013.35123286699"/>
  </r>
  <r>
    <x v="11"/>
    <x v="1"/>
    <x v="2"/>
    <n v="161111.91977130895"/>
  </r>
  <r>
    <x v="12"/>
    <x v="1"/>
    <x v="2"/>
    <n v="41269.159607947513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504">
  <r>
    <x v="0"/>
    <x v="0"/>
    <x v="0"/>
    <s v="Konventionel"/>
    <x v="0"/>
    <s v="Halm"/>
    <n v="853064.00210361299"/>
    <n v="5979978.6547463275"/>
    <n v="1951850.0829625644"/>
    <n v="1951850.0829625644"/>
  </r>
  <r>
    <x v="0"/>
    <x v="1"/>
    <x v="0"/>
    <s v="Konventionel"/>
    <x v="0"/>
    <s v="Halm"/>
    <n v="58939.484550716581"/>
    <n v="227506.41036576603"/>
    <n v="67541.817252888548"/>
    <n v="67541.817252888548"/>
  </r>
  <r>
    <x v="0"/>
    <x v="2"/>
    <x v="0"/>
    <s v="Konventionel"/>
    <x v="0"/>
    <s v="Halm"/>
    <n v="99115.06241944003"/>
    <n v="436106.27464553615"/>
    <n v="232926.54181955411"/>
    <n v="232926.54181955411"/>
  </r>
  <r>
    <x v="0"/>
    <x v="3"/>
    <x v="0"/>
    <s v="Konventionel"/>
    <x v="0"/>
    <s v="Græs"/>
    <n v="188981.25083524975"/>
    <n v="9377249.6664450932"/>
    <n v="0"/>
    <n v="9377249.6664450932"/>
  </r>
  <r>
    <x v="0"/>
    <x v="4"/>
    <x v="0"/>
    <s v="Konventionel"/>
    <x v="0"/>
    <s v="Grøntsager"/>
    <n v="7313.1446192208541"/>
    <n v="151747.75084883274"/>
    <n v="0"/>
    <n v="151747.75084883274"/>
  </r>
  <r>
    <x v="0"/>
    <x v="5"/>
    <x v="0"/>
    <s v="Konventionel"/>
    <x v="0"/>
    <s v="Kartofler"/>
    <n v="43565.33101601588"/>
    <n v="1850258.7939976689"/>
    <n v="0"/>
    <n v="1850258.7939976689"/>
  </r>
  <r>
    <x v="0"/>
    <x v="6"/>
    <x v="0"/>
    <s v="Konventionel"/>
    <x v="0"/>
    <s v="Roer"/>
    <n v="4252.8843446697592"/>
    <n v="345562.72197585326"/>
    <n v="0"/>
    <n v="345562.72197585326"/>
  </r>
  <r>
    <x v="0"/>
    <x v="7"/>
    <x v="0"/>
    <s v="Konventionel"/>
    <x v="0"/>
    <s v="Majs"/>
    <n v="145638.34626271055"/>
    <n v="6482362.7921532467"/>
    <n v="0"/>
    <n v="6482362.7921532467"/>
  </r>
  <r>
    <x v="0"/>
    <x v="8"/>
    <x v="0"/>
    <s v="Konventionel"/>
    <x v="0"/>
    <s v="Frugt"/>
    <n v="2676.1448409922077"/>
    <n v="22720.469700023848"/>
    <n v="0"/>
    <n v="22720.469700023848"/>
  </r>
  <r>
    <x v="0"/>
    <x v="9"/>
    <x v="0"/>
    <s v="Konventionel"/>
    <x v="0"/>
    <s v="Øvrige"/>
    <n v="47330.033772765404"/>
    <n v="1410243.012533868"/>
    <n v="0"/>
    <n v="1410243.012533868"/>
  </r>
  <r>
    <x v="0"/>
    <x v="10"/>
    <x v="0"/>
    <s v="Konventionel"/>
    <x v="0"/>
    <s v="Halm"/>
    <n v="49787.032963432102"/>
    <n v="711399.98164280283"/>
    <n v="118184.45884859514"/>
    <n v="118184.45884859514"/>
  </r>
  <r>
    <x v="0"/>
    <x v="11"/>
    <x v="0"/>
    <s v="Konventionel"/>
    <x v="0"/>
    <s v="Juletræer"/>
    <n v="13422.322311297707"/>
    <n v="671116.11556488543"/>
    <n v="0"/>
    <n v="671116.11556488543"/>
  </r>
  <r>
    <x v="0"/>
    <x v="12"/>
    <x v="0"/>
    <s v="Konventionel"/>
    <x v="0"/>
    <s v="Pil &amp; poppel"/>
    <n v="4937.1607996010098"/>
    <n v="120418.55608782951"/>
    <n v="0"/>
    <n v="120418.55608782951"/>
  </r>
  <r>
    <x v="0"/>
    <x v="13"/>
    <x v="0"/>
    <s v="Konventionel"/>
    <x v="0"/>
    <s v="Græs"/>
    <n v="119003.01274629038"/>
    <n v="1641051.5457713446"/>
    <n v="0"/>
    <n v="1641051.5457713446"/>
  </r>
  <r>
    <x v="0"/>
    <x v="0"/>
    <x v="1"/>
    <s v="Konventionel"/>
    <x v="0"/>
    <s v="Halm"/>
    <n v="823750.37397071952"/>
    <n v="5774490.1215347433"/>
    <n v="1873822.0444380243"/>
    <n v="1873822.0444380243"/>
  </r>
  <r>
    <x v="0"/>
    <x v="1"/>
    <x v="1"/>
    <s v="Konventionel"/>
    <x v="0"/>
    <s v="Halm"/>
    <n v="56914.161564160306"/>
    <n v="219688.66363765878"/>
    <n v="64841.735128432192"/>
    <n v="64841.735128432192"/>
  </r>
  <r>
    <x v="0"/>
    <x v="2"/>
    <x v="1"/>
    <s v="Konventionel"/>
    <x v="0"/>
    <s v="Halm"/>
    <n v="95709.195948732828"/>
    <n v="421120.46217442444"/>
    <n v="223614.96541461936"/>
    <n v="223614.96541461936"/>
  </r>
  <r>
    <x v="0"/>
    <x v="3"/>
    <x v="1"/>
    <s v="Konventionel"/>
    <x v="0"/>
    <s v="Græs"/>
    <n v="182487.33467255518"/>
    <n v="9055021.5464521889"/>
    <n v="0"/>
    <n v="9055021.5464521889"/>
  </r>
  <r>
    <x v="0"/>
    <x v="4"/>
    <x v="1"/>
    <s v="Konventionel"/>
    <x v="0"/>
    <s v="Grøntsager"/>
    <n v="7061.8448324272804"/>
    <n v="146533.28027286608"/>
    <n v="0"/>
    <n v="146533.28027286608"/>
  </r>
  <r>
    <x v="0"/>
    <x v="5"/>
    <x v="1"/>
    <s v="Konventionel"/>
    <x v="0"/>
    <s v="Kartofler"/>
    <n v="42068.306279606026"/>
    <n v="1786678.8069121563"/>
    <n v="0"/>
    <n v="1786678.8069121563"/>
  </r>
  <r>
    <x v="0"/>
    <x v="6"/>
    <x v="1"/>
    <s v="Konventionel"/>
    <x v="0"/>
    <s v="Roer"/>
    <n v="4106.7435277270333"/>
    <n v="333688.23529770103"/>
    <n v="0"/>
    <n v="333688.23529770103"/>
  </r>
  <r>
    <x v="0"/>
    <x v="7"/>
    <x v="1"/>
    <s v="Konventionel"/>
    <x v="0"/>
    <s v="Majs"/>
    <n v="140633.81165134837"/>
    <n v="6259610.9566015163"/>
    <n v="0"/>
    <n v="6259610.9566015163"/>
  </r>
  <r>
    <x v="0"/>
    <x v="8"/>
    <x v="1"/>
    <s v="Konventionel"/>
    <x v="0"/>
    <s v="Frugt"/>
    <n v="2584.1851351493174"/>
    <n v="21939.731797417709"/>
    <n v="0"/>
    <n v="21939.731797417709"/>
  </r>
  <r>
    <x v="0"/>
    <x v="9"/>
    <x v="1"/>
    <s v="Konventionel"/>
    <x v="0"/>
    <s v="Øvrige"/>
    <n v="45703.64348304407"/>
    <n v="1361783.1793390682"/>
    <n v="0"/>
    <n v="1361783.1793390682"/>
  </r>
  <r>
    <x v="0"/>
    <x v="10"/>
    <x v="1"/>
    <s v="Konventionel"/>
    <x v="0"/>
    <s v="Halm"/>
    <n v="48076.213415858583"/>
    <n v="686954.31934290484"/>
    <n v="113459.86366142624"/>
    <n v="113459.86366142624"/>
  </r>
  <r>
    <x v="0"/>
    <x v="11"/>
    <x v="1"/>
    <s v="Konventionel"/>
    <x v="0"/>
    <s v="Juletræer"/>
    <n v="12961.094356603833"/>
    <n v="648054.71783019172"/>
    <n v="0"/>
    <n v="648054.71783019172"/>
  </r>
  <r>
    <x v="0"/>
    <x v="12"/>
    <x v="1"/>
    <s v="Konventionel"/>
    <x v="0"/>
    <s v="Pil &amp; poppel"/>
    <n v="4767.5063594242874"/>
    <n v="116280.6429127875"/>
    <n v="0"/>
    <n v="116280.6429127875"/>
  </r>
  <r>
    <x v="0"/>
    <x v="13"/>
    <x v="1"/>
    <s v="Konventionel"/>
    <x v="0"/>
    <s v="Græs"/>
    <n v="114913.74153834289"/>
    <n v="1584660.4958137486"/>
    <n v="0"/>
    <n v="1584660.4958137486"/>
  </r>
  <r>
    <x v="0"/>
    <x v="0"/>
    <x v="2"/>
    <s v="Konventionel"/>
    <x v="0"/>
    <s v="Halm"/>
    <n v="770919.64193441265"/>
    <n v="5404146.6899602329"/>
    <n v="1753645.6008920954"/>
    <n v="1753645.6008920954"/>
  </r>
  <r>
    <x v="0"/>
    <x v="1"/>
    <x v="2"/>
    <s v="Konventionel"/>
    <x v="0"/>
    <s v="Halm"/>
    <n v="53264.00623351871"/>
    <n v="205599.06406138223"/>
    <n v="60683.14966178553"/>
    <n v="60683.14966178553"/>
  </r>
  <r>
    <x v="0"/>
    <x v="2"/>
    <x v="2"/>
    <s v="Konventionel"/>
    <x v="0"/>
    <s v="Halm"/>
    <n v="89570.944550794622"/>
    <n v="394112.15602349635"/>
    <n v="209273.55484847655"/>
    <n v="209273.55484847655"/>
  </r>
  <r>
    <x v="0"/>
    <x v="3"/>
    <x v="2"/>
    <s v="Konventionel"/>
    <x v="0"/>
    <s v="Græs"/>
    <n v="170783.61983035918"/>
    <n v="8474283.2159824222"/>
    <n v="0"/>
    <n v="8474283.2159824222"/>
  </r>
  <r>
    <x v="0"/>
    <x v="4"/>
    <x v="2"/>
    <s v="Konventionel"/>
    <x v="0"/>
    <s v="Grøntsager"/>
    <n v="6608.9376850525514"/>
    <n v="137135.45696484044"/>
    <n v="0"/>
    <n v="137135.45696484044"/>
  </r>
  <r>
    <x v="0"/>
    <x v="5"/>
    <x v="2"/>
    <s v="Konventionel"/>
    <x v="0"/>
    <s v="Kartofler"/>
    <n v="39370.280898972756"/>
    <n v="1672091.2422013455"/>
    <n v="0"/>
    <n v="1672091.2422013455"/>
  </r>
  <r>
    <x v="0"/>
    <x v="6"/>
    <x v="2"/>
    <s v="Konventionel"/>
    <x v="0"/>
    <s v="Roer"/>
    <n v="3843.3600153052266"/>
    <n v="312287.34213912912"/>
    <n v="0"/>
    <n v="312287.34213912912"/>
  </r>
  <r>
    <x v="0"/>
    <x v="7"/>
    <x v="2"/>
    <s v="Konventionel"/>
    <x v="0"/>
    <s v="Majs"/>
    <n v="131614.34719540758"/>
    <n v="5858154.5936675919"/>
    <n v="0"/>
    <n v="5858154.5936675919"/>
  </r>
  <r>
    <x v="0"/>
    <x v="8"/>
    <x v="2"/>
    <s v="Konventionel"/>
    <x v="0"/>
    <s v="Frugt"/>
    <n v="2418.4499844031116"/>
    <n v="20532.640367582419"/>
    <n v="0"/>
    <n v="20532.640367582419"/>
  </r>
  <r>
    <x v="0"/>
    <x v="9"/>
    <x v="2"/>
    <s v="Konventionel"/>
    <x v="0"/>
    <s v="Øvrige"/>
    <n v="42772.467949494108"/>
    <n v="1274446.0387288358"/>
    <n v="0"/>
    <n v="1274446.0387288358"/>
  </r>
  <r>
    <x v="0"/>
    <x v="10"/>
    <x v="2"/>
    <s v="Konventionel"/>
    <x v="0"/>
    <s v="Halm"/>
    <n v="44992.874544580809"/>
    <n v="642896.91953688243"/>
    <n v="106183.18392521072"/>
    <n v="106183.18392521072"/>
  </r>
  <r>
    <x v="0"/>
    <x v="11"/>
    <x v="2"/>
    <s v="Konventionel"/>
    <x v="0"/>
    <s v="Juletræer"/>
    <n v="12129.842408819752"/>
    <n v="606492.12044098764"/>
    <n v="0"/>
    <n v="606492.12044098764"/>
  </r>
  <r>
    <x v="0"/>
    <x v="12"/>
    <x v="2"/>
    <s v="Konventionel"/>
    <x v="0"/>
    <s v="Pil &amp; poppel"/>
    <n v="4461.7452224161889"/>
    <n v="108823.05420527291"/>
    <n v="0"/>
    <n v="108823.05420527291"/>
  </r>
  <r>
    <x v="0"/>
    <x v="13"/>
    <x v="2"/>
    <s v="Konventionel"/>
    <x v="0"/>
    <s v="Græs"/>
    <n v="107543.81822378619"/>
    <n v="1483029.2533060117"/>
    <n v="0"/>
    <n v="1483029.2533060117"/>
  </r>
  <r>
    <x v="0"/>
    <x v="0"/>
    <x v="0"/>
    <s v="Økologisk"/>
    <x v="0"/>
    <s v="Halm"/>
    <n v="109074.05508995618"/>
    <n v="512288.11454099719"/>
    <n v="167209.55986589516"/>
    <n v="167209.55986589516"/>
  </r>
  <r>
    <x v="0"/>
    <x v="1"/>
    <x v="0"/>
    <s v="Økologisk"/>
    <x v="0"/>
    <s v="Halm"/>
    <n v="7536.0917457605292"/>
    <n v="16580.909059022317"/>
    <n v="4922.5194479169131"/>
    <n v="4922.5194479169131"/>
  </r>
  <r>
    <x v="0"/>
    <x v="2"/>
    <x v="0"/>
    <s v="Økologisk"/>
    <x v="0"/>
    <s v="Halm"/>
    <n v="12673.001969281737"/>
    <n v="30668.664765661812"/>
    <n v="16380.287194663799"/>
    <n v="16380.287194663799"/>
  </r>
  <r>
    <x v="0"/>
    <x v="3"/>
    <x v="0"/>
    <s v="Økologisk"/>
    <x v="0"/>
    <s v="Græs"/>
    <n v="24163.428903039348"/>
    <n v="935211.68689167371"/>
    <n v="0"/>
    <n v="935211.68689167371"/>
  </r>
  <r>
    <x v="0"/>
    <x v="4"/>
    <x v="0"/>
    <s v="Økologisk"/>
    <x v="0"/>
    <s v="Grøntsager"/>
    <n v="935.06974518991217"/>
    <n v="11059.537411233687"/>
    <n v="0"/>
    <n v="11059.537411233687"/>
  </r>
  <r>
    <x v="0"/>
    <x v="5"/>
    <x v="0"/>
    <s v="Økologisk"/>
    <x v="0"/>
    <s v="Kartofler"/>
    <n v="5570.3291939822529"/>
    <n v="134848.82799393893"/>
    <n v="0"/>
    <n v="134848.82799393893"/>
  </r>
  <r>
    <x v="0"/>
    <x v="6"/>
    <x v="0"/>
    <s v="Økologisk"/>
    <x v="0"/>
    <s v="Roer"/>
    <n v="543.78023238328944"/>
    <n v="25184.978559760264"/>
    <n v="0"/>
    <n v="25184.978559760264"/>
  </r>
  <r>
    <x v="0"/>
    <x v="7"/>
    <x v="0"/>
    <s v="Økologisk"/>
    <x v="0"/>
    <s v="Majs"/>
    <n v="18621.539490936779"/>
    <n v="687941.11987552466"/>
    <n v="0"/>
    <n v="687941.11987552466"/>
  </r>
  <r>
    <x v="0"/>
    <x v="8"/>
    <x v="0"/>
    <s v="Økologisk"/>
    <x v="0"/>
    <s v="Frugt"/>
    <n v="342.17593181200988"/>
    <n v="1655.8919868178593"/>
    <n v="0"/>
    <n v="1655.8919868178593"/>
  </r>
  <r>
    <x v="0"/>
    <x v="9"/>
    <x v="0"/>
    <s v="Økologisk"/>
    <x v="0"/>
    <s v="Øvrige"/>
    <n v="6051.6897892885954"/>
    <n v="102780.0100417052"/>
    <n v="0"/>
    <n v="102780.0100417052"/>
  </r>
  <r>
    <x v="0"/>
    <x v="10"/>
    <x v="0"/>
    <s v="Økologisk"/>
    <x v="0"/>
    <s v="Halm"/>
    <n v="6365.8454264012817"/>
    <n v="51847.586981155291"/>
    <n v="8613.4090077190758"/>
    <n v="8613.4090077190758"/>
  </r>
  <r>
    <x v="0"/>
    <x v="11"/>
    <x v="0"/>
    <s v="Økologisk"/>
    <x v="0"/>
    <s v="Juletræer"/>
    <n v="1716.1984559275936"/>
    <n v="48911.655993936416"/>
    <n v="0"/>
    <n v="48911.655993936416"/>
  </r>
  <r>
    <x v="0"/>
    <x v="12"/>
    <x v="0"/>
    <s v="Økologisk"/>
    <x v="0"/>
    <s v="Pil &amp; poppel"/>
    <n v="631.27285609954106"/>
    <n v="8776.2323896765465"/>
    <n v="0"/>
    <n v="8776.2323896765465"/>
  </r>
  <r>
    <x v="0"/>
    <x v="13"/>
    <x v="0"/>
    <s v="Økologisk"/>
    <x v="0"/>
    <s v="Græs"/>
    <n v="15215.905414073572"/>
    <n v="209827.33566007458"/>
    <n v="0"/>
    <n v="209827.33566007458"/>
  </r>
  <r>
    <x v="0"/>
    <x v="0"/>
    <x v="1"/>
    <s v="Økologisk"/>
    <x v="0"/>
    <s v="Halm"/>
    <n v="128562.19709369613"/>
    <n v="603818.07108996273"/>
    <n v="195938.96406869288"/>
    <n v="195938.96406869288"/>
  </r>
  <r>
    <x v="0"/>
    <x v="1"/>
    <x v="1"/>
    <s v="Økologisk"/>
    <x v="0"/>
    <s v="Halm"/>
    <n v="8882.5570071232869"/>
    <n v="19543.401927072653"/>
    <n v="5768.2907724079287"/>
    <n v="5768.2907724079287"/>
  </r>
  <r>
    <x v="0"/>
    <x v="2"/>
    <x v="1"/>
    <s v="Økologisk"/>
    <x v="0"/>
    <s v="Halm"/>
    <n v="14937.273356160618"/>
    <n v="36148.201521908697"/>
    <n v="19194.69500813352"/>
    <n v="19194.69500813352"/>
  </r>
  <r>
    <x v="0"/>
    <x v="3"/>
    <x v="1"/>
    <s v="Økologisk"/>
    <x v="0"/>
    <s v="Græs"/>
    <n v="28480.682289936361"/>
    <n v="1102304.9350767811"/>
    <n v="0"/>
    <n v="1102304.9350767811"/>
  </r>
  <r>
    <x v="0"/>
    <x v="4"/>
    <x v="1"/>
    <s v="Økologisk"/>
    <x v="0"/>
    <s v="Grøntsager"/>
    <n v="1102.1376328065699"/>
    <n v="13035.532852019704"/>
    <n v="0"/>
    <n v="13035.532852019704"/>
  </r>
  <r>
    <x v="0"/>
    <x v="5"/>
    <x v="1"/>
    <s v="Økologisk"/>
    <x v="0"/>
    <s v="Kartofler"/>
    <n v="6565.5738124240625"/>
    <n v="158942.12045305254"/>
    <n v="0"/>
    <n v="158942.12045305254"/>
  </r>
  <r>
    <x v="0"/>
    <x v="6"/>
    <x v="1"/>
    <s v="Økologisk"/>
    <x v="0"/>
    <s v="Roer"/>
    <n v="640.93685114814969"/>
    <n v="29684.751105385072"/>
    <n v="0"/>
    <n v="29684.751105385072"/>
  </r>
  <r>
    <x v="0"/>
    <x v="7"/>
    <x v="1"/>
    <s v="Økologisk"/>
    <x v="0"/>
    <s v="Majs"/>
    <n v="21948.629564083272"/>
    <n v="810854.80657479749"/>
    <n v="0"/>
    <n v="810854.80657479749"/>
  </r>
  <r>
    <x v="0"/>
    <x v="8"/>
    <x v="1"/>
    <s v="Økologisk"/>
    <x v="0"/>
    <s v="Frugt"/>
    <n v="403.3121309192577"/>
    <n v="1951.7483951575637"/>
    <n v="0"/>
    <n v="1951.7483951575637"/>
  </r>
  <r>
    <x v="0"/>
    <x v="9"/>
    <x v="1"/>
    <s v="Økologisk"/>
    <x v="0"/>
    <s v="Øvrige"/>
    <n v="7132.9385782785548"/>
    <n v="121143.60190767782"/>
    <n v="0"/>
    <n v="121143.60190767782"/>
  </r>
  <r>
    <x v="0"/>
    <x v="10"/>
    <x v="1"/>
    <s v="Økologisk"/>
    <x v="0"/>
    <s v="Halm"/>
    <n v="7503.2240591224381"/>
    <n v="61111.138582007545"/>
    <n v="10093.337004331503"/>
    <n v="10093.337004331503"/>
  </r>
  <r>
    <x v="0"/>
    <x v="11"/>
    <x v="1"/>
    <s v="Økologisk"/>
    <x v="0"/>
    <s v="Juletræer"/>
    <n v="2022.8297550768989"/>
    <n v="57650.648019691616"/>
    <n v="0"/>
    <n v="57650.648019691616"/>
  </r>
  <r>
    <x v="0"/>
    <x v="12"/>
    <x v="1"/>
    <s v="Økologisk"/>
    <x v="0"/>
    <s v="Pil &amp; poppel"/>
    <n v="744.06168615292358"/>
    <n v="10344.272222126012"/>
    <n v="0"/>
    <n v="10344.272222126012"/>
  </r>
  <r>
    <x v="0"/>
    <x v="13"/>
    <x v="1"/>
    <s v="Økologisk"/>
    <x v="0"/>
    <s v="Græs"/>
    <n v="17934.514575348316"/>
    <n v="247316.95599405328"/>
    <n v="0"/>
    <n v="247316.95599405328"/>
  </r>
  <r>
    <x v="0"/>
    <x v="0"/>
    <x v="2"/>
    <s v="Økologisk"/>
    <x v="0"/>
    <s v="Halm"/>
    <n v="163528.40889517844"/>
    <n v="768043.87805798464"/>
    <n v="249230.23842981603"/>
    <n v="249230.23842981603"/>
  </r>
  <r>
    <x v="0"/>
    <x v="1"/>
    <x v="2"/>
    <s v="Økologisk"/>
    <x v="0"/>
    <s v="Halm"/>
    <n v="11298.425564685787"/>
    <n v="24858.79592742167"/>
    <n v="7337.1444591067957"/>
    <n v="7337.1444591067957"/>
  </r>
  <r>
    <x v="0"/>
    <x v="2"/>
    <x v="2"/>
    <s v="Økologisk"/>
    <x v="0"/>
    <s v="Halm"/>
    <n v="18999.897328956435"/>
    <n v="45979.751536074575"/>
    <n v="24415.2480656556"/>
    <n v="24415.2480656556"/>
  </r>
  <r>
    <x v="0"/>
    <x v="3"/>
    <x v="2"/>
    <s v="Økologisk"/>
    <x v="0"/>
    <s v="Græs"/>
    <n v="36226.828448864071"/>
    <n v="1402108.6775534553"/>
    <n v="0"/>
    <n v="1402108.6775534553"/>
  </r>
  <r>
    <x v="0"/>
    <x v="4"/>
    <x v="2"/>
    <s v="Økologisk"/>
    <x v="0"/>
    <s v="Grøntsager"/>
    <n v="1401.8958725869049"/>
    <n v="16580.923433021617"/>
    <n v="0"/>
    <n v="16580.923433021617"/>
  </r>
  <r>
    <x v="0"/>
    <x v="5"/>
    <x v="2"/>
    <s v="Økologisk"/>
    <x v="0"/>
    <s v="Kartofler"/>
    <n v="8351.2717058427061"/>
    <n v="202171.03201161724"/>
    <n v="0"/>
    <n v="202171.03201161724"/>
  </r>
  <r>
    <x v="0"/>
    <x v="6"/>
    <x v="2"/>
    <s v="Økologisk"/>
    <x v="0"/>
    <s v="Roer"/>
    <n v="815.25818506474513"/>
    <n v="37758.378640458337"/>
    <n v="0"/>
    <n v="37758.378640458337"/>
  </r>
  <r>
    <x v="0"/>
    <x v="7"/>
    <x v="2"/>
    <s v="Økologisk"/>
    <x v="0"/>
    <s v="Majs"/>
    <n v="27918.194859631913"/>
    <n v="1031390.2481578398"/>
    <n v="0"/>
    <n v="1031390.2481578398"/>
  </r>
  <r>
    <x v="0"/>
    <x v="8"/>
    <x v="2"/>
    <s v="Økologisk"/>
    <x v="0"/>
    <s v="Frugt"/>
    <n v="513.00454214611455"/>
    <n v="2482.5828808076922"/>
    <n v="0"/>
    <n v="2482.5828808076922"/>
  </r>
  <r>
    <x v="0"/>
    <x v="9"/>
    <x v="2"/>
    <s v="Økologisk"/>
    <x v="0"/>
    <s v="Øvrige"/>
    <n v="9072.9477468623863"/>
    <n v="154092.11195539558"/>
    <n v="0"/>
    <n v="154092.11195539558"/>
  </r>
  <r>
    <x v="0"/>
    <x v="10"/>
    <x v="2"/>
    <s v="Økologisk"/>
    <x v="0"/>
    <s v="Halm"/>
    <n v="9543.9430852141104"/>
    <n v="77732.082089459407"/>
    <n v="12838.51223823002"/>
    <n v="12838.51223823002"/>
  </r>
  <r>
    <x v="0"/>
    <x v="11"/>
    <x v="2"/>
    <s v="Økologisk"/>
    <x v="0"/>
    <s v="Juletræer"/>
    <n v="2572.9968745981287"/>
    <n v="73330.410926046665"/>
    <n v="0"/>
    <n v="73330.410926046665"/>
  </r>
  <r>
    <x v="0"/>
    <x v="12"/>
    <x v="2"/>
    <s v="Økologisk"/>
    <x v="0"/>
    <s v="Pil &amp; poppel"/>
    <n v="946.43080475494912"/>
    <n v="13157.696553910268"/>
    <n v="0"/>
    <n v="13157.696553910268"/>
  </r>
  <r>
    <x v="0"/>
    <x v="13"/>
    <x v="2"/>
    <s v="Økologisk"/>
    <x v="0"/>
    <s v="Græs"/>
    <n v="22812.325077772828"/>
    <n v="314581.96282248734"/>
    <n v="0"/>
    <n v="314581.96282248734"/>
  </r>
  <r>
    <x v="0"/>
    <x v="0"/>
    <x v="0"/>
    <s v="Konventionel"/>
    <x v="1"/>
    <s v="Halm"/>
    <n v="23536.994348302134"/>
    <n v="197993.19645791754"/>
    <n v="64624.484340873154"/>
    <n v="64624.484340873154"/>
  </r>
  <r>
    <x v="0"/>
    <x v="1"/>
    <x v="0"/>
    <s v="Konventionel"/>
    <x v="1"/>
    <s v="Halm"/>
    <n v="2017.6900814622547"/>
    <n v="9345.9404573331649"/>
    <n v="2774.6110600167958"/>
    <n v="2774.6110600167958"/>
  </r>
  <r>
    <x v="0"/>
    <x v="2"/>
    <x v="0"/>
    <s v="Konventionel"/>
    <x v="1"/>
    <s v="Halm"/>
    <n v="2160.5082355894242"/>
    <n v="11407.483483912161"/>
    <n v="6092.7939661749042"/>
    <n v="6092.7939661749042"/>
  </r>
  <r>
    <x v="0"/>
    <x v="3"/>
    <x v="0"/>
    <s v="Konventionel"/>
    <x v="1"/>
    <s v="Græs"/>
    <n v="19937.932611161701"/>
    <n v="1187184.2593990124"/>
    <n v="0"/>
    <n v="1187184.2593990124"/>
  </r>
  <r>
    <x v="0"/>
    <x v="4"/>
    <x v="0"/>
    <s v="Konventionel"/>
    <x v="1"/>
    <s v="Grøntsager"/>
    <n v="93.250460767730289"/>
    <n v="2321.9364731164837"/>
    <n v="0"/>
    <n v="2321.9364731164837"/>
  </r>
  <r>
    <x v="0"/>
    <x v="5"/>
    <x v="0"/>
    <s v="Konventionel"/>
    <x v="1"/>
    <s v="Kartofler"/>
    <n v="1472.183079133998"/>
    <n v="75029.927467991118"/>
    <n v="0"/>
    <n v="75029.927467991118"/>
  </r>
  <r>
    <x v="0"/>
    <x v="6"/>
    <x v="0"/>
    <s v="Konventionel"/>
    <x v="1"/>
    <s v="Roer"/>
    <n v="38.623193326213141"/>
    <n v="3765.9342889773907"/>
    <n v="0"/>
    <n v="3765.9342889773907"/>
  </r>
  <r>
    <x v="0"/>
    <x v="7"/>
    <x v="0"/>
    <s v="Konventionel"/>
    <x v="1"/>
    <s v="Majs"/>
    <n v="4985.6738479275327"/>
    <n v="266294.8115655054"/>
    <n v="0"/>
    <n v="266294.8115655054"/>
  </r>
  <r>
    <x v="0"/>
    <x v="8"/>
    <x v="0"/>
    <s v="Konventionel"/>
    <x v="1"/>
    <s v="Frugt"/>
    <n v="84.935239958799571"/>
    <n v="865.32022470025004"/>
    <n v="0"/>
    <n v="865.32022470025004"/>
  </r>
  <r>
    <x v="0"/>
    <x v="9"/>
    <x v="0"/>
    <s v="Konventionel"/>
    <x v="1"/>
    <s v="Øvrige"/>
    <n v="1502.156278752635"/>
    <n v="53709.79634661704"/>
    <n v="0"/>
    <n v="53709.79634661704"/>
  </r>
  <r>
    <x v="0"/>
    <x v="10"/>
    <x v="0"/>
    <s v="Konventionel"/>
    <x v="1"/>
    <s v="Halm"/>
    <n v="3707.7646805966074"/>
    <n v="63575.679900016141"/>
    <n v="10561.790158560274"/>
    <n v="10561.790158560274"/>
  </r>
  <r>
    <x v="0"/>
    <x v="11"/>
    <x v="0"/>
    <s v="Konventionel"/>
    <x v="1"/>
    <s v="Juletræer"/>
    <n v="425.99643668454917"/>
    <n v="25559.786201072948"/>
    <n v="0"/>
    <n v="25559.786201072948"/>
  </r>
  <r>
    <x v="0"/>
    <x v="12"/>
    <x v="0"/>
    <s v="Konventionel"/>
    <x v="1"/>
    <s v="Pil &amp; poppel"/>
    <n v="699.64323170301793"/>
    <n v="20477.362879112719"/>
    <n v="0"/>
    <n v="20477.362879112719"/>
  </r>
  <r>
    <x v="0"/>
    <x v="13"/>
    <x v="0"/>
    <s v="Konventionel"/>
    <x v="1"/>
    <s v="Græs"/>
    <n v="19775.461430434403"/>
    <n v="327244.33575082856"/>
    <n v="0"/>
    <n v="327244.33575082856"/>
  </r>
  <r>
    <x v="0"/>
    <x v="0"/>
    <x v="1"/>
    <s v="Konventionel"/>
    <x v="1"/>
    <s v="Halm"/>
    <n v="21249.096650527637"/>
    <n v="178747.40102423847"/>
    <n v="58003.531632365382"/>
    <n v="58003.531632365382"/>
  </r>
  <r>
    <x v="0"/>
    <x v="1"/>
    <x v="1"/>
    <s v="Konventionel"/>
    <x v="1"/>
    <s v="Halm"/>
    <n v="1821.561874780974"/>
    <n v="8437.4746039854726"/>
    <n v="2490.3446739830588"/>
    <n v="2490.3446739830588"/>
  </r>
  <r>
    <x v="0"/>
    <x v="2"/>
    <x v="1"/>
    <s v="Konventionel"/>
    <x v="1"/>
    <s v="Halm"/>
    <n v="1950.4974863373875"/>
    <n v="10298.626727861405"/>
    <n v="5468.5707924944063"/>
    <n v="5468.5707924944063"/>
  </r>
  <r>
    <x v="0"/>
    <x v="3"/>
    <x v="1"/>
    <s v="Konventionel"/>
    <x v="1"/>
    <s v="Græs"/>
    <n v="17999.879287766547"/>
    <n v="1071784.8123107711"/>
    <n v="0"/>
    <n v="1071784.8123107711"/>
  </r>
  <r>
    <x v="0"/>
    <x v="4"/>
    <x v="1"/>
    <s v="Konventionel"/>
    <x v="1"/>
    <s v="Grøntsager"/>
    <n v="84.186112476280258"/>
    <n v="2096.2342006593785"/>
    <n v="0"/>
    <n v="2096.2342006593785"/>
  </r>
  <r>
    <x v="0"/>
    <x v="5"/>
    <x v="1"/>
    <s v="Konventionel"/>
    <x v="1"/>
    <s v="Kartofler"/>
    <n v="1329.0805135468072"/>
    <n v="67736.693855493475"/>
    <n v="0"/>
    <n v="67736.693855493475"/>
  </r>
  <r>
    <x v="0"/>
    <x v="6"/>
    <x v="1"/>
    <s v="Konventionel"/>
    <x v="1"/>
    <s v="Roer"/>
    <n v="34.868851808171492"/>
    <n v="3399.8691804839214"/>
    <n v="0"/>
    <n v="3399.8691804839214"/>
  </r>
  <r>
    <x v="0"/>
    <x v="7"/>
    <x v="1"/>
    <s v="Konventionel"/>
    <x v="1"/>
    <s v="Majs"/>
    <n v="4501.0447763591501"/>
    <n v="240409.80359489494"/>
    <n v="0"/>
    <n v="240409.80359489494"/>
  </r>
  <r>
    <x v="0"/>
    <x v="8"/>
    <x v="1"/>
    <s v="Konventionel"/>
    <x v="1"/>
    <s v="Frugt"/>
    <n v="76.679167110837156"/>
    <n v="781.20735452520898"/>
    <n v="0"/>
    <n v="781.20735452520898"/>
  </r>
  <r>
    <x v="0"/>
    <x v="9"/>
    <x v="1"/>
    <s v="Konventionel"/>
    <x v="1"/>
    <s v="Øvrige"/>
    <n v="1356.1401884652369"/>
    <n v="48488.971733629587"/>
    <n v="0"/>
    <n v="48488.971733629587"/>
  </r>
  <r>
    <x v="0"/>
    <x v="10"/>
    <x v="1"/>
    <s v="Konventionel"/>
    <x v="1"/>
    <s v="Halm"/>
    <n v="3347.3539097439348"/>
    <n v="57395.848714893385"/>
    <n v="9479.7062723948238"/>
    <n v="9479.7062723948238"/>
  </r>
  <r>
    <x v="0"/>
    <x v="11"/>
    <x v="1"/>
    <s v="Konventionel"/>
    <x v="1"/>
    <s v="Juletræer"/>
    <n v="384.58773970616767"/>
    <n v="23075.26438237006"/>
    <n v="0"/>
    <n v="23075.26438237006"/>
  </r>
  <r>
    <x v="0"/>
    <x v="12"/>
    <x v="1"/>
    <s v="Konventionel"/>
    <x v="1"/>
    <s v="Pil &amp; poppel"/>
    <n v="631.63488214957056"/>
    <n v="18486.874599499628"/>
    <n v="0"/>
    <n v="18486.874599499628"/>
  </r>
  <r>
    <x v="0"/>
    <x v="13"/>
    <x v="1"/>
    <s v="Konventionel"/>
    <x v="1"/>
    <s v="Græs"/>
    <n v="17853.201008836309"/>
    <n v="295434.77029422327"/>
    <n v="0"/>
    <n v="295434.77029422327"/>
  </r>
  <r>
    <x v="0"/>
    <x v="0"/>
    <x v="2"/>
    <s v="Konventionel"/>
    <x v="1"/>
    <s v="Halm"/>
    <n v="20266.479464376069"/>
    <n v="170481.62525433148"/>
    <n v="55321.287395030566"/>
    <n v="55321.287395030566"/>
  </r>
  <r>
    <x v="0"/>
    <x v="1"/>
    <x v="2"/>
    <s v="Konventionel"/>
    <x v="1"/>
    <s v="Halm"/>
    <n v="1737.3277996465938"/>
    <n v="8047.3023679630242"/>
    <n v="2375.184226631241"/>
    <n v="2375.184226631241"/>
  </r>
  <r>
    <x v="0"/>
    <x v="2"/>
    <x v="2"/>
    <s v="Konventionel"/>
    <x v="1"/>
    <s v="Halm"/>
    <n v="1860.3010707842134"/>
    <n v="9822.3896537406454"/>
    <n v="5215.6889061362835"/>
    <n v="5215.6889061362835"/>
  </r>
  <r>
    <x v="0"/>
    <x v="3"/>
    <x v="2"/>
    <s v="Konventionel"/>
    <x v="1"/>
    <s v="Græs"/>
    <n v="17167.514927638611"/>
    <n v="1022222.5088513135"/>
    <n v="0"/>
    <n v="1022222.5088513135"/>
  </r>
  <r>
    <x v="0"/>
    <x v="4"/>
    <x v="2"/>
    <s v="Konventionel"/>
    <x v="1"/>
    <s v="Grøntsager"/>
    <n v="80.293113055411794"/>
    <n v="1999.2985150797538"/>
    <n v="0"/>
    <n v="1999.2985150797538"/>
  </r>
  <r>
    <x v="0"/>
    <x v="5"/>
    <x v="2"/>
    <s v="Konventionel"/>
    <x v="1"/>
    <s v="Kartofler"/>
    <n v="1267.6201429781686"/>
    <n v="64604.361191655618"/>
    <n v="0"/>
    <n v="64604.361191655618"/>
  </r>
  <r>
    <x v="0"/>
    <x v="6"/>
    <x v="2"/>
    <s v="Konventionel"/>
    <x v="1"/>
    <s v="Roer"/>
    <n v="33.25641935461443"/>
    <n v="3242.6497964153004"/>
    <n v="0"/>
    <n v="3242.6497964153004"/>
  </r>
  <r>
    <x v="0"/>
    <x v="7"/>
    <x v="2"/>
    <s v="Konventionel"/>
    <x v="1"/>
    <s v="Majs"/>
    <n v="4292.903977452369"/>
    <n v="229292.58724368596"/>
    <n v="0"/>
    <n v="229292.58724368596"/>
  </r>
  <r>
    <x v="0"/>
    <x v="8"/>
    <x v="2"/>
    <s v="Konventionel"/>
    <x v="1"/>
    <s v="Frugt"/>
    <n v="73.133309672185732"/>
    <n v="745.08215894022828"/>
    <n v="0"/>
    <n v="745.08215894022828"/>
  </r>
  <r>
    <x v="0"/>
    <x v="9"/>
    <x v="2"/>
    <s v="Konventionel"/>
    <x v="1"/>
    <s v="Øvrige"/>
    <n v="1293.4285034495033"/>
    <n v="46246.707144791224"/>
    <n v="0"/>
    <n v="46246.707144791224"/>
  </r>
  <r>
    <x v="0"/>
    <x v="10"/>
    <x v="2"/>
    <s v="Konventionel"/>
    <x v="1"/>
    <s v="Halm"/>
    <n v="3192.5629775014409"/>
    <n v="54741.705421719133"/>
    <n v="9041.3383522840795"/>
    <n v="9041.3383522840795"/>
  </r>
  <r>
    <x v="0"/>
    <x v="11"/>
    <x v="2"/>
    <s v="Konventionel"/>
    <x v="1"/>
    <s v="Juletræer"/>
    <n v="366.8033355579056"/>
    <n v="22008.20013347434"/>
    <n v="0"/>
    <n v="22008.20013347434"/>
  </r>
  <r>
    <x v="0"/>
    <x v="12"/>
    <x v="2"/>
    <s v="Konventionel"/>
    <x v="1"/>
    <s v="Pil &amp; poppel"/>
    <n v="602.42633268600662"/>
    <n v="17631.990224956291"/>
    <n v="0"/>
    <n v="17631.990224956291"/>
  </r>
  <r>
    <x v="0"/>
    <x v="13"/>
    <x v="2"/>
    <s v="Konventionel"/>
    <x v="1"/>
    <s v="Græs"/>
    <n v="17027.619459294743"/>
    <n v="281773.04681240948"/>
    <n v="0"/>
    <n v="281773.04681240948"/>
  </r>
  <r>
    <x v="0"/>
    <x v="0"/>
    <x v="0"/>
    <s v="Økologisk"/>
    <x v="1"/>
    <s v="Halm"/>
    <n v="3009.4757390628633"/>
    <n v="16961.525644387857"/>
    <n v="5536.1995665140876"/>
    <n v="5536.1995665140876"/>
  </r>
  <r>
    <x v="0"/>
    <x v="1"/>
    <x v="0"/>
    <s v="Økologisk"/>
    <x v="1"/>
    <s v="Halm"/>
    <n v="257.98490917114276"/>
    <n v="681.14207659001795"/>
    <n v="202.21660385890681"/>
    <n v="202.21660385890681"/>
  </r>
  <r>
    <x v="0"/>
    <x v="2"/>
    <x v="0"/>
    <s v="Økologisk"/>
    <x v="1"/>
    <s v="Halm"/>
    <n v="276.24585462505803"/>
    <n v="802.21796183116862"/>
    <n v="428.46862450383645"/>
    <n v="428.46862450383645"/>
  </r>
  <r>
    <x v="0"/>
    <x v="3"/>
    <x v="0"/>
    <s v="Økologisk"/>
    <x v="1"/>
    <s v="Græs"/>
    <n v="2549.2942553512476"/>
    <n v="118400.23816969505"/>
    <n v="0"/>
    <n v="118400.23816969505"/>
  </r>
  <r>
    <x v="0"/>
    <x v="4"/>
    <x v="0"/>
    <s v="Økologisk"/>
    <x v="1"/>
    <s v="Grøntsager"/>
    <n v="11.923145121422927"/>
    <n v="169.22519870835558"/>
    <n v="0"/>
    <n v="169.22519870835558"/>
  </r>
  <r>
    <x v="0"/>
    <x v="5"/>
    <x v="0"/>
    <s v="Økologisk"/>
    <x v="1"/>
    <s v="Kartofler"/>
    <n v="188.23555780104221"/>
    <n v="5468.260881316256"/>
    <n v="0"/>
    <n v="5468.260881316256"/>
  </r>
  <r>
    <x v="0"/>
    <x v="6"/>
    <x v="0"/>
    <s v="Økologisk"/>
    <x v="1"/>
    <s v="Roer"/>
    <n v="4.9384199851650941"/>
    <n v="274.46529470267632"/>
    <n v="0"/>
    <n v="274.46529470267632"/>
  </r>
  <r>
    <x v="0"/>
    <x v="7"/>
    <x v="0"/>
    <s v="Økologisk"/>
    <x v="1"/>
    <s v="Majs"/>
    <n v="637.47580792109272"/>
    <n v="28260.552017725568"/>
    <n v="0"/>
    <n v="28260.552017725568"/>
  </r>
  <r>
    <x v="0"/>
    <x v="8"/>
    <x v="0"/>
    <s v="Økologisk"/>
    <x v="1"/>
    <s v="Frugt"/>
    <n v="10.859948397188985"/>
    <n v="63.065457934219978"/>
    <n v="0"/>
    <n v="63.065457934219978"/>
  </r>
  <r>
    <x v="0"/>
    <x v="9"/>
    <x v="0"/>
    <s v="Økologisk"/>
    <x v="1"/>
    <s v="Øvrige"/>
    <n v="192.06797649221136"/>
    <n v="3914.4270588688119"/>
    <n v="0"/>
    <n v="3914.4270588688119"/>
  </r>
  <r>
    <x v="0"/>
    <x v="10"/>
    <x v="0"/>
    <s v="Økologisk"/>
    <x v="1"/>
    <s v="Halm"/>
    <n v="474.0804066690265"/>
    <n v="4633.4631410733318"/>
    <n v="769.75449543603963"/>
    <n v="769.75449543603963"/>
  </r>
  <r>
    <x v="0"/>
    <x v="11"/>
    <x v="0"/>
    <s v="Økologisk"/>
    <x v="1"/>
    <s v="Juletræer"/>
    <n v="54.468549473984133"/>
    <n v="1862.824392010257"/>
    <n v="0"/>
    <n v="1862.824392010257"/>
  </r>
  <r>
    <x v="0"/>
    <x v="12"/>
    <x v="0"/>
    <s v="Økologisk"/>
    <x v="1"/>
    <s v="Pil &amp; poppel"/>
    <n v="89.457443063950791"/>
    <n v="1492.4119769693252"/>
    <n v="0"/>
    <n v="1492.4119769693252"/>
  </r>
  <r>
    <x v="0"/>
    <x v="13"/>
    <x v="0"/>
    <s v="Økologisk"/>
    <x v="1"/>
    <s v="Græs"/>
    <n v="2528.5204441559808"/>
    <n v="41841.956309893176"/>
    <n v="0"/>
    <n v="41841.956309893176"/>
  </r>
  <r>
    <x v="0"/>
    <x v="0"/>
    <x v="1"/>
    <s v="Økologisk"/>
    <x v="1"/>
    <s v="Halm"/>
    <n v="3316.333003261539"/>
    <n v="18690.985459702162"/>
    <n v="6065.2247816733534"/>
    <n v="6065.2247816733534"/>
  </r>
  <r>
    <x v="0"/>
    <x v="1"/>
    <x v="1"/>
    <s v="Økologisk"/>
    <x v="1"/>
    <s v="Halm"/>
    <n v="284.29000357853357"/>
    <n v="750.59383904818742"/>
    <n v="221.5399105930594"/>
    <n v="221.5399105930594"/>
  </r>
  <r>
    <x v="0"/>
    <x v="2"/>
    <x v="1"/>
    <s v="Økologisk"/>
    <x v="1"/>
    <s v="Halm"/>
    <n v="304.4129024919622"/>
    <n v="884.01506883665832"/>
    <n v="469.41200155226556"/>
    <n v="469.41200155226556"/>
  </r>
  <r>
    <x v="0"/>
    <x v="3"/>
    <x v="1"/>
    <s v="Økologisk"/>
    <x v="1"/>
    <s v="Græs"/>
    <n v="2809.229715431773"/>
    <n v="130472.76385702222"/>
    <n v="0"/>
    <n v="130472.76385702222"/>
  </r>
  <r>
    <x v="0"/>
    <x v="4"/>
    <x v="1"/>
    <s v="Økologisk"/>
    <x v="1"/>
    <s v="Grøntsager"/>
    <n v="13.138873045431023"/>
    <n v="186.48002513380249"/>
    <n v="0"/>
    <n v="186.48002513380249"/>
  </r>
  <r>
    <x v="0"/>
    <x v="5"/>
    <x v="1"/>
    <s v="Økologisk"/>
    <x v="1"/>
    <s v="Kartofler"/>
    <n v="207.42875066915491"/>
    <n v="6025.82496205806"/>
    <n v="0"/>
    <n v="6025.82496205806"/>
  </r>
  <r>
    <x v="0"/>
    <x v="6"/>
    <x v="1"/>
    <s v="Økologisk"/>
    <x v="1"/>
    <s v="Roer"/>
    <n v="5.4419595307550885"/>
    <n v="302.45079010200891"/>
    <n v="0"/>
    <n v="302.45079010200891"/>
  </r>
  <r>
    <x v="0"/>
    <x v="7"/>
    <x v="1"/>
    <s v="Økologisk"/>
    <x v="1"/>
    <s v="Majs"/>
    <n v="702.47519631038767"/>
    <n v="31142.102303824257"/>
    <n v="0"/>
    <n v="31142.102303824257"/>
  </r>
  <r>
    <x v="0"/>
    <x v="8"/>
    <x v="1"/>
    <s v="Økologisk"/>
    <x v="1"/>
    <s v="Frugt"/>
    <n v="11.967268855448575"/>
    <n v="69.495845006606757"/>
    <n v="0"/>
    <n v="69.495845006606757"/>
  </r>
  <r>
    <x v="0"/>
    <x v="9"/>
    <x v="1"/>
    <s v="Økologisk"/>
    <x v="1"/>
    <s v="Øvrige"/>
    <n v="211.65193692810058"/>
    <n v="4313.5565027778002"/>
    <n v="0"/>
    <n v="4313.5565027778002"/>
  </r>
  <r>
    <x v="0"/>
    <x v="10"/>
    <x v="1"/>
    <s v="Økologisk"/>
    <x v="1"/>
    <s v="Halm"/>
    <n v="522.41939631841763"/>
    <n v="5105.9081602439846"/>
    <n v="843.31028631304218"/>
    <n v="843.31028631304218"/>
  </r>
  <r>
    <x v="0"/>
    <x v="11"/>
    <x v="1"/>
    <s v="Økologisk"/>
    <x v="1"/>
    <s v="Juletræer"/>
    <n v="60.022364000384563"/>
    <n v="2052.7648488131522"/>
    <n v="0"/>
    <n v="2052.7648488131522"/>
  </r>
  <r>
    <x v="0"/>
    <x v="12"/>
    <x v="1"/>
    <s v="Økologisk"/>
    <x v="1"/>
    <s v="Pil &amp; poppel"/>
    <n v="98.578854439528371"/>
    <n v="1644.5838155277415"/>
    <n v="0"/>
    <n v="1644.5838155277415"/>
  </r>
  <r>
    <x v="0"/>
    <x v="13"/>
    <x v="1"/>
    <s v="Økologisk"/>
    <x v="1"/>
    <s v="Græs"/>
    <n v="2786.3377297027769"/>
    <n v="46108.316751121551"/>
    <n v="0"/>
    <n v="46108.316751121551"/>
  </r>
  <r>
    <x v="0"/>
    <x v="0"/>
    <x v="2"/>
    <s v="Økologisk"/>
    <x v="1"/>
    <s v="Halm"/>
    <n v="4298.9501894131054"/>
    <n v="24229.05522553984"/>
    <n v="7862.3284206876779"/>
    <n v="7862.3284206876779"/>
  </r>
  <r>
    <x v="0"/>
    <x v="1"/>
    <x v="2"/>
    <s v="Økologisk"/>
    <x v="1"/>
    <s v="Halm"/>
    <n v="368.52407871291382"/>
    <n v="972.99201358098344"/>
    <n v="287.18136558359549"/>
    <n v="287.18136558359549"/>
  </r>
  <r>
    <x v="0"/>
    <x v="2"/>
    <x v="2"/>
    <s v="Økologisk"/>
    <x v="1"/>
    <s v="Halm"/>
    <n v="394.60931804513621"/>
    <n v="1145.9454596030757"/>
    <n v="608.49703904923308"/>
    <n v="608.49703904923308"/>
  </r>
  <r>
    <x v="0"/>
    <x v="3"/>
    <x v="2"/>
    <s v="Økologisk"/>
    <x v="1"/>
    <s v="Græs"/>
    <n v="3641.5940755597057"/>
    <n v="169131.36055539915"/>
    <n v="0"/>
    <n v="169131.36055539915"/>
  </r>
  <r>
    <x v="0"/>
    <x v="4"/>
    <x v="2"/>
    <s v="Økologisk"/>
    <x v="1"/>
    <s v="Grøntsager"/>
    <n v="17.031872466299472"/>
    <n v="241.7333659141884"/>
    <n v="0"/>
    <n v="241.7333659141884"/>
  </r>
  <r>
    <x v="0"/>
    <x v="5"/>
    <x v="2"/>
    <s v="Økologisk"/>
    <x v="1"/>
    <s v="Kartofler"/>
    <n v="268.88912123779335"/>
    <n v="7811.2545804456331"/>
    <n v="0"/>
    <n v="7811.2545804456331"/>
  </r>
  <r>
    <x v="0"/>
    <x v="6"/>
    <x v="2"/>
    <s v="Økologisk"/>
    <x v="1"/>
    <s v="Roer"/>
    <n v="7.0543919843121516"/>
    <n v="392.06583902112266"/>
    <n v="0"/>
    <n v="392.06583902112266"/>
  </r>
  <r>
    <x v="0"/>
    <x v="7"/>
    <x v="2"/>
    <s v="Økologisk"/>
    <x v="1"/>
    <s v="Majs"/>
    <n v="910.61599521716903"/>
    <n v="40369.391875327732"/>
    <n v="0"/>
    <n v="40369.391875327732"/>
  </r>
  <r>
    <x v="0"/>
    <x v="8"/>
    <x v="2"/>
    <s v="Økologisk"/>
    <x v="1"/>
    <s v="Frugt"/>
    <n v="15.513126294100001"/>
    <n v="90.087206490045759"/>
    <n v="0"/>
    <n v="90.087206490045759"/>
  </r>
  <r>
    <x v="0"/>
    <x v="9"/>
    <x v="2"/>
    <s v="Økologisk"/>
    <x v="1"/>
    <s v="Øvrige"/>
    <n v="274.36362194383406"/>
    <n v="5591.6473184156675"/>
    <n v="0"/>
    <n v="5591.6473184156675"/>
  </r>
  <r>
    <x v="0"/>
    <x v="10"/>
    <x v="2"/>
    <s v="Økologisk"/>
    <x v="1"/>
    <s v="Halm"/>
    <n v="677.21032856091165"/>
    <n v="6618.7698373533121"/>
    <n v="1093.1800007761658"/>
    <n v="1093.1800007761658"/>
  </r>
  <r>
    <x v="0"/>
    <x v="11"/>
    <x v="2"/>
    <s v="Økologisk"/>
    <x v="1"/>
    <s v="Juletræer"/>
    <n v="77.80676814864664"/>
    <n v="2660.9914706837153"/>
    <n v="0"/>
    <n v="2660.9914706837153"/>
  </r>
  <r>
    <x v="0"/>
    <x v="12"/>
    <x v="2"/>
    <s v="Økologisk"/>
    <x v="1"/>
    <s v="Pil &amp; poppel"/>
    <n v="127.78740390309231"/>
    <n v="2131.8679090174423"/>
    <n v="0"/>
    <n v="2131.8679090174423"/>
  </r>
  <r>
    <x v="0"/>
    <x v="13"/>
    <x v="2"/>
    <s v="Økologisk"/>
    <x v="1"/>
    <s v="Græs"/>
    <n v="3611.9192792443396"/>
    <n v="59770.040232935331"/>
    <n v="0"/>
    <n v="59770.040232935331"/>
  </r>
  <r>
    <x v="0"/>
    <x v="0"/>
    <x v="0"/>
    <s v="Konventionel"/>
    <x v="2"/>
    <s v="Halm"/>
    <n v="11897.853201235472"/>
    <n v="116765.53131692491"/>
    <n v="38111.977508016003"/>
    <n v="38111.977508016003"/>
  </r>
  <r>
    <x v="0"/>
    <x v="1"/>
    <x v="0"/>
    <s v="Konventionel"/>
    <x v="2"/>
    <s v="Halm"/>
    <n v="685.06913436036109"/>
    <n v="3702.113602083391"/>
    <n v="1099.0788345670951"/>
    <n v="1099.0788345670951"/>
  </r>
  <r>
    <x v="0"/>
    <x v="2"/>
    <x v="0"/>
    <s v="Konventionel"/>
    <x v="2"/>
    <s v="Halm"/>
    <n v="887.13350750082327"/>
    <n v="5464.7424062050713"/>
    <n v="2918.7462428661602"/>
    <n v="2918.7462428661602"/>
  </r>
  <r>
    <x v="0"/>
    <x v="3"/>
    <x v="0"/>
    <s v="Konventionel"/>
    <x v="2"/>
    <s v="Græs"/>
    <n v="20460.09912171523"/>
    <n v="1421322.1657873136"/>
    <n v="0"/>
    <n v="1421322.1657873136"/>
  </r>
  <r>
    <x v="0"/>
    <x v="4"/>
    <x v="0"/>
    <s v="Konventionel"/>
    <x v="2"/>
    <s v="Grøntsager"/>
    <n v="23.781029114723999"/>
    <n v="690.83889578273215"/>
    <n v="0"/>
    <n v="690.83889578273215"/>
  </r>
  <r>
    <x v="0"/>
    <x v="5"/>
    <x v="0"/>
    <s v="Konventionel"/>
    <x v="2"/>
    <s v="Kartofler"/>
    <n v="1258.7368446928817"/>
    <n v="74843.560387776015"/>
    <n v="0"/>
    <n v="74843.560387776015"/>
  </r>
  <r>
    <x v="0"/>
    <x v="6"/>
    <x v="0"/>
    <s v="Konventionel"/>
    <x v="2"/>
    <s v="Roer"/>
    <n v="13.612059153984784"/>
    <n v="1548.442836537469"/>
    <n v="0"/>
    <n v="1548.442836537469"/>
  </r>
  <r>
    <x v="0"/>
    <x v="7"/>
    <x v="0"/>
    <s v="Konventionel"/>
    <x v="2"/>
    <s v="Majs"/>
    <n v="1692.7928122278877"/>
    <n v="105484.6913011686"/>
    <n v="0"/>
    <n v="105484.6913011686"/>
  </r>
  <r>
    <x v="0"/>
    <x v="8"/>
    <x v="0"/>
    <s v="Konventionel"/>
    <x v="2"/>
    <s v="Frugt"/>
    <n v="48.510297939945318"/>
    <n v="576.59340131419003"/>
    <n v="0"/>
    <n v="576.59340131419003"/>
  </r>
  <r>
    <x v="0"/>
    <x v="9"/>
    <x v="0"/>
    <s v="Konventionel"/>
    <x v="2"/>
    <s v="Øvrige"/>
    <n v="857.94834593977373"/>
    <n v="35788.732627988727"/>
    <n v="0"/>
    <n v="35788.732627988727"/>
  </r>
  <r>
    <x v="0"/>
    <x v="10"/>
    <x v="0"/>
    <s v="Konventionel"/>
    <x v="2"/>
    <s v="Halm"/>
    <n v="2729.7047934959128"/>
    <n v="54606.120392299723"/>
    <n v="9071.6825343208366"/>
    <n v="9071.6825343208366"/>
  </r>
  <r>
    <x v="0"/>
    <x v="11"/>
    <x v="0"/>
    <s v="Konventionel"/>
    <x v="2"/>
    <s v="Juletræer"/>
    <n v="243.3055357816946"/>
    <n v="17031.387504718623"/>
    <n v="0"/>
    <n v="17031.387504718623"/>
  </r>
  <r>
    <x v="0"/>
    <x v="12"/>
    <x v="0"/>
    <s v="Konventionel"/>
    <x v="2"/>
    <s v="Pil &amp; poppel"/>
    <n v="574.32851892788028"/>
    <n v="19611.217719488595"/>
    <n v="0"/>
    <n v="19611.217719488595"/>
  </r>
  <r>
    <x v="0"/>
    <x v="13"/>
    <x v="0"/>
    <s v="Konventionel"/>
    <x v="2"/>
    <s v="Græs"/>
    <n v="21241.691978712064"/>
    <n v="410092.10534101515"/>
    <n v="0"/>
    <n v="410092.10534101515"/>
  </r>
  <r>
    <x v="0"/>
    <x v="0"/>
    <x v="1"/>
    <s v="Konventionel"/>
    <x v="2"/>
    <s v="Halm"/>
    <n v="10494.747555877077"/>
    <n v="102995.45251337762"/>
    <n v="33422.024340591037"/>
    <n v="33422.024340591037"/>
  </r>
  <r>
    <x v="0"/>
    <x v="1"/>
    <x v="1"/>
    <s v="Konventionel"/>
    <x v="2"/>
    <s v="Halm"/>
    <n v="604.279402496633"/>
    <n v="3265.5258910918051"/>
    <n v="963.82927265854437"/>
    <n v="963.82927265854437"/>
  </r>
  <r>
    <x v="0"/>
    <x v="2"/>
    <x v="1"/>
    <s v="Konventionel"/>
    <x v="2"/>
    <s v="Halm"/>
    <n v="782.5144630809657"/>
    <n v="4820.2890925787488"/>
    <n v="2559.5735081593152"/>
    <n v="2559.5735081593152"/>
  </r>
  <r>
    <x v="0"/>
    <x v="3"/>
    <x v="1"/>
    <s v="Konventionel"/>
    <x v="2"/>
    <s v="Græs"/>
    <n v="18047.25370357795"/>
    <n v="1253706.6202801529"/>
    <n v="0"/>
    <n v="1253706.6202801529"/>
  </r>
  <r>
    <x v="0"/>
    <x v="4"/>
    <x v="1"/>
    <s v="Konventionel"/>
    <x v="2"/>
    <s v="Grøntsager"/>
    <n v="20.976548706457006"/>
    <n v="609.36873992257597"/>
    <n v="0"/>
    <n v="609.36873992257597"/>
  </r>
  <r>
    <x v="0"/>
    <x v="5"/>
    <x v="1"/>
    <s v="Konventionel"/>
    <x v="2"/>
    <s v="Kartofler"/>
    <n v="1110.2948742854976"/>
    <n v="66017.310784368063"/>
    <n v="0"/>
    <n v="66017.310784368063"/>
  </r>
  <r>
    <x v="0"/>
    <x v="6"/>
    <x v="1"/>
    <s v="Konventionel"/>
    <x v="2"/>
    <s v="Roer"/>
    <n v="12.006798379551526"/>
    <n v="1365.8360377550734"/>
    <n v="0"/>
    <n v="1365.8360377550734"/>
  </r>
  <r>
    <x v="0"/>
    <x v="7"/>
    <x v="1"/>
    <s v="Konventionel"/>
    <x v="2"/>
    <s v="Majs"/>
    <n v="1493.1629200879825"/>
    <n v="93044.95420236254"/>
    <n v="0"/>
    <n v="93044.95420236254"/>
  </r>
  <r>
    <x v="0"/>
    <x v="8"/>
    <x v="1"/>
    <s v="Konventionel"/>
    <x v="2"/>
    <s v="Frugt"/>
    <n v="42.789511866497449"/>
    <n v="508.5961380451887"/>
    <n v="0"/>
    <n v="508.5961380451887"/>
  </r>
  <r>
    <x v="0"/>
    <x v="9"/>
    <x v="1"/>
    <s v="Konventionel"/>
    <x v="2"/>
    <s v="Øvrige"/>
    <n v="756.77108755092502"/>
    <n v="31568.192002614502"/>
    <n v="0"/>
    <n v="31568.192002614502"/>
  </r>
  <r>
    <x v="0"/>
    <x v="10"/>
    <x v="1"/>
    <s v="Konventionel"/>
    <x v="2"/>
    <s v="Halm"/>
    <n v="2407.7925845338555"/>
    <n v="48166.458169403915"/>
    <n v="7955.3466992998583"/>
    <n v="7955.3466992998583"/>
  </r>
  <r>
    <x v="0"/>
    <x v="11"/>
    <x v="1"/>
    <s v="Konventionel"/>
    <x v="2"/>
    <s v="Juletræer"/>
    <n v="214.61268127859856"/>
    <n v="15022.887689501898"/>
    <n v="0"/>
    <n v="15022.887689501898"/>
  </r>
  <r>
    <x v="0"/>
    <x v="12"/>
    <x v="1"/>
    <s v="Konventionel"/>
    <x v="2"/>
    <s v="Pil &amp; poppel"/>
    <n v="506.59835168103979"/>
    <n v="17298.4803013038"/>
    <n v="0"/>
    <n v="17298.4803013038"/>
  </r>
  <r>
    <x v="0"/>
    <x v="13"/>
    <x v="1"/>
    <s v="Konventionel"/>
    <x v="2"/>
    <s v="Græs"/>
    <n v="18736.673852484033"/>
    <n v="361730.22539605678"/>
    <n v="0"/>
    <n v="361730.22539605678"/>
  </r>
  <r>
    <x v="0"/>
    <x v="0"/>
    <x v="2"/>
    <s v="Konventionel"/>
    <x v="2"/>
    <s v="Halm"/>
    <n v="10009.441310518599"/>
    <n v="98232.657021429521"/>
    <n v="31876.497203453881"/>
    <n v="31876.497203453881"/>
  </r>
  <r>
    <x v="0"/>
    <x v="1"/>
    <x v="2"/>
    <s v="Konventionel"/>
    <x v="2"/>
    <s v="Halm"/>
    <n v="576.33584631181759"/>
    <n v="3114.5189134690627"/>
    <n v="919.25913288242691"/>
    <n v="919.25913288242691"/>
  </r>
  <r>
    <x v="0"/>
    <x v="2"/>
    <x v="2"/>
    <s v="Konventionel"/>
    <x v="2"/>
    <s v="Halm"/>
    <n v="746.32882316970711"/>
    <n v="4597.3855507253957"/>
    <n v="2441.2117274351849"/>
    <n v="2441.2117274351849"/>
  </r>
  <r>
    <x v="0"/>
    <x v="3"/>
    <x v="2"/>
    <s v="Konventionel"/>
    <x v="2"/>
    <s v="Græs"/>
    <n v="17212.698619019429"/>
    <n v="1195731.7476660416"/>
    <n v="0"/>
    <n v="1195731.7476660416"/>
  </r>
  <r>
    <x v="0"/>
    <x v="4"/>
    <x v="2"/>
    <s v="Konventionel"/>
    <x v="2"/>
    <s v="Grøntsager"/>
    <n v="20.00653489344165"/>
    <n v="581.18983865448001"/>
    <n v="0"/>
    <n v="581.18983865448001"/>
  </r>
  <r>
    <x v="0"/>
    <x v="5"/>
    <x v="2"/>
    <s v="Konventionel"/>
    <x v="2"/>
    <s v="Kartofler"/>
    <n v="1058.9517587116018"/>
    <n v="62964.487164281672"/>
    <n v="0"/>
    <n v="62964.487164281672"/>
  </r>
  <r>
    <x v="0"/>
    <x v="6"/>
    <x v="2"/>
    <s v="Konventionel"/>
    <x v="2"/>
    <s v="Roer"/>
    <n v="11.451570708820819"/>
    <n v="1302.6759897663992"/>
    <n v="0"/>
    <n v="1302.6759897663992"/>
  </r>
  <r>
    <x v="0"/>
    <x v="7"/>
    <x v="2"/>
    <s v="Konventionel"/>
    <x v="2"/>
    <s v="Majs"/>
    <n v="1424.1149237833358"/>
    <n v="88742.297360634795"/>
    <n v="0"/>
    <n v="88742.297360634795"/>
  </r>
  <r>
    <x v="0"/>
    <x v="8"/>
    <x v="2"/>
    <s v="Konventionel"/>
    <x v="2"/>
    <s v="Frugt"/>
    <n v="40.810806115445544"/>
    <n v="485.07724148818579"/>
    <n v="0"/>
    <n v="485.07724148818579"/>
  </r>
  <r>
    <x v="0"/>
    <x v="9"/>
    <x v="2"/>
    <s v="Konventionel"/>
    <x v="2"/>
    <s v="Øvrige"/>
    <n v="721.77589275088224"/>
    <n v="30108.391216366432"/>
    <n v="0"/>
    <n v="30108.391216366432"/>
  </r>
  <r>
    <x v="0"/>
    <x v="10"/>
    <x v="2"/>
    <s v="Konventionel"/>
    <x v="2"/>
    <s v="Halm"/>
    <n v="2296.4495748444288"/>
    <n v="45939.10750261067"/>
    <n v="7587.4693952859907"/>
    <n v="7587.4693952859907"/>
  </r>
  <r>
    <x v="0"/>
    <x v="11"/>
    <x v="2"/>
    <s v="Konventionel"/>
    <x v="2"/>
    <s v="Juletræer"/>
    <n v="204.6883954391258"/>
    <n v="14328.187680738807"/>
    <n v="0"/>
    <n v="14328.187680738807"/>
  </r>
  <r>
    <x v="0"/>
    <x v="12"/>
    <x v="2"/>
    <s v="Konventionel"/>
    <x v="2"/>
    <s v="Pil &amp; poppel"/>
    <n v="483.1718383085061"/>
    <n v="16498.550576388014"/>
    <n v="0"/>
    <n v="16498.550576388014"/>
  </r>
  <r>
    <x v="0"/>
    <x v="13"/>
    <x v="2"/>
    <s v="Konventionel"/>
    <x v="2"/>
    <s v="Græs"/>
    <n v="17870.23806739807"/>
    <n v="345002.81612918718"/>
    <n v="0"/>
    <n v="345002.81612918718"/>
  </r>
  <r>
    <x v="0"/>
    <x v="0"/>
    <x v="0"/>
    <s v="Økologisk"/>
    <x v="2"/>
    <s v="Halm"/>
    <n v="1521.2775270361781"/>
    <n v="10002.977825723145"/>
    <n v="3264.9469548714701"/>
    <n v="3264.9469548714701"/>
  </r>
  <r>
    <x v="0"/>
    <x v="1"/>
    <x v="0"/>
    <s v="Økologisk"/>
    <x v="2"/>
    <s v="Halm"/>
    <n v="87.593976908399355"/>
    <n v="269.81397519140432"/>
    <n v="80.102033939855289"/>
    <n v="80.102033939855289"/>
  </r>
  <r>
    <x v="0"/>
    <x v="2"/>
    <x v="0"/>
    <s v="Økologisk"/>
    <x v="2"/>
    <s v="Halm"/>
    <n v="113.43023364094317"/>
    <n v="384.3016315755155"/>
    <n v="205.25742293264076"/>
    <n v="205.25742293264076"/>
  </r>
  <r>
    <x v="0"/>
    <x v="3"/>
    <x v="0"/>
    <s v="Økologisk"/>
    <x v="2"/>
    <s v="Græs"/>
    <n v="2616.0592560989035"/>
    <n v="141751.27543408933"/>
    <n v="0"/>
    <n v="141751.27543408933"/>
  </r>
  <r>
    <x v="0"/>
    <x v="4"/>
    <x v="0"/>
    <s v="Økologisk"/>
    <x v="2"/>
    <s v="Grøntsager"/>
    <n v="3.0406783938354529"/>
    <n v="50.34907318432434"/>
    <n v="0"/>
    <n v="50.34907318432434"/>
  </r>
  <r>
    <x v="0"/>
    <x v="5"/>
    <x v="0"/>
    <s v="Økologisk"/>
    <x v="2"/>
    <s v="Kartofler"/>
    <n v="160.94399904722869"/>
    <n v="5454.6782503755512"/>
    <n v="0"/>
    <n v="5454.6782503755512"/>
  </r>
  <r>
    <x v="0"/>
    <x v="6"/>
    <x v="0"/>
    <s v="Økologisk"/>
    <x v="2"/>
    <s v="Roer"/>
    <n v="1.7404584959489884"/>
    <n v="112.85216014109164"/>
    <n v="0"/>
    <n v="112.85216014109164"/>
  </r>
  <r>
    <x v="0"/>
    <x v="7"/>
    <x v="0"/>
    <s v="Økologisk"/>
    <x v="2"/>
    <s v="Majs"/>
    <n v="216.44305234016915"/>
    <n v="11194.568861726002"/>
    <n v="0"/>
    <n v="11194.568861726002"/>
  </r>
  <r>
    <x v="0"/>
    <x v="8"/>
    <x v="0"/>
    <s v="Økologisk"/>
    <x v="2"/>
    <s v="Frugt"/>
    <n v="6.2026001529591133"/>
    <n v="42.022740088301049"/>
    <n v="0"/>
    <n v="42.022740088301049"/>
  </r>
  <r>
    <x v="0"/>
    <x v="9"/>
    <x v="0"/>
    <s v="Økologisk"/>
    <x v="2"/>
    <s v="Øvrige"/>
    <n v="109.69857468913038"/>
    <n v="2608.3208824239755"/>
    <n v="0"/>
    <n v="2608.3208824239755"/>
  </r>
  <r>
    <x v="0"/>
    <x v="10"/>
    <x v="0"/>
    <s v="Økologisk"/>
    <x v="2"/>
    <s v="Halm"/>
    <n v="349.0241884441013"/>
    <n v="3979.7521082376879"/>
    <n v="661.15386758582895"/>
    <n v="661.15386758582895"/>
  </r>
  <r>
    <x v="0"/>
    <x v="11"/>
    <x v="0"/>
    <s v="Økologisk"/>
    <x v="2"/>
    <s v="Juletræer"/>
    <n v="31.109414238675758"/>
    <n v="1241.2656281231625"/>
    <n v="0"/>
    <n v="1241.2656281231625"/>
  </r>
  <r>
    <x v="0"/>
    <x v="12"/>
    <x v="0"/>
    <s v="Økologisk"/>
    <x v="2"/>
    <s v="Pil &amp; poppel"/>
    <n v="73.434514126483776"/>
    <n v="1429.2863969008304"/>
    <n v="0"/>
    <n v="1429.2863969008304"/>
  </r>
  <r>
    <x v="0"/>
    <x v="13"/>
    <x v="0"/>
    <s v="Økologisk"/>
    <x v="2"/>
    <s v="Græs"/>
    <n v="2715.9949023479103"/>
    <n v="52434.997584728757"/>
    <n v="0"/>
    <n v="52434.997584728757"/>
  </r>
  <r>
    <x v="0"/>
    <x v="0"/>
    <x v="1"/>
    <s v="Økologisk"/>
    <x v="2"/>
    <s v="Halm"/>
    <n v="1637.9085780848618"/>
    <n v="10769.871306167639"/>
    <n v="3494.8232388513989"/>
    <n v="3494.8232388513989"/>
  </r>
  <r>
    <x v="0"/>
    <x v="1"/>
    <x v="1"/>
    <s v="Økologisk"/>
    <x v="2"/>
    <s v="Halm"/>
    <n v="94.309502123751969"/>
    <n v="290.49967320175068"/>
    <n v="85.741806394306337"/>
    <n v="85.741806394306337"/>
  </r>
  <r>
    <x v="0"/>
    <x v="2"/>
    <x v="1"/>
    <s v="Økologisk"/>
    <x v="2"/>
    <s v="Halm"/>
    <n v="122.12653470049754"/>
    <n v="413.76469956528575"/>
    <n v="219.70905546916671"/>
    <n v="219.70905546916671"/>
  </r>
  <r>
    <x v="0"/>
    <x v="3"/>
    <x v="1"/>
    <s v="Økologisk"/>
    <x v="2"/>
    <s v="Græs"/>
    <n v="2816.6234103849979"/>
    <n v="152618.85215664754"/>
    <n v="0"/>
    <n v="152618.85215664754"/>
  </r>
  <r>
    <x v="0"/>
    <x v="4"/>
    <x v="1"/>
    <s v="Økologisk"/>
    <x v="2"/>
    <s v="Grøntsager"/>
    <n v="3.2737966189268159"/>
    <n v="54.209161314499674"/>
    <n v="0"/>
    <n v="54.209161314499674"/>
  </r>
  <r>
    <x v="0"/>
    <x v="5"/>
    <x v="1"/>
    <s v="Økologisk"/>
    <x v="2"/>
    <s v="Kartofler"/>
    <n v="173.28301506189848"/>
    <n v="5872.8694391411809"/>
    <n v="0"/>
    <n v="5872.8694391411809"/>
  </r>
  <r>
    <x v="0"/>
    <x v="6"/>
    <x v="1"/>
    <s v="Økologisk"/>
    <x v="2"/>
    <s v="Roer"/>
    <n v="1.8738933887161342"/>
    <n v="121.50414231821139"/>
    <n v="0"/>
    <n v="121.50414231821139"/>
  </r>
  <r>
    <x v="0"/>
    <x v="7"/>
    <x v="1"/>
    <s v="Økologisk"/>
    <x v="2"/>
    <s v="Majs"/>
    <n v="233.03698752818224"/>
    <n v="12052.817477889854"/>
    <n v="0"/>
    <n v="12052.817477889854"/>
  </r>
  <r>
    <x v="0"/>
    <x v="8"/>
    <x v="1"/>
    <s v="Økologisk"/>
    <x v="2"/>
    <s v="Frugt"/>
    <n v="6.6781319098001797"/>
    <n v="45.24447725153442"/>
    <n v="0"/>
    <n v="45.24447725153442"/>
  </r>
  <r>
    <x v="0"/>
    <x v="9"/>
    <x v="1"/>
    <s v="Økologisk"/>
    <x v="2"/>
    <s v="Øvrige"/>
    <n v="118.10878245014437"/>
    <n v="2808.291762544723"/>
    <n v="0"/>
    <n v="2808.291762544723"/>
  </r>
  <r>
    <x v="0"/>
    <x v="10"/>
    <x v="1"/>
    <s v="Økologisk"/>
    <x v="2"/>
    <s v="Halm"/>
    <n v="375.78265770181565"/>
    <n v="4284.8658452435047"/>
    <n v="707.70396359667529"/>
    <n v="707.70396359667529"/>
  </r>
  <r>
    <x v="0"/>
    <x v="11"/>
    <x v="1"/>
    <s v="Økologisk"/>
    <x v="2"/>
    <s v="Juletræer"/>
    <n v="33.494464708220583"/>
    <n v="1336.4291418580012"/>
    <n v="0"/>
    <n v="1336.4291418580012"/>
  </r>
  <r>
    <x v="0"/>
    <x v="12"/>
    <x v="1"/>
    <s v="Økologisk"/>
    <x v="2"/>
    <s v="Pil &amp; poppel"/>
    <n v="79.064482632301008"/>
    <n v="1538.8648083067364"/>
    <n v="0"/>
    <n v="1538.8648083067364"/>
  </r>
  <r>
    <x v="0"/>
    <x v="13"/>
    <x v="1"/>
    <s v="Økologisk"/>
    <x v="2"/>
    <s v="Græs"/>
    <n v="2924.2207746651384"/>
    <n v="56455.006275685155"/>
    <n v="0"/>
    <n v="56455.006275685155"/>
  </r>
  <r>
    <x v="0"/>
    <x v="0"/>
    <x v="2"/>
    <s v="Økologisk"/>
    <x v="2"/>
    <s v="Halm"/>
    <n v="2123.2148234433389"/>
    <n v="13960.944285772861"/>
    <n v="4530.3264207332932"/>
    <n v="4530.3264207332932"/>
  </r>
  <r>
    <x v="0"/>
    <x v="1"/>
    <x v="2"/>
    <s v="Økologisk"/>
    <x v="2"/>
    <s v="Halm"/>
    <n v="122.25305830856736"/>
    <n v="376.57365044671383"/>
    <n v="111.14678606669341"/>
    <n v="111.14678606669341"/>
  </r>
  <r>
    <x v="0"/>
    <x v="2"/>
    <x v="2"/>
    <s v="Økologisk"/>
    <x v="2"/>
    <s v="Halm"/>
    <n v="158.31217461175603"/>
    <n v="536.36164758462951"/>
    <n v="284.80803486743827"/>
    <n v="284.80803486743827"/>
  </r>
  <r>
    <x v="0"/>
    <x v="3"/>
    <x v="2"/>
    <s v="Økologisk"/>
    <x v="2"/>
    <s v="Græs"/>
    <n v="3651.178494943515"/>
    <n v="197839.25279565417"/>
    <n v="0"/>
    <n v="197839.25279565417"/>
  </r>
  <r>
    <x v="0"/>
    <x v="4"/>
    <x v="2"/>
    <s v="Økologisk"/>
    <x v="2"/>
    <s v="Grøntsager"/>
    <n v="4.2438104319421681"/>
    <n v="70.27113503731438"/>
    <n v="0"/>
    <n v="70.27113503731438"/>
  </r>
  <r>
    <x v="0"/>
    <x v="5"/>
    <x v="2"/>
    <s v="Økologisk"/>
    <x v="2"/>
    <s v="Kartofler"/>
    <n v="224.62613063579431"/>
    <n v="7612.9789025904211"/>
    <n v="0"/>
    <n v="7612.9789025904211"/>
  </r>
  <r>
    <x v="0"/>
    <x v="6"/>
    <x v="2"/>
    <s v="Økologisk"/>
    <x v="2"/>
    <s v="Roer"/>
    <n v="2.4291210594468406"/>
    <n v="157.50536967175552"/>
    <n v="0"/>
    <n v="157.50536967175552"/>
  </r>
  <r>
    <x v="0"/>
    <x v="7"/>
    <x v="2"/>
    <s v="Økologisk"/>
    <x v="2"/>
    <s v="Majs"/>
    <n v="302.08498383282881"/>
    <n v="15624.022656523883"/>
    <n v="0"/>
    <n v="15624.022656523883"/>
  </r>
  <r>
    <x v="0"/>
    <x v="8"/>
    <x v="2"/>
    <s v="Økologisk"/>
    <x v="2"/>
    <s v="Frugt"/>
    <n v="8.6568376608520836"/>
    <n v="58.650248289026081"/>
    <n v="0"/>
    <n v="58.650248289026081"/>
  </r>
  <r>
    <x v="0"/>
    <x v="9"/>
    <x v="2"/>
    <s v="Økologisk"/>
    <x v="2"/>
    <s v="Øvrige"/>
    <n v="153.10397725018711"/>
    <n v="3640.3782107061229"/>
    <n v="0"/>
    <n v="3640.3782107061229"/>
  </r>
  <r>
    <x v="0"/>
    <x v="10"/>
    <x v="2"/>
    <s v="Økologisk"/>
    <x v="2"/>
    <s v="Halm"/>
    <n v="487.12566739124247"/>
    <n v="5554.4557253156536"/>
    <n v="917.39402688457892"/>
    <n v="917.39402688457892"/>
  </r>
  <r>
    <x v="0"/>
    <x v="11"/>
    <x v="2"/>
    <s v="Økologisk"/>
    <x v="2"/>
    <s v="Juletræer"/>
    <n v="43.41875054769335"/>
    <n v="1732.4081468529648"/>
    <n v="0"/>
    <n v="1732.4081468529648"/>
  </r>
  <r>
    <x v="0"/>
    <x v="12"/>
    <x v="2"/>
    <s v="Økologisk"/>
    <x v="2"/>
    <s v="Pil &amp; poppel"/>
    <n v="102.49099600483463"/>
    <n v="1994.8247515087323"/>
    <n v="0"/>
    <n v="1994.8247515087323"/>
  </r>
  <r>
    <x v="0"/>
    <x v="13"/>
    <x v="2"/>
    <s v="Økologisk"/>
    <x v="2"/>
    <s v="Græs"/>
    <n v="3790.6565597511053"/>
    <n v="73182.415542554852"/>
    <n v="0"/>
    <n v="73182.415542554852"/>
  </r>
  <r>
    <x v="1"/>
    <x v="0"/>
    <x v="0"/>
    <s v="Konventionel"/>
    <x v="0"/>
    <s v="Halm"/>
    <n v="292562.01681062597"/>
    <n v="2050859.7378424881"/>
    <n v="669395.49128244352"/>
    <n v="669395.49128244352"/>
  </r>
  <r>
    <x v="1"/>
    <x v="1"/>
    <x v="0"/>
    <s v="Konventionel"/>
    <x v="0"/>
    <s v="Halm"/>
    <n v="6376.3414137528825"/>
    <n v="24612.677857086128"/>
    <n v="7306.9808769558722"/>
    <n v="7306.9808769558722"/>
  </r>
  <r>
    <x v="1"/>
    <x v="2"/>
    <x v="0"/>
    <s v="Konventionel"/>
    <x v="0"/>
    <s v="Halm"/>
    <n v="40447.722327584328"/>
    <n v="177969.97824137105"/>
    <n v="95054.655228607488"/>
    <n v="95054.655228607488"/>
  </r>
  <r>
    <x v="1"/>
    <x v="3"/>
    <x v="0"/>
    <s v="Konventionel"/>
    <x v="0"/>
    <s v="Græs"/>
    <n v="24572.998517620537"/>
    <n v="1219312.186444331"/>
    <n v="0"/>
    <n v="1219312.186444331"/>
  </r>
  <r>
    <x v="1"/>
    <x v="4"/>
    <x v="0"/>
    <s v="Konventionel"/>
    <x v="0"/>
    <s v="Grøntsager"/>
    <n v="3850.5952952805674"/>
    <n v="79899.852377071773"/>
    <n v="0"/>
    <n v="79899.852377071773"/>
  </r>
  <r>
    <x v="1"/>
    <x v="5"/>
    <x v="0"/>
    <s v="Konventionel"/>
    <x v="0"/>
    <s v="Kartofler"/>
    <n v="2470.1663355738019"/>
    <n v="104910.18611455506"/>
    <n v="0"/>
    <n v="104910.18611455506"/>
  </r>
  <r>
    <x v="1"/>
    <x v="6"/>
    <x v="0"/>
    <s v="Konventionel"/>
    <x v="0"/>
    <s v="Roer"/>
    <n v="25678.880997566026"/>
    <n v="2086504.8977723797"/>
    <n v="0"/>
    <n v="2086504.8977723797"/>
  </r>
  <r>
    <x v="1"/>
    <x v="7"/>
    <x v="0"/>
    <s v="Konventionel"/>
    <x v="0"/>
    <s v="Majs"/>
    <n v="7262.9431424427694"/>
    <n v="323273.59927012771"/>
    <n v="0"/>
    <n v="323273.59927012771"/>
  </r>
  <r>
    <x v="1"/>
    <x v="8"/>
    <x v="0"/>
    <s v="Konventionel"/>
    <x v="0"/>
    <s v="Frugt"/>
    <n v="1689.9505584470551"/>
    <n v="14347.680241215501"/>
    <n v="0"/>
    <n v="14347.680241215501"/>
  </r>
  <r>
    <x v="1"/>
    <x v="9"/>
    <x v="0"/>
    <s v="Konventionel"/>
    <x v="0"/>
    <s v="Øvrige"/>
    <n v="12067.066633104925"/>
    <n v="359549.63570951426"/>
    <n v="0"/>
    <n v="359549.63570951426"/>
  </r>
  <r>
    <x v="1"/>
    <x v="10"/>
    <x v="0"/>
    <s v="Konventionel"/>
    <x v="0"/>
    <s v="Halm"/>
    <n v="37335.148248827281"/>
    <n v="533476.73476254696"/>
    <n v="88626.174913066206"/>
    <n v="88626.174913066206"/>
  </r>
  <r>
    <x v="1"/>
    <x v="11"/>
    <x v="0"/>
    <s v="Konventionel"/>
    <x v="0"/>
    <s v="Juletræer"/>
    <n v="2648.1429081925139"/>
    <n v="132407.14540962569"/>
    <n v="0"/>
    <n v="132407.14540962569"/>
  </r>
  <r>
    <x v="1"/>
    <x v="12"/>
    <x v="0"/>
    <s v="Konventionel"/>
    <x v="0"/>
    <s v="Pil &amp; poppel"/>
    <n v="1258.7577822820135"/>
    <n v="30701.40932395155"/>
    <n v="0"/>
    <n v="30701.40932395155"/>
  </r>
  <r>
    <x v="1"/>
    <x v="13"/>
    <x v="0"/>
    <s v="Konventionel"/>
    <x v="0"/>
    <s v="Græs"/>
    <n v="31352.142273239417"/>
    <n v="432346.04194797156"/>
    <n v="0"/>
    <n v="432346.04194797156"/>
  </r>
  <r>
    <x v="1"/>
    <x v="0"/>
    <x v="1"/>
    <s v="Konventionel"/>
    <x v="0"/>
    <s v="Halm"/>
    <n v="284372.46181096468"/>
    <n v="1993450.9572948625"/>
    <n v="646874.83564218285"/>
    <n v="646874.83564218285"/>
  </r>
  <r>
    <x v="1"/>
    <x v="1"/>
    <x v="1"/>
    <s v="Konventionel"/>
    <x v="0"/>
    <s v="Halm"/>
    <n v="6197.8513989730473"/>
    <n v="23923.706400035964"/>
    <n v="7061.1501203360021"/>
    <n v="7061.1501203360021"/>
  </r>
  <r>
    <x v="1"/>
    <x v="2"/>
    <x v="1"/>
    <s v="Konventionel"/>
    <x v="0"/>
    <s v="Halm"/>
    <n v="39315.487698414414"/>
    <n v="172988.14587302343"/>
    <n v="91856.705458575452"/>
    <n v="91856.705458575452"/>
  </r>
  <r>
    <x v="1"/>
    <x v="3"/>
    <x v="1"/>
    <s v="Konventionel"/>
    <x v="0"/>
    <s v="Græs"/>
    <n v="23885.137786208805"/>
    <n v="1185180.5369516809"/>
    <n v="0"/>
    <n v="1185180.5369516809"/>
  </r>
  <r>
    <x v="1"/>
    <x v="4"/>
    <x v="1"/>
    <s v="Konventionel"/>
    <x v="0"/>
    <s v="Grøntsager"/>
    <n v="3742.8073387443319"/>
    <n v="77663.252278944885"/>
    <n v="0"/>
    <n v="77663.252278944885"/>
  </r>
  <r>
    <x v="1"/>
    <x v="5"/>
    <x v="1"/>
    <s v="Konventionel"/>
    <x v="0"/>
    <s v="Kartofler"/>
    <n v="2401.0200968240606"/>
    <n v="101973.48315982398"/>
    <n v="0"/>
    <n v="101973.48315982398"/>
  </r>
  <r>
    <x v="1"/>
    <x v="6"/>
    <x v="1"/>
    <s v="Konventionel"/>
    <x v="0"/>
    <s v="Roer"/>
    <n v="24960.063802661847"/>
    <n v="2028098.3185327027"/>
    <n v="0"/>
    <n v="2028098.3185327027"/>
  </r>
  <r>
    <x v="1"/>
    <x v="7"/>
    <x v="1"/>
    <s v="Konventionel"/>
    <x v="0"/>
    <s v="Majs"/>
    <n v="7059.6348901519423"/>
    <n v="314224.34896066296"/>
    <n v="0"/>
    <n v="314224.34896066296"/>
  </r>
  <r>
    <x v="1"/>
    <x v="8"/>
    <x v="1"/>
    <s v="Konventionel"/>
    <x v="0"/>
    <s v="Frugt"/>
    <n v="1642.6445438249691"/>
    <n v="13946.052177073991"/>
    <n v="0"/>
    <n v="13946.052177073991"/>
  </r>
  <r>
    <x v="1"/>
    <x v="9"/>
    <x v="1"/>
    <s v="Konventionel"/>
    <x v="0"/>
    <s v="Øvrige"/>
    <n v="11729.278744732668"/>
    <n v="349484.92686982499"/>
    <n v="0"/>
    <n v="349484.92686982499"/>
  </r>
  <r>
    <x v="1"/>
    <x v="10"/>
    <x v="1"/>
    <s v="Konventionel"/>
    <x v="0"/>
    <s v="Halm"/>
    <n v="36290.042485141646"/>
    <n v="518543.36402629869"/>
    <n v="85644.500264934293"/>
    <n v="85644.500264934293"/>
  </r>
  <r>
    <x v="1"/>
    <x v="11"/>
    <x v="1"/>
    <s v="Konventionel"/>
    <x v="0"/>
    <s v="Juletræer"/>
    <n v="2574.0146524810302"/>
    <n v="128700.73262405151"/>
    <n v="0"/>
    <n v="128700.73262405151"/>
  </r>
  <r>
    <x v="1"/>
    <x v="12"/>
    <x v="1"/>
    <s v="Konventionel"/>
    <x v="0"/>
    <s v="Pil &amp; poppel"/>
    <n v="1223.5219502296152"/>
    <n v="29841.998786088181"/>
    <n v="0"/>
    <n v="29841.998786088181"/>
  </r>
  <r>
    <x v="1"/>
    <x v="13"/>
    <x v="1"/>
    <s v="Konventionel"/>
    <x v="0"/>
    <s v="Græs"/>
    <n v="30474.516064946976"/>
    <n v="420243.57653561886"/>
    <n v="0"/>
    <n v="420243.57653561886"/>
  </r>
  <r>
    <x v="1"/>
    <x v="0"/>
    <x v="2"/>
    <s v="Konventionel"/>
    <x v="0"/>
    <s v="Halm"/>
    <n v="269399.56788001256"/>
    <n v="1888490.9708388881"/>
    <n v="612815.32003721921"/>
    <n v="612815.32003721921"/>
  </r>
  <r>
    <x v="1"/>
    <x v="1"/>
    <x v="2"/>
    <s v="Konventionel"/>
    <x v="0"/>
    <s v="Halm"/>
    <n v="5871.5196191458026"/>
    <n v="22664.065729902799"/>
    <n v="6689.3635868966203"/>
    <n v="6689.3635868966203"/>
  </r>
  <r>
    <x v="1"/>
    <x v="2"/>
    <x v="2"/>
    <s v="Konventionel"/>
    <x v="0"/>
    <s v="Halm"/>
    <n v="37245.432731055007"/>
    <n v="163879.90401664205"/>
    <n v="87020.229032836913"/>
    <n v="87020.229032836913"/>
  </r>
  <r>
    <x v="1"/>
    <x v="3"/>
    <x v="2"/>
    <s v="Konventionel"/>
    <x v="0"/>
    <s v="Græs"/>
    <n v="22627.527846337711"/>
    <n v="1122777.9317352772"/>
    <n v="0"/>
    <n v="1122777.9317352772"/>
  </r>
  <r>
    <x v="1"/>
    <x v="4"/>
    <x v="2"/>
    <s v="Konventionel"/>
    <x v="0"/>
    <s v="Grøntsager"/>
    <n v="3545.7395322129769"/>
    <n v="73574.095293419276"/>
    <n v="0"/>
    <n v="73574.095293419276"/>
  </r>
  <r>
    <x v="1"/>
    <x v="5"/>
    <x v="2"/>
    <s v="Konventionel"/>
    <x v="0"/>
    <s v="Kartofler"/>
    <n v="2274.6006151102201"/>
    <n v="96604.334060792258"/>
    <n v="0"/>
    <n v="96604.334060792258"/>
  </r>
  <r>
    <x v="1"/>
    <x v="6"/>
    <x v="2"/>
    <s v="Konventionel"/>
    <x v="0"/>
    <s v="Roer"/>
    <n v="23645.856423202276"/>
    <n v="1921314.0651927341"/>
    <n v="0"/>
    <n v="1921314.0651927341"/>
  </r>
  <r>
    <x v="1"/>
    <x v="7"/>
    <x v="2"/>
    <s v="Konventionel"/>
    <x v="0"/>
    <s v="Majs"/>
    <n v="6687.9281372253527"/>
    <n v="297679.68138790049"/>
    <n v="0"/>
    <n v="297679.68138790049"/>
  </r>
  <r>
    <x v="1"/>
    <x v="8"/>
    <x v="2"/>
    <s v="Konventionel"/>
    <x v="0"/>
    <s v="Frugt"/>
    <n v="1556.1553586052762"/>
    <n v="13211.758994558797"/>
    <n v="0"/>
    <n v="13211.758994558797"/>
  </r>
  <r>
    <x v="1"/>
    <x v="9"/>
    <x v="2"/>
    <s v="Konventionel"/>
    <x v="0"/>
    <s v="Øvrige"/>
    <n v="11111.704013997321"/>
    <n v="331083.70508075121"/>
    <n v="0"/>
    <n v="331083.70508075121"/>
  </r>
  <r>
    <x v="1"/>
    <x v="10"/>
    <x v="2"/>
    <s v="Konventionel"/>
    <x v="0"/>
    <s v="Halm"/>
    <n v="34379.284483401752"/>
    <n v="491240.80899434892"/>
    <n v="81135.111380828137"/>
    <n v="81135.111380828137"/>
  </r>
  <r>
    <x v="1"/>
    <x v="11"/>
    <x v="2"/>
    <s v="Konventionel"/>
    <x v="0"/>
    <s v="Juletræer"/>
    <n v="2438.4865914202696"/>
    <n v="121924.32957101348"/>
    <n v="0"/>
    <n v="121924.32957101348"/>
  </r>
  <r>
    <x v="1"/>
    <x v="12"/>
    <x v="2"/>
    <s v="Konventionel"/>
    <x v="0"/>
    <s v="Pil &amp; poppel"/>
    <n v="1159.1005774063997"/>
    <n v="28270.745790399997"/>
    <n v="0"/>
    <n v="28270.745790399997"/>
  </r>
  <r>
    <x v="1"/>
    <x v="13"/>
    <x v="2"/>
    <s v="Konventionel"/>
    <x v="0"/>
    <s v="Græs"/>
    <n v="28869.959513543392"/>
    <n v="398116.7416917634"/>
    <n v="0"/>
    <n v="398116.7416917634"/>
  </r>
  <r>
    <x v="1"/>
    <x v="0"/>
    <x v="0"/>
    <s v="Økologisk"/>
    <x v="0"/>
    <s v="Halm"/>
    <n v="37407.422491325582"/>
    <n v="175691.44121500885"/>
    <n v="57345.247183975873"/>
    <n v="57345.247183975873"/>
  </r>
  <r>
    <x v="1"/>
    <x v="1"/>
    <x v="0"/>
    <s v="Økologisk"/>
    <x v="0"/>
    <s v="Halm"/>
    <n v="815.28866875287099"/>
    <n v="1793.798128990067"/>
    <n v="532.54053466904622"/>
    <n v="532.54053466904622"/>
  </r>
  <r>
    <x v="1"/>
    <x v="2"/>
    <x v="0"/>
    <s v="Økologisk"/>
    <x v="0"/>
    <s v="Halm"/>
    <n v="5171.7070261351"/>
    <n v="12515.531003246942"/>
    <n v="6684.6076864892093"/>
    <n v="6684.6076864892093"/>
  </r>
  <r>
    <x v="1"/>
    <x v="3"/>
    <x v="0"/>
    <s v="Økologisk"/>
    <x v="0"/>
    <s v="Græs"/>
    <n v="3141.9408009562312"/>
    <n v="121604.41998388959"/>
    <n v="0"/>
    <n v="121604.41998388959"/>
  </r>
  <r>
    <x v="1"/>
    <x v="4"/>
    <x v="0"/>
    <s v="Økologisk"/>
    <x v="0"/>
    <s v="Grøntsager"/>
    <n v="492.34294534860186"/>
    <n v="5823.1861861105881"/>
    <n v="0"/>
    <n v="5823.1861861105881"/>
  </r>
  <r>
    <x v="1"/>
    <x v="5"/>
    <x v="0"/>
    <s v="Økologisk"/>
    <x v="0"/>
    <s v="Kartofler"/>
    <n v="315.83920819930114"/>
    <n v="7645.9658984285725"/>
    <n v="0"/>
    <n v="7645.9658984285725"/>
  </r>
  <r>
    <x v="1"/>
    <x v="6"/>
    <x v="0"/>
    <s v="Økologisk"/>
    <x v="0"/>
    <s v="Roer"/>
    <n v="3283.3406094619722"/>
    <n v="152066.69520013814"/>
    <n v="0"/>
    <n v="152066.69520013814"/>
  </r>
  <r>
    <x v="1"/>
    <x v="7"/>
    <x v="0"/>
    <s v="Økologisk"/>
    <x v="0"/>
    <s v="Majs"/>
    <n v="928.65090834978378"/>
    <n v="34307.429102438567"/>
    <n v="0"/>
    <n v="34307.429102438567"/>
  </r>
  <r>
    <x v="1"/>
    <x v="8"/>
    <x v="0"/>
    <s v="Økologisk"/>
    <x v="0"/>
    <s v="Frugt"/>
    <n v="216.07963746777307"/>
    <n v="1045.6741895977943"/>
    <n v="0"/>
    <n v="1045.6741895977943"/>
  </r>
  <r>
    <x v="1"/>
    <x v="9"/>
    <x v="0"/>
    <s v="Økologisk"/>
    <x v="0"/>
    <s v="Øvrige"/>
    <n v="1542.9134126721628"/>
    <n v="26204.359702741538"/>
    <n v="0"/>
    <n v="26204.359702741538"/>
  </r>
  <r>
    <x v="1"/>
    <x v="10"/>
    <x v="0"/>
    <s v="Økologisk"/>
    <x v="0"/>
    <s v="Halm"/>
    <n v="4773.7285911047593"/>
    <n v="38880.351590888582"/>
    <n v="6459.1698498517526"/>
    <n v="6459.1698498517526"/>
  </r>
  <r>
    <x v="1"/>
    <x v="11"/>
    <x v="0"/>
    <s v="Økologisk"/>
    <x v="0"/>
    <s v="Juletræer"/>
    <n v="338.59556228136813"/>
    <n v="9649.9735250189897"/>
    <n v="0"/>
    <n v="9649.9735250189897"/>
  </r>
  <r>
    <x v="1"/>
    <x v="12"/>
    <x v="0"/>
    <s v="Økologisk"/>
    <x v="0"/>
    <s v="Pil &amp; poppel"/>
    <n v="160.94667615908057"/>
    <n v="2237.5513514799004"/>
    <n v="0"/>
    <n v="2237.5513514799004"/>
  </r>
  <r>
    <x v="1"/>
    <x v="13"/>
    <x v="0"/>
    <s v="Økologisk"/>
    <x v="0"/>
    <s v="Græs"/>
    <n v="4008.7323870971445"/>
    <n v="55280.419618069631"/>
    <n v="0"/>
    <n v="55280.419618069631"/>
  </r>
  <r>
    <x v="1"/>
    <x v="0"/>
    <x v="1"/>
    <s v="Økologisk"/>
    <x v="0"/>
    <s v="Halm"/>
    <n v="44381.829299977158"/>
    <n v="208448.13767320273"/>
    <n v="67641.420674954294"/>
    <n v="67641.420674954294"/>
  </r>
  <r>
    <x v="1"/>
    <x v="1"/>
    <x v="1"/>
    <s v="Økologisk"/>
    <x v="0"/>
    <s v="Halm"/>
    <n v="967.29472700735414"/>
    <n v="2128.2418583615804"/>
    <n v="628.15664943335878"/>
    <n v="628.15664943335878"/>
  </r>
  <r>
    <x v="1"/>
    <x v="2"/>
    <x v="1"/>
    <s v="Økologisk"/>
    <x v="0"/>
    <s v="Halm"/>
    <n v="6135.9431668045636"/>
    <n v="14848.982463667046"/>
    <n v="7884.8096882072023"/>
    <n v="7884.8096882072023"/>
  </r>
  <r>
    <x v="1"/>
    <x v="3"/>
    <x v="1"/>
    <s v="Økologisk"/>
    <x v="0"/>
    <s v="Græs"/>
    <n v="3727.7382672117792"/>
    <n v="144276.89079885781"/>
    <n v="0"/>
    <n v="144276.89079885781"/>
  </r>
  <r>
    <x v="1"/>
    <x v="4"/>
    <x v="1"/>
    <s v="Økologisk"/>
    <x v="0"/>
    <s v="Grøntsager"/>
    <n v="584.13756153813279"/>
    <n v="6908.8870090922646"/>
    <n v="0"/>
    <n v="6908.8870090922646"/>
  </r>
  <r>
    <x v="1"/>
    <x v="5"/>
    <x v="1"/>
    <s v="Økologisk"/>
    <x v="0"/>
    <s v="Kartofler"/>
    <n v="374.72567985115398"/>
    <n v="9071.5139065300064"/>
    <n v="0"/>
    <n v="9071.5139065300064"/>
  </r>
  <r>
    <x v="1"/>
    <x v="6"/>
    <x v="1"/>
    <s v="Økologisk"/>
    <x v="0"/>
    <s v="Roer"/>
    <n v="3895.5012871206354"/>
    <n v="180418.68856773584"/>
    <n v="0"/>
    <n v="180418.68856773584"/>
  </r>
  <r>
    <x v="1"/>
    <x v="7"/>
    <x v="1"/>
    <s v="Økologisk"/>
    <x v="0"/>
    <s v="Majs"/>
    <n v="1101.7927285208236"/>
    <n v="40703.859307563347"/>
    <n v="0"/>
    <n v="40703.859307563347"/>
  </r>
  <r>
    <x v="1"/>
    <x v="8"/>
    <x v="1"/>
    <s v="Økologisk"/>
    <x v="0"/>
    <s v="Frugt"/>
    <n v="256.36648949869465"/>
    <n v="1240.6343526310329"/>
    <n v="0"/>
    <n v="1240.6343526310329"/>
  </r>
  <r>
    <x v="1"/>
    <x v="9"/>
    <x v="1"/>
    <s v="Økologisk"/>
    <x v="0"/>
    <s v="Øvrige"/>
    <n v="1830.5810757675265"/>
    <n v="31090.017482812756"/>
    <n v="0"/>
    <n v="31090.017482812756"/>
  </r>
  <r>
    <x v="1"/>
    <x v="10"/>
    <x v="1"/>
    <s v="Økologisk"/>
    <x v="0"/>
    <s v="Halm"/>
    <n v="5663.7638560625701"/>
    <n v="46129.377874940677"/>
    <n v="7618.895139175369"/>
    <n v="7618.895139175369"/>
  </r>
  <r>
    <x v="1"/>
    <x v="11"/>
    <x v="1"/>
    <s v="Økologisk"/>
    <x v="0"/>
    <s v="Juletræer"/>
    <n v="401.72483015599897"/>
    <n v="11449.157659445971"/>
    <n v="0"/>
    <n v="11449.157659445971"/>
  </r>
  <r>
    <x v="1"/>
    <x v="12"/>
    <x v="1"/>
    <s v="Økologisk"/>
    <x v="0"/>
    <s v="Pil &amp; poppel"/>
    <n v="190.95429281040239"/>
    <n v="2654.7304122421797"/>
    <n v="0"/>
    <n v="2654.7304122421797"/>
  </r>
  <r>
    <x v="1"/>
    <x v="13"/>
    <x v="1"/>
    <s v="Økologisk"/>
    <x v="0"/>
    <s v="Græs"/>
    <n v="4756.138345396349"/>
    <n v="65587.147783015665"/>
    <n v="0"/>
    <n v="65587.147783015665"/>
  </r>
  <r>
    <x v="1"/>
    <x v="0"/>
    <x v="2"/>
    <s v="Økologisk"/>
    <x v="0"/>
    <s v="Halm"/>
    <n v="57145.362883639027"/>
    <n v="268394.62585558742"/>
    <n v="87094.056090138125"/>
    <n v="87094.056090138125"/>
  </r>
  <r>
    <x v="1"/>
    <x v="1"/>
    <x v="2"/>
    <s v="Økologisk"/>
    <x v="0"/>
    <s v="Halm"/>
    <n v="1245.4738586066856"/>
    <n v="2740.2915837064297"/>
    <n v="808.80487005204611"/>
    <n v="808.80487005204611"/>
  </r>
  <r>
    <x v="1"/>
    <x v="2"/>
    <x v="2"/>
    <s v="Økologisk"/>
    <x v="0"/>
    <s v="Halm"/>
    <n v="7900.5463368904539"/>
    <n v="19119.322135274899"/>
    <n v="10152.360053830971"/>
    <n v="10152.360053830971"/>
  </r>
  <r>
    <x v="1"/>
    <x v="3"/>
    <x v="2"/>
    <s v="Økologisk"/>
    <x v="0"/>
    <s v="Græs"/>
    <n v="4799.7786340716357"/>
    <n v="185768.71234165499"/>
    <n v="0"/>
    <n v="185768.71234165499"/>
  </r>
  <r>
    <x v="1"/>
    <x v="4"/>
    <x v="2"/>
    <s v="Økologisk"/>
    <x v="0"/>
    <s v="Grøntsager"/>
    <n v="752.12656743911634"/>
    <n v="8895.7769763861488"/>
    <n v="0"/>
    <n v="8895.7769763861488"/>
  </r>
  <r>
    <x v="1"/>
    <x v="5"/>
    <x v="2"/>
    <s v="Økologisk"/>
    <x v="0"/>
    <s v="Kartofler"/>
    <n v="482.49103956883454"/>
    <n v="11680.342209168517"/>
    <n v="0"/>
    <n v="11680.342209168517"/>
  </r>
  <r>
    <x v="1"/>
    <x v="6"/>
    <x v="2"/>
    <s v="Økologisk"/>
    <x v="0"/>
    <s v="Roer"/>
    <n v="5015.7877261338162"/>
    <n v="232304.33697330329"/>
    <n v="0"/>
    <n v="232304.33697330329"/>
  </r>
  <r>
    <x v="1"/>
    <x v="7"/>
    <x v="2"/>
    <s v="Økologisk"/>
    <x v="0"/>
    <s v="Majs"/>
    <n v="1418.6514230478022"/>
    <n v="52409.665117081866"/>
    <n v="0"/>
    <n v="52409.665117081866"/>
  </r>
  <r>
    <x v="1"/>
    <x v="8"/>
    <x v="2"/>
    <s v="Økologisk"/>
    <x v="0"/>
    <s v="Frugt"/>
    <n v="330.09356091627075"/>
    <n v="1597.421769342109"/>
    <n v="0"/>
    <n v="1597.421769342109"/>
  </r>
  <r>
    <x v="1"/>
    <x v="9"/>
    <x v="2"/>
    <s v="Økologisk"/>
    <x v="0"/>
    <s v="Øvrige"/>
    <n v="2357.0281241812504"/>
    <n v="40031.029796127194"/>
    <n v="0"/>
    <n v="40031.029796127194"/>
  </r>
  <r>
    <x v="1"/>
    <x v="10"/>
    <x v="2"/>
    <s v="Økologisk"/>
    <x v="0"/>
    <s v="Halm"/>
    <n v="7292.5754964791595"/>
    <n v="59395.479632953095"/>
    <n v="9809.9725578637645"/>
    <n v="9809.9725578637645"/>
  </r>
  <r>
    <x v="1"/>
    <x v="11"/>
    <x v="2"/>
    <s v="Økologisk"/>
    <x v="0"/>
    <s v="Juletræer"/>
    <n v="517.25473151339054"/>
    <n v="14741.759848131631"/>
    <n v="0"/>
    <n v="14741.759848131631"/>
  </r>
  <r>
    <x v="1"/>
    <x v="12"/>
    <x v="2"/>
    <s v="Økologisk"/>
    <x v="0"/>
    <s v="Pil &amp; poppel"/>
    <n v="245.86981944984234"/>
    <n v="3418.1901728392713"/>
    <n v="0"/>
    <n v="3418.1901728392713"/>
  </r>
  <r>
    <x v="1"/>
    <x v="13"/>
    <x v="2"/>
    <s v="Økologisk"/>
    <x v="0"/>
    <s v="Græs"/>
    <n v="6123.9308059031428"/>
    <n v="84449.00581340435"/>
    <n v="0"/>
    <n v="84449.00581340435"/>
  </r>
  <r>
    <x v="1"/>
    <x v="0"/>
    <x v="0"/>
    <s v="Konventionel"/>
    <x v="1"/>
    <s v="Halm"/>
    <n v="3321.6653666372972"/>
    <n v="27941.849064152946"/>
    <n v="9120.1496799168599"/>
    <n v="9120.1496799168599"/>
  </r>
  <r>
    <x v="1"/>
    <x v="1"/>
    <x v="0"/>
    <s v="Konventionel"/>
    <x v="1"/>
    <s v="Halm"/>
    <n v="89.823141135380936"/>
    <n v="416.06078973908456"/>
    <n v="123.51960448705798"/>
    <n v="123.51960448705798"/>
  </r>
  <r>
    <x v="1"/>
    <x v="2"/>
    <x v="0"/>
    <s v="Konventionel"/>
    <x v="1"/>
    <s v="Halm"/>
    <n v="362.80969861856295"/>
    <n v="1915.6352087060125"/>
    <n v="1023.1503431459249"/>
    <n v="1023.1503431459249"/>
  </r>
  <r>
    <x v="1"/>
    <x v="3"/>
    <x v="0"/>
    <s v="Konventionel"/>
    <x v="1"/>
    <s v="Græs"/>
    <n v="1066.8125324809869"/>
    <n v="63522.285434047895"/>
    <n v="0"/>
    <n v="63522.285434047895"/>
  </r>
  <r>
    <x v="1"/>
    <x v="4"/>
    <x v="0"/>
    <s v="Konventionel"/>
    <x v="1"/>
    <s v="Grøntsager"/>
    <n v="20.204274039436456"/>
    <n v="503.08642358196778"/>
    <n v="0"/>
    <n v="503.08642358196778"/>
  </r>
  <r>
    <x v="1"/>
    <x v="5"/>
    <x v="0"/>
    <s v="Konventionel"/>
    <x v="1"/>
    <s v="Kartofler"/>
    <n v="34.349115010819808"/>
    <n v="1750.6053726466705"/>
    <n v="0"/>
    <n v="1750.6053726466705"/>
  </r>
  <r>
    <x v="1"/>
    <x v="6"/>
    <x v="0"/>
    <s v="Konventionel"/>
    <x v="1"/>
    <s v="Roer"/>
    <n v="95.964200645574223"/>
    <n v="9356.9392533941373"/>
    <n v="0"/>
    <n v="9356.9392533941373"/>
  </r>
  <r>
    <x v="1"/>
    <x v="7"/>
    <x v="0"/>
    <s v="Konventionel"/>
    <x v="1"/>
    <s v="Majs"/>
    <n v="102.31264680005847"/>
    <n v="5464.7230908847232"/>
    <n v="0"/>
    <n v="5464.7230908847232"/>
  </r>
  <r>
    <x v="1"/>
    <x v="8"/>
    <x v="0"/>
    <s v="Konventionel"/>
    <x v="1"/>
    <s v="Frugt"/>
    <n v="22.070941108444988"/>
    <n v="224.85874801283754"/>
    <n v="0"/>
    <n v="224.85874801283754"/>
  </r>
  <r>
    <x v="1"/>
    <x v="9"/>
    <x v="0"/>
    <s v="Konventionel"/>
    <x v="1"/>
    <s v="Øvrige"/>
    <n v="157.59722417896069"/>
    <n v="5634.9095864199417"/>
    <n v="0"/>
    <n v="5634.9095864199417"/>
  </r>
  <r>
    <x v="1"/>
    <x v="10"/>
    <x v="0"/>
    <s v="Konventionel"/>
    <x v="1"/>
    <s v="Halm"/>
    <n v="1144.1483740031422"/>
    <n v="19618.292165198385"/>
    <n v="3259.1752922503906"/>
    <n v="3259.1752922503906"/>
  </r>
  <r>
    <x v="1"/>
    <x v="11"/>
    <x v="0"/>
    <s v="Konventionel"/>
    <x v="1"/>
    <s v="Juletræer"/>
    <n v="34.585039119234281"/>
    <n v="2075.102347154057"/>
    <n v="0"/>
    <n v="2075.102347154057"/>
  </r>
  <r>
    <x v="1"/>
    <x v="12"/>
    <x v="0"/>
    <s v="Konventionel"/>
    <x v="1"/>
    <s v="Pil &amp; poppel"/>
    <n v="73.402370173862749"/>
    <n v="2148.3620538691534"/>
    <n v="0"/>
    <n v="2148.3620538691534"/>
  </r>
  <r>
    <x v="1"/>
    <x v="13"/>
    <x v="0"/>
    <s v="Konventionel"/>
    <x v="1"/>
    <s v="Græs"/>
    <n v="2143.8995874286088"/>
    <n v="35477.25037276862"/>
    <n v="0"/>
    <n v="35477.25037276862"/>
  </r>
  <r>
    <x v="1"/>
    <x v="0"/>
    <x v="1"/>
    <s v="Konventionel"/>
    <x v="1"/>
    <s v="Halm"/>
    <n v="3004.5351617033111"/>
    <n v="25274.149780248252"/>
    <n v="8201.4616036905572"/>
    <n v="8201.4616036905572"/>
  </r>
  <r>
    <x v="1"/>
    <x v="1"/>
    <x v="1"/>
    <s v="Konventionel"/>
    <x v="1"/>
    <s v="Halm"/>
    <n v="81.247433467117162"/>
    <n v="376.33811181968667"/>
    <n v="111.07726616970228"/>
    <n v="111.07726616970228"/>
  </r>
  <r>
    <x v="1"/>
    <x v="2"/>
    <x v="1"/>
    <s v="Konventionel"/>
    <x v="1"/>
    <s v="Halm"/>
    <n v="328.17107570651984"/>
    <n v="1732.7432797304245"/>
    <n v="920.08668153685562"/>
    <n v="920.08668153685562"/>
  </r>
  <r>
    <x v="1"/>
    <x v="3"/>
    <x v="1"/>
    <s v="Konventionel"/>
    <x v="1"/>
    <s v="Græs"/>
    <n v="964.96046741449936"/>
    <n v="57457.606071728951"/>
    <n v="0"/>
    <n v="57457.606071728951"/>
  </r>
  <r>
    <x v="1"/>
    <x v="4"/>
    <x v="1"/>
    <s v="Konventionel"/>
    <x v="1"/>
    <s v="Grøntsager"/>
    <n v="18.275306229787574"/>
    <n v="455.05512512171066"/>
    <n v="0"/>
    <n v="455.05512512171066"/>
  </r>
  <r>
    <x v="1"/>
    <x v="5"/>
    <x v="1"/>
    <s v="Konventionel"/>
    <x v="1"/>
    <s v="Kartofler"/>
    <n v="31.069693190641079"/>
    <n v="1583.4693793096885"/>
    <n v="0"/>
    <n v="1583.4693793096885"/>
  </r>
  <r>
    <x v="1"/>
    <x v="6"/>
    <x v="1"/>
    <s v="Konventionel"/>
    <x v="1"/>
    <s v="Roer"/>
    <n v="86.80218603605735"/>
    <n v="8463.6018050202292"/>
    <n v="0"/>
    <n v="8463.6018050202292"/>
  </r>
  <r>
    <x v="1"/>
    <x v="7"/>
    <x v="1"/>
    <s v="Konventionel"/>
    <x v="1"/>
    <s v="Majs"/>
    <n v="92.544525371292039"/>
    <n v="4942.9881891314508"/>
    <n v="0"/>
    <n v="4942.9881891314508"/>
  </r>
  <r>
    <x v="1"/>
    <x v="8"/>
    <x v="1"/>
    <s v="Konventionel"/>
    <x v="1"/>
    <s v="Frugt"/>
    <n v="19.963756517514042"/>
    <n v="203.39075140043306"/>
    <n v="0"/>
    <n v="203.39075140043306"/>
  </r>
  <r>
    <x v="1"/>
    <x v="9"/>
    <x v="1"/>
    <s v="Konventionel"/>
    <x v="1"/>
    <s v="Øvrige"/>
    <n v="142.55090419053352"/>
    <n v="5096.9264259624179"/>
    <n v="0"/>
    <n v="5096.9264259624179"/>
  </r>
  <r>
    <x v="1"/>
    <x v="10"/>
    <x v="1"/>
    <s v="Konventionel"/>
    <x v="1"/>
    <s v="Halm"/>
    <n v="1034.9128044099805"/>
    <n v="17745.269952517581"/>
    <n v="2930.8730620890651"/>
    <n v="2930.8730620890651"/>
  </r>
  <r>
    <x v="1"/>
    <x v="11"/>
    <x v="1"/>
    <s v="Konventionel"/>
    <x v="1"/>
    <s v="Juletræer"/>
    <n v="31.283092856466656"/>
    <n v="1876.9855713879997"/>
    <n v="0"/>
    <n v="1876.9855713879997"/>
  </r>
  <r>
    <x v="1"/>
    <x v="12"/>
    <x v="1"/>
    <s v="Konventionel"/>
    <x v="1"/>
    <s v="Pil &amp; poppel"/>
    <n v="66.394406960686013"/>
    <n v="1943.2509354347128"/>
    <n v="0"/>
    <n v="1943.2509354347128"/>
  </r>
  <r>
    <x v="1"/>
    <x v="13"/>
    <x v="1"/>
    <s v="Konventionel"/>
    <x v="1"/>
    <s v="Græs"/>
    <n v="1924.2067363305678"/>
    <n v="31841.773072798231"/>
    <n v="0"/>
    <n v="31841.773072798231"/>
  </r>
  <r>
    <x v="1"/>
    <x v="0"/>
    <x v="2"/>
    <s v="Konventionel"/>
    <x v="1"/>
    <s v="Halm"/>
    <n v="2865.5971195436209"/>
    <n v="24105.402969600938"/>
    <n v="7822.2032636355034"/>
    <n v="7822.2032636355034"/>
  </r>
  <r>
    <x v="1"/>
    <x v="1"/>
    <x v="2"/>
    <s v="Konventionel"/>
    <x v="1"/>
    <s v="Halm"/>
    <n v="77.490326717192659"/>
    <n v="358.93519335403641"/>
    <n v="105.94074519075649"/>
    <n v="105.94074519075649"/>
  </r>
  <r>
    <x v="1"/>
    <x v="2"/>
    <x v="2"/>
    <s v="Konventionel"/>
    <x v="1"/>
    <s v="Halm"/>
    <n v="312.99553463338594"/>
    <n v="1652.6164228642779"/>
    <n v="877.5393205409315"/>
    <n v="877.5393205409315"/>
  </r>
  <r>
    <x v="1"/>
    <x v="3"/>
    <x v="2"/>
    <s v="Konventionel"/>
    <x v="1"/>
    <s v="Græs"/>
    <n v="920.3380180542913"/>
    <n v="54800.606947024717"/>
    <n v="0"/>
    <n v="54800.606947024717"/>
  </r>
  <r>
    <x v="1"/>
    <x v="4"/>
    <x v="2"/>
    <s v="Konventionel"/>
    <x v="1"/>
    <s v="Grøntsager"/>
    <n v="17.430205363670229"/>
    <n v="434.01211355538874"/>
    <n v="0"/>
    <n v="434.01211355538874"/>
  </r>
  <r>
    <x v="1"/>
    <x v="5"/>
    <x v="2"/>
    <s v="Konventionel"/>
    <x v="1"/>
    <s v="Kartofler"/>
    <n v="29.632944372576752"/>
    <n v="1510.2453617693561"/>
    <n v="0"/>
    <n v="1510.2453617693561"/>
  </r>
  <r>
    <x v="1"/>
    <x v="6"/>
    <x v="2"/>
    <s v="Konventionel"/>
    <x v="1"/>
    <s v="Roer"/>
    <n v="82.788212115314806"/>
    <n v="8072.2213747302758"/>
    <n v="0"/>
    <n v="8072.2213747302758"/>
  </r>
  <r>
    <x v="1"/>
    <x v="7"/>
    <x v="2"/>
    <s v="Konventionel"/>
    <x v="1"/>
    <s v="Majs"/>
    <n v="88.265009747186056"/>
    <n v="4714.4107006167014"/>
    <n v="0"/>
    <n v="4714.4107006167014"/>
  </r>
  <r>
    <x v="1"/>
    <x v="8"/>
    <x v="2"/>
    <s v="Konventionel"/>
    <x v="1"/>
    <s v="Frugt"/>
    <n v="19.040577025374667"/>
    <n v="193.98539873451713"/>
    <n v="0"/>
    <n v="193.98539873451713"/>
  </r>
  <r>
    <x v="1"/>
    <x v="9"/>
    <x v="2"/>
    <s v="Konventionel"/>
    <x v="1"/>
    <s v="Øvrige"/>
    <n v="135.9589548638036"/>
    <n v="4861.2304062647327"/>
    <n v="0"/>
    <n v="4861.2304062647327"/>
  </r>
  <r>
    <x v="1"/>
    <x v="10"/>
    <x v="2"/>
    <s v="Konventionel"/>
    <x v="1"/>
    <s v="Halm"/>
    <n v="987.0555648996924"/>
    <n v="16924.679434482088"/>
    <n v="2795.3413597959288"/>
    <n v="2795.3413597959288"/>
  </r>
  <r>
    <x v="1"/>
    <x v="11"/>
    <x v="2"/>
    <s v="Konventionel"/>
    <x v="1"/>
    <s v="Juletræer"/>
    <n v="29.836475845762994"/>
    <n v="1790.1885507457796"/>
    <n v="0"/>
    <n v="1790.1885507457796"/>
  </r>
  <r>
    <x v="1"/>
    <x v="12"/>
    <x v="2"/>
    <s v="Konventionel"/>
    <x v="1"/>
    <s v="Pil &amp; poppel"/>
    <n v="63.324145367128274"/>
    <n v="1853.3896205013152"/>
    <n v="0"/>
    <n v="1853.3896205013152"/>
  </r>
  <r>
    <x v="1"/>
    <x v="13"/>
    <x v="2"/>
    <s v="Konventionel"/>
    <x v="1"/>
    <s v="Græs"/>
    <n v="1835.2260780031424"/>
    <n v="30369.321138796004"/>
    <n v="0"/>
    <n v="30369.321138796004"/>
  </r>
  <r>
    <x v="1"/>
    <x v="0"/>
    <x v="0"/>
    <s v="Økologisk"/>
    <x v="1"/>
    <s v="Halm"/>
    <n v="424.7131637222576"/>
    <n v="2393.7003792651931"/>
    <n v="781.29781954121086"/>
    <n v="781.29781954121086"/>
  </r>
  <r>
    <x v="1"/>
    <x v="1"/>
    <x v="0"/>
    <s v="Økologisk"/>
    <x v="1"/>
    <s v="Halm"/>
    <n v="11.484922843296186"/>
    <n v="30.322952687784319"/>
    <n v="9.0022400938663694"/>
    <n v="9.0022400938663694"/>
  </r>
  <r>
    <x v="1"/>
    <x v="2"/>
    <x v="0"/>
    <s v="Økologisk"/>
    <x v="1"/>
    <s v="Halm"/>
    <n v="46.389397462214085"/>
    <n v="134.71481023026973"/>
    <n v="71.951853718038222"/>
    <n v="71.951853718038222"/>
  </r>
  <r>
    <x v="1"/>
    <x v="3"/>
    <x v="0"/>
    <s v="Økologisk"/>
    <x v="1"/>
    <s v="Græs"/>
    <n v="136.4042658599414"/>
    <n v="6335.2033729641935"/>
    <n v="0"/>
    <n v="6335.2033729641935"/>
  </r>
  <r>
    <x v="1"/>
    <x v="4"/>
    <x v="0"/>
    <s v="Økologisk"/>
    <x v="1"/>
    <s v="Grøntsager"/>
    <n v="2.5833490736869646"/>
    <n v="36.665473402839091"/>
    <n v="0"/>
    <n v="36.665473402839091"/>
  </r>
  <r>
    <x v="1"/>
    <x v="5"/>
    <x v="0"/>
    <s v="Økologisk"/>
    <x v="1"/>
    <s v="Kartofler"/>
    <n v="4.3919298595914027"/>
    <n v="127.58598070016447"/>
    <n v="0"/>
    <n v="127.58598070016447"/>
  </r>
  <r>
    <x v="1"/>
    <x v="6"/>
    <x v="0"/>
    <s v="Økologisk"/>
    <x v="1"/>
    <s v="Roer"/>
    <n v="12.270128011576354"/>
    <n v="681.94368054022107"/>
    <n v="0"/>
    <n v="681.94368054022107"/>
  </r>
  <r>
    <x v="1"/>
    <x v="7"/>
    <x v="0"/>
    <s v="Økologisk"/>
    <x v="1"/>
    <s v="Majs"/>
    <n v="13.0818499502378"/>
    <n v="579.94404871994413"/>
    <n v="0"/>
    <n v="579.94404871994413"/>
  </r>
  <r>
    <x v="1"/>
    <x v="8"/>
    <x v="0"/>
    <s v="Økologisk"/>
    <x v="1"/>
    <s v="Frugt"/>
    <n v="2.8220239517940748"/>
    <n v="16.38794461190048"/>
    <n v="0"/>
    <n v="16.38794461190048"/>
  </r>
  <r>
    <x v="1"/>
    <x v="9"/>
    <x v="0"/>
    <s v="Økologisk"/>
    <x v="1"/>
    <s v="Øvrige"/>
    <n v="20.15061973044347"/>
    <n v="410.6782013659747"/>
    <n v="0"/>
    <n v="410.6782013659747"/>
  </r>
  <r>
    <x v="1"/>
    <x v="10"/>
    <x v="0"/>
    <s v="Økologisk"/>
    <x v="1"/>
    <s v="Halm"/>
    <n v="146.29254366537521"/>
    <n v="1429.8019900252987"/>
    <n v="237.5321602645615"/>
    <n v="237.5321602645615"/>
  </r>
  <r>
    <x v="1"/>
    <x v="11"/>
    <x v="0"/>
    <s v="Økologisk"/>
    <x v="1"/>
    <s v="Juletræer"/>
    <n v="4.4220954733493292"/>
    <n v="151.23566518854705"/>
    <n v="0"/>
    <n v="151.23566518854705"/>
  </r>
  <r>
    <x v="1"/>
    <x v="12"/>
    <x v="0"/>
    <s v="Økologisk"/>
    <x v="1"/>
    <s v="Pil &amp; poppel"/>
    <n v="9.3853382024492209"/>
    <n v="156.57491049939676"/>
    <n v="0"/>
    <n v="156.57491049939676"/>
  </r>
  <r>
    <x v="1"/>
    <x v="13"/>
    <x v="0"/>
    <s v="Økologisk"/>
    <x v="1"/>
    <s v="Græs"/>
    <n v="274.12224772100956"/>
    <n v="4536.1749552872661"/>
    <n v="0"/>
    <n v="4536.1749552872661"/>
  </r>
  <r>
    <x v="1"/>
    <x v="0"/>
    <x v="1"/>
    <s v="Økologisk"/>
    <x v="1"/>
    <s v="Halm"/>
    <n v="468.91589228895612"/>
    <n v="2642.828725576248"/>
    <n v="857.59792144949267"/>
    <n v="857.59792144949267"/>
  </r>
  <r>
    <x v="1"/>
    <x v="1"/>
    <x v="1"/>
    <s v="Økologisk"/>
    <x v="1"/>
    <s v="Halm"/>
    <n v="12.680235280995165"/>
    <n v="33.478864398294675"/>
    <n v="9.8813822332469243"/>
    <n v="9.8813822332469243"/>
  </r>
  <r>
    <x v="1"/>
    <x v="2"/>
    <x v="1"/>
    <s v="Økologisk"/>
    <x v="1"/>
    <s v="Halm"/>
    <n v="51.217451121826805"/>
    <n v="148.73547805778509"/>
    <n v="78.978538848683883"/>
    <n v="78.978538848683883"/>
  </r>
  <r>
    <x v="1"/>
    <x v="3"/>
    <x v="1"/>
    <s v="Økologisk"/>
    <x v="1"/>
    <s v="Græs"/>
    <n v="150.60076659070219"/>
    <n v="6994.5501957838824"/>
    <n v="0"/>
    <n v="6994.5501957838824"/>
  </r>
  <r>
    <x v="1"/>
    <x v="4"/>
    <x v="1"/>
    <s v="Økologisk"/>
    <x v="1"/>
    <s v="Grøntsager"/>
    <n v="2.8522154231460375"/>
    <n v="40.481493500711707"/>
    <n v="0"/>
    <n v="40.481493500711707"/>
  </r>
  <r>
    <x v="1"/>
    <x v="5"/>
    <x v="1"/>
    <s v="Økologisk"/>
    <x v="1"/>
    <s v="Kartofler"/>
    <n v="4.8490272609671052"/>
    <n v="140.86470374321448"/>
    <n v="0"/>
    <n v="140.86470374321448"/>
  </r>
  <r>
    <x v="1"/>
    <x v="6"/>
    <x v="1"/>
    <s v="Økologisk"/>
    <x v="1"/>
    <s v="Roer"/>
    <n v="13.547161982506061"/>
    <n v="752.91810277029674"/>
    <n v="0"/>
    <n v="752.91810277029674"/>
  </r>
  <r>
    <x v="1"/>
    <x v="7"/>
    <x v="1"/>
    <s v="Økologisk"/>
    <x v="1"/>
    <s v="Majs"/>
    <n v="14.443365231357719"/>
    <n v="640.30268970194118"/>
    <n v="0"/>
    <n v="640.30268970194118"/>
  </r>
  <r>
    <x v="1"/>
    <x v="8"/>
    <x v="1"/>
    <s v="Økologisk"/>
    <x v="1"/>
    <s v="Frugt"/>
    <n v="3.1157307859704"/>
    <n v="18.093547191055869"/>
    <n v="0"/>
    <n v="18.093547191055869"/>
  </r>
  <r>
    <x v="1"/>
    <x v="9"/>
    <x v="1"/>
    <s v="Økologisk"/>
    <x v="1"/>
    <s v="Øvrige"/>
    <n v="22.247828977713322"/>
    <n v="453.42021789341965"/>
    <n v="0"/>
    <n v="453.42021789341965"/>
  </r>
  <r>
    <x v="1"/>
    <x v="10"/>
    <x v="1"/>
    <s v="Økologisk"/>
    <x v="1"/>
    <s v="Halm"/>
    <n v="161.51818334722239"/>
    <n v="1578.6110090707834"/>
    <n v="260.72911228642022"/>
    <n v="260.72911228642022"/>
  </r>
  <r>
    <x v="1"/>
    <x v="11"/>
    <x v="1"/>
    <s v="Økologisk"/>
    <x v="1"/>
    <s v="Juletræer"/>
    <n v="4.8823324111248541"/>
    <n v="166.97576846046999"/>
    <n v="0"/>
    <n v="166.97576846046999"/>
  </r>
  <r>
    <x v="1"/>
    <x v="12"/>
    <x v="1"/>
    <s v="Økologisk"/>
    <x v="1"/>
    <s v="Pil &amp; poppel"/>
    <n v="10.362132878257356"/>
    <n v="172.87070460312273"/>
    <n v="0"/>
    <n v="172.87070460312273"/>
  </r>
  <r>
    <x v="1"/>
    <x v="13"/>
    <x v="1"/>
    <s v="Økologisk"/>
    <x v="1"/>
    <s v="Græs"/>
    <n v="300.30972185505971"/>
    <n v="4969.5252772575286"/>
    <n v="0"/>
    <n v="4969.5252772575286"/>
  </r>
  <r>
    <x v="1"/>
    <x v="0"/>
    <x v="2"/>
    <s v="Økologisk"/>
    <x v="1"/>
    <s v="Halm"/>
    <n v="607.85393444864678"/>
    <n v="3425.8890887099515"/>
    <n v="1111.7010092863791"/>
    <n v="1111.7010092863791"/>
  </r>
  <r>
    <x v="1"/>
    <x v="1"/>
    <x v="2"/>
    <s v="Økologisk"/>
    <x v="1"/>
    <s v="Halm"/>
    <n v="16.437342030919655"/>
    <n v="43.398527923715307"/>
    <n v="12.809199191246012"/>
    <n v="12.809199191246012"/>
  </r>
  <r>
    <x v="1"/>
    <x v="2"/>
    <x v="2"/>
    <s v="Økologisk"/>
    <x v="1"/>
    <s v="Halm"/>
    <n v="66.392992194960655"/>
    <n v="192.80524933416578"/>
    <n v="102.37958739644202"/>
    <n v="102.37958739644202"/>
  </r>
  <r>
    <x v="1"/>
    <x v="3"/>
    <x v="2"/>
    <s v="Økologisk"/>
    <x v="1"/>
    <s v="Græs"/>
    <n v="195.22321595091026"/>
    <n v="9067.0095130531809"/>
    <n v="0"/>
    <n v="9067.0095130531809"/>
  </r>
  <r>
    <x v="1"/>
    <x v="4"/>
    <x v="2"/>
    <s v="Økologisk"/>
    <x v="1"/>
    <s v="Grøntsager"/>
    <n v="3.697316289263382"/>
    <n v="52.476010093515178"/>
    <n v="0"/>
    <n v="52.476010093515178"/>
  </r>
  <r>
    <x v="1"/>
    <x v="5"/>
    <x v="2"/>
    <s v="Økologisk"/>
    <x v="1"/>
    <s v="Kartofler"/>
    <n v="6.2857760790314314"/>
    <n v="182.60239374120394"/>
    <n v="0"/>
    <n v="182.60239374120394"/>
  </r>
  <r>
    <x v="1"/>
    <x v="6"/>
    <x v="2"/>
    <s v="Økologisk"/>
    <x v="1"/>
    <s v="Roer"/>
    <n v="17.561135903248598"/>
    <n v="976.00494803557001"/>
    <n v="0"/>
    <n v="976.00494803557001"/>
  </r>
  <r>
    <x v="1"/>
    <x v="7"/>
    <x v="2"/>
    <s v="Økologisk"/>
    <x v="1"/>
    <s v="Majs"/>
    <n v="18.722880855463707"/>
    <n v="830.02200516918299"/>
    <n v="0"/>
    <n v="830.02200516918299"/>
  </r>
  <r>
    <x v="1"/>
    <x v="8"/>
    <x v="2"/>
    <s v="Økologisk"/>
    <x v="1"/>
    <s v="Frugt"/>
    <n v="4.0389102781097774"/>
    <n v="23.454598210627974"/>
    <n v="0"/>
    <n v="23.454598210627974"/>
  </r>
  <r>
    <x v="1"/>
    <x v="9"/>
    <x v="2"/>
    <s v="Økologisk"/>
    <x v="1"/>
    <s v="Øvrige"/>
    <n v="28.839778304443193"/>
    <n v="587.76694912109951"/>
    <n v="0"/>
    <n v="587.76694912109951"/>
  </r>
  <r>
    <x v="1"/>
    <x v="10"/>
    <x v="2"/>
    <s v="Økologisk"/>
    <x v="1"/>
    <s v="Halm"/>
    <n v="209.3754228575105"/>
    <n v="2046.3476043510154"/>
    <n v="337.98218259350773"/>
    <n v="337.98218259350773"/>
  </r>
  <r>
    <x v="1"/>
    <x v="11"/>
    <x v="2"/>
    <s v="Økologisk"/>
    <x v="1"/>
    <s v="Juletræer"/>
    <n v="6.3289494218285141"/>
    <n v="216.45007022653519"/>
    <n v="0"/>
    <n v="216.45007022653519"/>
  </r>
  <r>
    <x v="1"/>
    <x v="12"/>
    <x v="2"/>
    <s v="Økologisk"/>
    <x v="1"/>
    <s v="Pil &amp; poppel"/>
    <n v="13.432394471815089"/>
    <n v="224.09165411515903"/>
    <n v="0"/>
    <n v="224.09165411515903"/>
  </r>
  <r>
    <x v="1"/>
    <x v="13"/>
    <x v="2"/>
    <s v="Økologisk"/>
    <x v="1"/>
    <s v="Græs"/>
    <n v="389.29038018248474"/>
    <n v="6441.9772112597584"/>
    <n v="0"/>
    <n v="6441.9772112597584"/>
  </r>
  <r>
    <x v="1"/>
    <x v="0"/>
    <x v="0"/>
    <s v="Konventionel"/>
    <x v="2"/>
    <s v="Halm"/>
    <n v="1774.9136894308049"/>
    <n v="17419.002948073918"/>
    <n v="5685.5190147439571"/>
    <n v="5685.5190147439571"/>
  </r>
  <r>
    <x v="1"/>
    <x v="1"/>
    <x v="0"/>
    <s v="Konventionel"/>
    <x v="2"/>
    <s v="Halm"/>
    <n v="32.238285550267712"/>
    <n v="174.21569511364672"/>
    <n v="51.720936667380549"/>
    <n v="51.720936667380549"/>
  </r>
  <r>
    <x v="1"/>
    <x v="2"/>
    <x v="0"/>
    <s v="Konventionel"/>
    <x v="2"/>
    <s v="Halm"/>
    <n v="157.47648143468331"/>
    <n v="970.05512563764921"/>
    <n v="518.11129287869664"/>
    <n v="518.11129287869664"/>
  </r>
  <r>
    <x v="1"/>
    <x v="3"/>
    <x v="0"/>
    <s v="Konventionel"/>
    <x v="2"/>
    <s v="Græs"/>
    <n v="1157.2294466868368"/>
    <n v="80390.415202441189"/>
    <n v="0"/>
    <n v="80390.415202441189"/>
  </r>
  <r>
    <x v="1"/>
    <x v="4"/>
    <x v="0"/>
    <s v="Konventionel"/>
    <x v="2"/>
    <s v="Grøntsager"/>
    <n v="5.4466148542378683"/>
    <n v="158.22416151561006"/>
    <n v="0"/>
    <n v="158.22416151561006"/>
  </r>
  <r>
    <x v="1"/>
    <x v="5"/>
    <x v="0"/>
    <s v="Konventionel"/>
    <x v="2"/>
    <s v="Kartofler"/>
    <n v="31.045054930295858"/>
    <n v="1845.915969818406"/>
    <n v="0"/>
    <n v="1845.915969818406"/>
  </r>
  <r>
    <x v="1"/>
    <x v="6"/>
    <x v="0"/>
    <s v="Konventionel"/>
    <x v="2"/>
    <s v="Roer"/>
    <n v="35.751038145066026"/>
    <n v="4066.8673481557489"/>
    <n v="0"/>
    <n v="4066.8673481557489"/>
  </r>
  <r>
    <x v="1"/>
    <x v="7"/>
    <x v="0"/>
    <s v="Konventionel"/>
    <x v="2"/>
    <s v="Majs"/>
    <n v="36.720874835279488"/>
    <n v="2288.2245944856063"/>
    <n v="0"/>
    <n v="2288.2245944856063"/>
  </r>
  <r>
    <x v="1"/>
    <x v="8"/>
    <x v="0"/>
    <s v="Konventionel"/>
    <x v="2"/>
    <s v="Frugt"/>
    <n v="13.325104800010324"/>
    <n v="158.38219565292275"/>
    <n v="0"/>
    <n v="158.38219565292275"/>
  </r>
  <r>
    <x v="1"/>
    <x v="9"/>
    <x v="0"/>
    <s v="Konventionel"/>
    <x v="2"/>
    <s v="Øvrige"/>
    <n v="95.147711103802934"/>
    <n v="3969.0221549750004"/>
    <n v="0"/>
    <n v="3969.0221549750004"/>
  </r>
  <r>
    <x v="1"/>
    <x v="10"/>
    <x v="0"/>
    <s v="Konventionel"/>
    <x v="2"/>
    <s v="Halm"/>
    <n v="890.40917113569958"/>
    <n v="17812.105731467855"/>
    <n v="2959.1146066186934"/>
    <n v="2959.1146066186934"/>
  </r>
  <r>
    <x v="1"/>
    <x v="11"/>
    <x v="0"/>
    <s v="Konventionel"/>
    <x v="2"/>
    <s v="Juletræer"/>
    <n v="20.880363393290878"/>
    <n v="1461.6254375303615"/>
    <n v="0"/>
    <n v="1461.6254375303615"/>
  </r>
  <r>
    <x v="1"/>
    <x v="12"/>
    <x v="0"/>
    <s v="Konventionel"/>
    <x v="2"/>
    <s v="Pil &amp; poppel"/>
    <n v="63.693862522419288"/>
    <n v="2174.912378814317"/>
    <n v="0"/>
    <n v="2174.912378814317"/>
  </r>
  <r>
    <x v="1"/>
    <x v="13"/>
    <x v="0"/>
    <s v="Konventionel"/>
    <x v="2"/>
    <s v="Græs"/>
    <n v="2434.2808314981853"/>
    <n v="46996.225732903964"/>
    <n v="0"/>
    <n v="46996.225732903964"/>
  </r>
  <r>
    <x v="1"/>
    <x v="0"/>
    <x v="1"/>
    <s v="Konventionel"/>
    <x v="2"/>
    <s v="Halm"/>
    <n v="1618.1689827208891"/>
    <n v="15880.710396422801"/>
    <n v="5153.2905236391998"/>
    <n v="5153.2905236391998"/>
  </r>
  <r>
    <x v="1"/>
    <x v="1"/>
    <x v="1"/>
    <s v="Konventionel"/>
    <x v="2"/>
    <s v="Halm"/>
    <n v="29.391284795528069"/>
    <n v="158.8305030350337"/>
    <n v="46.879275596576036"/>
    <n v="46.879275596576036"/>
  </r>
  <r>
    <x v="1"/>
    <x v="2"/>
    <x v="1"/>
    <s v="Konventionel"/>
    <x v="2"/>
    <s v="Halm"/>
    <n v="143.56954892119037"/>
    <n v="884.38842135453274"/>
    <n v="469.61025173925685"/>
    <n v="469.61025173925685"/>
  </r>
  <r>
    <x v="1"/>
    <x v="3"/>
    <x v="1"/>
    <s v="Konventionel"/>
    <x v="2"/>
    <s v="Græs"/>
    <n v="1055.0331588914703"/>
    <n v="73291.04348187265"/>
    <n v="0"/>
    <n v="73291.04348187265"/>
  </r>
  <r>
    <x v="1"/>
    <x v="4"/>
    <x v="1"/>
    <s v="Konventionel"/>
    <x v="2"/>
    <s v="Grøntsager"/>
    <n v="4.9656179173315067"/>
    <n v="144.25120049848027"/>
    <n v="0"/>
    <n v="144.25120049848027"/>
  </r>
  <r>
    <x v="1"/>
    <x v="5"/>
    <x v="1"/>
    <s v="Konventionel"/>
    <x v="2"/>
    <s v="Kartofler"/>
    <n v="28.303429769129298"/>
    <n v="1682.9009685688955"/>
    <n v="0"/>
    <n v="1682.9009685688955"/>
  </r>
  <r>
    <x v="1"/>
    <x v="6"/>
    <x v="1"/>
    <s v="Konventionel"/>
    <x v="2"/>
    <s v="Roer"/>
    <n v="32.593822094509534"/>
    <n v="3707.7175294852809"/>
    <n v="0"/>
    <n v="3707.7175294852809"/>
  </r>
  <r>
    <x v="1"/>
    <x v="7"/>
    <x v="1"/>
    <s v="Konventionel"/>
    <x v="2"/>
    <s v="Majs"/>
    <n v="33.478011370728012"/>
    <n v="2086.1488005555452"/>
    <n v="0"/>
    <n v="2086.1488005555452"/>
  </r>
  <r>
    <x v="1"/>
    <x v="8"/>
    <x v="1"/>
    <s v="Konventionel"/>
    <x v="2"/>
    <s v="Frugt"/>
    <n v="12.148349188628277"/>
    <n v="144.3952784560357"/>
    <n v="0"/>
    <n v="144.3952784560357"/>
  </r>
  <r>
    <x v="1"/>
    <x v="9"/>
    <x v="1"/>
    <s v="Konventionel"/>
    <x v="2"/>
    <s v="Øvrige"/>
    <n v="86.745105298295798"/>
    <n v="3618.5131599115721"/>
    <n v="0"/>
    <n v="3618.5131599115721"/>
  </r>
  <r>
    <x v="1"/>
    <x v="10"/>
    <x v="1"/>
    <s v="Konventionel"/>
    <x v="2"/>
    <s v="Halm"/>
    <n v="811.77609437677165"/>
    <n v="16239.097812609396"/>
    <n v="2682.1082158208537"/>
    <n v="2682.1082158208537"/>
  </r>
  <r>
    <x v="1"/>
    <x v="11"/>
    <x v="1"/>
    <s v="Konventionel"/>
    <x v="2"/>
    <s v="Juletræer"/>
    <n v="19.036394046743428"/>
    <n v="1332.5475832720401"/>
    <n v="0"/>
    <n v="1332.5475832720401"/>
  </r>
  <r>
    <x v="1"/>
    <x v="12"/>
    <x v="1"/>
    <s v="Konventionel"/>
    <x v="2"/>
    <s v="Pil &amp; poppel"/>
    <n v="58.068982924189378"/>
    <n v="1982.843319362564"/>
    <n v="0"/>
    <n v="1982.843319362564"/>
  </r>
  <r>
    <x v="1"/>
    <x v="13"/>
    <x v="1"/>
    <s v="Konventionel"/>
    <x v="2"/>
    <s v="Græs"/>
    <n v="2019.4268817975167"/>
    <n v="38987.055379982856"/>
    <n v="0"/>
    <n v="38987.055379982856"/>
  </r>
  <r>
    <x v="1"/>
    <x v="0"/>
    <x v="2"/>
    <s v="Konventionel"/>
    <x v="2"/>
    <s v="Halm"/>
    <n v="1543.3403592424663"/>
    <n v="15146.342285605564"/>
    <n v="4914.9880716790058"/>
    <n v="4914.9880716790058"/>
  </r>
  <r>
    <x v="1"/>
    <x v="1"/>
    <x v="2"/>
    <s v="Konventionel"/>
    <x v="2"/>
    <s v="Halm"/>
    <n v="28.032150238509427"/>
    <n v="151.48573988890496"/>
    <n v="44.711447823323965"/>
    <n v="44.711447823323965"/>
  </r>
  <r>
    <x v="1"/>
    <x v="2"/>
    <x v="2"/>
    <s v="Konventionel"/>
    <x v="2"/>
    <s v="Halm"/>
    <n v="136.93049463581738"/>
    <n v="843.49184695663507"/>
    <n v="447.89417073397317"/>
    <n v="447.89417073397317"/>
  </r>
  <r>
    <x v="1"/>
    <x v="3"/>
    <x v="2"/>
    <s v="Konventionel"/>
    <x v="2"/>
    <s v="Græs"/>
    <n v="1006.2454983646971"/>
    <n v="69901.862280398782"/>
    <n v="0"/>
    <n v="69901.862280398782"/>
  </r>
  <r>
    <x v="1"/>
    <x v="4"/>
    <x v="2"/>
    <s v="Konventionel"/>
    <x v="2"/>
    <s v="Grøntsager"/>
    <n v="4.7359939673971017"/>
    <n v="137.5806247528858"/>
    <n v="0"/>
    <n v="137.5806247528858"/>
  </r>
  <r>
    <x v="1"/>
    <x v="5"/>
    <x v="2"/>
    <s v="Konventionel"/>
    <x v="2"/>
    <s v="Kartofler"/>
    <n v="26.994600646857421"/>
    <n v="1605.078958461663"/>
    <n v="0"/>
    <n v="1605.078958461663"/>
  </r>
  <r>
    <x v="1"/>
    <x v="6"/>
    <x v="2"/>
    <s v="Konventionel"/>
    <x v="2"/>
    <s v="Roer"/>
    <n v="31.086593327133372"/>
    <n v="3536.2623836131297"/>
    <n v="0"/>
    <n v="3536.2623836131297"/>
  </r>
  <r>
    <x v="1"/>
    <x v="7"/>
    <x v="2"/>
    <s v="Konventionel"/>
    <x v="2"/>
    <s v="Majs"/>
    <n v="31.92989523797759"/>
    <n v="1989.6794918593355"/>
    <n v="0"/>
    <n v="1989.6794918593355"/>
  </r>
  <r>
    <x v="1"/>
    <x v="8"/>
    <x v="2"/>
    <s v="Konventionel"/>
    <x v="2"/>
    <s v="Frugt"/>
    <n v="11.586575815743734"/>
    <n v="137.71804014593005"/>
    <n v="0"/>
    <n v="137.71804014593005"/>
  </r>
  <r>
    <x v="1"/>
    <x v="9"/>
    <x v="2"/>
    <s v="Konventionel"/>
    <x v="2"/>
    <s v="Øvrige"/>
    <n v="82.733770949241659"/>
    <n v="3451.1830715919614"/>
    <n v="0"/>
    <n v="3451.1830715919614"/>
  </r>
  <r>
    <x v="1"/>
    <x v="10"/>
    <x v="2"/>
    <s v="Konventionel"/>
    <x v="2"/>
    <s v="Halm"/>
    <n v="774.23731544605391"/>
    <n v="15488.156873297978"/>
    <n v="2558.0800902337614"/>
    <n v="2558.0800902337614"/>
  </r>
  <r>
    <x v="1"/>
    <x v="11"/>
    <x v="2"/>
    <s v="Konventionel"/>
    <x v="2"/>
    <s v="Juletræer"/>
    <n v="18.156098368281306"/>
    <n v="1270.9268857796915"/>
    <n v="0"/>
    <n v="1270.9268857796915"/>
  </r>
  <r>
    <x v="1"/>
    <x v="12"/>
    <x v="2"/>
    <s v="Konventionel"/>
    <x v="2"/>
    <s v="Pil &amp; poppel"/>
    <n v="55.383712037521661"/>
    <n v="1891.1511427446421"/>
    <n v="0"/>
    <n v="1891.1511427446421"/>
  </r>
  <r>
    <x v="1"/>
    <x v="13"/>
    <x v="2"/>
    <s v="Konventionel"/>
    <x v="2"/>
    <s v="Græs"/>
    <n v="1926.0429797490767"/>
    <n v="37184.185767035677"/>
    <n v="0"/>
    <n v="37184.185767035677"/>
  </r>
  <r>
    <x v="1"/>
    <x v="0"/>
    <x v="0"/>
    <s v="Økologisk"/>
    <x v="2"/>
    <s v="Halm"/>
    <n v="226.94315205364711"/>
    <n v="1492.2374631505099"/>
    <n v="487.06257737866866"/>
    <n v="487.06257737866866"/>
  </r>
  <r>
    <x v="1"/>
    <x v="1"/>
    <x v="0"/>
    <s v="Økologisk"/>
    <x v="2"/>
    <s v="Halm"/>
    <n v="4.1220360083703804"/>
    <n v="12.697025075863115"/>
    <n v="3.7694768510062779"/>
    <n v="3.7694768510062779"/>
  </r>
  <r>
    <x v="1"/>
    <x v="2"/>
    <x v="0"/>
    <s v="Økologisk"/>
    <x v="2"/>
    <s v="Halm"/>
    <n v="20.135181380321381"/>
    <n v="68.217994516528833"/>
    <n v="36.435571961250645"/>
    <n v="36.435571961250645"/>
  </r>
  <r>
    <x v="1"/>
    <x v="3"/>
    <x v="0"/>
    <s v="Økologisk"/>
    <x v="2"/>
    <s v="Græs"/>
    <n v="147.96510942716867"/>
    <n v="8017.4953729155113"/>
    <n v="0"/>
    <n v="8017.4953729155113"/>
  </r>
  <r>
    <x v="1"/>
    <x v="4"/>
    <x v="0"/>
    <s v="Økologisk"/>
    <x v="2"/>
    <s v="Grøntsager"/>
    <n v="0.69641242298342532"/>
    <n v="11.531545105971047"/>
    <n v="0"/>
    <n v="11.531545105971047"/>
  </r>
  <r>
    <x v="1"/>
    <x v="5"/>
    <x v="0"/>
    <s v="Økologisk"/>
    <x v="2"/>
    <s v="Kartofler"/>
    <n v="3.9694677344109963"/>
    <n v="134.53231835071648"/>
    <n v="0"/>
    <n v="134.53231835071648"/>
  </r>
  <r>
    <x v="1"/>
    <x v="6"/>
    <x v="0"/>
    <s v="Økologisk"/>
    <x v="2"/>
    <s v="Roer"/>
    <n v="4.5711818744455988"/>
    <n v="296.39761599009711"/>
    <n v="0"/>
    <n v="296.39761599009711"/>
  </r>
  <r>
    <x v="1"/>
    <x v="7"/>
    <x v="0"/>
    <s v="Økologisk"/>
    <x v="2"/>
    <s v="Majs"/>
    <n v="4.6951866622642671"/>
    <n v="242.83796518803848"/>
    <n v="0"/>
    <n v="242.83796518803848"/>
  </r>
  <r>
    <x v="1"/>
    <x v="8"/>
    <x v="0"/>
    <s v="Økologisk"/>
    <x v="2"/>
    <s v="Frugt"/>
    <n v="1.7037680777194875"/>
    <n v="11.543062801911082"/>
    <n v="0"/>
    <n v="11.543062801911082"/>
  </r>
  <r>
    <x v="1"/>
    <x v="9"/>
    <x v="0"/>
    <s v="Økologisk"/>
    <x v="2"/>
    <s v="Øvrige"/>
    <n v="12.1657304223686"/>
    <n v="289.2665542877732"/>
    <n v="0"/>
    <n v="289.2665542877732"/>
  </r>
  <r>
    <x v="1"/>
    <x v="10"/>
    <x v="0"/>
    <s v="Økologisk"/>
    <x v="2"/>
    <s v="Halm"/>
    <n v="113.84906495358277"/>
    <n v="1298.1652025027952"/>
    <n v="215.66341848867819"/>
    <n v="215.66341848867819"/>
  </r>
  <r>
    <x v="1"/>
    <x v="11"/>
    <x v="0"/>
    <s v="Økologisk"/>
    <x v="2"/>
    <s v="Juletræer"/>
    <n v="2.6697948822619382"/>
    <n v="106.52481580225134"/>
    <n v="0"/>
    <n v="106.52481580225134"/>
  </r>
  <r>
    <x v="1"/>
    <x v="12"/>
    <x v="0"/>
    <s v="Økologisk"/>
    <x v="2"/>
    <s v="Pil &amp; poppel"/>
    <n v="8.1439937126999205"/>
    <n v="158.5099264081594"/>
    <n v="0"/>
    <n v="158.5099264081594"/>
  </r>
  <r>
    <x v="1"/>
    <x v="13"/>
    <x v="0"/>
    <s v="Økologisk"/>
    <x v="2"/>
    <s v="Græs"/>
    <n v="311.25083330735572"/>
    <n v="6009.0085878318096"/>
    <n v="0"/>
    <n v="6009.0085878318096"/>
  </r>
  <r>
    <x v="1"/>
    <x v="0"/>
    <x v="1"/>
    <s v="Økologisk"/>
    <x v="2"/>
    <s v="Halm"/>
    <n v="252.54660423967633"/>
    <n v="1660.5898905854829"/>
    <n v="538.86141949498926"/>
    <n v="538.86141949498926"/>
  </r>
  <r>
    <x v="1"/>
    <x v="1"/>
    <x v="1"/>
    <s v="Økologisk"/>
    <x v="2"/>
    <s v="Halm"/>
    <n v="4.5870791299379068"/>
    <n v="14.129488102365134"/>
    <n v="4.1703586787936713"/>
    <n v="4.1703586787936713"/>
  </r>
  <r>
    <x v="1"/>
    <x v="2"/>
    <x v="1"/>
    <s v="Økologisk"/>
    <x v="2"/>
    <s v="Halm"/>
    <n v="22.406808213133761"/>
    <n v="75.914266226097183"/>
    <n v="40.310475366057602"/>
    <n v="40.310475366057602"/>
  </r>
  <r>
    <x v="1"/>
    <x v="3"/>
    <x v="1"/>
    <s v="Økologisk"/>
    <x v="2"/>
    <s v="Græs"/>
    <n v="164.65835427785956"/>
    <n v="8922.0195128799915"/>
    <n v="0"/>
    <n v="8922.0195128799915"/>
  </r>
  <r>
    <x v="1"/>
    <x v="4"/>
    <x v="1"/>
    <s v="Økologisk"/>
    <x v="2"/>
    <s v="Grøntsager"/>
    <n v="0.7749808310286167"/>
    <n v="12.832520090587346"/>
    <n v="0"/>
    <n v="12.832520090587346"/>
  </r>
  <r>
    <x v="1"/>
    <x v="5"/>
    <x v="1"/>
    <s v="Økologisk"/>
    <x v="2"/>
    <s v="Kartofler"/>
    <n v="4.4172982876675793"/>
    <n v="149.71009194378786"/>
    <n v="0"/>
    <n v="149.71009194378786"/>
  </r>
  <r>
    <x v="1"/>
    <x v="6"/>
    <x v="1"/>
    <s v="Økologisk"/>
    <x v="2"/>
    <s v="Roer"/>
    <n v="5.0868970898945518"/>
    <n v="329.8368368715519"/>
    <n v="0"/>
    <n v="329.8368368715519"/>
  </r>
  <r>
    <x v="1"/>
    <x v="7"/>
    <x v="1"/>
    <s v="Økologisk"/>
    <x v="2"/>
    <s v="Majs"/>
    <n v="5.2248919480326963"/>
    <n v="270.23465098525884"/>
    <n v="0"/>
    <n v="270.23465098525884"/>
  </r>
  <r>
    <x v="1"/>
    <x v="8"/>
    <x v="1"/>
    <s v="Økologisk"/>
    <x v="2"/>
    <s v="Frugt"/>
    <n v="1.8959851334853384"/>
    <n v="12.845337199065836"/>
    <n v="0"/>
    <n v="12.845337199065836"/>
  </r>
  <r>
    <x v="1"/>
    <x v="9"/>
    <x v="1"/>
    <s v="Økologisk"/>
    <x v="2"/>
    <s v="Øvrige"/>
    <n v="13.538253428057727"/>
    <n v="321.90125740485024"/>
    <n v="0"/>
    <n v="321.90125740485024"/>
  </r>
  <r>
    <x v="1"/>
    <x v="10"/>
    <x v="1"/>
    <s v="Økologisk"/>
    <x v="2"/>
    <s v="Halm"/>
    <n v="126.69337889117246"/>
    <n v="1444.6226320003389"/>
    <n v="238.59910659816725"/>
    <n v="238.59910659816725"/>
  </r>
  <r>
    <x v="1"/>
    <x v="11"/>
    <x v="1"/>
    <s v="Økologisk"/>
    <x v="2"/>
    <s v="Juletræer"/>
    <n v="2.9709979148096681"/>
    <n v="118.54281680090574"/>
    <n v="0"/>
    <n v="118.54281680090574"/>
  </r>
  <r>
    <x v="1"/>
    <x v="12"/>
    <x v="1"/>
    <s v="Økologisk"/>
    <x v="2"/>
    <s v="Pil &amp; poppel"/>
    <n v="9.0627892425035448"/>
    <n v="176.39282476872751"/>
    <n v="0"/>
    <n v="176.39282476872751"/>
  </r>
  <r>
    <x v="1"/>
    <x v="13"/>
    <x v="1"/>
    <s v="Økologisk"/>
    <x v="2"/>
    <s v="Græs"/>
    <n v="315.17066941348531"/>
    <n v="6084.6849436967468"/>
    <n v="0"/>
    <n v="6084.6849436967468"/>
  </r>
  <r>
    <x v="1"/>
    <x v="0"/>
    <x v="2"/>
    <s v="Økologisk"/>
    <x v="2"/>
    <s v="Halm"/>
    <n v="327.37522771809893"/>
    <n v="2152.6165248330335"/>
    <n v="698.52406230831946"/>
    <n v="698.52406230831946"/>
  </r>
  <r>
    <x v="1"/>
    <x v="1"/>
    <x v="2"/>
    <s v="Økologisk"/>
    <x v="2"/>
    <s v="Halm"/>
    <n v="5.9462136869565443"/>
    <n v="18.316003095658502"/>
    <n v="5.4060205095473508"/>
    <n v="5.4060205095473508"/>
  </r>
  <r>
    <x v="1"/>
    <x v="2"/>
    <x v="2"/>
    <s v="Økologisk"/>
    <x v="2"/>
    <s v="Halm"/>
    <n v="29.045862498506725"/>
    <n v="98.407382144940797"/>
    <n v="52.254319918963553"/>
    <n v="52.254319918963553"/>
  </r>
  <r>
    <x v="1"/>
    <x v="3"/>
    <x v="2"/>
    <s v="Økologisk"/>
    <x v="2"/>
    <s v="Græs"/>
    <n v="213.44601480463271"/>
    <n v="11565.580850029617"/>
    <n v="0"/>
    <n v="11565.580850029617"/>
  </r>
  <r>
    <x v="1"/>
    <x v="4"/>
    <x v="2"/>
    <s v="Økologisk"/>
    <x v="2"/>
    <s v="Grøntsager"/>
    <n v="1.0046047809630216"/>
    <n v="16.634748265576192"/>
    <n v="0"/>
    <n v="16.634748265576192"/>
  </r>
  <r>
    <x v="1"/>
    <x v="5"/>
    <x v="2"/>
    <s v="Økologisk"/>
    <x v="2"/>
    <s v="Kartofler"/>
    <n v="5.7261274099394539"/>
    <n v="194.06863770491017"/>
    <n v="0"/>
    <n v="194.06863770491017"/>
  </r>
  <r>
    <x v="1"/>
    <x v="6"/>
    <x v="2"/>
    <s v="Økologisk"/>
    <x v="2"/>
    <s v="Roer"/>
    <n v="6.594125857270714"/>
    <n v="427.56627001867832"/>
    <n v="0"/>
    <n v="427.56627001867832"/>
  </r>
  <r>
    <x v="1"/>
    <x v="7"/>
    <x v="2"/>
    <s v="Økologisk"/>
    <x v="2"/>
    <s v="Majs"/>
    <n v="6.7730080807831241"/>
    <n v="350.30417720311328"/>
    <n v="0"/>
    <n v="350.30417720311328"/>
  </r>
  <r>
    <x v="1"/>
    <x v="8"/>
    <x v="2"/>
    <s v="Økologisk"/>
    <x v="2"/>
    <s v="Frugt"/>
    <n v="2.4577585063698826"/>
    <n v="16.65136303582608"/>
    <n v="0"/>
    <n v="16.65136303582608"/>
  </r>
  <r>
    <x v="1"/>
    <x v="9"/>
    <x v="2"/>
    <s v="Økologisk"/>
    <x v="2"/>
    <s v="Øvrige"/>
    <n v="17.549587777111867"/>
    <n v="417.27940774702802"/>
    <n v="0"/>
    <n v="417.27940774702802"/>
  </r>
  <r>
    <x v="1"/>
    <x v="10"/>
    <x v="2"/>
    <s v="Økologisk"/>
    <x v="2"/>
    <s v="Halm"/>
    <n v="164.23215782189024"/>
    <n v="1872.6589674078468"/>
    <n v="309.29513818280947"/>
    <n v="309.29513818280947"/>
  </r>
  <r>
    <x v="1"/>
    <x v="11"/>
    <x v="2"/>
    <s v="Økologisk"/>
    <x v="2"/>
    <s v="Juletræer"/>
    <n v="3.8512935932717913"/>
    <n v="153.66661437154448"/>
    <n v="0"/>
    <n v="153.66661437154448"/>
  </r>
  <r>
    <x v="1"/>
    <x v="12"/>
    <x v="2"/>
    <s v="Økologisk"/>
    <x v="2"/>
    <s v="Pil &amp; poppel"/>
    <n v="11.748060129171261"/>
    <n v="228.65736544094307"/>
    <n v="0"/>
    <n v="228.65736544094307"/>
  </r>
  <r>
    <x v="1"/>
    <x v="13"/>
    <x v="2"/>
    <s v="Økologisk"/>
    <x v="2"/>
    <s v="Græs"/>
    <n v="408.55457146192538"/>
    <n v="7887.5545566439314"/>
    <n v="0"/>
    <n v="7887.554556643931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x v="0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x v="0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x v="0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x v="0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x v="0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x v="0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x v="0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x v="0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x v="0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x v="0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x v="0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x v="0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x v="0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x v="0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x v="0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x v="0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x v="0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x v="0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x v="0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x v="0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x v="0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x v="0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x v="0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x v="0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x v="0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x v="0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x v="0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x v="0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x v="0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x v="0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x v="0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x v="0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x v="0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x v="0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x v="0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x v="0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x v="0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x v="0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x v="0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x v="0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x v="0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x v="0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x v="0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x v="0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x v="0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x v="0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x v="0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x v="0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x v="0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x v="0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x v="0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x v="0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x v="0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x v="0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x v="0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x v="0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x v="0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x v="0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x v="0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x v="0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x v="0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x v="0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x v="0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x v="0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x v="0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x v="0"/>
  </r>
</pivotCacheRecords>
</file>

<file path=xl/pivotCache/pivotCacheRecords6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m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  <n v="0"/>
    <x v="0"/>
  </r>
  <r>
    <x v="1"/>
    <m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  <n v="1"/>
    <x v="1"/>
  </r>
  <r>
    <x v="3"/>
    <m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  <n v="0"/>
    <x v="1"/>
  </r>
  <r>
    <x v="4"/>
    <m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  <n v="0"/>
    <x v="0"/>
  </r>
  <r>
    <x v="7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  <n v="0"/>
    <x v="1"/>
  </r>
  <r>
    <x v="9"/>
    <m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  <n v="0"/>
    <x v="0"/>
  </r>
  <r>
    <x v="10"/>
    <m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  <n v="0"/>
    <x v="0"/>
  </r>
  <r>
    <x v="11"/>
    <m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  <n v="1"/>
    <x v="1"/>
  </r>
  <r>
    <x v="12"/>
    <s v="Glycerin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  <n v="0"/>
    <x v="0"/>
  </r>
  <r>
    <x v="14"/>
    <m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  <n v="0"/>
    <x v="1"/>
  </r>
  <r>
    <x v="17"/>
    <s v="Bionedbrydeligt affald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  <n v="0"/>
    <x v="1"/>
  </r>
  <r>
    <x v="18"/>
    <m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  <n v="1"/>
    <x v="1"/>
  </r>
  <r>
    <x v="20"/>
    <m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  <n v="0"/>
    <x v="0"/>
  </r>
  <r>
    <x v="21"/>
    <m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  <n v="0"/>
    <x v="0"/>
  </r>
  <r>
    <x v="23"/>
    <m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  <n v="0"/>
    <x v="1"/>
  </r>
  <r>
    <x v="25"/>
    <m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  <n v="0"/>
    <x v="0"/>
  </r>
  <r>
    <x v="27"/>
    <m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  <n v="0"/>
    <x v="0"/>
  </r>
  <r>
    <x v="28"/>
    <s v="Havbiomasse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  <n v="0"/>
    <x v="0"/>
  </r>
  <r>
    <x v="29"/>
    <m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  <n v="0"/>
    <x v="0"/>
  </r>
  <r>
    <x v="30"/>
    <m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  <n v="0"/>
    <x v="0"/>
  </r>
  <r>
    <x v="31"/>
    <s v="Vedmasse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  <n v="0"/>
    <x v="1"/>
  </r>
  <r>
    <x v="32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  <n v="0"/>
    <x v="0"/>
  </r>
  <r>
    <x v="35"/>
    <m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  <n v="0"/>
    <x v="1"/>
  </r>
  <r>
    <x v="36"/>
    <m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  <n v="0"/>
    <x v="0"/>
  </r>
  <r>
    <x v="37"/>
    <s v="Rapsolie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  <n v="0"/>
    <x v="1"/>
  </r>
  <r>
    <x v="38"/>
    <s v="Græs og urter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  <n v="0"/>
    <x v="0"/>
  </r>
  <r>
    <x v="39"/>
    <m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  <n v="0"/>
    <x v="0"/>
  </r>
  <r>
    <x v="40"/>
    <m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  <n v="0"/>
    <x v="0"/>
  </r>
  <r>
    <x v="42"/>
    <s v="Husdyrgødning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  <n v="0"/>
    <x v="1"/>
  </r>
  <r>
    <x v="43"/>
    <m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  <n v="0"/>
    <x v="0"/>
  </r>
  <r>
    <x v="44"/>
    <s v="Havbiomasse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  <n v="0"/>
    <x v="0"/>
  </r>
  <r>
    <x v="45"/>
    <m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  <n v="0"/>
    <x v="1"/>
  </r>
  <r>
    <x v="47"/>
    <m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  <n v="0"/>
    <x v="0"/>
  </r>
  <r>
    <x v="1"/>
    <s v="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  <n v="1"/>
    <x v="1"/>
  </r>
  <r>
    <x v="3"/>
    <s v="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  <n v="0"/>
    <x v="1"/>
  </r>
  <r>
    <x v="4"/>
    <s v="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  <n v="0"/>
    <x v="0"/>
  </r>
  <r>
    <x v="7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  <n v="0"/>
    <x v="1"/>
  </r>
  <r>
    <x v="9"/>
    <s v="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  <n v="0"/>
    <x v="0"/>
  </r>
  <r>
    <x v="10"/>
    <s v="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  <n v="0"/>
    <x v="0"/>
  </r>
  <r>
    <x v="11"/>
    <s v="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  <n v="1"/>
    <x v="1"/>
  </r>
  <r>
    <x v="12"/>
    <s v="Glycerin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  <n v="0"/>
    <x v="0"/>
  </r>
  <r>
    <x v="14"/>
    <s v="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  <n v="0"/>
    <x v="1"/>
  </r>
  <r>
    <x v="17"/>
    <s v="Bionedbrydeligt affald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  <n v="0"/>
    <x v="1"/>
  </r>
  <r>
    <x v="18"/>
    <s v="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  <n v="0"/>
    <x v="0"/>
  </r>
  <r>
    <x v="20"/>
    <s v="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  <n v="0"/>
    <x v="0"/>
  </r>
  <r>
    <x v="21"/>
    <s v="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  <n v="0"/>
    <x v="0"/>
  </r>
  <r>
    <x v="23"/>
    <s v="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  <n v="0"/>
    <x v="1"/>
  </r>
  <r>
    <x v="25"/>
    <s v="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  <n v="0"/>
    <x v="0"/>
  </r>
  <r>
    <x v="27"/>
    <s v="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  <n v="0"/>
    <x v="0"/>
  </r>
  <r>
    <x v="28"/>
    <s v="Havbiomasse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  <n v="0"/>
    <x v="0"/>
  </r>
  <r>
    <x v="30"/>
    <s v="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  <n v="0"/>
    <x v="0"/>
  </r>
  <r>
    <x v="31"/>
    <s v="Vedmasse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  <n v="0"/>
    <x v="1"/>
  </r>
  <r>
    <x v="32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  <n v="0"/>
    <x v="0"/>
  </r>
  <r>
    <x v="35"/>
    <s v="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  <n v="0"/>
    <x v="0"/>
  </r>
  <r>
    <x v="37"/>
    <s v="Rapsolie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  <n v="0"/>
    <x v="1"/>
  </r>
  <r>
    <x v="38"/>
    <s v="Græs og urter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  <n v="0"/>
    <x v="0"/>
  </r>
  <r>
    <x v="39"/>
    <s v="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  <n v="0"/>
    <x v="0"/>
  </r>
  <r>
    <x v="40"/>
    <s v="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  <n v="0"/>
    <x v="0"/>
  </r>
  <r>
    <x v="42"/>
    <s v="Husdyrgødning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  <n v="0"/>
    <x v="1"/>
  </r>
  <r>
    <x v="43"/>
    <s v="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  <n v="0"/>
    <x v="0"/>
  </r>
  <r>
    <x v="44"/>
    <s v="Havbiomasse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  <n v="0"/>
    <x v="1"/>
  </r>
  <r>
    <x v="47"/>
    <s v="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  <n v="0"/>
    <x v="0"/>
  </r>
  <r>
    <x v="1"/>
    <s v="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  <n v="1"/>
    <x v="1"/>
  </r>
  <r>
    <x v="3"/>
    <s v="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  <n v="0"/>
    <x v="1"/>
  </r>
  <r>
    <x v="4"/>
    <s v="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  <n v="0"/>
    <x v="0"/>
  </r>
  <r>
    <x v="7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  <n v="0"/>
    <x v="1"/>
  </r>
  <r>
    <x v="9"/>
    <s v="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  <n v="0"/>
    <x v="0"/>
  </r>
  <r>
    <x v="10"/>
    <s v="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  <n v="0"/>
    <x v="0"/>
  </r>
  <r>
    <x v="11"/>
    <s v="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  <n v="1"/>
    <x v="1"/>
  </r>
  <r>
    <x v="12"/>
    <s v="Glycerin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  <n v="1"/>
    <x v="1"/>
  </r>
  <r>
    <x v="13"/>
    <s v="Græs og urter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  <n v="0"/>
    <x v="0"/>
  </r>
  <r>
    <x v="14"/>
    <s v="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  <n v="0"/>
    <x v="1"/>
  </r>
  <r>
    <x v="17"/>
    <s v="Bionedbrydeligt affald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  <n v="0"/>
    <x v="1"/>
  </r>
  <r>
    <x v="18"/>
    <s v="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  <n v="0"/>
    <x v="0"/>
  </r>
  <r>
    <x v="20"/>
    <s v="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  <n v="0"/>
    <x v="0"/>
  </r>
  <r>
    <x v="21"/>
    <s v="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  <n v="0"/>
    <x v="0"/>
  </r>
  <r>
    <x v="23"/>
    <s v="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  <n v="0"/>
    <x v="1"/>
  </r>
  <r>
    <x v="25"/>
    <s v="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  <n v="0"/>
    <x v="0"/>
  </r>
  <r>
    <x v="27"/>
    <s v="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  <n v="0"/>
    <x v="0"/>
  </r>
  <r>
    <x v="28"/>
    <s v="Havbiomasse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  <n v="0"/>
    <x v="0"/>
  </r>
  <r>
    <x v="29"/>
    <s v="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  <n v="0"/>
    <x v="0"/>
  </r>
  <r>
    <x v="30"/>
    <s v="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  <n v="0"/>
    <x v="0"/>
  </r>
  <r>
    <x v="31"/>
    <s v="Vedmasse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  <n v="0"/>
    <x v="1"/>
  </r>
  <r>
    <x v="32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  <n v="0"/>
    <x v="0"/>
  </r>
  <r>
    <x v="35"/>
    <s v="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  <n v="0"/>
    <x v="0"/>
  </r>
  <r>
    <x v="37"/>
    <s v="Rapsolie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  <n v="0"/>
    <x v="1"/>
  </r>
  <r>
    <x v="38"/>
    <s v="Græs og urter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  <n v="0"/>
    <x v="0"/>
  </r>
  <r>
    <x v="39"/>
    <s v="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  <n v="0"/>
    <x v="0"/>
  </r>
  <r>
    <x v="40"/>
    <s v="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  <n v="0"/>
    <x v="0"/>
  </r>
  <r>
    <x v="42"/>
    <s v="Husdyrgødning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  <n v="0"/>
    <x v="1"/>
  </r>
  <r>
    <x v="43"/>
    <s v="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  <n v="0"/>
    <x v="0"/>
  </r>
  <r>
    <x v="44"/>
    <s v="Havbiomasse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  <n v="0"/>
    <x v="0"/>
  </r>
  <r>
    <x v="45"/>
    <s v="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  <n v="0"/>
    <x v="1"/>
  </r>
  <r>
    <x v="47"/>
    <s v="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  <n v="0"/>
    <x v="1"/>
  </r>
  <r>
    <x v="0"/>
    <m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  <n v="0"/>
    <x v="0"/>
  </r>
  <r>
    <x v="1"/>
    <m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  <n v="0"/>
    <x v="0"/>
  </r>
  <r>
    <x v="2"/>
    <s v="Bionedbrydeligt affald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  <n v="1"/>
    <x v="1"/>
  </r>
  <r>
    <x v="3"/>
    <m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  <n v="0"/>
    <x v="1"/>
  </r>
  <r>
    <x v="4"/>
    <m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  <n v="0"/>
    <x v="0"/>
  </r>
  <r>
    <x v="5"/>
    <s v="Bionedbrydeligt affald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  <n v="0"/>
    <x v="0"/>
  </r>
  <r>
    <x v="7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  <n v="0"/>
    <x v="1"/>
  </r>
  <r>
    <x v="9"/>
    <m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  <n v="0"/>
    <x v="0"/>
  </r>
  <r>
    <x v="10"/>
    <m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  <n v="0"/>
    <x v="0"/>
  </r>
  <r>
    <x v="11"/>
    <m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  <n v="1"/>
    <x v="1"/>
  </r>
  <r>
    <x v="12"/>
    <s v="Glycerin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  <n v="0"/>
    <x v="0"/>
  </r>
  <r>
    <x v="14"/>
    <m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m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  <n v="1"/>
    <x v="1"/>
  </r>
  <r>
    <x v="16"/>
    <s v="Halm og strå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  <n v="0"/>
    <x v="1"/>
  </r>
  <r>
    <x v="17"/>
    <s v="Bionedbrydeligt affald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  <n v="0"/>
    <x v="1"/>
  </r>
  <r>
    <x v="18"/>
    <m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  <n v="1"/>
    <x v="1"/>
  </r>
  <r>
    <x v="19"/>
    <s v="Bionedbrydeligt affald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  <n v="1"/>
    <x v="1"/>
  </r>
  <r>
    <x v="20"/>
    <m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  <n v="0"/>
    <x v="0"/>
  </r>
  <r>
    <x v="21"/>
    <m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  <n v="0"/>
    <x v="0"/>
  </r>
  <r>
    <x v="22"/>
    <s v="Halm og strå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  <n v="0"/>
    <x v="0"/>
  </r>
  <r>
    <x v="23"/>
    <m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  <n v="1"/>
    <x v="1"/>
  </r>
  <r>
    <x v="24"/>
    <s v="Husdyrgødning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  <n v="0"/>
    <x v="1"/>
  </r>
  <r>
    <x v="25"/>
    <m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  <n v="0"/>
    <x v="0"/>
  </r>
  <r>
    <x v="26"/>
    <s v="Græs og urter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  <n v="0"/>
    <x v="0"/>
  </r>
  <r>
    <x v="27"/>
    <m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  <n v="0"/>
    <x v="0"/>
  </r>
  <r>
    <x v="28"/>
    <s v="Havbiomasse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  <n v="0"/>
    <x v="0"/>
  </r>
  <r>
    <x v="29"/>
    <m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  <n v="0"/>
    <x v="0"/>
  </r>
  <r>
    <x v="30"/>
    <m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  <n v="0"/>
    <x v="0"/>
  </r>
  <r>
    <x v="31"/>
    <s v="Vedmasse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  <n v="0"/>
    <x v="1"/>
  </r>
  <r>
    <x v="32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m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  <n v="0"/>
    <x v="0"/>
  </r>
  <r>
    <x v="35"/>
    <m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  <n v="0"/>
    <x v="1"/>
  </r>
  <r>
    <x v="36"/>
    <m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  <n v="0"/>
    <x v="0"/>
  </r>
  <r>
    <x v="37"/>
    <s v="Rapsolie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  <n v="0"/>
    <x v="1"/>
  </r>
  <r>
    <x v="38"/>
    <s v="Græs og urter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  <n v="0"/>
    <x v="0"/>
  </r>
  <r>
    <x v="39"/>
    <m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  <n v="0"/>
    <x v="0"/>
  </r>
  <r>
    <x v="40"/>
    <m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  <n v="0"/>
    <x v="0"/>
  </r>
  <r>
    <x v="41"/>
    <s v="Bionedbrydeligt affald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  <n v="0"/>
    <x v="0"/>
  </r>
  <r>
    <x v="42"/>
    <s v="Husdyrgødning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  <n v="0"/>
    <x v="1"/>
  </r>
  <r>
    <x v="43"/>
    <m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  <n v="0"/>
    <x v="0"/>
  </r>
  <r>
    <x v="44"/>
    <s v="Havbiomasse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0"/>
  </r>
  <r>
    <x v="45"/>
    <m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  <n v="0"/>
    <x v="1"/>
  </r>
  <r>
    <x v="47"/>
    <m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  <n v="0"/>
    <x v="1"/>
  </r>
  <r>
    <x v="0"/>
    <s v="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  <n v="0"/>
    <x v="0"/>
  </r>
  <r>
    <x v="1"/>
    <s v="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  <n v="0"/>
    <x v="0"/>
  </r>
  <r>
    <x v="2"/>
    <s v="Bionedbrydeligt affald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  <n v="1"/>
    <x v="1"/>
  </r>
  <r>
    <x v="3"/>
    <s v="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  <n v="0"/>
    <x v="1"/>
  </r>
  <r>
    <x v="4"/>
    <s v="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  <n v="0"/>
    <x v="0"/>
  </r>
  <r>
    <x v="5"/>
    <s v="Bionedbrydeligt affald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  <n v="0"/>
    <x v="0"/>
  </r>
  <r>
    <x v="7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  <n v="0"/>
    <x v="1"/>
  </r>
  <r>
    <x v="9"/>
    <s v="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  <n v="0"/>
    <x v="0"/>
  </r>
  <r>
    <x v="10"/>
    <s v="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  <n v="0"/>
    <x v="0"/>
  </r>
  <r>
    <x v="11"/>
    <s v="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  <n v="1"/>
    <x v="1"/>
  </r>
  <r>
    <x v="12"/>
    <s v="Glycerin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  <n v="0"/>
    <x v="0"/>
  </r>
  <r>
    <x v="14"/>
    <s v="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  <n v="1"/>
    <x v="1"/>
  </r>
  <r>
    <x v="16"/>
    <s v="Halm og strå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  <n v="0"/>
    <x v="1"/>
  </r>
  <r>
    <x v="17"/>
    <s v="Bionedbrydeligt affald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  <n v="0"/>
    <x v="1"/>
  </r>
  <r>
    <x v="18"/>
    <s v="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  <n v="1"/>
    <x v="1"/>
  </r>
  <r>
    <x v="19"/>
    <s v="Bionedbrydeligt affald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  <n v="0"/>
    <x v="0"/>
  </r>
  <r>
    <x v="20"/>
    <s v="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  <n v="0"/>
    <x v="0"/>
  </r>
  <r>
    <x v="21"/>
    <s v="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  <n v="0"/>
    <x v="0"/>
  </r>
  <r>
    <x v="22"/>
    <s v="Halm og strå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  <n v="0"/>
    <x v="0"/>
  </r>
  <r>
    <x v="23"/>
    <s v="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  <n v="1"/>
    <x v="1"/>
  </r>
  <r>
    <x v="24"/>
    <s v="Husdyrgødning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  <n v="0"/>
    <x v="1"/>
  </r>
  <r>
    <x v="25"/>
    <s v="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  <n v="0"/>
    <x v="0"/>
  </r>
  <r>
    <x v="26"/>
    <s v="Græs og urter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  <n v="0"/>
    <x v="0"/>
  </r>
  <r>
    <x v="27"/>
    <s v="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  <n v="0"/>
    <x v="0"/>
  </r>
  <r>
    <x v="28"/>
    <s v="Havbiomasse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  <n v="0"/>
    <x v="0"/>
  </r>
  <r>
    <x v="30"/>
    <s v="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  <n v="0"/>
    <x v="0"/>
  </r>
  <r>
    <x v="31"/>
    <s v="Vedmasse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  <n v="0"/>
    <x v="1"/>
  </r>
  <r>
    <x v="32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  <n v="0"/>
    <x v="0"/>
  </r>
  <r>
    <x v="35"/>
    <s v="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  <n v="0"/>
    <x v="1"/>
  </r>
  <r>
    <x v="36"/>
    <s v="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  <n v="0"/>
    <x v="0"/>
  </r>
  <r>
    <x v="37"/>
    <s v="Rapsolie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  <n v="0"/>
    <x v="1"/>
  </r>
  <r>
    <x v="38"/>
    <s v="Græs og urter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  <n v="0"/>
    <x v="0"/>
  </r>
  <r>
    <x v="39"/>
    <s v="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  <n v="0"/>
    <x v="0"/>
  </r>
  <r>
    <x v="40"/>
    <s v="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  <n v="0"/>
    <x v="0"/>
  </r>
  <r>
    <x v="41"/>
    <s v="Bionedbrydeligt affald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  <n v="0"/>
    <x v="0"/>
  </r>
  <r>
    <x v="42"/>
    <s v="Husdyrgødning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  <n v="0"/>
    <x v="1"/>
  </r>
  <r>
    <x v="43"/>
    <s v="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  <n v="0"/>
    <x v="0"/>
  </r>
  <r>
    <x v="44"/>
    <s v="Havbiomasse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  <n v="0"/>
    <x v="1"/>
  </r>
  <r>
    <x v="47"/>
    <s v="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  <n v="0"/>
    <x v="1"/>
  </r>
  <r>
    <x v="0"/>
    <s v="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  <n v="0"/>
    <x v="0"/>
  </r>
  <r>
    <x v="1"/>
    <s v="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  <n v="0"/>
    <x v="0"/>
  </r>
  <r>
    <x v="2"/>
    <s v="Bionedbrydeligt affald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  <n v="1"/>
    <x v="1"/>
  </r>
  <r>
    <x v="3"/>
    <s v="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  <n v="0"/>
    <x v="1"/>
  </r>
  <r>
    <x v="4"/>
    <s v="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  <n v="0"/>
    <x v="0"/>
  </r>
  <r>
    <x v="5"/>
    <s v="Bionedbrydeligt affald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6"/>
    <s v="Husdyrgødning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  <n v="0"/>
    <x v="0"/>
  </r>
  <r>
    <x v="7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8"/>
    <s v="Husdyrgødning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  <n v="0"/>
    <x v="1"/>
  </r>
  <r>
    <x v="9"/>
    <s v="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  <n v="0"/>
    <x v="0"/>
  </r>
  <r>
    <x v="10"/>
    <s v="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  <n v="0"/>
    <x v="0"/>
  </r>
  <r>
    <x v="11"/>
    <s v="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  <n v="1"/>
    <x v="1"/>
  </r>
  <r>
    <x v="12"/>
    <s v="Glycerin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  <n v="1"/>
    <x v="1"/>
  </r>
  <r>
    <x v="13"/>
    <s v="Græs og urter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  <n v="0"/>
    <x v="0"/>
  </r>
  <r>
    <x v="14"/>
    <s v="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15"/>
    <s v="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  <n v="1"/>
    <x v="1"/>
  </r>
  <r>
    <x v="16"/>
    <s v="Halm og strå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  <n v="0"/>
    <x v="1"/>
  </r>
  <r>
    <x v="17"/>
    <s v="Bionedbrydeligt affald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  <n v="0"/>
    <x v="1"/>
  </r>
  <r>
    <x v="18"/>
    <s v="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  <n v="1"/>
    <x v="1"/>
  </r>
  <r>
    <x v="19"/>
    <s v="Bionedbrydeligt affald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  <n v="0"/>
    <x v="0"/>
  </r>
  <r>
    <x v="20"/>
    <s v="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  <n v="0"/>
    <x v="0"/>
  </r>
  <r>
    <x v="21"/>
    <s v="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  <n v="0"/>
    <x v="0"/>
  </r>
  <r>
    <x v="22"/>
    <s v="Halm og strå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  <n v="0"/>
    <x v="0"/>
  </r>
  <r>
    <x v="23"/>
    <s v="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  <n v="1"/>
    <x v="1"/>
  </r>
  <r>
    <x v="24"/>
    <s v="Husdyrgødning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  <n v="0"/>
    <x v="1"/>
  </r>
  <r>
    <x v="25"/>
    <s v="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  <n v="0"/>
    <x v="0"/>
  </r>
  <r>
    <x v="26"/>
    <s v="Græs og urter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  <n v="0"/>
    <x v="0"/>
  </r>
  <r>
    <x v="27"/>
    <s v="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  <n v="0"/>
    <x v="0"/>
  </r>
  <r>
    <x v="28"/>
    <s v="Havbiomasse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  <n v="0"/>
    <x v="0"/>
  </r>
  <r>
    <x v="29"/>
    <s v="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  <n v="0"/>
    <x v="0"/>
  </r>
  <r>
    <x v="30"/>
    <s v="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  <n v="0"/>
    <x v="0"/>
  </r>
  <r>
    <x v="31"/>
    <s v="Vedmasse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  <n v="0"/>
    <x v="1"/>
  </r>
  <r>
    <x v="32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3"/>
    <s v="Pyrolyseprodukter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34"/>
    <s v="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  <n v="0"/>
    <x v="0"/>
  </r>
  <r>
    <x v="35"/>
    <s v="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  <n v="0"/>
    <x v="1"/>
  </r>
  <r>
    <x v="36"/>
    <s v="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  <n v="0"/>
    <x v="0"/>
  </r>
  <r>
    <x v="37"/>
    <s v="Rapsolie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  <n v="0"/>
    <x v="1"/>
  </r>
  <r>
    <x v="38"/>
    <s v="Græs og urter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  <n v="0"/>
    <x v="0"/>
  </r>
  <r>
    <x v="39"/>
    <s v="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  <n v="0"/>
    <x v="0"/>
  </r>
  <r>
    <x v="40"/>
    <s v="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  <n v="0"/>
    <x v="0"/>
  </r>
  <r>
    <x v="41"/>
    <s v="Bionedbrydeligt affald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  <n v="0"/>
    <x v="0"/>
  </r>
  <r>
    <x v="42"/>
    <s v="Husdyrgødning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  <n v="0"/>
    <x v="1"/>
  </r>
  <r>
    <x v="43"/>
    <s v="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  <n v="0"/>
    <x v="0"/>
  </r>
  <r>
    <x v="44"/>
    <s v="Havbiomasse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  <n v="0"/>
    <x v="0"/>
  </r>
  <r>
    <x v="45"/>
    <s v="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x v="1"/>
  </r>
  <r>
    <x v="46"/>
    <s v="Vedmasse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  <n v="0"/>
    <x v="1"/>
  </r>
  <r>
    <x v="47"/>
    <s v="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  <n v="0"/>
    <x v="1"/>
  </r>
</pivotCacheRecords>
</file>

<file path=xl/pivotCache/pivotCacheRecords7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Vestdanmark"/>
    <x v="0"/>
    <n v="12077371.923325727"/>
    <s v="CO2 - atmosfære"/>
    <x v="0"/>
  </r>
  <r>
    <s v="Vestdanmark"/>
    <x v="0"/>
    <n v="5070835.3540045777"/>
    <s v="Landbrug"/>
    <x v="1"/>
  </r>
  <r>
    <s v="Vestdanmark"/>
    <x v="0"/>
    <n v="4155736.1194644454"/>
    <s v="Landbrug"/>
    <x v="2"/>
  </r>
  <r>
    <s v="Vestdanmark"/>
    <x v="0"/>
    <n v="1324670.350202495"/>
    <s v="Landbrug"/>
    <x v="2"/>
  </r>
  <r>
    <s v="Vestdanmark"/>
    <x v="0"/>
    <n v="2581596.1188411801"/>
    <s v="Landbrug"/>
    <x v="2"/>
  </r>
  <r>
    <s v="Vestdanmark"/>
    <x v="0"/>
    <n v="-158.24317477886137"/>
    <s v="Hav"/>
    <x v="3"/>
  </r>
  <r>
    <s v="Vestdanmark"/>
    <x v="0"/>
    <n v="-434670"/>
    <s v="Skov"/>
    <x v="4"/>
  </r>
  <r>
    <s v="Vestdanmark"/>
    <x v="0"/>
    <n v="-468707.41035023518"/>
    <s v="HWP"/>
    <x v="5"/>
  </r>
  <r>
    <s v="Vestdanmark"/>
    <x v="0"/>
    <n v="-151930.36566196129"/>
    <s v="Biogasanlæg"/>
    <x v="6"/>
  </r>
  <r>
    <s v="Vestdanmark"/>
    <x v="0"/>
    <n v="0"/>
    <s v="Pyrolyseproces"/>
    <x v="7"/>
  </r>
  <r>
    <s v="Vestdanmark"/>
    <x v="1"/>
    <n v="12263111.547924552"/>
    <s v="CO2 - atmosfære"/>
    <x v="0"/>
  </r>
  <r>
    <s v="Vestdanmark"/>
    <x v="1"/>
    <n v="6069868.2390794745"/>
    <s v="Landbrug"/>
    <x v="1"/>
  </r>
  <r>
    <s v="Vestdanmark"/>
    <x v="1"/>
    <n v="4113293.0454159677"/>
    <s v="Landbrug"/>
    <x v="2"/>
  </r>
  <r>
    <s v="Vestdanmark"/>
    <x v="1"/>
    <n v="1225816.3211630862"/>
    <s v="Landbrug"/>
    <x v="2"/>
  </r>
  <r>
    <s v="Vestdanmark"/>
    <x v="1"/>
    <n v="2334101.8595699249"/>
    <s v="Landbrug"/>
    <x v="2"/>
  </r>
  <r>
    <s v="Vestdanmark"/>
    <x v="1"/>
    <n v="-37462.493699251529"/>
    <s v="Hav"/>
    <x v="3"/>
  </r>
  <r>
    <s v="Vestdanmark"/>
    <x v="1"/>
    <n v="-528478.99286293855"/>
    <s v="Skov"/>
    <x v="4"/>
  </r>
  <r>
    <s v="Vestdanmark"/>
    <x v="1"/>
    <n v="-443563.40437744389"/>
    <s v="HWP"/>
    <x v="5"/>
  </r>
  <r>
    <s v="Vestdanmark"/>
    <x v="1"/>
    <n v="-470463.02636426751"/>
    <s v="Biogasanlæg"/>
    <x v="6"/>
  </r>
  <r>
    <s v="Vestdanmark"/>
    <x v="1"/>
    <n v="0"/>
    <s v="Pyrolyseproces"/>
    <x v="7"/>
  </r>
  <r>
    <s v="Vestdanmark"/>
    <x v="2"/>
    <n v="11464386.936102785"/>
    <s v="CO2 - atmosfære"/>
    <x v="0"/>
  </r>
  <r>
    <s v="Vestdanmark"/>
    <x v="2"/>
    <n v="6044724.7524874648"/>
    <s v="Landbrug"/>
    <x v="1"/>
  </r>
  <r>
    <s v="Vestdanmark"/>
    <x v="2"/>
    <n v="4036132.4350935114"/>
    <s v="Landbrug"/>
    <x v="2"/>
  </r>
  <r>
    <s v="Vestdanmark"/>
    <x v="2"/>
    <n v="1225816.3211630862"/>
    <s v="Landbrug"/>
    <x v="2"/>
  </r>
  <r>
    <s v="Vestdanmark"/>
    <x v="2"/>
    <n v="2334101.8595699244"/>
    <s v="Landbrug"/>
    <x v="2"/>
  </r>
  <r>
    <s v="Vestdanmark"/>
    <x v="2"/>
    <n v="-37462.493699251529"/>
    <s v="Hav"/>
    <x v="3"/>
  </r>
  <r>
    <s v="Vestdanmark"/>
    <x v="2"/>
    <n v="-1260129.3549508662"/>
    <s v="Skov"/>
    <x v="4"/>
  </r>
  <r>
    <s v="Vestdanmark"/>
    <x v="2"/>
    <n v="-420192.72772237897"/>
    <s v="HWP"/>
    <x v="5"/>
  </r>
  <r>
    <s v="Vestdanmark"/>
    <x v="2"/>
    <n v="-458603.85583869618"/>
    <s v="Biogasanlæg"/>
    <x v="6"/>
  </r>
  <r>
    <s v="Vestdanmark"/>
    <x v="2"/>
    <n v="0"/>
    <s v="Pyrolyseproces"/>
    <x v="7"/>
  </r>
  <r>
    <s v="Østdanmark"/>
    <x v="0"/>
    <n v="1834190.1949518428"/>
    <s v="CO2 - atmosfære"/>
    <x v="0"/>
  </r>
  <r>
    <s v="Østdanmark"/>
    <x v="0"/>
    <n v="448426.54673213884"/>
    <s v="Landbrug"/>
    <x v="1"/>
  </r>
  <r>
    <s v="Østdanmark"/>
    <x v="0"/>
    <n v="1244619.4009225217"/>
    <s v="Landbrug"/>
    <x v="2"/>
  </r>
  <r>
    <s v="Østdanmark"/>
    <x v="0"/>
    <n v="142699.41800214813"/>
    <s v="Landbrug"/>
    <x v="2"/>
  </r>
  <r>
    <s v="Østdanmark"/>
    <x v="0"/>
    <n v="276144.78230139322"/>
    <s v="Landbrug"/>
    <x v="2"/>
  </r>
  <r>
    <s v="Østdanmark"/>
    <x v="0"/>
    <n v="-0.19402522113858015"/>
    <s v="Hav"/>
    <x v="3"/>
  </r>
  <r>
    <s v="Østdanmark"/>
    <x v="0"/>
    <n v="-127230"/>
    <s v="Skov"/>
    <x v="4"/>
  </r>
  <r>
    <s v="Østdanmark"/>
    <x v="0"/>
    <n v="-137192.91374803972"/>
    <s v="HWP"/>
    <x v="5"/>
  </r>
  <r>
    <s v="Østdanmark"/>
    <x v="0"/>
    <n v="-13276.84523309844"/>
    <s v="Biogasanlæg"/>
    <x v="6"/>
  </r>
  <r>
    <s v="Østdanmark"/>
    <x v="0"/>
    <n v="0"/>
    <s v="Pyrolyseproces"/>
    <x v="7"/>
  </r>
  <r>
    <s v="Østdanmark"/>
    <x v="1"/>
    <n v="1832429.5506538269"/>
    <s v="CO2 - atmosfære"/>
    <x v="0"/>
  </r>
  <r>
    <s v="Østdanmark"/>
    <x v="1"/>
    <n v="538912.0191669655"/>
    <s v="Landbrug"/>
    <x v="1"/>
  </r>
  <r>
    <s v="Østdanmark"/>
    <x v="1"/>
    <n v="1240035.0657402945"/>
    <s v="Landbrug"/>
    <x v="2"/>
  </r>
  <r>
    <s v="Østdanmark"/>
    <x v="1"/>
    <n v="132118.63988943215"/>
    <s v="Landbrug"/>
    <x v="2"/>
  </r>
  <r>
    <s v="Østdanmark"/>
    <x v="1"/>
    <n v="251468.565835013"/>
    <s v="Landbrug"/>
    <x v="2"/>
  </r>
  <r>
    <s v="Østdanmark"/>
    <x v="1"/>
    <n v="-12810.937899750508"/>
    <s v="Hav"/>
    <x v="3"/>
  </r>
  <r>
    <s v="Østdanmark"/>
    <x v="1"/>
    <n v="-145014.54954130086"/>
    <s v="Skov"/>
    <x v="4"/>
  </r>
  <r>
    <s v="Østdanmark"/>
    <x v="1"/>
    <n v="-129833.14224340807"/>
    <s v="HWP"/>
    <x v="5"/>
  </r>
  <r>
    <s v="Østdanmark"/>
    <x v="1"/>
    <n v="-42446.11029341945"/>
    <s v="Biogasanlæg"/>
    <x v="6"/>
  </r>
  <r>
    <s v="Østdanmark"/>
    <x v="1"/>
    <n v="0"/>
    <s v="Pyrolyseproces"/>
    <x v="7"/>
  </r>
  <r>
    <s v="Østdanmark"/>
    <x v="2"/>
    <n v="1682882.1894309253"/>
    <s v="CO2 - atmosfære"/>
    <x v="0"/>
  </r>
  <r>
    <s v="Østdanmark"/>
    <x v="2"/>
    <n v="537552.33932666946"/>
    <s v="Landbrug"/>
    <x v="1"/>
  </r>
  <r>
    <s v="Østdanmark"/>
    <x v="2"/>
    <n v="1231701.6161590884"/>
    <s v="Landbrug"/>
    <x v="2"/>
  </r>
  <r>
    <s v="Østdanmark"/>
    <x v="2"/>
    <n v="132118.63988943212"/>
    <s v="Landbrug"/>
    <x v="2"/>
  </r>
  <r>
    <s v="Østdanmark"/>
    <x v="2"/>
    <n v="251468.56583501303"/>
    <s v="Landbrug"/>
    <x v="2"/>
  </r>
  <r>
    <s v="Østdanmark"/>
    <x v="2"/>
    <n v="-12810.937899750508"/>
    <s v="Hav"/>
    <x v="3"/>
  </r>
  <r>
    <s v="Østdanmark"/>
    <x v="2"/>
    <n v="-294481.27347525692"/>
    <s v="Skov"/>
    <x v="4"/>
  </r>
  <r>
    <s v="Østdanmark"/>
    <x v="2"/>
    <n v="-121447.49871125096"/>
    <s v="HWP"/>
    <x v="5"/>
  </r>
  <r>
    <s v="Østdanmark"/>
    <x v="2"/>
    <n v="-41219.261693019056"/>
    <s v="Biogasanlæg"/>
    <x v="6"/>
  </r>
  <r>
    <s v="Østdanmark"/>
    <x v="2"/>
    <n v="0"/>
    <s v="Pyrolyseproces"/>
    <x v="7"/>
  </r>
</pivotCacheRecords>
</file>

<file path=xl/pivotCache/pivotCacheRecords8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88">
  <r>
    <x v="0"/>
    <x v="0"/>
    <n v="0"/>
    <x v="0"/>
    <s v="Vestdanmark"/>
    <n v="216549.9929685164"/>
    <n v="0"/>
    <n v="0"/>
    <n v="31522.55833067331"/>
    <n v="0"/>
    <n v="0"/>
    <n v="0"/>
    <n v="0"/>
    <n v="185027.43463784308"/>
    <n v="0"/>
    <n v="0"/>
    <n v="0"/>
    <n v="0"/>
    <n v="0"/>
    <n v="0"/>
    <n v="0"/>
    <n v="0"/>
    <n v="0"/>
    <n v="0"/>
  </r>
  <r>
    <x v="1"/>
    <x v="0"/>
    <n v="0"/>
    <x v="0"/>
    <s v="Vestdanmark"/>
    <n v="258086.32953598633"/>
    <n v="64498.47547519199"/>
    <n v="0"/>
    <n v="0"/>
    <n v="0"/>
    <n v="0"/>
    <n v="0"/>
    <n v="0"/>
    <n v="193587.85406079434"/>
    <n v="0"/>
    <n v="0"/>
    <n v="0"/>
    <n v="0"/>
    <n v="0"/>
    <n v="0"/>
    <n v="0"/>
    <n v="0"/>
    <n v="0"/>
    <n v="0"/>
  </r>
  <r>
    <x v="2"/>
    <x v="1"/>
    <n v="1"/>
    <x v="0"/>
    <s v="Vestdanmark"/>
    <n v="193591.30306616417"/>
    <n v="0"/>
    <n v="0"/>
    <n v="0"/>
    <n v="393543.64426779439"/>
    <n v="0"/>
    <n v="0"/>
    <n v="0"/>
    <n v="-199952.34120163022"/>
    <n v="0"/>
    <n v="393543.64426779439"/>
    <n v="0"/>
    <n v="1.3407677770923916"/>
    <n v="1.3407677770923916"/>
    <n v="0"/>
    <n v="0"/>
    <n v="110192.22039498243"/>
    <n v="110192.22039498243"/>
    <n v="0"/>
  </r>
  <r>
    <x v="3"/>
    <x v="0"/>
    <n v="1"/>
    <x v="0"/>
    <s v="Vestdanmark"/>
    <n v="352020257.59705466"/>
    <n v="0"/>
    <n v="0"/>
    <n v="0"/>
    <n v="0"/>
    <n v="0"/>
    <n v="352020257.59705466"/>
    <n v="0"/>
    <n v="0"/>
    <n v="0"/>
    <n v="352020257.59705466"/>
    <n v="0"/>
    <n v="0"/>
    <n v="0"/>
    <n v="0"/>
    <n v="0"/>
    <n v="0"/>
    <n v="0"/>
    <n v="0"/>
  </r>
  <r>
    <x v="4"/>
    <x v="0"/>
    <n v="0"/>
    <x v="0"/>
    <s v="Vestdanmark"/>
    <n v="9571125.1585832145"/>
    <n v="0"/>
    <n v="0"/>
    <n v="0"/>
    <n v="0"/>
    <n v="7001759.6428652545"/>
    <n v="0"/>
    <n v="0"/>
    <n v="2569365.51571796"/>
    <n v="0"/>
    <n v="0"/>
    <n v="0"/>
    <n v="0"/>
    <n v="0"/>
    <n v="0"/>
    <n v="0"/>
    <n v="0"/>
    <n v="0"/>
    <n v="0"/>
  </r>
  <r>
    <x v="5"/>
    <x v="1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Vestdanmark"/>
    <n v="2600310.0770241949"/>
    <n v="0"/>
    <n v="0"/>
    <n v="0"/>
    <n v="671194.67155029252"/>
    <n v="730307.97492940596"/>
    <n v="0"/>
    <n v="0"/>
    <n v="1198807.4305444965"/>
    <n v="1198807.4305444965"/>
    <n v="671194.67155029252"/>
    <n v="2.5822312053928456"/>
    <n v="1.4457533225193302"/>
    <n v="1.4457533225193302"/>
    <n v="0"/>
    <n v="359642.22916334897"/>
    <n v="201358.40146508775"/>
    <n v="201358.40146508775"/>
    <n v="0"/>
  </r>
  <r>
    <x v="7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Vestdanmark"/>
    <n v="8207.6123560951182"/>
    <n v="0"/>
    <n v="0"/>
    <n v="0"/>
    <n v="4103.8061780475591"/>
    <n v="4103.8061780475591"/>
    <n v="0"/>
    <n v="0"/>
    <n v="0"/>
    <n v="0"/>
    <n v="4103.8061780475591"/>
    <n v="0"/>
    <n v="1.9299790074739866E-3"/>
    <n v="1.9299790074739866E-3"/>
    <n v="0"/>
    <n v="0"/>
    <n v="258.53978921699621"/>
    <n v="258.53978921699621"/>
    <n v="0"/>
  </r>
  <r>
    <x v="9"/>
    <x v="0"/>
    <n v="0"/>
    <x v="0"/>
    <s v="Vestdanmark"/>
    <n v="185576.29959415729"/>
    <n v="0"/>
    <n v="0"/>
    <n v="34149.438191562753"/>
    <n v="0"/>
    <n v="0"/>
    <n v="0"/>
    <n v="0"/>
    <n v="151426.86140259454"/>
    <n v="0"/>
    <n v="0"/>
    <n v="0"/>
    <n v="0"/>
    <n v="0"/>
    <n v="0"/>
    <n v="0"/>
    <n v="0"/>
    <n v="0"/>
    <n v="0"/>
  </r>
  <r>
    <x v="10"/>
    <x v="0"/>
    <n v="0"/>
    <x v="0"/>
    <s v="Vestdanmark"/>
    <n v="890042.58416558511"/>
    <n v="0"/>
    <n v="0"/>
    <n v="0"/>
    <n v="0"/>
    <n v="0"/>
    <n v="0"/>
    <n v="0"/>
    <n v="890042.58416558511"/>
    <n v="0"/>
    <n v="0"/>
    <n v="0"/>
    <n v="0"/>
    <n v="0"/>
    <n v="0"/>
    <n v="0"/>
    <n v="0"/>
    <n v="0"/>
    <n v="0"/>
  </r>
  <r>
    <x v="11"/>
    <x v="0"/>
    <n v="0"/>
    <x v="0"/>
    <s v="Vestdanmark"/>
    <n v="25923.363510878662"/>
    <n v="0"/>
    <n v="0"/>
    <n v="249553.58678449702"/>
    <n v="0"/>
    <n v="0"/>
    <n v="0"/>
    <n v="0"/>
    <n v="-223630.22327361835"/>
    <n v="0"/>
    <n v="0"/>
    <n v="0"/>
    <n v="0"/>
    <n v="0"/>
    <n v="0"/>
    <n v="0"/>
    <n v="0"/>
    <n v="0"/>
    <n v="0"/>
  </r>
  <r>
    <x v="12"/>
    <x v="3"/>
    <n v="1"/>
    <x v="0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0"/>
    <s v="Vestdanmark"/>
    <n v="15863611.568544758"/>
    <n v="12237689.9092583"/>
    <n v="0"/>
    <n v="0"/>
    <n v="75746.163899662715"/>
    <n v="0"/>
    <n v="0"/>
    <n v="0"/>
    <n v="3550175.4953867961"/>
    <n v="3550175.4953867961"/>
    <n v="75746.163899662715"/>
    <n v="6.5318791395747819"/>
    <n v="0.13936347330489193"/>
    <n v="0.13936347330489193"/>
    <n v="0"/>
    <n v="994049.13870830298"/>
    <n v="21208.925891905561"/>
    <n v="21208.925891905561"/>
    <n v="0"/>
  </r>
  <r>
    <x v="14"/>
    <x v="0"/>
    <n v="0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Vestdanmark"/>
    <n v="184529.62070571107"/>
    <n v="0"/>
    <n v="0"/>
    <n v="261374.54615849949"/>
    <n v="0"/>
    <n v="0"/>
    <n v="0"/>
    <n v="0"/>
    <n v="-76844.925452788419"/>
    <n v="0"/>
    <n v="0"/>
    <n v="0"/>
    <n v="0"/>
    <n v="0"/>
    <n v="0"/>
    <n v="0"/>
    <n v="0"/>
    <n v="0"/>
    <n v="0"/>
  </r>
  <r>
    <x v="16"/>
    <x v="5"/>
    <n v="1"/>
    <x v="0"/>
    <s v="Vestdanmark"/>
    <n v="2714031.9406148358"/>
    <n v="773085.89354292618"/>
    <n v="728216.84089200001"/>
    <n v="0"/>
    <n v="53138.892747161146"/>
    <n v="0"/>
    <n v="1159590.3134327475"/>
    <n v="0"/>
    <n v="0"/>
    <n v="0"/>
    <n v="1212729.2061799087"/>
    <n v="0"/>
    <n v="12.291675324066466"/>
    <n v="0.3063744116894675"/>
    <n v="11.985300912376998"/>
    <n v="0"/>
    <n v="1030819.8252529224"/>
    <n v="45168.058835086973"/>
    <n v="985651.76641783537"/>
  </r>
  <r>
    <x v="17"/>
    <x v="1"/>
    <n v="1"/>
    <x v="0"/>
    <s v="Vestdanmark"/>
    <n v="530462.48766233202"/>
    <n v="0"/>
    <n v="0"/>
    <n v="0"/>
    <n v="42.099811904105366"/>
    <n v="0"/>
    <n v="530420.38785042788"/>
    <n v="0"/>
    <n v="0"/>
    <n v="0"/>
    <n v="530462.48766233202"/>
    <n v="0"/>
    <n v="9.4692532209947728"/>
    <n v="7.148842760000421E-5"/>
    <n v="9.4691817325671721"/>
    <n v="0"/>
    <n v="159138.74629869961"/>
    <n v="12.629943571231609"/>
    <n v="159126.11635512838"/>
  </r>
  <r>
    <x v="18"/>
    <x v="0"/>
    <n v="0"/>
    <x v="0"/>
    <s v="Vestdanmark"/>
    <n v="0"/>
    <n v="4828427.5390456235"/>
    <n v="0"/>
    <n v="0"/>
    <n v="0"/>
    <n v="0"/>
    <n v="0"/>
    <n v="0"/>
    <n v="-4828427.5390456235"/>
    <n v="0"/>
    <n v="0"/>
    <n v="0"/>
    <n v="0"/>
    <n v="0"/>
    <n v="0"/>
    <n v="0"/>
    <n v="0"/>
    <n v="0"/>
    <n v="0"/>
  </r>
  <r>
    <x v="19"/>
    <x v="1"/>
    <n v="1"/>
    <x v="0"/>
    <s v="Vestdanmark"/>
    <n v="513042.22037196398"/>
    <n v="0"/>
    <n v="0"/>
    <n v="0"/>
    <n v="716103.75203569303"/>
    <n v="0"/>
    <n v="0"/>
    <n v="0"/>
    <n v="-203061.53166372905"/>
    <n v="0"/>
    <n v="716103.75203569303"/>
    <n v="0"/>
    <n v="2.637525053399659"/>
    <n v="2.637525053399659"/>
    <n v="0"/>
    <n v="0"/>
    <n v="300763.57585499104"/>
    <n v="300763.57585499104"/>
    <n v="0"/>
  </r>
  <r>
    <x v="20"/>
    <x v="0"/>
    <n v="0"/>
    <x v="0"/>
    <s v="Vestdanmark"/>
    <n v="765723.03528474667"/>
    <n v="0"/>
    <n v="0"/>
    <n v="0"/>
    <n v="0"/>
    <n v="0"/>
    <n v="0"/>
    <n v="0"/>
    <n v="765723.03528474667"/>
    <n v="0"/>
    <n v="0"/>
    <n v="0"/>
    <n v="0"/>
    <n v="0"/>
    <n v="0"/>
    <n v="0"/>
    <n v="0"/>
    <n v="0"/>
    <n v="0"/>
  </r>
  <r>
    <x v="21"/>
    <x v="0"/>
    <n v="0"/>
    <x v="0"/>
    <s v="Vestdanmark"/>
    <n v="2145904.0489790672"/>
    <n v="0"/>
    <n v="0"/>
    <n v="119523.03367046962"/>
    <n v="0"/>
    <n v="0"/>
    <n v="0"/>
    <n v="0"/>
    <n v="2026381.0153085976"/>
    <n v="0"/>
    <n v="0"/>
    <n v="0"/>
    <n v="0"/>
    <n v="0"/>
    <n v="0"/>
    <n v="0"/>
    <n v="0"/>
    <n v="0"/>
    <n v="0"/>
  </r>
  <r>
    <x v="22"/>
    <x v="5"/>
    <n v="1"/>
    <x v="0"/>
    <s v="Vestdanmark"/>
    <n v="6833990.0005322779"/>
    <n v="5879215.2019956242"/>
    <n v="0"/>
    <n v="286329.90483694919"/>
    <n v="2840.1853290986264"/>
    <n v="0"/>
    <n v="0"/>
    <n v="0"/>
    <n v="665604.70837060641"/>
    <n v="665604.70837060641"/>
    <n v="2840.1853290986264"/>
    <n v="2.2796029415101553"/>
    <n v="9.7272371262167243E-3"/>
    <n v="9.7272371262167243E-3"/>
    <n v="0"/>
    <n v="206337.459594888"/>
    <n v="880.45745202057424"/>
    <n v="880.45745202057424"/>
    <n v="0"/>
  </r>
  <r>
    <x v="23"/>
    <x v="0"/>
    <n v="0"/>
    <x v="0"/>
    <s v="Vestdanmark"/>
    <n v="0"/>
    <n v="0"/>
    <n v="0"/>
    <n v="0"/>
    <n v="0"/>
    <n v="567745.18896312197"/>
    <n v="0"/>
    <n v="0"/>
    <n v="-567745.18896312197"/>
    <n v="0"/>
    <n v="0"/>
    <n v="0"/>
    <n v="0"/>
    <n v="0"/>
    <n v="0"/>
    <n v="0"/>
    <n v="0"/>
    <n v="0"/>
    <n v="0"/>
  </r>
  <r>
    <x v="24"/>
    <x v="2"/>
    <n v="1"/>
    <x v="0"/>
    <s v="Vestdanmark"/>
    <n v="13124915.780770566"/>
    <n v="0"/>
    <n v="0"/>
    <n v="0"/>
    <n v="4066864.6068164087"/>
    <n v="9058051.1739541572"/>
    <n v="0"/>
    <n v="0"/>
    <n v="0"/>
    <n v="0"/>
    <n v="4066864.6068164087"/>
    <n v="0"/>
    <n v="2.0586061953243981"/>
    <n v="2.0586061953243981"/>
    <n v="0"/>
    <n v="0"/>
    <n v="309081.71011804708"/>
    <n v="309081.71011804708"/>
    <n v="0"/>
  </r>
  <r>
    <x v="25"/>
    <x v="0"/>
    <n v="0"/>
    <x v="0"/>
    <s v="Vestdanmark"/>
    <n v="1638157.7192038004"/>
    <n v="1515714.1736670118"/>
    <n v="0"/>
    <n v="0"/>
    <n v="0"/>
    <n v="0"/>
    <n v="0"/>
    <n v="0"/>
    <n v="122443.54553678865"/>
    <n v="0"/>
    <n v="0"/>
    <n v="0"/>
    <n v="0"/>
    <n v="0"/>
    <n v="0"/>
    <n v="0"/>
    <n v="0"/>
    <n v="0"/>
    <n v="0"/>
  </r>
  <r>
    <x v="26"/>
    <x v="4"/>
    <n v="1"/>
    <x v="0"/>
    <s v="Vestdanmark"/>
    <n v="7581538.5357748987"/>
    <n v="5657053.7864699634"/>
    <n v="0"/>
    <n v="0"/>
    <n v="314821.43493156106"/>
    <n v="0"/>
    <n v="0"/>
    <n v="0"/>
    <n v="1609663.314373374"/>
    <n v="1266262.2462674922"/>
    <n v="314821.43493156106"/>
    <n v="4.5458814641002974"/>
    <n v="1.1302089514043043"/>
    <n v="1.1302089514043043"/>
    <n v="0"/>
    <n v="379878.67388024763"/>
    <n v="94446.430479468312"/>
    <n v="94446.430479468312"/>
    <n v="0"/>
  </r>
  <r>
    <x v="27"/>
    <x v="0"/>
    <n v="0"/>
    <x v="0"/>
    <s v="Vestdanmark"/>
    <n v="3160794.2116654618"/>
    <n v="0"/>
    <n v="0"/>
    <n v="457077.09579476295"/>
    <n v="0"/>
    <n v="0"/>
    <n v="0"/>
    <n v="0"/>
    <n v="2703717.1158706988"/>
    <n v="0"/>
    <n v="0"/>
    <n v="0"/>
    <n v="0"/>
    <n v="0"/>
    <n v="0"/>
    <n v="0"/>
    <n v="0"/>
    <n v="0"/>
    <n v="0"/>
  </r>
  <r>
    <x v="28"/>
    <x v="6"/>
    <n v="1"/>
    <x v="0"/>
    <s v="Vestdanmark"/>
    <n v="878.90231344976178"/>
    <n v="0"/>
    <n v="0"/>
    <n v="0"/>
    <n v="0"/>
    <n v="0"/>
    <n v="0"/>
    <n v="0"/>
    <n v="878.90231344976178"/>
    <n v="878.90231344976178"/>
    <n v="0"/>
    <n v="7.8881482632116122E-4"/>
    <n v="0"/>
    <n v="0"/>
    <n v="0"/>
    <n v="131.83534701746427"/>
    <n v="0"/>
    <n v="0"/>
    <n v="0"/>
  </r>
  <r>
    <x v="29"/>
    <x v="0"/>
    <n v="0"/>
    <x v="0"/>
    <s v="Vestdanmark"/>
    <n v="108094.85577035608"/>
    <n v="0"/>
    <n v="0"/>
    <n v="58080.313724265572"/>
    <n v="0"/>
    <n v="0"/>
    <n v="0"/>
    <n v="0"/>
    <n v="50014.542046090508"/>
    <n v="0"/>
    <n v="0"/>
    <n v="0"/>
    <n v="0"/>
    <n v="0"/>
    <n v="0"/>
    <n v="0"/>
    <n v="0"/>
    <n v="0"/>
    <n v="0"/>
  </r>
  <r>
    <x v="30"/>
    <x v="0"/>
    <n v="0"/>
    <x v="0"/>
    <s v="Vestdanmark"/>
    <n v="1609044.2994914718"/>
    <n v="0"/>
    <n v="0"/>
    <n v="0"/>
    <n v="0"/>
    <n v="0"/>
    <n v="0"/>
    <n v="0"/>
    <n v="1609044.2994914718"/>
    <n v="0"/>
    <n v="0"/>
    <n v="0"/>
    <n v="0"/>
    <n v="0"/>
    <n v="0"/>
    <n v="0"/>
    <n v="0"/>
    <n v="0"/>
    <n v="0"/>
  </r>
  <r>
    <x v="31"/>
    <x v="7"/>
    <n v="1"/>
    <x v="0"/>
    <s v="Vestdanmark"/>
    <n v="172205.06744997756"/>
    <n v="0"/>
    <n v="0"/>
    <n v="0"/>
    <n v="0"/>
    <n v="0"/>
    <n v="172205.06744997756"/>
    <n v="0"/>
    <n v="0"/>
    <n v="0"/>
    <n v="172205.06744997756"/>
    <n v="0"/>
    <n v="3.1685732410795864"/>
    <n v="0"/>
    <n v="3.1685732410795864"/>
    <n v="0"/>
    <n v="71465.1029917407"/>
    <n v="0"/>
    <n v="71465.1029917407"/>
  </r>
  <r>
    <x v="32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Vestdanmark"/>
    <n v="4922001.9803787302"/>
    <n v="0"/>
    <n v="0"/>
    <n v="0"/>
    <n v="0"/>
    <n v="0"/>
    <n v="0"/>
    <n v="0"/>
    <n v="4922001.9803787302"/>
    <n v="0"/>
    <n v="0"/>
    <n v="0"/>
    <n v="0"/>
    <n v="0"/>
    <n v="0"/>
    <n v="0"/>
    <n v="0"/>
    <n v="0"/>
    <n v="0"/>
  </r>
  <r>
    <x v="35"/>
    <x v="0"/>
    <n v="0"/>
    <x v="0"/>
    <s v="Vestdanmark"/>
    <n v="484833.6848947219"/>
    <n v="0"/>
    <n v="0"/>
    <n v="0"/>
    <n v="0"/>
    <n v="0"/>
    <n v="0"/>
    <n v="484833.6848947219"/>
    <n v="0"/>
    <n v="0"/>
    <n v="0"/>
    <n v="0"/>
    <n v="0"/>
    <n v="0"/>
    <n v="0"/>
    <n v="0"/>
    <n v="0"/>
    <n v="0"/>
    <n v="0"/>
  </r>
  <r>
    <x v="36"/>
    <x v="0"/>
    <n v="0"/>
    <x v="0"/>
    <s v="Vestdanmark"/>
    <n v="242416.84244736095"/>
    <n v="214099.10609126228"/>
    <n v="0"/>
    <n v="0"/>
    <n v="0"/>
    <n v="0"/>
    <n v="0"/>
    <n v="0"/>
    <n v="28317.736356098671"/>
    <n v="0"/>
    <n v="0"/>
    <n v="0"/>
    <n v="0"/>
    <n v="0"/>
    <n v="0"/>
    <n v="0"/>
    <n v="0"/>
    <n v="0"/>
    <n v="0"/>
  </r>
  <r>
    <x v="37"/>
    <x v="9"/>
    <n v="1"/>
    <x v="0"/>
    <s v="Vestdanmark"/>
    <n v="155146.779166311"/>
    <n v="0"/>
    <n v="0"/>
    <n v="0"/>
    <n v="0"/>
    <n v="0"/>
    <n v="80676.325166481722"/>
    <n v="74470.453999829275"/>
    <n v="0"/>
    <n v="0"/>
    <n v="80676.325166481722"/>
    <n v="0"/>
    <n v="2.8236713808268599"/>
    <n v="0"/>
    <n v="2.8236713808268599"/>
    <n v="0"/>
    <n v="0"/>
    <n v="0"/>
    <n v="0"/>
  </r>
  <r>
    <x v="38"/>
    <x v="4"/>
    <n v="1"/>
    <x v="0"/>
    <s v="Vestdanmark"/>
    <n v="376449.39511597221"/>
    <n v="841167.61765562883"/>
    <n v="0"/>
    <n v="0"/>
    <n v="4101.0489241972273"/>
    <n v="0"/>
    <n v="0"/>
    <n v="0"/>
    <n v="-468819.27146385383"/>
    <n v="0"/>
    <n v="4101.0489241972273"/>
    <n v="0"/>
    <n v="1.1130410822228242E-2"/>
    <n v="1.1130410822228242E-2"/>
    <n v="0"/>
    <n v="0"/>
    <n v="820.20978483944555"/>
    <n v="820.20978483944555"/>
    <n v="0"/>
  </r>
  <r>
    <x v="39"/>
    <x v="0"/>
    <n v="0"/>
    <x v="0"/>
    <s v="Vestdanmark"/>
    <n v="193830.89221723122"/>
    <n v="0"/>
    <n v="0"/>
    <n v="0"/>
    <n v="0"/>
    <n v="0"/>
    <n v="0"/>
    <n v="0"/>
    <n v="193830.89221723122"/>
    <n v="0"/>
    <n v="0"/>
    <n v="0"/>
    <n v="0"/>
    <n v="0"/>
    <n v="0"/>
    <n v="0"/>
    <n v="0"/>
    <n v="0"/>
    <n v="0"/>
  </r>
  <r>
    <x v="40"/>
    <x v="0"/>
    <n v="0"/>
    <x v="0"/>
    <s v="Vestdanmark"/>
    <n v="131276.07587880219"/>
    <n v="39415.735012617326"/>
    <n v="0"/>
    <n v="0"/>
    <n v="0"/>
    <n v="0"/>
    <n v="0"/>
    <n v="0"/>
    <n v="91860.340866184866"/>
    <n v="0"/>
    <n v="0"/>
    <n v="0"/>
    <n v="0"/>
    <n v="0"/>
    <n v="0"/>
    <n v="0"/>
    <n v="0"/>
    <n v="0"/>
    <n v="0"/>
  </r>
  <r>
    <x v="41"/>
    <x v="1"/>
    <n v="1"/>
    <x v="0"/>
    <s v="Vestdanmark"/>
    <n v="3850196.5402414175"/>
    <n v="0"/>
    <n v="0"/>
    <n v="0"/>
    <n v="1460182.5874658169"/>
    <n v="0"/>
    <n v="0"/>
    <n v="0"/>
    <n v="2390013.9527756004"/>
    <n v="2390013.9527756004"/>
    <n v="1460182.5874658169"/>
    <n v="1.1926408625745526"/>
    <n v="0.72864571297131742"/>
    <n v="0.72864571297131742"/>
    <n v="0"/>
    <n v="143400.83716653602"/>
    <n v="87610.955247949008"/>
    <n v="87610.955247949008"/>
    <n v="0"/>
  </r>
  <r>
    <x v="42"/>
    <x v="2"/>
    <n v="1"/>
    <x v="0"/>
    <s v="Vestdanmark"/>
    <n v="15352538.506892066"/>
    <n v="0"/>
    <n v="0"/>
    <n v="0"/>
    <n v="2534442.072977222"/>
    <n v="12818096.433914844"/>
    <n v="0"/>
    <n v="0"/>
    <n v="0"/>
    <n v="0"/>
    <n v="2534442.072977222"/>
    <n v="0"/>
    <n v="1.0918376450385874"/>
    <n v="1.0918376450385874"/>
    <n v="0"/>
    <n v="0"/>
    <n v="126722.10364886111"/>
    <n v="126722.10364886111"/>
    <n v="0"/>
  </r>
  <r>
    <x v="43"/>
    <x v="0"/>
    <n v="0"/>
    <x v="0"/>
    <s v="Vestdanmark"/>
    <n v="1394376.9846055224"/>
    <n v="0"/>
    <n v="0"/>
    <n v="117920.63695532705"/>
    <n v="0"/>
    <n v="0"/>
    <n v="0"/>
    <n v="0"/>
    <n v="1276456.3476501952"/>
    <n v="0"/>
    <n v="0"/>
    <n v="0"/>
    <n v="0"/>
    <n v="0"/>
    <n v="0"/>
    <n v="0"/>
    <n v="0"/>
    <n v="0"/>
    <n v="0"/>
  </r>
  <r>
    <x v="44"/>
    <x v="6"/>
    <n v="1"/>
    <x v="0"/>
    <s v="Vestdanmark"/>
    <n v="76.5"/>
    <n v="0"/>
    <n v="0"/>
    <n v="0"/>
    <n v="0"/>
    <n v="0"/>
    <n v="0"/>
    <n v="0"/>
    <n v="76.5"/>
    <n v="76.5"/>
    <n v="0"/>
    <n v="6.8658750000000004E-5"/>
    <n v="0"/>
    <n v="0"/>
    <n v="0"/>
    <n v="11.475"/>
    <n v="0"/>
    <n v="0"/>
    <n v="0"/>
  </r>
  <r>
    <x v="45"/>
    <x v="0"/>
    <n v="1"/>
    <x v="0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Vestdanmark"/>
    <n v="2328635.6388303456"/>
    <n v="0"/>
    <n v="0"/>
    <n v="0"/>
    <n v="0"/>
    <n v="0"/>
    <n v="2328635.6388303456"/>
    <n v="0"/>
    <n v="0"/>
    <n v="0"/>
    <n v="2328635.6388303456"/>
    <n v="0"/>
    <n v="33.750241076188566"/>
    <n v="0"/>
    <n v="33.750241076188566"/>
    <n v="0"/>
    <n v="1151704.3763715085"/>
    <n v="0"/>
    <n v="1151704.3763715085"/>
  </r>
  <r>
    <x v="47"/>
    <x v="0"/>
    <n v="0"/>
    <x v="0"/>
    <s v="Vestdanmark"/>
    <n v="640280.13059892249"/>
    <n v="0"/>
    <n v="0"/>
    <n v="0"/>
    <n v="0"/>
    <n v="0"/>
    <n v="0"/>
    <n v="640280.13059892249"/>
    <n v="0"/>
    <n v="0"/>
    <n v="0"/>
    <n v="0"/>
    <n v="0"/>
    <n v="0"/>
    <n v="0"/>
    <n v="0"/>
    <n v="0"/>
    <n v="0"/>
    <n v="0"/>
  </r>
  <r>
    <x v="0"/>
    <x v="10"/>
    <n v="0"/>
    <x v="1"/>
    <s v="Vestdanmark"/>
    <n v="256550.33982346478"/>
    <n v="0"/>
    <n v="0"/>
    <n v="32579.784552999867"/>
    <n v="0"/>
    <n v="0"/>
    <n v="0"/>
    <n v="0"/>
    <n v="223970.55527046492"/>
    <n v="0"/>
    <n v="0"/>
    <n v="0"/>
    <n v="0"/>
    <n v="0"/>
    <n v="0"/>
    <n v="0"/>
    <n v="0"/>
    <n v="0"/>
    <n v="0"/>
  </r>
  <r>
    <x v="1"/>
    <x v="10"/>
    <n v="0"/>
    <x v="1"/>
    <s v="Vestdanmark"/>
    <n v="270118.44306124689"/>
    <n v="77398.170570230373"/>
    <n v="0"/>
    <n v="0"/>
    <n v="0"/>
    <n v="0"/>
    <n v="0"/>
    <n v="0"/>
    <n v="192720.27249101651"/>
    <n v="0"/>
    <n v="0"/>
    <n v="0"/>
    <n v="0"/>
    <n v="0"/>
    <n v="0"/>
    <n v="0"/>
    <n v="0"/>
    <n v="0"/>
    <n v="0"/>
  </r>
  <r>
    <x v="2"/>
    <x v="1"/>
    <n v="1"/>
    <x v="1"/>
    <s v="Vestdanmark"/>
    <n v="195082.22598438186"/>
    <n v="0"/>
    <n v="0"/>
    <n v="0"/>
    <n v="195082.24112879002"/>
    <n v="0"/>
    <n v="0"/>
    <n v="0"/>
    <n v="-1.5144408156629652E-2"/>
    <n v="0"/>
    <n v="195082.24112879002"/>
    <n v="0"/>
    <n v="0.6646276381240861"/>
    <n v="0.6646276381240861"/>
    <n v="0"/>
    <n v="0"/>
    <n v="54623.027516061207"/>
    <n v="54623.027516061207"/>
    <n v="0"/>
  </r>
  <r>
    <x v="3"/>
    <x v="10"/>
    <n v="1"/>
    <x v="1"/>
    <s v="Vestdanmark"/>
    <n v="564672636.49941862"/>
    <n v="0"/>
    <n v="0"/>
    <n v="0"/>
    <n v="0"/>
    <n v="0"/>
    <n v="564672636.49941862"/>
    <n v="0"/>
    <n v="0"/>
    <n v="0"/>
    <n v="564672636.49941862"/>
    <n v="0"/>
    <n v="0"/>
    <n v="0"/>
    <n v="0"/>
    <n v="0"/>
    <n v="0"/>
    <n v="0"/>
    <n v="0"/>
  </r>
  <r>
    <x v="4"/>
    <x v="10"/>
    <n v="0"/>
    <x v="1"/>
    <s v="Vestdanmark"/>
    <n v="23750220.038901571"/>
    <n v="0"/>
    <n v="0"/>
    <n v="0"/>
    <n v="0"/>
    <n v="21249287.826149497"/>
    <n v="0"/>
    <n v="0"/>
    <n v="2500932.212752074"/>
    <n v="0"/>
    <n v="0"/>
    <n v="0"/>
    <n v="0"/>
    <n v="0"/>
    <n v="0"/>
    <n v="0"/>
    <n v="0"/>
    <n v="0"/>
    <n v="0"/>
  </r>
  <r>
    <x v="5"/>
    <x v="1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Vestdanmark"/>
    <n v="3183510.9821506157"/>
    <n v="0"/>
    <n v="0"/>
    <n v="0"/>
    <n v="1591755.4910753078"/>
    <n v="602593.15019279509"/>
    <n v="0"/>
    <n v="0"/>
    <n v="989162.34088251274"/>
    <n v="989162.34088251274"/>
    <n v="1591755.4910753078"/>
    <n v="2.1306556822609326"/>
    <n v="5.5592970100371453"/>
    <n v="3.4286413277762131"/>
    <n v="2.1306556822609322"/>
    <n v="296748.70226475381"/>
    <n v="774275.34958734619"/>
    <n v="477526.64732259233"/>
    <n v="296748.70226475387"/>
  </r>
  <r>
    <x v="7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Vestdanmark"/>
    <n v="10011.271362654579"/>
    <n v="0"/>
    <n v="0"/>
    <n v="0"/>
    <n v="5005.6356813272896"/>
    <n v="5005.6356813272896"/>
    <n v="0"/>
    <n v="0"/>
    <n v="0"/>
    <n v="0"/>
    <n v="5005.6356813272896"/>
    <n v="0"/>
    <n v="2.3541004045714111E-3"/>
    <n v="2.3541004045714111E-3"/>
    <n v="0"/>
    <n v="0"/>
    <n v="315.35504792361922"/>
    <n v="315.35504792361922"/>
    <n v="0"/>
  </r>
  <r>
    <x v="9"/>
    <x v="10"/>
    <n v="0"/>
    <x v="1"/>
    <s v="Vestdanmark"/>
    <n v="217954.6674762161"/>
    <n v="0"/>
    <n v="0"/>
    <n v="35294.766599083188"/>
    <n v="0"/>
    <n v="0"/>
    <n v="0"/>
    <n v="0"/>
    <n v="182659.9008771329"/>
    <n v="0"/>
    <n v="0"/>
    <n v="0"/>
    <n v="0"/>
    <n v="0"/>
    <n v="0"/>
    <n v="0"/>
    <n v="0"/>
    <n v="0"/>
    <n v="0"/>
  </r>
  <r>
    <x v="10"/>
    <x v="10"/>
    <n v="0"/>
    <x v="1"/>
    <s v="Vestdanmark"/>
    <n v="925155.87360935542"/>
    <n v="0"/>
    <n v="0"/>
    <n v="0"/>
    <n v="0"/>
    <n v="0"/>
    <n v="0"/>
    <n v="0"/>
    <n v="925155.87360935542"/>
    <n v="0"/>
    <n v="0"/>
    <n v="0"/>
    <n v="0"/>
    <n v="0"/>
    <n v="0"/>
    <n v="0"/>
    <n v="0"/>
    <n v="0"/>
    <n v="0"/>
  </r>
  <r>
    <x v="11"/>
    <x v="10"/>
    <n v="0"/>
    <x v="1"/>
    <s v="Vestdanmark"/>
    <n v="27117.337735936886"/>
    <n v="0"/>
    <n v="0"/>
    <n v="257923.29437791562"/>
    <n v="0"/>
    <n v="0"/>
    <n v="0"/>
    <n v="0"/>
    <n v="-230805.95664197873"/>
    <n v="0"/>
    <n v="0"/>
    <n v="0"/>
    <n v="0"/>
    <n v="0"/>
    <n v="0"/>
    <n v="0"/>
    <n v="0"/>
    <n v="0"/>
    <n v="0"/>
  </r>
  <r>
    <x v="12"/>
    <x v="3"/>
    <n v="1"/>
    <x v="1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1"/>
    <s v="Vestdanmark"/>
    <n v="16463363.602305863"/>
    <n v="14685227.891109958"/>
    <n v="0"/>
    <n v="0"/>
    <n v="75614.059561949907"/>
    <n v="0"/>
    <n v="0"/>
    <n v="0"/>
    <n v="1702521.6516339555"/>
    <n v="1702521.6516339555"/>
    <n v="75614.059561949907"/>
    <n v="3.132427023800024"/>
    <n v="3.2715474416365664"/>
    <n v="0.13912041783654258"/>
    <n v="3.132427023800024"/>
    <n v="476706.06245750759"/>
    <n v="497877.9991348536"/>
    <n v="21171.936677345977"/>
    <n v="476706.06245750759"/>
  </r>
  <r>
    <x v="14"/>
    <x v="10"/>
    <n v="0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Vestdanmark"/>
    <n v="192243.07548074043"/>
    <n v="0"/>
    <n v="0"/>
    <n v="270140.71358529059"/>
    <n v="0"/>
    <n v="0"/>
    <n v="0"/>
    <n v="0"/>
    <n v="-77897.638104550162"/>
    <n v="0"/>
    <n v="0"/>
    <n v="0"/>
    <n v="0"/>
    <n v="0"/>
    <n v="0"/>
    <n v="0"/>
    <n v="0"/>
    <n v="0"/>
    <n v="0"/>
  </r>
  <r>
    <x v="16"/>
    <x v="5"/>
    <n v="1"/>
    <x v="1"/>
    <s v="Vestdanmark"/>
    <n v="2639184.2877324577"/>
    <n v="927703.07225151139"/>
    <n v="872369.9448285551"/>
    <n v="0"/>
    <n v="51993.557721309648"/>
    <n v="0"/>
    <n v="787117.71293108177"/>
    <n v="0"/>
    <n v="0"/>
    <n v="0"/>
    <n v="839111.27065239137"/>
    <n v="0"/>
    <n v="8.4352671837425373"/>
    <n v="0.29977093678451966"/>
    <n v="8.1354962469580183"/>
    <n v="0"/>
    <n v="713244.58005453262"/>
    <n v="44194.524063113196"/>
    <n v="669050.05599141947"/>
  </r>
  <r>
    <x v="17"/>
    <x v="1"/>
    <n v="1"/>
    <x v="1"/>
    <s v="Vestdanmark"/>
    <n v="526734.10986839118"/>
    <n v="0"/>
    <n v="0"/>
    <n v="0"/>
    <n v="41.80391161429587"/>
    <n v="0"/>
    <n v="526692.30595677684"/>
    <n v="0"/>
    <n v="0"/>
    <n v="0"/>
    <n v="526734.10986839118"/>
    <n v="0"/>
    <n v="9.4026981784507786"/>
    <n v="7.0985968194887394E-5"/>
    <n v="9.4026271924825835"/>
    <n v="0"/>
    <n v="158020.23296051734"/>
    <n v="12.541173484288761"/>
    <n v="158007.69178703305"/>
  </r>
  <r>
    <x v="18"/>
    <x v="10"/>
    <n v="0"/>
    <x v="1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1"/>
    <s v="Vestdanmark"/>
    <n v="589614.69758431474"/>
    <n v="0"/>
    <n v="0"/>
    <n v="0"/>
    <n v="534945.77839568327"/>
    <n v="0"/>
    <n v="0"/>
    <n v="0"/>
    <n v="54668.919188631466"/>
    <n v="54668.919188631466"/>
    <n v="534945.77839568327"/>
    <n v="0.23688753380383468"/>
    <n v="2.2071786944325686"/>
    <n v="1.9702911606287341"/>
    <n v="0.23688753380383454"/>
    <n v="22960.946059225214"/>
    <n v="247638.17298541218"/>
    <n v="224677.22692618697"/>
    <n v="22960.946059225214"/>
  </r>
  <r>
    <x v="20"/>
    <x v="10"/>
    <n v="0"/>
    <x v="1"/>
    <s v="Vestdanmark"/>
    <n v="800990.58717012103"/>
    <n v="0"/>
    <n v="0"/>
    <n v="0"/>
    <n v="0"/>
    <n v="0"/>
    <n v="0"/>
    <n v="0"/>
    <n v="800990.58717012103"/>
    <n v="0"/>
    <n v="0"/>
    <n v="0"/>
    <n v="0"/>
    <n v="0"/>
    <n v="0"/>
    <n v="0"/>
    <n v="0"/>
    <n v="0"/>
    <n v="0"/>
  </r>
  <r>
    <x v="21"/>
    <x v="10"/>
    <n v="0"/>
    <x v="1"/>
    <s v="Vestdanmark"/>
    <n v="2241845.3275075206"/>
    <n v="0"/>
    <n v="0"/>
    <n v="123531.68309679118"/>
    <n v="0"/>
    <n v="0"/>
    <n v="0"/>
    <n v="0"/>
    <n v="2118313.6444107294"/>
    <n v="0"/>
    <n v="0"/>
    <n v="0"/>
    <n v="0"/>
    <n v="0"/>
    <n v="0"/>
    <n v="0"/>
    <n v="0"/>
    <n v="0"/>
    <n v="0"/>
  </r>
  <r>
    <x v="22"/>
    <x v="5"/>
    <n v="1"/>
    <x v="1"/>
    <s v="Vestdanmark"/>
    <n v="7171156.7599390233"/>
    <n v="7055058.2423947481"/>
    <n v="0"/>
    <n v="295933.04302308214"/>
    <n v="2833.9333697705197"/>
    <n v="0"/>
    <n v="0"/>
    <n v="0"/>
    <n v="-182668.45884857792"/>
    <n v="0"/>
    <n v="2833.9333697705197"/>
    <n v="0"/>
    <n v="9.7058250407922632E-3"/>
    <n v="9.7058250407922632E-3"/>
    <n v="0"/>
    <n v="0"/>
    <n v="878.51934462886106"/>
    <n v="878.51934462886106"/>
    <n v="0"/>
  </r>
  <r>
    <x v="23"/>
    <x v="10"/>
    <n v="0"/>
    <x v="1"/>
    <s v="Vestdanmark"/>
    <n v="0"/>
    <n v="0"/>
    <n v="0"/>
    <n v="0"/>
    <n v="0"/>
    <n v="326194.91053704952"/>
    <n v="0"/>
    <n v="0"/>
    <n v="-326194.91053704952"/>
    <n v="0"/>
    <n v="0"/>
    <n v="0"/>
    <n v="0"/>
    <n v="0"/>
    <n v="0"/>
    <n v="0"/>
    <n v="0"/>
    <n v="0"/>
    <n v="0"/>
  </r>
  <r>
    <x v="24"/>
    <x v="2"/>
    <n v="1"/>
    <x v="1"/>
    <s v="Vestdanmark"/>
    <n v="15580196.053602941"/>
    <n v="0"/>
    <n v="0"/>
    <n v="0"/>
    <n v="11840949.000738235"/>
    <n v="3739247.0528647057"/>
    <n v="0"/>
    <n v="0"/>
    <n v="0"/>
    <n v="0"/>
    <n v="11840949.000738235"/>
    <n v="0"/>
    <n v="5.9937699746836879"/>
    <n v="5.9937699746836879"/>
    <n v="0"/>
    <n v="0"/>
    <n v="899912.12405610585"/>
    <n v="899912.12405610585"/>
    <n v="0"/>
  </r>
  <r>
    <x v="25"/>
    <x v="10"/>
    <n v="0"/>
    <x v="1"/>
    <s v="Vestdanmark"/>
    <n v="1945192.6384399957"/>
    <n v="1818857.0084004137"/>
    <n v="0"/>
    <n v="0"/>
    <n v="0"/>
    <n v="0"/>
    <n v="0"/>
    <n v="0"/>
    <n v="126335.63003958203"/>
    <n v="0"/>
    <n v="0"/>
    <n v="0"/>
    <n v="0"/>
    <n v="0"/>
    <n v="0"/>
    <n v="0"/>
    <n v="0"/>
    <n v="0"/>
    <n v="0"/>
  </r>
  <r>
    <x v="26"/>
    <x v="4"/>
    <n v="1"/>
    <x v="1"/>
    <s v="Vestdanmark"/>
    <n v="7983307.7524896674"/>
    <n v="6788464.5437639551"/>
    <n v="0"/>
    <n v="0"/>
    <n v="314692.31350359169"/>
    <n v="0"/>
    <n v="0"/>
    <n v="0"/>
    <n v="880150.89522212092"/>
    <n v="420587.66554026748"/>
    <n v="314692.31350359169"/>
    <n v="1.5099097192895603"/>
    <n v="2.6396551247674545"/>
    <n v="1.1297454054778944"/>
    <n v="1.5099097192895601"/>
    <n v="126176.29966208024"/>
    <n v="220583.99371315775"/>
    <n v="94407.694051077502"/>
    <n v="126176.29966208024"/>
  </r>
  <r>
    <x v="27"/>
    <x v="10"/>
    <n v="0"/>
    <x v="1"/>
    <s v="Vestdanmark"/>
    <n v="3753212.2579404083"/>
    <n v="0"/>
    <n v="0"/>
    <n v="472406.87601849809"/>
    <n v="0"/>
    <n v="0"/>
    <n v="0"/>
    <n v="0"/>
    <n v="3280805.3819219102"/>
    <n v="0"/>
    <n v="0"/>
    <n v="0"/>
    <n v="0"/>
    <n v="0"/>
    <n v="0"/>
    <n v="0"/>
    <n v="0"/>
    <n v="0"/>
    <n v="0"/>
  </r>
  <r>
    <x v="28"/>
    <x v="6"/>
    <n v="1"/>
    <x v="1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1"/>
    <s v="Vestdanmark"/>
    <n v="127401.76624978184"/>
    <n v="0"/>
    <n v="0"/>
    <n v="60028.253038902265"/>
    <n v="0"/>
    <n v="0"/>
    <n v="0"/>
    <n v="0"/>
    <n v="67373.513210879581"/>
    <n v="0"/>
    <n v="0"/>
    <n v="0"/>
    <n v="0"/>
    <n v="0"/>
    <n v="0"/>
    <n v="0"/>
    <n v="0"/>
    <n v="0"/>
    <n v="0"/>
  </r>
  <r>
    <x v="30"/>
    <x v="10"/>
    <n v="0"/>
    <x v="1"/>
    <s v="Vestdanmark"/>
    <n v="1683153.4103621913"/>
    <n v="0"/>
    <n v="0"/>
    <n v="0"/>
    <n v="0"/>
    <n v="0"/>
    <n v="0"/>
    <n v="0"/>
    <n v="1683153.4103621913"/>
    <n v="0"/>
    <n v="0"/>
    <n v="0"/>
    <n v="0"/>
    <n v="0"/>
    <n v="0"/>
    <n v="0"/>
    <n v="0"/>
    <n v="0"/>
    <n v="0"/>
  </r>
  <r>
    <x v="31"/>
    <x v="7"/>
    <n v="1"/>
    <x v="1"/>
    <s v="Vestdanmark"/>
    <n v="177516.46640303911"/>
    <n v="0"/>
    <n v="0"/>
    <n v="0"/>
    <n v="0"/>
    <n v="0"/>
    <n v="177516.46640303911"/>
    <n v="0"/>
    <n v="0"/>
    <n v="0"/>
    <n v="177516.46640303911"/>
    <n v="0"/>
    <n v="3.2663029818159193"/>
    <n v="0"/>
    <n v="3.2663029818159193"/>
    <n v="0"/>
    <n v="73669.333557261241"/>
    <n v="0"/>
    <n v="73669.333557261241"/>
  </r>
  <r>
    <x v="32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Vestdanmark"/>
    <n v="5844517.8424414396"/>
    <n v="0"/>
    <n v="0"/>
    <n v="0"/>
    <n v="0"/>
    <n v="0"/>
    <n v="0"/>
    <n v="0"/>
    <n v="5844517.8424414396"/>
    <n v="0"/>
    <n v="0"/>
    <n v="0"/>
    <n v="0"/>
    <n v="0"/>
    <n v="0"/>
    <n v="0"/>
    <n v="0"/>
    <n v="0"/>
    <n v="0"/>
  </r>
  <r>
    <x v="35"/>
    <x v="10"/>
    <n v="0"/>
    <x v="1"/>
    <s v="Vestdanmark"/>
    <n v="507790.70515370794"/>
    <n v="0"/>
    <n v="0"/>
    <n v="0"/>
    <n v="0"/>
    <n v="0"/>
    <n v="0"/>
    <n v="507790.70515370794"/>
    <n v="0"/>
    <n v="0"/>
    <n v="0"/>
    <n v="0"/>
    <n v="0"/>
    <n v="0"/>
    <n v="0"/>
    <n v="0"/>
    <n v="0"/>
    <n v="0"/>
    <n v="0"/>
  </r>
  <r>
    <x v="36"/>
    <x v="10"/>
    <n v="0"/>
    <x v="1"/>
    <s v="Vestdanmark"/>
    <n v="253895.35257685397"/>
    <n v="256918.92730951472"/>
    <n v="0"/>
    <n v="0"/>
    <n v="0"/>
    <n v="0"/>
    <n v="0"/>
    <n v="0"/>
    <n v="-3023.5747326607525"/>
    <n v="0"/>
    <n v="0"/>
    <n v="0"/>
    <n v="0"/>
    <n v="0"/>
    <n v="0"/>
    <n v="0"/>
    <n v="0"/>
    <n v="0"/>
    <n v="0"/>
  </r>
  <r>
    <x v="37"/>
    <x v="9"/>
    <n v="1"/>
    <x v="1"/>
    <s v="Vestdanmark"/>
    <n v="162493.02564918654"/>
    <n v="0"/>
    <n v="0"/>
    <n v="0"/>
    <n v="0"/>
    <n v="0"/>
    <n v="162493.02564918654"/>
    <n v="0"/>
    <n v="0"/>
    <n v="0"/>
    <n v="162493.02564918654"/>
    <n v="0"/>
    <n v="5.6872558977215286"/>
    <n v="0"/>
    <n v="5.6872558977215286"/>
    <n v="0"/>
    <n v="0"/>
    <n v="0"/>
    <n v="0"/>
  </r>
  <r>
    <x v="38"/>
    <x v="4"/>
    <n v="1"/>
    <x v="1"/>
    <s v="Vestdanmark"/>
    <n v="395099.15710561507"/>
    <n v="1009401.1411867546"/>
    <n v="0"/>
    <n v="0"/>
    <n v="4075.7207832735812"/>
    <n v="0"/>
    <n v="0"/>
    <n v="0"/>
    <n v="-618377.70486441301"/>
    <n v="0"/>
    <n v="4075.7207832735812"/>
    <n v="0"/>
    <n v="1.1061669234635831E-2"/>
    <n v="1.1061669234635831E-2"/>
    <n v="0"/>
    <n v="0"/>
    <n v="815.14415665471631"/>
    <n v="815.14415665471631"/>
    <n v="0"/>
  </r>
  <r>
    <x v="39"/>
    <x v="10"/>
    <n v="0"/>
    <x v="1"/>
    <s v="Vestdanmark"/>
    <n v="229347.69258761208"/>
    <n v="0"/>
    <n v="0"/>
    <n v="0"/>
    <n v="0"/>
    <n v="0"/>
    <n v="0"/>
    <n v="0"/>
    <n v="229347.69258761208"/>
    <n v="0"/>
    <n v="0"/>
    <n v="0"/>
    <n v="0"/>
    <n v="0"/>
    <n v="0"/>
    <n v="0"/>
    <n v="0"/>
    <n v="0"/>
    <n v="0"/>
  </r>
  <r>
    <x v="40"/>
    <x v="10"/>
    <n v="0"/>
    <x v="1"/>
    <s v="Vestdanmark"/>
    <n v="155631.99325653154"/>
    <n v="47298.882015140785"/>
    <n v="0"/>
    <n v="0"/>
    <n v="0"/>
    <n v="0"/>
    <n v="0"/>
    <n v="0"/>
    <n v="108333.11124139075"/>
    <n v="0"/>
    <n v="0"/>
    <n v="0"/>
    <n v="0"/>
    <n v="0"/>
    <n v="0"/>
    <n v="0"/>
    <n v="0"/>
    <n v="0"/>
    <n v="0"/>
  </r>
  <r>
    <x v="41"/>
    <x v="1"/>
    <n v="1"/>
    <x v="1"/>
    <s v="Vestdanmark"/>
    <n v="3998263.1551815392"/>
    <n v="0"/>
    <n v="0"/>
    <n v="0"/>
    <n v="1516336.6800324824"/>
    <n v="0"/>
    <n v="0"/>
    <n v="0"/>
    <n v="2481926.4751490569"/>
    <n v="2481926.4751490569"/>
    <n v="1516336.6800324824"/>
    <n v="1.2385061303641312"/>
    <n v="1.9951732970671403"/>
    <n v="0.75666716670300915"/>
    <n v="1.2385061303641312"/>
    <n v="148915.58850894342"/>
    <n v="239895.78931089235"/>
    <n v="90980.200801948944"/>
    <n v="148915.58850894339"/>
  </r>
  <r>
    <x v="42"/>
    <x v="2"/>
    <n v="1"/>
    <x v="1"/>
    <s v="Vestdanmark"/>
    <n v="18089799.811057284"/>
    <n v="0"/>
    <n v="0"/>
    <n v="0"/>
    <n v="9587593.8998603616"/>
    <n v="8502205.9111969229"/>
    <n v="0"/>
    <n v="0"/>
    <n v="0"/>
    <n v="0"/>
    <n v="9587593.8998603616"/>
    <n v="0"/>
    <n v="4.1303354520598443"/>
    <n v="4.1303354520598443"/>
    <n v="0"/>
    <n v="0"/>
    <n v="479379.69499301811"/>
    <n v="479379.69499301811"/>
    <n v="0"/>
  </r>
  <r>
    <x v="43"/>
    <x v="10"/>
    <n v="0"/>
    <x v="1"/>
    <s v="Vestdanmark"/>
    <n v="1653615.6309381565"/>
    <n v="0"/>
    <n v="0"/>
    <n v="121875.54404868034"/>
    <n v="0"/>
    <n v="0"/>
    <n v="0"/>
    <n v="0"/>
    <n v="1531740.086889476"/>
    <n v="0"/>
    <n v="0"/>
    <n v="0"/>
    <n v="0"/>
    <n v="0"/>
    <n v="0"/>
    <n v="0"/>
    <n v="0"/>
    <n v="0"/>
    <n v="0"/>
  </r>
  <r>
    <x v="44"/>
    <x v="6"/>
    <n v="1"/>
    <x v="1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1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Vestdanmark"/>
    <n v="2203715.0015238998"/>
    <n v="0"/>
    <n v="0"/>
    <n v="0"/>
    <n v="0"/>
    <n v="0"/>
    <n v="2203715.0015238998"/>
    <n v="0"/>
    <n v="0"/>
    <n v="0"/>
    <n v="2203715.0015238998"/>
    <n v="0"/>
    <n v="31.93969521225883"/>
    <n v="0"/>
    <n v="31.93969521225883"/>
    <n v="0"/>
    <n v="1089920.7111703621"/>
    <n v="0"/>
    <n v="1089920.7111703621"/>
  </r>
  <r>
    <x v="47"/>
    <x v="10"/>
    <n v="0"/>
    <x v="1"/>
    <s v="Vestdanmark"/>
    <n v="605932.0339558397"/>
    <n v="0"/>
    <n v="0"/>
    <n v="0"/>
    <n v="0"/>
    <n v="0"/>
    <n v="0"/>
    <n v="605932.0339558397"/>
    <n v="0"/>
    <n v="0"/>
    <n v="0"/>
    <n v="0"/>
    <n v="0"/>
    <n v="0"/>
    <n v="0"/>
    <n v="0"/>
    <n v="0"/>
    <n v="0"/>
    <n v="0"/>
  </r>
  <r>
    <x v="0"/>
    <x v="10"/>
    <n v="0"/>
    <x v="2"/>
    <s v="Vestdanmark"/>
    <n v="249867.88679150312"/>
    <n v="0"/>
    <n v="0"/>
    <n v="33849.968886444818"/>
    <n v="0"/>
    <n v="0"/>
    <n v="0"/>
    <n v="0"/>
    <n v="216017.9179050583"/>
    <n v="0"/>
    <n v="0"/>
    <n v="0"/>
    <n v="0"/>
    <n v="0"/>
    <n v="0"/>
    <n v="0"/>
    <n v="0"/>
    <n v="0"/>
    <n v="0"/>
  </r>
  <r>
    <x v="1"/>
    <x v="10"/>
    <n v="0"/>
    <x v="2"/>
    <s v="Vestdanmark"/>
    <n v="279414.6339744032"/>
    <n v="77398.170570230373"/>
    <n v="0"/>
    <n v="0"/>
    <n v="0"/>
    <n v="0"/>
    <n v="0"/>
    <n v="0"/>
    <n v="202016.46340417283"/>
    <n v="0"/>
    <n v="0"/>
    <n v="0"/>
    <n v="0"/>
    <n v="0"/>
    <n v="0"/>
    <n v="0"/>
    <n v="0"/>
    <n v="0"/>
    <n v="0"/>
  </r>
  <r>
    <x v="2"/>
    <x v="1"/>
    <n v="1"/>
    <x v="2"/>
    <s v="Vestdanmark"/>
    <n v="197484.13479984918"/>
    <n v="0"/>
    <n v="0"/>
    <n v="0"/>
    <n v="197484.23354298095"/>
    <n v="0"/>
    <n v="0"/>
    <n v="0"/>
    <n v="-9.8743131762603298E-2"/>
    <n v="0"/>
    <n v="197484.23354298095"/>
    <n v="0"/>
    <n v="0.67281101009991739"/>
    <n v="0.67281101009991739"/>
    <n v="0"/>
    <n v="0"/>
    <n v="55295.585392034671"/>
    <n v="55295.585392034671"/>
    <n v="0"/>
  </r>
  <r>
    <x v="3"/>
    <x v="10"/>
    <n v="1"/>
    <x v="2"/>
    <s v="Vestdanmark"/>
    <n v="561658711.83836472"/>
    <n v="0"/>
    <n v="0"/>
    <n v="0"/>
    <n v="0"/>
    <n v="0"/>
    <n v="561658711.83836472"/>
    <n v="0"/>
    <n v="0"/>
    <n v="0"/>
    <n v="561658711.83836472"/>
    <n v="0"/>
    <n v="0"/>
    <n v="0"/>
    <n v="0"/>
    <n v="0"/>
    <n v="0"/>
    <n v="0"/>
    <n v="0"/>
  </r>
  <r>
    <x v="4"/>
    <x v="10"/>
    <n v="0"/>
    <x v="2"/>
    <s v="Vestdanmark"/>
    <n v="23285588.83545886"/>
    <n v="0"/>
    <n v="0"/>
    <n v="0"/>
    <n v="0"/>
    <n v="20673448.784384709"/>
    <n v="0"/>
    <n v="0"/>
    <n v="2612140.0510741509"/>
    <n v="0"/>
    <n v="0"/>
    <n v="0"/>
    <n v="0"/>
    <n v="0"/>
    <n v="0"/>
    <n v="0"/>
    <n v="0"/>
    <n v="0"/>
    <n v="0"/>
  </r>
  <r>
    <x v="5"/>
    <x v="1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Vestdanmark"/>
    <n v="3333573.27322629"/>
    <n v="0"/>
    <n v="0"/>
    <n v="0"/>
    <n v="1666786.636613145"/>
    <n v="630997.79814640491"/>
    <n v="0"/>
    <n v="0"/>
    <n v="1035788.8384667402"/>
    <n v="1035788.8384667402"/>
    <n v="1666786.636613145"/>
    <n v="2.2310891580573586"/>
    <n v="5.8213475733220736"/>
    <n v="3.5902584152647146"/>
    <n v="2.2310891580573591"/>
    <n v="310736.65154002205"/>
    <n v="810772.64252396557"/>
    <n v="500035.99098394345"/>
    <n v="310736.65154002211"/>
  </r>
  <r>
    <x v="7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Vestdanmark"/>
    <n v="10338.638066978907"/>
    <n v="0"/>
    <n v="0"/>
    <n v="0"/>
    <n v="5169.3190334894534"/>
    <n v="5169.3190334894534"/>
    <n v="0"/>
    <n v="0"/>
    <n v="0"/>
    <n v="0"/>
    <n v="5169.3190334894534"/>
    <n v="0"/>
    <n v="2.4310790482597552E-3"/>
    <n v="2.4310790482597552E-3"/>
    <n v="0"/>
    <n v="0"/>
    <n v="325.66709910983559"/>
    <n v="325.66709910983559"/>
    <n v="0"/>
  </r>
  <r>
    <x v="9"/>
    <x v="10"/>
    <n v="0"/>
    <x v="2"/>
    <s v="Vestdanmark"/>
    <n v="208390.50149991471"/>
    <n v="0"/>
    <n v="0"/>
    <n v="36670.799626981883"/>
    <n v="0"/>
    <n v="0"/>
    <n v="0"/>
    <n v="0"/>
    <n v="171719.70187293284"/>
    <n v="0"/>
    <n v="0"/>
    <n v="0"/>
    <n v="0"/>
    <n v="0"/>
    <n v="0"/>
    <n v="0"/>
    <n v="0"/>
    <n v="0"/>
    <n v="0"/>
  </r>
  <r>
    <x v="10"/>
    <x v="10"/>
    <n v="0"/>
    <x v="2"/>
    <s v="Vestdanmark"/>
    <n v="958505.49613034155"/>
    <n v="0"/>
    <n v="0"/>
    <n v="0"/>
    <n v="0"/>
    <n v="0"/>
    <n v="0"/>
    <n v="0"/>
    <n v="958505.49613034155"/>
    <n v="0"/>
    <n v="0"/>
    <n v="0"/>
    <n v="0"/>
    <n v="0"/>
    <n v="0"/>
    <n v="0"/>
    <n v="0"/>
    <n v="0"/>
    <n v="0"/>
  </r>
  <r>
    <x v="11"/>
    <x v="10"/>
    <n v="0"/>
    <x v="2"/>
    <s v="Vestdanmark"/>
    <n v="28053.238119137233"/>
    <n v="0"/>
    <n v="0"/>
    <n v="267978.92035102146"/>
    <n v="0"/>
    <n v="0"/>
    <n v="0"/>
    <n v="0"/>
    <n v="-239925.68223188422"/>
    <n v="0"/>
    <n v="0"/>
    <n v="0"/>
    <n v="0"/>
    <n v="0"/>
    <n v="0"/>
    <n v="0"/>
    <n v="0"/>
    <n v="0"/>
    <n v="0"/>
  </r>
  <r>
    <x v="12"/>
    <x v="3"/>
    <n v="1"/>
    <x v="2"/>
    <s v="Vestdanmark"/>
    <n v="0"/>
    <n v="0"/>
    <n v="0"/>
    <n v="0"/>
    <n v="114193.60000000001"/>
    <n v="0"/>
    <n v="0"/>
    <n v="0"/>
    <n v="-114193.60000000001"/>
    <n v="0"/>
    <n v="114193.60000000001"/>
    <n v="0"/>
    <n v="1.7355855896064003"/>
    <n v="1.7355855896064003"/>
    <n v="0"/>
    <n v="0"/>
    <n v="102774.24"/>
    <n v="102774.24"/>
    <n v="0"/>
  </r>
  <r>
    <x v="13"/>
    <x v="4"/>
    <n v="1"/>
    <x v="2"/>
    <s v="Vestdanmark"/>
    <n v="17271454.74298735"/>
    <n v="14685227.891109958"/>
    <n v="0"/>
    <n v="0"/>
    <n v="75527.053678542026"/>
    <n v="0"/>
    <n v="0"/>
    <n v="0"/>
    <n v="2510699.798198849"/>
    <n v="2510699.798198849"/>
    <n v="75527.053678542026"/>
    <n v="4.6193737912111077"/>
    <n v="4.7583341290979151"/>
    <n v="0.13896033788680751"/>
    <n v="4.6193737912111077"/>
    <n v="702995.94349567778"/>
    <n v="724143.51852566947"/>
    <n v="21147.575029991771"/>
    <n v="702995.94349567767"/>
  </r>
  <r>
    <x v="14"/>
    <x v="10"/>
    <n v="0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Vestdanmark"/>
    <n v="197391.62155129627"/>
    <n v="0"/>
    <n v="0"/>
    <n v="280672.65868343826"/>
    <n v="0"/>
    <n v="0"/>
    <n v="0"/>
    <n v="0"/>
    <n v="-83281.037132141995"/>
    <n v="0"/>
    <n v="0"/>
    <n v="0"/>
    <n v="0"/>
    <n v="0"/>
    <n v="0"/>
    <n v="0"/>
    <n v="0"/>
    <n v="0"/>
    <n v="0"/>
  </r>
  <r>
    <x v="16"/>
    <x v="5"/>
    <n v="1"/>
    <x v="2"/>
    <s v="Vestdanmark"/>
    <n v="2554079.4309541653"/>
    <n v="927703.07225151139"/>
    <n v="868816.20672013925"/>
    <n v="0"/>
    <n v="51614.661983045924"/>
    <n v="0"/>
    <n v="705945.48999946821"/>
    <n v="0"/>
    <n v="0"/>
    <n v="0"/>
    <n v="757560.15198251419"/>
    <n v="0"/>
    <n v="7.5941022688695501"/>
    <n v="0.2975863982497306"/>
    <n v="7.2965158706198192"/>
    <n v="0"/>
    <n v="643926.12918513699"/>
    <n v="43872.462685589031"/>
    <n v="600053.66649954801"/>
  </r>
  <r>
    <x v="17"/>
    <x v="1"/>
    <n v="1"/>
    <x v="2"/>
    <s v="Vestdanmark"/>
    <n v="524881.97503939818"/>
    <n v="0"/>
    <n v="0"/>
    <n v="0"/>
    <n v="41.656918132692169"/>
    <n v="0"/>
    <n v="524840.3181212655"/>
    <n v="0"/>
    <n v="0"/>
    <n v="0"/>
    <n v="524881.97503939818"/>
    <n v="0"/>
    <n v="9.3696358336044021"/>
    <n v="7.0736362973580603E-5"/>
    <n v="9.3695650972414288"/>
    <n v="0"/>
    <n v="157464.59251181944"/>
    <n v="12.49707543980765"/>
    <n v="157452.09543637963"/>
  </r>
  <r>
    <x v="18"/>
    <x v="10"/>
    <n v="0"/>
    <x v="2"/>
    <s v="Vestdanmark"/>
    <n v="0"/>
    <n v="5794113.0468547465"/>
    <n v="0"/>
    <n v="0"/>
    <n v="0"/>
    <n v="0"/>
    <n v="0"/>
    <n v="0"/>
    <n v="-5794113.0468547465"/>
    <n v="0"/>
    <n v="0"/>
    <n v="0"/>
    <n v="0"/>
    <n v="0"/>
    <n v="0"/>
    <n v="0"/>
    <n v="0"/>
    <n v="0"/>
    <n v="0"/>
  </r>
  <r>
    <x v="19"/>
    <x v="1"/>
    <n v="1"/>
    <x v="2"/>
    <s v="Vestdanmark"/>
    <n v="585716.08517907641"/>
    <n v="0"/>
    <n v="0"/>
    <n v="0"/>
    <n v="531600.61023474101"/>
    <n v="0"/>
    <n v="0"/>
    <n v="0"/>
    <n v="54115.474944335409"/>
    <n v="54115.474944335409"/>
    <n v="531600.61023474101"/>
    <n v="0.23448938794554811"/>
    <n v="2.192459757338042"/>
    <n v="1.9579703693924939"/>
    <n v="0.23448938794554808"/>
    <n v="22728.499476620869"/>
    <n v="246000.75577521208"/>
    <n v="223272.25629859121"/>
    <n v="22728.499476620869"/>
  </r>
  <r>
    <x v="20"/>
    <x v="10"/>
    <n v="0"/>
    <x v="2"/>
    <s v="Vestdanmark"/>
    <n v="828635.16661860154"/>
    <n v="0"/>
    <n v="0"/>
    <n v="0"/>
    <n v="0"/>
    <n v="0"/>
    <n v="0"/>
    <n v="0"/>
    <n v="828635.16661860154"/>
    <n v="0"/>
    <n v="0"/>
    <n v="0"/>
    <n v="0"/>
    <n v="0"/>
    <n v="0"/>
    <n v="0"/>
    <n v="0"/>
    <n v="0"/>
    <n v="0"/>
  </r>
  <r>
    <x v="21"/>
    <x v="10"/>
    <n v="0"/>
    <x v="2"/>
    <s v="Vestdanmark"/>
    <n v="2319843.659459726"/>
    <n v="0"/>
    <n v="0"/>
    <n v="128347.79869443661"/>
    <n v="0"/>
    <n v="0"/>
    <n v="0"/>
    <n v="0"/>
    <n v="2191495.8607652895"/>
    <n v="0"/>
    <n v="0"/>
    <n v="0"/>
    <n v="0"/>
    <n v="0"/>
    <n v="0"/>
    <n v="0"/>
    <n v="0"/>
    <n v="0"/>
    <n v="0"/>
  </r>
  <r>
    <x v="22"/>
    <x v="5"/>
    <n v="1"/>
    <x v="2"/>
    <s v="Vestdanmark"/>
    <n v="7450959.0772760846"/>
    <n v="7055058.2423947481"/>
    <n v="0"/>
    <n v="307470.55071854044"/>
    <n v="2825.7560217041437"/>
    <n v="0"/>
    <n v="0"/>
    <n v="0"/>
    <n v="85604.528141091578"/>
    <n v="85604.528141091578"/>
    <n v="2825.7560217041437"/>
    <n v="0.29318352424929894"/>
    <n v="0.30286134301779261"/>
    <n v="9.6778187684936554E-3"/>
    <n v="0.29318352424929894"/>
    <n v="26537.403723738389"/>
    <n v="27413.388090466673"/>
    <n v="875.9843667282845"/>
    <n v="26537.403723738389"/>
  </r>
  <r>
    <x v="23"/>
    <x v="10"/>
    <n v="0"/>
    <x v="2"/>
    <s v="Vestdanmark"/>
    <n v="0"/>
    <n v="0"/>
    <n v="0"/>
    <n v="0"/>
    <n v="0"/>
    <n v="309762.85640159156"/>
    <n v="0"/>
    <n v="0"/>
    <n v="-309762.85640159156"/>
    <n v="0"/>
    <n v="0"/>
    <n v="0"/>
    <n v="0"/>
    <n v="0"/>
    <n v="0"/>
    <n v="0"/>
    <n v="0"/>
    <n v="0"/>
    <n v="0"/>
  </r>
  <r>
    <x v="24"/>
    <x v="2"/>
    <n v="1"/>
    <x v="2"/>
    <s v="Vestdanmark"/>
    <n v="15282487.80305979"/>
    <n v="0"/>
    <n v="0"/>
    <n v="0"/>
    <n v="11614690.73032544"/>
    <n v="3667797.0727343494"/>
    <n v="0"/>
    <n v="0"/>
    <n v="0"/>
    <n v="0"/>
    <n v="11614690.73032544"/>
    <n v="0"/>
    <n v="5.8792403007834348"/>
    <n v="5.8792403007834348"/>
    <n v="0"/>
    <n v="0"/>
    <n v="882716.49550473341"/>
    <n v="882716.49550473341"/>
    <n v="0"/>
  </r>
  <r>
    <x v="25"/>
    <x v="10"/>
    <n v="0"/>
    <x v="2"/>
    <s v="Vestdanmark"/>
    <n v="1909060.1640936765"/>
    <n v="1818857.0084004137"/>
    <n v="0"/>
    <n v="0"/>
    <n v="0"/>
    <n v="0"/>
    <n v="0"/>
    <n v="0"/>
    <n v="90203.155693262815"/>
    <n v="0"/>
    <n v="0"/>
    <n v="0"/>
    <n v="0"/>
    <n v="0"/>
    <n v="0"/>
    <n v="0"/>
    <n v="0"/>
    <n v="0"/>
    <n v="0"/>
  </r>
  <r>
    <x v="26"/>
    <x v="4"/>
    <n v="1"/>
    <x v="2"/>
    <s v="Vestdanmark"/>
    <n v="8353109.1121058436"/>
    <n v="6788464.5437639551"/>
    <n v="0"/>
    <n v="0"/>
    <n v="314525.12457946909"/>
    <n v="0"/>
    <n v="0"/>
    <n v="0"/>
    <n v="1250119.4437624197"/>
    <n v="813064.48232254898"/>
    <n v="314525.12457946909"/>
    <n v="2.9189014915379512"/>
    <n v="4.0480466887782454"/>
    <n v="1.1291451972402942"/>
    <n v="2.9189014915379512"/>
    <n v="243919.34469676469"/>
    <n v="338276.88207060547"/>
    <n v="94357.537373840722"/>
    <n v="243919.34469676475"/>
  </r>
  <r>
    <x v="27"/>
    <x v="10"/>
    <n v="0"/>
    <x v="2"/>
    <s v="Vestdanmark"/>
    <n v="3683495.3348211222"/>
    <n v="0"/>
    <n v="0"/>
    <n v="490824.54885344987"/>
    <n v="0"/>
    <n v="0"/>
    <n v="0"/>
    <n v="0"/>
    <n v="3192670.7859676722"/>
    <n v="0"/>
    <n v="0"/>
    <n v="0"/>
    <n v="0"/>
    <n v="0"/>
    <n v="0"/>
    <n v="0"/>
    <n v="0"/>
    <n v="0"/>
    <n v="0"/>
  </r>
  <r>
    <x v="28"/>
    <x v="6"/>
    <n v="1"/>
    <x v="2"/>
    <s v="Vestdanmark"/>
    <n v="209595.14629167612"/>
    <n v="0"/>
    <n v="0"/>
    <n v="0"/>
    <n v="0"/>
    <n v="0"/>
    <n v="0"/>
    <n v="0"/>
    <n v="209595.14629167612"/>
    <n v="209595.14629167612"/>
    <n v="0"/>
    <n v="0.18811164379677933"/>
    <n v="0.18811164379677933"/>
    <n v="0"/>
    <n v="0.18811164379677933"/>
    <n v="31439.271943751417"/>
    <n v="31439.271943751417"/>
    <n v="0"/>
    <n v="31439.271943751417"/>
  </r>
  <r>
    <x v="29"/>
    <x v="10"/>
    <n v="0"/>
    <x v="2"/>
    <s v="Vestdanmark"/>
    <n v="123345.7388852182"/>
    <n v="0"/>
    <n v="0"/>
    <n v="62368.567673274578"/>
    <n v="0"/>
    <n v="0"/>
    <n v="0"/>
    <n v="0"/>
    <n v="60977.171211943627"/>
    <n v="0"/>
    <n v="0"/>
    <n v="0"/>
    <n v="0"/>
    <n v="0"/>
    <n v="0"/>
    <n v="0"/>
    <n v="0"/>
    <n v="0"/>
    <n v="0"/>
  </r>
  <r>
    <x v="30"/>
    <x v="10"/>
    <n v="0"/>
    <x v="2"/>
    <s v="Vestdanmark"/>
    <n v="1741244.0657606875"/>
    <n v="0"/>
    <n v="0"/>
    <n v="0"/>
    <n v="0"/>
    <n v="0"/>
    <n v="0"/>
    <n v="0"/>
    <n v="1741244.0657606875"/>
    <n v="0"/>
    <n v="0"/>
    <n v="0"/>
    <n v="0"/>
    <n v="0"/>
    <n v="0"/>
    <n v="0"/>
    <n v="0"/>
    <n v="0"/>
    <n v="0"/>
  </r>
  <r>
    <x v="31"/>
    <x v="7"/>
    <n v="1"/>
    <x v="2"/>
    <s v="Vestdanmark"/>
    <n v="184273.6818542117"/>
    <n v="0"/>
    <n v="0"/>
    <n v="0"/>
    <n v="0"/>
    <n v="0"/>
    <n v="184273.6818542117"/>
    <n v="0"/>
    <n v="0"/>
    <n v="0"/>
    <n v="184273.6818542117"/>
    <n v="0"/>
    <n v="3.3906357461174945"/>
    <n v="0"/>
    <n v="3.3906357461174945"/>
    <n v="0"/>
    <n v="76473.577969497856"/>
    <n v="0"/>
    <n v="76473.577969497856"/>
  </r>
  <r>
    <x v="32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Vestdanmark"/>
    <n v="5735954.3578613317"/>
    <n v="0"/>
    <n v="0"/>
    <n v="0"/>
    <n v="0"/>
    <n v="0"/>
    <n v="0"/>
    <n v="0"/>
    <n v="5735954.3578613317"/>
    <n v="0"/>
    <n v="0"/>
    <n v="0"/>
    <n v="0"/>
    <n v="0"/>
    <n v="0"/>
    <n v="0"/>
    <n v="0"/>
    <n v="0"/>
    <n v="0"/>
  </r>
  <r>
    <x v="35"/>
    <x v="10"/>
    <n v="0"/>
    <x v="2"/>
    <s v="Vestdanmark"/>
    <n v="524623.08835190837"/>
    <n v="0"/>
    <n v="0"/>
    <n v="0"/>
    <n v="0"/>
    <n v="0"/>
    <n v="0"/>
    <n v="524623.08835190837"/>
    <n v="0"/>
    <n v="0"/>
    <n v="0"/>
    <n v="0"/>
    <n v="0"/>
    <n v="0"/>
    <n v="0"/>
    <n v="0"/>
    <n v="0"/>
    <n v="0"/>
    <n v="0"/>
  </r>
  <r>
    <x v="36"/>
    <x v="10"/>
    <n v="0"/>
    <x v="2"/>
    <s v="Vestdanmark"/>
    <n v="262311.54417595419"/>
    <n v="256918.92730951472"/>
    <n v="0"/>
    <n v="0"/>
    <n v="0"/>
    <n v="0"/>
    <n v="0"/>
    <n v="0"/>
    <n v="5392.6168664394645"/>
    <n v="0"/>
    <n v="0"/>
    <n v="0"/>
    <n v="0"/>
    <n v="0"/>
    <n v="0"/>
    <n v="0"/>
    <n v="0"/>
    <n v="0"/>
    <n v="0"/>
  </r>
  <r>
    <x v="37"/>
    <x v="9"/>
    <n v="1"/>
    <x v="2"/>
    <s v="Vestdanmark"/>
    <n v="167879.3882726107"/>
    <n v="0"/>
    <n v="0"/>
    <n v="0"/>
    <n v="0"/>
    <n v="0"/>
    <n v="167879.3882726107"/>
    <n v="0"/>
    <n v="0"/>
    <n v="0"/>
    <n v="167879.3882726107"/>
    <n v="0"/>
    <n v="5.8757785895413734"/>
    <n v="0"/>
    <n v="5.8757785895413734"/>
    <n v="0"/>
    <n v="0"/>
    <n v="0"/>
    <n v="0"/>
  </r>
  <r>
    <x v="38"/>
    <x v="4"/>
    <n v="1"/>
    <x v="2"/>
    <s v="Vestdanmark"/>
    <n v="408411.71044063132"/>
    <n v="1009401.1411867546"/>
    <n v="0"/>
    <n v="0"/>
    <n v="4034.0707756292709"/>
    <n v="0"/>
    <n v="0"/>
    <n v="0"/>
    <n v="-605023.50152175245"/>
    <n v="0"/>
    <n v="4034.0707756292709"/>
    <n v="0"/>
    <n v="1.0948629447888866E-2"/>
    <n v="1.0948629447888866E-2"/>
    <n v="0"/>
    <n v="0"/>
    <n v="806.8141551258542"/>
    <n v="806.8141551258542"/>
    <n v="0"/>
  </r>
  <r>
    <x v="39"/>
    <x v="10"/>
    <n v="0"/>
    <x v="2"/>
    <s v="Vestdanmark"/>
    <n v="222680.59406186192"/>
    <n v="0"/>
    <n v="0"/>
    <n v="0"/>
    <n v="0"/>
    <n v="0"/>
    <n v="0"/>
    <n v="0"/>
    <n v="222680.59406186192"/>
    <n v="0"/>
    <n v="0"/>
    <n v="0"/>
    <n v="0"/>
    <n v="0"/>
    <n v="0"/>
    <n v="0"/>
    <n v="0"/>
    <n v="0"/>
    <n v="0"/>
  </r>
  <r>
    <x v="40"/>
    <x v="10"/>
    <n v="0"/>
    <x v="2"/>
    <s v="Vestdanmark"/>
    <n v="151320.29792095526"/>
    <n v="47298.882015140785"/>
    <n v="0"/>
    <n v="0"/>
    <n v="0"/>
    <n v="0"/>
    <n v="0"/>
    <n v="0"/>
    <n v="104021.41590581447"/>
    <n v="0"/>
    <n v="0"/>
    <n v="0"/>
    <n v="0"/>
    <n v="0"/>
    <n v="0"/>
    <n v="0"/>
    <n v="0"/>
    <n v="0"/>
    <n v="0"/>
  </r>
  <r>
    <x v="41"/>
    <x v="1"/>
    <n v="1"/>
    <x v="2"/>
    <s v="Vestdanmark"/>
    <n v="4145732.4076082129"/>
    <n v="0"/>
    <n v="0"/>
    <n v="0"/>
    <n v="1572264.2235564108"/>
    <n v="0"/>
    <n v="0"/>
    <n v="0"/>
    <n v="2573468.1840518024"/>
    <n v="2573468.1840518024"/>
    <n v="1572264.2235564108"/>
    <n v="1.2841863585236901"/>
    <n v="2.0687619287205745"/>
    <n v="0.78457557019688462"/>
    <n v="1.2841863585236899"/>
    <n v="154408.09104310814"/>
    <n v="248743.94445649275"/>
    <n v="94335.853413384641"/>
    <n v="154408.09104310811"/>
  </r>
  <r>
    <x v="42"/>
    <x v="2"/>
    <n v="1"/>
    <x v="2"/>
    <s v="Vestdanmark"/>
    <n v="17318750.121095471"/>
    <n v="0"/>
    <n v="0"/>
    <n v="0"/>
    <n v="9178937.5641805995"/>
    <n v="8139812.5569148706"/>
    <n v="0"/>
    <n v="0"/>
    <n v="0"/>
    <n v="0"/>
    <n v="9178937.5641805995"/>
    <n v="0"/>
    <n v="3.9542863026490029"/>
    <n v="3.9542863026490029"/>
    <n v="0"/>
    <n v="0"/>
    <n v="458946.87820903002"/>
    <n v="458946.87820903002"/>
    <n v="0"/>
  </r>
  <r>
    <x v="43"/>
    <x v="10"/>
    <n v="0"/>
    <x v="2"/>
    <s v="Vestdanmark"/>
    <n v="1608181.0498602674"/>
    <n v="0"/>
    <n v="0"/>
    <n v="126627.09194270898"/>
    <n v="0"/>
    <n v="0"/>
    <n v="0"/>
    <n v="0"/>
    <n v="1481553.9579175585"/>
    <n v="0"/>
    <n v="0"/>
    <n v="0"/>
    <n v="0"/>
    <n v="0"/>
    <n v="0"/>
    <n v="0"/>
    <n v="0"/>
    <n v="0"/>
    <n v="0"/>
  </r>
  <r>
    <x v="44"/>
    <x v="6"/>
    <n v="1"/>
    <x v="2"/>
    <s v="Vestdanmark"/>
    <n v="84600"/>
    <n v="0"/>
    <n v="0"/>
    <n v="0"/>
    <n v="0"/>
    <n v="0"/>
    <n v="0"/>
    <n v="0"/>
    <n v="84600"/>
    <n v="84600"/>
    <n v="0"/>
    <n v="7.592850000000001E-2"/>
    <n v="7.592850000000001E-2"/>
    <n v="0"/>
    <n v="7.592850000000001E-2"/>
    <n v="12690"/>
    <n v="12690"/>
    <n v="0"/>
    <n v="12690"/>
  </r>
  <r>
    <x v="45"/>
    <x v="10"/>
    <n v="1"/>
    <x v="2"/>
    <s v="Ve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Vestdanmark"/>
    <n v="2001216.64646261"/>
    <n v="0"/>
    <n v="0"/>
    <n v="0"/>
    <n v="0"/>
    <n v="0"/>
    <n v="2001216.64646261"/>
    <n v="0"/>
    <n v="0"/>
    <n v="0"/>
    <n v="2001216.64646261"/>
    <n v="0"/>
    <n v="29.004771350884361"/>
    <n v="0"/>
    <n v="29.004771350884361"/>
    <n v="0"/>
    <n v="989768.39972963254"/>
    <n v="0"/>
    <n v="989768.39972963254"/>
  </r>
  <r>
    <x v="47"/>
    <x v="10"/>
    <n v="0"/>
    <x v="2"/>
    <s v="Vestdanmark"/>
    <n v="551684.14080425573"/>
    <n v="0"/>
    <n v="0"/>
    <n v="0"/>
    <n v="0"/>
    <n v="0"/>
    <n v="0"/>
    <n v="551684.14080425573"/>
    <n v="0"/>
    <n v="0"/>
    <n v="0"/>
    <n v="0"/>
    <n v="0"/>
    <n v="0"/>
    <n v="0"/>
    <n v="0"/>
    <n v="0"/>
    <n v="0"/>
    <n v="0"/>
  </r>
  <r>
    <x v="0"/>
    <x v="0"/>
    <n v="0"/>
    <x v="0"/>
    <s v="Østdanmark"/>
    <n v="18450.007031483605"/>
    <n v="0"/>
    <n v="0"/>
    <n v="26880.542267330831"/>
    <n v="0"/>
    <n v="0"/>
    <n v="0"/>
    <n v="0"/>
    <n v="-8430.5352358472264"/>
    <n v="0"/>
    <n v="0"/>
    <n v="0"/>
    <n v="0"/>
    <n v="0"/>
    <n v="0"/>
    <n v="0"/>
    <n v="0"/>
    <n v="0"/>
    <n v="0"/>
  </r>
  <r>
    <x v="1"/>
    <x v="0"/>
    <n v="0"/>
    <x v="0"/>
    <s v="Østdanmark"/>
    <n v="27039.772448692573"/>
    <n v="7916.616753740097"/>
    <n v="0"/>
    <n v="0"/>
    <n v="0"/>
    <n v="0"/>
    <n v="0"/>
    <n v="0"/>
    <n v="19123.155694952475"/>
    <n v="0"/>
    <n v="0"/>
    <n v="0"/>
    <n v="0"/>
    <n v="0"/>
    <n v="0"/>
    <n v="0"/>
    <n v="0"/>
    <n v="0"/>
    <n v="0"/>
  </r>
  <r>
    <x v="2"/>
    <x v="1"/>
    <n v="1"/>
    <x v="0"/>
    <s v="Østdanmark"/>
    <n v="165083.0224523381"/>
    <n v="0"/>
    <n v="0"/>
    <n v="0"/>
    <n v="335590.35573220561"/>
    <n v="0"/>
    <n v="0"/>
    <n v="0"/>
    <n v="-170507.33327986751"/>
    <n v="0"/>
    <n v="335590.35573220561"/>
    <n v="0"/>
    <n v="1.1433261388476088"/>
    <n v="1.1433261388476088"/>
    <n v="0"/>
    <n v="0"/>
    <n v="93965.299605017586"/>
    <n v="93965.299605017586"/>
    <n v="0"/>
  </r>
  <r>
    <x v="3"/>
    <x v="0"/>
    <n v="1"/>
    <x v="0"/>
    <s v="Østdanmark"/>
    <n v="110817031.25294524"/>
    <n v="0"/>
    <n v="0"/>
    <n v="0"/>
    <n v="0"/>
    <n v="0"/>
    <n v="110817031.25294524"/>
    <n v="0"/>
    <n v="0"/>
    <n v="0"/>
    <n v="110817031.25294524"/>
    <n v="0"/>
    <n v="0"/>
    <n v="0"/>
    <n v="0"/>
    <n v="0"/>
    <n v="0"/>
    <n v="0"/>
    <n v="0"/>
  </r>
  <r>
    <x v="4"/>
    <x v="0"/>
    <n v="0"/>
    <x v="0"/>
    <s v="Østdanmark"/>
    <n v="2462895.6491667829"/>
    <n v="0"/>
    <n v="0"/>
    <n v="0"/>
    <n v="0"/>
    <n v="1801732.0926432305"/>
    <n v="0"/>
    <n v="0"/>
    <n v="661163.5565235524"/>
    <n v="0"/>
    <n v="0"/>
    <n v="0"/>
    <n v="0"/>
    <n v="0"/>
    <n v="0"/>
    <n v="0"/>
    <n v="0"/>
    <n v="0"/>
    <n v="0"/>
  </r>
  <r>
    <x v="5"/>
    <x v="1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0"/>
    <s v="Østdanmark"/>
    <n v="332759.92297580565"/>
    <n v="0"/>
    <n v="0"/>
    <n v="0"/>
    <n v="85892.328449707566"/>
    <n v="93457.017927737121"/>
    <n v="0"/>
    <n v="0"/>
    <n v="153410.57659836096"/>
    <n v="153410.57659836096"/>
    <n v="85892.328449707566"/>
    <n v="0.33044638199286952"/>
    <n v="0.18501207548067011"/>
    <n v="0.18501207548067011"/>
    <n v="0"/>
    <n v="46023.172979508287"/>
    <n v="25767.69853491227"/>
    <n v="25767.69853491227"/>
    <n v="0"/>
  </r>
  <r>
    <x v="7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0"/>
    <s v="Østdanmark"/>
    <n v="675.387643904882"/>
    <n v="0"/>
    <n v="0"/>
    <n v="0"/>
    <n v="337.693821952441"/>
    <n v="337.693821952441"/>
    <n v="0"/>
    <n v="0"/>
    <n v="0"/>
    <n v="0"/>
    <n v="337.693821952441"/>
    <n v="0"/>
    <n v="1.5881402752601349E-4"/>
    <n v="1.5881402752601349E-4"/>
    <n v="0"/>
    <n v="0"/>
    <n v="21.274710783003783"/>
    <n v="21.274710783003783"/>
    <n v="0"/>
  </r>
  <r>
    <x v="9"/>
    <x v="0"/>
    <n v="0"/>
    <x v="0"/>
    <s v="Østdanmark"/>
    <n v="15969.006082579654"/>
    <n v="0"/>
    <n v="0"/>
    <n v="29120.587456275069"/>
    <n v="0"/>
    <n v="0"/>
    <n v="0"/>
    <n v="0"/>
    <n v="-13151.581373695415"/>
    <n v="0"/>
    <n v="0"/>
    <n v="0"/>
    <n v="0"/>
    <n v="0"/>
    <n v="0"/>
    <n v="0"/>
    <n v="0"/>
    <n v="0"/>
    <n v="0"/>
  </r>
  <r>
    <x v="10"/>
    <x v="0"/>
    <n v="0"/>
    <x v="0"/>
    <s v="Østdanmark"/>
    <n v="612515.4514426298"/>
    <n v="0"/>
    <n v="0"/>
    <n v="0"/>
    <n v="0"/>
    <n v="0"/>
    <n v="0"/>
    <n v="0"/>
    <n v="612515.4514426298"/>
    <n v="0"/>
    <n v="0"/>
    <n v="0"/>
    <n v="0"/>
    <n v="0"/>
    <n v="0"/>
    <n v="0"/>
    <n v="0"/>
    <n v="0"/>
    <n v="0"/>
  </r>
  <r>
    <x v="11"/>
    <x v="0"/>
    <n v="0"/>
    <x v="0"/>
    <s v="Østdanmark"/>
    <n v="15804.526381892863"/>
    <n v="0"/>
    <n v="0"/>
    <n v="212804.29294970242"/>
    <n v="0"/>
    <n v="0"/>
    <n v="0"/>
    <n v="0"/>
    <n v="-196999.76656780957"/>
    <n v="0"/>
    <n v="0"/>
    <n v="0"/>
    <n v="0"/>
    <n v="0"/>
    <n v="0"/>
    <n v="0"/>
    <n v="0"/>
    <n v="0"/>
    <n v="0"/>
  </r>
  <r>
    <x v="12"/>
    <x v="3"/>
    <n v="1"/>
    <x v="0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0"/>
    <s v="Østdanmark"/>
    <n v="2079827.1270254222"/>
    <n v="1502068.0760117143"/>
    <n v="0"/>
    <n v="0"/>
    <n v="9930.836100337272"/>
    <n v="0"/>
    <n v="0"/>
    <n v="0"/>
    <n v="567828.21491337055"/>
    <n v="567828.21491337055"/>
    <n v="9930.836100337272"/>
    <n v="1.0447329369137377"/>
    <n v="1.8271497070108039E-2"/>
    <n v="1.8271497070108039E-2"/>
    <n v="0"/>
    <n v="158991.90017574377"/>
    <n v="2780.6341080944362"/>
    <n v="2780.6341080944362"/>
    <n v="0"/>
  </r>
  <r>
    <x v="14"/>
    <x v="0"/>
    <n v="0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0"/>
    <n v="0"/>
    <x v="0"/>
    <s v="Østdanmark"/>
    <n v="96079.800747233821"/>
    <n v="0"/>
    <n v="0"/>
    <n v="222884.49629995148"/>
    <n v="0"/>
    <n v="0"/>
    <n v="0"/>
    <n v="0"/>
    <n v="-126804.69555271766"/>
    <n v="0"/>
    <n v="0"/>
    <n v="0"/>
    <n v="0"/>
    <n v="0"/>
    <n v="0"/>
    <n v="0"/>
    <n v="0"/>
    <n v="0"/>
    <n v="0"/>
  </r>
  <r>
    <x v="16"/>
    <x v="5"/>
    <n v="1"/>
    <x v="0"/>
    <s v="Østdanmark"/>
    <n v="955988.04344506538"/>
    <n v="94889.448034412548"/>
    <n v="104128.58905499999"/>
    <n v="0"/>
    <n v="22795.107252838847"/>
    <n v="0"/>
    <n v="734174.89910281403"/>
    <n v="0"/>
    <n v="0"/>
    <n v="0"/>
    <n v="756970.00635565282"/>
    <n v="0"/>
    <n v="7.7197156788507311"/>
    <n v="0.13142610267053248"/>
    <n v="7.5882895761801983"/>
    <n v="0"/>
    <n v="643424.50540230493"/>
    <n v="19375.841164913018"/>
    <n v="624048.6642373919"/>
  </r>
  <r>
    <x v="17"/>
    <x v="1"/>
    <n v="1"/>
    <x v="0"/>
    <s v="Østdanmark"/>
    <n v="452346.51233766804"/>
    <n v="0"/>
    <n v="0"/>
    <n v="0"/>
    <n v="35.900188095894634"/>
    <n v="0"/>
    <n v="452310.61214957217"/>
    <n v="0"/>
    <n v="0"/>
    <n v="0"/>
    <n v="452346.51233766804"/>
    <n v="0"/>
    <n v="8.0748097529675267"/>
    <n v="6.0961032399995807E-5"/>
    <n v="8.0747487919351268"/>
    <n v="0"/>
    <n v="135703.9537013004"/>
    <n v="10.77005642876839"/>
    <n v="135693.18364487163"/>
  </r>
  <r>
    <x v="18"/>
    <x v="0"/>
    <n v="0"/>
    <x v="0"/>
    <s v="Østdanmark"/>
    <n v="0"/>
    <n v="592646.72642582108"/>
    <n v="0"/>
    <n v="0"/>
    <n v="0"/>
    <n v="0"/>
    <n v="0"/>
    <n v="0"/>
    <n v="-592646.72642582108"/>
    <n v="0"/>
    <n v="0"/>
    <n v="0"/>
    <n v="0"/>
    <n v="0"/>
    <n v="0"/>
    <n v="0"/>
    <n v="0"/>
    <n v="0"/>
    <n v="0"/>
  </r>
  <r>
    <x v="19"/>
    <x v="1"/>
    <n v="1"/>
    <x v="0"/>
    <s v="Østdanmark"/>
    <n v="200279.74928693369"/>
    <n v="0"/>
    <n v="0"/>
    <n v="0"/>
    <n v="279550.24796430691"/>
    <n v="0"/>
    <n v="0"/>
    <n v="0"/>
    <n v="-79270.498677373223"/>
    <n v="0"/>
    <n v="279550.24796430691"/>
    <n v="0"/>
    <n v="1.0296284310673407"/>
    <n v="1.0296284310673407"/>
    <n v="0"/>
    <n v="0"/>
    <n v="117411.1041450089"/>
    <n v="117411.1041450089"/>
    <n v="0"/>
  </r>
  <r>
    <x v="20"/>
    <x v="0"/>
    <n v="0"/>
    <x v="0"/>
    <s v="Østdanmark"/>
    <n v="145851.60720031991"/>
    <n v="0"/>
    <n v="0"/>
    <n v="0"/>
    <n v="0"/>
    <n v="0"/>
    <n v="0"/>
    <n v="0"/>
    <n v="145851.60720031991"/>
    <n v="0"/>
    <n v="0"/>
    <n v="0"/>
    <n v="0"/>
    <n v="0"/>
    <n v="0"/>
    <n v="0"/>
    <n v="0"/>
    <n v="0"/>
    <n v="0"/>
  </r>
  <r>
    <x v="21"/>
    <x v="0"/>
    <n v="0"/>
    <x v="0"/>
    <s v="Østdanmark"/>
    <n v="116414.7916544996"/>
    <n v="0"/>
    <n v="0"/>
    <n v="101922.05609696274"/>
    <n v="0"/>
    <n v="0"/>
    <n v="0"/>
    <n v="0"/>
    <n v="14492.735557536857"/>
    <n v="0"/>
    <n v="0"/>
    <n v="0"/>
    <n v="0"/>
    <n v="0"/>
    <n v="0"/>
    <n v="0"/>
    <n v="0"/>
    <n v="0"/>
    <n v="0"/>
  </r>
  <r>
    <x v="22"/>
    <x v="5"/>
    <n v="1"/>
    <x v="0"/>
    <s v="Østdanmark"/>
    <n v="2275797.9689121391"/>
    <n v="721621.60770550335"/>
    <n v="0"/>
    <n v="244164.92559492172"/>
    <n v="945.81467090137289"/>
    <n v="0"/>
    <n v="0"/>
    <n v="0"/>
    <n v="1309065.6209408126"/>
    <n v="1309065.6209408126"/>
    <n v="945.81467090137289"/>
    <n v="4.4833664825353523"/>
    <n v="3.2392828337832764E-3"/>
    <n v="3.2392828337832764E-3"/>
    <n v="0"/>
    <n v="405810.34249165189"/>
    <n v="293.20254797942562"/>
    <n v="293.20254797942562"/>
    <n v="0"/>
  </r>
  <r>
    <x v="23"/>
    <x v="0"/>
    <n v="0"/>
    <x v="0"/>
    <s v="Østdanmark"/>
    <n v="0"/>
    <n v="0"/>
    <n v="0"/>
    <n v="0"/>
    <n v="0"/>
    <n v="377069.89971696056"/>
    <n v="0"/>
    <n v="0"/>
    <n v="-377069.89971696056"/>
    <n v="0"/>
    <n v="0"/>
    <n v="0"/>
    <n v="0"/>
    <n v="0"/>
    <n v="0"/>
    <n v="0"/>
    <n v="0"/>
    <n v="0"/>
    <n v="0"/>
  </r>
  <r>
    <x v="24"/>
    <x v="2"/>
    <n v="1"/>
    <x v="0"/>
    <s v="Østdanmark"/>
    <n v="925084.21922943438"/>
    <n v="0"/>
    <n v="0"/>
    <n v="0"/>
    <n v="286645.05985025823"/>
    <n v="638439.1593791761"/>
    <n v="0"/>
    <n v="0"/>
    <n v="0"/>
    <n v="0"/>
    <n v="286645.05985025823"/>
    <n v="0"/>
    <n v="0.14509686284560222"/>
    <n v="0.14509686284560222"/>
    <n v="0"/>
    <n v="0"/>
    <n v="21785.024548619625"/>
    <n v="21785.024548619625"/>
    <n v="0"/>
  </r>
  <r>
    <x v="25"/>
    <x v="0"/>
    <n v="0"/>
    <x v="0"/>
    <s v="Østdanmark"/>
    <n v="115489.08079619991"/>
    <n v="186040.49371289223"/>
    <n v="0"/>
    <n v="0"/>
    <n v="0"/>
    <n v="0"/>
    <n v="0"/>
    <n v="0"/>
    <n v="-70551.412916692323"/>
    <n v="0"/>
    <n v="0"/>
    <n v="0"/>
    <n v="0"/>
    <n v="0"/>
    <n v="0"/>
    <n v="0"/>
    <n v="0"/>
    <n v="0"/>
    <n v="0"/>
  </r>
  <r>
    <x v="26"/>
    <x v="4"/>
    <n v="1"/>
    <x v="0"/>
    <s v="Østdanmark"/>
    <n v="366156.75807184458"/>
    <n v="694353.2611092875"/>
    <n v="0"/>
    <n v="0"/>
    <n v="15204.565068438918"/>
    <n v="0"/>
    <n v="0"/>
    <n v="0"/>
    <n v="-343401.0681058818"/>
    <n v="0"/>
    <n v="15204.565068438918"/>
    <n v="0"/>
    <n v="5.4584388595695719E-2"/>
    <n v="5.4584388595695719E-2"/>
    <n v="0"/>
    <n v="0"/>
    <n v="4561.3695205316753"/>
    <n v="4561.3695205316753"/>
    <n v="0"/>
  </r>
  <r>
    <x v="27"/>
    <x v="0"/>
    <n v="0"/>
    <x v="0"/>
    <s v="Østdanmark"/>
    <n v="222833.98833453824"/>
    <n v="0"/>
    <n v="0"/>
    <n v="389767.86287629709"/>
    <n v="0"/>
    <n v="0"/>
    <n v="0"/>
    <n v="0"/>
    <n v="-166933.87454175885"/>
    <n v="0"/>
    <n v="0"/>
    <n v="0"/>
    <n v="0"/>
    <n v="0"/>
    <n v="0"/>
    <n v="0"/>
    <n v="0"/>
    <n v="0"/>
    <n v="0"/>
  </r>
  <r>
    <x v="28"/>
    <x v="6"/>
    <n v="1"/>
    <x v="0"/>
    <s v="Østdanmark"/>
    <n v="1.1976865502381491"/>
    <n v="0"/>
    <n v="0"/>
    <n v="0"/>
    <n v="0"/>
    <n v="0"/>
    <n v="0"/>
    <n v="0"/>
    <n v="1.1976865502381491"/>
    <n v="1.1976865502381491"/>
    <n v="0"/>
    <n v="1.0749236788387388E-6"/>
    <n v="0"/>
    <n v="0"/>
    <n v="0"/>
    <n v="0.17965298253572234"/>
    <n v="0"/>
    <n v="0"/>
    <n v="0"/>
  </r>
  <r>
    <x v="29"/>
    <x v="0"/>
    <n v="0"/>
    <x v="0"/>
    <s v="Østdanmark"/>
    <n v="7577.0634215631153"/>
    <n v="0"/>
    <n v="0"/>
    <n v="49527.399127557059"/>
    <n v="0"/>
    <n v="0"/>
    <n v="0"/>
    <n v="0"/>
    <n v="-41950.335705993944"/>
    <n v="0"/>
    <n v="0"/>
    <n v="0"/>
    <n v="0"/>
    <n v="0"/>
    <n v="0"/>
    <n v="0"/>
    <n v="0"/>
    <n v="0"/>
    <n v="0"/>
  </r>
  <r>
    <x v="30"/>
    <x v="0"/>
    <n v="0"/>
    <x v="0"/>
    <s v="Østdanmark"/>
    <n v="396057.87190930446"/>
    <n v="0"/>
    <n v="0"/>
    <n v="0"/>
    <n v="0"/>
    <n v="0"/>
    <n v="0"/>
    <n v="0"/>
    <n v="396057.87190930446"/>
    <n v="0"/>
    <n v="0"/>
    <n v="0"/>
    <n v="0"/>
    <n v="0"/>
    <n v="0"/>
    <n v="0"/>
    <n v="0"/>
    <n v="0"/>
    <n v="0"/>
  </r>
  <r>
    <x v="31"/>
    <x v="7"/>
    <n v="1"/>
    <x v="0"/>
    <s v="Østdanmark"/>
    <n v="37577.319945022478"/>
    <n v="0"/>
    <n v="0"/>
    <n v="0"/>
    <n v="0"/>
    <n v="0"/>
    <n v="37577.319945022478"/>
    <n v="0"/>
    <n v="0"/>
    <n v="0"/>
    <n v="37577.319945022478"/>
    <n v="0"/>
    <n v="0.69142268698841347"/>
    <n v="0"/>
    <n v="0.69142268698841347"/>
    <n v="0"/>
    <n v="15594.58777718433"/>
    <n v="0"/>
    <n v="15594.58777718433"/>
  </r>
  <r>
    <x v="32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0"/>
    <n v="0"/>
    <x v="0"/>
    <s v="Østdanmark"/>
    <n v="346998.01962126989"/>
    <n v="0"/>
    <n v="0"/>
    <n v="0"/>
    <n v="0"/>
    <n v="0"/>
    <n v="0"/>
    <n v="0"/>
    <n v="346998.01962126989"/>
    <n v="0"/>
    <n v="0"/>
    <n v="0"/>
    <n v="0"/>
    <n v="0"/>
    <n v="0"/>
    <n v="0"/>
    <n v="0"/>
    <n v="0"/>
    <n v="0"/>
  </r>
  <r>
    <x v="35"/>
    <x v="0"/>
    <n v="0"/>
    <x v="0"/>
    <s v="Østdanmark"/>
    <n v="193574.13238370849"/>
    <n v="0"/>
    <n v="0"/>
    <n v="0"/>
    <n v="0"/>
    <n v="0"/>
    <n v="0"/>
    <n v="193574.13238370849"/>
    <n v="0"/>
    <n v="0"/>
    <n v="0"/>
    <n v="0"/>
    <n v="0"/>
    <n v="0"/>
    <n v="0"/>
    <n v="0"/>
    <n v="0"/>
    <n v="0"/>
    <n v="0"/>
  </r>
  <r>
    <x v="36"/>
    <x v="0"/>
    <n v="0"/>
    <x v="0"/>
    <s v="Østdanmark"/>
    <n v="96787.066191854246"/>
    <n v="26278.769501998373"/>
    <n v="0"/>
    <n v="0"/>
    <n v="0"/>
    <n v="0"/>
    <n v="0"/>
    <n v="0"/>
    <n v="70508.296689855866"/>
    <n v="0"/>
    <n v="0"/>
    <n v="0"/>
    <n v="0"/>
    <n v="0"/>
    <n v="0"/>
    <n v="0"/>
    <n v="0"/>
    <n v="0"/>
    <n v="0"/>
  </r>
  <r>
    <x v="37"/>
    <x v="9"/>
    <n v="1"/>
    <x v="0"/>
    <s v="Østdanmark"/>
    <n v="61943.722362786721"/>
    <n v="0"/>
    <n v="0"/>
    <n v="0"/>
    <n v="0"/>
    <n v="0"/>
    <n v="32210.735628649098"/>
    <n v="29732.986734137623"/>
    <n v="0"/>
    <n v="0"/>
    <n v="32210.735628649098"/>
    <n v="0"/>
    <n v="1.1273757470027184"/>
    <n v="0"/>
    <n v="1.1273757470027184"/>
    <n v="0"/>
    <n v="0"/>
    <n v="0"/>
    <n v="0"/>
  </r>
  <r>
    <x v="38"/>
    <x v="4"/>
    <n v="1"/>
    <x v="0"/>
    <s v="Østdanmark"/>
    <n v="2252973.7408705982"/>
    <n v="103245.87683002709"/>
    <n v="0"/>
    <n v="0"/>
    <n v="24543.951075802775"/>
    <n v="0"/>
    <n v="0"/>
    <n v="0"/>
    <n v="2125183.9129647682"/>
    <n v="1656364.6415009145"/>
    <n v="24543.951075802775"/>
    <n v="4.4954398916191423"/>
    <n v="6.6613264977771772E-2"/>
    <n v="6.6613264977771772E-2"/>
    <n v="0"/>
    <n v="331272.92830018292"/>
    <n v="4908.7902151605549"/>
    <n v="4908.7902151605549"/>
    <n v="0"/>
  </r>
  <r>
    <x v="39"/>
    <x v="0"/>
    <n v="0"/>
    <x v="0"/>
    <s v="Østdanmark"/>
    <n v="23179.475218292017"/>
    <n v="0"/>
    <n v="0"/>
    <n v="0"/>
    <n v="0"/>
    <n v="0"/>
    <n v="0"/>
    <n v="0"/>
    <n v="23179.475218292017"/>
    <n v="0"/>
    <n v="0"/>
    <n v="0"/>
    <n v="0"/>
    <n v="0"/>
    <n v="0"/>
    <n v="0"/>
    <n v="0"/>
    <n v="0"/>
    <n v="0"/>
  </r>
  <r>
    <x v="40"/>
    <x v="0"/>
    <n v="0"/>
    <x v="0"/>
    <s v="Østdanmark"/>
    <n v="18923.903166389329"/>
    <n v="4837.9324606189475"/>
    <n v="0"/>
    <n v="0"/>
    <n v="0"/>
    <n v="0"/>
    <n v="0"/>
    <n v="0"/>
    <n v="14085.970705770382"/>
    <n v="0"/>
    <n v="0"/>
    <n v="0"/>
    <n v="0"/>
    <n v="0"/>
    <n v="0"/>
    <n v="0"/>
    <n v="0"/>
    <n v="0"/>
    <n v="0"/>
  </r>
  <r>
    <x v="41"/>
    <x v="1"/>
    <n v="1"/>
    <x v="0"/>
    <s v="Østdanmark"/>
    <n v="3186961.3614372411"/>
    <n v="0"/>
    <n v="0"/>
    <n v="0"/>
    <n v="1208651.4125341829"/>
    <n v="0"/>
    <n v="0"/>
    <n v="0"/>
    <n v="1978309.9489030582"/>
    <n v="1978309.9489030582"/>
    <n v="1208651.4125341829"/>
    <n v="0.98719644760211522"/>
    <n v="0.60312914136868268"/>
    <n v="0.60312914136868268"/>
    <n v="0"/>
    <n v="118698.59693418349"/>
    <n v="72519.084752050971"/>
    <n v="72519.084752050971"/>
    <n v="0"/>
  </r>
  <r>
    <x v="42"/>
    <x v="2"/>
    <n v="1"/>
    <x v="0"/>
    <s v="Østdanmark"/>
    <n v="2304461.4931079326"/>
    <n v="0"/>
    <n v="0"/>
    <n v="0"/>
    <n v="380427.26035611134"/>
    <n v="1924034.2327518209"/>
    <n v="0"/>
    <n v="0"/>
    <n v="0"/>
    <n v="0"/>
    <n v="380427.26035611134"/>
    <n v="0"/>
    <n v="0.16388806376141279"/>
    <n v="0.16388806376141279"/>
    <n v="0"/>
    <n v="0"/>
    <n v="19021.363017805568"/>
    <n v="19021.363017805568"/>
    <n v="0"/>
  </r>
  <r>
    <x v="43"/>
    <x v="0"/>
    <n v="0"/>
    <x v="0"/>
    <s v="Østdanmark"/>
    <n v="206750.71206041813"/>
    <n v="0"/>
    <n v="0"/>
    <n v="100555.62853170674"/>
    <n v="0"/>
    <n v="0"/>
    <n v="0"/>
    <n v="0"/>
    <n v="106195.08352871139"/>
    <n v="0"/>
    <n v="0"/>
    <n v="0"/>
    <n v="0"/>
    <n v="0"/>
    <n v="0"/>
    <n v="0"/>
    <n v="0"/>
    <n v="0"/>
    <n v="0"/>
  </r>
  <r>
    <x v="44"/>
    <x v="6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5"/>
    <x v="0"/>
    <n v="1"/>
    <x v="0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0"/>
    <s v="Østdanmark"/>
    <n v="681602.85349434032"/>
    <n v="0"/>
    <n v="0"/>
    <n v="0"/>
    <n v="0"/>
    <n v="0"/>
    <n v="681602.85349434032"/>
    <n v="0"/>
    <n v="0"/>
    <n v="0"/>
    <n v="681602.85349434032"/>
    <n v="0"/>
    <n v="9.878857920085288"/>
    <n v="0"/>
    <n v="9.878857920085288"/>
    <n v="0"/>
    <n v="337109.41129074246"/>
    <n v="0"/>
    <n v="337109.41129074246"/>
  </r>
  <r>
    <x v="47"/>
    <x v="0"/>
    <n v="0"/>
    <x v="0"/>
    <s v="Østdanmark"/>
    <n v="187413.07432328182"/>
    <n v="0"/>
    <n v="0"/>
    <n v="0"/>
    <n v="0"/>
    <n v="0"/>
    <n v="0"/>
    <n v="187413.07432328182"/>
    <n v="0"/>
    <n v="0"/>
    <n v="0"/>
    <n v="0"/>
    <n v="0"/>
    <n v="0"/>
    <n v="0"/>
    <n v="0"/>
    <n v="0"/>
    <n v="0"/>
    <n v="0"/>
  </r>
  <r>
    <x v="0"/>
    <x v="10"/>
    <n v="0"/>
    <x v="1"/>
    <s v="Østdanmark"/>
    <n v="21532.175325477547"/>
    <n v="0"/>
    <n v="0"/>
    <n v="28209.340124628539"/>
    <n v="0"/>
    <n v="0"/>
    <n v="0"/>
    <n v="0"/>
    <n v="-6677.1647991509926"/>
    <n v="0"/>
    <n v="0"/>
    <n v="0"/>
    <n v="0"/>
    <n v="0"/>
    <n v="0"/>
    <n v="0"/>
    <n v="0"/>
    <n v="0"/>
    <n v="0"/>
  </r>
  <r>
    <x v="1"/>
    <x v="10"/>
    <n v="0"/>
    <x v="1"/>
    <s v="Østdanmark"/>
    <n v="28552.425442007137"/>
    <n v="9499.9401044881142"/>
    <n v="0"/>
    <n v="0"/>
    <n v="0"/>
    <n v="0"/>
    <n v="0"/>
    <n v="0"/>
    <n v="19052.485337519021"/>
    <n v="0"/>
    <n v="0"/>
    <n v="0"/>
    <n v="0"/>
    <n v="0"/>
    <n v="0"/>
    <n v="0"/>
    <n v="0"/>
    <n v="0"/>
    <n v="0"/>
  </r>
  <r>
    <x v="2"/>
    <x v="1"/>
    <n v="1"/>
    <x v="1"/>
    <s v="Østdanmark"/>
    <n v="168912.745758362"/>
    <n v="0"/>
    <n v="0"/>
    <n v="0"/>
    <n v="168912.75887120995"/>
    <n v="0"/>
    <n v="0"/>
    <n v="0"/>
    <n v="-1.3112847955198959E-2"/>
    <n v="0"/>
    <n v="168912.75887120995"/>
    <n v="0"/>
    <n v="0.57547056732591406"/>
    <n v="0.57547056732591406"/>
    <n v="0"/>
    <n v="0"/>
    <n v="47295.572483938791"/>
    <n v="47295.572483938791"/>
    <n v="0"/>
  </r>
  <r>
    <x v="3"/>
    <x v="10"/>
    <n v="1"/>
    <x v="1"/>
    <s v="Østdanmark"/>
    <n v="114627799.06724329"/>
    <n v="0"/>
    <n v="0"/>
    <n v="0"/>
    <n v="0"/>
    <n v="0"/>
    <n v="114627799.06724329"/>
    <n v="0"/>
    <n v="0"/>
    <n v="0"/>
    <n v="114627799.06724329"/>
    <n v="0"/>
    <n v="0"/>
    <n v="0"/>
    <n v="0"/>
    <n v="0"/>
    <n v="0"/>
    <n v="0"/>
    <n v="0"/>
  </r>
  <r>
    <x v="4"/>
    <x v="10"/>
    <n v="0"/>
    <x v="1"/>
    <s v="Østdanmark"/>
    <n v="3841124.6628314275"/>
    <n v="0"/>
    <n v="0"/>
    <n v="0"/>
    <n v="0"/>
    <n v="3436648.7301143073"/>
    <n v="0"/>
    <n v="0"/>
    <n v="404475.93271712027"/>
    <n v="0"/>
    <n v="0"/>
    <n v="0"/>
    <n v="0"/>
    <n v="0"/>
    <n v="0"/>
    <n v="0"/>
    <n v="0"/>
    <n v="0"/>
    <n v="0"/>
  </r>
  <r>
    <x v="5"/>
    <x v="1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1"/>
    <s v="Østdanmark"/>
    <n v="429666.13151061774"/>
    <n v="0"/>
    <n v="0"/>
    <n v="0"/>
    <n v="214833.06575530887"/>
    <n v="81329.660607366925"/>
    <n v="0"/>
    <n v="0"/>
    <n v="133503.40514794196"/>
    <n v="133503.40514794196"/>
    <n v="214833.06575530887"/>
    <n v="0.28756633468866699"/>
    <n v="0.7503167583256023"/>
    <n v="0.4627504236369353"/>
    <n v="0.28756633468866699"/>
    <n v="40051.021544382587"/>
    <n v="104500.94127097525"/>
    <n v="64449.919726592656"/>
    <n v="40051.021544382595"/>
  </r>
  <r>
    <x v="7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1"/>
    <s v="Østdanmark"/>
    <n v="840.2423101834255"/>
    <n v="0"/>
    <n v="0"/>
    <n v="0"/>
    <n v="420.12115509171275"/>
    <n v="420.12115509171275"/>
    <n v="0"/>
    <n v="0"/>
    <n v="0"/>
    <n v="0"/>
    <n v="420.12115509171275"/>
    <n v="0"/>
    <n v="1.9757877802808159E-4"/>
    <n v="1.9757877802808159E-4"/>
    <n v="0"/>
    <n v="0"/>
    <n v="26.467632770777904"/>
    <n v="26.467632770777904"/>
    <n v="0"/>
  </r>
  <r>
    <x v="9"/>
    <x v="10"/>
    <n v="0"/>
    <x v="1"/>
    <s v="Østdanmark"/>
    <n v="18292.854791513339"/>
    <n v="0"/>
    <n v="0"/>
    <n v="30560.118468347584"/>
    <n v="0"/>
    <n v="0"/>
    <n v="0"/>
    <n v="0"/>
    <n v="-12267.263676834245"/>
    <n v="0"/>
    <n v="0"/>
    <n v="0"/>
    <n v="0"/>
    <n v="0"/>
    <n v="0"/>
    <n v="0"/>
    <n v="0"/>
    <n v="0"/>
    <n v="0"/>
  </r>
  <r>
    <x v="10"/>
    <x v="10"/>
    <n v="0"/>
    <x v="1"/>
    <s v="Østdanmark"/>
    <n v="645001.32802557282"/>
    <n v="0"/>
    <n v="0"/>
    <n v="0"/>
    <n v="0"/>
    <n v="0"/>
    <n v="0"/>
    <n v="0"/>
    <n v="645001.32802557282"/>
    <n v="0"/>
    <n v="0"/>
    <n v="0"/>
    <n v="0"/>
    <n v="0"/>
    <n v="0"/>
    <n v="0"/>
    <n v="0"/>
    <n v="0"/>
    <n v="0"/>
  </r>
  <r>
    <x v="11"/>
    <x v="10"/>
    <n v="0"/>
    <x v="1"/>
    <s v="Østdanmark"/>
    <n v="16686.121067916127"/>
    <n v="0"/>
    <n v="0"/>
    <n v="223323.94265330929"/>
    <n v="0"/>
    <n v="0"/>
    <n v="0"/>
    <n v="0"/>
    <n v="-206637.82158539316"/>
    <n v="0"/>
    <n v="0"/>
    <n v="0"/>
    <n v="0"/>
    <n v="0"/>
    <n v="0"/>
    <n v="0"/>
    <n v="0"/>
    <n v="0"/>
    <n v="0"/>
  </r>
  <r>
    <x v="12"/>
    <x v="3"/>
    <n v="1"/>
    <x v="1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1"/>
    <s v="Østdanmark"/>
    <n v="2190992.6315255472"/>
    <n v="1802481.6912140569"/>
    <n v="0"/>
    <n v="0"/>
    <n v="10062.940438050116"/>
    <n v="0"/>
    <n v="0"/>
    <n v="0"/>
    <n v="378447.99987344025"/>
    <n v="378447.99987344025"/>
    <n v="10062.940438050116"/>
    <n v="0.69629701376714592"/>
    <n v="0.71481156630560339"/>
    <n v="1.8514552538457459E-2"/>
    <n v="0.69629701376714592"/>
    <n v="105965.43996456328"/>
    <n v="108783.06328721732"/>
    <n v="2817.623322654033"/>
    <n v="105965.43996456328"/>
  </r>
  <r>
    <x v="14"/>
    <x v="10"/>
    <n v="0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1"/>
    <s v="Østdanmark"/>
    <n v="100834.72491971773"/>
    <n v="0"/>
    <n v="0"/>
    <n v="233902.44520004498"/>
    <n v="0"/>
    <n v="0"/>
    <n v="0"/>
    <n v="0"/>
    <n v="-133067.72028032725"/>
    <n v="0"/>
    <n v="0"/>
    <n v="0"/>
    <n v="0"/>
    <n v="0"/>
    <n v="0"/>
    <n v="0"/>
    <n v="0"/>
    <n v="0"/>
    <n v="0"/>
  </r>
  <r>
    <x v="16"/>
    <x v="5"/>
    <n v="1"/>
    <x v="1"/>
    <s v="Østdanmark"/>
    <n v="937754.98883303662"/>
    <n v="113867.33764129503"/>
    <n v="124225.03152224726"/>
    <n v="0"/>
    <n v="23940.442278690352"/>
    <n v="0"/>
    <n v="675722.17739080405"/>
    <n v="0"/>
    <n v="0"/>
    <n v="0"/>
    <n v="699662.61966949445"/>
    <n v="0"/>
    <n v="7.1221631421450287"/>
    <n v="0.13802957757548037"/>
    <n v="6.9841335645695484"/>
    <n v="0"/>
    <n v="594713.22671907023"/>
    <n v="20349.375936886798"/>
    <n v="574363.85078218346"/>
  </r>
  <r>
    <x v="17"/>
    <x v="1"/>
    <n v="1"/>
    <x v="1"/>
    <s v="Østdanmark"/>
    <n v="456074.89013160887"/>
    <n v="0"/>
    <n v="0"/>
    <n v="0"/>
    <n v="36.19608838570413"/>
    <n v="0"/>
    <n v="456038.69404322316"/>
    <n v="0"/>
    <n v="0"/>
    <n v="0"/>
    <n v="456074.89013160887"/>
    <n v="0"/>
    <n v="8.1413647955115209"/>
    <n v="6.1463491805112617E-5"/>
    <n v="8.1413033320197155"/>
    <n v="0"/>
    <n v="136822.46703948267"/>
    <n v="10.858826515711238"/>
    <n v="136811.60821296697"/>
  </r>
  <r>
    <x v="18"/>
    <x v="10"/>
    <n v="0"/>
    <x v="1"/>
    <s v="Østdanmark"/>
    <n v="0"/>
    <n v="711176.07171098527"/>
    <n v="0"/>
    <n v="0"/>
    <n v="0"/>
    <n v="0"/>
    <n v="0"/>
    <n v="0"/>
    <n v="-711176.07171098527"/>
    <n v="0"/>
    <n v="0"/>
    <n v="0"/>
    <n v="0"/>
    <n v="0"/>
    <n v="0"/>
    <n v="0"/>
    <n v="0"/>
    <n v="0"/>
    <n v="0"/>
  </r>
  <r>
    <x v="19"/>
    <x v="1"/>
    <n v="1"/>
    <x v="1"/>
    <s v="Østdanmark"/>
    <n v="210543.78587843414"/>
    <n v="0"/>
    <n v="0"/>
    <n v="0"/>
    <n v="191022.2216043165"/>
    <n v="0"/>
    <n v="0"/>
    <n v="0"/>
    <n v="19521.564274117642"/>
    <n v="19521.564274117642"/>
    <n v="191022.2216043165"/>
    <n v="8.4589475803107383E-2"/>
    <n v="0.78815497703837267"/>
    <n v="0.70356550123526529"/>
    <n v="8.4589475803107383E-2"/>
    <n v="8199.0569951294092"/>
    <n v="88428.390068942332"/>
    <n v="80229.33307381293"/>
    <n v="8199.0569951294019"/>
  </r>
  <r>
    <x v="20"/>
    <x v="10"/>
    <n v="0"/>
    <x v="1"/>
    <s v="Østdanmark"/>
    <n v="153987.37784910508"/>
    <n v="0"/>
    <n v="0"/>
    <n v="0"/>
    <n v="0"/>
    <n v="0"/>
    <n v="0"/>
    <n v="0"/>
    <n v="153987.37784910508"/>
    <n v="0"/>
    <n v="0"/>
    <n v="0"/>
    <n v="0"/>
    <n v="0"/>
    <n v="0"/>
    <n v="0"/>
    <n v="0"/>
    <n v="0"/>
    <n v="0"/>
  </r>
  <r>
    <x v="21"/>
    <x v="10"/>
    <n v="0"/>
    <x v="1"/>
    <s v="Østdanmark"/>
    <n v="122853.28204903381"/>
    <n v="0"/>
    <n v="0"/>
    <n v="106960.41463921656"/>
    <n v="0"/>
    <n v="0"/>
    <n v="0"/>
    <n v="0"/>
    <n v="15892.867409817249"/>
    <n v="0"/>
    <n v="0"/>
    <n v="0"/>
    <n v="0"/>
    <n v="0"/>
    <n v="0"/>
    <n v="0"/>
    <n v="0"/>
    <n v="0"/>
    <n v="0"/>
  </r>
  <r>
    <x v="22"/>
    <x v="5"/>
    <n v="1"/>
    <x v="1"/>
    <s v="Østdanmark"/>
    <n v="2409167.1046716827"/>
    <n v="865945.92924660386"/>
    <n v="0"/>
    <n v="256234.83946537593"/>
    <n v="952.06663022948101"/>
    <n v="0"/>
    <n v="0"/>
    <n v="0"/>
    <n v="1286034.2693294734"/>
    <n v="1103365.8104808955"/>
    <n v="952.06663022948101"/>
    <n v="3.7788734296836002"/>
    <n v="3.7821341246028077"/>
    <n v="3.2606949192077409E-3"/>
    <n v="3.7788734296836002"/>
    <n v="342043.40124907758"/>
    <n v="342338.54190444876"/>
    <n v="295.14065537113913"/>
    <n v="342043.40124907764"/>
  </r>
  <r>
    <x v="23"/>
    <x v="10"/>
    <n v="0"/>
    <x v="1"/>
    <s v="Østdanmark"/>
    <n v="0"/>
    <n v="0"/>
    <n v="0"/>
    <n v="0"/>
    <n v="0"/>
    <n v="340898.07290760207"/>
    <n v="0"/>
    <n v="0"/>
    <n v="-340898.07290760207"/>
    <n v="0"/>
    <n v="0"/>
    <n v="0"/>
    <n v="0"/>
    <n v="0"/>
    <n v="0"/>
    <n v="0"/>
    <n v="0"/>
    <n v="0"/>
    <n v="0"/>
  </r>
  <r>
    <x v="24"/>
    <x v="2"/>
    <n v="1"/>
    <x v="1"/>
    <s v="Østdanmark"/>
    <n v="1107347.0071994506"/>
    <n v="0"/>
    <n v="0"/>
    <n v="0"/>
    <n v="841583.7254715825"/>
    <n v="265763.28172786813"/>
    <n v="0"/>
    <n v="0"/>
    <n v="0"/>
    <n v="0"/>
    <n v="841583.7254715825"/>
    <n v="0"/>
    <n v="0.42600126599646038"/>
    <n v="0.42600126599646038"/>
    <n v="0"/>
    <n v="0"/>
    <n v="63960.363135840271"/>
    <n v="63960.363135840271"/>
    <n v="0"/>
  </r>
  <r>
    <x v="25"/>
    <x v="10"/>
    <n v="0"/>
    <x v="1"/>
    <s v="Østdanmark"/>
    <n v="138252.64067231142"/>
    <n v="223248.59245547064"/>
    <n v="0"/>
    <n v="0"/>
    <n v="0"/>
    <n v="0"/>
    <n v="0"/>
    <n v="0"/>
    <n v="-84995.951783159224"/>
    <n v="0"/>
    <n v="0"/>
    <n v="0"/>
    <n v="0"/>
    <n v="0"/>
    <n v="0"/>
    <n v="0"/>
    <n v="0"/>
    <n v="0"/>
    <n v="0"/>
  </r>
  <r>
    <x v="26"/>
    <x v="4"/>
    <n v="1"/>
    <x v="1"/>
    <s v="Østdanmark"/>
    <n v="388994.37014569982"/>
    <n v="833223.91333114496"/>
    <n v="0"/>
    <n v="0"/>
    <n v="15333.686496408332"/>
    <n v="0"/>
    <n v="0"/>
    <n v="0"/>
    <n v="-459563.22968185344"/>
    <n v="0"/>
    <n v="15333.686496408332"/>
    <n v="0"/>
    <n v="5.5047934522105921E-2"/>
    <n v="5.5047934522105921E-2"/>
    <n v="0"/>
    <n v="0"/>
    <n v="4600.1059489224999"/>
    <n v="4600.1059489224999"/>
    <n v="0"/>
  </r>
  <r>
    <x v="27"/>
    <x v="10"/>
    <n v="0"/>
    <x v="1"/>
    <s v="Østdanmark"/>
    <n v="266755.84485045663"/>
    <n v="0"/>
    <n v="0"/>
    <n v="409035.43180711387"/>
    <n v="0"/>
    <n v="0"/>
    <n v="0"/>
    <n v="0"/>
    <n v="-142279.58695665724"/>
    <n v="0"/>
    <n v="0"/>
    <n v="0"/>
    <n v="0"/>
    <n v="0"/>
    <n v="0"/>
    <n v="0"/>
    <n v="0"/>
    <n v="0"/>
    <n v="0"/>
  </r>
  <r>
    <x v="28"/>
    <x v="6"/>
    <n v="1"/>
    <x v="1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1"/>
    <s v="Østdanmark"/>
    <n v="9054.9543846077213"/>
    <n v="0"/>
    <n v="0"/>
    <n v="51975.70917962808"/>
    <n v="0"/>
    <n v="0"/>
    <n v="0"/>
    <n v="0"/>
    <n v="-42920.754795020359"/>
    <n v="0"/>
    <n v="0"/>
    <n v="0"/>
    <n v="0"/>
    <n v="0"/>
    <n v="0"/>
    <n v="0"/>
    <n v="0"/>
    <n v="0"/>
    <n v="0"/>
  </r>
  <r>
    <x v="30"/>
    <x v="10"/>
    <n v="0"/>
    <x v="1"/>
    <s v="Østdanmark"/>
    <n v="418150.43620360433"/>
    <n v="0"/>
    <n v="0"/>
    <n v="0"/>
    <n v="0"/>
    <n v="0"/>
    <n v="0"/>
    <n v="0"/>
    <n v="418150.43620360433"/>
    <n v="0"/>
    <n v="0"/>
    <n v="0"/>
    <n v="0"/>
    <n v="0"/>
    <n v="0"/>
    <n v="0"/>
    <n v="0"/>
    <n v="0"/>
    <n v="0"/>
  </r>
  <r>
    <x v="31"/>
    <x v="7"/>
    <n v="1"/>
    <x v="1"/>
    <s v="Østdanmark"/>
    <n v="39419.677245239443"/>
    <n v="0"/>
    <n v="0"/>
    <n v="0"/>
    <n v="0"/>
    <n v="0"/>
    <n v="39419.677245239443"/>
    <n v="0"/>
    <n v="0"/>
    <n v="0"/>
    <n v="39419.677245239443"/>
    <n v="0"/>
    <n v="0.72532206131240562"/>
    <n v="0"/>
    <n v="0.72532206131240562"/>
    <n v="0"/>
    <n v="16359.166056774371"/>
    <n v="0"/>
    <n v="16359.166056774371"/>
  </r>
  <r>
    <x v="32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1"/>
    <s v="Østdanmark"/>
    <n v="415393.31848489033"/>
    <n v="0"/>
    <n v="0"/>
    <n v="0"/>
    <n v="0"/>
    <n v="0"/>
    <n v="0"/>
    <n v="0"/>
    <n v="415393.31848489033"/>
    <n v="0"/>
    <n v="0"/>
    <n v="0"/>
    <n v="0"/>
    <n v="0"/>
    <n v="0"/>
    <n v="0"/>
    <n v="0"/>
    <n v="0"/>
    <n v="0"/>
  </r>
  <r>
    <x v="35"/>
    <x v="10"/>
    <n v="0"/>
    <x v="1"/>
    <s v="Østdanmark"/>
    <n v="204407.79128636757"/>
    <n v="0"/>
    <n v="0"/>
    <n v="0"/>
    <n v="0"/>
    <n v="0"/>
    <n v="0"/>
    <n v="204407.79128636757"/>
    <n v="0"/>
    <n v="0"/>
    <n v="0"/>
    <n v="0"/>
    <n v="0"/>
    <n v="0"/>
    <n v="0"/>
    <n v="0"/>
    <n v="0"/>
    <n v="0"/>
    <n v="0"/>
  </r>
  <r>
    <x v="36"/>
    <x v="10"/>
    <n v="0"/>
    <x v="1"/>
    <s v="Østdanmark"/>
    <n v="102203.89564318379"/>
    <n v="31534.523402398045"/>
    <n v="0"/>
    <n v="0"/>
    <n v="0"/>
    <n v="0"/>
    <n v="0"/>
    <n v="0"/>
    <n v="70669.372240785742"/>
    <n v="0"/>
    <n v="0"/>
    <n v="0"/>
    <n v="0"/>
    <n v="0"/>
    <n v="0"/>
    <n v="0"/>
    <n v="0"/>
    <n v="0"/>
    <n v="0"/>
  </r>
  <r>
    <x v="37"/>
    <x v="9"/>
    <n v="1"/>
    <x v="1"/>
    <s v="Østdanmark"/>
    <n v="65410.493211637622"/>
    <n v="0"/>
    <n v="0"/>
    <n v="0"/>
    <n v="0"/>
    <n v="0"/>
    <n v="65410.493211637622"/>
    <n v="0"/>
    <n v="0"/>
    <n v="0"/>
    <n v="65410.493211637622"/>
    <n v="0"/>
    <n v="2.2893672624073167"/>
    <n v="0"/>
    <n v="2.2893672624073167"/>
    <n v="0"/>
    <n v="0"/>
    <n v="0"/>
    <n v="0"/>
  </r>
  <r>
    <x v="38"/>
    <x v="4"/>
    <n v="1"/>
    <x v="1"/>
    <s v="Østdanmark"/>
    <n v="2381738.5992335565"/>
    <n v="123895.05219603248"/>
    <n v="0"/>
    <n v="0"/>
    <n v="24569.279216726416"/>
    <n v="0"/>
    <n v="0"/>
    <n v="0"/>
    <n v="2233274.2678207979"/>
    <n v="1614896.5629563848"/>
    <n v="24569.279216726416"/>
    <n v="4.3828938677261471"/>
    <n v="4.4495758742915115"/>
    <n v="6.668200656536416E-2"/>
    <n v="4.3828938677261471"/>
    <n v="322979.312591277"/>
    <n v="327893.16843462223"/>
    <n v="4913.8558433452836"/>
    <n v="322979.31259127695"/>
  </r>
  <r>
    <x v="39"/>
    <x v="10"/>
    <n v="0"/>
    <x v="1"/>
    <s v="Østdanmark"/>
    <n v="27042.987950784696"/>
    <n v="0"/>
    <n v="0"/>
    <n v="0"/>
    <n v="0"/>
    <n v="0"/>
    <n v="0"/>
    <n v="0"/>
    <n v="27042.987950784696"/>
    <n v="0"/>
    <n v="0"/>
    <n v="0"/>
    <n v="0"/>
    <n v="0"/>
    <n v="0"/>
    <n v="0"/>
    <n v="0"/>
    <n v="0"/>
    <n v="0"/>
  </r>
  <r>
    <x v="40"/>
    <x v="10"/>
    <n v="0"/>
    <x v="1"/>
    <s v="Østdanmark"/>
    <n v="21948.511505172726"/>
    <n v="5805.5189527427374"/>
    <n v="0"/>
    <n v="0"/>
    <n v="0"/>
    <n v="0"/>
    <n v="0"/>
    <n v="0"/>
    <n v="16142.992552429989"/>
    <n v="0"/>
    <n v="0"/>
    <n v="0"/>
    <n v="0"/>
    <n v="0"/>
    <n v="0"/>
    <n v="0"/>
    <n v="0"/>
    <n v="0"/>
    <n v="0"/>
  </r>
  <r>
    <x v="41"/>
    <x v="1"/>
    <n v="1"/>
    <x v="1"/>
    <s v="Østdanmark"/>
    <n v="3345784.8962579207"/>
    <n v="0"/>
    <n v="0"/>
    <n v="0"/>
    <n v="1268885.054531686"/>
    <n v="0"/>
    <n v="0"/>
    <n v="0"/>
    <n v="2076899.8417262346"/>
    <n v="2076899.8417262346"/>
    <n v="1268885.054531686"/>
    <n v="1.0363937900198086"/>
    <n v="1.6695801210816654"/>
    <n v="0.63318633106185673"/>
    <n v="1.0363937900198086"/>
    <n v="124613.99050357408"/>
    <n v="200747.09377547522"/>
    <n v="76133.103271901156"/>
    <n v="124613.99050357407"/>
  </r>
  <r>
    <x v="42"/>
    <x v="2"/>
    <n v="1"/>
    <x v="1"/>
    <s v="Østdanmark"/>
    <n v="2621159.8056514151"/>
    <n v="0"/>
    <n v="0"/>
    <n v="0"/>
    <n v="1389214.6969952502"/>
    <n v="1231945.108656165"/>
    <n v="0"/>
    <n v="0"/>
    <n v="0"/>
    <n v="0"/>
    <n v="1389214.6969952502"/>
    <n v="0"/>
    <n v="0.59847369146555385"/>
    <n v="0.59847369146555385"/>
    <n v="0"/>
    <n v="0"/>
    <n v="69460.734849762506"/>
    <n v="69460.734849762506"/>
    <n v="0"/>
  </r>
  <r>
    <x v="43"/>
    <x v="10"/>
    <n v="0"/>
    <x v="1"/>
    <s v="Østdanmark"/>
    <n v="239604.1344339604"/>
    <n v="0"/>
    <n v="0"/>
    <n v="105526.43984954793"/>
    <n v="0"/>
    <n v="0"/>
    <n v="0"/>
    <n v="0"/>
    <n v="134077.69458441247"/>
    <n v="0"/>
    <n v="0"/>
    <n v="0"/>
    <n v="0"/>
    <n v="0"/>
    <n v="0"/>
    <n v="0"/>
    <n v="0"/>
    <n v="0"/>
    <n v="0"/>
  </r>
  <r>
    <x v="44"/>
    <x v="6"/>
    <n v="1"/>
    <x v="1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1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1"/>
    <s v="Østdanmark"/>
    <n v="645037.98201828008"/>
    <n v="0"/>
    <n v="0"/>
    <n v="0"/>
    <n v="0"/>
    <n v="0"/>
    <n v="645037.98201828008"/>
    <n v="0"/>
    <n v="0"/>
    <n v="0"/>
    <n v="645037.98201828008"/>
    <n v="0"/>
    <n v="9.3489024359990136"/>
    <n v="0"/>
    <n v="9.3489024359990136"/>
    <n v="0"/>
    <n v="319025.0352732077"/>
    <n v="0"/>
    <n v="319025.0352732077"/>
  </r>
  <r>
    <x v="47"/>
    <x v="10"/>
    <n v="0"/>
    <x v="1"/>
    <s v="Østdanmark"/>
    <n v="177359.22120275494"/>
    <n v="0"/>
    <n v="0"/>
    <n v="0"/>
    <n v="0"/>
    <n v="0"/>
    <n v="0"/>
    <n v="177359.22120275494"/>
    <n v="0"/>
    <n v="0"/>
    <n v="0"/>
    <n v="0"/>
    <n v="0"/>
    <n v="0"/>
    <n v="0"/>
    <n v="0"/>
    <n v="0"/>
    <n v="0"/>
    <n v="0"/>
  </r>
  <r>
    <x v="0"/>
    <x v="10"/>
    <n v="0"/>
    <x v="2"/>
    <s v="Østdanmark"/>
    <n v="20971.319509081128"/>
    <n v="0"/>
    <n v="0"/>
    <n v="29532.002020101954"/>
    <n v="0"/>
    <n v="0"/>
    <n v="0"/>
    <n v="0"/>
    <n v="-8560.6825110208265"/>
    <n v="0"/>
    <n v="0"/>
    <n v="0"/>
    <n v="0"/>
    <n v="0"/>
    <n v="0"/>
    <n v="0"/>
    <n v="0"/>
    <n v="0"/>
    <n v="0"/>
  </r>
  <r>
    <x v="1"/>
    <x v="10"/>
    <n v="0"/>
    <x v="2"/>
    <s v="Østdanmark"/>
    <n v="29872.966694552277"/>
    <n v="9499.9401044881179"/>
    <n v="0"/>
    <n v="0"/>
    <n v="0"/>
    <n v="0"/>
    <n v="0"/>
    <n v="0"/>
    <n v="20373.026590064161"/>
    <n v="0"/>
    <n v="0"/>
    <n v="0"/>
    <n v="0"/>
    <n v="0"/>
    <n v="0"/>
    <n v="0"/>
    <n v="0"/>
    <n v="0"/>
    <n v="0"/>
  </r>
  <r>
    <x v="2"/>
    <x v="1"/>
    <n v="1"/>
    <x v="2"/>
    <s v="Østdanmark"/>
    <n v="172292.68030975034"/>
    <n v="0"/>
    <n v="0"/>
    <n v="0"/>
    <n v="172292.76645701908"/>
    <n v="0"/>
    <n v="0"/>
    <n v="0"/>
    <n v="-8.6147268739296123E-2"/>
    <n v="0"/>
    <n v="172292.76645701908"/>
    <n v="0"/>
    <n v="0.58698594897008305"/>
    <n v="0.58698594897008305"/>
    <n v="0"/>
    <n v="0"/>
    <n v="48241.974607965349"/>
    <n v="48241.974607965349"/>
    <n v="0"/>
  </r>
  <r>
    <x v="3"/>
    <x v="10"/>
    <n v="1"/>
    <x v="2"/>
    <s v="Østdanmark"/>
    <n v="115646884.39712635"/>
    <n v="0"/>
    <n v="0"/>
    <n v="0"/>
    <n v="0"/>
    <n v="0"/>
    <n v="115646884.39712635"/>
    <n v="0"/>
    <n v="0"/>
    <n v="0"/>
    <n v="115646884.39712635"/>
    <n v="0"/>
    <n v="0"/>
    <n v="0"/>
    <n v="0"/>
    <n v="0"/>
    <n v="0"/>
    <n v="0"/>
    <n v="0"/>
  </r>
  <r>
    <x v="4"/>
    <x v="10"/>
    <n v="0"/>
    <x v="2"/>
    <s v="Østdanmark"/>
    <n v="3840968.7851207014"/>
    <n v="0"/>
    <n v="0"/>
    <n v="0"/>
    <n v="0"/>
    <n v="3410095.0601985683"/>
    <n v="0"/>
    <n v="0"/>
    <n v="430873.72492213314"/>
    <n v="0"/>
    <n v="0"/>
    <n v="0"/>
    <n v="0"/>
    <n v="0"/>
    <n v="0"/>
    <n v="0"/>
    <n v="0"/>
    <n v="0"/>
    <n v="0"/>
  </r>
  <r>
    <x v="5"/>
    <x v="1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6"/>
    <x v="2"/>
    <n v="1"/>
    <x v="2"/>
    <s v="Østdanmark"/>
    <n v="452469.72841919982"/>
    <n v="0"/>
    <n v="0"/>
    <n v="0"/>
    <n v="226234.86420959991"/>
    <n v="85646.055736491384"/>
    <n v="0"/>
    <n v="0"/>
    <n v="140588.80847310851"/>
    <n v="140588.80847310851"/>
    <n v="226234.86420959991"/>
    <n v="0.30282829345107576"/>
    <n v="0.79013819095855398"/>
    <n v="0.48730989750747822"/>
    <n v="0.30282829345107576"/>
    <n v="42176.642541932553"/>
    <n v="110047.10180481253"/>
    <n v="67870.459262879973"/>
    <n v="42176.642541932553"/>
  </r>
  <r>
    <x v="7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8"/>
    <x v="2"/>
    <n v="1"/>
    <x v="2"/>
    <s v="Østdanmark"/>
    <n v="867.71807684226371"/>
    <n v="0"/>
    <n v="0"/>
    <n v="0"/>
    <n v="433.85903842113186"/>
    <n v="433.85903842113186"/>
    <n v="0"/>
    <n v="0"/>
    <n v="0"/>
    <n v="0"/>
    <n v="433.85903842113186"/>
    <n v="0"/>
    <n v="2.040395671790741E-4"/>
    <n v="2.040395671790741E-4"/>
    <n v="0"/>
    <n v="0"/>
    <n v="27.333119420531307"/>
    <n v="27.333119420531307"/>
    <n v="0"/>
  </r>
  <r>
    <x v="9"/>
    <x v="10"/>
    <n v="0"/>
    <x v="2"/>
    <s v="Østdanmark"/>
    <n v="17490.137871374405"/>
    <n v="0"/>
    <n v="0"/>
    <n v="31993.002188443785"/>
    <n v="0"/>
    <n v="0"/>
    <n v="0"/>
    <n v="0"/>
    <n v="-14502.864317069379"/>
    <n v="0"/>
    <n v="0"/>
    <n v="0"/>
    <n v="0"/>
    <n v="0"/>
    <n v="0"/>
    <n v="0"/>
    <n v="0"/>
    <n v="0"/>
    <n v="0"/>
  </r>
  <r>
    <x v="10"/>
    <x v="10"/>
    <n v="0"/>
    <x v="2"/>
    <s v="Østdanmark"/>
    <n v="675013.35123286699"/>
    <n v="0"/>
    <n v="0"/>
    <n v="0"/>
    <n v="0"/>
    <n v="0"/>
    <n v="0"/>
    <n v="0"/>
    <n v="675013.35123286699"/>
    <n v="0"/>
    <n v="0"/>
    <n v="0"/>
    <n v="0"/>
    <n v="0"/>
    <n v="0"/>
    <n v="0"/>
    <n v="0"/>
    <n v="0"/>
    <n v="0"/>
  </r>
  <r>
    <x v="11"/>
    <x v="10"/>
    <n v="0"/>
    <x v="2"/>
    <s v="Østdanmark"/>
    <n v="17458.138688631974"/>
    <n v="0"/>
    <n v="0"/>
    <n v="233795.01599247381"/>
    <n v="0"/>
    <n v="0"/>
    <n v="0"/>
    <n v="0"/>
    <n v="-216336.87730384184"/>
    <n v="0"/>
    <n v="0"/>
    <n v="0"/>
    <n v="0"/>
    <n v="0"/>
    <n v="0"/>
    <n v="0"/>
    <n v="0"/>
    <n v="0"/>
    <n v="0"/>
  </r>
  <r>
    <x v="12"/>
    <x v="3"/>
    <n v="1"/>
    <x v="2"/>
    <s v="Østdanmark"/>
    <n v="0"/>
    <n v="0"/>
    <n v="0"/>
    <n v="0"/>
    <n v="28548.400000000001"/>
    <n v="0"/>
    <n v="0"/>
    <n v="0"/>
    <n v="-28548.400000000001"/>
    <n v="0"/>
    <n v="28548.400000000001"/>
    <n v="0"/>
    <n v="0.43389639740160008"/>
    <n v="0.43389639740160008"/>
    <n v="0"/>
    <n v="0"/>
    <n v="25693.56"/>
    <n v="25693.56"/>
    <n v="0"/>
  </r>
  <r>
    <x v="13"/>
    <x v="4"/>
    <n v="1"/>
    <x v="2"/>
    <s v="Østdanmark"/>
    <n v="2321080.0633232924"/>
    <n v="1802481.6912140576"/>
    <n v="0"/>
    <n v="0"/>
    <n v="10149.946321457955"/>
    <n v="0"/>
    <n v="0"/>
    <n v="0"/>
    <n v="508448.42578777694"/>
    <n v="508448.42578777694"/>
    <n v="10149.946321457955"/>
    <n v="0.93548154739628619"/>
    <n v="0.95415617988447865"/>
    <n v="1.8674632488192455E-2"/>
    <n v="0.93548154739628619"/>
    <n v="142365.55922057756"/>
    <n v="145207.54419058579"/>
    <n v="2841.9849700082277"/>
    <n v="142365.55922057756"/>
  </r>
  <r>
    <x v="14"/>
    <x v="10"/>
    <n v="0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15"/>
    <x v="10"/>
    <n v="0"/>
    <x v="2"/>
    <s v="Østdanmark"/>
    <n v="104773.85032405822"/>
    <n v="0"/>
    <n v="0"/>
    <n v="244869.51675001203"/>
    <n v="0"/>
    <n v="0"/>
    <n v="0"/>
    <n v="0"/>
    <n v="-140095.66642595379"/>
    <n v="0"/>
    <n v="0"/>
    <n v="0"/>
    <n v="0"/>
    <n v="0"/>
    <n v="0"/>
    <n v="0"/>
    <n v="0"/>
    <n v="0"/>
    <n v="0"/>
  </r>
  <r>
    <x v="16"/>
    <x v="5"/>
    <n v="1"/>
    <x v="2"/>
    <s v="Østdanmark"/>
    <n v="917722.26759868616"/>
    <n v="113867.33764129507"/>
    <n v="123674.90928891925"/>
    <n v="0"/>
    <n v="24319.338016954094"/>
    <n v="0"/>
    <n v="655860.68265151768"/>
    <n v="0"/>
    <n v="0"/>
    <n v="0"/>
    <n v="680180.02066847181"/>
    <n v="0"/>
    <n v="6.9190631174488182"/>
    <n v="0.14021411611026952"/>
    <n v="6.778849001338549"/>
    <n v="0"/>
    <n v="578153.01756820106"/>
    <n v="20671.437314410981"/>
    <n v="557481.58025379013"/>
  </r>
  <r>
    <x v="17"/>
    <x v="1"/>
    <n v="1"/>
    <x v="2"/>
    <s v="Østdanmark"/>
    <n v="457927.02496060182"/>
    <n v="0"/>
    <n v="0"/>
    <n v="0"/>
    <n v="36.343081867307831"/>
    <n v="0"/>
    <n v="457890.6818787345"/>
    <n v="0"/>
    <n v="0"/>
    <n v="0"/>
    <n v="457927.02496060182"/>
    <n v="0"/>
    <n v="8.1744271403578974"/>
    <n v="6.1713097026419407E-5"/>
    <n v="8.1743654272608701"/>
    <n v="0"/>
    <n v="137378.10748818054"/>
    <n v="10.902924560192348"/>
    <n v="137367.20456362035"/>
  </r>
  <r>
    <x v="18"/>
    <x v="10"/>
    <n v="0"/>
    <x v="2"/>
    <s v="Østdanmark"/>
    <n v="0"/>
    <n v="711176.0717109855"/>
    <n v="0"/>
    <n v="0"/>
    <n v="0"/>
    <n v="0"/>
    <n v="0"/>
    <n v="0"/>
    <n v="-711176.0717109855"/>
    <n v="0"/>
    <n v="0"/>
    <n v="0"/>
    <n v="0"/>
    <n v="0"/>
    <n v="0"/>
    <n v="0"/>
    <n v="0"/>
    <n v="0"/>
    <n v="0"/>
  </r>
  <r>
    <x v="19"/>
    <x v="1"/>
    <n v="1"/>
    <x v="2"/>
    <s v="Østdanmark"/>
    <n v="210918.57690717495"/>
    <n v="0"/>
    <n v="0"/>
    <n v="0"/>
    <n v="191431.38976525888"/>
    <n v="0"/>
    <n v="0"/>
    <n v="0"/>
    <n v="19487.187141916074"/>
    <n v="19487.187141916074"/>
    <n v="191431.38976525888"/>
    <n v="8.4440515220250811E-2"/>
    <n v="0.78951304846375669"/>
    <n v="0.70507253324350583"/>
    <n v="8.4440515220250867E-2"/>
    <n v="8184.6185996047507"/>
    <n v="88585.802301013478"/>
    <n v="80401.183701408721"/>
    <n v="8184.618599604757"/>
  </r>
  <r>
    <x v="20"/>
    <x v="10"/>
    <n v="0"/>
    <x v="2"/>
    <s v="Østdanmark"/>
    <n v="161111.91977130895"/>
    <n v="0"/>
    <n v="0"/>
    <n v="0"/>
    <n v="0"/>
    <n v="0"/>
    <n v="0"/>
    <n v="0"/>
    <n v="161111.91977130895"/>
    <n v="0"/>
    <n v="0"/>
    <n v="0"/>
    <n v="0"/>
    <n v="0"/>
    <n v="0"/>
    <n v="0"/>
    <n v="0"/>
    <n v="0"/>
    <n v="0"/>
  </r>
  <r>
    <x v="21"/>
    <x v="10"/>
    <n v="0"/>
    <x v="2"/>
    <s v="Østdanmark"/>
    <n v="128543.17236488358"/>
    <n v="0"/>
    <n v="0"/>
    <n v="111975.50765955324"/>
    <n v="0"/>
    <n v="0"/>
    <n v="0"/>
    <n v="0"/>
    <n v="16567.664705330331"/>
    <n v="0"/>
    <n v="0"/>
    <n v="0"/>
    <n v="0"/>
    <n v="0"/>
    <n v="0"/>
    <n v="0"/>
    <n v="0"/>
    <n v="0"/>
    <n v="0"/>
  </r>
  <r>
    <x v="22"/>
    <x v="5"/>
    <n v="1"/>
    <x v="2"/>
    <s v="Østdanmark"/>
    <n v="2531973.2246977086"/>
    <n v="865945.92924660421"/>
    <n v="0"/>
    <n v="268249.01834925939"/>
    <n v="960.24397829585621"/>
    <n v="0"/>
    <n v="0"/>
    <n v="0"/>
    <n v="1396818.0331235491"/>
    <n v="1396818.0331235491"/>
    <n v="960.24397829585621"/>
    <n v="4.7839062089235194"/>
    <n v="4.7871949101150255"/>
    <n v="3.2887011915063466E-3"/>
    <n v="4.7839062089235194"/>
    <n v="433013.59026830021"/>
    <n v="433311.26590157195"/>
    <n v="297.67563327171541"/>
    <n v="433013.59026830026"/>
  </r>
  <r>
    <x v="23"/>
    <x v="10"/>
    <n v="0"/>
    <x v="2"/>
    <s v="Østdanmark"/>
    <n v="0"/>
    <n v="0"/>
    <n v="0"/>
    <n v="0"/>
    <n v="0"/>
    <n v="331936.49185647361"/>
    <n v="0"/>
    <n v="0"/>
    <n v="-331936.49185647361"/>
    <n v="0"/>
    <n v="0"/>
    <n v="0"/>
    <n v="0"/>
    <n v="0"/>
    <n v="0"/>
    <n v="0"/>
    <n v="0"/>
    <n v="0"/>
    <n v="0"/>
  </r>
  <r>
    <x v="24"/>
    <x v="2"/>
    <n v="1"/>
    <x v="2"/>
    <s v="Østdanmark"/>
    <n v="1086187.6880789888"/>
    <n v="0"/>
    <n v="0"/>
    <n v="0"/>
    <n v="825502.64294003148"/>
    <n v="260685.0451389573"/>
    <n v="0"/>
    <n v="0"/>
    <n v="0"/>
    <n v="0"/>
    <n v="825502.64294003148"/>
    <n v="0"/>
    <n v="0.4178611828298146"/>
    <n v="0.4178611828298146"/>
    <n v="0"/>
    <n v="0"/>
    <n v="62738.200863442391"/>
    <n v="62738.200863442391"/>
    <n v="0"/>
  </r>
  <r>
    <x v="25"/>
    <x v="10"/>
    <n v="0"/>
    <x v="2"/>
    <s v="Østdanmark"/>
    <n v="135684.56083605965"/>
    <n v="223248.59245547073"/>
    <n v="0"/>
    <n v="0"/>
    <n v="0"/>
    <n v="0"/>
    <n v="0"/>
    <n v="0"/>
    <n v="-87564.031619411078"/>
    <n v="0"/>
    <n v="0"/>
    <n v="0"/>
    <n v="0"/>
    <n v="0"/>
    <n v="0"/>
    <n v="0"/>
    <n v="0"/>
    <n v="0"/>
    <n v="0"/>
  </r>
  <r>
    <x v="26"/>
    <x v="4"/>
    <n v="1"/>
    <x v="2"/>
    <s v="Østdanmark"/>
    <n v="411669.82731180527"/>
    <n v="833223.91333114507"/>
    <n v="0"/>
    <n v="0"/>
    <n v="15500.875420530891"/>
    <n v="0"/>
    <n v="0"/>
    <n v="0"/>
    <n v="-437054.96143987071"/>
    <n v="0"/>
    <n v="15500.875420530891"/>
    <n v="0"/>
    <n v="5.56481427597059E-2"/>
    <n v="5.56481427597059E-2"/>
    <n v="0"/>
    <n v="0"/>
    <n v="4650.2626261592668"/>
    <n v="4650.2626261592668"/>
    <n v="0"/>
  </r>
  <r>
    <x v="27"/>
    <x v="10"/>
    <n v="0"/>
    <x v="2"/>
    <s v="Østdanmark"/>
    <n v="261800.78357255683"/>
    <n v="0"/>
    <n v="0"/>
    <n v="428214.02929147833"/>
    <n v="0"/>
    <n v="0"/>
    <n v="0"/>
    <n v="0"/>
    <n v="-166413.24571892151"/>
    <n v="0"/>
    <n v="0"/>
    <n v="0"/>
    <n v="0"/>
    <n v="0"/>
    <n v="0"/>
    <n v="0"/>
    <n v="0"/>
    <n v="0"/>
    <n v="0"/>
  </r>
  <r>
    <x v="28"/>
    <x v="6"/>
    <n v="1"/>
    <x v="2"/>
    <s v="Østdanmark"/>
    <n v="69865.048763892031"/>
    <n v="0"/>
    <n v="0"/>
    <n v="0"/>
    <n v="0"/>
    <n v="0"/>
    <n v="0"/>
    <n v="0"/>
    <n v="69865.048763892031"/>
    <n v="69865.048763892031"/>
    <n v="0"/>
    <n v="6.2703881265593106E-2"/>
    <n v="6.2703881265593106E-2"/>
    <n v="0"/>
    <n v="6.2703881265593106E-2"/>
    <n v="10479.757314583805"/>
    <n v="10479.757314583805"/>
    <n v="0"/>
    <n v="10479.757314583805"/>
  </r>
  <r>
    <x v="29"/>
    <x v="10"/>
    <n v="0"/>
    <x v="2"/>
    <s v="Østdanmark"/>
    <n v="8766.6762558976552"/>
    <n v="0"/>
    <n v="0"/>
    <n v="54412.71372203785"/>
    <n v="0"/>
    <n v="0"/>
    <n v="0"/>
    <n v="0"/>
    <n v="-45646.037466140195"/>
    <n v="0"/>
    <n v="0"/>
    <n v="0"/>
    <n v="0"/>
    <n v="0"/>
    <n v="0"/>
    <n v="0"/>
    <n v="0"/>
    <n v="0"/>
    <n v="0"/>
  </r>
  <r>
    <x v="30"/>
    <x v="10"/>
    <n v="0"/>
    <x v="2"/>
    <s v="Østdanmark"/>
    <n v="437497.02391834371"/>
    <n v="0"/>
    <n v="0"/>
    <n v="0"/>
    <n v="0"/>
    <n v="0"/>
    <n v="0"/>
    <n v="0"/>
    <n v="437497.02391834371"/>
    <n v="0"/>
    <n v="0"/>
    <n v="0"/>
    <n v="0"/>
    <n v="0"/>
    <n v="0"/>
    <n v="0"/>
    <n v="0"/>
    <n v="0"/>
    <n v="0"/>
  </r>
  <r>
    <x v="31"/>
    <x v="7"/>
    <n v="1"/>
    <x v="2"/>
    <s v="Østdanmark"/>
    <n v="41269.159607947513"/>
    <n v="0"/>
    <n v="0"/>
    <n v="0"/>
    <n v="0"/>
    <n v="0"/>
    <n v="41269.159607947513"/>
    <n v="0"/>
    <n v="0"/>
    <n v="0"/>
    <n v="41269.159607947513"/>
    <n v="0"/>
    <n v="0.75935253678623404"/>
    <n v="0"/>
    <n v="0.75935253678623404"/>
    <n v="0"/>
    <n v="17126.701237298221"/>
    <n v="0"/>
    <n v="17126.701237298221"/>
  </r>
  <r>
    <x v="32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3"/>
    <x v="8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34"/>
    <x v="10"/>
    <n v="0"/>
    <x v="2"/>
    <s v="Østdanmark"/>
    <n v="407677.27631652972"/>
    <n v="0"/>
    <n v="0"/>
    <n v="0"/>
    <n v="0"/>
    <n v="0"/>
    <n v="0"/>
    <n v="0"/>
    <n v="407677.27631652972"/>
    <n v="0"/>
    <n v="0"/>
    <n v="0"/>
    <n v="0"/>
    <n v="0"/>
    <n v="0"/>
    <n v="0"/>
    <n v="0"/>
    <n v="0"/>
    <n v="0"/>
  </r>
  <r>
    <x v="35"/>
    <x v="10"/>
    <n v="0"/>
    <x v="2"/>
    <s v="Østdanmark"/>
    <n v="213654.52911119949"/>
    <n v="0"/>
    <n v="0"/>
    <n v="0"/>
    <n v="0"/>
    <n v="0"/>
    <n v="0"/>
    <n v="213654.52911119949"/>
    <n v="0"/>
    <n v="0"/>
    <n v="0"/>
    <n v="0"/>
    <n v="0"/>
    <n v="0"/>
    <n v="0"/>
    <n v="0"/>
    <n v="0"/>
    <n v="0"/>
    <n v="0"/>
  </r>
  <r>
    <x v="36"/>
    <x v="10"/>
    <n v="0"/>
    <x v="2"/>
    <s v="Østdanmark"/>
    <n v="106827.26455559974"/>
    <n v="31534.523402398052"/>
    <n v="0"/>
    <n v="0"/>
    <n v="0"/>
    <n v="0"/>
    <n v="0"/>
    <n v="0"/>
    <n v="75292.741153201699"/>
    <n v="0"/>
    <n v="0"/>
    <n v="0"/>
    <n v="0"/>
    <n v="0"/>
    <n v="0"/>
    <n v="0"/>
    <n v="0"/>
    <n v="0"/>
    <n v="0"/>
  </r>
  <r>
    <x v="37"/>
    <x v="9"/>
    <n v="1"/>
    <x v="2"/>
    <s v="Østdanmark"/>
    <n v="68369.449315583843"/>
    <n v="0"/>
    <n v="0"/>
    <n v="0"/>
    <n v="0"/>
    <n v="0"/>
    <n v="68369.449315583843"/>
    <n v="0"/>
    <n v="0"/>
    <n v="0"/>
    <n v="68369.449315583843"/>
    <n v="0"/>
    <n v="2.3929307260454342"/>
    <n v="0"/>
    <n v="2.3929307260454342"/>
    <n v="0"/>
    <n v="0"/>
    <n v="0"/>
    <n v="0"/>
  </r>
  <r>
    <x v="38"/>
    <x v="4"/>
    <n v="1"/>
    <x v="2"/>
    <s v="Østdanmark"/>
    <n v="2491625.0257138005"/>
    <n v="123895.05219603253"/>
    <n v="0"/>
    <n v="0"/>
    <n v="24610.929224370735"/>
    <n v="0"/>
    <n v="0"/>
    <n v="0"/>
    <n v="2343119.0442933971"/>
    <n v="1738095.5427716447"/>
    <n v="24610.929224370735"/>
    <n v="4.7172608269039547"/>
    <n v="4.7840558732560661"/>
    <n v="6.6795046352111156E-2"/>
    <n v="4.7172608269039547"/>
    <n v="347619.10855432897"/>
    <n v="352541.29439920309"/>
    <n v="4922.1858448741477"/>
    <n v="347619.10855432897"/>
  </r>
  <r>
    <x v="39"/>
    <x v="10"/>
    <n v="0"/>
    <x v="2"/>
    <s v="Østdanmark"/>
    <n v="26273.975378565505"/>
    <n v="0"/>
    <n v="0"/>
    <n v="0"/>
    <n v="0"/>
    <n v="0"/>
    <n v="0"/>
    <n v="0"/>
    <n v="26273.975378565505"/>
    <n v="0"/>
    <n v="0"/>
    <n v="0"/>
    <n v="0"/>
    <n v="0"/>
    <n v="0"/>
    <n v="0"/>
    <n v="0"/>
    <n v="0"/>
    <n v="0"/>
  </r>
  <r>
    <x v="40"/>
    <x v="10"/>
    <n v="0"/>
    <x v="2"/>
    <s v="Østdanmark"/>
    <n v="21342.928539613244"/>
    <n v="5805.5189527427383"/>
    <n v="0"/>
    <n v="0"/>
    <n v="0"/>
    <n v="0"/>
    <n v="0"/>
    <n v="0"/>
    <n v="15537.409586870504"/>
    <n v="0"/>
    <n v="0"/>
    <n v="0"/>
    <n v="0"/>
    <n v="0"/>
    <n v="0"/>
    <n v="0"/>
    <n v="0"/>
    <n v="0"/>
    <n v="0"/>
  </r>
  <r>
    <x v="41"/>
    <x v="1"/>
    <n v="1"/>
    <x v="2"/>
    <s v="Østdanmark"/>
    <n v="3501980.1471558851"/>
    <n v="0"/>
    <n v="0"/>
    <n v="0"/>
    <n v="1328121.9228895183"/>
    <n v="0"/>
    <n v="0"/>
    <n v="0"/>
    <n v="2173858.224266367"/>
    <n v="2173858.224266367"/>
    <n v="1328121.9228895183"/>
    <n v="1.0847769924911599"/>
    <n v="1.7475231132322584"/>
    <n v="0.66274612074109862"/>
    <n v="1.0847769924911597"/>
    <n v="130431.49345598201"/>
    <n v="210118.80882935313"/>
    <n v="79687.315373371093"/>
    <n v="130431.49345598204"/>
  </r>
  <r>
    <x v="42"/>
    <x v="2"/>
    <n v="1"/>
    <x v="2"/>
    <s v="Østdanmark"/>
    <n v="2509436.929964724"/>
    <n v="0"/>
    <n v="0"/>
    <n v="0"/>
    <n v="1330001.5728813037"/>
    <n v="1179435.3570834203"/>
    <n v="0"/>
    <n v="0"/>
    <n v="0"/>
    <n v="0"/>
    <n v="1330001.5728813037"/>
    <n v="0"/>
    <n v="0.57296467759726577"/>
    <n v="0.57296467759726577"/>
    <n v="0"/>
    <n v="0"/>
    <n v="66500.078644065186"/>
    <n v="66500.078644065186"/>
    <n v="0"/>
  </r>
  <r>
    <x v="43"/>
    <x v="10"/>
    <n v="0"/>
    <x v="2"/>
    <s v="Østdanmark"/>
    <n v="233020.79470926209"/>
    <n v="0"/>
    <n v="0"/>
    <n v="110474.29755686472"/>
    <n v="0"/>
    <n v="0"/>
    <n v="0"/>
    <n v="0"/>
    <n v="122546.49715239737"/>
    <n v="0"/>
    <n v="0"/>
    <n v="0"/>
    <n v="0"/>
    <n v="0"/>
    <n v="0"/>
    <n v="0"/>
    <n v="0"/>
    <n v="0"/>
    <n v="0"/>
  </r>
  <r>
    <x v="44"/>
    <x v="6"/>
    <n v="1"/>
    <x v="2"/>
    <s v="Østdanmark"/>
    <n v="36000"/>
    <n v="0"/>
    <n v="0"/>
    <n v="0"/>
    <n v="0"/>
    <n v="0"/>
    <n v="0"/>
    <n v="0"/>
    <n v="36000"/>
    <n v="36000"/>
    <n v="0"/>
    <n v="3.2310000000000005E-2"/>
    <n v="3.2310000000000005E-2"/>
    <n v="0"/>
    <n v="3.2310000000000005E-2"/>
    <n v="5400"/>
    <n v="5400"/>
    <n v="0"/>
    <n v="5400"/>
  </r>
  <r>
    <x v="45"/>
    <x v="10"/>
    <n v="1"/>
    <x v="2"/>
    <s v="Østdanmark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x v="46"/>
    <x v="7"/>
    <n v="1"/>
    <x v="2"/>
    <s v="Østdanmark"/>
    <n v="585136.614594521"/>
    <n v="0"/>
    <n v="0"/>
    <n v="0"/>
    <n v="0"/>
    <n v="0"/>
    <n v="585136.614594521"/>
    <n v="0"/>
    <n v="0"/>
    <n v="0"/>
    <n v="585136.614594521"/>
    <n v="0"/>
    <n v="8.4807178399921028"/>
    <n v="0"/>
    <n v="8.4807178399921028"/>
    <n v="0"/>
    <n v="289398.81730154017"/>
    <n v="0"/>
    <n v="289398.81730154017"/>
  </r>
  <r>
    <x v="47"/>
    <x v="10"/>
    <n v="0"/>
    <x v="2"/>
    <s v="Østdanmark"/>
    <n v="161190.90184954062"/>
    <n v="0"/>
    <n v="0"/>
    <n v="0"/>
    <n v="0"/>
    <n v="0"/>
    <n v="0"/>
    <n v="161190.90184954062"/>
    <n v="0"/>
    <n v="0"/>
    <n v="0"/>
    <n v="0"/>
    <n v="0"/>
    <n v="0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5878CB1-5390-44C1-AEFE-1081C56887A3}" name="PivotTable1" cacheId="16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1">
  <location ref="A3:AK33" firstHeaderRow="1" firstDataRow="2" firstDataCol="1"/>
  <pivotFields count="5">
    <pivotField axis="axisRow" showAll="0" measureFilter="1">
      <items count="11">
        <item x="1"/>
        <item x="2"/>
        <item x="0"/>
        <item x="3"/>
        <item x="4"/>
        <item x="5"/>
        <item x="6"/>
        <item x="7"/>
        <item x="8"/>
        <item x="9"/>
        <item t="default"/>
      </items>
    </pivotField>
    <pivotField showAll="0"/>
    <pivotField axis="axisCol" showAll="0" measureFilter="1">
      <items count="45">
        <item x="11"/>
        <item x="5"/>
        <item x="18"/>
        <item x="20"/>
        <item x="13"/>
        <item x="16"/>
        <item x="10"/>
        <item x="12"/>
        <item x="27"/>
        <item x="23"/>
        <item x="1"/>
        <item x="22"/>
        <item x="26"/>
        <item x="33"/>
        <item x="19"/>
        <item x="2"/>
        <item x="0"/>
        <item x="15"/>
        <item x="29"/>
        <item x="24"/>
        <item x="9"/>
        <item x="6"/>
        <item x="4"/>
        <item x="40"/>
        <item x="25"/>
        <item x="32"/>
        <item x="17"/>
        <item x="14"/>
        <item x="3"/>
        <item x="7"/>
        <item x="35"/>
        <item x="36"/>
        <item x="8"/>
        <item x="30"/>
        <item x="31"/>
        <item x="21"/>
        <item x="28"/>
        <item x="34"/>
        <item x="38"/>
        <item x="39"/>
        <item x="41"/>
        <item x="42"/>
        <item x="43"/>
        <item x="37"/>
        <item t="default"/>
      </items>
    </pivotField>
    <pivotField axis="axisRow" showAll="0">
      <items count="5">
        <item x="0"/>
        <item x="1"/>
        <item x="2"/>
        <item x="3"/>
        <item t="default"/>
      </items>
    </pivotField>
    <pivotField dataField="1" showAll="0"/>
  </pivotFields>
  <rowFields count="2">
    <field x="0"/>
    <field x="3"/>
  </rowFields>
  <rowItems count="29">
    <i>
      <x/>
    </i>
    <i r="1">
      <x/>
    </i>
    <i r="1">
      <x v="1"/>
    </i>
    <i r="1">
      <x v="2"/>
    </i>
    <i>
      <x v="1"/>
    </i>
    <i r="1">
      <x/>
    </i>
    <i r="1">
      <x v="1"/>
    </i>
    <i r="1">
      <x v="2"/>
    </i>
    <i>
      <x v="2"/>
    </i>
    <i r="1">
      <x/>
    </i>
    <i r="1">
      <x v="1"/>
    </i>
    <i r="1">
      <x v="2"/>
    </i>
    <i>
      <x v="3"/>
    </i>
    <i r="1">
      <x/>
    </i>
    <i r="1">
      <x v="1"/>
    </i>
    <i r="1">
      <x v="2"/>
    </i>
    <i>
      <x v="4"/>
    </i>
    <i r="1">
      <x/>
    </i>
    <i r="1">
      <x v="1"/>
    </i>
    <i r="1">
      <x v="2"/>
    </i>
    <i>
      <x v="5"/>
    </i>
    <i r="1">
      <x/>
    </i>
    <i r="1">
      <x v="1"/>
    </i>
    <i r="1">
      <x v="2"/>
    </i>
    <i>
      <x v="7"/>
    </i>
    <i r="1">
      <x/>
    </i>
    <i r="1">
      <x v="1"/>
    </i>
    <i r="1">
      <x v="2"/>
    </i>
    <i t="grand">
      <x/>
    </i>
  </rowItems>
  <colFields count="1">
    <field x="2"/>
  </colFields>
  <colItems count="36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2"/>
    </i>
    <i>
      <x v="23"/>
    </i>
    <i>
      <x v="24"/>
    </i>
    <i>
      <x v="25"/>
    </i>
    <i>
      <x v="26"/>
    </i>
    <i>
      <x v="27"/>
    </i>
    <i>
      <x v="28"/>
    </i>
    <i>
      <x v="30"/>
    </i>
    <i>
      <x v="31"/>
    </i>
    <i>
      <x v="36"/>
    </i>
    <i>
      <x v="37"/>
    </i>
    <i>
      <x v="38"/>
    </i>
    <i>
      <x v="39"/>
    </i>
    <i>
      <x v="43"/>
    </i>
    <i t="grand">
      <x/>
    </i>
  </colItems>
  <dataFields count="1">
    <dataField name="Sum of Mængde [ton]" fld="4" baseField="3" baseItem="0" numFmtId="172"/>
  </dataFields>
  <formats count="2">
    <format dxfId="12">
      <pivotArea outline="0" collapsedLevelsAreSubtotals="1" fieldPosition="0"/>
    </format>
    <format dxfId="11">
      <pivotArea outline="0" fieldPosition="0">
        <references count="1">
          <reference field="4294967294" count="1">
            <x v="0"/>
          </reference>
        </references>
      </pivotArea>
    </format>
  </formats>
  <chartFormats count="92">
    <chartFormat chart="0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0" format="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0" format="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0" format="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0" format="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0" format="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0" format="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0" format="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0" format="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0" format="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0" format="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0" format="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0" format="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0" format="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0" format="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0" format="2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0" format="2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1"/>
          </reference>
        </references>
      </pivotArea>
    </chartFormat>
    <chartFormat chart="0" format="2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0" format="2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0" format="2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0" format="2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0" format="2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0" format="2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0" format="3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0" format="3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9"/>
          </reference>
        </references>
      </pivotArea>
    </chartFormat>
    <chartFormat chart="0" format="32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4"/>
          </reference>
        </references>
      </pivotArea>
    </chartFormat>
    <chartFormat chart="0" format="33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6"/>
          </reference>
        </references>
      </pivotArea>
    </chartFormat>
    <chartFormat chart="0" format="34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7"/>
          </reference>
        </references>
      </pivotArea>
    </chartFormat>
    <chartFormat chart="0" format="35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0"/>
          </reference>
        </references>
      </pivotArea>
    </chartFormat>
    <chartFormat chart="0" format="36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5"/>
          </reference>
        </references>
      </pivotArea>
    </chartFormat>
    <chartFormat chart="0" format="37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16"/>
          </reference>
        </references>
      </pivotArea>
    </chartFormat>
    <chartFormat chart="0" format="38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0"/>
          </reference>
        </references>
      </pivotArea>
    </chartFormat>
    <chartFormat chart="0" format="39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2"/>
          </reference>
        </references>
      </pivotArea>
    </chartFormat>
    <chartFormat chart="0" format="41" series="1">
      <pivotArea type="data" outline="0" fieldPosition="0">
        <references count="3">
          <reference field="4294967294" count="1" selected="0">
            <x v="0"/>
          </reference>
          <reference field="0" count="1" selected="0">
            <x v="2"/>
          </reference>
          <reference field="2" count="1" selected="0">
            <x v="28"/>
          </reference>
        </references>
      </pivotArea>
    </chartFormat>
    <chartFormat chart="0" format="4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0" format="4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0" format="4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0" format="4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0" format="4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4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5"/>
          </reference>
        </references>
      </pivotArea>
    </chartFormat>
    <chartFormat chart="0" format="4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2"/>
          </reference>
        </references>
      </pivotArea>
    </chartFormat>
    <chartFormat chart="0" format="4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0" format="5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8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0"/>
          </reference>
        </references>
      </pivotArea>
    </chartFormat>
    <chartFormat chart="10" format="8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"/>
          </reference>
        </references>
      </pivotArea>
    </chartFormat>
    <chartFormat chart="10" format="8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"/>
          </reference>
        </references>
      </pivotArea>
    </chartFormat>
    <chartFormat chart="10" format="8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"/>
          </reference>
        </references>
      </pivotArea>
    </chartFormat>
    <chartFormat chart="10" format="8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"/>
          </reference>
        </references>
      </pivotArea>
    </chartFormat>
    <chartFormat chart="10" format="8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5"/>
          </reference>
        </references>
      </pivotArea>
    </chartFormat>
    <chartFormat chart="10" format="8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6"/>
          </reference>
        </references>
      </pivotArea>
    </chartFormat>
    <chartFormat chart="10" format="8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7"/>
          </reference>
        </references>
      </pivotArea>
    </chartFormat>
    <chartFormat chart="10" format="9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8"/>
          </reference>
        </references>
      </pivotArea>
    </chartFormat>
    <chartFormat chart="10" format="9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9"/>
          </reference>
        </references>
      </pivotArea>
    </chartFormat>
    <chartFormat chart="10" format="9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0"/>
          </reference>
        </references>
      </pivotArea>
    </chartFormat>
    <chartFormat chart="10" format="9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1"/>
          </reference>
        </references>
      </pivotArea>
    </chartFormat>
    <chartFormat chart="10" format="9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2"/>
          </reference>
        </references>
      </pivotArea>
    </chartFormat>
    <chartFormat chart="10" format="9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3"/>
          </reference>
        </references>
      </pivotArea>
    </chartFormat>
    <chartFormat chart="10" format="9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4"/>
          </reference>
        </references>
      </pivotArea>
    </chartFormat>
    <chartFormat chart="10" format="9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5"/>
          </reference>
        </references>
      </pivotArea>
    </chartFormat>
    <chartFormat chart="10" format="9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6"/>
          </reference>
        </references>
      </pivotArea>
    </chartFormat>
    <chartFormat chart="10" format="9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7"/>
          </reference>
        </references>
      </pivotArea>
    </chartFormat>
    <chartFormat chart="10" format="10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8"/>
          </reference>
        </references>
      </pivotArea>
    </chartFormat>
    <chartFormat chart="10" format="10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19"/>
          </reference>
        </references>
      </pivotArea>
    </chartFormat>
    <chartFormat chart="10" format="10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0"/>
          </reference>
        </references>
      </pivotArea>
    </chartFormat>
    <chartFormat chart="10" format="10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2"/>
          </reference>
        </references>
      </pivotArea>
    </chartFormat>
    <chartFormat chart="10" format="10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4"/>
          </reference>
        </references>
      </pivotArea>
    </chartFormat>
    <chartFormat chart="10" format="10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5"/>
          </reference>
        </references>
      </pivotArea>
    </chartFormat>
    <chartFormat chart="10" format="10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6"/>
          </reference>
        </references>
      </pivotArea>
    </chartFormat>
    <chartFormat chart="10" format="10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7"/>
          </reference>
        </references>
      </pivotArea>
    </chartFormat>
    <chartFormat chart="10" format="10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8"/>
          </reference>
        </references>
      </pivotArea>
    </chartFormat>
    <chartFormat chart="10" format="10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0"/>
          </reference>
        </references>
      </pivotArea>
    </chartFormat>
    <chartFormat chart="10" format="11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1"/>
          </reference>
        </references>
      </pivotArea>
    </chartFormat>
    <chartFormat chart="10" format="11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6"/>
          </reference>
        </references>
      </pivotArea>
    </chartFormat>
    <chartFormat chart="10" format="11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7"/>
          </reference>
        </references>
      </pivotArea>
    </chartFormat>
    <chartFormat chart="10" format="11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3"/>
          </reference>
        </references>
      </pivotArea>
    </chartFormat>
    <chartFormat chart="10" format="11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4"/>
          </reference>
        </references>
      </pivotArea>
    </chartFormat>
    <chartFormat chart="0" format="51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0" format="52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0" format="53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0" format="54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8"/>
          </reference>
        </references>
      </pivotArea>
    </chartFormat>
    <chartFormat chart="10" format="116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39"/>
          </reference>
        </references>
      </pivotArea>
    </chartFormat>
    <chartFormat chart="10" format="117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0"/>
          </reference>
        </references>
      </pivotArea>
    </chartFormat>
    <chartFormat chart="10" format="118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1"/>
          </reference>
        </references>
      </pivotArea>
    </chartFormat>
    <chartFormat chart="10" format="119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23"/>
          </reference>
        </references>
      </pivotArea>
    </chartFormat>
    <chartFormat chart="10" format="120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  <chartFormat chart="0" format="55" series="1">
      <pivotArea type="data" outline="0" fieldPosition="0">
        <references count="2">
          <reference field="4294967294" count="1" selected="0">
            <x v="0"/>
          </reference>
          <reference field="2" count="1" selected="0">
            <x v="43"/>
          </reference>
        </references>
      </pivotArea>
    </chartFormat>
  </chartFormats>
  <pivotTableStyleInfo name="PivotStyleLight16" showRowHeaders="1" showColHeaders="1" showRowStripes="0" showColStripes="0" showLastColumn="1"/>
  <filters count="2">
    <filter fld="2" type="valueGreaterThan" evalOrder="-1" id="1" iMeasureFld="0">
      <autoFilter ref="A1">
        <filterColumn colId="0">
          <customFilters>
            <customFilter operator="greaterThan" val="0"/>
          </customFilters>
        </filterColumn>
      </autoFilter>
    </filter>
    <filter fld="0" type="valueGreaterThan" evalOrder="-1" id="2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BDE5503-28FD-4953-94B0-FA5690B177D8}" name="Import" cacheId="20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7">
  <location ref="A4:I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Page" showAll="0">
      <items count="3">
        <item x="0"/>
        <item x="1"/>
        <item t="default"/>
      </items>
    </pivotField>
    <pivotField dataField="1" dragToRow="0" dragToCol="0" dragToPage="0" showAll="0" defaultSubtota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8">
    <i>
      <x v="2"/>
    </i>
    <i>
      <x v="8"/>
    </i>
    <i>
      <x v="10"/>
    </i>
    <i>
      <x v="13"/>
    </i>
    <i>
      <x v="32"/>
    </i>
    <i>
      <x v="37"/>
    </i>
    <i>
      <x v="39"/>
    </i>
    <i t="grand">
      <x/>
    </i>
  </colItems>
  <pageFields count="1">
    <pageField fld="24" item="1" hier="-1"/>
  </pageFields>
  <dataFields count="1">
    <dataField name="Sum of Import" fld="25" baseField="0" baseItem="0" numFmtId="3"/>
  </dataFields>
  <formats count="1">
    <format dxfId="10">
      <pivotArea outline="0" collapsedLevelsAreSubtotals="1" fieldPosition="0"/>
    </format>
  </formats>
  <chartFormats count="80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6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4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4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4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4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4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4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4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4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6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6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6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6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6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6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6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6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E4BE995-2AA8-4F16-8150-8B647AE9624D}" name="PivotTable3" cacheId="21" dataOnRows="1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8">
  <location ref="A4:AA9" firstHeaderRow="1" firstDataRow="2" firstDataCol="1" rowPageCount="1" colPageCount="1"/>
  <pivotFields count="26">
    <pivotField axis="axisCol" showAll="0">
      <items count="49">
        <item x="0"/>
        <item x="1"/>
        <item x="2"/>
        <item x="4"/>
        <item x="6"/>
        <item x="9"/>
        <item x="10"/>
        <item x="13"/>
        <item x="15"/>
        <item x="16"/>
        <item x="19"/>
        <item x="21"/>
        <item x="22"/>
        <item x="23"/>
        <item x="25"/>
        <item x="26"/>
        <item x="27"/>
        <item x="28"/>
        <item x="29"/>
        <item x="31"/>
        <item x="34"/>
        <item x="35"/>
        <item x="38"/>
        <item x="39"/>
        <item x="40"/>
        <item x="43"/>
        <item x="44"/>
        <item x="46"/>
        <item x="47"/>
        <item x="42"/>
        <item x="24"/>
        <item x="8"/>
        <item x="12"/>
        <item x="17"/>
        <item x="41"/>
        <item x="5"/>
        <item x="7"/>
        <item x="11"/>
        <item x="14"/>
        <item x="18"/>
        <item x="20"/>
        <item x="30"/>
        <item x="45"/>
        <item x="3"/>
        <item x="36"/>
        <item x="37"/>
        <item x="32"/>
        <item x="33"/>
        <item t="default"/>
      </items>
    </pivotField>
    <pivotField showAll="0"/>
    <pivotField showAll="0"/>
    <pivotField axis="axisRow" showAll="0" measureFilter="1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dataField="1"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  <pivotField multipleItemSelectionAllowed="1" showAll="0"/>
    <pivotField axis="axisPage" showAll="0">
      <items count="3">
        <item x="1"/>
        <item x="0"/>
        <item t="default"/>
      </items>
    </pivotField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26">
    <i>
      <x/>
    </i>
    <i>
      <x v="1"/>
    </i>
    <i>
      <x v="3"/>
    </i>
    <i>
      <x v="4"/>
    </i>
    <i>
      <x v="5"/>
    </i>
    <i>
      <x v="6"/>
    </i>
    <i>
      <x v="7"/>
    </i>
    <i>
      <x v="10"/>
    </i>
    <i>
      <x v="11"/>
    </i>
    <i>
      <x v="12"/>
    </i>
    <i>
      <x v="14"/>
    </i>
    <i>
      <x v="15"/>
    </i>
    <i>
      <x v="16"/>
    </i>
    <i>
      <x v="17"/>
    </i>
    <i>
      <x v="18"/>
    </i>
    <i>
      <x v="20"/>
    </i>
    <i>
      <x v="22"/>
    </i>
    <i>
      <x v="23"/>
    </i>
    <i>
      <x v="24"/>
    </i>
    <i>
      <x v="25"/>
    </i>
    <i>
      <x v="26"/>
    </i>
    <i>
      <x v="34"/>
    </i>
    <i>
      <x v="40"/>
    </i>
    <i>
      <x v="41"/>
    </i>
    <i>
      <x v="44"/>
    </i>
    <i t="grand">
      <x/>
    </i>
  </colItems>
  <pageFields count="1">
    <pageField fld="25" item="1" hier="-1"/>
  </pageFields>
  <dataFields count="1">
    <dataField name="Sum of Produktion minus forbrug [ton]" fld="13" baseField="3" baseItem="0" numFmtId="3"/>
  </dataFields>
  <formats count="2">
    <format dxfId="9">
      <pivotArea outline="0" collapsedLevelsAreSubtotals="1" fieldPosition="0"/>
    </format>
    <format dxfId="8">
      <pivotArea outline="0" fieldPosition="0">
        <references count="1">
          <reference field="4294967294" count="1">
            <x v="0"/>
          </reference>
        </references>
      </pivotArea>
    </format>
  </formats>
  <chartFormats count="272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1" format="328" series="1">
      <pivotArea type="data" outline="0" fieldPosition="0">
        <references count="1">
          <reference field="0" count="1" selected="0">
            <x v="10"/>
          </reference>
        </references>
      </pivotArea>
    </chartFormat>
    <chartFormat chart="1" format="329" series="1">
      <pivotArea type="data" outline="0" fieldPosition="0">
        <references count="1">
          <reference field="0" count="1" selected="0">
            <x v="13"/>
          </reference>
        </references>
      </pivotArea>
    </chartFormat>
    <chartFormat chart="1" format="330" series="1">
      <pivotArea type="data" outline="0" fieldPosition="0">
        <references count="1">
          <reference field="0" count="1" selected="0">
            <x v="14"/>
          </reference>
        </references>
      </pivotArea>
    </chartFormat>
    <chartFormat chart="1" format="331" series="1">
      <pivotArea type="data" outline="0" fieldPosition="0">
        <references count="1">
          <reference field="0" count="1" selected="0">
            <x v="16"/>
          </reference>
        </references>
      </pivotArea>
    </chartFormat>
    <chartFormat chart="1" format="332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1" format="333" series="1">
      <pivotArea type="data" outline="0" fieldPosition="0">
        <references count="1">
          <reference field="0" count="1" selected="0">
            <x v="18"/>
          </reference>
        </references>
      </pivotArea>
    </chartFormat>
    <chartFormat chart="1" format="334" series="1">
      <pivotArea type="data" outline="0" fieldPosition="0">
        <references count="1">
          <reference field="0" count="1" selected="0">
            <x v="20"/>
          </reference>
        </references>
      </pivotArea>
    </chartFormat>
    <chartFormat chart="1" format="335" series="1">
      <pivotArea type="data" outline="0" fieldPosition="0">
        <references count="1">
          <reference field="0" count="1" selected="0">
            <x v="23"/>
          </reference>
        </references>
      </pivotArea>
    </chartFormat>
    <chartFormat chart="1" format="336" series="1">
      <pivotArea type="data" outline="0" fieldPosition="0">
        <references count="1">
          <reference field="0" count="1" selected="0">
            <x v="24"/>
          </reference>
        </references>
      </pivotArea>
    </chartFormat>
    <chartFormat chart="1" format="337" series="1">
      <pivotArea type="data" outline="0" fieldPosition="0">
        <references count="1">
          <reference field="0" count="1" selected="0">
            <x v="25"/>
          </reference>
        </references>
      </pivotArea>
    </chartFormat>
    <chartFormat chart="1" format="338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1" format="339" series="1">
      <pivotArea type="data" outline="0" fieldPosition="0">
        <references count="1">
          <reference field="0" count="1" selected="0">
            <x v="27"/>
          </reference>
        </references>
      </pivotArea>
    </chartFormat>
    <chartFormat chart="1" format="340" series="1">
      <pivotArea type="data" outline="0" fieldPosition="0">
        <references count="1">
          <reference field="0" count="1" selected="0">
            <x v="28"/>
          </reference>
        </references>
      </pivotArea>
    </chartFormat>
    <chartFormat chart="1" format="341" series="1">
      <pivotArea type="data" outline="0" fieldPosition="0">
        <references count="1">
          <reference field="0" count="1" selected="0">
            <x v="29"/>
          </reference>
        </references>
      </pivotArea>
    </chartFormat>
    <chartFormat chart="1" format="342" series="1">
      <pivotArea type="data" outline="0" fieldPosition="0">
        <references count="1">
          <reference field="0" count="1" selected="0">
            <x v="30"/>
          </reference>
        </references>
      </pivotArea>
    </chartFormat>
    <chartFormat chart="1" format="343" series="1">
      <pivotArea type="data" outline="0" fieldPosition="0">
        <references count="1">
          <reference field="0" count="1" selected="0">
            <x v="31"/>
          </reference>
        </references>
      </pivotArea>
    </chartFormat>
    <chartFormat chart="1" format="344" series="1">
      <pivotArea type="data" outline="0" fieldPosition="0">
        <references count="1">
          <reference field="0" count="1" selected="0">
            <x v="32"/>
          </reference>
        </references>
      </pivotArea>
    </chartFormat>
    <chartFormat chart="1" format="345" series="1">
      <pivotArea type="data" outline="0" fieldPosition="0">
        <references count="1">
          <reference field="0" count="1" selected="0">
            <x v="33"/>
          </reference>
        </references>
      </pivotArea>
    </chartFormat>
    <chartFormat chart="1" format="346" series="1">
      <pivotArea type="data" outline="0" fieldPosition="0">
        <references count="1">
          <reference field="0" count="1" selected="0">
            <x v="34"/>
          </reference>
        </references>
      </pivotArea>
    </chartFormat>
    <chartFormat chart="1" format="347" series="1">
      <pivotArea type="data" outline="0" fieldPosition="0">
        <references count="1">
          <reference field="0" count="1" selected="0">
            <x v="35"/>
          </reference>
        </references>
      </pivotArea>
    </chartFormat>
    <chartFormat chart="1" format="348" series="1">
      <pivotArea type="data" outline="0" fieldPosition="0">
        <references count="1">
          <reference field="0" count="1" selected="0">
            <x v="36"/>
          </reference>
        </references>
      </pivotArea>
    </chartFormat>
    <chartFormat chart="1" format="349" series="1">
      <pivotArea type="data" outline="0" fieldPosition="0">
        <references count="1">
          <reference field="0" count="1" selected="0">
            <x v="37"/>
          </reference>
        </references>
      </pivotArea>
    </chartFormat>
    <chartFormat chart="1" format="350" series="1">
      <pivotArea type="data" outline="0" fieldPosition="0">
        <references count="1">
          <reference field="0" count="1" selected="0">
            <x v="38"/>
          </reference>
        </references>
      </pivotArea>
    </chartFormat>
    <chartFormat chart="1" format="351" series="1">
      <pivotArea type="data" outline="0" fieldPosition="0">
        <references count="1">
          <reference field="0" count="1" selected="0">
            <x v="39"/>
          </reference>
        </references>
      </pivotArea>
    </chartFormat>
    <chartFormat chart="1" format="352" series="1">
      <pivotArea type="data" outline="0" fieldPosition="0">
        <references count="1">
          <reference field="0" count="1" selected="0">
            <x v="40"/>
          </reference>
        </references>
      </pivotArea>
    </chartFormat>
    <chartFormat chart="1" format="353" series="1">
      <pivotArea type="data" outline="0" fieldPosition="0">
        <references count="1">
          <reference field="0" count="1" selected="0">
            <x v="41"/>
          </reference>
        </references>
      </pivotArea>
    </chartFormat>
    <chartFormat chart="1" format="354" series="1">
      <pivotArea type="data" outline="0" fieldPosition="0">
        <references count="1">
          <reference field="0" count="1" selected="0">
            <x v="42"/>
          </reference>
        </references>
      </pivotArea>
    </chartFormat>
    <chartFormat chart="1" format="355" series="1">
      <pivotArea type="data" outline="0" fieldPosition="0">
        <references count="1">
          <reference field="0" count="1" selected="0">
            <x v="43"/>
          </reference>
        </references>
      </pivotArea>
    </chartFormat>
    <chartFormat chart="1" format="356" series="1">
      <pivotArea type="data" outline="0" fieldPosition="0">
        <references count="1">
          <reference field="0" count="1" selected="0">
            <x v="44"/>
          </reference>
        </references>
      </pivotArea>
    </chartFormat>
    <chartFormat chart="1" format="357" series="1">
      <pivotArea type="data" outline="0" fieldPosition="0">
        <references count="1">
          <reference field="0" count="1" selected="0">
            <x v="45"/>
          </reference>
        </references>
      </pivotArea>
    </chartFormat>
    <chartFormat chart="1" format="358" series="1">
      <pivotArea type="data" outline="0" fieldPosition="0">
        <references count="1">
          <reference field="0" count="1" selected="0">
            <x v="0"/>
          </reference>
        </references>
      </pivotArea>
    </chartFormat>
    <chartFormat chart="1" format="359" series="1">
      <pivotArea type="data" outline="0" fieldPosition="0">
        <references count="1">
          <reference field="0" count="1" selected="0">
            <x v="2"/>
          </reference>
        </references>
      </pivotArea>
    </chartFormat>
    <chartFormat chart="1" format="360" series="1">
      <pivotArea type="data" outline="0" fieldPosition="0">
        <references count="1">
          <reference field="0" count="1" selected="0">
            <x v="3"/>
          </reference>
        </references>
      </pivotArea>
    </chartFormat>
    <chartFormat chart="1" format="361" series="1">
      <pivotArea type="data" outline="0" fieldPosition="0">
        <references count="1">
          <reference field="0" count="1" selected="0">
            <x v="4"/>
          </reference>
        </references>
      </pivotArea>
    </chartFormat>
    <chartFormat chart="1" format="362" series="1">
      <pivotArea type="data" outline="0" fieldPosition="0">
        <references count="1">
          <reference field="0" count="1" selected="0">
            <x v="5"/>
          </reference>
        </references>
      </pivotArea>
    </chartFormat>
    <chartFormat chart="1" format="3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" format="3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" format="3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" format="3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" format="3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" format="3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" format="3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" format="3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" format="3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" format="3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" format="3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" format="3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" format="3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" format="3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" format="3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" format="3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" format="3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" format="3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" format="3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" format="3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" format="3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" format="3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" format="3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" format="3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" format="3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" format="3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" format="3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" format="3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" format="39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" format="39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" format="39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" format="39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" format="3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" format="3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" format="3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" format="3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" format="3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" format="4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" format="4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" format="4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" format="4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" format="4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" format="4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" format="4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8" format="46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8" format="46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8" format="46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8" format="46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8" format="46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8" format="4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8" format="4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8" format="4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8" format="4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8" format="4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9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9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9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9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9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9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9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9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9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9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6" format="4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6" format="4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6" format="4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6" format="4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6" format="4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6" format="4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6" format="4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6" format="4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6" format="4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6" format="4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0" format="4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0" format="4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0" format="4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0" format="4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0" format="4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0" format="4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0" format="4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0" format="4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0" format="4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0" format="4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1" format="4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1" format="4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1" format="4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1" format="4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1" format="4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1" format="4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1" format="4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1" format="4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1" format="4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1" format="4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1" format="4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1" format="4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1" format="4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1" format="4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1" format="4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1" format="4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1" format="4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1" format="4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1" format="4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1" format="4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1" format="4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1" format="4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1" format="4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1" format="4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1" format="4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1" format="4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1" format="4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1" format="4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1" format="4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1" format="4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1" format="4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1" format="44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1" format="44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1" format="44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1" format="44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1" format="44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1" format="44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1" format="44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1" format="44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1" format="44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1" format="45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1" format="45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1" format="45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1" format="45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1" format="45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4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3" format="4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3" format="4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3" format="4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3" format="49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3" format="50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3" format="50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3" format="50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9"/>
          </reference>
        </references>
      </pivotArea>
    </chartFormat>
    <chartFormat chart="13" format="50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3" format="50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3" format="50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3" format="50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3" format="50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3" format="50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3" format="50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3" format="51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3" format="51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9"/>
          </reference>
        </references>
      </pivotArea>
    </chartFormat>
    <chartFormat chart="13" format="51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3" format="51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1"/>
          </reference>
        </references>
      </pivotArea>
    </chartFormat>
    <chartFormat chart="13" format="51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3" format="51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3" format="5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3" format="5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3" format="5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3" format="5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13" format="5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  <chartFormat chart="13" format="5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9"/>
          </reference>
        </references>
      </pivotArea>
    </chartFormat>
    <chartFormat chart="13" format="5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0"/>
          </reference>
        </references>
      </pivotArea>
    </chartFormat>
    <chartFormat chart="13" format="5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1"/>
          </reference>
        </references>
      </pivotArea>
    </chartFormat>
    <chartFormat chart="13" format="5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3"/>
          </reference>
        </references>
      </pivotArea>
    </chartFormat>
    <chartFormat chart="13" format="5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3" format="5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5"/>
          </reference>
        </references>
      </pivotArea>
    </chartFormat>
    <chartFormat chart="13" format="5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6"/>
          </reference>
        </references>
      </pivotArea>
    </chartFormat>
    <chartFormat chart="13" format="5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8"/>
          </reference>
        </references>
      </pivotArea>
    </chartFormat>
    <chartFormat chart="13" format="5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3" format="5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3" format="5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2"/>
          </reference>
        </references>
      </pivotArea>
    </chartFormat>
    <chartFormat chart="13" format="5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3"/>
          </reference>
        </references>
      </pivotArea>
    </chartFormat>
    <chartFormat chart="13" format="5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3" format="5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5"/>
          </reference>
        </references>
      </pivotArea>
    </chartFormat>
    <chartFormat chart="13" format="5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"/>
          </reference>
        </references>
      </pivotArea>
    </chartFormat>
    <chartFormat chart="13" format="5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8"/>
          </reference>
        </references>
      </pivotArea>
    </chartFormat>
    <chartFormat chart="13" format="5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3"/>
          </reference>
        </references>
      </pivotArea>
    </chartFormat>
    <chartFormat chart="13" format="5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2"/>
          </reference>
        </references>
      </pivotArea>
    </chartFormat>
    <chartFormat chart="13" format="5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7"/>
          </reference>
        </references>
      </pivotArea>
    </chartFormat>
    <chartFormat chart="13" format="5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9"/>
          </reference>
        </references>
      </pivotArea>
    </chartFormat>
    <chartFormat chart="15" format="56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5" format="56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5" format="56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5" format="56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5" format="57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5" format="57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5" format="57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5" format="57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5" format="57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5" format="57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5" format="57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5" format="57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5" format="57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5" format="57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5" format="58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5" format="58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5" format="58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5" format="58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5" format="58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5" format="58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5" format="58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5" format="58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5" format="58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5" format="58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5" format="59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  <chartFormat chart="17" format="61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0"/>
          </reference>
        </references>
      </pivotArea>
    </chartFormat>
    <chartFormat chart="17" format="61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"/>
          </reference>
        </references>
      </pivotArea>
    </chartFormat>
    <chartFormat chart="17" format="61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"/>
          </reference>
        </references>
      </pivotArea>
    </chartFormat>
    <chartFormat chart="17" format="61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"/>
          </reference>
        </references>
      </pivotArea>
    </chartFormat>
    <chartFormat chart="17" format="62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5"/>
          </reference>
        </references>
      </pivotArea>
    </chartFormat>
    <chartFormat chart="17" format="62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6"/>
          </reference>
        </references>
      </pivotArea>
    </chartFormat>
    <chartFormat chart="17" format="62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7"/>
          </reference>
        </references>
      </pivotArea>
    </chartFormat>
    <chartFormat chart="17" format="62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0"/>
          </reference>
        </references>
      </pivotArea>
    </chartFormat>
    <chartFormat chart="17" format="62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1"/>
          </reference>
        </references>
      </pivotArea>
    </chartFormat>
    <chartFormat chart="17" format="62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2"/>
          </reference>
        </references>
      </pivotArea>
    </chartFormat>
    <chartFormat chart="17" format="62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4"/>
          </reference>
        </references>
      </pivotArea>
    </chartFormat>
    <chartFormat chart="17" format="62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5"/>
          </reference>
        </references>
      </pivotArea>
    </chartFormat>
    <chartFormat chart="17" format="62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6"/>
          </reference>
        </references>
      </pivotArea>
    </chartFormat>
    <chartFormat chart="17" format="62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17" format="63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8"/>
          </reference>
        </references>
      </pivotArea>
    </chartFormat>
    <chartFormat chart="17" format="631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0"/>
          </reference>
        </references>
      </pivotArea>
    </chartFormat>
    <chartFormat chart="17" format="632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2"/>
          </reference>
        </references>
      </pivotArea>
    </chartFormat>
    <chartFormat chart="17" format="633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3"/>
          </reference>
        </references>
      </pivotArea>
    </chartFormat>
    <chartFormat chart="17" format="634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4"/>
          </reference>
        </references>
      </pivotArea>
    </chartFormat>
    <chartFormat chart="17" format="63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5"/>
          </reference>
        </references>
      </pivotArea>
    </chartFormat>
    <chartFormat chart="17" format="63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17" format="63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34"/>
          </reference>
        </references>
      </pivotArea>
    </chartFormat>
    <chartFormat chart="17" format="63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0"/>
          </reference>
        </references>
      </pivotArea>
    </chartFormat>
    <chartFormat chart="17" format="639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1"/>
          </reference>
        </references>
      </pivotArea>
    </chartFormat>
    <chartFormat chart="17" format="640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44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3" type="valueGreaterThan" evalOrder="-1" id="5" iMeasureFld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B86B83-E98F-4BCC-8B79-1529FA6B94AA}" name="PivotTable3" cacheId="23" dataOnRows="1" dataPosition="0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3:K14" firstHeaderRow="1" firstDataRow="2" firstDataCol="1"/>
  <pivotFields count="24">
    <pivotField showAll="0"/>
    <pivotField axis="axisCol" showAll="0" sortType="ascending">
      <items count="13">
        <item h="1" x="10"/>
        <item x="1"/>
        <item x="3"/>
        <item x="4"/>
        <item x="5"/>
        <item x="6"/>
        <item x="2"/>
        <item h="1" m="1" x="11"/>
        <item x="8"/>
        <item x="9"/>
        <item x="7"/>
        <item h="1" x="0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</pivotFields>
  <rowFields count="2">
    <field x="-2"/>
    <field x="3"/>
  </rowFields>
  <rowItems count="10">
    <i>
      <x/>
    </i>
    <i r="1">
      <x/>
    </i>
    <i r="1">
      <x v="1"/>
    </i>
    <i r="1">
      <x v="2"/>
    </i>
    <i i="1">
      <x v="1"/>
    </i>
    <i r="1" i="1">
      <x/>
    </i>
    <i r="1" i="1">
      <x v="1"/>
    </i>
    <i r="1" i="1">
      <x v="2"/>
    </i>
    <i t="grand">
      <x/>
    </i>
    <i t="grand" i="1">
      <x/>
    </i>
  </rowItems>
  <colFields count="1">
    <field x="1"/>
  </colFields>
  <colItems count="10">
    <i>
      <x v="1"/>
    </i>
    <i>
      <x v="2"/>
    </i>
    <i>
      <x v="3"/>
    </i>
    <i>
      <x v="4"/>
    </i>
    <i>
      <x v="5"/>
    </i>
    <i>
      <x v="6"/>
    </i>
    <i>
      <x v="8"/>
    </i>
    <i>
      <x v="9"/>
    </i>
    <i>
      <x v="10"/>
    </i>
    <i t="grand">
      <x/>
    </i>
  </colItems>
  <dataFields count="2">
    <dataField name="Sum of Biomasser til energi eksl. biogas [PJ]" fld="19" baseField="0" baseItem="0"/>
    <dataField name="Sum of Biogasproduktion [PJ]" fld="18" baseField="0" baseItem="0"/>
  </dataFields>
  <formats count="1">
    <format dxfId="7">
      <pivotArea outline="0" collapsedLevelsAreSubtotals="1" fieldPosition="0"/>
    </format>
  </formats>
  <chartFormats count="43">
    <chartFormat chart="3" format="10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0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10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10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10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10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0" format="10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10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10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10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10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3" format="10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3" format="103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3" format="103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3" format="103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3" format="103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3" format="104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3" format="104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3" format="104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0" format="10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3" format="104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102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0" format="102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0" format="1023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0" format="102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0" format="102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0" format="102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0" format="102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0" format="102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0" format="102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  <chartFormat chart="3" format="1044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"/>
          </reference>
        </references>
      </pivotArea>
    </chartFormat>
    <chartFormat chart="3" format="1045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2"/>
          </reference>
        </references>
      </pivotArea>
    </chartFormat>
    <chartFormat chart="3" format="1046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3"/>
          </reference>
        </references>
      </pivotArea>
    </chartFormat>
    <chartFormat chart="3" format="1047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4"/>
          </reference>
        </references>
      </pivotArea>
    </chartFormat>
    <chartFormat chart="3" format="1048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5"/>
          </reference>
        </references>
      </pivotArea>
    </chartFormat>
    <chartFormat chart="3" format="1049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6"/>
          </reference>
        </references>
      </pivotArea>
    </chartFormat>
    <chartFormat chart="3" format="1050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9"/>
          </reference>
        </references>
      </pivotArea>
    </chartFormat>
    <chartFormat chart="3" format="1051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10"/>
          </reference>
        </references>
      </pivotArea>
    </chartFormat>
    <chartFormat chart="3" format="1052" series="1">
      <pivotArea type="data" outline="0" fieldPosition="0">
        <references count="2">
          <reference field="4294967294" count="1" selected="0">
            <x v="1"/>
          </reference>
          <reference field="1" count="1" selected="0">
            <x v="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79E83E1-9227-41E9-AAEA-EDAC8C853BBE}" name="PivotTable1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3">
  <location ref="A1:I6" firstHeaderRow="1" firstDataRow="2" firstDataCol="1"/>
  <pivotFields count="24">
    <pivotField showAll="0"/>
    <pivotField axis="axisCol" showAll="0">
      <items count="13">
        <item h="1" x="10"/>
        <item x="1"/>
        <item x="3"/>
        <item x="4"/>
        <item x="5"/>
        <item x="6"/>
        <item x="2"/>
        <item m="1" x="11"/>
        <item h="1" x="9"/>
        <item x="7"/>
        <item h="1" x="0"/>
        <item h="1" x="8"/>
        <item t="default"/>
      </items>
    </pivotField>
    <pivotField showAll="0"/>
    <pivotField axis="axisRow" showAll="0">
      <items count="4">
        <item x="0"/>
        <item x="1"/>
        <item x="2"/>
        <item t="default"/>
      </items>
    </pivotField>
    <pivotField showAll="0"/>
    <pivotField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1"/>
  </colFields>
  <colItems count="8">
    <i>
      <x v="1"/>
    </i>
    <i>
      <x v="2"/>
    </i>
    <i>
      <x v="3"/>
    </i>
    <i>
      <x v="4"/>
    </i>
    <i>
      <x v="5"/>
    </i>
    <i>
      <x v="6"/>
    </i>
    <i>
      <x v="9"/>
    </i>
    <i t="grand">
      <x/>
    </i>
  </colItems>
  <dataFields count="1">
    <dataField name="Sum of Forbrug/potentiale [Ton TS]" fld="21" baseField="0" baseItem="0" numFmtId="171"/>
  </dataFields>
  <formats count="1">
    <format dxfId="6">
      <pivotArea outline="0" collapsedLevelsAreSubtotals="1" fieldPosition="0"/>
    </format>
  </formats>
  <chartFormats count="23">
    <chartFormat chart="2" format="107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0" format="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0" format="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0" format="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9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9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9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0" format="10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0" format="10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0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0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2" format="1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2" format="1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2" format="1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2" format="11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2" format="11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2" format="11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2" format="1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F5D5D38-5214-418A-9048-C89C701B2F1F}" name="PivotTable1" cacheId="22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5">
  <location ref="A1:J6" firstHeaderRow="1" firstDataRow="2" firstDataCol="1"/>
  <pivotFields count="5">
    <pivotField showAll="0"/>
    <pivotField axis="axisRow" showAll="0">
      <items count="4">
        <item x="0"/>
        <item x="1"/>
        <item x="2"/>
        <item t="default"/>
      </items>
    </pivotField>
    <pivotField dataField="1" showAll="0"/>
    <pivotField showAll="0"/>
    <pivotField axis="axisCol" showAll="0">
      <items count="9">
        <item x="0"/>
        <item x="3"/>
        <item x="1"/>
        <item x="2"/>
        <item x="4"/>
        <item x="6"/>
        <item x="7"/>
        <item x="5"/>
        <item t="default"/>
      </items>
    </pivotField>
  </pivotFields>
  <rowFields count="1">
    <field x="1"/>
  </rowFields>
  <rowItems count="4">
    <i>
      <x/>
    </i>
    <i>
      <x v="1"/>
    </i>
    <i>
      <x v="2"/>
    </i>
    <i t="grand">
      <x/>
    </i>
  </rowItems>
  <colFields count="1">
    <field x="4"/>
  </colFields>
  <col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colItems>
  <dataFields count="1">
    <dataField name="Sum of Total" fld="2" baseField="1" baseItem="0" numFmtId="3"/>
  </dataFields>
  <formats count="2">
    <format dxfId="5">
      <pivotArea outline="0" collapsedLevelsAreSubtotals="1" fieldPosition="0"/>
    </format>
    <format dxfId="4">
      <pivotArea outline="0" fieldPosition="0">
        <references count="1">
          <reference field="4294967294" count="1">
            <x v="0"/>
          </reference>
        </references>
      </pivotArea>
    </format>
  </formats>
  <chartFormats count="47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4" format="3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4" format="3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4" format="3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4" format="3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3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4" format="3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5" format="4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5" format="4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5" format="4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5" format="4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5" format="4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5" format="4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6" format="4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6" format="4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6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6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6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6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6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4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9" format="5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9" format="5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9" format="5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9" format="53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9" format="54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9" format="5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9" format="5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12" format="65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12" format="66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  <chartFormat chart="12" format="67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3"/>
          </reference>
        </references>
      </pivotArea>
    </chartFormat>
    <chartFormat chart="12" format="68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4"/>
          </reference>
        </references>
      </pivotArea>
    </chartFormat>
    <chartFormat chart="12" format="69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5"/>
          </reference>
        </references>
      </pivotArea>
    </chartFormat>
    <chartFormat chart="12" format="7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6"/>
          </reference>
        </references>
      </pivotArea>
    </chartFormat>
    <chartFormat chart="12" format="7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7"/>
          </reference>
        </references>
      </pivotArea>
    </chartFormat>
    <chartFormat chart="12" format="7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4" format="41">
      <pivotArea type="data" outline="0" fieldPosition="0">
        <references count="3">
          <reference field="4294967294" count="1" selected="0">
            <x v="0"/>
          </reference>
          <reference field="1" count="1" selected="0">
            <x v="0"/>
          </reference>
          <reference field="4" count="1" selected="0">
            <x v="1"/>
          </reference>
        </references>
      </pivotArea>
    </chartFormat>
    <chartFormat chart="4" format="42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1"/>
          </reference>
        </references>
      </pivotArea>
    </chartFormat>
    <chartFormat chart="4" format="43">
      <pivotArea type="data" outline="0" fieldPosition="0">
        <references count="3">
          <reference field="4294967294" count="1" selected="0">
            <x v="0"/>
          </reference>
          <reference field="1" count="1" selected="0">
            <x v="2"/>
          </reference>
          <reference field="4" count="1" selected="0">
            <x v="1"/>
          </reference>
        </references>
      </pivotArea>
    </chartFormat>
    <chartFormat chart="4" format="44">
      <pivotArea type="data" outline="0" fieldPosition="0">
        <references count="3">
          <reference field="4294967294" count="1" selected="0">
            <x v="0"/>
          </reference>
          <reference field="1" count="1" selected="0">
            <x v="1"/>
          </reference>
          <reference field="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6CA9F1E-CAE6-4762-A7A8-B6EA66505202}" name="PivotTable1" cacheId="18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4">
  <location ref="A3:O8" firstHeaderRow="1" firstDataRow="2" firstDataCol="1" rowPageCount="1" colPageCount="1"/>
  <pivotFields count="4">
    <pivotField axis="axisCol" showAll="0">
      <items count="14">
        <item x="1"/>
        <item x="10"/>
        <item x="8"/>
        <item x="3"/>
        <item x="4"/>
        <item x="11"/>
        <item x="5"/>
        <item x="0"/>
        <item x="7"/>
        <item x="9"/>
        <item x="12"/>
        <item x="2"/>
        <item x="6"/>
        <item t="default"/>
      </items>
    </pivotField>
    <pivotField axis="axisPage" showAll="0">
      <items count="3">
        <item x="0"/>
        <item x="1"/>
        <item t="default"/>
      </items>
    </pivotField>
    <pivotField axis="axisRow" showAll="0">
      <items count="4">
        <item x="0"/>
        <item x="1"/>
        <item x="2"/>
        <item t="default"/>
      </items>
    </pivotField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0"/>
  </colFields>
  <colItems count="14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 t="grand">
      <x/>
    </i>
  </colItems>
  <pageFields count="1">
    <pageField fld="1" hier="-1"/>
  </pageFields>
  <dataFields count="1">
    <dataField name="Sum of Produktion" fld="3" baseField="2" baseItem="0" numFmtId="3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8B2BB-4D25-4142-BAD6-ED0E0F6C177E}" name="PivotTable3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10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h="1" x="28"/>
        <item h="1" x="29"/>
        <item h="1" x="31"/>
        <item h="1" x="34"/>
        <item h="1" x="35"/>
        <item h="1" x="38"/>
        <item h="1" x="39"/>
        <item h="1" x="40"/>
        <item h="1" x="43"/>
        <item h="1" x="44"/>
        <item x="46"/>
        <item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27"/>
    </i>
    <i>
      <x v="28"/>
    </i>
    <i t="grand">
      <x/>
    </i>
  </colItems>
  <dataFields count="1">
    <dataField name="Sum of Produktion [ton]" fld="5" baseField="0" baseItem="0" numFmtId="171"/>
  </dataFields>
  <formats count="1">
    <format dxfId="3">
      <pivotArea outline="0" collapsedLevelsAreSubtotals="1" fieldPosition="0"/>
    </format>
  </formats>
  <chartFormats count="19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2" format="293" series="1">
      <pivotArea type="data" outline="0" fieldPosition="0">
        <references count="1">
          <reference field="0" count="1" selected="0">
            <x v="17"/>
          </reference>
        </references>
      </pivotArea>
    </chartFormat>
    <chartFormat chart="2" format="294" series="1">
      <pivotArea type="data" outline="0" fieldPosition="0">
        <references count="1">
          <reference field="0" count="1" selected="0">
            <x v="26"/>
          </reference>
        </references>
      </pivotArea>
    </chartFormat>
    <chartFormat chart="4" format="295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4" format="29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  <chartFormat chart="9" format="6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7"/>
          </reference>
        </references>
      </pivotArea>
    </chartFormat>
    <chartFormat chart="9" format="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799474-3B71-4995-82E9-AB39F73D37F8}" name="PivotTable3" cacheId="23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6">
  <location ref="A4:D9" firstHeaderRow="1" firstDataRow="2" firstDataCol="1"/>
  <pivotFields count="24">
    <pivotField axis="axisCol" showAll="0">
      <items count="49">
        <item h="1" x="0"/>
        <item h="1" x="1"/>
        <item h="1" x="2"/>
        <item h="1" x="4"/>
        <item h="1" x="6"/>
        <item h="1" x="9"/>
        <item h="1" x="10"/>
        <item h="1" x="13"/>
        <item h="1" x="15"/>
        <item h="1" x="16"/>
        <item h="1" x="19"/>
        <item h="1" x="21"/>
        <item h="1" x="22"/>
        <item h="1" x="23"/>
        <item h="1" x="25"/>
        <item h="1" x="26"/>
        <item h="1" x="27"/>
        <item x="28"/>
        <item h="1" x="29"/>
        <item h="1" x="31"/>
        <item h="1" x="34"/>
        <item h="1" x="35"/>
        <item h="1" x="38"/>
        <item h="1" x="39"/>
        <item h="1" x="40"/>
        <item h="1" x="43"/>
        <item x="44"/>
        <item h="1" x="46"/>
        <item h="1" x="47"/>
        <item h="1" x="42"/>
        <item h="1" x="24"/>
        <item h="1" x="8"/>
        <item h="1" x="12"/>
        <item h="1" x="17"/>
        <item h="1" x="41"/>
        <item h="1" x="5"/>
        <item h="1" x="7"/>
        <item h="1" x="11"/>
        <item h="1" x="14"/>
        <item h="1" x="18"/>
        <item h="1" x="20"/>
        <item h="1" x="30"/>
        <item h="1" x="45"/>
        <item h="1" x="3"/>
        <item h="1" x="36"/>
        <item h="1" x="37"/>
        <item h="1" x="32"/>
        <item h="1" x="33"/>
        <item t="default"/>
      </items>
    </pivotField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numFmtId="3" showAll="0"/>
    <pivotField numFmtId="3" showAll="0"/>
    <pivotField showAll="0"/>
    <pivotField numFmtId="3" showAll="0"/>
    <pivotField numFmtId="3" showAll="0"/>
    <pivotField numFmtId="3" showAll="0"/>
    <pivotField numFmtId="3" showAll="0"/>
    <pivotField numFmtId="3" showAll="0"/>
    <pivotField numFmtId="3" showAll="0"/>
    <pivotField showAll="0"/>
    <pivotField numFmtId="3"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Fields count="1">
    <field x="0"/>
  </colFields>
  <colItems count="3">
    <i>
      <x v="17"/>
    </i>
    <i>
      <x v="26"/>
    </i>
    <i t="grand">
      <x/>
    </i>
  </colItems>
  <dataFields count="1">
    <dataField name="Sum of Produktion [ton]" fld="5" baseField="0" baseItem="0" numFmtId="171"/>
  </dataFields>
  <formats count="1">
    <format dxfId="2">
      <pivotArea outline="0" collapsedLevelsAreSubtotals="1" fieldPosition="0"/>
    </format>
  </formats>
  <chartFormats count="13">
    <chartFormat chart="1" format="202" series="1">
      <pivotArea type="data" outline="0" fieldPosition="0">
        <references count="1">
          <reference field="0" count="1" selected="0">
            <x v="1"/>
          </reference>
        </references>
      </pivotArea>
    </chartFormat>
    <chartFormat chart="1" format="203" series="1">
      <pivotArea type="data" outline="0" fieldPosition="0">
        <references count="1">
          <reference field="0" count="1" selected="0">
            <x v="6"/>
          </reference>
        </references>
      </pivotArea>
    </chartFormat>
    <chartFormat chart="1" format="204" series="1">
      <pivotArea type="data" outline="0" fieldPosition="0">
        <references count="1">
          <reference field="0" count="1" selected="0">
            <x v="7"/>
          </reference>
        </references>
      </pivotArea>
    </chartFormat>
    <chartFormat chart="1" format="205" series="1">
      <pivotArea type="data" outline="0" fieldPosition="0">
        <references count="1">
          <reference field="0" count="1" selected="0">
            <x v="8"/>
          </reference>
        </references>
      </pivotArea>
    </chartFormat>
    <chartFormat chart="1" format="206" series="1">
      <pivotArea type="data" outline="0" fieldPosition="0">
        <references count="1">
          <reference field="0" count="1" selected="0">
            <x v="9"/>
          </reference>
        </references>
      </pivotArea>
    </chartFormat>
    <chartFormat chart="1" format="207" series="1">
      <pivotArea type="data" outline="0" fieldPosition="0">
        <references count="1">
          <reference field="0" count="1" selected="0">
            <x v="11"/>
          </reference>
        </references>
      </pivotArea>
    </chartFormat>
    <chartFormat chart="1" format="208" series="1">
      <pivotArea type="data" outline="0" fieldPosition="0">
        <references count="1">
          <reference field="0" count="1" selected="0">
            <x v="12"/>
          </reference>
        </references>
      </pivotArea>
    </chartFormat>
    <chartFormat chart="1" format="209" series="1">
      <pivotArea type="data" outline="0" fieldPosition="0">
        <references count="1">
          <reference field="0" count="1" selected="0">
            <x v="15"/>
          </reference>
        </references>
      </pivotArea>
    </chartFormat>
    <chartFormat chart="1" format="210" series="1">
      <pivotArea type="data" outline="0" fieldPosition="0">
        <references count="1">
          <reference field="0" count="1" selected="0">
            <x v="19"/>
          </reference>
        </references>
      </pivotArea>
    </chartFormat>
    <chartFormat chart="1" format="211" series="1">
      <pivotArea type="data" outline="0" fieldPosition="0">
        <references count="1">
          <reference field="0" count="1" selected="0">
            <x v="21"/>
          </reference>
        </references>
      </pivotArea>
    </chartFormat>
    <chartFormat chart="1" format="212" series="1">
      <pivotArea type="data" outline="0" fieldPosition="0">
        <references count="1">
          <reference field="0" count="1" selected="0">
            <x v="22"/>
          </reference>
        </references>
      </pivotArea>
    </chartFormat>
    <chartFormat chart="5" format="297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17"/>
          </reference>
        </references>
      </pivotArea>
    </chartFormat>
    <chartFormat chart="5" format="298" series="1">
      <pivotArea type="data" outline="0" fieldPosition="0">
        <references count="2">
          <reference field="4294967294" count="1" selected="0">
            <x v="0"/>
          </reference>
          <reference field="0" count="1" selected="0">
            <x v="26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7F8C528-7919-4D56-A089-B4E1FBDA15A5}" name="PivotTable1" cacheId="17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3:G8" firstHeaderRow="1" firstDataRow="2" firstDataCol="1" rowPageCount="1" colPageCount="1"/>
  <pivotFields count="5">
    <pivotField axis="axisPage" showAll="0">
      <items count="3">
        <item x="1"/>
        <item x="0"/>
        <item t="default"/>
      </items>
    </pivotField>
    <pivotField axis="axisCol" showAll="0">
      <items count="6">
        <item x="4"/>
        <item x="0"/>
        <item x="1"/>
        <item x="3"/>
        <item x="2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6">
    <i>
      <x/>
    </i>
    <i>
      <x v="1"/>
    </i>
    <i>
      <x v="2"/>
    </i>
    <i>
      <x v="3"/>
    </i>
    <i>
      <x v="4"/>
    </i>
    <i t="grand">
      <x/>
    </i>
  </colItems>
  <pageFields count="1">
    <pageField fld="0" hier="-1"/>
  </pageFields>
  <dataFields count="1">
    <dataField name="Sum of Værdi" fld="4" baseField="2" baseItem="0" numFmtId="171"/>
  </dataFields>
  <formats count="1">
    <format dxfId="1">
      <pivotArea outline="0" collapsedLevelsAreSubtotals="1" fieldPosition="0"/>
    </format>
  </formats>
  <chartFormats count="10">
    <chartFormat chart="2" format="1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2" format="1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2" format="1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2" format="1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2" format="1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4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4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4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4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CBF07B8-2888-4097-889E-142257321063}" name="PivotTable1" cacheId="19" applyNumberFormats="0" applyBorderFormats="0" applyFontFormats="0" applyPatternFormats="0" applyAlignmentFormats="0" applyWidthHeightFormats="1" dataCaption="Values" updatedVersion="7" minRefreshableVersion="3" useAutoFormatting="1" itemPrintTitles="1" createdVersion="6" indent="0" outline="1" outlineData="1" multipleFieldFilters="0" chartFormat="7">
  <location ref="A4:P9" firstHeaderRow="1" firstDataRow="2" firstDataCol="1" rowPageCount="2" colPageCount="1"/>
  <pivotFields count="10">
    <pivotField axis="axisPage" showAll="0">
      <items count="3">
        <item x="0"/>
        <item x="1"/>
        <item t="default"/>
      </items>
    </pivotField>
    <pivotField axis="axisCol" showAll="0">
      <items count="16">
        <item x="1"/>
        <item x="8"/>
        <item x="3"/>
        <item x="4"/>
        <item x="11"/>
        <item x="5"/>
        <item x="0"/>
        <item x="7"/>
        <item x="9"/>
        <item x="2"/>
        <item x="6"/>
        <item m="1" x="14"/>
        <item x="13"/>
        <item x="12"/>
        <item x="10"/>
        <item t="default"/>
      </items>
    </pivotField>
    <pivotField axis="axisRow" showAll="0">
      <items count="4">
        <item x="0"/>
        <item x="1"/>
        <item x="2"/>
        <item t="default"/>
      </items>
    </pivotField>
    <pivotField showAll="0"/>
    <pivotField axis="axisPage" showAll="0">
      <items count="6">
        <item m="1" x="3"/>
        <item x="2"/>
        <item x="1"/>
        <item m="1" x="4"/>
        <item x="0"/>
        <item t="default"/>
      </items>
    </pivotField>
    <pivotField showAll="0"/>
    <pivotField dataField="1" numFmtId="1" showAll="0"/>
    <pivotField showAll="0"/>
    <pivotField showAll="0"/>
    <pivotField numFmtI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1"/>
  </colFields>
  <col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2"/>
    </i>
    <i>
      <x v="13"/>
    </i>
    <i>
      <x v="14"/>
    </i>
    <i t="grand">
      <x/>
    </i>
  </colItems>
  <pageFields count="2">
    <pageField fld="4" hier="-1"/>
    <pageField fld="0" hier="-1"/>
  </pageFields>
  <dataFields count="1">
    <dataField name="Sum of Arealanvendelse" fld="6" baseField="0" baseItem="0" numFmtId="171"/>
  </dataFields>
  <formats count="1">
    <format dxfId="0">
      <pivotArea outline="0" collapsedLevelsAreSubtotals="1" fieldPosition="0"/>
    </format>
  </formats>
  <chartFormats count="14">
    <chartFormat chart="6" format="28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6" format="28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6" format="28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6" format="28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6" format="28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6" format="28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6" format="28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6" format="29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6" format="29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6" format="29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6" format="29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6" format="29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6" format="29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6" format="29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2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12.xml"/><Relationship Id="rId1" Type="http://schemas.openxmlformats.org/officeDocument/2006/relationships/pivotTable" Target="../pivotTables/pivotTable2.xml"/><Relationship Id="rId4" Type="http://schemas.openxmlformats.org/officeDocument/2006/relationships/comments" Target="../comments3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3.xml"/><Relationship Id="rId1" Type="http://schemas.openxmlformats.org/officeDocument/2006/relationships/pivotTable" Target="../pivotTables/pivotTable3.xml"/><Relationship Id="rId4" Type="http://schemas.openxmlformats.org/officeDocument/2006/relationships/comments" Target="../comments4.x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ivotTable" Target="../pivotTables/pivotTable4.x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ivotTable" Target="../pivotTables/pivotTable5.xml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9.xml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0.xml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FD8CD1-6F9C-4D63-84AD-C04B121726E2}">
  <sheetPr codeName="Sheet1">
    <tabColor rgb="FF002060"/>
  </sheetPr>
  <dimension ref="A1:F25"/>
  <sheetViews>
    <sheetView zoomScale="80" zoomScaleNormal="80" workbookViewId="0">
      <selection activeCell="B3" sqref="B3"/>
    </sheetView>
  </sheetViews>
  <sheetFormatPr defaultColWidth="9.140625" defaultRowHeight="15" x14ac:dyDescent="0.25"/>
  <cols>
    <col min="1" max="1" width="38.140625" style="1" customWidth="1"/>
    <col min="2" max="2" width="42.28515625" style="1" bestFit="1" customWidth="1"/>
    <col min="3" max="3" width="9.140625" style="1"/>
    <col min="4" max="4" width="10.28515625" style="1" customWidth="1"/>
    <col min="5" max="5" width="24.5703125" style="1" customWidth="1"/>
    <col min="6" max="6" width="10.28515625" style="1" customWidth="1"/>
    <col min="7" max="16384" width="9.140625" style="1"/>
  </cols>
  <sheetData>
    <row r="1" spans="1:6" ht="21" x14ac:dyDescent="0.35">
      <c r="A1" s="419" t="s">
        <v>272</v>
      </c>
      <c r="B1" s="419"/>
      <c r="D1" s="75" t="s">
        <v>285</v>
      </c>
    </row>
    <row r="2" spans="1:6" ht="30" x14ac:dyDescent="0.25">
      <c r="A2" s="6" t="s">
        <v>0</v>
      </c>
      <c r="B2" s="222" t="s">
        <v>339</v>
      </c>
    </row>
    <row r="4" spans="1:6" ht="30" customHeight="1" thickBot="1" x14ac:dyDescent="0.3">
      <c r="A4" s="418" t="s">
        <v>271</v>
      </c>
      <c r="B4" s="418"/>
      <c r="D4" s="75"/>
    </row>
    <row r="5" spans="1:6" ht="15.75" thickTop="1" x14ac:dyDescent="0.25">
      <c r="A5" s="254" t="s">
        <v>85</v>
      </c>
      <c r="B5" s="253" t="s">
        <v>305</v>
      </c>
      <c r="D5" s="210" t="s">
        <v>43</v>
      </c>
      <c r="E5" s="211"/>
      <c r="F5" s="12"/>
    </row>
    <row r="6" spans="1:6" x14ac:dyDescent="0.25">
      <c r="A6" s="204" t="s">
        <v>83</v>
      </c>
      <c r="B6" s="205" t="s">
        <v>256</v>
      </c>
      <c r="D6" s="212" t="str" cm="1">
        <f t="array" ref="D6">[1]!Jordbund1</f>
        <v>JB1-10</v>
      </c>
      <c r="E6" s="213" t="s">
        <v>44</v>
      </c>
      <c r="F6" s="12"/>
    </row>
    <row r="7" spans="1:6" x14ac:dyDescent="0.25">
      <c r="A7" s="204"/>
      <c r="B7" s="205" t="s">
        <v>2</v>
      </c>
      <c r="D7" s="212" t="str" cm="1">
        <f t="array" ref="D7">[1]!Organ6</f>
        <v>OC6</v>
      </c>
      <c r="E7" s="213" t="s">
        <v>45</v>
      </c>
      <c r="F7" s="12"/>
    </row>
    <row r="8" spans="1:6" x14ac:dyDescent="0.25">
      <c r="A8" s="220" t="s">
        <v>91</v>
      </c>
      <c r="B8" s="205" t="s">
        <v>257</v>
      </c>
      <c r="D8" s="212" t="str" cm="1">
        <f t="array" ref="D8">[1]!Organ12</f>
        <v>OC12</v>
      </c>
      <c r="E8" s="213" t="s">
        <v>46</v>
      </c>
      <c r="F8" s="12"/>
    </row>
    <row r="9" spans="1:6" x14ac:dyDescent="0.25">
      <c r="A9" s="206" t="s">
        <v>92</v>
      </c>
      <c r="B9" s="205" t="s">
        <v>258</v>
      </c>
      <c r="D9" s="212"/>
      <c r="E9" s="213"/>
      <c r="F9" s="12"/>
    </row>
    <row r="10" spans="1:6" x14ac:dyDescent="0.25">
      <c r="A10" s="204"/>
      <c r="B10" s="205"/>
      <c r="D10" s="214" t="s">
        <v>47</v>
      </c>
      <c r="E10" s="213"/>
      <c r="F10" s="12"/>
    </row>
    <row r="11" spans="1:6" x14ac:dyDescent="0.25">
      <c r="A11" s="220" t="s">
        <v>68</v>
      </c>
      <c r="B11" s="221" t="s">
        <v>259</v>
      </c>
      <c r="D11" s="212" t="str" cm="1">
        <f t="array" ref="D11">[1]!Bebyg</f>
        <v>Bebyggelse &amp; infrastruktur</v>
      </c>
      <c r="E11" s="213"/>
      <c r="F11" s="12"/>
    </row>
    <row r="12" spans="1:6" x14ac:dyDescent="0.25">
      <c r="A12" s="204" t="s">
        <v>253</v>
      </c>
      <c r="B12" s="205" t="s">
        <v>260</v>
      </c>
      <c r="D12" s="212" t="str" cm="1">
        <f t="array" ref="D12">[1]!Afgrøder</f>
        <v>Landbrugsafgrøder</v>
      </c>
      <c r="E12" s="213"/>
      <c r="F12" s="12"/>
    </row>
    <row r="13" spans="1:6" x14ac:dyDescent="0.25">
      <c r="A13" s="204"/>
      <c r="B13" s="205"/>
      <c r="D13" s="212" t="str" cm="1">
        <f t="array" ref="D13">[1]!SkovAreal</f>
        <v>Skov</v>
      </c>
      <c r="E13" s="213"/>
      <c r="F13" s="12"/>
    </row>
    <row r="14" spans="1:6" x14ac:dyDescent="0.25">
      <c r="A14" s="220" t="s">
        <v>69</v>
      </c>
      <c r="B14" s="221" t="s">
        <v>261</v>
      </c>
      <c r="D14" s="212" t="str" cm="1">
        <f t="array" ref="D14">[1]!NaturAreal</f>
        <v>Natur</v>
      </c>
      <c r="E14" s="213"/>
      <c r="F14" s="12"/>
    </row>
    <row r="15" spans="1:6" x14ac:dyDescent="0.25">
      <c r="A15" s="204" t="s">
        <v>70</v>
      </c>
      <c r="B15" s="205" t="s">
        <v>262</v>
      </c>
      <c r="D15" s="212" t="str" cm="1">
        <f t="array" ref="D15">[1]!IKareal</f>
        <v>Ikke klassificeret</v>
      </c>
      <c r="E15" s="213"/>
      <c r="F15" s="12"/>
    </row>
    <row r="16" spans="1:6" x14ac:dyDescent="0.25">
      <c r="A16" s="204" t="s">
        <v>71</v>
      </c>
      <c r="B16" s="205"/>
      <c r="D16" s="215"/>
      <c r="E16" s="213"/>
    </row>
    <row r="17" spans="1:5" x14ac:dyDescent="0.25">
      <c r="A17" s="204" t="s">
        <v>72</v>
      </c>
      <c r="B17" s="221" t="s">
        <v>268</v>
      </c>
      <c r="D17" s="216" t="s">
        <v>93</v>
      </c>
      <c r="E17" s="213"/>
    </row>
    <row r="18" spans="1:5" x14ac:dyDescent="0.25">
      <c r="A18" s="204" t="s">
        <v>73</v>
      </c>
      <c r="B18" s="420" t="s">
        <v>273</v>
      </c>
      <c r="D18" s="212" cm="1">
        <f t="array" ref="D18">[1]!År1</f>
        <v>2019</v>
      </c>
      <c r="E18" s="213"/>
    </row>
    <row r="19" spans="1:5" x14ac:dyDescent="0.25">
      <c r="A19" s="204" t="s">
        <v>254</v>
      </c>
      <c r="B19" s="420"/>
      <c r="D19" s="212" cm="1">
        <f t="array" ref="D19">[1]!År2</f>
        <v>2030</v>
      </c>
      <c r="E19" s="213"/>
    </row>
    <row r="20" spans="1:5" ht="15.75" thickBot="1" x14ac:dyDescent="0.3">
      <c r="A20" s="204" t="s">
        <v>255</v>
      </c>
      <c r="B20" s="205"/>
      <c r="D20" s="217" cm="1">
        <f t="array" ref="D20">[1]!År3</f>
        <v>2050</v>
      </c>
      <c r="E20" s="218"/>
    </row>
    <row r="21" spans="1:5" ht="15.75" thickTop="1" x14ac:dyDescent="0.25">
      <c r="A21" s="204" t="s">
        <v>74</v>
      </c>
      <c r="B21" s="205"/>
    </row>
    <row r="22" spans="1:5" x14ac:dyDescent="0.25">
      <c r="A22" s="204"/>
      <c r="B22" s="205"/>
    </row>
    <row r="23" spans="1:5" x14ac:dyDescent="0.25">
      <c r="A23" s="255" t="s">
        <v>306</v>
      </c>
      <c r="B23" s="205"/>
    </row>
    <row r="24" spans="1:5" ht="15.75" thickBot="1" x14ac:dyDescent="0.3">
      <c r="A24" s="207" t="s">
        <v>1</v>
      </c>
      <c r="B24" s="208"/>
    </row>
    <row r="25" spans="1:5" ht="15.75" thickTop="1" x14ac:dyDescent="0.25"/>
  </sheetData>
  <mergeCells count="3">
    <mergeCell ref="A4:B4"/>
    <mergeCell ref="A1:B1"/>
    <mergeCell ref="B18:B19"/>
  </mergeCells>
  <hyperlinks>
    <hyperlink ref="A5" location="Arealanvendelse!A1" display="Arealanvendelse" xr:uid="{C76857D6-E00E-40EA-84C0-1576137AC955}"/>
    <hyperlink ref="A8" location="Havbrug!A1" display="Havbrug" xr:uid="{70C031D6-6DC3-4B5D-97BB-794B442D362C}"/>
    <hyperlink ref="A11" location="Skovbrug!A1" display="Skovbrug" xr:uid="{249D03E3-A1BA-4415-93AE-45C6DE99F727}"/>
    <hyperlink ref="A14" location="Landbrug!A1" display="Landbrug" xr:uid="{3F515E10-E6F2-4E50-A328-E49FDC3DAAAE}"/>
    <hyperlink ref="A23" location="Fodersammensætning!A1" display="Fodersammensætning" xr:uid="{E65BC8FF-8D95-40E8-9A75-F73A97B4805C}"/>
    <hyperlink ref="B5" location="Adfærd!A1" display="Befolkning" xr:uid="{325D567D-8B5E-4515-997E-06D80C1607C6}"/>
    <hyperlink ref="B11" location="'Forbrug af materialer'!A1" display="Forbrug af materialer" xr:uid="{97B2AE06-7A0E-48F3-95D3-DC79461A7CCF}"/>
    <hyperlink ref="B14" location="Biogasanlæg!A1" display="Biogasanlæg" xr:uid="{7CD6FC71-B2AC-48C5-BCB3-2B7D90BBB916}"/>
    <hyperlink ref="B17" location="Resume!A1" display="Resume af resultater" xr:uid="{C4F36CB2-5F29-494C-AD4D-2D9D977BA854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4768F-06E6-4E10-A80D-1B699C74A7AD}">
  <sheetPr codeName="Sheet3">
    <tabColor rgb="FF002060"/>
  </sheetPr>
  <dimension ref="A1:R123"/>
  <sheetViews>
    <sheetView tabSelected="1" zoomScale="70" zoomScaleNormal="70" workbookViewId="0">
      <selection activeCell="O152" sqref="O152"/>
    </sheetView>
  </sheetViews>
  <sheetFormatPr defaultColWidth="9.140625" defaultRowHeight="15" x14ac:dyDescent="0.25"/>
  <cols>
    <col min="1" max="2" width="9.140625" style="1"/>
    <col min="3" max="3" width="11" style="1" bestFit="1" customWidth="1"/>
    <col min="4" max="16" width="9.140625" style="1"/>
    <col min="17" max="17" width="13.42578125" style="1" bestFit="1" customWidth="1"/>
    <col min="18" max="18" width="27.28515625" style="1" bestFit="1" customWidth="1"/>
    <col min="19" max="16384" width="9.140625" style="1"/>
  </cols>
  <sheetData>
    <row r="1" spans="1:18" ht="15" customHeight="1" x14ac:dyDescent="0.25">
      <c r="A1" s="252" t="s">
        <v>299</v>
      </c>
      <c r="B1" s="251"/>
      <c r="C1" s="421" t="s">
        <v>298</v>
      </c>
      <c r="D1" s="421"/>
      <c r="E1" s="421"/>
      <c r="F1" s="421"/>
      <c r="G1" s="421"/>
      <c r="H1" s="421"/>
      <c r="I1" s="421"/>
      <c r="J1" s="421"/>
      <c r="K1" s="421"/>
      <c r="L1" s="421"/>
      <c r="M1" s="421"/>
      <c r="N1" s="421"/>
      <c r="O1" s="421"/>
      <c r="P1" s="421"/>
      <c r="Q1" s="421"/>
      <c r="R1" s="421"/>
    </row>
    <row r="2" spans="1:18" ht="15" customHeight="1" x14ac:dyDescent="0.25">
      <c r="A2" s="251"/>
      <c r="B2" s="251"/>
      <c r="C2" s="421"/>
      <c r="D2" s="421"/>
      <c r="E2" s="421"/>
      <c r="F2" s="421"/>
      <c r="G2" s="421"/>
      <c r="H2" s="421"/>
      <c r="I2" s="421"/>
      <c r="J2" s="421"/>
      <c r="K2" s="421"/>
      <c r="L2" s="421"/>
      <c r="M2" s="421"/>
      <c r="N2" s="421"/>
      <c r="O2" s="421"/>
      <c r="P2" s="421"/>
      <c r="Q2" s="421"/>
      <c r="R2" s="421"/>
    </row>
    <row r="3" spans="1:18" x14ac:dyDescent="0.25">
      <c r="A3" s="75"/>
    </row>
    <row r="34" spans="16:18" ht="15.75" x14ac:dyDescent="0.25">
      <c r="P34" s="340" t="s">
        <v>93</v>
      </c>
      <c r="Q34" s="340" t="s">
        <v>336</v>
      </c>
      <c r="R34" s="340" t="s">
        <v>337</v>
      </c>
    </row>
    <row r="35" spans="16:18" ht="15.75" x14ac:dyDescent="0.25">
      <c r="P35" s="340">
        <v>1990</v>
      </c>
      <c r="Q35" s="343">
        <v>20000000</v>
      </c>
      <c r="R35" s="342"/>
    </row>
    <row r="36" spans="16:18" ht="15.75" x14ac:dyDescent="0.25">
      <c r="P36" s="340">
        <f>År1</f>
        <v>2019</v>
      </c>
      <c r="Q36" s="341">
        <f>GETPIVOTDATA("Total",'CO2-pivot'!$A$1,"År",P36,"Sted2","CO2 - atmosfære")</f>
        <v>13911562.11827757</v>
      </c>
      <c r="R36" s="342">
        <f>1-Q36/$Q$35</f>
        <v>0.30442189408612153</v>
      </c>
    </row>
    <row r="37" spans="16:18" ht="15.75" x14ac:dyDescent="0.25">
      <c r="P37" s="340">
        <f>År2</f>
        <v>2030</v>
      </c>
      <c r="Q37" s="341">
        <f>GETPIVOTDATA("Total",'CO2-pivot'!$A$1,"År",P37,"Sted2","CO2 - atmosfære")</f>
        <v>14095541.098578379</v>
      </c>
      <c r="R37" s="342">
        <f t="shared" ref="R37:R38" si="0">1-Q37/$Q$35</f>
        <v>0.29522294507108104</v>
      </c>
    </row>
    <row r="38" spans="16:18" ht="15.75" x14ac:dyDescent="0.25">
      <c r="P38" s="340">
        <f>År3</f>
        <v>2050</v>
      </c>
      <c r="Q38" s="341">
        <f>GETPIVOTDATA("Total",'CO2-pivot'!$A$1,"År",P38,"Sted2","CO2 - atmosfære")</f>
        <v>13147269.125533711</v>
      </c>
      <c r="R38" s="342">
        <f t="shared" si="0"/>
        <v>0.34263654372331442</v>
      </c>
    </row>
    <row r="123" spans="3:3" x14ac:dyDescent="0.25">
      <c r="C123" s="179"/>
    </row>
  </sheetData>
  <mergeCells count="1">
    <mergeCell ref="C1:R2"/>
  </mergeCells>
  <hyperlinks>
    <hyperlink ref="A1" location="Overblik!A1" display="Overblik" xr:uid="{B064A4B6-D2C7-4CD7-886C-D4197032723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486639-879E-4C36-8510-47A082CE6796}">
  <sheetPr codeName="Sheet14">
    <tabColor rgb="FF002060"/>
  </sheetPr>
  <dimension ref="A1:H78"/>
  <sheetViews>
    <sheetView workbookViewId="0">
      <selection activeCell="C2" sqref="C2"/>
    </sheetView>
  </sheetViews>
  <sheetFormatPr defaultRowHeight="15" x14ac:dyDescent="0.25"/>
  <cols>
    <col min="1" max="1" width="21" bestFit="1" customWidth="1"/>
  </cols>
  <sheetData>
    <row r="1" spans="1:1" s="168" customFormat="1" x14ac:dyDescent="0.25">
      <c r="A1" s="168" t="s">
        <v>338</v>
      </c>
    </row>
    <row r="2" spans="1:1" x14ac:dyDescent="0.25">
      <c r="A2" s="107">
        <v>2019</v>
      </c>
    </row>
    <row r="3" spans="1:1" x14ac:dyDescent="0.25">
      <c r="A3" s="378">
        <v>2030</v>
      </c>
    </row>
    <row r="4" spans="1:1" x14ac:dyDescent="0.25">
      <c r="A4" s="367">
        <v>2050</v>
      </c>
    </row>
    <row r="5" spans="1:1" x14ac:dyDescent="0.25">
      <c r="A5" s="357" t="s">
        <v>15</v>
      </c>
    </row>
    <row r="6" spans="1:1" x14ac:dyDescent="0.25">
      <c r="A6" s="379" t="s">
        <v>49</v>
      </c>
    </row>
    <row r="7" spans="1:1" x14ac:dyDescent="0.25">
      <c r="A7" s="377" t="s">
        <v>182</v>
      </c>
    </row>
    <row r="8" spans="1:1" x14ac:dyDescent="0.25">
      <c r="A8" s="368" t="s">
        <v>32</v>
      </c>
    </row>
    <row r="9" spans="1:1" x14ac:dyDescent="0.25">
      <c r="A9" s="355" t="s">
        <v>102</v>
      </c>
    </row>
    <row r="10" spans="1:1" x14ac:dyDescent="0.25">
      <c r="A10" s="380" t="s">
        <v>109</v>
      </c>
    </row>
    <row r="11" spans="1:1" x14ac:dyDescent="0.25">
      <c r="A11" s="369" t="s">
        <v>261</v>
      </c>
    </row>
    <row r="12" spans="1:1" x14ac:dyDescent="0.25">
      <c r="A12" s="381" t="s">
        <v>110</v>
      </c>
    </row>
    <row r="13" spans="1:1" x14ac:dyDescent="0.25">
      <c r="A13" s="355" t="s">
        <v>230</v>
      </c>
    </row>
    <row r="14" spans="1:1" s="168" customFormat="1" x14ac:dyDescent="0.25">
      <c r="A14" s="382" t="s">
        <v>208</v>
      </c>
    </row>
    <row r="15" spans="1:1" x14ac:dyDescent="0.25">
      <c r="A15" s="360" t="s">
        <v>111</v>
      </c>
    </row>
    <row r="16" spans="1:1" x14ac:dyDescent="0.25">
      <c r="A16" s="383" t="s">
        <v>101</v>
      </c>
    </row>
    <row r="17" spans="1:1" x14ac:dyDescent="0.25">
      <c r="A17" s="384" t="s">
        <v>204</v>
      </c>
    </row>
    <row r="18" spans="1:1" x14ac:dyDescent="0.25">
      <c r="A18" s="385" t="s">
        <v>19</v>
      </c>
    </row>
    <row r="19" spans="1:1" x14ac:dyDescent="0.25">
      <c r="A19" s="386" t="s">
        <v>137</v>
      </c>
    </row>
    <row r="20" spans="1:1" x14ac:dyDescent="0.25">
      <c r="A20" s="402" t="s">
        <v>96</v>
      </c>
    </row>
    <row r="21" spans="1:1" x14ac:dyDescent="0.25">
      <c r="A21" s="416" t="s">
        <v>113</v>
      </c>
    </row>
    <row r="22" spans="1:1" x14ac:dyDescent="0.25">
      <c r="A22" s="417" t="s">
        <v>54</v>
      </c>
    </row>
    <row r="23" spans="1:1" x14ac:dyDescent="0.25">
      <c r="A23" s="354" t="s">
        <v>158</v>
      </c>
    </row>
    <row r="24" spans="1:1" x14ac:dyDescent="0.25">
      <c r="A24" s="370" t="s">
        <v>51</v>
      </c>
    </row>
    <row r="25" spans="1:1" x14ac:dyDescent="0.25">
      <c r="A25" s="370" t="s">
        <v>224</v>
      </c>
    </row>
    <row r="26" spans="1:1" x14ac:dyDescent="0.25">
      <c r="A26" s="358" t="s">
        <v>203</v>
      </c>
    </row>
    <row r="27" spans="1:1" x14ac:dyDescent="0.25">
      <c r="A27" s="414" t="s">
        <v>6</v>
      </c>
    </row>
    <row r="28" spans="1:1" x14ac:dyDescent="0.25">
      <c r="A28" s="353" t="s">
        <v>67</v>
      </c>
    </row>
    <row r="29" spans="1:1" x14ac:dyDescent="0.25">
      <c r="A29" s="353" t="s">
        <v>227</v>
      </c>
    </row>
    <row r="30" spans="1:1" x14ac:dyDescent="0.25">
      <c r="A30" s="359" t="s">
        <v>200</v>
      </c>
    </row>
    <row r="31" spans="1:1" x14ac:dyDescent="0.25">
      <c r="A31" s="352" t="s">
        <v>226</v>
      </c>
    </row>
    <row r="32" spans="1:1" x14ac:dyDescent="0.25">
      <c r="A32" s="415" t="s">
        <v>162</v>
      </c>
    </row>
    <row r="33" spans="1:1" x14ac:dyDescent="0.25">
      <c r="A33" s="361" t="s">
        <v>193</v>
      </c>
    </row>
    <row r="34" spans="1:1" x14ac:dyDescent="0.25">
      <c r="A34" s="356" t="s">
        <v>222</v>
      </c>
    </row>
    <row r="35" spans="1:1" x14ac:dyDescent="0.25">
      <c r="A35" s="365" t="s">
        <v>11</v>
      </c>
    </row>
    <row r="36" spans="1:1" x14ac:dyDescent="0.25">
      <c r="A36" s="401" t="s">
        <v>159</v>
      </c>
    </row>
    <row r="37" spans="1:1" x14ac:dyDescent="0.25">
      <c r="A37" s="350" t="s">
        <v>103</v>
      </c>
    </row>
    <row r="38" spans="1:1" x14ac:dyDescent="0.25">
      <c r="A38" s="410" t="s">
        <v>56</v>
      </c>
    </row>
    <row r="39" spans="1:1" x14ac:dyDescent="0.25">
      <c r="A39" s="411" t="s">
        <v>12</v>
      </c>
    </row>
    <row r="40" spans="1:1" x14ac:dyDescent="0.25">
      <c r="A40" s="412" t="s">
        <v>48</v>
      </c>
    </row>
    <row r="41" spans="1:1" x14ac:dyDescent="0.25">
      <c r="A41" s="389" t="s">
        <v>115</v>
      </c>
    </row>
    <row r="42" spans="1:1" x14ac:dyDescent="0.25">
      <c r="A42" s="387" t="s">
        <v>136</v>
      </c>
    </row>
    <row r="43" spans="1:1" x14ac:dyDescent="0.25">
      <c r="A43" s="367" t="s">
        <v>9</v>
      </c>
    </row>
    <row r="44" spans="1:1" x14ac:dyDescent="0.25">
      <c r="A44" s="413" t="s">
        <v>108</v>
      </c>
    </row>
    <row r="45" spans="1:1" x14ac:dyDescent="0.25">
      <c r="A45" s="409" t="s">
        <v>53</v>
      </c>
    </row>
    <row r="46" spans="1:1" x14ac:dyDescent="0.25">
      <c r="A46" s="367" t="s">
        <v>194</v>
      </c>
    </row>
    <row r="47" spans="1:1" x14ac:dyDescent="0.25">
      <c r="A47" s="408" t="s">
        <v>116</v>
      </c>
    </row>
    <row r="48" spans="1:1" s="168" customFormat="1" x14ac:dyDescent="0.25">
      <c r="A48" s="407" t="s">
        <v>106</v>
      </c>
    </row>
    <row r="49" spans="1:1" x14ac:dyDescent="0.25">
      <c r="A49" s="366" t="s">
        <v>33</v>
      </c>
    </row>
    <row r="50" spans="1:1" x14ac:dyDescent="0.25">
      <c r="A50" s="403" t="s">
        <v>14</v>
      </c>
    </row>
    <row r="51" spans="1:1" s="168" customFormat="1" x14ac:dyDescent="0.25">
      <c r="A51" s="404" t="s">
        <v>55</v>
      </c>
    </row>
    <row r="52" spans="1:1" x14ac:dyDescent="0.25">
      <c r="A52" s="405" t="s">
        <v>38</v>
      </c>
    </row>
    <row r="53" spans="1:1" x14ac:dyDescent="0.25">
      <c r="A53" s="406" t="s">
        <v>95</v>
      </c>
    </row>
    <row r="54" spans="1:1" x14ac:dyDescent="0.25">
      <c r="A54" s="349" t="s">
        <v>309</v>
      </c>
    </row>
    <row r="55" spans="1:1" x14ac:dyDescent="0.25">
      <c r="A55" s="389" t="s">
        <v>310</v>
      </c>
    </row>
    <row r="56" spans="1:1" x14ac:dyDescent="0.25">
      <c r="A56" s="364" t="s">
        <v>313</v>
      </c>
    </row>
    <row r="57" spans="1:1" x14ac:dyDescent="0.25">
      <c r="A57" s="349" t="s">
        <v>315</v>
      </c>
    </row>
    <row r="58" spans="1:1" x14ac:dyDescent="0.25">
      <c r="A58" s="390" t="s">
        <v>117</v>
      </c>
    </row>
    <row r="59" spans="1:1" x14ac:dyDescent="0.25">
      <c r="A59" s="392" t="s">
        <v>50</v>
      </c>
    </row>
    <row r="60" spans="1:1" x14ac:dyDescent="0.25">
      <c r="A60" s="393" t="s">
        <v>238</v>
      </c>
    </row>
    <row r="61" spans="1:1" x14ac:dyDescent="0.25">
      <c r="A61" s="394" t="s">
        <v>231</v>
      </c>
    </row>
    <row r="62" spans="1:1" x14ac:dyDescent="0.25">
      <c r="A62" s="395" t="s">
        <v>52</v>
      </c>
    </row>
    <row r="63" spans="1:1" x14ac:dyDescent="0.25">
      <c r="A63" s="362" t="s">
        <v>10</v>
      </c>
    </row>
    <row r="64" spans="1:1" x14ac:dyDescent="0.25">
      <c r="A64" s="372" t="s">
        <v>176</v>
      </c>
    </row>
    <row r="65" spans="1:8" x14ac:dyDescent="0.25">
      <c r="A65" s="373" t="s">
        <v>177</v>
      </c>
    </row>
    <row r="66" spans="1:8" x14ac:dyDescent="0.25">
      <c r="A66" s="374" t="s">
        <v>178</v>
      </c>
    </row>
    <row r="67" spans="1:8" x14ac:dyDescent="0.25">
      <c r="A67" s="375" t="s">
        <v>179</v>
      </c>
    </row>
    <row r="68" spans="1:8" x14ac:dyDescent="0.25">
      <c r="A68" s="376" t="s">
        <v>180</v>
      </c>
    </row>
    <row r="69" spans="1:8" x14ac:dyDescent="0.25">
      <c r="A69" s="396" t="s">
        <v>121</v>
      </c>
    </row>
    <row r="70" spans="1:8" x14ac:dyDescent="0.25">
      <c r="A70" s="397" t="s">
        <v>107</v>
      </c>
    </row>
    <row r="71" spans="1:8" x14ac:dyDescent="0.25">
      <c r="A71" s="398" t="s">
        <v>140</v>
      </c>
    </row>
    <row r="72" spans="1:8" x14ac:dyDescent="0.25">
      <c r="A72" s="388" t="s">
        <v>135</v>
      </c>
    </row>
    <row r="73" spans="1:8" x14ac:dyDescent="0.25">
      <c r="A73" s="399" t="s">
        <v>13</v>
      </c>
    </row>
    <row r="74" spans="1:8" x14ac:dyDescent="0.25">
      <c r="A74" s="391" t="s">
        <v>99</v>
      </c>
      <c r="H74" s="371" t="s">
        <v>104</v>
      </c>
    </row>
    <row r="75" spans="1:8" x14ac:dyDescent="0.25">
      <c r="A75" s="400" t="s">
        <v>119</v>
      </c>
    </row>
    <row r="76" spans="1:8" x14ac:dyDescent="0.25">
      <c r="A76" s="351" t="s">
        <v>118</v>
      </c>
    </row>
    <row r="77" spans="1:8" x14ac:dyDescent="0.25">
      <c r="A77" s="363" t="s">
        <v>335</v>
      </c>
    </row>
    <row r="78" spans="1:8" x14ac:dyDescent="0.25">
      <c r="A78" s="351" t="s">
        <v>225</v>
      </c>
    </row>
  </sheetData>
  <autoFilter ref="A1:A70" xr:uid="{72486639-879E-4C36-8510-47A082CE6796}">
    <sortState xmlns:xlrd2="http://schemas.microsoft.com/office/spreadsheetml/2017/richdata2" ref="A2:A79">
      <sortCondition ref="A1:A70"/>
    </sortState>
  </autoFilter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E4956A-60F6-4B05-977F-D88B1022DAFC}">
  <sheetPr codeName="Sheet2">
    <tabColor theme="9" tint="0.39997558519241921"/>
  </sheetPr>
  <dimension ref="A1:R41"/>
  <sheetViews>
    <sheetView zoomScale="85" zoomScaleNormal="85" workbookViewId="0">
      <selection activeCell="B5" sqref="B5"/>
    </sheetView>
  </sheetViews>
  <sheetFormatPr defaultColWidth="9.140625" defaultRowHeight="15" x14ac:dyDescent="0.25"/>
  <cols>
    <col min="1" max="1" width="36" style="1" customWidth="1"/>
    <col min="2" max="2" width="52.28515625" style="1" customWidth="1"/>
    <col min="3" max="3" width="9.28515625" style="1" customWidth="1"/>
    <col min="4" max="4" width="10.28515625" style="1" customWidth="1"/>
    <col min="5" max="5" width="13.7109375" style="1" customWidth="1"/>
    <col min="6" max="6" width="15.5703125" style="1" bestFit="1" customWidth="1"/>
    <col min="7" max="7" width="25.7109375" style="1" customWidth="1"/>
    <col min="8" max="8" width="9.140625" style="1"/>
    <col min="9" max="9" width="25.140625" style="1" bestFit="1" customWidth="1"/>
    <col min="10" max="10" width="13" style="1" customWidth="1"/>
    <col min="11" max="12" width="9" style="1" bestFit="1" customWidth="1"/>
    <col min="13" max="13" width="12.85546875" style="1" customWidth="1"/>
    <col min="14" max="15" width="9" style="1" bestFit="1" customWidth="1"/>
    <col min="16" max="16" width="13.140625" style="1" customWidth="1"/>
    <col min="17" max="18" width="9" style="1" bestFit="1" customWidth="1"/>
    <col min="19" max="16384" width="9.140625" style="1"/>
  </cols>
  <sheetData>
    <row r="1" spans="1:18" x14ac:dyDescent="0.25">
      <c r="A1" s="228" t="s">
        <v>274</v>
      </c>
      <c r="B1" s="75" t="s">
        <v>300</v>
      </c>
    </row>
    <row r="2" spans="1:18" ht="42.95" customHeight="1" x14ac:dyDescent="0.25">
      <c r="A2" s="223" t="s">
        <v>284</v>
      </c>
      <c r="B2" s="25" t="s">
        <v>65</v>
      </c>
      <c r="C2" s="25">
        <f>År2</f>
        <v>2030</v>
      </c>
      <c r="D2" s="25">
        <f>År3</f>
        <v>2050</v>
      </c>
      <c r="E2" s="25" t="s">
        <v>39</v>
      </c>
      <c r="F2" s="25" t="s">
        <v>34</v>
      </c>
      <c r="G2" s="25" t="s">
        <v>35</v>
      </c>
      <c r="J2" s="6" t="s">
        <v>307</v>
      </c>
      <c r="K2" s="6"/>
      <c r="L2" s="6"/>
      <c r="M2" s="6"/>
      <c r="N2" s="6"/>
      <c r="O2" s="6"/>
      <c r="P2" s="6"/>
    </row>
    <row r="3" spans="1:18" x14ac:dyDescent="0.25">
      <c r="A3" s="2" t="s">
        <v>264</v>
      </c>
      <c r="B3" s="2" t="s">
        <v>266</v>
      </c>
      <c r="C3" s="9">
        <v>7500</v>
      </c>
      <c r="D3" s="22">
        <v>7500</v>
      </c>
      <c r="E3" s="9" t="s">
        <v>40</v>
      </c>
      <c r="F3" s="110" t="s">
        <v>9</v>
      </c>
      <c r="G3" s="110" t="s">
        <v>33</v>
      </c>
      <c r="I3" s="2" t="s">
        <v>175</v>
      </c>
      <c r="J3" s="25">
        <f>År1</f>
        <v>2019</v>
      </c>
      <c r="K3" s="25">
        <f>År1</f>
        <v>2019</v>
      </c>
      <c r="L3" s="25">
        <f>År1</f>
        <v>2019</v>
      </c>
      <c r="M3" s="25">
        <f>År2</f>
        <v>2030</v>
      </c>
      <c r="N3" s="25">
        <f>År2</f>
        <v>2030</v>
      </c>
      <c r="O3" s="25">
        <f>År2</f>
        <v>2030</v>
      </c>
      <c r="P3" s="25">
        <f>År3</f>
        <v>2050</v>
      </c>
      <c r="Q3" s="25">
        <f>År3</f>
        <v>2050</v>
      </c>
      <c r="R3" s="25">
        <f>År3</f>
        <v>2050</v>
      </c>
    </row>
    <row r="4" spans="1:18" x14ac:dyDescent="0.25">
      <c r="A4" s="2" t="s">
        <v>265</v>
      </c>
      <c r="B4" s="2" t="s">
        <v>267</v>
      </c>
      <c r="C4" s="9">
        <v>7500</v>
      </c>
      <c r="D4" s="22">
        <v>7500</v>
      </c>
      <c r="E4" s="9" t="s">
        <v>41</v>
      </c>
      <c r="F4" s="110" t="s">
        <v>9</v>
      </c>
      <c r="G4" s="110" t="s">
        <v>33</v>
      </c>
      <c r="I4" s="2"/>
      <c r="J4" s="25" t="str">
        <f>Jordbund1</f>
        <v>JB1-10</v>
      </c>
      <c r="K4" s="25" t="str">
        <f>Organ6</f>
        <v>OC6</v>
      </c>
      <c r="L4" s="25" t="str">
        <f>Organ12</f>
        <v>OC12</v>
      </c>
      <c r="M4" s="25" t="str">
        <f>Jordbund1</f>
        <v>JB1-10</v>
      </c>
      <c r="N4" s="25" t="str">
        <f>Organ6</f>
        <v>OC6</v>
      </c>
      <c r="O4" s="25" t="str">
        <f>Organ12</f>
        <v>OC12</v>
      </c>
      <c r="P4" s="25" t="str">
        <f>Jordbund1</f>
        <v>JB1-10</v>
      </c>
      <c r="Q4" s="25" t="str">
        <f>Organ6</f>
        <v>OC6</v>
      </c>
      <c r="R4" s="25" t="str">
        <f>Organ12</f>
        <v>OC12</v>
      </c>
    </row>
    <row r="5" spans="1:18" x14ac:dyDescent="0.25">
      <c r="A5" s="2" t="s">
        <v>36</v>
      </c>
      <c r="B5" s="219" t="s">
        <v>269</v>
      </c>
      <c r="C5" s="9">
        <f>1900*(C2-År1)</f>
        <v>20900</v>
      </c>
      <c r="D5" s="9">
        <f>1900*(D2-År1)</f>
        <v>58900</v>
      </c>
      <c r="E5" s="9" t="s">
        <v>270</v>
      </c>
      <c r="F5" s="110" t="s">
        <v>9</v>
      </c>
      <c r="G5" s="110" t="s">
        <v>10</v>
      </c>
      <c r="I5" s="26" t="str">
        <f>Bebyg</f>
        <v>Bebyggelse &amp; infrastruktur</v>
      </c>
      <c r="J5" s="17">
        <f t="shared" ref="J5:R5" si="0">SUM(J25,J35)</f>
        <v>592120</v>
      </c>
      <c r="K5" s="17">
        <f t="shared" si="0"/>
        <v>0</v>
      </c>
      <c r="L5" s="17">
        <f t="shared" si="0"/>
        <v>0</v>
      </c>
      <c r="M5" s="18">
        <f t="shared" si="0"/>
        <v>592120</v>
      </c>
      <c r="N5" s="18">
        <f t="shared" si="0"/>
        <v>0</v>
      </c>
      <c r="O5" s="18">
        <f t="shared" si="0"/>
        <v>0</v>
      </c>
      <c r="P5" s="18">
        <f t="shared" si="0"/>
        <v>592120</v>
      </c>
      <c r="Q5" s="18">
        <f t="shared" si="0"/>
        <v>0</v>
      </c>
      <c r="R5" s="18">
        <f t="shared" si="0"/>
        <v>0</v>
      </c>
    </row>
    <row r="6" spans="1:18" x14ac:dyDescent="0.25">
      <c r="A6" s="2"/>
      <c r="B6" s="2"/>
      <c r="C6" s="9"/>
      <c r="D6" s="9"/>
      <c r="E6" s="9"/>
      <c r="F6" s="110"/>
      <c r="G6" s="110"/>
      <c r="I6" s="26" t="str">
        <f>Afgrøder</f>
        <v>Landbrugsafgrøder</v>
      </c>
      <c r="J6" s="17">
        <f t="shared" ref="J6:R6" si="1">SUM(J26,J36)</f>
        <v>2399936</v>
      </c>
      <c r="K6" s="17">
        <f t="shared" si="1"/>
        <v>100502</v>
      </c>
      <c r="L6" s="17">
        <f t="shared" si="1"/>
        <v>78232</v>
      </c>
      <c r="M6" s="18">
        <f t="shared" si="1"/>
        <v>2379035.9999999995</v>
      </c>
      <c r="N6" s="18">
        <f t="shared" si="1"/>
        <v>93002</v>
      </c>
      <c r="O6" s="18">
        <f t="shared" si="1"/>
        <v>70732</v>
      </c>
      <c r="P6" s="18">
        <f t="shared" si="1"/>
        <v>2341036</v>
      </c>
      <c r="Q6" s="18">
        <f t="shared" si="1"/>
        <v>93002</v>
      </c>
      <c r="R6" s="18">
        <f t="shared" si="1"/>
        <v>70732</v>
      </c>
    </row>
    <row r="7" spans="1:18" x14ac:dyDescent="0.25">
      <c r="A7" s="2"/>
      <c r="B7" s="2"/>
      <c r="C7" s="9"/>
      <c r="D7" s="9"/>
      <c r="E7" s="9"/>
      <c r="F7" s="110"/>
      <c r="G7" s="110"/>
      <c r="I7" s="26" t="str">
        <f>SkovAreal</f>
        <v>Skov</v>
      </c>
      <c r="J7" s="17">
        <f t="shared" ref="J7:R7" si="2">SUM(J27,J37)</f>
        <v>562410</v>
      </c>
      <c r="K7" s="17">
        <f t="shared" si="2"/>
        <v>0</v>
      </c>
      <c r="L7" s="17">
        <f t="shared" si="2"/>
        <v>0</v>
      </c>
      <c r="M7" s="18">
        <f t="shared" si="2"/>
        <v>583310</v>
      </c>
      <c r="N7" s="18">
        <f t="shared" si="2"/>
        <v>0</v>
      </c>
      <c r="O7" s="18">
        <f t="shared" si="2"/>
        <v>0</v>
      </c>
      <c r="P7" s="18">
        <f t="shared" si="2"/>
        <v>621310</v>
      </c>
      <c r="Q7" s="18">
        <f t="shared" si="2"/>
        <v>0</v>
      </c>
      <c r="R7" s="18">
        <f t="shared" si="2"/>
        <v>0</v>
      </c>
    </row>
    <row r="8" spans="1:18" x14ac:dyDescent="0.25">
      <c r="A8" s="2"/>
      <c r="B8" s="2"/>
      <c r="C8" s="9"/>
      <c r="D8" s="9"/>
      <c r="E8" s="9"/>
      <c r="F8" s="110"/>
      <c r="G8" s="110"/>
      <c r="I8" s="26" t="str">
        <f>NaturAreal</f>
        <v>Natur</v>
      </c>
      <c r="J8" s="17">
        <f t="shared" ref="J8:R8" si="3">SUM(J28,J38)</f>
        <v>393324.00000000006</v>
      </c>
      <c r="K8" s="17">
        <f t="shared" si="3"/>
        <v>61498</v>
      </c>
      <c r="L8" s="17">
        <f t="shared" si="3"/>
        <v>50768</v>
      </c>
      <c r="M8" s="18">
        <f t="shared" si="3"/>
        <v>393324.00000000006</v>
      </c>
      <c r="N8" s="18">
        <f t="shared" si="3"/>
        <v>68998</v>
      </c>
      <c r="O8" s="18">
        <f t="shared" si="3"/>
        <v>58267.999999999993</v>
      </c>
      <c r="P8" s="18">
        <f t="shared" si="3"/>
        <v>393324.00000000006</v>
      </c>
      <c r="Q8" s="18">
        <f t="shared" si="3"/>
        <v>68998</v>
      </c>
      <c r="R8" s="18">
        <f t="shared" si="3"/>
        <v>58267.999999999993</v>
      </c>
    </row>
    <row r="9" spans="1:18" ht="15.75" thickBot="1" x14ac:dyDescent="0.3">
      <c r="A9" s="2"/>
      <c r="B9" s="2"/>
      <c r="C9" s="9"/>
      <c r="D9" s="9"/>
      <c r="E9" s="9"/>
      <c r="F9" s="110"/>
      <c r="G9" s="110"/>
      <c r="I9" s="27" t="str">
        <f>IKareal</f>
        <v>Ikke klassificeret</v>
      </c>
      <c r="J9" s="19">
        <f t="shared" ref="J9:R9" si="4">SUM(J29,J39)</f>
        <v>66640</v>
      </c>
      <c r="K9" s="19">
        <f t="shared" si="4"/>
        <v>0</v>
      </c>
      <c r="L9" s="19">
        <f t="shared" si="4"/>
        <v>0</v>
      </c>
      <c r="M9" s="91">
        <f t="shared" si="4"/>
        <v>66640</v>
      </c>
      <c r="N9" s="91">
        <f t="shared" si="4"/>
        <v>0</v>
      </c>
      <c r="O9" s="91">
        <f t="shared" si="4"/>
        <v>0</v>
      </c>
      <c r="P9" s="91">
        <f t="shared" si="4"/>
        <v>66640</v>
      </c>
      <c r="Q9" s="91">
        <f t="shared" si="4"/>
        <v>0</v>
      </c>
      <c r="R9" s="91">
        <f t="shared" si="4"/>
        <v>0</v>
      </c>
    </row>
    <row r="10" spans="1:18" x14ac:dyDescent="0.25">
      <c r="A10" s="2"/>
      <c r="B10" s="2"/>
      <c r="C10" s="9"/>
      <c r="D10" s="9"/>
      <c r="E10" s="9"/>
      <c r="F10" s="110"/>
      <c r="G10" s="110"/>
      <c r="I10" s="28" t="s">
        <v>30</v>
      </c>
      <c r="J10" s="20">
        <f t="shared" ref="J10:R10" si="5">SUM(J5:J9)</f>
        <v>4014430</v>
      </c>
      <c r="K10" s="20">
        <f t="shared" si="5"/>
        <v>162000</v>
      </c>
      <c r="L10" s="20">
        <f t="shared" si="5"/>
        <v>129000</v>
      </c>
      <c r="M10" s="21">
        <f t="shared" si="5"/>
        <v>4014429.9999999995</v>
      </c>
      <c r="N10" s="21">
        <f t="shared" si="5"/>
        <v>162000</v>
      </c>
      <c r="O10" s="21">
        <f t="shared" si="5"/>
        <v>129000</v>
      </c>
      <c r="P10" s="21">
        <f t="shared" si="5"/>
        <v>4014430</v>
      </c>
      <c r="Q10" s="21">
        <f t="shared" si="5"/>
        <v>162000</v>
      </c>
      <c r="R10" s="21">
        <f t="shared" si="5"/>
        <v>129000</v>
      </c>
    </row>
    <row r="11" spans="1:18" x14ac:dyDescent="0.25">
      <c r="A11" s="2"/>
      <c r="B11" s="2"/>
      <c r="C11" s="9"/>
      <c r="D11" s="9"/>
      <c r="E11" s="9"/>
      <c r="F11" s="110"/>
      <c r="G11" s="110"/>
    </row>
    <row r="12" spans="1:18" x14ac:dyDescent="0.25">
      <c r="A12" s="2"/>
      <c r="B12" s="2"/>
      <c r="C12" s="9"/>
      <c r="D12" s="9"/>
      <c r="E12" s="9"/>
      <c r="F12" s="110"/>
      <c r="G12" s="110"/>
    </row>
    <row r="13" spans="1:18" x14ac:dyDescent="0.25">
      <c r="A13" s="2"/>
      <c r="B13" s="2"/>
      <c r="C13" s="9"/>
      <c r="D13" s="9"/>
      <c r="E13" s="9"/>
      <c r="F13" s="110"/>
      <c r="G13" s="110"/>
    </row>
    <row r="14" spans="1:18" x14ac:dyDescent="0.25">
      <c r="A14" s="2"/>
      <c r="B14" s="2"/>
      <c r="C14" s="9"/>
      <c r="D14" s="9"/>
      <c r="E14" s="9"/>
      <c r="F14" s="110"/>
      <c r="G14" s="110"/>
    </row>
    <row r="15" spans="1:18" x14ac:dyDescent="0.25">
      <c r="A15" s="2"/>
      <c r="B15" s="2"/>
      <c r="C15" s="9"/>
      <c r="D15" s="9"/>
      <c r="E15" s="9"/>
      <c r="F15" s="110"/>
      <c r="G15" s="110"/>
    </row>
    <row r="16" spans="1:18" x14ac:dyDescent="0.25">
      <c r="A16" s="2"/>
      <c r="B16" s="2"/>
      <c r="C16" s="9"/>
      <c r="D16" s="9"/>
      <c r="E16" s="9"/>
      <c r="F16" s="110"/>
      <c r="G16" s="110"/>
    </row>
    <row r="17" spans="1:18" x14ac:dyDescent="0.25">
      <c r="A17" s="2"/>
      <c r="B17" s="2"/>
      <c r="C17" s="9"/>
      <c r="D17" s="9"/>
      <c r="E17" s="9"/>
      <c r="F17" s="110"/>
      <c r="G17" s="110"/>
    </row>
    <row r="18" spans="1:18" x14ac:dyDescent="0.25">
      <c r="D18" s="15"/>
      <c r="E18" s="15"/>
      <c r="F18" s="15"/>
      <c r="G18" s="15"/>
    </row>
    <row r="19" spans="1:18" x14ac:dyDescent="0.25">
      <c r="D19" s="15"/>
      <c r="E19" s="15"/>
      <c r="F19" s="15"/>
      <c r="G19" s="15"/>
    </row>
    <row r="20" spans="1:18" x14ac:dyDescent="0.25">
      <c r="D20" s="15"/>
      <c r="E20" s="15"/>
      <c r="F20" s="15"/>
      <c r="G20" s="15"/>
    </row>
    <row r="21" spans="1:18" hidden="1" x14ac:dyDescent="0.25">
      <c r="D21" s="15"/>
      <c r="E21" s="15"/>
      <c r="F21" s="15"/>
      <c r="G21" s="15"/>
    </row>
    <row r="22" spans="1:18" hidden="1" x14ac:dyDescent="0.25">
      <c r="D22" s="15"/>
      <c r="E22" s="15"/>
      <c r="F22" s="15"/>
      <c r="G22" s="15"/>
      <c r="I22" s="256"/>
      <c r="J22" s="257" t="s">
        <v>301</v>
      </c>
      <c r="K22" s="257"/>
      <c r="L22" s="257"/>
      <c r="M22" s="257"/>
      <c r="N22" s="257"/>
      <c r="O22" s="257"/>
      <c r="P22" s="257"/>
      <c r="Q22" s="256"/>
      <c r="R22" s="256"/>
    </row>
    <row r="23" spans="1:18" hidden="1" x14ac:dyDescent="0.25">
      <c r="D23" s="15"/>
      <c r="E23" s="15"/>
      <c r="F23" s="15"/>
      <c r="G23" s="15"/>
      <c r="I23" s="258" t="s">
        <v>175</v>
      </c>
      <c r="J23" s="259">
        <f>År1</f>
        <v>2019</v>
      </c>
      <c r="K23" s="259">
        <f>År1</f>
        <v>2019</v>
      </c>
      <c r="L23" s="259">
        <f>År1</f>
        <v>2019</v>
      </c>
      <c r="M23" s="259">
        <f>År2</f>
        <v>2030</v>
      </c>
      <c r="N23" s="259">
        <f>År2</f>
        <v>2030</v>
      </c>
      <c r="O23" s="259">
        <f>År2</f>
        <v>2030</v>
      </c>
      <c r="P23" s="259">
        <f>År3</f>
        <v>2050</v>
      </c>
      <c r="Q23" s="259">
        <f>År3</f>
        <v>2050</v>
      </c>
      <c r="R23" s="259">
        <f>År3</f>
        <v>2050</v>
      </c>
    </row>
    <row r="24" spans="1:18" hidden="1" x14ac:dyDescent="0.25">
      <c r="D24" s="15"/>
      <c r="E24" s="15"/>
      <c r="F24" s="15"/>
      <c r="G24" s="15"/>
      <c r="I24" s="258"/>
      <c r="J24" s="259" t="str">
        <f>Jordbund1</f>
        <v>JB1-10</v>
      </c>
      <c r="K24" s="259" t="str">
        <f>Organ6</f>
        <v>OC6</v>
      </c>
      <c r="L24" s="259" t="str">
        <f>Organ12</f>
        <v>OC12</v>
      </c>
      <c r="M24" s="259" t="str">
        <f>Jordbund1</f>
        <v>JB1-10</v>
      </c>
      <c r="N24" s="259" t="str">
        <f>Organ6</f>
        <v>OC6</v>
      </c>
      <c r="O24" s="259" t="str">
        <f>Organ12</f>
        <v>OC12</v>
      </c>
      <c r="P24" s="259" t="str">
        <f>Jordbund1</f>
        <v>JB1-10</v>
      </c>
      <c r="Q24" s="259" t="str">
        <f>Organ6</f>
        <v>OC6</v>
      </c>
      <c r="R24" s="259" t="str">
        <f>Organ12</f>
        <v>OC12</v>
      </c>
    </row>
    <row r="25" spans="1:18" hidden="1" x14ac:dyDescent="0.25">
      <c r="D25" s="15"/>
      <c r="E25" s="15"/>
      <c r="F25" s="15"/>
      <c r="G25" s="15"/>
      <c r="I25" s="260" t="str">
        <f>Bebyg</f>
        <v>Bebyggelse &amp; infrastruktur</v>
      </c>
      <c r="J25" s="266">
        <f>SUMIF([1]Arealanvendelse!$B$15:$B$22,I25,[1]Arealanvendelse!$D$15:$D$22)-SUM(K25:L25)</f>
        <v>413346.96815611009</v>
      </c>
      <c r="K25" s="266"/>
      <c r="L25" s="266"/>
      <c r="M25" s="269" cm="1">
        <f t="array" ref="M25">J25+(-SUMIFS(Arealanvendelse!$C:$C,Arealanvendelse!$F:$F,$I25,Arealanvendelse!$E:$E,M$24)*IF(M$24&lt;&gt;"JB1",[1]Jordbundstypefordeling!$F$4,[1]Arealanvendelse!$B7)+IF(M$24="JB1",SUM(IFERROR(VLOOKUP(Arealanvendelse!$F:$F,[1]Arealanvendelse!$A$7:$B$11,2,FALSE)*Arealanvendelse!$C:$C*(Arealanvendelse!$G:$G=$I25)*(Arealanvendelse!$E:$E=M$24),0)),SUMIFS(Arealanvendelse!$C:$C,Arealanvendelse!$G:$G,$I25,Arealanvendelse!$E:$E,M$24)*[1]Jordbundstypefordeling!$F$4))</f>
        <v>413346.96815611009</v>
      </c>
      <c r="N25" s="269" cm="1">
        <f t="array" ref="N25">K25+(-SUMIFS(Arealanvendelse!$C:$C,Arealanvendelse!$F:$F,$I25,Arealanvendelse!$E:$E,N$24)*IF(N$24&lt;&gt;"JB1",[1]Jordbundstypefordeling!$F$4,[1]Arealanvendelse!$B7)+IF(N$24="JB1",SUM(IFERROR(VLOOKUP(Arealanvendelse!$F:$F,[1]Arealanvendelse!$A$7:$B$11,2,FALSE)*Arealanvendelse!$C:$C*(Arealanvendelse!$G:$G=$I25)*(Arealanvendelse!$E:$E=N$24),0)),SUMIFS(Arealanvendelse!$C:$C,Arealanvendelse!$G:$G,$I25,Arealanvendelse!$E:$E,N$24)*[1]Jordbundstypefordeling!$F$4))</f>
        <v>0</v>
      </c>
      <c r="O25" s="269" cm="1">
        <f t="array" ref="O25">L25+(-SUMIFS(Arealanvendelse!$C:$C,Arealanvendelse!$F:$F,$I25,Arealanvendelse!$E:$E,O$24)*IF(O$24&lt;&gt;"JB1",[1]Jordbundstypefordeling!$F$4,[1]Arealanvendelse!$B7)+IF(O$24="JB1",SUM(IFERROR(VLOOKUP(Arealanvendelse!$F:$F,[1]Arealanvendelse!$A$7:$B$11,2,FALSE)*Arealanvendelse!$C:$C*(Arealanvendelse!$G:$G=$I25)*(Arealanvendelse!$E:$E=O$24),0)),SUMIFS(Arealanvendelse!$C:$C,Arealanvendelse!$G:$G,$I25,Arealanvendelse!$E:$E,O$24)*[1]Jordbundstypefordeling!$F$4))</f>
        <v>0</v>
      </c>
      <c r="P25" s="269" cm="1">
        <f t="array" ref="P25">J25+(-SUMIFS(Arealanvendelse!$D:$D,Arealanvendelse!$F:$F,$I25,Arealanvendelse!$E:$E,P$24)*IF(P$24&lt;&gt;"JB1",[1]Jordbundstypefordeling!$F$4,[1]Arealanvendelse!$B7)+IF(P$24="JB1",SUM(IFERROR(VLOOKUP(Arealanvendelse!$F:$F,[1]Arealanvendelse!$A$7:$B$11,2,FALSE)*Arealanvendelse!$D:$D*(Arealanvendelse!$G:$G=$I25)*(Arealanvendelse!$E:$E=P$24),0)),SUMIFS(Arealanvendelse!$D:$D,Arealanvendelse!$G:$G,$I25,Arealanvendelse!$E:$E,P$24)*[1]Jordbundstypefordeling!$F$4))</f>
        <v>413346.96815611009</v>
      </c>
      <c r="Q25" s="269" cm="1">
        <f t="array" ref="Q25">K25+(-SUMIFS(Arealanvendelse!$D:$D,Arealanvendelse!$F:$F,$I25,Arealanvendelse!$E:$E,Q$24)*IF(Q$24&lt;&gt;"JB1",[1]Jordbundstypefordeling!$F$4,[1]Arealanvendelse!$B7)+IF(Q$24="JB1",SUM(IFERROR(VLOOKUP(Arealanvendelse!$F:$F,[1]Arealanvendelse!$A$7:$B$11,2,FALSE)*Arealanvendelse!$D:$D*(Arealanvendelse!$G:$G=$I25)*(Arealanvendelse!$E:$E=Q$24),0)),SUMIFS(Arealanvendelse!$D:$D,Arealanvendelse!$G:$G,$I25,Arealanvendelse!$E:$E,Q$24)*[1]Jordbundstypefordeling!$F$4))</f>
        <v>0</v>
      </c>
      <c r="R25" s="269" cm="1">
        <f t="array" ref="R25">L25+(-SUMIFS(Arealanvendelse!$D:$D,Arealanvendelse!$F:$F,$I25,Arealanvendelse!$E:$E,R$24)*IF(R$24&lt;&gt;"JB1",[1]Jordbundstypefordeling!$F$4,[1]Arealanvendelse!$B7)+IF(R$24="JB1",SUM(IFERROR(VLOOKUP(Arealanvendelse!$F:$F,[1]Arealanvendelse!$A$7:$B$11,2,FALSE)*Arealanvendelse!$D:$D*(Arealanvendelse!$G:$G=$I25)*(Arealanvendelse!$E:$E=R$24),0)),SUMIFS(Arealanvendelse!$D:$D,Arealanvendelse!$G:$G,$I25,Arealanvendelse!$E:$E,R$24)*[1]Jordbundstypefordeling!$F$4))</f>
        <v>0</v>
      </c>
    </row>
    <row r="26" spans="1:18" hidden="1" x14ac:dyDescent="0.25">
      <c r="D26" s="15"/>
      <c r="E26" s="15"/>
      <c r="F26" s="15"/>
      <c r="G26" s="15"/>
      <c r="I26" s="260" t="str">
        <f>Afgrøder</f>
        <v>Landbrugsafgrøder</v>
      </c>
      <c r="J26" s="266">
        <f>SUMIF([1]Arealanvendelse!$B$15:$B$22,I26,[1]Arealanvendelse!$D$15:$D$22)-SUM(K26:L26)</f>
        <v>1853876.1391137983</v>
      </c>
      <c r="K26" s="266">
        <f>[1]Jordbundstypefordeling!$D$16*[1]Jordbundstypefordeling!$F$4</f>
        <v>87250.625185185185</v>
      </c>
      <c r="L26" s="266">
        <f>[1]Jordbundstypefordeling!$D$15*[1]Jordbundstypefordeling!$F$4</f>
        <v>67916.965925925921</v>
      </c>
      <c r="M26" s="269" cm="1">
        <f t="array" ref="M26">J26+(-SUMIFS(Arealanvendelse!$C:$C,Arealanvendelse!$F:$F,$I26,Arealanvendelse!$E:$E,M$24)*IF(M$24&lt;&gt;"JB1",[1]Jordbundstypefordeling!$F$4,[1]Arealanvendelse!$B8)+IF(M$24="JB1",SUM(IFERROR(VLOOKUP(Arealanvendelse!$F:$F,[1]Arealanvendelse!$A$7:$B$11,2,FALSE)*Arealanvendelse!$C:$C*(Arealanvendelse!$G:$G=$I26)*(Arealanvendelse!$E:$E=M$24),0)),SUMIFS(Arealanvendelse!$C:$C,Arealanvendelse!$G:$G,$I26,Arealanvendelse!$E:$E,M$24)*[1]Jordbundstypefordeling!$F$4))</f>
        <v>1835731.8428175019</v>
      </c>
      <c r="N26" s="269" cm="1">
        <f t="array" ref="N26">K26+(-SUMIFS(Arealanvendelse!$C:$C,Arealanvendelse!$F:$F,$I26,Arealanvendelse!$E:$E,N$24)*IF(N$24&lt;&gt;"JB1",[1]Jordbundstypefordeling!$F$4,[1]Arealanvendelse!$B8)+IF(N$24="JB1",SUM(IFERROR(VLOOKUP(Arealanvendelse!$F:$F,[1]Arealanvendelse!$A$7:$B$11,2,FALSE)*Arealanvendelse!$C:$C*(Arealanvendelse!$G:$G=$I26)*(Arealanvendelse!$E:$E=N$24),0)),SUMIFS(Arealanvendelse!$C:$C,Arealanvendelse!$G:$G,$I26,Arealanvendelse!$E:$E,N$24)*[1]Jordbundstypefordeling!$F$4))</f>
        <v>80739.514074074075</v>
      </c>
      <c r="O26" s="269" cm="1">
        <f t="array" ref="O26">L26+(-SUMIFS(Arealanvendelse!$C:$C,Arealanvendelse!$F:$F,$I26,Arealanvendelse!$E:$E,O$24)*IF(O$24&lt;&gt;"JB1",[1]Jordbundstypefordeling!$F$4,[1]Arealanvendelse!$B8)+IF(O$24="JB1",SUM(IFERROR(VLOOKUP(Arealanvendelse!$F:$F,[1]Arealanvendelse!$A$7:$B$11,2,FALSE)*Arealanvendelse!$C:$C*(Arealanvendelse!$G:$G=$I26)*(Arealanvendelse!$E:$E=O$24),0)),SUMIFS(Arealanvendelse!$C:$C,Arealanvendelse!$G:$G,$I26,Arealanvendelse!$E:$E,O$24)*[1]Jordbundstypefordeling!$F$4))</f>
        <v>61405.854814814811</v>
      </c>
      <c r="P26" s="269" cm="1">
        <f t="array" ref="P26">J26+(-SUMIFS(Arealanvendelse!$D:$D,Arealanvendelse!$F:$F,$I26,Arealanvendelse!$E:$E,P$24)*IF(P$24&lt;&gt;"JB1",[1]Jordbundstypefordeling!$F$4,[1]Arealanvendelse!$B8)+IF(P$24="JB1",SUM(IFERROR(VLOOKUP(Arealanvendelse!$F:$F,[1]Arealanvendelse!$A$7:$B$11,2,FALSE)*Arealanvendelse!$D:$D*(Arealanvendelse!$G:$G=$I26)*(Arealanvendelse!$E:$E=P$24),0)),SUMIFS(Arealanvendelse!$D:$D,Arealanvendelse!$G:$G,$I26,Arealanvendelse!$E:$E,P$24)*[1]Jordbundstypefordeling!$F$4))</f>
        <v>1802742.2131878724</v>
      </c>
      <c r="Q26" s="269" cm="1">
        <f t="array" ref="Q26">K26+(-SUMIFS(Arealanvendelse!$D:$D,Arealanvendelse!$F:$F,$I26,Arealanvendelse!$E:$E,Q$24)*IF(Q$24&lt;&gt;"JB1",[1]Jordbundstypefordeling!$F$4,[1]Arealanvendelse!$B8)+IF(Q$24="JB1",SUM(IFERROR(VLOOKUP(Arealanvendelse!$F:$F,[1]Arealanvendelse!$A$7:$B$11,2,FALSE)*Arealanvendelse!$D:$D*(Arealanvendelse!$G:$G=$I26)*(Arealanvendelse!$E:$E=Q$24),0)),SUMIFS(Arealanvendelse!$D:$D,Arealanvendelse!$G:$G,$I26,Arealanvendelse!$E:$E,Q$24)*[1]Jordbundstypefordeling!$F$4))</f>
        <v>80739.514074074075</v>
      </c>
      <c r="R26" s="269" cm="1">
        <f t="array" ref="R26">L26+(-SUMIFS(Arealanvendelse!$D:$D,Arealanvendelse!$F:$F,$I26,Arealanvendelse!$E:$E,R$24)*IF(R$24&lt;&gt;"JB1",[1]Jordbundstypefordeling!$F$4,[1]Arealanvendelse!$B8)+IF(R$24="JB1",SUM(IFERROR(VLOOKUP(Arealanvendelse!$F:$F,[1]Arealanvendelse!$A$7:$B$11,2,FALSE)*Arealanvendelse!$D:$D*(Arealanvendelse!$G:$G=$I26)*(Arealanvendelse!$E:$E=R$24),0)),SUMIFS(Arealanvendelse!$D:$D,Arealanvendelse!$G:$G,$I26,Arealanvendelse!$E:$E,R$24)*[1]Jordbundstypefordeling!$F$4))</f>
        <v>61405.854814814811</v>
      </c>
    </row>
    <row r="27" spans="1:18" hidden="1" x14ac:dyDescent="0.25">
      <c r="D27" s="15"/>
      <c r="E27" s="15"/>
      <c r="F27" s="15"/>
      <c r="G27" s="15"/>
      <c r="I27" s="260" t="str">
        <f>SkovAreal</f>
        <v>Skov</v>
      </c>
      <c r="J27" s="266">
        <f>SUMIF([1]Arealanvendelse!$B$15:$B$22,I27,[1]Arealanvendelse!$D$15:$D$22)-SUM(K27:L27)</f>
        <v>435064.52162306459</v>
      </c>
      <c r="K27" s="266"/>
      <c r="L27" s="266"/>
      <c r="M27" s="269" cm="1">
        <f t="array" ref="M27">J27+(-SUMIFS(Arealanvendelse!$C:$C,Arealanvendelse!$F:$F,$I27,Arealanvendelse!$E:$E,M$24)*IF(M$24&lt;&gt;"JB1",[1]Jordbundstypefordeling!$F$4,[1]Arealanvendelse!$B9)+IF(M$24="JB1",SUM(IFERROR(VLOOKUP(Arealanvendelse!$F:$F,[1]Arealanvendelse!$A$7:$B$11,2,FALSE)*Arealanvendelse!$C:$C*(Arealanvendelse!$G:$G=$I27)*(Arealanvendelse!$E:$E=M$24),0)),SUMIFS(Arealanvendelse!$C:$C,Arealanvendelse!$G:$G,$I27,Arealanvendelse!$E:$E,M$24)*[1]Jordbundstypefordeling!$F$4))</f>
        <v>453208.81791936088</v>
      </c>
      <c r="N27" s="269" cm="1">
        <f t="array" ref="N27">K27+(-SUMIFS(Arealanvendelse!$C:$C,Arealanvendelse!$F:$F,$I27,Arealanvendelse!$E:$E,N$24)*IF(N$24&lt;&gt;"JB1",[1]Jordbundstypefordeling!$F$4,[1]Arealanvendelse!$B9)+IF(N$24="JB1",SUM(IFERROR(VLOOKUP(Arealanvendelse!$F:$F,[1]Arealanvendelse!$A$7:$B$11,2,FALSE)*Arealanvendelse!$C:$C*(Arealanvendelse!$G:$G=$I27)*(Arealanvendelse!$E:$E=N$24),0)),SUMIFS(Arealanvendelse!$C:$C,Arealanvendelse!$G:$G,$I27,Arealanvendelse!$E:$E,N$24)*[1]Jordbundstypefordeling!$F$4))</f>
        <v>0</v>
      </c>
      <c r="O27" s="269" cm="1">
        <f t="array" ref="O27">L27+(-SUMIFS(Arealanvendelse!$C:$C,Arealanvendelse!$F:$F,$I27,Arealanvendelse!$E:$E,O$24)*IF(O$24&lt;&gt;"JB1",[1]Jordbundstypefordeling!$F$4,[1]Arealanvendelse!$B9)+IF(O$24="JB1",SUM(IFERROR(VLOOKUP(Arealanvendelse!$F:$F,[1]Arealanvendelse!$A$7:$B$11,2,FALSE)*Arealanvendelse!$C:$C*(Arealanvendelse!$G:$G=$I27)*(Arealanvendelse!$E:$E=O$24),0)),SUMIFS(Arealanvendelse!$C:$C,Arealanvendelse!$G:$G,$I27,Arealanvendelse!$E:$E,O$24)*[1]Jordbundstypefordeling!$F$4))</f>
        <v>0</v>
      </c>
      <c r="P27" s="269" cm="1">
        <f t="array" ref="P27">J27+(-SUMIFS(Arealanvendelse!$D:$D,Arealanvendelse!$F:$F,$I27,Arealanvendelse!$E:$E,P$24)*IF(P$24&lt;&gt;"JB1",[1]Jordbundstypefordeling!$F$4,[1]Arealanvendelse!$B9)+IF(P$24="JB1",SUM(IFERROR(VLOOKUP(Arealanvendelse!$F:$F,[1]Arealanvendelse!$A$7:$B$11,2,FALSE)*Arealanvendelse!$D:$D*(Arealanvendelse!$G:$G=$I27)*(Arealanvendelse!$E:$E=P$24),0)),SUMIFS(Arealanvendelse!$D:$D,Arealanvendelse!$G:$G,$I27,Arealanvendelse!$E:$E,P$24)*[1]Jordbundstypefordeling!$F$4))</f>
        <v>486198.44754899049</v>
      </c>
      <c r="Q27" s="269" cm="1">
        <f t="array" ref="Q27">K27+(-SUMIFS(Arealanvendelse!$D:$D,Arealanvendelse!$F:$F,$I27,Arealanvendelse!$E:$E,Q$24)*IF(Q$24&lt;&gt;"JB1",[1]Jordbundstypefordeling!$F$4,[1]Arealanvendelse!$B9)+IF(Q$24="JB1",SUM(IFERROR(VLOOKUP(Arealanvendelse!$F:$F,[1]Arealanvendelse!$A$7:$B$11,2,FALSE)*Arealanvendelse!$D:$D*(Arealanvendelse!$G:$G=$I27)*(Arealanvendelse!$E:$E=Q$24),0)),SUMIFS(Arealanvendelse!$D:$D,Arealanvendelse!$G:$G,$I27,Arealanvendelse!$E:$E,Q$24)*[1]Jordbundstypefordeling!$F$4))</f>
        <v>0</v>
      </c>
      <c r="R27" s="269" cm="1">
        <f t="array" ref="R27">L27+(-SUMIFS(Arealanvendelse!$D:$D,Arealanvendelse!$F:$F,$I27,Arealanvendelse!$E:$E,R$24)*IF(R$24&lt;&gt;"JB1",[1]Jordbundstypefordeling!$F$4,[1]Arealanvendelse!$B9)+IF(R$24="JB1",SUM(IFERROR(VLOOKUP(Arealanvendelse!$F:$F,[1]Arealanvendelse!$A$7:$B$11,2,FALSE)*Arealanvendelse!$D:$D*(Arealanvendelse!$G:$G=$I27)*(Arealanvendelse!$E:$E=R$24),0)),SUMIFS(Arealanvendelse!$D:$D,Arealanvendelse!$G:$G,$I27,Arealanvendelse!$E:$E,R$24)*[1]Jordbundstypefordeling!$F$4))</f>
        <v>0</v>
      </c>
    </row>
    <row r="28" spans="1:18" hidden="1" x14ac:dyDescent="0.25">
      <c r="D28" s="15"/>
      <c r="E28" s="15"/>
      <c r="F28" s="15"/>
      <c r="G28" s="15"/>
      <c r="I28" s="260" t="str">
        <f>NaturAreal</f>
        <v>Natur</v>
      </c>
      <c r="J28" s="266">
        <f>SUMIF([1]Arealanvendelse!$B$15:$B$22,I28,[1]Arealanvendelse!$D$15:$D$22)-SUM(K28:L28)</f>
        <v>317835.5825103767</v>
      </c>
      <c r="K28" s="266">
        <f>([1]Jordbundstypefordeling!$E$16-[1]Jordbundstypefordeling!$D$16)*SUM([1]Jordbundstypefordeling!$D$3:$D$5)</f>
        <v>53389.374814814815</v>
      </c>
      <c r="L28" s="266">
        <f>([1]Jordbundstypefordeling!$E$15-[1]Jordbundstypefordeling!$D$15)*SUM([1]Jordbundstypefordeling!D3:D5)</f>
        <v>44074.145185185182</v>
      </c>
      <c r="M28" s="269" cm="1">
        <f t="array" ref="M28">J28+(-SUMIFS(Arealanvendelse!$C:$C,Arealanvendelse!$F:$F,$I28,Arealanvendelse!$E:$E,M$24)*IF(M$24&lt;&gt;"JB1",[1]Jordbundstypefordeling!$F$4,[1]Arealanvendelse!$B10)+IF(M$24="JB1",SUM(IFERROR(VLOOKUP(Arealanvendelse!$F:$F,[1]Arealanvendelse!$A$7:$B$11,2,FALSE)*Arealanvendelse!$C:$C*(Arealanvendelse!$G:$G=$I28)*(Arealanvendelse!$E:$E=M$24),0)),SUMIFS(Arealanvendelse!$C:$C,Arealanvendelse!$G:$G,$I28,Arealanvendelse!$E:$E,M$24)*[1]Jordbundstypefordeling!$F$4))</f>
        <v>317835.5825103767</v>
      </c>
      <c r="N28" s="269" cm="1">
        <f t="array" ref="N28">K28+(-SUMIFS(Arealanvendelse!$C:$C,Arealanvendelse!$F:$F,$I28,Arealanvendelse!$E:$E,N$24)*IF(N$24&lt;&gt;"JB1",[1]Jordbundstypefordeling!$F$4,[1]Arealanvendelse!$B10)+IF(N$24="JB1",SUM(IFERROR(VLOOKUP(Arealanvendelse!$F:$F,[1]Arealanvendelse!$A$7:$B$11,2,FALSE)*Arealanvendelse!$C:$C*(Arealanvendelse!$G:$G=$I28)*(Arealanvendelse!$E:$E=N$24),0)),SUMIFS(Arealanvendelse!$C:$C,Arealanvendelse!$G:$G,$I28,Arealanvendelse!$E:$E,N$24)*[1]Jordbundstypefordeling!$F$4))</f>
        <v>59900.485925925925</v>
      </c>
      <c r="O28" s="269" cm="1">
        <f t="array" ref="O28">L28+(-SUMIFS(Arealanvendelse!$C:$C,Arealanvendelse!$F:$F,$I28,Arealanvendelse!$E:$E,O$24)*IF(O$24&lt;&gt;"JB1",[1]Jordbundstypefordeling!$F$4,[1]Arealanvendelse!$B10)+IF(O$24="JB1",SUM(IFERROR(VLOOKUP(Arealanvendelse!$F:$F,[1]Arealanvendelse!$A$7:$B$11,2,FALSE)*Arealanvendelse!$C:$C*(Arealanvendelse!$G:$G=$I28)*(Arealanvendelse!$E:$E=O$24),0)),SUMIFS(Arealanvendelse!$C:$C,Arealanvendelse!$G:$G,$I28,Arealanvendelse!$E:$E,O$24)*[1]Jordbundstypefordeling!$F$4))</f>
        <v>50585.256296296291</v>
      </c>
      <c r="P28" s="269" cm="1">
        <f t="array" ref="P28">J28+(-SUMIFS(Arealanvendelse!$D:$D,Arealanvendelse!$F:$F,$I28,Arealanvendelse!$E:$E,P$24)*IF(P$24&lt;&gt;"JB1",[1]Jordbundstypefordeling!$F$4,[1]Arealanvendelse!$B10)+IF(P$24="JB1",SUM(IFERROR(VLOOKUP(Arealanvendelse!$F:$F,[1]Arealanvendelse!$A$7:$B$11,2,FALSE)*Arealanvendelse!$D:$D*(Arealanvendelse!$G:$G=$I28)*(Arealanvendelse!$E:$E=P$24),0)),SUMIFS(Arealanvendelse!$D:$D,Arealanvendelse!$G:$G,$I28,Arealanvendelse!$E:$E,P$24)*[1]Jordbundstypefordeling!$F$4))</f>
        <v>317835.5825103767</v>
      </c>
      <c r="Q28" s="269" cm="1">
        <f t="array" ref="Q28">K28+(-SUMIFS(Arealanvendelse!$D:$D,Arealanvendelse!$F:$F,$I28,Arealanvendelse!$E:$E,Q$24)*IF(Q$24&lt;&gt;"JB1",[1]Jordbundstypefordeling!$F$4,[1]Arealanvendelse!$B10)+IF(Q$24="JB1",SUM(IFERROR(VLOOKUP(Arealanvendelse!$F:$F,[1]Arealanvendelse!$A$7:$B$11,2,FALSE)*Arealanvendelse!$D:$D*(Arealanvendelse!$G:$G=$I28)*(Arealanvendelse!$E:$E=Q$24),0)),SUMIFS(Arealanvendelse!$D:$D,Arealanvendelse!$G:$G,$I28,Arealanvendelse!$E:$E,Q$24)*[1]Jordbundstypefordeling!$F$4))</f>
        <v>59900.485925925925</v>
      </c>
      <c r="R28" s="269" cm="1">
        <f t="array" ref="R28">L28+(-SUMIFS(Arealanvendelse!$D:$D,Arealanvendelse!$F:$F,$I28,Arealanvendelse!$E:$E,R$24)*IF(R$24&lt;&gt;"JB1",[1]Jordbundstypefordeling!$F$4,[1]Arealanvendelse!$B10)+IF(R$24="JB1",SUM(IFERROR(VLOOKUP(Arealanvendelse!$F:$F,[1]Arealanvendelse!$A$7:$B$11,2,FALSE)*Arealanvendelse!$D:$D*(Arealanvendelse!$G:$G=$I28)*(Arealanvendelse!$E:$E=R$24),0)),SUMIFS(Arealanvendelse!$D:$D,Arealanvendelse!$G:$G,$I28,Arealanvendelse!$E:$E,R$24)*[1]Jordbundstypefordeling!$F$4))</f>
        <v>50585.256296296291</v>
      </c>
    </row>
    <row r="29" spans="1:18" ht="15.75" hidden="1" thickBot="1" x14ac:dyDescent="0.3">
      <c r="D29" s="15"/>
      <c r="E29" s="15"/>
      <c r="F29" s="15"/>
      <c r="G29" s="15"/>
      <c r="I29" s="261" t="str">
        <f>IKareal</f>
        <v>Ikke klassificeret</v>
      </c>
      <c r="J29" s="267">
        <f>SUMIF([1]Arealanvendelse!$B$15:$B$22,I29,[1]Arealanvendelse!$D$15:$D$22)-SUM(K29:L29)</f>
        <v>47192.371697540235</v>
      </c>
      <c r="K29" s="267"/>
      <c r="L29" s="267"/>
      <c r="M29" s="270" cm="1">
        <f t="array" ref="M29">J29+(-SUMIFS(Arealanvendelse!$C:$C,Arealanvendelse!$F:$F,$I29,Arealanvendelse!$E:$E,M$24)*IF(M$24&lt;&gt;"JB1",[1]Jordbundstypefordeling!$F$4,[1]Arealanvendelse!$B11)+IF(M$24="JB1",SUM(IFERROR(VLOOKUP(Arealanvendelse!$F:$F,[1]Arealanvendelse!$A$7:$B$11,2,FALSE)*Arealanvendelse!$C:$C*(Arealanvendelse!$G:$G=$I29)*(Arealanvendelse!$E:$E=M$24),0)),SUMIFS(Arealanvendelse!$C:$C,Arealanvendelse!$G:$G,$I29,Arealanvendelse!$E:$E,M$24)*[1]Jordbundstypefordeling!$F$4))</f>
        <v>47192.371697540235</v>
      </c>
      <c r="N29" s="270" cm="1">
        <f t="array" ref="N29">K29+(-SUMIFS(Arealanvendelse!$C:$C,Arealanvendelse!$F:$F,$I29,Arealanvendelse!$E:$E,N$24)*IF(N$24&lt;&gt;"JB1",[1]Jordbundstypefordeling!$F$4,[1]Arealanvendelse!$B11)+IF(N$24="JB1",SUM(IFERROR(VLOOKUP(Arealanvendelse!$F:$F,[1]Arealanvendelse!$A$7:$B$11,2,FALSE)*Arealanvendelse!$C:$C*(Arealanvendelse!$G:$G=$I29)*(Arealanvendelse!$E:$E=N$24),0)),SUMIFS(Arealanvendelse!$C:$C,Arealanvendelse!$G:$G,$I29,Arealanvendelse!$E:$E,N$24)*[1]Jordbundstypefordeling!$F$4))</f>
        <v>0</v>
      </c>
      <c r="O29" s="270" cm="1">
        <f t="array" ref="O29">L29+(-SUMIFS(Arealanvendelse!$C:$C,Arealanvendelse!$F:$F,$I29,Arealanvendelse!$E:$E,O$24)*IF(O$24&lt;&gt;"JB1",[1]Jordbundstypefordeling!$F$4,[1]Arealanvendelse!$B11)+IF(O$24="JB1",SUM(IFERROR(VLOOKUP(Arealanvendelse!$F:$F,[1]Arealanvendelse!$A$7:$B$11,2,FALSE)*Arealanvendelse!$C:$C*(Arealanvendelse!$G:$G=$I29)*(Arealanvendelse!$E:$E=O$24),0)),SUMIFS(Arealanvendelse!$C:$C,Arealanvendelse!$G:$G,$I29,Arealanvendelse!$E:$E,O$24)*[1]Jordbundstypefordeling!$F$4))</f>
        <v>0</v>
      </c>
      <c r="P29" s="270" cm="1">
        <f t="array" ref="P29">J29+(-SUMIFS(Arealanvendelse!$D:$D,Arealanvendelse!$F:$F,$I29,Arealanvendelse!$E:$E,P$24)*IF(P$24&lt;&gt;"JB1",[1]Jordbundstypefordeling!$F$4,[1]Arealanvendelse!$B11)+IF(P$24="JB1",SUM(IFERROR(VLOOKUP(Arealanvendelse!$F:$F,[1]Arealanvendelse!$A$7:$B$11,2,FALSE)*Arealanvendelse!$D:$D*(Arealanvendelse!$G:$G=$I29)*(Arealanvendelse!$E:$E=P$24),0)),SUMIFS(Arealanvendelse!$D:$D,Arealanvendelse!$G:$G,$I29,Arealanvendelse!$E:$E,P$24)*[1]Jordbundstypefordeling!$F$4))</f>
        <v>47192.371697540235</v>
      </c>
      <c r="Q29" s="270" cm="1">
        <f t="array" ref="Q29">K29+(-SUMIFS(Arealanvendelse!$D:$D,Arealanvendelse!$F:$F,$I29,Arealanvendelse!$E:$E,Q$24)*IF(Q$24&lt;&gt;"JB1",[1]Jordbundstypefordeling!$F$4,[1]Arealanvendelse!$B11)+IF(Q$24="JB1",SUM(IFERROR(VLOOKUP(Arealanvendelse!$F:$F,[1]Arealanvendelse!$A$7:$B$11,2,FALSE)*Arealanvendelse!$D:$D*(Arealanvendelse!$G:$G=$I29)*(Arealanvendelse!$E:$E=Q$24),0)),SUMIFS(Arealanvendelse!$D:$D,Arealanvendelse!$G:$G,$I29,Arealanvendelse!$E:$E,Q$24)*[1]Jordbundstypefordeling!$F$4))</f>
        <v>0</v>
      </c>
      <c r="R29" s="270" cm="1">
        <f t="array" ref="R29">L29+(-SUMIFS(Arealanvendelse!$D:$D,Arealanvendelse!$F:$F,$I29,Arealanvendelse!$E:$E,R$24)*IF(R$24&lt;&gt;"JB1",[1]Jordbundstypefordeling!$F$4,[1]Arealanvendelse!$B11)+IF(R$24="JB1",SUM(IFERROR(VLOOKUP(Arealanvendelse!$F:$F,[1]Arealanvendelse!$A$7:$B$11,2,FALSE)*Arealanvendelse!$D:$D*(Arealanvendelse!$G:$G=$I29)*(Arealanvendelse!$E:$E=R$24),0)),SUMIFS(Arealanvendelse!$D:$D,Arealanvendelse!$G:$G,$I29,Arealanvendelse!$E:$E,R$24)*[1]Jordbundstypefordeling!$F$4))</f>
        <v>0</v>
      </c>
    </row>
    <row r="30" spans="1:18" hidden="1" x14ac:dyDescent="0.25">
      <c r="I30" s="262" t="s">
        <v>30</v>
      </c>
      <c r="J30" s="268">
        <f t="shared" ref="J30:R30" si="6">SUM(J25:J29)</f>
        <v>3067315.5831008903</v>
      </c>
      <c r="K30" s="268">
        <f t="shared" si="6"/>
        <v>140640</v>
      </c>
      <c r="L30" s="268">
        <f t="shared" si="6"/>
        <v>111991.11111111109</v>
      </c>
      <c r="M30" s="271">
        <f t="shared" si="6"/>
        <v>3067315.5831008903</v>
      </c>
      <c r="N30" s="271">
        <f t="shared" si="6"/>
        <v>140640</v>
      </c>
      <c r="O30" s="271">
        <f t="shared" si="6"/>
        <v>111991.11111111109</v>
      </c>
      <c r="P30" s="271">
        <f t="shared" si="6"/>
        <v>3067315.5831008903</v>
      </c>
      <c r="Q30" s="271">
        <f t="shared" si="6"/>
        <v>140640</v>
      </c>
      <c r="R30" s="271">
        <f t="shared" si="6"/>
        <v>111991.11111111109</v>
      </c>
    </row>
    <row r="31" spans="1:18" hidden="1" x14ac:dyDescent="0.25">
      <c r="I31" s="263"/>
      <c r="J31" s="264"/>
      <c r="K31" s="264"/>
      <c r="L31" s="264"/>
      <c r="M31" s="265"/>
      <c r="N31" s="264"/>
      <c r="O31" s="264"/>
      <c r="P31" s="264"/>
      <c r="Q31" s="264"/>
      <c r="R31" s="264"/>
    </row>
    <row r="32" spans="1:18" hidden="1" x14ac:dyDescent="0.25">
      <c r="I32" s="263"/>
      <c r="J32" s="257" t="s">
        <v>302</v>
      </c>
      <c r="K32" s="257"/>
      <c r="L32" s="257"/>
      <c r="M32" s="257"/>
      <c r="N32" s="257"/>
      <c r="O32" s="257"/>
      <c r="P32" s="257"/>
      <c r="Q32" s="257"/>
      <c r="R32" s="257"/>
    </row>
    <row r="33" spans="9:18" hidden="1" x14ac:dyDescent="0.25">
      <c r="I33" s="258" t="s">
        <v>175</v>
      </c>
      <c r="J33" s="259">
        <f>År1</f>
        <v>2019</v>
      </c>
      <c r="K33" s="259">
        <f>År1</f>
        <v>2019</v>
      </c>
      <c r="L33" s="259">
        <f>År1</f>
        <v>2019</v>
      </c>
      <c r="M33" s="259">
        <v>2030</v>
      </c>
      <c r="N33" s="259">
        <v>2030</v>
      </c>
      <c r="O33" s="259">
        <v>2030</v>
      </c>
      <c r="P33" s="259">
        <f>År3</f>
        <v>2050</v>
      </c>
      <c r="Q33" s="259">
        <f>År3</f>
        <v>2050</v>
      </c>
      <c r="R33" s="259">
        <f>År3</f>
        <v>2050</v>
      </c>
    </row>
    <row r="34" spans="9:18" hidden="1" x14ac:dyDescent="0.25">
      <c r="I34" s="258"/>
      <c r="J34" s="259" t="str">
        <f>Jordbund1</f>
        <v>JB1-10</v>
      </c>
      <c r="K34" s="259" t="str">
        <f>Organ6</f>
        <v>OC6</v>
      </c>
      <c r="L34" s="259" t="str">
        <f>Organ12</f>
        <v>OC12</v>
      </c>
      <c r="M34" s="259" t="str">
        <f>Jordbund1</f>
        <v>JB1-10</v>
      </c>
      <c r="N34" s="259" t="str">
        <f>Organ6</f>
        <v>OC6</v>
      </c>
      <c r="O34" s="259" t="str">
        <f>Organ12</f>
        <v>OC12</v>
      </c>
      <c r="P34" s="259" t="str">
        <f>Jordbund1</f>
        <v>JB1-10</v>
      </c>
      <c r="Q34" s="259" t="str">
        <f>Organ6</f>
        <v>OC6</v>
      </c>
      <c r="R34" s="259" t="str">
        <f>Organ12</f>
        <v>OC12</v>
      </c>
    </row>
    <row r="35" spans="9:18" hidden="1" x14ac:dyDescent="0.25">
      <c r="I35" s="260" t="str">
        <f>Bebyg</f>
        <v>Bebyggelse &amp; infrastruktur</v>
      </c>
      <c r="J35" s="266">
        <f>SUMIF([1]Arealanvendelse!$B$15:$B$22,I35,[1]Arealanvendelse!$E$15:$E$22)-SUM(K35:L35)</f>
        <v>178773.03184388991</v>
      </c>
      <c r="K35" s="266"/>
      <c r="L35" s="266"/>
      <c r="M35" s="269" cm="1">
        <f t="array" ref="M35">J35+(-SUMIFS(Arealanvendelse!$C:$C,Arealanvendelse!$F:$F,$I35,Arealanvendelse!$E:$E,M$34)*IF(M$34&lt;&gt;"JB1",[1]Jordbundstypefordeling!$G$4,[1]Arealanvendelse!$C7)+IF(M$34="JB1",SUM(IFERROR(VLOOKUP(Arealanvendelse!$F:$F,[1]Arealanvendelse!$A$7:$C$11,3,FALSE)*Arealanvendelse!$C:$C*(Arealanvendelse!$G:$G=$I35)*(Arealanvendelse!$E:$E=M$34),0)),SUMIFS(Arealanvendelse!$C:$C,Arealanvendelse!$G:$G,$I35,Arealanvendelse!$E:$E,M$34)*[1]Jordbundstypefordeling!$G$4))</f>
        <v>178773.03184388991</v>
      </c>
      <c r="N35" s="269" cm="1">
        <f t="array" ref="N35">K35+(-SUMIFS(Arealanvendelse!$C:$C,Arealanvendelse!$F:$F,$I35,Arealanvendelse!$E:$E,N$34)*IF(N$34&lt;&gt;"JB1",[1]Jordbundstypefordeling!$G$4,[1]Arealanvendelse!$C7)+IF(N$34="JB1",SUM(IFERROR(VLOOKUP(Arealanvendelse!$F:$F,[1]Arealanvendelse!$A$7:$C$11,3,FALSE)*Arealanvendelse!$C:$C*(Arealanvendelse!$G:$G=$I35)*(Arealanvendelse!$E:$E=N$34),0)),SUMIFS(Arealanvendelse!$C:$C,Arealanvendelse!$G:$G,$I35,Arealanvendelse!$E:$E,N$34)*[1]Jordbundstypefordeling!$G$4))</f>
        <v>0</v>
      </c>
      <c r="O35" s="269" cm="1">
        <f t="array" ref="O35">L35+(-SUMIFS(Arealanvendelse!$C:$C,Arealanvendelse!$F:$F,$I35,Arealanvendelse!$E:$E,O$34)*IF(O$34&lt;&gt;"JB1",[1]Jordbundstypefordeling!$G$4,[1]Arealanvendelse!$C7)+IF(O$34="JB1",SUM(IFERROR(VLOOKUP(Arealanvendelse!$F:$F,[1]Arealanvendelse!$A$7:$C$11,3,FALSE)*Arealanvendelse!$C:$C*(Arealanvendelse!$G:$G=$I35)*(Arealanvendelse!$E:$E=O$34),0)),SUMIFS(Arealanvendelse!$C:$C,Arealanvendelse!$G:$G,$I35,Arealanvendelse!$E:$E,O$34)*[1]Jordbundstypefordeling!$G$4))</f>
        <v>0</v>
      </c>
      <c r="P35" s="269" cm="1">
        <f t="array" ref="P35">J35+(-SUMIFS(Arealanvendelse!$D:$D,Arealanvendelse!$F:$F,$I35,Arealanvendelse!$E:$E,P$34)*IF(P$34&lt;&gt;"JB1",[1]Jordbundstypefordeling!$G$4,[1]Arealanvendelse!$C7)+IF(P$34="JB1",SUM(IFERROR(VLOOKUP(Arealanvendelse!$F:$F,[1]Arealanvendelse!$A$7:$C$11,3,FALSE)*Arealanvendelse!$D:$D*(Arealanvendelse!$G:$G=$I35)*(Arealanvendelse!$E:$E=P$34),0)),SUMIFS(Arealanvendelse!$D:$D,Arealanvendelse!$G:$G,$I35,Arealanvendelse!$E:$E,P$34)*[1]Jordbundstypefordeling!$G$4))</f>
        <v>178773.03184388991</v>
      </c>
      <c r="Q35" s="269" cm="1">
        <f t="array" ref="Q35">K35+(-SUMIFS(Arealanvendelse!$D:$D,Arealanvendelse!$F:$F,$I35,Arealanvendelse!$E:$E,Q$34)*IF(Q$34&lt;&gt;"JB1",[1]Jordbundstypefordeling!$G$4,[1]Arealanvendelse!$C7)+IF(Q$34="JB1",SUM(IFERROR(VLOOKUP(Arealanvendelse!$F:$F,[1]Arealanvendelse!$A$7:$C$11,3,FALSE)*Arealanvendelse!$D:$D*(Arealanvendelse!$G:$G=$I35)*(Arealanvendelse!$E:$E=Q$34),0)),SUMIFS(Arealanvendelse!$D:$D,Arealanvendelse!$G:$G,$I35,Arealanvendelse!$E:$E,Q$34)*[1]Jordbundstypefordeling!$G$4))</f>
        <v>0</v>
      </c>
      <c r="R35" s="269" cm="1">
        <f t="array" ref="R35">L35+(-SUMIFS(Arealanvendelse!$D:$D,Arealanvendelse!$F:$F,$I35,Arealanvendelse!$E:$E,R$34)*IF(R$34&lt;&gt;"JB1",[1]Jordbundstypefordeling!$G$4,[1]Arealanvendelse!$C7)+IF(R$34="JB1",SUM(IFERROR(VLOOKUP(Arealanvendelse!$F:$F,[1]Arealanvendelse!$A$7:$C$11,3,FALSE)*Arealanvendelse!$D:$D*(Arealanvendelse!$G:$G=$I35)*(Arealanvendelse!$E:$E=R$34),0)),SUMIFS(Arealanvendelse!$D:$D,Arealanvendelse!$G:$G,$I35,Arealanvendelse!$E:$E,R$34)*[1]Jordbundstypefordeling!$G$4))</f>
        <v>0</v>
      </c>
    </row>
    <row r="36" spans="9:18" hidden="1" x14ac:dyDescent="0.25">
      <c r="I36" s="260" t="str">
        <f>Afgrøder</f>
        <v>Landbrugsafgrøder</v>
      </c>
      <c r="J36" s="266">
        <f>SUMIF([1]Arealanvendelse!$B$15:$B$22,I36,[1]Arealanvendelse!$E$15:$E$22)-SUM(K36:L36)</f>
        <v>546059.8608862015</v>
      </c>
      <c r="K36" s="266">
        <f>[1]Jordbundstypefordeling!$D$16*[1]Jordbundstypefordeling!$G$4</f>
        <v>13251.374814814815</v>
      </c>
      <c r="L36" s="266">
        <f>[1]Jordbundstypefordeling!$D$15*[1]Jordbundstypefordeling!$G$4</f>
        <v>10315.034074074074</v>
      </c>
      <c r="M36" s="269" cm="1">
        <f t="array" ref="M36">J36+(-SUMIFS(Arealanvendelse!$C:$C,Arealanvendelse!$F:$F,$I36,Arealanvendelse!$E:$E,M$34)*IF(M$34&lt;&gt;"JB1",[1]Jordbundstypefordeling!$G$4,[1]Arealanvendelse!$C8)+IF(M$34="JB1",SUM(IFERROR(VLOOKUP(Arealanvendelse!$F:$F,[1]Arealanvendelse!$A$7:$C$11,3,FALSE)*Arealanvendelse!$C:$C*(Arealanvendelse!$G:$G=$I36)*(Arealanvendelse!$E:$E=M$34),0)),SUMIFS(Arealanvendelse!$C:$C,Arealanvendelse!$G:$G,$I36,Arealanvendelse!$E:$E,M$34)*[1]Jordbundstypefordeling!$G$4))</f>
        <v>543304.15718249779</v>
      </c>
      <c r="N36" s="269" cm="1">
        <f t="array" ref="N36">K36+(-SUMIFS(Arealanvendelse!$C:$C,Arealanvendelse!$F:$F,$I36,Arealanvendelse!$E:$E,N$34)*IF(N$34&lt;&gt;"JB1",[1]Jordbundstypefordeling!$G$4,[1]Arealanvendelse!$C8)+IF(N$34="JB1",SUM(IFERROR(VLOOKUP(Arealanvendelse!$F:$F,[1]Arealanvendelse!$A$7:$C$11,3,FALSE)*Arealanvendelse!$C:$C*(Arealanvendelse!$G:$G=$I36)*(Arealanvendelse!$E:$E=N$34),0)),SUMIFS(Arealanvendelse!$C:$C,Arealanvendelse!$G:$G,$I36,Arealanvendelse!$E:$E,N$34)*[1]Jordbundstypefordeling!$G$4))</f>
        <v>12262.485925925926</v>
      </c>
      <c r="O36" s="269" cm="1">
        <f t="array" ref="O36">L36+(-SUMIFS(Arealanvendelse!$C:$C,Arealanvendelse!$F:$F,$I36,Arealanvendelse!$E:$E,O$34)*IF(O$34&lt;&gt;"JB1",[1]Jordbundstypefordeling!$G$4,[1]Arealanvendelse!$C8)+IF(O$34="JB1",SUM(IFERROR(VLOOKUP(Arealanvendelse!$F:$F,[1]Arealanvendelse!$A$7:$C$11,3,FALSE)*Arealanvendelse!$C:$C*(Arealanvendelse!$G:$G=$I36)*(Arealanvendelse!$E:$E=O$34),0)),SUMIFS(Arealanvendelse!$C:$C,Arealanvendelse!$G:$G,$I36,Arealanvendelse!$E:$E,O$34)*[1]Jordbundstypefordeling!$G$4))</f>
        <v>9326.1451851851853</v>
      </c>
      <c r="P36" s="269" cm="1">
        <f t="array" ref="P36">J36+(-SUMIFS(Arealanvendelse!$D:$D,Arealanvendelse!$F:$F,$I36,Arealanvendelse!$E:$E,P$34)*IF(P$34&lt;&gt;"JB1",[1]Jordbundstypefordeling!$G$4,[1]Arealanvendelse!$C8)+IF(P$34="JB1",SUM(IFERROR(VLOOKUP(Arealanvendelse!$F:$F,[1]Arealanvendelse!$A$7:$C$11,3,FALSE)*Arealanvendelse!$D:$D*(Arealanvendelse!$G:$G=$I36)*(Arealanvendelse!$E:$E=P$34),0)),SUMIFS(Arealanvendelse!$D:$D,Arealanvendelse!$G:$G,$I36,Arealanvendelse!$E:$E,P$34)*[1]Jordbundstypefordeling!$G$4))</f>
        <v>538293.78681212745</v>
      </c>
      <c r="Q36" s="269" cm="1">
        <f t="array" ref="Q36">K36+(-SUMIFS(Arealanvendelse!$D:$D,Arealanvendelse!$F:$F,$I36,Arealanvendelse!$E:$E,Q$34)*IF(Q$34&lt;&gt;"JB1",[1]Jordbundstypefordeling!$G$4,[1]Arealanvendelse!$C8)+IF(Q$34="JB1",SUM(IFERROR(VLOOKUP(Arealanvendelse!$F:$F,[1]Arealanvendelse!$A$7:$C$11,3,FALSE)*Arealanvendelse!$D:$D*(Arealanvendelse!$G:$G=$I36)*(Arealanvendelse!$E:$E=Q$34),0)),SUMIFS(Arealanvendelse!$D:$D,Arealanvendelse!$G:$G,$I36,Arealanvendelse!$E:$E,Q$34)*[1]Jordbundstypefordeling!$G$4))</f>
        <v>12262.485925925926</v>
      </c>
      <c r="R36" s="269" cm="1">
        <f t="array" ref="R36">L36+(-SUMIFS(Arealanvendelse!$D:$D,Arealanvendelse!$F:$F,$I36,Arealanvendelse!$E:$E,R$34)*IF(R$34&lt;&gt;"JB1",[1]Jordbundstypefordeling!$G$4,[1]Arealanvendelse!$C8)+IF(R$34="JB1",SUM(IFERROR(VLOOKUP(Arealanvendelse!$F:$F,[1]Arealanvendelse!$A$7:$C$11,3,FALSE)*Arealanvendelse!$D:$D*(Arealanvendelse!$G:$G=$I36)*(Arealanvendelse!$E:$E=R$34),0)),SUMIFS(Arealanvendelse!$D:$D,Arealanvendelse!$G:$G,$I36,Arealanvendelse!$E:$E,R$34)*[1]Jordbundstypefordeling!$G$4))</f>
        <v>9326.1451851851853</v>
      </c>
    </row>
    <row r="37" spans="9:18" hidden="1" x14ac:dyDescent="0.25">
      <c r="I37" s="260" t="str">
        <f>SkovAreal</f>
        <v>Skov</v>
      </c>
      <c r="J37" s="266">
        <f>SUMIF([1]Arealanvendelse!$B$15:$B$22,I37,[1]Arealanvendelse!$E$15:$E$22)-SUM(K37:L37)</f>
        <v>127345.4783769354</v>
      </c>
      <c r="K37" s="266"/>
      <c r="L37" s="266"/>
      <c r="M37" s="269" cm="1">
        <f t="array" ref="M37">J37+(-SUMIFS(Arealanvendelse!$C:$C,Arealanvendelse!$F:$F,$I37,Arealanvendelse!$E:$E,M$34)*IF(M$34&lt;&gt;"JB1",[1]Jordbundstypefordeling!$G$4,[1]Arealanvendelse!$C9)+IF(M$34="JB1",SUM(IFERROR(VLOOKUP(Arealanvendelse!$F:$F,[1]Arealanvendelse!$A$7:$C$11,3,FALSE)*Arealanvendelse!$C:$C*(Arealanvendelse!$G:$G=$I37)*(Arealanvendelse!$E:$E=M$34),0)),SUMIFS(Arealanvendelse!$C:$C,Arealanvendelse!$G:$G,$I37,Arealanvendelse!$E:$E,M$34)*[1]Jordbundstypefordeling!$G$4))</f>
        <v>130101.1820806391</v>
      </c>
      <c r="N37" s="269" cm="1">
        <f t="array" ref="N37">K37+(-SUMIFS(Arealanvendelse!$C:$C,Arealanvendelse!$F:$F,$I37,Arealanvendelse!$E:$E,N$34)*IF(N$34&lt;&gt;"JB1",[1]Jordbundstypefordeling!$G$4,[1]Arealanvendelse!$C9)+IF(N$34="JB1",SUM(IFERROR(VLOOKUP(Arealanvendelse!$F:$F,[1]Arealanvendelse!$A$7:$C$11,3,FALSE)*Arealanvendelse!$C:$C*(Arealanvendelse!$G:$G=$I37)*(Arealanvendelse!$E:$E=N$34),0)),SUMIFS(Arealanvendelse!$C:$C,Arealanvendelse!$G:$G,$I37,Arealanvendelse!$E:$E,N$34)*[1]Jordbundstypefordeling!$G$4))</f>
        <v>0</v>
      </c>
      <c r="O37" s="269" cm="1">
        <f t="array" ref="O37">L37+(-SUMIFS(Arealanvendelse!$C:$C,Arealanvendelse!$F:$F,$I37,Arealanvendelse!$E:$E,O$34)*IF(O$34&lt;&gt;"JB1",[1]Jordbundstypefordeling!$G$4,[1]Arealanvendelse!$C9)+IF(O$34="JB1",SUM(IFERROR(VLOOKUP(Arealanvendelse!$F:$F,[1]Arealanvendelse!$A$7:$C$11,3,FALSE)*Arealanvendelse!$C:$C*(Arealanvendelse!$G:$G=$I37)*(Arealanvendelse!$E:$E=O$34),0)),SUMIFS(Arealanvendelse!$C:$C,Arealanvendelse!$G:$G,$I37,Arealanvendelse!$E:$E,O$34)*[1]Jordbundstypefordeling!$G$4))</f>
        <v>0</v>
      </c>
      <c r="P37" s="269" cm="1">
        <f t="array" ref="P37">J37+(-SUMIFS(Arealanvendelse!$D:$D,Arealanvendelse!$F:$F,$I37,Arealanvendelse!$E:$E,P$34)*IF(P$34&lt;&gt;"JB1",[1]Jordbundstypefordeling!$G$4,[1]Arealanvendelse!$C9)+IF(P$34="JB1",SUM(IFERROR(VLOOKUP(Arealanvendelse!$F:$F,[1]Arealanvendelse!$A$7:$C$11,3,FALSE)*Arealanvendelse!$D:$D*(Arealanvendelse!$G:$G=$I37)*(Arealanvendelse!$E:$E=P$34),0)),SUMIFS(Arealanvendelse!$D:$D,Arealanvendelse!$G:$G,$I37,Arealanvendelse!$E:$E,P$34)*[1]Jordbundstypefordeling!$G$4))</f>
        <v>135111.55245100948</v>
      </c>
      <c r="Q37" s="269" cm="1">
        <f t="array" ref="Q37">K37+(-SUMIFS(Arealanvendelse!$D:$D,Arealanvendelse!$F:$F,$I37,Arealanvendelse!$E:$E,Q$34)*IF(Q$34&lt;&gt;"JB1",[1]Jordbundstypefordeling!$G$4,[1]Arealanvendelse!$C9)+IF(Q$34="JB1",SUM(IFERROR(VLOOKUP(Arealanvendelse!$F:$F,[1]Arealanvendelse!$A$7:$C$11,3,FALSE)*Arealanvendelse!$D:$D*(Arealanvendelse!$G:$G=$I37)*(Arealanvendelse!$E:$E=Q$34),0)),SUMIFS(Arealanvendelse!$D:$D,Arealanvendelse!$G:$G,$I37,Arealanvendelse!$E:$E,Q$34)*[1]Jordbundstypefordeling!$G$4))</f>
        <v>0</v>
      </c>
      <c r="R37" s="269" cm="1">
        <f t="array" ref="R37">L37+(-SUMIFS(Arealanvendelse!$D:$D,Arealanvendelse!$F:$F,$I37,Arealanvendelse!$E:$E,R$34)*IF(R$34&lt;&gt;"JB1",[1]Jordbundstypefordeling!$G$4,[1]Arealanvendelse!$C9)+IF(R$34="JB1",SUM(IFERROR(VLOOKUP(Arealanvendelse!$F:$F,[1]Arealanvendelse!$A$7:$C$11,3,FALSE)*Arealanvendelse!$D:$D*(Arealanvendelse!$G:$G=$I37)*(Arealanvendelse!$E:$E=R$34),0)),SUMIFS(Arealanvendelse!$D:$D,Arealanvendelse!$G:$G,$I37,Arealanvendelse!$E:$E,R$34)*[1]Jordbundstypefordeling!$G$4))</f>
        <v>0</v>
      </c>
    </row>
    <row r="38" spans="9:18" hidden="1" x14ac:dyDescent="0.25">
      <c r="I38" s="260" t="str">
        <f>NaturAreal</f>
        <v>Natur</v>
      </c>
      <c r="J38" s="266">
        <f>SUMIF([1]Arealanvendelse!$B$15:$B$22,I38,[1]Arealanvendelse!$E$15:$E$22)-SUM(K38:L38)</f>
        <v>75488.417489623345</v>
      </c>
      <c r="K38" s="266">
        <f>([1]Jordbundstypefordeling!$E$16-[1]Jordbundstypefordeling!$D$16)*[1]Jordbundstypefordeling!$G$4</f>
        <v>8108.6251851851857</v>
      </c>
      <c r="L38" s="266">
        <f>([1]Jordbundstypefordeling!$E$15-[1]Jordbundstypefordeling!$D$15)*[1]Jordbundstypefordeling!$G$4</f>
        <v>6693.8548148148147</v>
      </c>
      <c r="M38" s="269" cm="1">
        <f t="array" ref="M38">J38+(-SUMIFS(Arealanvendelse!$C:$C,Arealanvendelse!$F:$F,$I38,Arealanvendelse!$E:$E,M$34)*IF(M$34&lt;&gt;"JB1",[1]Jordbundstypefordeling!$G$4,[1]Arealanvendelse!$C10)+IF(M$34="JB1",SUM(IFERROR(VLOOKUP(Arealanvendelse!$F:$F,[1]Arealanvendelse!$A$7:$C$11,3,FALSE)*Arealanvendelse!$C:$C*(Arealanvendelse!$G:$G=$I38)*(Arealanvendelse!$E:$E=M$34),0)),SUMIFS(Arealanvendelse!$C:$C,Arealanvendelse!$G:$G,$I38,Arealanvendelse!$E:$E,M$34)*[1]Jordbundstypefordeling!$G$4))</f>
        <v>75488.417489623345</v>
      </c>
      <c r="N38" s="269" cm="1">
        <f t="array" ref="N38">K38+(-SUMIFS(Arealanvendelse!$C:$C,Arealanvendelse!$F:$F,$I38,Arealanvendelse!$E:$E,N$34)*IF(N$34&lt;&gt;"JB1",[1]Jordbundstypefordeling!$G$4,[1]Arealanvendelse!$C10)+IF(N$34="JB1",SUM(IFERROR(VLOOKUP(Arealanvendelse!$F:$F,[1]Arealanvendelse!$A$7:$C$11,3,FALSE)*Arealanvendelse!$C:$C*(Arealanvendelse!$G:$G=$I38)*(Arealanvendelse!$E:$E=N$34),0)),SUMIFS(Arealanvendelse!$C:$C,Arealanvendelse!$G:$G,$I38,Arealanvendelse!$E:$E,N$34)*[1]Jordbundstypefordeling!$G$4))</f>
        <v>9097.5140740740753</v>
      </c>
      <c r="O38" s="269" cm="1">
        <f t="array" ref="O38">L38+(-SUMIFS(Arealanvendelse!$C:$C,Arealanvendelse!$F:$F,$I38,Arealanvendelse!$E:$E,O$34)*IF(O$34&lt;&gt;"JB1",[1]Jordbundstypefordeling!$G$4,[1]Arealanvendelse!$C10)+IF(O$34="JB1",SUM(IFERROR(VLOOKUP(Arealanvendelse!$F:$F,[1]Arealanvendelse!$A$7:$C$11,3,FALSE)*Arealanvendelse!$C:$C*(Arealanvendelse!$G:$G=$I38)*(Arealanvendelse!$E:$E=O$34),0)),SUMIFS(Arealanvendelse!$C:$C,Arealanvendelse!$G:$G,$I38,Arealanvendelse!$E:$E,O$34)*[1]Jordbundstypefordeling!$G$4))</f>
        <v>7682.7437037037034</v>
      </c>
      <c r="P38" s="269" cm="1">
        <f t="array" ref="P38">J38+(-SUMIFS(Arealanvendelse!$D:$D,Arealanvendelse!$F:$F,$I38,Arealanvendelse!$E:$E,P$34)*IF(P$34&lt;&gt;"JB1",[1]Jordbundstypefordeling!$G$4,[1]Arealanvendelse!$C10)+IF(P$34="JB1",SUM(IFERROR(VLOOKUP(Arealanvendelse!$F:$F,[1]Arealanvendelse!$A$7:$C$11,3,FALSE)*Arealanvendelse!$D:$D*(Arealanvendelse!$G:$G=$I38)*(Arealanvendelse!$E:$E=P$34),0)),SUMIFS(Arealanvendelse!$D:$D,Arealanvendelse!$G:$G,$I38,Arealanvendelse!$E:$E,P$34)*[1]Jordbundstypefordeling!$G$4))</f>
        <v>75488.417489623345</v>
      </c>
      <c r="Q38" s="269" cm="1">
        <f t="array" ref="Q38">K38+(-SUMIFS(Arealanvendelse!$D:$D,Arealanvendelse!$F:$F,$I38,Arealanvendelse!$E:$E,Q$34)*IF(Q$34&lt;&gt;"JB1",[1]Jordbundstypefordeling!$G$4,[1]Arealanvendelse!$C10)+IF(Q$34="JB1",SUM(IFERROR(VLOOKUP(Arealanvendelse!$F:$F,[1]Arealanvendelse!$A$7:$C$11,3,FALSE)*Arealanvendelse!$D:$D*(Arealanvendelse!$G:$G=$I38)*(Arealanvendelse!$E:$E=Q$34),0)),SUMIFS(Arealanvendelse!$D:$D,Arealanvendelse!$G:$G,$I38,Arealanvendelse!$E:$E,Q$34)*[1]Jordbundstypefordeling!$G$4))</f>
        <v>9097.5140740740753</v>
      </c>
      <c r="R38" s="269" cm="1">
        <f t="array" ref="R38">L38+(-SUMIFS(Arealanvendelse!$D:$D,Arealanvendelse!$F:$F,$I38,Arealanvendelse!$E:$E,R$34)*IF(R$34&lt;&gt;"JB1",[1]Jordbundstypefordeling!$G$4,[1]Arealanvendelse!$C10)+IF(R$34="JB1",SUM(IFERROR(VLOOKUP(Arealanvendelse!$F:$F,[1]Arealanvendelse!$A$7:$C$11,3,FALSE)*Arealanvendelse!$D:$D*(Arealanvendelse!$G:$G=$I38)*(Arealanvendelse!$E:$E=R$34),0)),SUMIFS(Arealanvendelse!$D:$D,Arealanvendelse!$G:$G,$I38,Arealanvendelse!$E:$E,R$34)*[1]Jordbundstypefordeling!$G$4))</f>
        <v>7682.7437037037034</v>
      </c>
    </row>
    <row r="39" spans="9:18" ht="15.75" hidden="1" thickBot="1" x14ac:dyDescent="0.3">
      <c r="I39" s="261" t="str">
        <f>IKareal</f>
        <v>Ikke klassificeret</v>
      </c>
      <c r="J39" s="267">
        <f>SUMIF([1]Arealanvendelse!$B$15:$B$22,I39,[1]Arealanvendelse!$E$15:$E$22)-SUM(K39:L39)</f>
        <v>19447.628302459765</v>
      </c>
      <c r="K39" s="267"/>
      <c r="L39" s="267"/>
      <c r="M39" s="270" cm="1">
        <f t="array" ref="M39">J39+(-SUMIFS(Arealanvendelse!$C:$C,Arealanvendelse!$F:$F,$I39,Arealanvendelse!$E:$E,M$34)*IF(M$34&lt;&gt;"JB1",[1]Jordbundstypefordeling!$G$4,[1]Arealanvendelse!$C11)+IF(M$34="JB1",SUM(IFERROR(VLOOKUP(Arealanvendelse!$F:$F,[1]Arealanvendelse!$A$7:$C$11,3,FALSE)*Arealanvendelse!$C:$C*(Arealanvendelse!$G:$G=$I39)*(Arealanvendelse!$E:$E=M$34),0)),SUMIFS(Arealanvendelse!$C:$C,Arealanvendelse!$G:$G,$I39,Arealanvendelse!$E:$E,M$34)*[1]Jordbundstypefordeling!$G$4))</f>
        <v>19447.628302459765</v>
      </c>
      <c r="N39" s="270" cm="1">
        <f t="array" ref="N39">K39+(-SUMIFS(Arealanvendelse!$C:$C,Arealanvendelse!$F:$F,$I39,Arealanvendelse!$E:$E,N$34)*IF(N$34&lt;&gt;"JB1",[1]Jordbundstypefordeling!$G$4,[1]Arealanvendelse!$C11)+IF(N$34="JB1",SUM(IFERROR(VLOOKUP(Arealanvendelse!$F:$F,[1]Arealanvendelse!$A$7:$C$11,3,FALSE)*Arealanvendelse!$C:$C*(Arealanvendelse!$G:$G=$I39)*(Arealanvendelse!$E:$E=N$34),0)),SUMIFS(Arealanvendelse!$C:$C,Arealanvendelse!$G:$G,$I39,Arealanvendelse!$E:$E,N$34)*[1]Jordbundstypefordeling!$G$4))</f>
        <v>0</v>
      </c>
      <c r="O39" s="270" cm="1">
        <f t="array" ref="O39">L39+(-SUMIFS(Arealanvendelse!$C:$C,Arealanvendelse!$F:$F,$I39,Arealanvendelse!$E:$E,O$34)*IF(O$34&lt;&gt;"JB1",[1]Jordbundstypefordeling!$G$4,[1]Arealanvendelse!$C11)+IF(O$34="JB1",SUM(IFERROR(VLOOKUP(Arealanvendelse!$F:$F,[1]Arealanvendelse!$A$7:$C$11,3,FALSE)*Arealanvendelse!$C:$C*(Arealanvendelse!$G:$G=$I39)*(Arealanvendelse!$E:$E=O$34),0)),SUMIFS(Arealanvendelse!$C:$C,Arealanvendelse!$G:$G,$I39,Arealanvendelse!$E:$E,O$34)*[1]Jordbundstypefordeling!$G$4))</f>
        <v>0</v>
      </c>
      <c r="P39" s="270" cm="1">
        <f t="array" ref="P39">J39+(-SUMIFS(Arealanvendelse!$D:$D,Arealanvendelse!$F:$F,$I39,Arealanvendelse!$E:$E,P$34)*IF(P$34&lt;&gt;"JB1",[1]Jordbundstypefordeling!$G$4,[1]Arealanvendelse!$C11)+IF(P$34="JB1",SUM(IFERROR(VLOOKUP(Arealanvendelse!$F:$F,[1]Arealanvendelse!$A$7:$C$11,3,FALSE)*Arealanvendelse!$D:$D*(Arealanvendelse!$G:$G=$I39)*(Arealanvendelse!$E:$E=P$34),0)),SUMIFS(Arealanvendelse!$D:$D,Arealanvendelse!$G:$G,$I39,Arealanvendelse!$E:$E,P$34)*[1]Jordbundstypefordeling!$G$4))</f>
        <v>19447.628302459765</v>
      </c>
      <c r="Q39" s="270" cm="1">
        <f t="array" ref="Q39">K39+(-SUMIFS(Arealanvendelse!$D:$D,Arealanvendelse!$F:$F,$I39,Arealanvendelse!$E:$E,Q$34)*IF(Q$34&lt;&gt;"JB1",[1]Jordbundstypefordeling!$G$4,[1]Arealanvendelse!$C11)+IF(Q$34="JB1",SUM(IFERROR(VLOOKUP(Arealanvendelse!$F:$F,[1]Arealanvendelse!$A$7:$C$11,3,FALSE)*Arealanvendelse!$D:$D*(Arealanvendelse!$G:$G=$I39)*(Arealanvendelse!$E:$E=Q$34),0)),SUMIFS(Arealanvendelse!$D:$D,Arealanvendelse!$G:$G,$I39,Arealanvendelse!$E:$E,Q$34)*[1]Jordbundstypefordeling!$G$4))</f>
        <v>0</v>
      </c>
      <c r="R39" s="270" cm="1">
        <f t="array" ref="R39">L39+(-SUMIFS(Arealanvendelse!$D:$D,Arealanvendelse!$F:$F,$I39,Arealanvendelse!$E:$E,R$34)*IF(R$34&lt;&gt;"JB1",[1]Jordbundstypefordeling!$G$4,[1]Arealanvendelse!$C11)+IF(R$34="JB1",SUM(IFERROR(VLOOKUP(Arealanvendelse!$F:$F,[1]Arealanvendelse!$A$7:$C$11,3,FALSE)*Arealanvendelse!$D:$D*(Arealanvendelse!$G:$G=$I39)*(Arealanvendelse!$E:$E=R$34),0)),SUMIFS(Arealanvendelse!$D:$D,Arealanvendelse!$G:$G,$I39,Arealanvendelse!$E:$E,R$34)*[1]Jordbundstypefordeling!$G$4))</f>
        <v>0</v>
      </c>
    </row>
    <row r="40" spans="9:18" hidden="1" x14ac:dyDescent="0.25">
      <c r="I40" s="262" t="s">
        <v>30</v>
      </c>
      <c r="J40" s="268">
        <f t="shared" ref="J40:R40" si="7">SUM(J35:J39)</f>
        <v>947114.41689910984</v>
      </c>
      <c r="K40" s="268">
        <f t="shared" si="7"/>
        <v>21360</v>
      </c>
      <c r="L40" s="268">
        <f t="shared" si="7"/>
        <v>17008.888888888891</v>
      </c>
      <c r="M40" s="271">
        <f t="shared" si="7"/>
        <v>947114.41689910972</v>
      </c>
      <c r="N40" s="271">
        <f t="shared" si="7"/>
        <v>21360</v>
      </c>
      <c r="O40" s="271">
        <f t="shared" si="7"/>
        <v>17008.888888888891</v>
      </c>
      <c r="P40" s="271">
        <f t="shared" si="7"/>
        <v>947114.41689910984</v>
      </c>
      <c r="Q40" s="271">
        <f t="shared" si="7"/>
        <v>21360</v>
      </c>
      <c r="R40" s="271">
        <f t="shared" si="7"/>
        <v>17008.888888888891</v>
      </c>
    </row>
    <row r="41" spans="9:18" hidden="1" x14ac:dyDescent="0.25"/>
  </sheetData>
  <conditionalFormatting sqref="J5:R9">
    <cfRule type="cellIs" dxfId="20" priority="1" operator="lessThan">
      <formula>0</formula>
    </cfRule>
  </conditionalFormatting>
  <hyperlinks>
    <hyperlink ref="A1" location="Resume!A1" display="Omfordeling af jord sammenlignet med basisår [ha]" xr:uid="{28909C87-42F5-4886-9206-7E583CF1661B}"/>
  </hyperlinks>
  <pageMargins left="0.7" right="0.7" top="0.75" bottom="0.75" header="0.3" footer="0.3"/>
  <pageSetup orientation="portrait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3D81C4BE-BAA6-474E-9AD7-E16975C20685}">
          <x14:formula1>
            <xm:f>Overblik!$D$6:$D$8</xm:f>
          </x14:formula1>
          <xm:sqref>E3:E17</xm:sqref>
        </x14:dataValidation>
        <x14:dataValidation type="list" allowBlank="1" showInputMessage="1" showErrorMessage="1" xr:uid="{799F2477-BBEB-4F90-8D95-0A281F329813}">
          <x14:formula1>
            <xm:f>Overblik!$D$11:$D$15</xm:f>
          </x14:formula1>
          <xm:sqref>F3:G17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400FAC-1152-4DAD-9E78-3D80FD715826}">
  <sheetPr codeName="Sheet10">
    <tabColor theme="9" tint="0.39997558519241921"/>
  </sheetPr>
  <dimension ref="A1:K51"/>
  <sheetViews>
    <sheetView zoomScale="85" zoomScaleNormal="85" workbookViewId="0">
      <selection activeCell="D11" sqref="D11:E13"/>
    </sheetView>
  </sheetViews>
  <sheetFormatPr defaultColWidth="8.85546875" defaultRowHeight="15" x14ac:dyDescent="0.25"/>
  <cols>
    <col min="1" max="1" width="8.85546875" style="1"/>
    <col min="2" max="2" width="45.5703125" style="1" customWidth="1"/>
    <col min="3" max="8" width="13.85546875" style="1" customWidth="1"/>
    <col min="9" max="9" width="17.42578125" style="12" customWidth="1"/>
    <col min="10" max="10" width="16.42578125" style="1" customWidth="1"/>
    <col min="11" max="11" width="10.5703125" style="1" bestFit="1" customWidth="1"/>
    <col min="12" max="13" width="10.7109375" style="1" customWidth="1"/>
    <col min="14" max="17" width="10.42578125" style="1" bestFit="1" customWidth="1"/>
    <col min="18" max="16384" width="8.85546875" style="1"/>
  </cols>
  <sheetData>
    <row r="1" spans="1:9" x14ac:dyDescent="0.25">
      <c r="A1" s="227" t="s">
        <v>274</v>
      </c>
    </row>
    <row r="2" spans="1:9" ht="15.75" x14ac:dyDescent="0.25">
      <c r="A2" s="224" t="s">
        <v>66</v>
      </c>
      <c r="F2" s="12"/>
      <c r="G2" s="12"/>
    </row>
    <row r="3" spans="1:9" x14ac:dyDescent="0.25">
      <c r="B3" s="82"/>
      <c r="C3" s="83"/>
      <c r="D3" s="83"/>
      <c r="E3" s="83"/>
      <c r="F3" s="12"/>
      <c r="G3" s="74"/>
      <c r="I3" s="1"/>
    </row>
    <row r="4" spans="1:9" x14ac:dyDescent="0.25">
      <c r="B4" s="88" t="s">
        <v>37</v>
      </c>
      <c r="C4" s="84">
        <f>År1</f>
        <v>2019</v>
      </c>
      <c r="D4" s="84">
        <f>År2</f>
        <v>2030</v>
      </c>
      <c r="E4" s="84">
        <f>År3</f>
        <v>2050</v>
      </c>
      <c r="F4" s="12"/>
      <c r="G4" s="12"/>
      <c r="I4" s="1"/>
    </row>
    <row r="5" spans="1:9" x14ac:dyDescent="0.25">
      <c r="B5" s="2" t="s">
        <v>5</v>
      </c>
      <c r="C5" s="7">
        <f>297696/2625965</f>
        <v>0.11336632437979943</v>
      </c>
      <c r="D5" s="8">
        <v>0.13500000000000001</v>
      </c>
      <c r="E5" s="8">
        <v>0.17499999999999999</v>
      </c>
      <c r="F5" s="12"/>
      <c r="G5" s="12"/>
      <c r="I5" s="1"/>
    </row>
    <row r="6" spans="1:9" x14ac:dyDescent="0.25">
      <c r="B6" s="2" t="s">
        <v>22</v>
      </c>
      <c r="C6" s="7">
        <f>SUM('Landbrugsareal - resultat'!F24,'Landbrugsareal - resultat'!F51)/SUM('Landbrugsareal - resultat'!C24,'Landbrugsareal - resultat'!F24,'Landbrugsareal - resultat'!C51,'Landbrugsareal - resultat'!F51)</f>
        <v>3.9915791472992256E-2</v>
      </c>
      <c r="D6" s="8">
        <f t="shared" ref="D6:E8" si="0">C6+D$5-C$5</f>
        <v>6.1549467093192839E-2</v>
      </c>
      <c r="E6" s="8">
        <f t="shared" si="0"/>
        <v>0.10154946709319282</v>
      </c>
      <c r="F6" s="12"/>
      <c r="G6" s="12"/>
      <c r="I6" s="1"/>
    </row>
    <row r="7" spans="1:9" x14ac:dyDescent="0.25">
      <c r="B7" s="2" t="s">
        <v>3</v>
      </c>
      <c r="C7" s="7">
        <f>SUM('Landbrugsareal - resultat'!F25,'Landbrugsareal - resultat'!F52)/SUM('Landbrugsareal - resultat'!C25,'Landbrugsareal - resultat'!F25,'Landbrugsareal - resultat'!C52,'Landbrugsareal - resultat'!F52)</f>
        <v>0.15042455841097682</v>
      </c>
      <c r="D7" s="8">
        <f t="shared" si="0"/>
        <v>0.17205823403117737</v>
      </c>
      <c r="E7" s="8">
        <f t="shared" si="0"/>
        <v>0.21205823403117735</v>
      </c>
      <c r="F7" s="12"/>
      <c r="G7" s="12"/>
      <c r="I7" s="114"/>
    </row>
    <row r="8" spans="1:9" x14ac:dyDescent="0.25">
      <c r="B8" s="2" t="s">
        <v>4</v>
      </c>
      <c r="C8" s="7">
        <f>SUM('Landbrugsareal - resultat'!F26,'Landbrugsareal - resultat'!F53)/SUM('Landbrugsareal - resultat'!C26,'Landbrugsareal - resultat'!F26,'Landbrugsareal - resultat'!C53,'Landbrugsareal - resultat'!F53)</f>
        <v>0.14212072473400883</v>
      </c>
      <c r="D8" s="8">
        <f t="shared" si="0"/>
        <v>0.16375440035420941</v>
      </c>
      <c r="E8" s="8">
        <f t="shared" si="0"/>
        <v>0.20375440035420939</v>
      </c>
      <c r="F8" s="12"/>
      <c r="G8" s="12"/>
      <c r="I8" s="1"/>
    </row>
    <row r="9" spans="1:9" x14ac:dyDescent="0.25">
      <c r="B9" s="81"/>
      <c r="C9" s="13"/>
      <c r="D9" s="13"/>
      <c r="E9" s="80"/>
      <c r="F9" s="12"/>
      <c r="G9" s="12"/>
      <c r="I9" s="1"/>
    </row>
    <row r="10" spans="1:9" x14ac:dyDescent="0.25">
      <c r="B10" s="88" t="s">
        <v>31</v>
      </c>
      <c r="C10" s="84">
        <f>År1</f>
        <v>2019</v>
      </c>
      <c r="D10" s="84">
        <f>År2</f>
        <v>2030</v>
      </c>
      <c r="E10" s="84">
        <f>År3</f>
        <v>2050</v>
      </c>
      <c r="F10" s="12"/>
      <c r="G10" s="12"/>
      <c r="I10" s="1"/>
    </row>
    <row r="11" spans="1:9" x14ac:dyDescent="0.25">
      <c r="B11" s="2" t="s">
        <v>22</v>
      </c>
      <c r="C11" s="7">
        <v>1</v>
      </c>
      <c r="D11" s="3">
        <v>1.2</v>
      </c>
      <c r="E11" s="3">
        <v>1.2</v>
      </c>
      <c r="G11" s="12"/>
      <c r="I11" s="1"/>
    </row>
    <row r="12" spans="1:9" x14ac:dyDescent="0.25">
      <c r="B12" s="2" t="s">
        <v>3</v>
      </c>
      <c r="C12" s="7">
        <v>1</v>
      </c>
      <c r="D12" s="3">
        <v>1.2</v>
      </c>
      <c r="E12" s="3">
        <v>1.2</v>
      </c>
      <c r="G12" s="12"/>
      <c r="I12" s="1"/>
    </row>
    <row r="13" spans="1:9" x14ac:dyDescent="0.25">
      <c r="B13" s="2" t="s">
        <v>4</v>
      </c>
      <c r="C13" s="7">
        <v>1</v>
      </c>
      <c r="D13" s="3">
        <v>1.2</v>
      </c>
      <c r="E13" s="3">
        <v>1.2</v>
      </c>
      <c r="G13" s="12"/>
      <c r="H13" s="14"/>
      <c r="I13" s="1"/>
    </row>
    <row r="14" spans="1:9" x14ac:dyDescent="0.25">
      <c r="B14" s="12"/>
      <c r="C14" s="310"/>
      <c r="D14" s="13"/>
      <c r="E14" s="13"/>
      <c r="F14" s="12"/>
      <c r="G14" s="12"/>
      <c r="H14" s="14"/>
      <c r="I14" s="14"/>
    </row>
    <row r="15" spans="1:9" x14ac:dyDescent="0.25">
      <c r="B15" s="88" t="s">
        <v>134</v>
      </c>
      <c r="C15" s="84">
        <f>År1</f>
        <v>2019</v>
      </c>
      <c r="D15" s="84">
        <f>År2</f>
        <v>2030</v>
      </c>
      <c r="E15" s="84">
        <f>År3</f>
        <v>2050</v>
      </c>
      <c r="F15" s="6"/>
      <c r="G15" s="12"/>
    </row>
    <row r="16" spans="1:9" x14ac:dyDescent="0.25">
      <c r="B16" s="2" t="s">
        <v>90</v>
      </c>
      <c r="C16" s="87">
        <v>1</v>
      </c>
      <c r="D16" s="3">
        <v>1</v>
      </c>
      <c r="E16" s="3">
        <v>1</v>
      </c>
      <c r="F16" s="12"/>
    </row>
    <row r="17" spans="2:11" x14ac:dyDescent="0.25">
      <c r="B17" s="2" t="s">
        <v>84</v>
      </c>
      <c r="C17" s="87">
        <v>0.59345000000000003</v>
      </c>
      <c r="D17" s="3">
        <v>0.59</v>
      </c>
      <c r="E17" s="3">
        <v>0.59</v>
      </c>
      <c r="F17" s="12"/>
    </row>
    <row r="18" spans="2:11" x14ac:dyDescent="0.25">
      <c r="B18" s="2" t="s">
        <v>141</v>
      </c>
      <c r="C18" s="87">
        <v>1</v>
      </c>
      <c r="D18" s="3">
        <v>1.0720000000000001</v>
      </c>
      <c r="E18" s="3">
        <v>1.1499999999999999</v>
      </c>
      <c r="F18" s="12"/>
      <c r="G18" s="179"/>
    </row>
    <row r="20" spans="2:11" x14ac:dyDescent="0.25">
      <c r="B20" s="424" t="s">
        <v>326</v>
      </c>
      <c r="C20" s="25"/>
      <c r="D20" s="25"/>
      <c r="E20" s="25"/>
      <c r="F20" s="12"/>
      <c r="I20" s="1"/>
    </row>
    <row r="21" spans="2:11" ht="29.45" customHeight="1" x14ac:dyDescent="0.25">
      <c r="B21" s="424"/>
      <c r="C21" s="84">
        <f>År1</f>
        <v>2019</v>
      </c>
      <c r="D21" s="84">
        <f>År2</f>
        <v>2030</v>
      </c>
      <c r="E21" s="84">
        <f>År3</f>
        <v>2050</v>
      </c>
      <c r="F21" s="12"/>
      <c r="I21" s="1"/>
    </row>
    <row r="22" spans="2:11" x14ac:dyDescent="0.25">
      <c r="B22" s="2" t="str">
        <f>Organ6</f>
        <v>OC6</v>
      </c>
      <c r="C22" s="7">
        <f>'[1]Afgrødefordeling - jordtype'!$H$17</f>
        <v>0.24584476889448309</v>
      </c>
      <c r="D22" s="8">
        <f>C22</f>
        <v>0.24584476889448309</v>
      </c>
      <c r="E22" s="8">
        <f>D22</f>
        <v>0.24584476889448309</v>
      </c>
      <c r="F22" s="12"/>
      <c r="I22" s="1"/>
    </row>
    <row r="23" spans="2:11" x14ac:dyDescent="0.25">
      <c r="B23" s="2" t="str">
        <f>Organ12</f>
        <v>OC12</v>
      </c>
      <c r="C23" s="7">
        <f>'[1]Afgrødefordeling - jordtype'!$I$17</f>
        <v>0.33924520978284484</v>
      </c>
      <c r="D23" s="8">
        <f>C23</f>
        <v>0.33924520978284484</v>
      </c>
      <c r="E23" s="8">
        <f>D23</f>
        <v>0.33924520978284484</v>
      </c>
      <c r="F23" s="12"/>
      <c r="I23" s="1"/>
    </row>
    <row r="24" spans="2:11" x14ac:dyDescent="0.25">
      <c r="B24" s="327" t="str">
        <f>CONCATENATE("Omlægning til permanent græs, ", Organ6,", hektar")</f>
        <v>Omlægning til permanent græs, OC6, hektar</v>
      </c>
      <c r="C24" s="328"/>
      <c r="D24" s="10">
        <f>D22*Arealanvendelse!N6-C22*Arealanvendelse!N6</f>
        <v>0</v>
      </c>
      <c r="E24" s="10">
        <f>E22*Arealanvendelse!Q6-C22*Arealanvendelse!Q6</f>
        <v>0</v>
      </c>
      <c r="F24" s="12"/>
      <c r="I24" s="1"/>
    </row>
    <row r="25" spans="2:11" x14ac:dyDescent="0.25">
      <c r="B25" s="327" t="str">
        <f>CONCATENATE("Omlægning til permanent græs, ", Organ12, ", hektar")</f>
        <v>Omlægning til permanent græs, OC12, hektar</v>
      </c>
      <c r="C25" s="328"/>
      <c r="D25" s="10">
        <f>D23*Arealanvendelse!O6-C23*Arealanvendelse!O6</f>
        <v>0</v>
      </c>
      <c r="E25" s="10">
        <f>E23*Arealanvendelse!R6-C23*Arealanvendelse!R6</f>
        <v>0</v>
      </c>
      <c r="F25" s="12"/>
      <c r="G25" s="118"/>
      <c r="I25" s="1"/>
    </row>
    <row r="26" spans="2:11" x14ac:dyDescent="0.25">
      <c r="B26" s="327" t="str">
        <f>CONCATENATE("Antal hektar som 1% svarer til, ", Organ6)</f>
        <v>Antal hektar som 1% svarer til, OC6</v>
      </c>
      <c r="C26" s="328"/>
      <c r="D26" s="10">
        <f>1%*Arealanvendelse!N6</f>
        <v>930.02</v>
      </c>
      <c r="E26" s="10">
        <f>1%*Arealanvendelse!Q6</f>
        <v>930.02</v>
      </c>
      <c r="F26" s="12"/>
      <c r="I26" s="1"/>
    </row>
    <row r="27" spans="2:11" ht="15.75" thickBot="1" x14ac:dyDescent="0.3">
      <c r="B27" s="329" t="str">
        <f>CONCATENATE("Antal hektar som 1% svarer til, ", Organ12)</f>
        <v>Antal hektar som 1% svarer til, OC12</v>
      </c>
      <c r="C27" s="330"/>
      <c r="D27" s="116">
        <f>1%*Arealanvendelse!O6</f>
        <v>707.32</v>
      </c>
      <c r="E27" s="116">
        <f>1%*Arealanvendelse!R6</f>
        <v>707.32</v>
      </c>
      <c r="F27" s="4"/>
      <c r="G27" s="12"/>
      <c r="H27" s="12"/>
      <c r="I27" s="1"/>
    </row>
    <row r="28" spans="2:11" ht="15.75" thickBot="1" x14ac:dyDescent="0.3">
      <c r="B28" s="232" t="s">
        <v>263</v>
      </c>
      <c r="C28" s="233"/>
      <c r="D28" s="231">
        <f>SUM(D24:D25)</f>
        <v>0</v>
      </c>
      <c r="E28" s="231">
        <f>SUM(E24:E25)</f>
        <v>0</v>
      </c>
      <c r="F28" s="326"/>
      <c r="G28" s="104"/>
      <c r="H28" s="104"/>
    </row>
    <row r="29" spans="2:11" x14ac:dyDescent="0.25">
      <c r="B29" s="12"/>
      <c r="C29" s="118"/>
      <c r="D29" s="118"/>
      <c r="E29" s="118"/>
      <c r="F29" s="118"/>
      <c r="G29" s="118"/>
      <c r="H29" s="118"/>
    </row>
    <row r="30" spans="2:11" x14ac:dyDescent="0.25">
      <c r="B30" s="422" t="s">
        <v>325</v>
      </c>
      <c r="C30" s="25"/>
      <c r="D30" s="25"/>
      <c r="E30" s="25"/>
      <c r="K30" s="12"/>
    </row>
    <row r="31" spans="2:11" x14ac:dyDescent="0.25">
      <c r="B31" s="423"/>
      <c r="C31" s="84">
        <f>År1</f>
        <v>2019</v>
      </c>
      <c r="D31" s="84">
        <f>År2</f>
        <v>2030</v>
      </c>
      <c r="E31" s="84">
        <f>År3</f>
        <v>2050</v>
      </c>
      <c r="K31" s="12"/>
    </row>
    <row r="32" spans="2:11" x14ac:dyDescent="0.25">
      <c r="B32" s="2" t="str">
        <f>[1]Afgrødefordeling!$C2</f>
        <v>Korn</v>
      </c>
      <c r="C32" s="323">
        <f>'[1]Afgrødefordeling - jordtype'!$Y4</f>
        <v>0.53753334285647836</v>
      </c>
      <c r="D32" s="90">
        <f>C32</f>
        <v>0.53753334285647836</v>
      </c>
      <c r="E32" s="90">
        <f>D32</f>
        <v>0.53753334285647836</v>
      </c>
      <c r="K32" s="12"/>
    </row>
    <row r="33" spans="2:11" x14ac:dyDescent="0.25">
      <c r="B33" s="2" t="str">
        <f>[1]Afgrødefordeling!$C3</f>
        <v>Bælgsæd</v>
      </c>
      <c r="C33" s="323">
        <f>'[1]Afgrødefordeling - jordtype'!$Y5</f>
        <v>3.0976273829928767E-2</v>
      </c>
      <c r="D33" s="90">
        <f t="shared" ref="D33:D43" si="1">C33</f>
        <v>3.0976273829928767E-2</v>
      </c>
      <c r="E33" s="90">
        <f t="shared" ref="E33:E45" si="2">D33</f>
        <v>3.0976273829928767E-2</v>
      </c>
      <c r="K33" s="12"/>
    </row>
    <row r="34" spans="2:11" x14ac:dyDescent="0.25">
      <c r="B34" s="2" t="str">
        <f>[1]Afgrødefordeling!$C4</f>
        <v>Raps</v>
      </c>
      <c r="C34" s="323">
        <f>'[1]Afgrødefordeling - jordtype'!$Y6</f>
        <v>6.5329688585482673E-2</v>
      </c>
      <c r="D34" s="90">
        <f t="shared" si="1"/>
        <v>6.5329688585482673E-2</v>
      </c>
      <c r="E34" s="90">
        <f t="shared" si="2"/>
        <v>6.5329688585482673E-2</v>
      </c>
      <c r="K34" s="12"/>
    </row>
    <row r="35" spans="2:11" x14ac:dyDescent="0.25">
      <c r="B35" s="2" t="str">
        <f>[1]Afgrødefordeling!$C5</f>
        <v>Græs</v>
      </c>
      <c r="C35" s="323">
        <f>'[1]Afgrødefordeling - jordtype'!$Y7</f>
        <v>0.10115967422642448</v>
      </c>
      <c r="D35" s="90">
        <f>C35</f>
        <v>0.10115967422642448</v>
      </c>
      <c r="E35" s="90">
        <f t="shared" si="2"/>
        <v>0.10115967422642448</v>
      </c>
      <c r="K35" s="12"/>
    </row>
    <row r="36" spans="2:11" x14ac:dyDescent="0.25">
      <c r="B36" s="2" t="str">
        <f>[1]Afgrødefordeling!$C6</f>
        <v>Grøntsager</v>
      </c>
      <c r="C36" s="323">
        <f>'[1]Afgrødefordeling - jordtype'!$Y8</f>
        <v>5.2060865589185204E-3</v>
      </c>
      <c r="D36" s="90">
        <f t="shared" si="1"/>
        <v>5.2060865589185204E-3</v>
      </c>
      <c r="E36" s="90">
        <f t="shared" si="2"/>
        <v>5.2060865589185204E-3</v>
      </c>
      <c r="K36" s="12"/>
    </row>
    <row r="37" spans="2:11" x14ac:dyDescent="0.25">
      <c r="B37" s="2" t="str">
        <f>[1]Afgrødefordeling!$C7</f>
        <v>Kartofler</v>
      </c>
      <c r="C37" s="323">
        <f>'[1]Afgrødefordeling - jordtype'!$Y9</f>
        <v>2.189728375215861E-2</v>
      </c>
      <c r="D37" s="90">
        <f t="shared" si="1"/>
        <v>2.189728375215861E-2</v>
      </c>
      <c r="E37" s="90">
        <f t="shared" si="2"/>
        <v>2.189728375215861E-2</v>
      </c>
      <c r="K37" s="12"/>
    </row>
    <row r="38" spans="2:11" x14ac:dyDescent="0.25">
      <c r="B38" s="2" t="str">
        <f>[1]Afgrødefordeling!$C8</f>
        <v>Roer</v>
      </c>
      <c r="C38" s="323">
        <f>'[1]Afgrødefordeling - jordtype'!$Y10</f>
        <v>1.3466912404096722E-2</v>
      </c>
      <c r="D38" s="90">
        <f t="shared" si="1"/>
        <v>1.3466912404096722E-2</v>
      </c>
      <c r="E38" s="90">
        <f t="shared" si="2"/>
        <v>1.3466912404096722E-2</v>
      </c>
      <c r="K38" s="12"/>
    </row>
    <row r="39" spans="2:11" x14ac:dyDescent="0.25">
      <c r="B39" s="2" t="str">
        <f>[1]Afgrødefordeling!$C9</f>
        <v>Majs</v>
      </c>
      <c r="C39" s="323">
        <f>'[1]Afgrødefordeling - jordtype'!$Y11</f>
        <v>7.2759287296729286E-2</v>
      </c>
      <c r="D39" s="90">
        <f t="shared" si="1"/>
        <v>7.2759287296729286E-2</v>
      </c>
      <c r="E39" s="90">
        <f t="shared" si="2"/>
        <v>7.2759287296729286E-2</v>
      </c>
      <c r="K39" s="12"/>
    </row>
    <row r="40" spans="2:11" x14ac:dyDescent="0.25">
      <c r="B40" s="2" t="str">
        <f>[1]Afgrødefordeling!$C10</f>
        <v>Frugt</v>
      </c>
      <c r="C40" s="323">
        <f>'[1]Afgrødefordeling - jordtype'!$Y12</f>
        <v>2.0301913757470973E-3</v>
      </c>
      <c r="D40" s="90">
        <f t="shared" si="1"/>
        <v>2.0301913757470973E-3</v>
      </c>
      <c r="E40" s="90">
        <f t="shared" si="2"/>
        <v>2.0301913757470973E-3</v>
      </c>
      <c r="K40" s="12"/>
    </row>
    <row r="41" spans="2:11" x14ac:dyDescent="0.25">
      <c r="B41" s="2" t="str">
        <f>[1]Afgrødefordeling!$C11</f>
        <v>Øvrige</v>
      </c>
      <c r="C41" s="323">
        <f>'[1]Afgrødefordeling - jordtype'!$Y13</f>
        <v>2.7968670218625629E-2</v>
      </c>
      <c r="D41" s="90">
        <f t="shared" si="1"/>
        <v>2.7968670218625629E-2</v>
      </c>
      <c r="E41" s="90">
        <f t="shared" si="2"/>
        <v>2.7968670218625629E-2</v>
      </c>
      <c r="K41" s="12"/>
    </row>
    <row r="42" spans="2:11" x14ac:dyDescent="0.25">
      <c r="B42" s="2" t="str">
        <f>[1]Afgrødefordeling!$C12</f>
        <v>Frø</v>
      </c>
      <c r="C42" s="323">
        <f>'[1]Afgrødefordeling - jordtype'!$Y14</f>
        <v>4.0395307311065158E-2</v>
      </c>
      <c r="D42" s="90">
        <f t="shared" si="1"/>
        <v>4.0395307311065158E-2</v>
      </c>
      <c r="E42" s="90">
        <f t="shared" si="2"/>
        <v>4.0395307311065158E-2</v>
      </c>
      <c r="K42" s="12"/>
    </row>
    <row r="43" spans="2:11" x14ac:dyDescent="0.25">
      <c r="B43" s="2" t="str">
        <f>[1]Afgrødefordeling!$C13</f>
        <v>Juletræer</v>
      </c>
      <c r="C43" s="323">
        <f>'[1]Afgrødefordeling - jordtype'!$Y15</f>
        <v>7.5869349743828522E-3</v>
      </c>
      <c r="D43" s="90">
        <f t="shared" si="1"/>
        <v>7.5869349743828522E-3</v>
      </c>
      <c r="E43" s="90">
        <f t="shared" si="2"/>
        <v>7.5869349743828522E-3</v>
      </c>
      <c r="K43" s="12"/>
    </row>
    <row r="44" spans="2:11" x14ac:dyDescent="0.25">
      <c r="B44" s="2" t="str">
        <f>[1]Afgrødefordeling!$C14</f>
        <v>Pil &amp; poppel</v>
      </c>
      <c r="C44" s="323">
        <f>'[1]Afgrødefordeling - jordtype'!$Y16</f>
        <v>2.9175094799916215E-3</v>
      </c>
      <c r="D44" s="90">
        <f>C44</f>
        <v>2.9175094799916215E-3</v>
      </c>
      <c r="E44" s="90">
        <f t="shared" si="2"/>
        <v>2.9175094799916215E-3</v>
      </c>
      <c r="K44" s="12"/>
    </row>
    <row r="45" spans="2:11" x14ac:dyDescent="0.25">
      <c r="B45" s="2" t="str">
        <f>[1]Afgrødefordeling!$C15</f>
        <v>Permanent græs</v>
      </c>
      <c r="C45" s="323">
        <f>'[1]Afgrødefordeling - jordtype'!$Y17</f>
        <v>7.0772837129970206E-2</v>
      </c>
      <c r="D45" s="90">
        <f>C45</f>
        <v>7.0772837129970206E-2</v>
      </c>
      <c r="E45" s="90">
        <f t="shared" si="2"/>
        <v>7.0772837129970206E-2</v>
      </c>
      <c r="K45" s="12"/>
    </row>
    <row r="46" spans="2:11" x14ac:dyDescent="0.25">
      <c r="B46" s="25" t="s">
        <v>291</v>
      </c>
      <c r="C46" s="87"/>
      <c r="D46" s="89">
        <f>SUM(D32:D45)</f>
        <v>0.99999999999999989</v>
      </c>
      <c r="E46" s="89">
        <f>SUM(E32:E45)</f>
        <v>0.99999999999999989</v>
      </c>
      <c r="K46" s="12"/>
    </row>
    <row r="47" spans="2:11" x14ac:dyDescent="0.25">
      <c r="B47" s="25" t="s">
        <v>242</v>
      </c>
      <c r="C47" s="87"/>
      <c r="D47" s="115" cm="1">
        <f t="array" ref="D47">SUMPRODUCT((D32:D45&gt;$C$32:$C$45)*(D32:D45-$C$32:$C$45))*Arealanvendelse!M6</f>
        <v>0</v>
      </c>
      <c r="E47" s="115" cm="1">
        <f t="array" ref="E47">SUMPRODUCT((E32:E45&gt;$C$32:$C$45)*(E32:E45-$C$32:$C$45))*Arealanvendelse!P6</f>
        <v>0</v>
      </c>
      <c r="K47" s="12"/>
    </row>
    <row r="48" spans="2:11" x14ac:dyDescent="0.25">
      <c r="B48" s="25" t="s">
        <v>241</v>
      </c>
      <c r="C48" s="109"/>
      <c r="D48" s="115">
        <f>1%*Arealanvendelse!M6</f>
        <v>23790.359999999997</v>
      </c>
      <c r="E48" s="115">
        <f>1%*Arealanvendelse!P6</f>
        <v>23410.36</v>
      </c>
    </row>
    <row r="49" spans="2:8" x14ac:dyDescent="0.25">
      <c r="B49" s="12"/>
      <c r="D49" s="118"/>
      <c r="E49" s="118"/>
      <c r="H49" s="118"/>
    </row>
    <row r="50" spans="2:8" ht="15" customHeight="1" x14ac:dyDescent="0.25">
      <c r="B50" s="2"/>
      <c r="C50" s="84">
        <f>År1</f>
        <v>2019</v>
      </c>
      <c r="D50" s="84">
        <f>År2</f>
        <v>2030</v>
      </c>
      <c r="E50" s="84">
        <f>År3</f>
        <v>2050</v>
      </c>
    </row>
    <row r="51" spans="2:8" ht="27.75" customHeight="1" x14ac:dyDescent="0.25">
      <c r="B51" s="112" t="s">
        <v>151</v>
      </c>
      <c r="C51" s="113">
        <f>786/121381</f>
        <v>6.475478040220463E-3</v>
      </c>
      <c r="D51" s="209">
        <f>C51</f>
        <v>6.475478040220463E-3</v>
      </c>
      <c r="E51" s="209">
        <f>D51</f>
        <v>6.475478040220463E-3</v>
      </c>
    </row>
  </sheetData>
  <mergeCells count="2">
    <mergeCell ref="B30:B31"/>
    <mergeCell ref="B20:B21"/>
  </mergeCells>
  <hyperlinks>
    <hyperlink ref="A1" location="Resume!A1" display="Produktion og forbrug i landbruget" xr:uid="{EC5EB0C3-FDDD-4242-A5AF-3EC3C33DCF05}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7A141-BBCF-4FEE-AA50-BD590A389FE7}">
  <sheetPr codeName="Sheet18">
    <tabColor theme="9" tint="0.39997558519241921"/>
  </sheetPr>
  <dimension ref="A1:I18"/>
  <sheetViews>
    <sheetView workbookViewId="0">
      <selection activeCell="D17" sqref="D17"/>
    </sheetView>
  </sheetViews>
  <sheetFormatPr defaultColWidth="9.140625" defaultRowHeight="15" x14ac:dyDescent="0.25"/>
  <cols>
    <col min="1" max="1" width="25" style="1" customWidth="1"/>
    <col min="2" max="2" width="18.28515625" style="1" customWidth="1"/>
    <col min="3" max="3" width="12.140625" style="1" customWidth="1"/>
    <col min="4" max="5" width="9.140625" style="1"/>
    <col min="6" max="6" width="21" style="1" bestFit="1" customWidth="1"/>
    <col min="7" max="16384" width="9.140625" style="1"/>
  </cols>
  <sheetData>
    <row r="1" spans="1:9" x14ac:dyDescent="0.25">
      <c r="A1" s="227" t="s">
        <v>274</v>
      </c>
    </row>
    <row r="2" spans="1:9" ht="15.75" thickBot="1" x14ac:dyDescent="0.3">
      <c r="A2" s="312"/>
      <c r="B2" s="312"/>
      <c r="C2" s="312">
        <f>År1</f>
        <v>2019</v>
      </c>
      <c r="D2" s="312">
        <f>År2</f>
        <v>2030</v>
      </c>
      <c r="E2" s="312">
        <f>År3</f>
        <v>2050</v>
      </c>
      <c r="F2" s="312" t="s">
        <v>317</v>
      </c>
    </row>
    <row r="3" spans="1:9" x14ac:dyDescent="0.25">
      <c r="A3" s="313" t="str">
        <f>'[1]Processer - data'!$D440</f>
        <v>Korn</v>
      </c>
      <c r="B3" s="12" t="s">
        <v>133</v>
      </c>
      <c r="C3" s="119">
        <f>VLOOKUP(A3,[1]Foder!$A$2:$E$16,5,FALSE)</f>
        <v>0.39994582515067378</v>
      </c>
      <c r="D3" s="311">
        <f>C3</f>
        <v>0.39994582515067378</v>
      </c>
      <c r="E3" s="311">
        <f>D3</f>
        <v>0.39994582515067378</v>
      </c>
      <c r="I3" s="241"/>
    </row>
    <row r="4" spans="1:9" x14ac:dyDescent="0.25">
      <c r="A4" s="2" t="str">
        <f>'[1]Processer - data'!$D441</f>
        <v>Halm</v>
      </c>
      <c r="B4" s="12" t="s">
        <v>133</v>
      </c>
      <c r="C4" s="119">
        <f>VLOOKUP(A4,[1]Foder!$A$2:$E$16,5,FALSE)</f>
        <v>1.1105844111871065E-2</v>
      </c>
      <c r="D4" s="311">
        <f t="shared" ref="D4:E17" si="0">C4</f>
        <v>1.1105844111871065E-2</v>
      </c>
      <c r="E4" s="311">
        <f t="shared" si="0"/>
        <v>1.1105844111871065E-2</v>
      </c>
      <c r="I4" s="241"/>
    </row>
    <row r="5" spans="1:9" x14ac:dyDescent="0.25">
      <c r="A5" s="2" t="str">
        <f>'[1]Processer - data'!$D442</f>
        <v>Kartofler</v>
      </c>
      <c r="B5" s="12" t="s">
        <v>133</v>
      </c>
      <c r="C5" s="119">
        <f>VLOOKUP(A5,[1]Foder!$A$2:$E$16,5,FALSE)</f>
        <v>0</v>
      </c>
      <c r="D5" s="311">
        <f t="shared" si="0"/>
        <v>0</v>
      </c>
      <c r="E5" s="311">
        <f t="shared" si="0"/>
        <v>0</v>
      </c>
      <c r="I5" s="241"/>
    </row>
    <row r="6" spans="1:9" x14ac:dyDescent="0.25">
      <c r="A6" s="2" t="str">
        <f>'[1]Processer - data'!$D443</f>
        <v>Bælgsæd</v>
      </c>
      <c r="B6" s="12" t="s">
        <v>133</v>
      </c>
      <c r="C6" s="119">
        <f>VLOOKUP(A6,[1]Foder!$A$2:$E$16,5,FALSE)</f>
        <v>5.2820478093045303E-3</v>
      </c>
      <c r="D6" s="311">
        <f t="shared" si="0"/>
        <v>5.2820478093045303E-3</v>
      </c>
      <c r="E6" s="311">
        <f t="shared" si="0"/>
        <v>5.2820478093045303E-3</v>
      </c>
      <c r="I6" s="241"/>
    </row>
    <row r="7" spans="1:9" x14ac:dyDescent="0.25">
      <c r="A7" s="2" t="str">
        <f>'[1]Processer - data'!$D444</f>
        <v>Roer</v>
      </c>
      <c r="B7" s="12" t="s">
        <v>133</v>
      </c>
      <c r="C7" s="119">
        <f>VLOOKUP(A7,[1]Foder!$A$2:$E$16,5,FALSE)</f>
        <v>9.683754317058306E-3</v>
      </c>
      <c r="D7" s="311">
        <f t="shared" si="0"/>
        <v>9.683754317058306E-3</v>
      </c>
      <c r="E7" s="311">
        <f t="shared" si="0"/>
        <v>9.683754317058306E-3</v>
      </c>
      <c r="I7" s="241"/>
    </row>
    <row r="8" spans="1:9" x14ac:dyDescent="0.25">
      <c r="A8" s="2" t="str">
        <f>'[1]Processer - data'!$D445</f>
        <v>Majs</v>
      </c>
      <c r="B8" s="12" t="s">
        <v>133</v>
      </c>
      <c r="C8" s="119">
        <f>VLOOKUP(A8,[1]Foder!$A$2:$E$16,5,FALSE)</f>
        <v>0.1132931536534164</v>
      </c>
      <c r="D8" s="311">
        <f t="shared" si="0"/>
        <v>0.1132931536534164</v>
      </c>
      <c r="E8" s="311">
        <f t="shared" si="0"/>
        <v>0.1132931536534164</v>
      </c>
      <c r="I8" s="241"/>
    </row>
    <row r="9" spans="1:9" x14ac:dyDescent="0.25">
      <c r="A9" s="2" t="str">
        <f>'[1]Processer - data'!$D446</f>
        <v>Rapskage</v>
      </c>
      <c r="B9" s="12" t="s">
        <v>133</v>
      </c>
      <c r="C9" s="119">
        <f>VLOOKUP(A9,[1]Foder!$A$2:$E$16,5,FALSE)</f>
        <v>1.6320173359517843E-2</v>
      </c>
      <c r="D9" s="311">
        <f t="shared" si="0"/>
        <v>1.6320173359517843E-2</v>
      </c>
      <c r="E9" s="311">
        <f t="shared" si="0"/>
        <v>1.6320173359517843E-2</v>
      </c>
      <c r="I9" s="241"/>
    </row>
    <row r="10" spans="1:9" x14ac:dyDescent="0.25">
      <c r="A10" s="2" t="str">
        <f>'[1]Processer - data'!$D447</f>
        <v>Tang</v>
      </c>
      <c r="B10" s="12" t="s">
        <v>133</v>
      </c>
      <c r="C10" s="119">
        <f>VLOOKUP(A10,[1]Foder!$A$2:$E$16,5,FALSE)</f>
        <v>0</v>
      </c>
      <c r="D10" s="311">
        <f t="shared" si="0"/>
        <v>0</v>
      </c>
      <c r="E10" s="311">
        <f t="shared" si="0"/>
        <v>0</v>
      </c>
      <c r="I10" s="241"/>
    </row>
    <row r="11" spans="1:9" x14ac:dyDescent="0.25">
      <c r="A11" s="2" t="str">
        <f>'[1]Processer - data'!$D448</f>
        <v>Muslinger</v>
      </c>
      <c r="B11" s="12" t="s">
        <v>133</v>
      </c>
      <c r="C11" s="119">
        <f>VLOOKUP(A11,[1]Foder!$A$2:$E$16,5,FALSE)</f>
        <v>0</v>
      </c>
      <c r="D11" s="311">
        <f t="shared" si="0"/>
        <v>0</v>
      </c>
      <c r="E11" s="311">
        <f t="shared" si="0"/>
        <v>0</v>
      </c>
      <c r="I11" s="241"/>
    </row>
    <row r="12" spans="1:9" x14ac:dyDescent="0.25">
      <c r="A12" s="2" t="str">
        <f>'[1]Processer - data'!$D449</f>
        <v>Græs</v>
      </c>
      <c r="B12" s="12" t="s">
        <v>133</v>
      </c>
      <c r="C12" s="119">
        <f>VLOOKUP(A12,[1]Foder!$A$2:$E$16,5,FALSE)</f>
        <v>0.15385657208640888</v>
      </c>
      <c r="D12" s="311">
        <f t="shared" si="0"/>
        <v>0.15385657208640888</v>
      </c>
      <c r="E12" s="311">
        <f t="shared" si="0"/>
        <v>0.15385657208640888</v>
      </c>
    </row>
    <row r="13" spans="1:9" x14ac:dyDescent="0.25">
      <c r="A13" s="2" t="str">
        <f>'[1]Processer - data'!$D450</f>
        <v>Mælk til foder</v>
      </c>
      <c r="B13" s="12" t="s">
        <v>133</v>
      </c>
      <c r="C13" s="119">
        <f>VLOOKUP(A13,[1]Foder!$A$2:$E$16,5,FALSE)</f>
        <v>1.1038125550213313E-2</v>
      </c>
      <c r="D13" s="311">
        <f t="shared" si="0"/>
        <v>1.1038125550213313E-2</v>
      </c>
      <c r="E13" s="311">
        <f t="shared" si="0"/>
        <v>1.1038125550213313E-2</v>
      </c>
    </row>
    <row r="14" spans="1:9" x14ac:dyDescent="0.25">
      <c r="A14" s="2" t="str">
        <f>'[1]Processer - data'!$D451</f>
        <v>Fiberfraktion</v>
      </c>
      <c r="B14" s="12" t="s">
        <v>133</v>
      </c>
      <c r="C14" s="119">
        <f>VLOOKUP(A14,[1]Foder!$A$2:$E$16,5,FALSE)</f>
        <v>0</v>
      </c>
      <c r="D14" s="119">
        <f>ROUND('[1]Processer - data'!I$491/'[1]Processer - data'!I$490*D15*'[1]Processer - data'!$H$451/'[1]Processer - data'!$H$452,3)</f>
        <v>0</v>
      </c>
      <c r="E14" s="119">
        <f>ROUND('[1]Processer - data'!J$491/'[1]Processer - data'!J$490*E15*'[1]Processer - data'!$H$451/'[1]Processer - data'!$H$452,3)</f>
        <v>0</v>
      </c>
      <c r="F14" s="1" t="s">
        <v>318</v>
      </c>
    </row>
    <row r="15" spans="1:9" x14ac:dyDescent="0.25">
      <c r="A15" s="2" t="str">
        <f>'[1]Processer - data'!$D452</f>
        <v>Græsprotein</v>
      </c>
      <c r="B15" s="12" t="s">
        <v>133</v>
      </c>
      <c r="C15" s="119">
        <f>VLOOKUP(A15,[1]Foder!$A$2:$E$16,5,FALSE)</f>
        <v>0</v>
      </c>
      <c r="D15" s="311">
        <v>0</v>
      </c>
      <c r="E15" s="311">
        <f t="shared" si="0"/>
        <v>0</v>
      </c>
    </row>
    <row r="16" spans="1:9" x14ac:dyDescent="0.25">
      <c r="A16" s="2" t="str">
        <f>'[1]Processer - data'!$D453</f>
        <v>Slagteriaffald til foder</v>
      </c>
      <c r="B16" s="12" t="s">
        <v>133</v>
      </c>
      <c r="C16" s="119">
        <f>VLOOKUP(A16,[1]Foder!$A$2:$E$16,5,FALSE)</f>
        <v>8.1939459605877979E-3</v>
      </c>
      <c r="D16" s="311">
        <f t="shared" si="0"/>
        <v>8.1939459605877979E-3</v>
      </c>
      <c r="E16" s="311">
        <f t="shared" si="0"/>
        <v>8.1939459605877979E-3</v>
      </c>
    </row>
    <row r="17" spans="1:6" ht="15.75" thickBot="1" x14ac:dyDescent="0.3">
      <c r="A17" s="2" t="str">
        <f>'[1]Processer - data'!$D454</f>
        <v>Import af foder</v>
      </c>
      <c r="B17" s="12" t="s">
        <v>133</v>
      </c>
      <c r="C17" s="119">
        <f>VLOOKUP(A17,[1]Foder!$A$2:$E$16,5,FALSE)</f>
        <v>0.27128055800094808</v>
      </c>
      <c r="D17" s="311">
        <f t="shared" si="0"/>
        <v>0.27128055800094808</v>
      </c>
      <c r="E17" s="311">
        <f t="shared" si="0"/>
        <v>0.27128055800094808</v>
      </c>
      <c r="F17" s="312"/>
    </row>
    <row r="18" spans="1:6" ht="15.75" thickBot="1" x14ac:dyDescent="0.3">
      <c r="A18" s="242" t="s">
        <v>30</v>
      </c>
      <c r="B18" s="242" t="s">
        <v>133</v>
      </c>
      <c r="C18" s="120">
        <f>SUM(C3:C17)</f>
        <v>1</v>
      </c>
      <c r="D18" s="120">
        <f>ROUND(SUM(D3:D17),4)</f>
        <v>1</v>
      </c>
      <c r="E18" s="120">
        <f>ROUND(SUM(E3:E17),4)</f>
        <v>1</v>
      </c>
      <c r="F18" s="315" t="s">
        <v>319</v>
      </c>
    </row>
  </sheetData>
  <conditionalFormatting sqref="C18">
    <cfRule type="cellIs" dxfId="19" priority="2" operator="notBetween">
      <formula>1</formula>
      <formula>1</formula>
    </cfRule>
  </conditionalFormatting>
  <conditionalFormatting sqref="D18:E18">
    <cfRule type="cellIs" dxfId="18" priority="1" operator="notBetween">
      <formula>1</formula>
      <formula>1</formula>
    </cfRule>
  </conditionalFormatting>
  <hyperlinks>
    <hyperlink ref="A1" location="Resume!A1" display="Produktion og forbrug i landbruget" xr:uid="{4CA7F789-FBE6-4309-993D-854D6258C618}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CED8C9-93D6-4879-AD7B-7934F4321325}">
  <sheetPr codeName="Sheet9">
    <tabColor theme="9" tint="0.39997558519241921"/>
  </sheetPr>
  <dimension ref="A1:J61"/>
  <sheetViews>
    <sheetView zoomScaleNormal="100" workbookViewId="0">
      <selection activeCell="C9" sqref="C9"/>
    </sheetView>
  </sheetViews>
  <sheetFormatPr defaultColWidth="9.140625" defaultRowHeight="15" x14ac:dyDescent="0.25"/>
  <cols>
    <col min="1" max="1" width="18.28515625" style="1" bestFit="1" customWidth="1"/>
    <col min="2" max="2" width="10.5703125" style="1" customWidth="1"/>
    <col min="3" max="4" width="8.5703125" style="1" bestFit="1" customWidth="1"/>
    <col min="5" max="5" width="8.7109375" style="1" customWidth="1"/>
    <col min="6" max="11" width="9.140625" style="1"/>
    <col min="12" max="12" width="9.85546875" style="1" customWidth="1"/>
    <col min="13" max="13" width="40.5703125" style="1" bestFit="1" customWidth="1"/>
    <col min="14" max="16384" width="9.140625" style="1"/>
  </cols>
  <sheetData>
    <row r="1" spans="1:4" x14ac:dyDescent="0.25">
      <c r="A1" s="226" t="s">
        <v>274</v>
      </c>
    </row>
    <row r="2" spans="1:4" x14ac:dyDescent="0.25">
      <c r="A2" s="103" t="s">
        <v>247</v>
      </c>
    </row>
    <row r="3" spans="1:4" x14ac:dyDescent="0.25">
      <c r="A3" s="6" t="s">
        <v>182</v>
      </c>
      <c r="B3" s="1" t="s">
        <v>170</v>
      </c>
    </row>
    <row r="4" spans="1:4" x14ac:dyDescent="0.25">
      <c r="A4" s="6" t="s">
        <v>176</v>
      </c>
      <c r="B4" s="1" t="s">
        <v>171</v>
      </c>
    </row>
    <row r="5" spans="1:4" x14ac:dyDescent="0.25">
      <c r="A5" s="6" t="s">
        <v>177</v>
      </c>
      <c r="B5" s="1" t="s">
        <v>172</v>
      </c>
    </row>
    <row r="6" spans="1:4" x14ac:dyDescent="0.25">
      <c r="A6" s="6" t="s">
        <v>178</v>
      </c>
      <c r="B6" s="1" t="s">
        <v>186</v>
      </c>
    </row>
    <row r="7" spans="1:4" x14ac:dyDescent="0.25">
      <c r="A7" s="6" t="s">
        <v>179</v>
      </c>
      <c r="B7" s="1" t="s">
        <v>187</v>
      </c>
    </row>
    <row r="8" spans="1:4" x14ac:dyDescent="0.25">
      <c r="A8" s="6" t="s">
        <v>180</v>
      </c>
      <c r="B8" s="1" t="s">
        <v>188</v>
      </c>
    </row>
    <row r="9" spans="1:4" x14ac:dyDescent="0.25">
      <c r="A9" s="2" t="s">
        <v>283</v>
      </c>
      <c r="B9" s="2"/>
      <c r="C9" s="209">
        <v>5.0000000000000001E-3</v>
      </c>
      <c r="D9" s="4"/>
    </row>
    <row r="10" spans="1:4" x14ac:dyDescent="0.25">
      <c r="A10" s="81"/>
      <c r="B10" s="81"/>
      <c r="C10" s="81"/>
      <c r="D10" s="83"/>
    </row>
    <row r="11" spans="1:4" x14ac:dyDescent="0.25">
      <c r="A11" s="2" t="s">
        <v>282</v>
      </c>
      <c r="B11" s="2"/>
      <c r="C11" s="2"/>
      <c r="D11" s="2"/>
    </row>
    <row r="12" spans="1:4" x14ac:dyDescent="0.25">
      <c r="A12" s="2" t="s">
        <v>183</v>
      </c>
      <c r="B12" s="2">
        <f>År1</f>
        <v>2019</v>
      </c>
      <c r="C12" s="2">
        <f>År2</f>
        <v>2030</v>
      </c>
      <c r="D12" s="2">
        <f>År3</f>
        <v>2050</v>
      </c>
    </row>
    <row r="13" spans="1:4" x14ac:dyDescent="0.25">
      <c r="A13" s="2" t="s">
        <v>176</v>
      </c>
      <c r="B13" s="7">
        <v>0</v>
      </c>
      <c r="C13" s="8">
        <v>1</v>
      </c>
      <c r="D13" s="8">
        <v>1</v>
      </c>
    </row>
    <row r="14" spans="1:4" x14ac:dyDescent="0.25">
      <c r="A14" s="2" t="s">
        <v>177</v>
      </c>
      <c r="B14" s="7">
        <v>0</v>
      </c>
      <c r="C14" s="8">
        <v>0</v>
      </c>
      <c r="D14" s="8">
        <v>0</v>
      </c>
    </row>
    <row r="15" spans="1:4" x14ac:dyDescent="0.25">
      <c r="A15" s="2" t="s">
        <v>178</v>
      </c>
      <c r="B15" s="7">
        <v>0</v>
      </c>
      <c r="C15" s="8">
        <v>0</v>
      </c>
      <c r="D15" s="8">
        <v>0</v>
      </c>
    </row>
    <row r="16" spans="1:4" x14ac:dyDescent="0.25">
      <c r="A16" s="2" t="s">
        <v>179</v>
      </c>
      <c r="B16" s="7">
        <v>0</v>
      </c>
      <c r="C16" s="8">
        <v>0</v>
      </c>
      <c r="D16" s="8">
        <v>0</v>
      </c>
    </row>
    <row r="17" spans="1:8" ht="15.75" thickBot="1" x14ac:dyDescent="0.3">
      <c r="A17" s="331" t="s">
        <v>180</v>
      </c>
      <c r="B17" s="332">
        <v>0</v>
      </c>
      <c r="C17" s="335">
        <v>0</v>
      </c>
      <c r="D17" s="335">
        <v>0</v>
      </c>
    </row>
    <row r="18" spans="1:8" ht="15.75" thickBot="1" x14ac:dyDescent="0.3">
      <c r="A18" s="333" t="s">
        <v>30</v>
      </c>
      <c r="B18" s="334"/>
      <c r="C18" s="334">
        <f>SUM(C13:C17)</f>
        <v>1</v>
      </c>
      <c r="D18" s="334">
        <f>SUM(D13:D17)</f>
        <v>1</v>
      </c>
    </row>
    <row r="19" spans="1:8" s="12" customFormat="1" x14ac:dyDescent="0.25">
      <c r="B19" s="13"/>
      <c r="C19" s="13"/>
      <c r="D19" s="13"/>
    </row>
    <row r="20" spans="1:8" hidden="1" x14ac:dyDescent="0.25">
      <c r="A20" s="2"/>
      <c r="B20" s="2"/>
      <c r="C20" s="2" t="s">
        <v>23</v>
      </c>
      <c r="D20" s="2" t="s">
        <v>23</v>
      </c>
      <c r="E20" s="2" t="s">
        <v>23</v>
      </c>
      <c r="F20" s="2" t="s">
        <v>24</v>
      </c>
      <c r="G20" s="2" t="s">
        <v>24</v>
      </c>
      <c r="H20" s="2" t="s">
        <v>24</v>
      </c>
    </row>
    <row r="21" spans="1:8" hidden="1" x14ac:dyDescent="0.25">
      <c r="A21" s="25" t="s">
        <v>184</v>
      </c>
      <c r="B21" s="181" t="s">
        <v>185</v>
      </c>
      <c r="C21" s="181">
        <f>År1</f>
        <v>2019</v>
      </c>
      <c r="D21" s="181">
        <f>År2</f>
        <v>2030</v>
      </c>
      <c r="E21" s="181">
        <f>År3</f>
        <v>2050</v>
      </c>
      <c r="F21" s="181">
        <f>År1</f>
        <v>2019</v>
      </c>
      <c r="G21" s="181">
        <f>År2</f>
        <v>2030</v>
      </c>
      <c r="H21" s="181">
        <f>År3</f>
        <v>2050</v>
      </c>
    </row>
    <row r="22" spans="1:8" hidden="1" x14ac:dyDescent="0.25">
      <c r="A22" s="2" t="s">
        <v>182</v>
      </c>
      <c r="B22" s="182" t="s">
        <v>181</v>
      </c>
      <c r="C22" s="109">
        <f>Arealanvendelse!J27</f>
        <v>435064.52162306459</v>
      </c>
      <c r="D22" s="109">
        <f>C22*(1-$C$9)^(D21-C21)</f>
        <v>411725.30255233188</v>
      </c>
      <c r="E22" s="109">
        <f>D22*(1-$C$9)^(E21-D21)</f>
        <v>372451.02368307725</v>
      </c>
      <c r="F22" s="109">
        <f>Arealanvendelse!J37</f>
        <v>127345.4783769354</v>
      </c>
      <c r="G22" s="109">
        <f>F22*(1-$C$9)^(G21-F21)</f>
        <v>120513.97668054659</v>
      </c>
      <c r="H22" s="109">
        <f>G22*(1-$C$9)^(H21-G21)</f>
        <v>109018.20632479334</v>
      </c>
    </row>
    <row r="23" spans="1:8" hidden="1" x14ac:dyDescent="0.25">
      <c r="A23" s="2" t="s">
        <v>176</v>
      </c>
      <c r="B23" s="183">
        <v>10</v>
      </c>
      <c r="C23" s="109">
        <v>0</v>
      </c>
      <c r="D23" s="109" cm="1">
        <f t="array" aca="1" ref="D23" ca="1">IF($B23=10,SUMPRODUCT('Skovbrug-alder'!$F$2:$AJ$311*('Skovbrug-alder'!$A$2:$A$311=$A23)*('Skovbrug-alder'!$B$2:$B$311=D$20)*('Skovbrug-alder'!$C$2:$C$311=D$21)*('Skovbrug-alder'!$F$1:$AJ$1&lt;=$B23)),SUMPRODUCT('Skovbrug-alder'!$F$2:$AJ$311*('Skovbrug-alder'!$A$2:$A$311=$A23)*('Skovbrug-alder'!$B$2:$B$311=D$20)*('Skovbrug-alder'!$C$2:$C$311=D$21)*('Skovbrug-alder'!$F$1:$AJ$1&lt;=$B23)*('Skovbrug-alder'!$F$1:$AJ$1&gt;$B22)))</f>
        <v>37658.711277432194</v>
      </c>
      <c r="E23" s="109" cm="1">
        <f t="array" aca="1" ref="E23" ca="1">IF($B23=10,SUMPRODUCT('Skovbrug-alder'!$F$2:$AJ$311*('Skovbrug-alder'!$A$2:$A$311=$A23)*('Skovbrug-alder'!$B$2:$B$311=E$20)*('Skovbrug-alder'!$C$2:$C$311=E$21)*('Skovbrug-alder'!$F$1:$AJ$1&lt;=$B23)),SUMPRODUCT('Skovbrug-alder'!$F$2:$AJ$311*('Skovbrug-alder'!$A$2:$A$311=$A23)*('Skovbrug-alder'!$B$2:$B$311=E$20)*('Skovbrug-alder'!$C$2:$C$311=E$21)*('Skovbrug-alder'!$F$1:$AJ$1&lt;=$B23)*('Skovbrug-alder'!$F$1:$AJ$1&gt;$B22)))</f>
        <v>35652.511073959984</v>
      </c>
      <c r="F23" s="109" cm="1">
        <f t="array" aca="1" ref="F23" ca="1">IF($B23=10,SUMPRODUCT('Skovbrug-alder'!$F$2:$AJ$311*('Skovbrug-alder'!$A$2:$A$311=$A23)*('Skovbrug-alder'!$B$2:$B$311=F$20)*('Skovbrug-alder'!$C$2:$C$311=F$21)*('Skovbrug-alder'!$F$1:$AJ$1&lt;=$B23)),SUMPRODUCT('Skovbrug-alder'!$F$2:$AJ$311*('Skovbrug-alder'!$A$2:$A$311=$A23)*('Skovbrug-alder'!$B$2:$B$311=F$20)*('Skovbrug-alder'!$C$2:$C$311=F$21)*('Skovbrug-alder'!$F$1:$AJ$1&lt;=$B23)*('Skovbrug-alder'!$F$1:$AJ$1&gt;$B22)))</f>
        <v>0</v>
      </c>
      <c r="G23" s="109" cm="1">
        <f t="array" aca="1" ref="G23" ca="1">IF($B23=10,SUMPRODUCT('Skovbrug-alder'!$F$2:$AJ$311*('Skovbrug-alder'!$A$2:$A$311=$A23)*('Skovbrug-alder'!$B$2:$B$311=G$20)*('Skovbrug-alder'!$C$2:$C$311=G$21)*('Skovbrug-alder'!$F$1:$AJ$1&lt;=$B23)),SUMPRODUCT('Skovbrug-alder'!$F$2:$AJ$311*('Skovbrug-alder'!$A$2:$A$311=$A23)*('Skovbrug-alder'!$B$2:$B$311=G$20)*('Skovbrug-alder'!$C$2:$C$311=G$21)*('Skovbrug-alder'!$F$1:$AJ$1&lt;=$B23)*('Skovbrug-alder'!$F$1:$AJ$1&gt;$B22)))</f>
        <v>8699.9594896893177</v>
      </c>
      <c r="H23" s="109" cm="1">
        <f t="array" aca="1" ref="H23" ca="1">IF($B23=10,SUMPRODUCT('Skovbrug-alder'!$F$2:$AJ$311*('Skovbrug-alder'!$A$2:$A$311=$A23)*('Skovbrug-alder'!$B$2:$B$311=H$20)*('Skovbrug-alder'!$C$2:$C$311=H$21)*('Skovbrug-alder'!$F$1:$AJ$1&lt;=$B23)),SUMPRODUCT('Skovbrug-alder'!$F$2:$AJ$311*('Skovbrug-alder'!$A$2:$A$311=$A23)*('Skovbrug-alder'!$B$2:$B$311=H$20)*('Skovbrug-alder'!$C$2:$C$311=H$21)*('Skovbrug-alder'!$F$1:$AJ$1&lt;=$B23)*('Skovbrug-alder'!$F$1:$AJ$1&gt;$B22)))</f>
        <v>8111.9689677225915</v>
      </c>
    </row>
    <row r="24" spans="1:8" hidden="1" x14ac:dyDescent="0.25">
      <c r="A24" s="2" t="s">
        <v>176</v>
      </c>
      <c r="B24" s="183">
        <v>20</v>
      </c>
      <c r="C24" s="109">
        <v>0</v>
      </c>
      <c r="D24" s="109" cm="1">
        <f t="array" aca="1" ref="D24" ca="1">IF($B24=10,SUMPRODUCT('Skovbrug-alder'!$F$2:$AJ$311*('Skovbrug-alder'!$A$2:$A$311=$A24)*('Skovbrug-alder'!$B$2:$B$311=D$20)*('Skovbrug-alder'!$C$2:$C$311=D$21)*('Skovbrug-alder'!$F$1:$AJ$1&lt;=$B24)),SUMPRODUCT('Skovbrug-alder'!$F$2:$AJ$311*('Skovbrug-alder'!$A$2:$A$311=$A24)*('Skovbrug-alder'!$B$2:$B$311=D$20)*('Skovbrug-alder'!$C$2:$C$311=D$21)*('Skovbrug-alder'!$F$1:$AJ$1&lt;=$B24)*('Skovbrug-alder'!$F$1:$AJ$1&gt;$B23)))</f>
        <v>3824.804089596807</v>
      </c>
      <c r="E24" s="109" cm="1">
        <f t="array" aca="1" ref="E24" ca="1">IF($B24=10,SUMPRODUCT('Skovbrug-alder'!$F$2:$AJ$311*('Skovbrug-alder'!$A$2:$A$311=$A24)*('Skovbrug-alder'!$B$2:$B$311=E$20)*('Skovbrug-alder'!$C$2:$C$311=E$21)*('Skovbrug-alder'!$F$1:$AJ$1&lt;=$B24)),SUMPRODUCT('Skovbrug-alder'!$F$2:$AJ$311*('Skovbrug-alder'!$A$2:$A$311=$A24)*('Skovbrug-alder'!$B$2:$B$311=E$20)*('Skovbrug-alder'!$C$2:$C$311=E$21)*('Skovbrug-alder'!$F$1:$AJ$1&lt;=$B24)*('Skovbrug-alder'!$F$1:$AJ$1&gt;$B23)))</f>
        <v>36624.011140538823</v>
      </c>
      <c r="F24" s="109" cm="1">
        <f t="array" aca="1" ref="F24" ca="1">IF($B24=10,SUMPRODUCT('Skovbrug-alder'!$F$2:$AJ$311*('Skovbrug-alder'!$A$2:$A$311=$A24)*('Skovbrug-alder'!$B$2:$B$311=F$20)*('Skovbrug-alder'!$C$2:$C$311=F$21)*('Skovbrug-alder'!$F$1:$AJ$1&lt;=$B24)),SUMPRODUCT('Skovbrug-alder'!$F$2:$AJ$311*('Skovbrug-alder'!$A$2:$A$311=$A24)*('Skovbrug-alder'!$B$2:$B$311=F$20)*('Skovbrug-alder'!$C$2:$C$311=F$21)*('Skovbrug-alder'!$F$1:$AJ$1&lt;=$B24)*('Skovbrug-alder'!$F$1:$AJ$1&gt;$B23)))</f>
        <v>0</v>
      </c>
      <c r="G24" s="109" cm="1">
        <f t="array" aca="1" ref="G24" ca="1">IF($B24=10,SUMPRODUCT('Skovbrug-alder'!$F$2:$AJ$311*('Skovbrug-alder'!$A$2:$A$311=$A24)*('Skovbrug-alder'!$B$2:$B$311=G$20)*('Skovbrug-alder'!$C$2:$C$311=G$21)*('Skovbrug-alder'!$F$1:$AJ$1&lt;=$B24)),SUMPRODUCT('Skovbrug-alder'!$F$2:$AJ$311*('Skovbrug-alder'!$A$2:$A$311=$A24)*('Skovbrug-alder'!$B$2:$B$311=G$20)*('Skovbrug-alder'!$C$2:$C$311=G$21)*('Skovbrug-alder'!$F$1:$AJ$1&lt;=$B24)*('Skovbrug-alder'!$F$1:$AJ$1&gt;$B23)))</f>
        <v>887.24591040319569</v>
      </c>
      <c r="H24" s="109" cm="1">
        <f t="array" aca="1" ref="H24" ca="1">IF($B24=10,SUMPRODUCT('Skovbrug-alder'!$F$2:$AJ$311*('Skovbrug-alder'!$A$2:$A$311=$A24)*('Skovbrug-alder'!$B$2:$B$311=H$20)*('Skovbrug-alder'!$C$2:$C$311=H$21)*('Skovbrug-alder'!$F$1:$AJ$1&lt;=$B24)),SUMPRODUCT('Skovbrug-alder'!$F$2:$AJ$311*('Skovbrug-alder'!$A$2:$A$311=$A24)*('Skovbrug-alder'!$B$2:$B$311=H$20)*('Skovbrug-alder'!$C$2:$C$311=H$21)*('Skovbrug-alder'!$F$1:$AJ$1&lt;=$B24)*('Skovbrug-alder'!$F$1:$AJ$1&gt;$B23)))</f>
        <v>8397.0977821480992</v>
      </c>
    </row>
    <row r="25" spans="1:8" hidden="1" x14ac:dyDescent="0.25">
      <c r="A25" s="2" t="s">
        <v>176</v>
      </c>
      <c r="B25" s="183">
        <v>30</v>
      </c>
      <c r="C25" s="109">
        <v>0</v>
      </c>
      <c r="D25" s="109" cm="1">
        <f t="array" aca="1" ref="D25" ca="1">IF($B25=10,SUMPRODUCT('Skovbrug-alder'!$F$2:$AJ$311*('Skovbrug-alder'!$A$2:$A$311=$A25)*('Skovbrug-alder'!$B$2:$B$311=D$20)*('Skovbrug-alder'!$C$2:$C$311=D$21)*('Skovbrug-alder'!$F$1:$AJ$1&lt;=$B25)),SUMPRODUCT('Skovbrug-alder'!$F$2:$AJ$311*('Skovbrug-alder'!$A$2:$A$311=$A25)*('Skovbrug-alder'!$B$2:$B$311=D$20)*('Skovbrug-alder'!$C$2:$C$311=D$21)*('Skovbrug-alder'!$F$1:$AJ$1&lt;=$B25)*('Skovbrug-alder'!$F$1:$AJ$1&gt;$B24)))</f>
        <v>0</v>
      </c>
      <c r="E25" s="109" cm="1">
        <f t="array" aca="1" ref="E25" ca="1">IF($B25=10,SUMPRODUCT('Skovbrug-alder'!$F$2:$AJ$311*('Skovbrug-alder'!$A$2:$A$311=$A25)*('Skovbrug-alder'!$B$2:$B$311=E$20)*('Skovbrug-alder'!$C$2:$C$311=E$21)*('Skovbrug-alder'!$F$1:$AJ$1&lt;=$B25)),SUMPRODUCT('Skovbrug-alder'!$F$2:$AJ$311*('Skovbrug-alder'!$A$2:$A$311=$A25)*('Skovbrug-alder'!$B$2:$B$311=E$20)*('Skovbrug-alder'!$C$2:$C$311=E$21)*('Skovbrug-alder'!$F$1:$AJ$1&lt;=$B25)*('Skovbrug-alder'!$F$1:$AJ$1&gt;$B24)))</f>
        <v>37658.711277432194</v>
      </c>
      <c r="F25" s="109" cm="1">
        <f t="array" aca="1" ref="F25" ca="1">IF($B25=10,SUMPRODUCT('Skovbrug-alder'!$F$2:$AJ$311*('Skovbrug-alder'!$A$2:$A$311=$A25)*('Skovbrug-alder'!$B$2:$B$311=F$20)*('Skovbrug-alder'!$C$2:$C$311=F$21)*('Skovbrug-alder'!$F$1:$AJ$1&lt;=$B25)),SUMPRODUCT('Skovbrug-alder'!$F$2:$AJ$311*('Skovbrug-alder'!$A$2:$A$311=$A25)*('Skovbrug-alder'!$B$2:$B$311=F$20)*('Skovbrug-alder'!$C$2:$C$311=F$21)*('Skovbrug-alder'!$F$1:$AJ$1&lt;=$B25)*('Skovbrug-alder'!$F$1:$AJ$1&gt;$B24)))</f>
        <v>0</v>
      </c>
      <c r="G25" s="109" cm="1">
        <f t="array" aca="1" ref="G25" ca="1">IF($B25=10,SUMPRODUCT('Skovbrug-alder'!$F$2:$AJ$311*('Skovbrug-alder'!$A$2:$A$311=$A25)*('Skovbrug-alder'!$B$2:$B$311=G$20)*('Skovbrug-alder'!$C$2:$C$311=G$21)*('Skovbrug-alder'!$F$1:$AJ$1&lt;=$B25)),SUMPRODUCT('Skovbrug-alder'!$F$2:$AJ$311*('Skovbrug-alder'!$A$2:$A$311=$A25)*('Skovbrug-alder'!$B$2:$B$311=G$20)*('Skovbrug-alder'!$C$2:$C$311=G$21)*('Skovbrug-alder'!$F$1:$AJ$1&lt;=$B25)*('Skovbrug-alder'!$F$1:$AJ$1&gt;$B24)))</f>
        <v>0</v>
      </c>
      <c r="H25" s="109" cm="1">
        <f t="array" aca="1" ref="H25" ca="1">IF($B25=10,SUMPRODUCT('Skovbrug-alder'!$F$2:$AJ$311*('Skovbrug-alder'!$A$2:$A$311=$A25)*('Skovbrug-alder'!$B$2:$B$311=H$20)*('Skovbrug-alder'!$C$2:$C$311=H$21)*('Skovbrug-alder'!$F$1:$AJ$1&lt;=$B25)),SUMPRODUCT('Skovbrug-alder'!$F$2:$AJ$311*('Skovbrug-alder'!$A$2:$A$311=$A25)*('Skovbrug-alder'!$B$2:$B$311=H$20)*('Skovbrug-alder'!$C$2:$C$311=H$21)*('Skovbrug-alder'!$F$1:$AJ$1&lt;=$B25)*('Skovbrug-alder'!$F$1:$AJ$1&gt;$B24)))</f>
        <v>8699.9594896893177</v>
      </c>
    </row>
    <row r="26" spans="1:8" hidden="1" x14ac:dyDescent="0.25">
      <c r="A26" s="2" t="s">
        <v>176</v>
      </c>
      <c r="B26" s="184">
        <v>40</v>
      </c>
      <c r="C26" s="109">
        <v>0</v>
      </c>
      <c r="D26" s="109" cm="1">
        <f t="array" aca="1" ref="D26" ca="1">IF($B26=10,SUMPRODUCT('Skovbrug-alder'!$F$2:$AJ$311*('Skovbrug-alder'!$A$2:$A$311=$A26)*('Skovbrug-alder'!$B$2:$B$311=D$20)*('Skovbrug-alder'!$C$2:$C$311=D$21)*('Skovbrug-alder'!$F$1:$AJ$1&lt;=$B26)),SUMPRODUCT('Skovbrug-alder'!$F$2:$AJ$311*('Skovbrug-alder'!$A$2:$A$311=$A26)*('Skovbrug-alder'!$B$2:$B$311=D$20)*('Skovbrug-alder'!$C$2:$C$311=D$21)*('Skovbrug-alder'!$F$1:$AJ$1&lt;=$B26)*('Skovbrug-alder'!$F$1:$AJ$1&gt;$B25)))</f>
        <v>0</v>
      </c>
      <c r="E26" s="109" cm="1">
        <f t="array" aca="1" ref="E26" ca="1">IF($B26=10,SUMPRODUCT('Skovbrug-alder'!$F$2:$AJ$311*('Skovbrug-alder'!$A$2:$A$311=$A26)*('Skovbrug-alder'!$B$2:$B$311=E$20)*('Skovbrug-alder'!$C$2:$C$311=E$21)*('Skovbrug-alder'!$F$1:$AJ$1&lt;=$B26)),SUMPRODUCT('Skovbrug-alder'!$F$2:$AJ$311*('Skovbrug-alder'!$A$2:$A$311=$A26)*('Skovbrug-alder'!$B$2:$B$311=E$20)*('Skovbrug-alder'!$C$2:$C$311=E$21)*('Skovbrug-alder'!$F$1:$AJ$1&lt;=$B26)*('Skovbrug-alder'!$F$1:$AJ$1&gt;$B25)))</f>
        <v>3812.1903739821792</v>
      </c>
      <c r="F26" s="109" cm="1">
        <f t="array" aca="1" ref="F26" ca="1">IF($B26=10,SUMPRODUCT('Skovbrug-alder'!$F$2:$AJ$311*('Skovbrug-alder'!$A$2:$A$311=$A26)*('Skovbrug-alder'!$B$2:$B$311=F$20)*('Skovbrug-alder'!$C$2:$C$311=F$21)*('Skovbrug-alder'!$F$1:$AJ$1&lt;=$B26)),SUMPRODUCT('Skovbrug-alder'!$F$2:$AJ$311*('Skovbrug-alder'!$A$2:$A$311=$A26)*('Skovbrug-alder'!$B$2:$B$311=F$20)*('Skovbrug-alder'!$C$2:$C$311=F$21)*('Skovbrug-alder'!$F$1:$AJ$1&lt;=$B26)*('Skovbrug-alder'!$F$1:$AJ$1&gt;$B25)))</f>
        <v>0</v>
      </c>
      <c r="G26" s="109" cm="1">
        <f t="array" aca="1" ref="G26" ca="1">IF($B26=10,SUMPRODUCT('Skovbrug-alder'!$F$2:$AJ$311*('Skovbrug-alder'!$A$2:$A$311=$A26)*('Skovbrug-alder'!$B$2:$B$311=G$20)*('Skovbrug-alder'!$C$2:$C$311=G$21)*('Skovbrug-alder'!$F$1:$AJ$1&lt;=$B26)),SUMPRODUCT('Skovbrug-alder'!$F$2:$AJ$311*('Skovbrug-alder'!$A$2:$A$311=$A26)*('Skovbrug-alder'!$B$2:$B$311=G$20)*('Skovbrug-alder'!$C$2:$C$311=G$21)*('Skovbrug-alder'!$F$1:$AJ$1&lt;=$B26)*('Skovbrug-alder'!$F$1:$AJ$1&gt;$B25)))</f>
        <v>0</v>
      </c>
      <c r="H26" s="109" cm="1">
        <f t="array" aca="1" ref="H26" ca="1">IF($B26=10,SUMPRODUCT('Skovbrug-alder'!$F$2:$AJ$311*('Skovbrug-alder'!$A$2:$A$311=$A26)*('Skovbrug-alder'!$B$2:$B$311=H$20)*('Skovbrug-alder'!$C$2:$C$311=H$21)*('Skovbrug-alder'!$F$1:$AJ$1&lt;=$B26)),SUMPRODUCT('Skovbrug-alder'!$F$2:$AJ$311*('Skovbrug-alder'!$A$2:$A$311=$A26)*('Skovbrug-alder'!$B$2:$B$311=H$20)*('Skovbrug-alder'!$C$2:$C$311=H$21)*('Skovbrug-alder'!$F$1:$AJ$1&lt;=$B26)*('Skovbrug-alder'!$F$1:$AJ$1&gt;$B25)))</f>
        <v>884.3198866561213</v>
      </c>
    </row>
    <row r="27" spans="1:8" hidden="1" x14ac:dyDescent="0.25">
      <c r="A27" s="2" t="s">
        <v>177</v>
      </c>
      <c r="B27" s="183">
        <v>10</v>
      </c>
      <c r="C27" s="109">
        <v>0</v>
      </c>
      <c r="D27" s="109" cm="1">
        <f t="array" aca="1" ref="D27" ca="1">IF($B27=10,SUMPRODUCT('Skovbrug-alder'!$F$2:$AJ$311*('Skovbrug-alder'!$A$2:$A$311=$A27)*('Skovbrug-alder'!$B$2:$B$311=D$20)*('Skovbrug-alder'!$C$2:$C$311=D$21)*('Skovbrug-alder'!$F$1:$AJ$1&lt;=$B27)),SUMPRODUCT('Skovbrug-alder'!$F$2:$AJ$311*('Skovbrug-alder'!$A$2:$A$311=$A27)*('Skovbrug-alder'!$B$2:$B$311=D$20)*('Skovbrug-alder'!$C$2:$C$311=D$21)*('Skovbrug-alder'!$F$1:$AJ$1&lt;=$B27)*('Skovbrug-alder'!$F$1:$AJ$1&gt;$B26)))</f>
        <v>0</v>
      </c>
      <c r="E27" s="109" cm="1">
        <f t="array" aca="1" ref="E27" ca="1">IF($B27=10,SUMPRODUCT('Skovbrug-alder'!$F$2:$AJ$311*('Skovbrug-alder'!$A$2:$A$311=$A27)*('Skovbrug-alder'!$B$2:$B$311=E$20)*('Skovbrug-alder'!$C$2:$C$311=E$21)*('Skovbrug-alder'!$F$1:$AJ$1&lt;=$B27)),SUMPRODUCT('Skovbrug-alder'!$F$2:$AJ$311*('Skovbrug-alder'!$A$2:$A$311=$A27)*('Skovbrug-alder'!$B$2:$B$311=E$20)*('Skovbrug-alder'!$C$2:$C$311=E$21)*('Skovbrug-alder'!$F$1:$AJ$1&lt;=$B27)*('Skovbrug-alder'!$F$1:$AJ$1&gt;$B26)))</f>
        <v>0</v>
      </c>
      <c r="F27" s="109" cm="1">
        <f t="array" aca="1" ref="F27" ca="1">IF($B27=10,SUMPRODUCT('Skovbrug-alder'!$F$2:$AJ$311*('Skovbrug-alder'!$A$2:$A$311=$A27)*('Skovbrug-alder'!$B$2:$B$311=F$20)*('Skovbrug-alder'!$C$2:$C$311=F$21)*('Skovbrug-alder'!$F$1:$AJ$1&lt;=$B27)),SUMPRODUCT('Skovbrug-alder'!$F$2:$AJ$311*('Skovbrug-alder'!$A$2:$A$311=$A27)*('Skovbrug-alder'!$B$2:$B$311=F$20)*('Skovbrug-alder'!$C$2:$C$311=F$21)*('Skovbrug-alder'!$F$1:$AJ$1&lt;=$B27)*('Skovbrug-alder'!$F$1:$AJ$1&gt;$B26)))</f>
        <v>0</v>
      </c>
      <c r="G27" s="109" cm="1">
        <f t="array" aca="1" ref="G27" ca="1">IF($B27=10,SUMPRODUCT('Skovbrug-alder'!$F$2:$AJ$311*('Skovbrug-alder'!$A$2:$A$311=$A27)*('Skovbrug-alder'!$B$2:$B$311=G$20)*('Skovbrug-alder'!$C$2:$C$311=G$21)*('Skovbrug-alder'!$F$1:$AJ$1&lt;=$B27)),SUMPRODUCT('Skovbrug-alder'!$F$2:$AJ$311*('Skovbrug-alder'!$A$2:$A$311=$A27)*('Skovbrug-alder'!$B$2:$B$311=G$20)*('Skovbrug-alder'!$C$2:$C$311=G$21)*('Skovbrug-alder'!$F$1:$AJ$1&lt;=$B27)*('Skovbrug-alder'!$F$1:$AJ$1&gt;$B26)))</f>
        <v>0</v>
      </c>
      <c r="H27" s="109" cm="1">
        <f t="array" aca="1" ref="H27" ca="1">IF($B27=10,SUMPRODUCT('Skovbrug-alder'!$F$2:$AJ$311*('Skovbrug-alder'!$A$2:$A$311=$A27)*('Skovbrug-alder'!$B$2:$B$311=H$20)*('Skovbrug-alder'!$C$2:$C$311=H$21)*('Skovbrug-alder'!$F$1:$AJ$1&lt;=$B27)),SUMPRODUCT('Skovbrug-alder'!$F$2:$AJ$311*('Skovbrug-alder'!$A$2:$A$311=$A27)*('Skovbrug-alder'!$B$2:$B$311=H$20)*('Skovbrug-alder'!$C$2:$C$311=H$21)*('Skovbrug-alder'!$F$1:$AJ$1&lt;=$B27)*('Skovbrug-alder'!$F$1:$AJ$1&gt;$B26)))</f>
        <v>0</v>
      </c>
    </row>
    <row r="28" spans="1:8" hidden="1" x14ac:dyDescent="0.25">
      <c r="A28" s="2" t="s">
        <v>177</v>
      </c>
      <c r="B28" s="183">
        <v>20</v>
      </c>
      <c r="C28" s="109">
        <v>0</v>
      </c>
      <c r="D28" s="109" cm="1">
        <f t="array" aca="1" ref="D28" ca="1">IF($B28=10,SUMPRODUCT('Skovbrug-alder'!$F$2:$AJ$311*('Skovbrug-alder'!$A$2:$A$311=$A28)*('Skovbrug-alder'!$B$2:$B$311=D$20)*('Skovbrug-alder'!$C$2:$C$311=D$21)*('Skovbrug-alder'!$F$1:$AJ$1&lt;=$B28)),SUMPRODUCT('Skovbrug-alder'!$F$2:$AJ$311*('Skovbrug-alder'!$A$2:$A$311=$A28)*('Skovbrug-alder'!$B$2:$B$311=D$20)*('Skovbrug-alder'!$C$2:$C$311=D$21)*('Skovbrug-alder'!$F$1:$AJ$1&lt;=$B28)*('Skovbrug-alder'!$F$1:$AJ$1&gt;$B27)))</f>
        <v>0</v>
      </c>
      <c r="E28" s="109" cm="1">
        <f t="array" aca="1" ref="E28" ca="1">IF($B28=10,SUMPRODUCT('Skovbrug-alder'!$F$2:$AJ$311*('Skovbrug-alder'!$A$2:$A$311=$A28)*('Skovbrug-alder'!$B$2:$B$311=E$20)*('Skovbrug-alder'!$C$2:$C$311=E$21)*('Skovbrug-alder'!$F$1:$AJ$1&lt;=$B28)),SUMPRODUCT('Skovbrug-alder'!$F$2:$AJ$311*('Skovbrug-alder'!$A$2:$A$311=$A28)*('Skovbrug-alder'!$B$2:$B$311=E$20)*('Skovbrug-alder'!$C$2:$C$311=E$21)*('Skovbrug-alder'!$F$1:$AJ$1&lt;=$B28)*('Skovbrug-alder'!$F$1:$AJ$1&gt;$B27)))</f>
        <v>0</v>
      </c>
      <c r="F28" s="109" cm="1">
        <f t="array" aca="1" ref="F28" ca="1">IF($B28=10,SUMPRODUCT('Skovbrug-alder'!$F$2:$AJ$311*('Skovbrug-alder'!$A$2:$A$311=$A28)*('Skovbrug-alder'!$B$2:$B$311=F$20)*('Skovbrug-alder'!$C$2:$C$311=F$21)*('Skovbrug-alder'!$F$1:$AJ$1&lt;=$B28)),SUMPRODUCT('Skovbrug-alder'!$F$2:$AJ$311*('Skovbrug-alder'!$A$2:$A$311=$A28)*('Skovbrug-alder'!$B$2:$B$311=F$20)*('Skovbrug-alder'!$C$2:$C$311=F$21)*('Skovbrug-alder'!$F$1:$AJ$1&lt;=$B28)*('Skovbrug-alder'!$F$1:$AJ$1&gt;$B27)))</f>
        <v>0</v>
      </c>
      <c r="G28" s="109" cm="1">
        <f t="array" aca="1" ref="G28" ca="1">IF($B28=10,SUMPRODUCT('Skovbrug-alder'!$F$2:$AJ$311*('Skovbrug-alder'!$A$2:$A$311=$A28)*('Skovbrug-alder'!$B$2:$B$311=G$20)*('Skovbrug-alder'!$C$2:$C$311=G$21)*('Skovbrug-alder'!$F$1:$AJ$1&lt;=$B28)),SUMPRODUCT('Skovbrug-alder'!$F$2:$AJ$311*('Skovbrug-alder'!$A$2:$A$311=$A28)*('Skovbrug-alder'!$B$2:$B$311=G$20)*('Skovbrug-alder'!$C$2:$C$311=G$21)*('Skovbrug-alder'!$F$1:$AJ$1&lt;=$B28)*('Skovbrug-alder'!$F$1:$AJ$1&gt;$B27)))</f>
        <v>0</v>
      </c>
      <c r="H28" s="109" cm="1">
        <f t="array" aca="1" ref="H28" ca="1">IF($B28=10,SUMPRODUCT('Skovbrug-alder'!$F$2:$AJ$311*('Skovbrug-alder'!$A$2:$A$311=$A28)*('Skovbrug-alder'!$B$2:$B$311=H$20)*('Skovbrug-alder'!$C$2:$C$311=H$21)*('Skovbrug-alder'!$F$1:$AJ$1&lt;=$B28)),SUMPRODUCT('Skovbrug-alder'!$F$2:$AJ$311*('Skovbrug-alder'!$A$2:$A$311=$A28)*('Skovbrug-alder'!$B$2:$B$311=H$20)*('Skovbrug-alder'!$C$2:$C$311=H$21)*('Skovbrug-alder'!$F$1:$AJ$1&lt;=$B28)*('Skovbrug-alder'!$F$1:$AJ$1&gt;$B27)))</f>
        <v>0</v>
      </c>
    </row>
    <row r="29" spans="1:8" hidden="1" x14ac:dyDescent="0.25">
      <c r="A29" s="2" t="s">
        <v>177</v>
      </c>
      <c r="B29" s="183">
        <v>30</v>
      </c>
      <c r="C29" s="109">
        <v>0</v>
      </c>
      <c r="D29" s="109" cm="1">
        <f t="array" aca="1" ref="D29" ca="1">IF($B29=10,SUMPRODUCT('Skovbrug-alder'!$F$2:$AJ$311*('Skovbrug-alder'!$A$2:$A$311=$A29)*('Skovbrug-alder'!$B$2:$B$311=D$20)*('Skovbrug-alder'!$C$2:$C$311=D$21)*('Skovbrug-alder'!$F$1:$AJ$1&lt;=$B29)),SUMPRODUCT('Skovbrug-alder'!$F$2:$AJ$311*('Skovbrug-alder'!$A$2:$A$311=$A29)*('Skovbrug-alder'!$B$2:$B$311=D$20)*('Skovbrug-alder'!$C$2:$C$311=D$21)*('Skovbrug-alder'!$F$1:$AJ$1&lt;=$B29)*('Skovbrug-alder'!$F$1:$AJ$1&gt;$B28)))</f>
        <v>0</v>
      </c>
      <c r="E29" s="109" cm="1">
        <f t="array" aca="1" ref="E29" ca="1">IF($B29=10,SUMPRODUCT('Skovbrug-alder'!$F$2:$AJ$311*('Skovbrug-alder'!$A$2:$A$311=$A29)*('Skovbrug-alder'!$B$2:$B$311=E$20)*('Skovbrug-alder'!$C$2:$C$311=E$21)*('Skovbrug-alder'!$F$1:$AJ$1&lt;=$B29)),SUMPRODUCT('Skovbrug-alder'!$F$2:$AJ$311*('Skovbrug-alder'!$A$2:$A$311=$A29)*('Skovbrug-alder'!$B$2:$B$311=E$20)*('Skovbrug-alder'!$C$2:$C$311=E$21)*('Skovbrug-alder'!$F$1:$AJ$1&lt;=$B29)*('Skovbrug-alder'!$F$1:$AJ$1&gt;$B28)))</f>
        <v>0</v>
      </c>
      <c r="F29" s="109" cm="1">
        <f t="array" aca="1" ref="F29" ca="1">IF($B29=10,SUMPRODUCT('Skovbrug-alder'!$F$2:$AJ$311*('Skovbrug-alder'!$A$2:$A$311=$A29)*('Skovbrug-alder'!$B$2:$B$311=F$20)*('Skovbrug-alder'!$C$2:$C$311=F$21)*('Skovbrug-alder'!$F$1:$AJ$1&lt;=$B29)),SUMPRODUCT('Skovbrug-alder'!$F$2:$AJ$311*('Skovbrug-alder'!$A$2:$A$311=$A29)*('Skovbrug-alder'!$B$2:$B$311=F$20)*('Skovbrug-alder'!$C$2:$C$311=F$21)*('Skovbrug-alder'!$F$1:$AJ$1&lt;=$B29)*('Skovbrug-alder'!$F$1:$AJ$1&gt;$B28)))</f>
        <v>0</v>
      </c>
      <c r="G29" s="109" cm="1">
        <f t="array" aca="1" ref="G29" ca="1">IF($B29=10,SUMPRODUCT('Skovbrug-alder'!$F$2:$AJ$311*('Skovbrug-alder'!$A$2:$A$311=$A29)*('Skovbrug-alder'!$B$2:$B$311=G$20)*('Skovbrug-alder'!$C$2:$C$311=G$21)*('Skovbrug-alder'!$F$1:$AJ$1&lt;=$B29)),SUMPRODUCT('Skovbrug-alder'!$F$2:$AJ$311*('Skovbrug-alder'!$A$2:$A$311=$A29)*('Skovbrug-alder'!$B$2:$B$311=G$20)*('Skovbrug-alder'!$C$2:$C$311=G$21)*('Skovbrug-alder'!$F$1:$AJ$1&lt;=$B29)*('Skovbrug-alder'!$F$1:$AJ$1&gt;$B28)))</f>
        <v>0</v>
      </c>
      <c r="H29" s="109" cm="1">
        <f t="array" aca="1" ref="H29" ca="1">IF($B29=10,SUMPRODUCT('Skovbrug-alder'!$F$2:$AJ$311*('Skovbrug-alder'!$A$2:$A$311=$A29)*('Skovbrug-alder'!$B$2:$B$311=H$20)*('Skovbrug-alder'!$C$2:$C$311=H$21)*('Skovbrug-alder'!$F$1:$AJ$1&lt;=$B29)),SUMPRODUCT('Skovbrug-alder'!$F$2:$AJ$311*('Skovbrug-alder'!$A$2:$A$311=$A29)*('Skovbrug-alder'!$B$2:$B$311=H$20)*('Skovbrug-alder'!$C$2:$C$311=H$21)*('Skovbrug-alder'!$F$1:$AJ$1&lt;=$B29)*('Skovbrug-alder'!$F$1:$AJ$1&gt;$B28)))</f>
        <v>0</v>
      </c>
    </row>
    <row r="30" spans="1:8" hidden="1" x14ac:dyDescent="0.25">
      <c r="A30" s="2" t="s">
        <v>177</v>
      </c>
      <c r="B30" s="184">
        <v>40</v>
      </c>
      <c r="C30" s="109">
        <v>0</v>
      </c>
      <c r="D30" s="109" cm="1">
        <f t="array" aca="1" ref="D30" ca="1">IF($B30=10,SUMPRODUCT('Skovbrug-alder'!$F$2:$AJ$311*('Skovbrug-alder'!$A$2:$A$311=$A30)*('Skovbrug-alder'!$B$2:$B$311=D$20)*('Skovbrug-alder'!$C$2:$C$311=D$21)*('Skovbrug-alder'!$F$1:$AJ$1&lt;=$B30)),SUMPRODUCT('Skovbrug-alder'!$F$2:$AJ$311*('Skovbrug-alder'!$A$2:$A$311=$A30)*('Skovbrug-alder'!$B$2:$B$311=D$20)*('Skovbrug-alder'!$C$2:$C$311=D$21)*('Skovbrug-alder'!$F$1:$AJ$1&lt;=$B30)*('Skovbrug-alder'!$F$1:$AJ$1&gt;$B29)))</f>
        <v>0</v>
      </c>
      <c r="E30" s="109" cm="1">
        <f t="array" aca="1" ref="E30" ca="1">IF($B30=10,SUMPRODUCT('Skovbrug-alder'!$F$2:$AJ$311*('Skovbrug-alder'!$A$2:$A$311=$A30)*('Skovbrug-alder'!$B$2:$B$311=E$20)*('Skovbrug-alder'!$C$2:$C$311=E$21)*('Skovbrug-alder'!$F$1:$AJ$1&lt;=$B30)),SUMPRODUCT('Skovbrug-alder'!$F$2:$AJ$311*('Skovbrug-alder'!$A$2:$A$311=$A30)*('Skovbrug-alder'!$B$2:$B$311=E$20)*('Skovbrug-alder'!$C$2:$C$311=E$21)*('Skovbrug-alder'!$F$1:$AJ$1&lt;=$B30)*('Skovbrug-alder'!$F$1:$AJ$1&gt;$B29)))</f>
        <v>0</v>
      </c>
      <c r="F30" s="109" cm="1">
        <f t="array" aca="1" ref="F30" ca="1">IF($B30=10,SUMPRODUCT('Skovbrug-alder'!$F$2:$AJ$311*('Skovbrug-alder'!$A$2:$A$311=$A30)*('Skovbrug-alder'!$B$2:$B$311=F$20)*('Skovbrug-alder'!$C$2:$C$311=F$21)*('Skovbrug-alder'!$F$1:$AJ$1&lt;=$B30)),SUMPRODUCT('Skovbrug-alder'!$F$2:$AJ$311*('Skovbrug-alder'!$A$2:$A$311=$A30)*('Skovbrug-alder'!$B$2:$B$311=F$20)*('Skovbrug-alder'!$C$2:$C$311=F$21)*('Skovbrug-alder'!$F$1:$AJ$1&lt;=$B30)*('Skovbrug-alder'!$F$1:$AJ$1&gt;$B29)))</f>
        <v>0</v>
      </c>
      <c r="G30" s="109" cm="1">
        <f t="array" aca="1" ref="G30" ca="1">IF($B30=10,SUMPRODUCT('Skovbrug-alder'!$F$2:$AJ$311*('Skovbrug-alder'!$A$2:$A$311=$A30)*('Skovbrug-alder'!$B$2:$B$311=G$20)*('Skovbrug-alder'!$C$2:$C$311=G$21)*('Skovbrug-alder'!$F$1:$AJ$1&lt;=$B30)),SUMPRODUCT('Skovbrug-alder'!$F$2:$AJ$311*('Skovbrug-alder'!$A$2:$A$311=$A30)*('Skovbrug-alder'!$B$2:$B$311=G$20)*('Skovbrug-alder'!$C$2:$C$311=G$21)*('Skovbrug-alder'!$F$1:$AJ$1&lt;=$B30)*('Skovbrug-alder'!$F$1:$AJ$1&gt;$B29)))</f>
        <v>0</v>
      </c>
      <c r="H30" s="109" cm="1">
        <f t="array" aca="1" ref="H30" ca="1">IF($B30=10,SUMPRODUCT('Skovbrug-alder'!$F$2:$AJ$311*('Skovbrug-alder'!$A$2:$A$311=$A30)*('Skovbrug-alder'!$B$2:$B$311=H$20)*('Skovbrug-alder'!$C$2:$C$311=H$21)*('Skovbrug-alder'!$F$1:$AJ$1&lt;=$B30)),SUMPRODUCT('Skovbrug-alder'!$F$2:$AJ$311*('Skovbrug-alder'!$A$2:$A$311=$A30)*('Skovbrug-alder'!$B$2:$B$311=H$20)*('Skovbrug-alder'!$C$2:$C$311=H$21)*('Skovbrug-alder'!$F$1:$AJ$1&lt;=$B30)*('Skovbrug-alder'!$F$1:$AJ$1&gt;$B29)))</f>
        <v>0</v>
      </c>
    </row>
    <row r="31" spans="1:8" hidden="1" x14ac:dyDescent="0.25">
      <c r="A31" s="2" t="s">
        <v>178</v>
      </c>
      <c r="B31" s="183">
        <v>10</v>
      </c>
      <c r="C31" s="109">
        <v>0</v>
      </c>
      <c r="D31" s="109" cm="1">
        <f t="array" aca="1" ref="D31" ca="1">IF($B31=10,SUMPRODUCT('Skovbrug-alder'!$F$2:$AJ$311*('Skovbrug-alder'!$A$2:$A$311=$A31)*('Skovbrug-alder'!$B$2:$B$311=D$20)*('Skovbrug-alder'!$C$2:$C$311=D$21)*('Skovbrug-alder'!$F$1:$AJ$1&lt;=$B31)),SUMPRODUCT('Skovbrug-alder'!$F$2:$AJ$311*('Skovbrug-alder'!$A$2:$A$311=$A31)*('Skovbrug-alder'!$B$2:$B$311=D$20)*('Skovbrug-alder'!$C$2:$C$311=D$21)*('Skovbrug-alder'!$F$1:$AJ$1&lt;=$B31)*('Skovbrug-alder'!$F$1:$AJ$1&gt;$B30)))</f>
        <v>0</v>
      </c>
      <c r="E31" s="109" cm="1">
        <f t="array" aca="1" ref="E31" ca="1">IF($B31=10,SUMPRODUCT('Skovbrug-alder'!$F$2:$AJ$311*('Skovbrug-alder'!$A$2:$A$311=$A31)*('Skovbrug-alder'!$B$2:$B$311=E$20)*('Skovbrug-alder'!$C$2:$C$311=E$21)*('Skovbrug-alder'!$F$1:$AJ$1&lt;=$B31)),SUMPRODUCT('Skovbrug-alder'!$F$2:$AJ$311*('Skovbrug-alder'!$A$2:$A$311=$A31)*('Skovbrug-alder'!$B$2:$B$311=E$20)*('Skovbrug-alder'!$C$2:$C$311=E$21)*('Skovbrug-alder'!$F$1:$AJ$1&lt;=$B31)*('Skovbrug-alder'!$F$1:$AJ$1&gt;$B30)))</f>
        <v>0</v>
      </c>
      <c r="F31" s="109" cm="1">
        <f t="array" aca="1" ref="F31" ca="1">IF($B31=10,SUMPRODUCT('Skovbrug-alder'!$F$2:$AJ$311*('Skovbrug-alder'!$A$2:$A$311=$A31)*('Skovbrug-alder'!$B$2:$B$311=F$20)*('Skovbrug-alder'!$C$2:$C$311=F$21)*('Skovbrug-alder'!$F$1:$AJ$1&lt;=$B31)),SUMPRODUCT('Skovbrug-alder'!$F$2:$AJ$311*('Skovbrug-alder'!$A$2:$A$311=$A31)*('Skovbrug-alder'!$B$2:$B$311=F$20)*('Skovbrug-alder'!$C$2:$C$311=F$21)*('Skovbrug-alder'!$F$1:$AJ$1&lt;=$B31)*('Skovbrug-alder'!$F$1:$AJ$1&gt;$B30)))</f>
        <v>0</v>
      </c>
      <c r="G31" s="109" cm="1">
        <f t="array" aca="1" ref="G31" ca="1">IF($B31=10,SUMPRODUCT('Skovbrug-alder'!$F$2:$AJ$311*('Skovbrug-alder'!$A$2:$A$311=$A31)*('Skovbrug-alder'!$B$2:$B$311=G$20)*('Skovbrug-alder'!$C$2:$C$311=G$21)*('Skovbrug-alder'!$F$1:$AJ$1&lt;=$B31)),SUMPRODUCT('Skovbrug-alder'!$F$2:$AJ$311*('Skovbrug-alder'!$A$2:$A$311=$A31)*('Skovbrug-alder'!$B$2:$B$311=G$20)*('Skovbrug-alder'!$C$2:$C$311=G$21)*('Skovbrug-alder'!$F$1:$AJ$1&lt;=$B31)*('Skovbrug-alder'!$F$1:$AJ$1&gt;$B30)))</f>
        <v>0</v>
      </c>
      <c r="H31" s="109" cm="1">
        <f t="array" aca="1" ref="H31" ca="1">IF($B31=10,SUMPRODUCT('Skovbrug-alder'!$F$2:$AJ$311*('Skovbrug-alder'!$A$2:$A$311=$A31)*('Skovbrug-alder'!$B$2:$B$311=H$20)*('Skovbrug-alder'!$C$2:$C$311=H$21)*('Skovbrug-alder'!$F$1:$AJ$1&lt;=$B31)),SUMPRODUCT('Skovbrug-alder'!$F$2:$AJ$311*('Skovbrug-alder'!$A$2:$A$311=$A31)*('Skovbrug-alder'!$B$2:$B$311=H$20)*('Skovbrug-alder'!$C$2:$C$311=H$21)*('Skovbrug-alder'!$F$1:$AJ$1&lt;=$B31)*('Skovbrug-alder'!$F$1:$AJ$1&gt;$B30)))</f>
        <v>0</v>
      </c>
    </row>
    <row r="32" spans="1:8" hidden="1" x14ac:dyDescent="0.25">
      <c r="A32" s="2" t="s">
        <v>178</v>
      </c>
      <c r="B32" s="183">
        <v>20</v>
      </c>
      <c r="C32" s="109">
        <v>0</v>
      </c>
      <c r="D32" s="109" cm="1">
        <f t="array" aca="1" ref="D32" ca="1">IF($B32=10,SUMPRODUCT('Skovbrug-alder'!$F$2:$AJ$311*('Skovbrug-alder'!$A$2:$A$311=$A32)*('Skovbrug-alder'!$B$2:$B$311=D$20)*('Skovbrug-alder'!$C$2:$C$311=D$21)*('Skovbrug-alder'!$F$1:$AJ$1&lt;=$B32)),SUMPRODUCT('Skovbrug-alder'!$F$2:$AJ$311*('Skovbrug-alder'!$A$2:$A$311=$A32)*('Skovbrug-alder'!$B$2:$B$311=D$20)*('Skovbrug-alder'!$C$2:$C$311=D$21)*('Skovbrug-alder'!$F$1:$AJ$1&lt;=$B32)*('Skovbrug-alder'!$F$1:$AJ$1&gt;$B31)))</f>
        <v>0</v>
      </c>
      <c r="E32" s="109" cm="1">
        <f t="array" aca="1" ref="E32" ca="1">IF($B32=10,SUMPRODUCT('Skovbrug-alder'!$F$2:$AJ$311*('Skovbrug-alder'!$A$2:$A$311=$A32)*('Skovbrug-alder'!$B$2:$B$311=E$20)*('Skovbrug-alder'!$C$2:$C$311=E$21)*('Skovbrug-alder'!$F$1:$AJ$1&lt;=$B32)),SUMPRODUCT('Skovbrug-alder'!$F$2:$AJ$311*('Skovbrug-alder'!$A$2:$A$311=$A32)*('Skovbrug-alder'!$B$2:$B$311=E$20)*('Skovbrug-alder'!$C$2:$C$311=E$21)*('Skovbrug-alder'!$F$1:$AJ$1&lt;=$B32)*('Skovbrug-alder'!$F$1:$AJ$1&gt;$B31)))</f>
        <v>0</v>
      </c>
      <c r="F32" s="109" cm="1">
        <f t="array" aca="1" ref="F32" ca="1">IF($B32=10,SUMPRODUCT('Skovbrug-alder'!$F$2:$AJ$311*('Skovbrug-alder'!$A$2:$A$311=$A32)*('Skovbrug-alder'!$B$2:$B$311=F$20)*('Skovbrug-alder'!$C$2:$C$311=F$21)*('Skovbrug-alder'!$F$1:$AJ$1&lt;=$B32)),SUMPRODUCT('Skovbrug-alder'!$F$2:$AJ$311*('Skovbrug-alder'!$A$2:$A$311=$A32)*('Skovbrug-alder'!$B$2:$B$311=F$20)*('Skovbrug-alder'!$C$2:$C$311=F$21)*('Skovbrug-alder'!$F$1:$AJ$1&lt;=$B32)*('Skovbrug-alder'!$F$1:$AJ$1&gt;$B31)))</f>
        <v>0</v>
      </c>
      <c r="G32" s="109" cm="1">
        <f t="array" aca="1" ref="G32" ca="1">IF($B32=10,SUMPRODUCT('Skovbrug-alder'!$F$2:$AJ$311*('Skovbrug-alder'!$A$2:$A$311=$A32)*('Skovbrug-alder'!$B$2:$B$311=G$20)*('Skovbrug-alder'!$C$2:$C$311=G$21)*('Skovbrug-alder'!$F$1:$AJ$1&lt;=$B32)),SUMPRODUCT('Skovbrug-alder'!$F$2:$AJ$311*('Skovbrug-alder'!$A$2:$A$311=$A32)*('Skovbrug-alder'!$B$2:$B$311=G$20)*('Skovbrug-alder'!$C$2:$C$311=G$21)*('Skovbrug-alder'!$F$1:$AJ$1&lt;=$B32)*('Skovbrug-alder'!$F$1:$AJ$1&gt;$B31)))</f>
        <v>0</v>
      </c>
      <c r="H32" s="109" cm="1">
        <f t="array" aca="1" ref="H32" ca="1">IF($B32=10,SUMPRODUCT('Skovbrug-alder'!$F$2:$AJ$311*('Skovbrug-alder'!$A$2:$A$311=$A32)*('Skovbrug-alder'!$B$2:$B$311=H$20)*('Skovbrug-alder'!$C$2:$C$311=H$21)*('Skovbrug-alder'!$F$1:$AJ$1&lt;=$B32)),SUMPRODUCT('Skovbrug-alder'!$F$2:$AJ$311*('Skovbrug-alder'!$A$2:$A$311=$A32)*('Skovbrug-alder'!$B$2:$B$311=H$20)*('Skovbrug-alder'!$C$2:$C$311=H$21)*('Skovbrug-alder'!$F$1:$AJ$1&lt;=$B32)*('Skovbrug-alder'!$F$1:$AJ$1&gt;$B31)))</f>
        <v>0</v>
      </c>
    </row>
    <row r="33" spans="1:10" hidden="1" x14ac:dyDescent="0.25">
      <c r="A33" s="2" t="s">
        <v>178</v>
      </c>
      <c r="B33" s="183">
        <v>30</v>
      </c>
      <c r="C33" s="109">
        <v>0</v>
      </c>
      <c r="D33" s="109" cm="1">
        <f t="array" aca="1" ref="D33" ca="1">IF($B33=10,SUMPRODUCT('Skovbrug-alder'!$F$2:$AJ$311*('Skovbrug-alder'!$A$2:$A$311=$A33)*('Skovbrug-alder'!$B$2:$B$311=D$20)*('Skovbrug-alder'!$C$2:$C$311=D$21)*('Skovbrug-alder'!$F$1:$AJ$1&lt;=$B33)),SUMPRODUCT('Skovbrug-alder'!$F$2:$AJ$311*('Skovbrug-alder'!$A$2:$A$311=$A33)*('Skovbrug-alder'!$B$2:$B$311=D$20)*('Skovbrug-alder'!$C$2:$C$311=D$21)*('Skovbrug-alder'!$F$1:$AJ$1&lt;=$B33)*('Skovbrug-alder'!$F$1:$AJ$1&gt;$B32)))</f>
        <v>0</v>
      </c>
      <c r="E33" s="109" cm="1">
        <f t="array" aca="1" ref="E33" ca="1">IF($B33=10,SUMPRODUCT('Skovbrug-alder'!$F$2:$AJ$311*('Skovbrug-alder'!$A$2:$A$311=$A33)*('Skovbrug-alder'!$B$2:$B$311=E$20)*('Skovbrug-alder'!$C$2:$C$311=E$21)*('Skovbrug-alder'!$F$1:$AJ$1&lt;=$B33)),SUMPRODUCT('Skovbrug-alder'!$F$2:$AJ$311*('Skovbrug-alder'!$A$2:$A$311=$A33)*('Skovbrug-alder'!$B$2:$B$311=E$20)*('Skovbrug-alder'!$C$2:$C$311=E$21)*('Skovbrug-alder'!$F$1:$AJ$1&lt;=$B33)*('Skovbrug-alder'!$F$1:$AJ$1&gt;$B32)))</f>
        <v>0</v>
      </c>
      <c r="F33" s="109" cm="1">
        <f t="array" aca="1" ref="F33" ca="1">IF($B33=10,SUMPRODUCT('Skovbrug-alder'!$F$2:$AJ$311*('Skovbrug-alder'!$A$2:$A$311=$A33)*('Skovbrug-alder'!$B$2:$B$311=F$20)*('Skovbrug-alder'!$C$2:$C$311=F$21)*('Skovbrug-alder'!$F$1:$AJ$1&lt;=$B33)),SUMPRODUCT('Skovbrug-alder'!$F$2:$AJ$311*('Skovbrug-alder'!$A$2:$A$311=$A33)*('Skovbrug-alder'!$B$2:$B$311=F$20)*('Skovbrug-alder'!$C$2:$C$311=F$21)*('Skovbrug-alder'!$F$1:$AJ$1&lt;=$B33)*('Skovbrug-alder'!$F$1:$AJ$1&gt;$B32)))</f>
        <v>0</v>
      </c>
      <c r="G33" s="109" cm="1">
        <f t="array" aca="1" ref="G33" ca="1">IF($B33=10,SUMPRODUCT('Skovbrug-alder'!$F$2:$AJ$311*('Skovbrug-alder'!$A$2:$A$311=$A33)*('Skovbrug-alder'!$B$2:$B$311=G$20)*('Skovbrug-alder'!$C$2:$C$311=G$21)*('Skovbrug-alder'!$F$1:$AJ$1&lt;=$B33)),SUMPRODUCT('Skovbrug-alder'!$F$2:$AJ$311*('Skovbrug-alder'!$A$2:$A$311=$A33)*('Skovbrug-alder'!$B$2:$B$311=G$20)*('Skovbrug-alder'!$C$2:$C$311=G$21)*('Skovbrug-alder'!$F$1:$AJ$1&lt;=$B33)*('Skovbrug-alder'!$F$1:$AJ$1&gt;$B32)))</f>
        <v>0</v>
      </c>
      <c r="H33" s="109" cm="1">
        <f t="array" aca="1" ref="H33" ca="1">IF($B33=10,SUMPRODUCT('Skovbrug-alder'!$F$2:$AJ$311*('Skovbrug-alder'!$A$2:$A$311=$A33)*('Skovbrug-alder'!$B$2:$B$311=H$20)*('Skovbrug-alder'!$C$2:$C$311=H$21)*('Skovbrug-alder'!$F$1:$AJ$1&lt;=$B33)),SUMPRODUCT('Skovbrug-alder'!$F$2:$AJ$311*('Skovbrug-alder'!$A$2:$A$311=$A33)*('Skovbrug-alder'!$B$2:$B$311=H$20)*('Skovbrug-alder'!$C$2:$C$311=H$21)*('Skovbrug-alder'!$F$1:$AJ$1&lt;=$B33)*('Skovbrug-alder'!$F$1:$AJ$1&gt;$B32)))</f>
        <v>0</v>
      </c>
    </row>
    <row r="34" spans="1:10" hidden="1" x14ac:dyDescent="0.25">
      <c r="A34" s="2" t="s">
        <v>178</v>
      </c>
      <c r="B34" s="184">
        <v>40</v>
      </c>
      <c r="C34" s="109">
        <v>0</v>
      </c>
      <c r="D34" s="109" cm="1">
        <f t="array" aca="1" ref="D34" ca="1">IF($B34=10,SUMPRODUCT('Skovbrug-alder'!$F$2:$AJ$311*('Skovbrug-alder'!$A$2:$A$311=$A34)*('Skovbrug-alder'!$B$2:$B$311=D$20)*('Skovbrug-alder'!$C$2:$C$311=D$21)*('Skovbrug-alder'!$F$1:$AJ$1&lt;=$B34)),SUMPRODUCT('Skovbrug-alder'!$F$2:$AJ$311*('Skovbrug-alder'!$A$2:$A$311=$A34)*('Skovbrug-alder'!$B$2:$B$311=D$20)*('Skovbrug-alder'!$C$2:$C$311=D$21)*('Skovbrug-alder'!$F$1:$AJ$1&lt;=$B34)*('Skovbrug-alder'!$F$1:$AJ$1&gt;$B33)))</f>
        <v>0</v>
      </c>
      <c r="E34" s="109" cm="1">
        <f t="array" aca="1" ref="E34" ca="1">IF($B34=10,SUMPRODUCT('Skovbrug-alder'!$F$2:$AJ$311*('Skovbrug-alder'!$A$2:$A$311=$A34)*('Skovbrug-alder'!$B$2:$B$311=E$20)*('Skovbrug-alder'!$C$2:$C$311=E$21)*('Skovbrug-alder'!$F$1:$AJ$1&lt;=$B34)),SUMPRODUCT('Skovbrug-alder'!$F$2:$AJ$311*('Skovbrug-alder'!$A$2:$A$311=$A34)*('Skovbrug-alder'!$B$2:$B$311=E$20)*('Skovbrug-alder'!$C$2:$C$311=E$21)*('Skovbrug-alder'!$F$1:$AJ$1&lt;=$B34)*('Skovbrug-alder'!$F$1:$AJ$1&gt;$B33)))</f>
        <v>0</v>
      </c>
      <c r="F34" s="109" cm="1">
        <f t="array" aca="1" ref="F34" ca="1">IF($B34=10,SUMPRODUCT('Skovbrug-alder'!$F$2:$AJ$311*('Skovbrug-alder'!$A$2:$A$311=$A34)*('Skovbrug-alder'!$B$2:$B$311=F$20)*('Skovbrug-alder'!$C$2:$C$311=F$21)*('Skovbrug-alder'!$F$1:$AJ$1&lt;=$B34)),SUMPRODUCT('Skovbrug-alder'!$F$2:$AJ$311*('Skovbrug-alder'!$A$2:$A$311=$A34)*('Skovbrug-alder'!$B$2:$B$311=F$20)*('Skovbrug-alder'!$C$2:$C$311=F$21)*('Skovbrug-alder'!$F$1:$AJ$1&lt;=$B34)*('Skovbrug-alder'!$F$1:$AJ$1&gt;$B33)))</f>
        <v>0</v>
      </c>
      <c r="G34" s="109" cm="1">
        <f t="array" aca="1" ref="G34" ca="1">IF($B34=10,SUMPRODUCT('Skovbrug-alder'!$F$2:$AJ$311*('Skovbrug-alder'!$A$2:$A$311=$A34)*('Skovbrug-alder'!$B$2:$B$311=G$20)*('Skovbrug-alder'!$C$2:$C$311=G$21)*('Skovbrug-alder'!$F$1:$AJ$1&lt;=$B34)),SUMPRODUCT('Skovbrug-alder'!$F$2:$AJ$311*('Skovbrug-alder'!$A$2:$A$311=$A34)*('Skovbrug-alder'!$B$2:$B$311=G$20)*('Skovbrug-alder'!$C$2:$C$311=G$21)*('Skovbrug-alder'!$F$1:$AJ$1&lt;=$B34)*('Skovbrug-alder'!$F$1:$AJ$1&gt;$B33)))</f>
        <v>0</v>
      </c>
      <c r="H34" s="109" cm="1">
        <f t="array" aca="1" ref="H34" ca="1">IF($B34=10,SUMPRODUCT('Skovbrug-alder'!$F$2:$AJ$311*('Skovbrug-alder'!$A$2:$A$311=$A34)*('Skovbrug-alder'!$B$2:$B$311=H$20)*('Skovbrug-alder'!$C$2:$C$311=H$21)*('Skovbrug-alder'!$F$1:$AJ$1&lt;=$B34)),SUMPRODUCT('Skovbrug-alder'!$F$2:$AJ$311*('Skovbrug-alder'!$A$2:$A$311=$A34)*('Skovbrug-alder'!$B$2:$B$311=H$20)*('Skovbrug-alder'!$C$2:$C$311=H$21)*('Skovbrug-alder'!$F$1:$AJ$1&lt;=$B34)*('Skovbrug-alder'!$F$1:$AJ$1&gt;$B33)))</f>
        <v>0</v>
      </c>
    </row>
    <row r="35" spans="1:10" hidden="1" x14ac:dyDescent="0.25">
      <c r="A35" s="2" t="s">
        <v>179</v>
      </c>
      <c r="B35" s="183">
        <v>10</v>
      </c>
      <c r="C35" s="109">
        <v>0</v>
      </c>
      <c r="D35" s="109" cm="1">
        <f t="array" aca="1" ref="D35" ca="1">IF($B35=10,SUMPRODUCT('Skovbrug-alder'!$F$2:$AJ$311*('Skovbrug-alder'!$A$2:$A$311=$A35)*('Skovbrug-alder'!$B$2:$B$311=D$20)*('Skovbrug-alder'!$C$2:$C$311=D$21)*('Skovbrug-alder'!$F$1:$AJ$1&lt;=$B35)),SUMPRODUCT('Skovbrug-alder'!$F$2:$AJ$311*('Skovbrug-alder'!$A$2:$A$311=$A35)*('Skovbrug-alder'!$B$2:$B$311=D$20)*('Skovbrug-alder'!$C$2:$C$311=D$21)*('Skovbrug-alder'!$F$1:$AJ$1&lt;=$B35)*('Skovbrug-alder'!$F$1:$AJ$1&gt;$B34)))</f>
        <v>0</v>
      </c>
      <c r="E35" s="109" cm="1">
        <f t="array" aca="1" ref="E35" ca="1">IF($B35=10,SUMPRODUCT('Skovbrug-alder'!$F$2:$AJ$311*('Skovbrug-alder'!$A$2:$A$311=$A35)*('Skovbrug-alder'!$B$2:$B$311=E$20)*('Skovbrug-alder'!$C$2:$C$311=E$21)*('Skovbrug-alder'!$F$1:$AJ$1&lt;=$B35)),SUMPRODUCT('Skovbrug-alder'!$F$2:$AJ$311*('Skovbrug-alder'!$A$2:$A$311=$A35)*('Skovbrug-alder'!$B$2:$B$311=E$20)*('Skovbrug-alder'!$C$2:$C$311=E$21)*('Skovbrug-alder'!$F$1:$AJ$1&lt;=$B35)*('Skovbrug-alder'!$F$1:$AJ$1&gt;$B34)))</f>
        <v>0</v>
      </c>
      <c r="F35" s="109" cm="1">
        <f t="array" aca="1" ref="F35" ca="1">IF($B35=10,SUMPRODUCT('Skovbrug-alder'!$F$2:$AJ$311*('Skovbrug-alder'!$A$2:$A$311=$A35)*('Skovbrug-alder'!$B$2:$B$311=F$20)*('Skovbrug-alder'!$C$2:$C$311=F$21)*('Skovbrug-alder'!$F$1:$AJ$1&lt;=$B35)),SUMPRODUCT('Skovbrug-alder'!$F$2:$AJ$311*('Skovbrug-alder'!$A$2:$A$311=$A35)*('Skovbrug-alder'!$B$2:$B$311=F$20)*('Skovbrug-alder'!$C$2:$C$311=F$21)*('Skovbrug-alder'!$F$1:$AJ$1&lt;=$B35)*('Skovbrug-alder'!$F$1:$AJ$1&gt;$B34)))</f>
        <v>0</v>
      </c>
      <c r="G35" s="109" cm="1">
        <f t="array" aca="1" ref="G35" ca="1">IF($B35=10,SUMPRODUCT('Skovbrug-alder'!$F$2:$AJ$311*('Skovbrug-alder'!$A$2:$A$311=$A35)*('Skovbrug-alder'!$B$2:$B$311=G$20)*('Skovbrug-alder'!$C$2:$C$311=G$21)*('Skovbrug-alder'!$F$1:$AJ$1&lt;=$B35)),SUMPRODUCT('Skovbrug-alder'!$F$2:$AJ$311*('Skovbrug-alder'!$A$2:$A$311=$A35)*('Skovbrug-alder'!$B$2:$B$311=G$20)*('Skovbrug-alder'!$C$2:$C$311=G$21)*('Skovbrug-alder'!$F$1:$AJ$1&lt;=$B35)*('Skovbrug-alder'!$F$1:$AJ$1&gt;$B34)))</f>
        <v>0</v>
      </c>
      <c r="H35" s="109" cm="1">
        <f t="array" aca="1" ref="H35" ca="1">IF($B35=10,SUMPRODUCT('Skovbrug-alder'!$F$2:$AJ$311*('Skovbrug-alder'!$A$2:$A$311=$A35)*('Skovbrug-alder'!$B$2:$B$311=H$20)*('Skovbrug-alder'!$C$2:$C$311=H$21)*('Skovbrug-alder'!$F$1:$AJ$1&lt;=$B35)),SUMPRODUCT('Skovbrug-alder'!$F$2:$AJ$311*('Skovbrug-alder'!$A$2:$A$311=$A35)*('Skovbrug-alder'!$B$2:$B$311=H$20)*('Skovbrug-alder'!$C$2:$C$311=H$21)*('Skovbrug-alder'!$F$1:$AJ$1&lt;=$B35)*('Skovbrug-alder'!$F$1:$AJ$1&gt;$B34)))</f>
        <v>0</v>
      </c>
    </row>
    <row r="36" spans="1:10" hidden="1" x14ac:dyDescent="0.25">
      <c r="A36" s="2" t="s">
        <v>179</v>
      </c>
      <c r="B36" s="183">
        <v>20</v>
      </c>
      <c r="C36" s="109">
        <v>0</v>
      </c>
      <c r="D36" s="109" cm="1">
        <f t="array" aca="1" ref="D36" ca="1">IF($B36=10,SUMPRODUCT('Skovbrug-alder'!$F$2:$AJ$311*('Skovbrug-alder'!$A$2:$A$311=$A36)*('Skovbrug-alder'!$B$2:$B$311=D$20)*('Skovbrug-alder'!$C$2:$C$311=D$21)*('Skovbrug-alder'!$F$1:$AJ$1&lt;=$B36)),SUMPRODUCT('Skovbrug-alder'!$F$2:$AJ$311*('Skovbrug-alder'!$A$2:$A$311=$A36)*('Skovbrug-alder'!$B$2:$B$311=D$20)*('Skovbrug-alder'!$C$2:$C$311=D$21)*('Skovbrug-alder'!$F$1:$AJ$1&lt;=$B36)*('Skovbrug-alder'!$F$1:$AJ$1&gt;$B35)))</f>
        <v>0</v>
      </c>
      <c r="E36" s="109" cm="1">
        <f t="array" aca="1" ref="E36" ca="1">IF($B36=10,SUMPRODUCT('Skovbrug-alder'!$F$2:$AJ$311*('Skovbrug-alder'!$A$2:$A$311=$A36)*('Skovbrug-alder'!$B$2:$B$311=E$20)*('Skovbrug-alder'!$C$2:$C$311=E$21)*('Skovbrug-alder'!$F$1:$AJ$1&lt;=$B36)),SUMPRODUCT('Skovbrug-alder'!$F$2:$AJ$311*('Skovbrug-alder'!$A$2:$A$311=$A36)*('Skovbrug-alder'!$B$2:$B$311=E$20)*('Skovbrug-alder'!$C$2:$C$311=E$21)*('Skovbrug-alder'!$F$1:$AJ$1&lt;=$B36)*('Skovbrug-alder'!$F$1:$AJ$1&gt;$B35)))</f>
        <v>0</v>
      </c>
      <c r="F36" s="109" cm="1">
        <f t="array" aca="1" ref="F36" ca="1">IF($B36=10,SUMPRODUCT('Skovbrug-alder'!$F$2:$AJ$311*('Skovbrug-alder'!$A$2:$A$311=$A36)*('Skovbrug-alder'!$B$2:$B$311=F$20)*('Skovbrug-alder'!$C$2:$C$311=F$21)*('Skovbrug-alder'!$F$1:$AJ$1&lt;=$B36)),SUMPRODUCT('Skovbrug-alder'!$F$2:$AJ$311*('Skovbrug-alder'!$A$2:$A$311=$A36)*('Skovbrug-alder'!$B$2:$B$311=F$20)*('Skovbrug-alder'!$C$2:$C$311=F$21)*('Skovbrug-alder'!$F$1:$AJ$1&lt;=$B36)*('Skovbrug-alder'!$F$1:$AJ$1&gt;$B35)))</f>
        <v>0</v>
      </c>
      <c r="G36" s="109" cm="1">
        <f t="array" aca="1" ref="G36" ca="1">IF($B36=10,SUMPRODUCT('Skovbrug-alder'!$F$2:$AJ$311*('Skovbrug-alder'!$A$2:$A$311=$A36)*('Skovbrug-alder'!$B$2:$B$311=G$20)*('Skovbrug-alder'!$C$2:$C$311=G$21)*('Skovbrug-alder'!$F$1:$AJ$1&lt;=$B36)),SUMPRODUCT('Skovbrug-alder'!$F$2:$AJ$311*('Skovbrug-alder'!$A$2:$A$311=$A36)*('Skovbrug-alder'!$B$2:$B$311=G$20)*('Skovbrug-alder'!$C$2:$C$311=G$21)*('Skovbrug-alder'!$F$1:$AJ$1&lt;=$B36)*('Skovbrug-alder'!$F$1:$AJ$1&gt;$B35)))</f>
        <v>0</v>
      </c>
      <c r="H36" s="109" cm="1">
        <f t="array" aca="1" ref="H36" ca="1">IF($B36=10,SUMPRODUCT('Skovbrug-alder'!$F$2:$AJ$311*('Skovbrug-alder'!$A$2:$A$311=$A36)*('Skovbrug-alder'!$B$2:$B$311=H$20)*('Skovbrug-alder'!$C$2:$C$311=H$21)*('Skovbrug-alder'!$F$1:$AJ$1&lt;=$B36)),SUMPRODUCT('Skovbrug-alder'!$F$2:$AJ$311*('Skovbrug-alder'!$A$2:$A$311=$A36)*('Skovbrug-alder'!$B$2:$B$311=H$20)*('Skovbrug-alder'!$C$2:$C$311=H$21)*('Skovbrug-alder'!$F$1:$AJ$1&lt;=$B36)*('Skovbrug-alder'!$F$1:$AJ$1&gt;$B35)))</f>
        <v>0</v>
      </c>
    </row>
    <row r="37" spans="1:10" hidden="1" x14ac:dyDescent="0.25">
      <c r="A37" s="2" t="s">
        <v>179</v>
      </c>
      <c r="B37" s="183">
        <v>30</v>
      </c>
      <c r="C37" s="109">
        <v>0</v>
      </c>
      <c r="D37" s="109" cm="1">
        <f t="array" aca="1" ref="D37" ca="1">IF($B37=10,SUMPRODUCT('Skovbrug-alder'!$F$2:$AJ$311*('Skovbrug-alder'!$A$2:$A$311=$A37)*('Skovbrug-alder'!$B$2:$B$311=D$20)*('Skovbrug-alder'!$C$2:$C$311=D$21)*('Skovbrug-alder'!$F$1:$AJ$1&lt;=$B37)),SUMPRODUCT('Skovbrug-alder'!$F$2:$AJ$311*('Skovbrug-alder'!$A$2:$A$311=$A37)*('Skovbrug-alder'!$B$2:$B$311=D$20)*('Skovbrug-alder'!$C$2:$C$311=D$21)*('Skovbrug-alder'!$F$1:$AJ$1&lt;=$B37)*('Skovbrug-alder'!$F$1:$AJ$1&gt;$B36)))</f>
        <v>0</v>
      </c>
      <c r="E37" s="109" cm="1">
        <f t="array" aca="1" ref="E37" ca="1">IF($B37=10,SUMPRODUCT('Skovbrug-alder'!$F$2:$AJ$311*('Skovbrug-alder'!$A$2:$A$311=$A37)*('Skovbrug-alder'!$B$2:$B$311=E$20)*('Skovbrug-alder'!$C$2:$C$311=E$21)*('Skovbrug-alder'!$F$1:$AJ$1&lt;=$B37)),SUMPRODUCT('Skovbrug-alder'!$F$2:$AJ$311*('Skovbrug-alder'!$A$2:$A$311=$A37)*('Skovbrug-alder'!$B$2:$B$311=E$20)*('Skovbrug-alder'!$C$2:$C$311=E$21)*('Skovbrug-alder'!$F$1:$AJ$1&lt;=$B37)*('Skovbrug-alder'!$F$1:$AJ$1&gt;$B36)))</f>
        <v>0</v>
      </c>
      <c r="F37" s="109" cm="1">
        <f t="array" aca="1" ref="F37" ca="1">IF($B37=10,SUMPRODUCT('Skovbrug-alder'!$F$2:$AJ$311*('Skovbrug-alder'!$A$2:$A$311=$A37)*('Skovbrug-alder'!$B$2:$B$311=F$20)*('Skovbrug-alder'!$C$2:$C$311=F$21)*('Skovbrug-alder'!$F$1:$AJ$1&lt;=$B37)),SUMPRODUCT('Skovbrug-alder'!$F$2:$AJ$311*('Skovbrug-alder'!$A$2:$A$311=$A37)*('Skovbrug-alder'!$B$2:$B$311=F$20)*('Skovbrug-alder'!$C$2:$C$311=F$21)*('Skovbrug-alder'!$F$1:$AJ$1&lt;=$B37)*('Skovbrug-alder'!$F$1:$AJ$1&gt;$B36)))</f>
        <v>0</v>
      </c>
      <c r="G37" s="109" cm="1">
        <f t="array" aca="1" ref="G37" ca="1">IF($B37=10,SUMPRODUCT('Skovbrug-alder'!$F$2:$AJ$311*('Skovbrug-alder'!$A$2:$A$311=$A37)*('Skovbrug-alder'!$B$2:$B$311=G$20)*('Skovbrug-alder'!$C$2:$C$311=G$21)*('Skovbrug-alder'!$F$1:$AJ$1&lt;=$B37)),SUMPRODUCT('Skovbrug-alder'!$F$2:$AJ$311*('Skovbrug-alder'!$A$2:$A$311=$A37)*('Skovbrug-alder'!$B$2:$B$311=G$20)*('Skovbrug-alder'!$C$2:$C$311=G$21)*('Skovbrug-alder'!$F$1:$AJ$1&lt;=$B37)*('Skovbrug-alder'!$F$1:$AJ$1&gt;$B36)))</f>
        <v>0</v>
      </c>
      <c r="H37" s="109" cm="1">
        <f t="array" aca="1" ref="H37" ca="1">IF($B37=10,SUMPRODUCT('Skovbrug-alder'!$F$2:$AJ$311*('Skovbrug-alder'!$A$2:$A$311=$A37)*('Skovbrug-alder'!$B$2:$B$311=H$20)*('Skovbrug-alder'!$C$2:$C$311=H$21)*('Skovbrug-alder'!$F$1:$AJ$1&lt;=$B37)),SUMPRODUCT('Skovbrug-alder'!$F$2:$AJ$311*('Skovbrug-alder'!$A$2:$A$311=$A37)*('Skovbrug-alder'!$B$2:$B$311=H$20)*('Skovbrug-alder'!$C$2:$C$311=H$21)*('Skovbrug-alder'!$F$1:$AJ$1&lt;=$B37)*('Skovbrug-alder'!$F$1:$AJ$1&gt;$B36)))</f>
        <v>0</v>
      </c>
    </row>
    <row r="38" spans="1:10" hidden="1" x14ac:dyDescent="0.25">
      <c r="A38" s="2" t="s">
        <v>179</v>
      </c>
      <c r="B38" s="184">
        <v>40</v>
      </c>
      <c r="C38" s="109">
        <v>0</v>
      </c>
      <c r="D38" s="109" cm="1">
        <f t="array" aca="1" ref="D38" ca="1">IF($B38=10,SUMPRODUCT('Skovbrug-alder'!$F$2:$AJ$311*('Skovbrug-alder'!$A$2:$A$311=$A38)*('Skovbrug-alder'!$B$2:$B$311=D$20)*('Skovbrug-alder'!$C$2:$C$311=D$21)*('Skovbrug-alder'!$F$1:$AJ$1&lt;=$B38)),SUMPRODUCT('Skovbrug-alder'!$F$2:$AJ$311*('Skovbrug-alder'!$A$2:$A$311=$A38)*('Skovbrug-alder'!$B$2:$B$311=D$20)*('Skovbrug-alder'!$C$2:$C$311=D$21)*('Skovbrug-alder'!$F$1:$AJ$1&lt;=$B38)*('Skovbrug-alder'!$F$1:$AJ$1&gt;$B37)))</f>
        <v>0</v>
      </c>
      <c r="E38" s="109" cm="1">
        <f t="array" aca="1" ref="E38" ca="1">IF($B38=10,SUMPRODUCT('Skovbrug-alder'!$F$2:$AJ$311*('Skovbrug-alder'!$A$2:$A$311=$A38)*('Skovbrug-alder'!$B$2:$B$311=E$20)*('Skovbrug-alder'!$C$2:$C$311=E$21)*('Skovbrug-alder'!$F$1:$AJ$1&lt;=$B38)),SUMPRODUCT('Skovbrug-alder'!$F$2:$AJ$311*('Skovbrug-alder'!$A$2:$A$311=$A38)*('Skovbrug-alder'!$B$2:$B$311=E$20)*('Skovbrug-alder'!$C$2:$C$311=E$21)*('Skovbrug-alder'!$F$1:$AJ$1&lt;=$B38)*('Skovbrug-alder'!$F$1:$AJ$1&gt;$B37)))</f>
        <v>0</v>
      </c>
      <c r="F38" s="109" cm="1">
        <f t="array" aca="1" ref="F38" ca="1">IF($B38=10,SUMPRODUCT('Skovbrug-alder'!$F$2:$AJ$311*('Skovbrug-alder'!$A$2:$A$311=$A38)*('Skovbrug-alder'!$B$2:$B$311=F$20)*('Skovbrug-alder'!$C$2:$C$311=F$21)*('Skovbrug-alder'!$F$1:$AJ$1&lt;=$B38)),SUMPRODUCT('Skovbrug-alder'!$F$2:$AJ$311*('Skovbrug-alder'!$A$2:$A$311=$A38)*('Skovbrug-alder'!$B$2:$B$311=F$20)*('Skovbrug-alder'!$C$2:$C$311=F$21)*('Skovbrug-alder'!$F$1:$AJ$1&lt;=$B38)*('Skovbrug-alder'!$F$1:$AJ$1&gt;$B37)))</f>
        <v>0</v>
      </c>
      <c r="G38" s="109" cm="1">
        <f t="array" aca="1" ref="G38" ca="1">IF($B38=10,SUMPRODUCT('Skovbrug-alder'!$F$2:$AJ$311*('Skovbrug-alder'!$A$2:$A$311=$A38)*('Skovbrug-alder'!$B$2:$B$311=G$20)*('Skovbrug-alder'!$C$2:$C$311=G$21)*('Skovbrug-alder'!$F$1:$AJ$1&lt;=$B38)),SUMPRODUCT('Skovbrug-alder'!$F$2:$AJ$311*('Skovbrug-alder'!$A$2:$A$311=$A38)*('Skovbrug-alder'!$B$2:$B$311=G$20)*('Skovbrug-alder'!$C$2:$C$311=G$21)*('Skovbrug-alder'!$F$1:$AJ$1&lt;=$B38)*('Skovbrug-alder'!$F$1:$AJ$1&gt;$B37)))</f>
        <v>0</v>
      </c>
      <c r="H38" s="109" cm="1">
        <f t="array" aca="1" ref="H38" ca="1">IF($B38=10,SUMPRODUCT('Skovbrug-alder'!$F$2:$AJ$311*('Skovbrug-alder'!$A$2:$A$311=$A38)*('Skovbrug-alder'!$B$2:$B$311=H$20)*('Skovbrug-alder'!$C$2:$C$311=H$21)*('Skovbrug-alder'!$F$1:$AJ$1&lt;=$B38)),SUMPRODUCT('Skovbrug-alder'!$F$2:$AJ$311*('Skovbrug-alder'!$A$2:$A$311=$A38)*('Skovbrug-alder'!$B$2:$B$311=H$20)*('Skovbrug-alder'!$C$2:$C$311=H$21)*('Skovbrug-alder'!$F$1:$AJ$1&lt;=$B38)*('Skovbrug-alder'!$F$1:$AJ$1&gt;$B37)))</f>
        <v>0</v>
      </c>
    </row>
    <row r="39" spans="1:10" hidden="1" x14ac:dyDescent="0.25">
      <c r="A39" s="2" t="s">
        <v>180</v>
      </c>
      <c r="B39" s="183">
        <v>10</v>
      </c>
      <c r="C39" s="109">
        <v>0</v>
      </c>
      <c r="D39" s="109" cm="1">
        <f t="array" aca="1" ref="D39" ca="1">IF($B39=10,SUMPRODUCT('Skovbrug-alder'!$F$2:$AJ$311*('Skovbrug-alder'!$A$2:$A$311=$A39)*('Skovbrug-alder'!$B$2:$B$311=D$20)*('Skovbrug-alder'!$C$2:$C$311=D$21)*('Skovbrug-alder'!$F$1:$AJ$1&lt;=$B39)),SUMPRODUCT('Skovbrug-alder'!$F$2:$AJ$311*('Skovbrug-alder'!$A$2:$A$311=$A39)*('Skovbrug-alder'!$B$2:$B$311=D$20)*('Skovbrug-alder'!$C$2:$C$311=D$21)*('Skovbrug-alder'!$F$1:$AJ$1&lt;=$B39)*('Skovbrug-alder'!$F$1:$AJ$1&gt;$B38)))</f>
        <v>0</v>
      </c>
      <c r="E39" s="109" cm="1">
        <f t="array" aca="1" ref="E39" ca="1">IF($B39=10,SUMPRODUCT('Skovbrug-alder'!$F$2:$AJ$311*('Skovbrug-alder'!$A$2:$A$311=$A39)*('Skovbrug-alder'!$B$2:$B$311=E$20)*('Skovbrug-alder'!$C$2:$C$311=E$21)*('Skovbrug-alder'!$F$1:$AJ$1&lt;=$B39)),SUMPRODUCT('Skovbrug-alder'!$F$2:$AJ$311*('Skovbrug-alder'!$A$2:$A$311=$A39)*('Skovbrug-alder'!$B$2:$B$311=E$20)*('Skovbrug-alder'!$C$2:$C$311=E$21)*('Skovbrug-alder'!$F$1:$AJ$1&lt;=$B39)*('Skovbrug-alder'!$F$1:$AJ$1&gt;$B38)))</f>
        <v>0</v>
      </c>
      <c r="F39" s="109" cm="1">
        <f t="array" aca="1" ref="F39" ca="1">IF($B39=10,SUMPRODUCT('Skovbrug-alder'!$F$2:$AJ$311*('Skovbrug-alder'!$A$2:$A$311=$A39)*('Skovbrug-alder'!$B$2:$B$311=F$20)*('Skovbrug-alder'!$C$2:$C$311=F$21)*('Skovbrug-alder'!$F$1:$AJ$1&lt;=$B39)),SUMPRODUCT('Skovbrug-alder'!$F$2:$AJ$311*('Skovbrug-alder'!$A$2:$A$311=$A39)*('Skovbrug-alder'!$B$2:$B$311=F$20)*('Skovbrug-alder'!$C$2:$C$311=F$21)*('Skovbrug-alder'!$F$1:$AJ$1&lt;=$B39)*('Skovbrug-alder'!$F$1:$AJ$1&gt;$B38)))</f>
        <v>0</v>
      </c>
      <c r="G39" s="109" cm="1">
        <f t="array" aca="1" ref="G39" ca="1">IF($B39=10,SUMPRODUCT('Skovbrug-alder'!$F$2:$AJ$311*('Skovbrug-alder'!$A$2:$A$311=$A39)*('Skovbrug-alder'!$B$2:$B$311=G$20)*('Skovbrug-alder'!$C$2:$C$311=G$21)*('Skovbrug-alder'!$F$1:$AJ$1&lt;=$B39)),SUMPRODUCT('Skovbrug-alder'!$F$2:$AJ$311*('Skovbrug-alder'!$A$2:$A$311=$A39)*('Skovbrug-alder'!$B$2:$B$311=G$20)*('Skovbrug-alder'!$C$2:$C$311=G$21)*('Skovbrug-alder'!$F$1:$AJ$1&lt;=$B39)*('Skovbrug-alder'!$F$1:$AJ$1&gt;$B38)))</f>
        <v>0</v>
      </c>
      <c r="H39" s="109" cm="1">
        <f t="array" aca="1" ref="H39" ca="1">IF($B39=10,SUMPRODUCT('Skovbrug-alder'!$F$2:$AJ$311*('Skovbrug-alder'!$A$2:$A$311=$A39)*('Skovbrug-alder'!$B$2:$B$311=H$20)*('Skovbrug-alder'!$C$2:$C$311=H$21)*('Skovbrug-alder'!$F$1:$AJ$1&lt;=$B39)),SUMPRODUCT('Skovbrug-alder'!$F$2:$AJ$311*('Skovbrug-alder'!$A$2:$A$311=$A39)*('Skovbrug-alder'!$B$2:$B$311=H$20)*('Skovbrug-alder'!$C$2:$C$311=H$21)*('Skovbrug-alder'!$F$1:$AJ$1&lt;=$B39)*('Skovbrug-alder'!$F$1:$AJ$1&gt;$B38)))</f>
        <v>0</v>
      </c>
    </row>
    <row r="40" spans="1:10" hidden="1" x14ac:dyDescent="0.25">
      <c r="A40" s="2" t="s">
        <v>180</v>
      </c>
      <c r="B40" s="183">
        <v>20</v>
      </c>
      <c r="C40" s="109">
        <v>0</v>
      </c>
      <c r="D40" s="109" cm="1">
        <f t="array" aca="1" ref="D40" ca="1">IF($B40=10,SUMPRODUCT('Skovbrug-alder'!$F$2:$AJ$311*('Skovbrug-alder'!$A$2:$A$311=$A40)*('Skovbrug-alder'!$B$2:$B$311=D$20)*('Skovbrug-alder'!$C$2:$C$311=D$21)*('Skovbrug-alder'!$F$1:$AJ$1&lt;=$B40)),SUMPRODUCT('Skovbrug-alder'!$F$2:$AJ$311*('Skovbrug-alder'!$A$2:$A$311=$A40)*('Skovbrug-alder'!$B$2:$B$311=D$20)*('Skovbrug-alder'!$C$2:$C$311=D$21)*('Skovbrug-alder'!$F$1:$AJ$1&lt;=$B40)*('Skovbrug-alder'!$F$1:$AJ$1&gt;$B39)))</f>
        <v>0</v>
      </c>
      <c r="E40" s="109" cm="1">
        <f t="array" aca="1" ref="E40" ca="1">IF($B40=10,SUMPRODUCT('Skovbrug-alder'!$F$2:$AJ$311*('Skovbrug-alder'!$A$2:$A$311=$A40)*('Skovbrug-alder'!$B$2:$B$311=E$20)*('Skovbrug-alder'!$C$2:$C$311=E$21)*('Skovbrug-alder'!$F$1:$AJ$1&lt;=$B40)),SUMPRODUCT('Skovbrug-alder'!$F$2:$AJ$311*('Skovbrug-alder'!$A$2:$A$311=$A40)*('Skovbrug-alder'!$B$2:$B$311=E$20)*('Skovbrug-alder'!$C$2:$C$311=E$21)*('Skovbrug-alder'!$F$1:$AJ$1&lt;=$B40)*('Skovbrug-alder'!$F$1:$AJ$1&gt;$B39)))</f>
        <v>0</v>
      </c>
      <c r="F40" s="109" cm="1">
        <f t="array" aca="1" ref="F40" ca="1">IF($B40=10,SUMPRODUCT('Skovbrug-alder'!$F$2:$AJ$311*('Skovbrug-alder'!$A$2:$A$311=$A40)*('Skovbrug-alder'!$B$2:$B$311=F$20)*('Skovbrug-alder'!$C$2:$C$311=F$21)*('Skovbrug-alder'!$F$1:$AJ$1&lt;=$B40)),SUMPRODUCT('Skovbrug-alder'!$F$2:$AJ$311*('Skovbrug-alder'!$A$2:$A$311=$A40)*('Skovbrug-alder'!$B$2:$B$311=F$20)*('Skovbrug-alder'!$C$2:$C$311=F$21)*('Skovbrug-alder'!$F$1:$AJ$1&lt;=$B40)*('Skovbrug-alder'!$F$1:$AJ$1&gt;$B39)))</f>
        <v>0</v>
      </c>
      <c r="G40" s="109" cm="1">
        <f t="array" aca="1" ref="G40" ca="1">IF($B40=10,SUMPRODUCT('Skovbrug-alder'!$F$2:$AJ$311*('Skovbrug-alder'!$A$2:$A$311=$A40)*('Skovbrug-alder'!$B$2:$B$311=G$20)*('Skovbrug-alder'!$C$2:$C$311=G$21)*('Skovbrug-alder'!$F$1:$AJ$1&lt;=$B40)),SUMPRODUCT('Skovbrug-alder'!$F$2:$AJ$311*('Skovbrug-alder'!$A$2:$A$311=$A40)*('Skovbrug-alder'!$B$2:$B$311=G$20)*('Skovbrug-alder'!$C$2:$C$311=G$21)*('Skovbrug-alder'!$F$1:$AJ$1&lt;=$B40)*('Skovbrug-alder'!$F$1:$AJ$1&gt;$B39)))</f>
        <v>0</v>
      </c>
      <c r="H40" s="109" cm="1">
        <f t="array" aca="1" ref="H40" ca="1">IF($B40=10,SUMPRODUCT('Skovbrug-alder'!$F$2:$AJ$311*('Skovbrug-alder'!$A$2:$A$311=$A40)*('Skovbrug-alder'!$B$2:$B$311=H$20)*('Skovbrug-alder'!$C$2:$C$311=H$21)*('Skovbrug-alder'!$F$1:$AJ$1&lt;=$B40)),SUMPRODUCT('Skovbrug-alder'!$F$2:$AJ$311*('Skovbrug-alder'!$A$2:$A$311=$A40)*('Skovbrug-alder'!$B$2:$B$311=H$20)*('Skovbrug-alder'!$C$2:$C$311=H$21)*('Skovbrug-alder'!$F$1:$AJ$1&lt;=$B40)*('Skovbrug-alder'!$F$1:$AJ$1&gt;$B39)))</f>
        <v>0</v>
      </c>
    </row>
    <row r="41" spans="1:10" hidden="1" x14ac:dyDescent="0.25">
      <c r="A41" s="2" t="s">
        <v>180</v>
      </c>
      <c r="B41" s="183">
        <v>30</v>
      </c>
      <c r="C41" s="109">
        <v>0</v>
      </c>
      <c r="D41" s="109" cm="1">
        <f t="array" aca="1" ref="D41" ca="1">IF($B41=10,SUMPRODUCT('Skovbrug-alder'!$F$2:$AJ$311*('Skovbrug-alder'!$A$2:$A$311=$A41)*('Skovbrug-alder'!$B$2:$B$311=D$20)*('Skovbrug-alder'!$C$2:$C$311=D$21)*('Skovbrug-alder'!$F$1:$AJ$1&lt;=$B41)),SUMPRODUCT('Skovbrug-alder'!$F$2:$AJ$311*('Skovbrug-alder'!$A$2:$A$311=$A41)*('Skovbrug-alder'!$B$2:$B$311=D$20)*('Skovbrug-alder'!$C$2:$C$311=D$21)*('Skovbrug-alder'!$F$1:$AJ$1&lt;=$B41)*('Skovbrug-alder'!$F$1:$AJ$1&gt;$B40)))</f>
        <v>0</v>
      </c>
      <c r="E41" s="109" cm="1">
        <f t="array" aca="1" ref="E41" ca="1">IF($B41=10,SUMPRODUCT('Skovbrug-alder'!$F$2:$AJ$311*('Skovbrug-alder'!$A$2:$A$311=$A41)*('Skovbrug-alder'!$B$2:$B$311=E$20)*('Skovbrug-alder'!$C$2:$C$311=E$21)*('Skovbrug-alder'!$F$1:$AJ$1&lt;=$B41)),SUMPRODUCT('Skovbrug-alder'!$F$2:$AJ$311*('Skovbrug-alder'!$A$2:$A$311=$A41)*('Skovbrug-alder'!$B$2:$B$311=E$20)*('Skovbrug-alder'!$C$2:$C$311=E$21)*('Skovbrug-alder'!$F$1:$AJ$1&lt;=$B41)*('Skovbrug-alder'!$F$1:$AJ$1&gt;$B40)))</f>
        <v>0</v>
      </c>
      <c r="F41" s="109" cm="1">
        <f t="array" aca="1" ref="F41" ca="1">IF($B41=10,SUMPRODUCT('Skovbrug-alder'!$F$2:$AJ$311*('Skovbrug-alder'!$A$2:$A$311=$A41)*('Skovbrug-alder'!$B$2:$B$311=F$20)*('Skovbrug-alder'!$C$2:$C$311=F$21)*('Skovbrug-alder'!$F$1:$AJ$1&lt;=$B41)),SUMPRODUCT('Skovbrug-alder'!$F$2:$AJ$311*('Skovbrug-alder'!$A$2:$A$311=$A41)*('Skovbrug-alder'!$B$2:$B$311=F$20)*('Skovbrug-alder'!$C$2:$C$311=F$21)*('Skovbrug-alder'!$F$1:$AJ$1&lt;=$B41)*('Skovbrug-alder'!$F$1:$AJ$1&gt;$B40)))</f>
        <v>0</v>
      </c>
      <c r="G41" s="109" cm="1">
        <f t="array" aca="1" ref="G41" ca="1">IF($B41=10,SUMPRODUCT('Skovbrug-alder'!$F$2:$AJ$311*('Skovbrug-alder'!$A$2:$A$311=$A41)*('Skovbrug-alder'!$B$2:$B$311=G$20)*('Skovbrug-alder'!$C$2:$C$311=G$21)*('Skovbrug-alder'!$F$1:$AJ$1&lt;=$B41)),SUMPRODUCT('Skovbrug-alder'!$F$2:$AJ$311*('Skovbrug-alder'!$A$2:$A$311=$A41)*('Skovbrug-alder'!$B$2:$B$311=G$20)*('Skovbrug-alder'!$C$2:$C$311=G$21)*('Skovbrug-alder'!$F$1:$AJ$1&lt;=$B41)*('Skovbrug-alder'!$F$1:$AJ$1&gt;$B40)))</f>
        <v>0</v>
      </c>
      <c r="H41" s="109" cm="1">
        <f t="array" aca="1" ref="H41" ca="1">IF($B41=10,SUMPRODUCT('Skovbrug-alder'!$F$2:$AJ$311*('Skovbrug-alder'!$A$2:$A$311=$A41)*('Skovbrug-alder'!$B$2:$B$311=H$20)*('Skovbrug-alder'!$C$2:$C$311=H$21)*('Skovbrug-alder'!$F$1:$AJ$1&lt;=$B41)),SUMPRODUCT('Skovbrug-alder'!$F$2:$AJ$311*('Skovbrug-alder'!$A$2:$A$311=$A41)*('Skovbrug-alder'!$B$2:$B$311=H$20)*('Skovbrug-alder'!$C$2:$C$311=H$21)*('Skovbrug-alder'!$F$1:$AJ$1&lt;=$B41)*('Skovbrug-alder'!$F$1:$AJ$1&gt;$B40)))</f>
        <v>0</v>
      </c>
    </row>
    <row r="42" spans="1:10" hidden="1" x14ac:dyDescent="0.25">
      <c r="A42" s="2" t="s">
        <v>180</v>
      </c>
      <c r="B42" s="109">
        <v>40</v>
      </c>
      <c r="C42" s="109">
        <v>0</v>
      </c>
      <c r="D42" s="109" cm="1">
        <f t="array" aca="1" ref="D42" ca="1">IF($B42=10,SUMPRODUCT('Skovbrug-alder'!$F$2:$AJ$311*('Skovbrug-alder'!$A$2:$A$311=$A42)*('Skovbrug-alder'!$B$2:$B$311=D$20)*('Skovbrug-alder'!$C$2:$C$311=D$21)*('Skovbrug-alder'!$F$1:$AJ$1&lt;=$B42)),SUMPRODUCT('Skovbrug-alder'!$F$2:$AJ$311*('Skovbrug-alder'!$A$2:$A$311=$A42)*('Skovbrug-alder'!$B$2:$B$311=D$20)*('Skovbrug-alder'!$C$2:$C$311=D$21)*('Skovbrug-alder'!$F$1:$AJ$1&lt;=$B42)*('Skovbrug-alder'!$F$1:$AJ$1&gt;$B41)))</f>
        <v>0</v>
      </c>
      <c r="E42" s="109" cm="1">
        <f t="array" aca="1" ref="E42" ca="1">IF($B42=10,SUMPRODUCT('Skovbrug-alder'!$F$2:$AJ$311*('Skovbrug-alder'!$A$2:$A$311=$A42)*('Skovbrug-alder'!$B$2:$B$311=E$20)*('Skovbrug-alder'!$C$2:$C$311=E$21)*('Skovbrug-alder'!$F$1:$AJ$1&lt;=$B42)),SUMPRODUCT('Skovbrug-alder'!$F$2:$AJ$311*('Skovbrug-alder'!$A$2:$A$311=$A42)*('Skovbrug-alder'!$B$2:$B$311=E$20)*('Skovbrug-alder'!$C$2:$C$311=E$21)*('Skovbrug-alder'!$F$1:$AJ$1&lt;=$B42)*('Skovbrug-alder'!$F$1:$AJ$1&gt;$B41)))</f>
        <v>0</v>
      </c>
      <c r="F42" s="109" cm="1">
        <f t="array" aca="1" ref="F42" ca="1">IF($B42=10,SUMPRODUCT('Skovbrug-alder'!$F$2:$AJ$311*('Skovbrug-alder'!$A$2:$A$311=$A42)*('Skovbrug-alder'!$B$2:$B$311=F$20)*('Skovbrug-alder'!$C$2:$C$311=F$21)*('Skovbrug-alder'!$F$1:$AJ$1&lt;=$B42)),SUMPRODUCT('Skovbrug-alder'!$F$2:$AJ$311*('Skovbrug-alder'!$A$2:$A$311=$A42)*('Skovbrug-alder'!$B$2:$B$311=F$20)*('Skovbrug-alder'!$C$2:$C$311=F$21)*('Skovbrug-alder'!$F$1:$AJ$1&lt;=$B42)*('Skovbrug-alder'!$F$1:$AJ$1&gt;$B41)))</f>
        <v>0</v>
      </c>
      <c r="G42" s="109" cm="1">
        <f t="array" aca="1" ref="G42" ca="1">IF($B42=10,SUMPRODUCT('Skovbrug-alder'!$F$2:$AJ$311*('Skovbrug-alder'!$A$2:$A$311=$A42)*('Skovbrug-alder'!$B$2:$B$311=G$20)*('Skovbrug-alder'!$C$2:$C$311=G$21)*('Skovbrug-alder'!$F$1:$AJ$1&lt;=$B42)),SUMPRODUCT('Skovbrug-alder'!$F$2:$AJ$311*('Skovbrug-alder'!$A$2:$A$311=$A42)*('Skovbrug-alder'!$B$2:$B$311=G$20)*('Skovbrug-alder'!$C$2:$C$311=G$21)*('Skovbrug-alder'!$F$1:$AJ$1&lt;=$B42)*('Skovbrug-alder'!$F$1:$AJ$1&gt;$B41)))</f>
        <v>0</v>
      </c>
      <c r="H42" s="109" cm="1">
        <f t="array" aca="1" ref="H42" ca="1">IF($B42=10,SUMPRODUCT('Skovbrug-alder'!$F$2:$AJ$311*('Skovbrug-alder'!$A$2:$A$311=$A42)*('Skovbrug-alder'!$B$2:$B$311=H$20)*('Skovbrug-alder'!$C$2:$C$311=H$21)*('Skovbrug-alder'!$F$1:$AJ$1&lt;=$B42)),SUMPRODUCT('Skovbrug-alder'!$F$2:$AJ$311*('Skovbrug-alder'!$A$2:$A$311=$A42)*('Skovbrug-alder'!$B$2:$B$311=H$20)*('Skovbrug-alder'!$C$2:$C$311=H$21)*('Skovbrug-alder'!$F$1:$AJ$1&lt;=$B42)*('Skovbrug-alder'!$F$1:$AJ$1&gt;$B41)))</f>
        <v>0</v>
      </c>
    </row>
    <row r="43" spans="1:10" hidden="1" x14ac:dyDescent="0.25">
      <c r="B43" s="150"/>
    </row>
    <row r="44" spans="1:10" hidden="1" x14ac:dyDescent="0.25">
      <c r="B44" s="150"/>
    </row>
    <row r="45" spans="1:10" hidden="1" x14ac:dyDescent="0.25">
      <c r="B45" s="150"/>
    </row>
    <row r="46" spans="1:10" hidden="1" x14ac:dyDescent="0.25"/>
    <row r="47" spans="1:10" hidden="1" x14ac:dyDescent="0.25">
      <c r="A47" s="425" t="s">
        <v>290</v>
      </c>
      <c r="B47" s="2" t="s">
        <v>23</v>
      </c>
      <c r="C47" s="2"/>
      <c r="D47" s="2"/>
      <c r="E47" s="2" t="s">
        <v>24</v>
      </c>
      <c r="F47" s="2"/>
      <c r="G47" s="2"/>
      <c r="H47" s="1" t="s">
        <v>329</v>
      </c>
    </row>
    <row r="48" spans="1:10" hidden="1" x14ac:dyDescent="0.25">
      <c r="A48" s="426"/>
      <c r="B48" s="181">
        <f>År1</f>
        <v>2019</v>
      </c>
      <c r="C48" s="181">
        <f>År2</f>
        <v>2030</v>
      </c>
      <c r="D48" s="181">
        <f>År3</f>
        <v>2050</v>
      </c>
      <c r="E48" s="181">
        <f>År1</f>
        <v>2019</v>
      </c>
      <c r="F48" s="181">
        <f>År2</f>
        <v>2030</v>
      </c>
      <c r="G48" s="181">
        <f>År3</f>
        <v>2050</v>
      </c>
      <c r="H48" s="181">
        <f>År1</f>
        <v>2019</v>
      </c>
      <c r="I48" s="181">
        <f>År2</f>
        <v>2030</v>
      </c>
      <c r="J48" s="181">
        <f>År3</f>
        <v>2050</v>
      </c>
    </row>
    <row r="49" spans="1:10" hidden="1" x14ac:dyDescent="0.25">
      <c r="A49" s="2" t="s">
        <v>182</v>
      </c>
      <c r="B49" s="109">
        <f t="shared" ref="B49:G54" si="0">SUMIF($A$22:$A$42,$A49,C$22:C$42)</f>
        <v>435064.52162306459</v>
      </c>
      <c r="C49" s="109">
        <f t="shared" si="0"/>
        <v>411725.30255233188</v>
      </c>
      <c r="D49" s="109">
        <f t="shared" si="0"/>
        <v>372451.02368307725</v>
      </c>
      <c r="E49" s="109">
        <f t="shared" si="0"/>
        <v>127345.4783769354</v>
      </c>
      <c r="F49" s="109">
        <f t="shared" si="0"/>
        <v>120513.97668054659</v>
      </c>
      <c r="G49" s="109">
        <f t="shared" si="0"/>
        <v>109018.20632479334</v>
      </c>
      <c r="H49" s="109">
        <f>SUM(B49,E49)</f>
        <v>562410</v>
      </c>
      <c r="I49" s="109">
        <f t="shared" ref="I49:J54" si="1">SUM(C49,F49)</f>
        <v>532239.27923287847</v>
      </c>
      <c r="J49" s="109">
        <f t="shared" si="1"/>
        <v>481469.23000787059</v>
      </c>
    </row>
    <row r="50" spans="1:10" hidden="1" x14ac:dyDescent="0.25">
      <c r="A50" s="2" t="s">
        <v>176</v>
      </c>
      <c r="B50" s="109">
        <f t="shared" si="0"/>
        <v>0</v>
      </c>
      <c r="C50" s="109">
        <f t="shared" ca="1" si="0"/>
        <v>41483.515367029002</v>
      </c>
      <c r="D50" s="109">
        <f t="shared" ca="1" si="0"/>
        <v>113747.42386591318</v>
      </c>
      <c r="E50" s="109">
        <f t="shared" ca="1" si="0"/>
        <v>0</v>
      </c>
      <c r="F50" s="109">
        <f t="shared" ca="1" si="0"/>
        <v>9587.2054000925127</v>
      </c>
      <c r="G50" s="109">
        <f t="shared" ca="1" si="0"/>
        <v>26093.346126216129</v>
      </c>
      <c r="H50" s="109">
        <f t="shared" ref="H50:H54" ca="1" si="2">SUM(B50,E50)</f>
        <v>0</v>
      </c>
      <c r="I50" s="109">
        <f t="shared" ca="1" si="1"/>
        <v>51070.720767121515</v>
      </c>
      <c r="J50" s="109">
        <f t="shared" ca="1" si="1"/>
        <v>139840.7699921293</v>
      </c>
    </row>
    <row r="51" spans="1:10" hidden="1" x14ac:dyDescent="0.25">
      <c r="A51" s="2" t="s">
        <v>177</v>
      </c>
      <c r="B51" s="109">
        <f t="shared" si="0"/>
        <v>0</v>
      </c>
      <c r="C51" s="109">
        <f ca="1">SUMIF($A$22:$A$42,$A51,D$22:D$42)</f>
        <v>0</v>
      </c>
      <c r="D51" s="109">
        <f t="shared" ca="1" si="0"/>
        <v>0</v>
      </c>
      <c r="E51" s="109">
        <f t="shared" ca="1" si="0"/>
        <v>0</v>
      </c>
      <c r="F51" s="109">
        <f t="shared" ca="1" si="0"/>
        <v>0</v>
      </c>
      <c r="G51" s="109">
        <f t="shared" ca="1" si="0"/>
        <v>0</v>
      </c>
      <c r="H51" s="109">
        <f t="shared" ca="1" si="2"/>
        <v>0</v>
      </c>
      <c r="I51" s="109">
        <f t="shared" ca="1" si="1"/>
        <v>0</v>
      </c>
      <c r="J51" s="109">
        <f t="shared" ca="1" si="1"/>
        <v>0</v>
      </c>
    </row>
    <row r="52" spans="1:10" hidden="1" x14ac:dyDescent="0.25">
      <c r="A52" s="2" t="s">
        <v>178</v>
      </c>
      <c r="B52" s="109">
        <f t="shared" si="0"/>
        <v>0</v>
      </c>
      <c r="C52" s="109">
        <f t="shared" ca="1" si="0"/>
        <v>0</v>
      </c>
      <c r="D52" s="109">
        <f t="shared" ca="1" si="0"/>
        <v>0</v>
      </c>
      <c r="E52" s="109">
        <f t="shared" ca="1" si="0"/>
        <v>0</v>
      </c>
      <c r="F52" s="109">
        <f t="shared" ca="1" si="0"/>
        <v>0</v>
      </c>
      <c r="G52" s="109">
        <f t="shared" ca="1" si="0"/>
        <v>0</v>
      </c>
      <c r="H52" s="109">
        <f t="shared" ca="1" si="2"/>
        <v>0</v>
      </c>
      <c r="I52" s="109">
        <f t="shared" ca="1" si="1"/>
        <v>0</v>
      </c>
      <c r="J52" s="109">
        <f t="shared" ca="1" si="1"/>
        <v>0</v>
      </c>
    </row>
    <row r="53" spans="1:10" hidden="1" x14ac:dyDescent="0.25">
      <c r="A53" s="2" t="s">
        <v>179</v>
      </c>
      <c r="B53" s="109">
        <f t="shared" si="0"/>
        <v>0</v>
      </c>
      <c r="C53" s="109">
        <f t="shared" ca="1" si="0"/>
        <v>0</v>
      </c>
      <c r="D53" s="109">
        <f t="shared" ca="1" si="0"/>
        <v>0</v>
      </c>
      <c r="E53" s="109">
        <f t="shared" ca="1" si="0"/>
        <v>0</v>
      </c>
      <c r="F53" s="109">
        <f t="shared" ca="1" si="0"/>
        <v>0</v>
      </c>
      <c r="G53" s="109">
        <f t="shared" ca="1" si="0"/>
        <v>0</v>
      </c>
      <c r="H53" s="109">
        <f t="shared" ca="1" si="2"/>
        <v>0</v>
      </c>
      <c r="I53" s="109">
        <f t="shared" ca="1" si="1"/>
        <v>0</v>
      </c>
      <c r="J53" s="109">
        <f t="shared" ca="1" si="1"/>
        <v>0</v>
      </c>
    </row>
    <row r="54" spans="1:10" hidden="1" x14ac:dyDescent="0.25">
      <c r="A54" s="2" t="s">
        <v>180</v>
      </c>
      <c r="B54" s="109">
        <f t="shared" si="0"/>
        <v>0</v>
      </c>
      <c r="C54" s="109">
        <f t="shared" ca="1" si="0"/>
        <v>0</v>
      </c>
      <c r="D54" s="109">
        <f t="shared" ca="1" si="0"/>
        <v>0</v>
      </c>
      <c r="E54" s="109">
        <f t="shared" ca="1" si="0"/>
        <v>0</v>
      </c>
      <c r="F54" s="109">
        <f t="shared" ca="1" si="0"/>
        <v>0</v>
      </c>
      <c r="G54" s="109">
        <f t="shared" ca="1" si="0"/>
        <v>0</v>
      </c>
      <c r="H54" s="109">
        <f t="shared" ca="1" si="2"/>
        <v>0</v>
      </c>
      <c r="I54" s="109">
        <f t="shared" ca="1" si="1"/>
        <v>0</v>
      </c>
      <c r="J54" s="109">
        <f t="shared" ca="1" si="1"/>
        <v>0</v>
      </c>
    </row>
    <row r="55" spans="1:10" hidden="1" x14ac:dyDescent="0.25"/>
    <row r="57" spans="1:10" x14ac:dyDescent="0.25">
      <c r="A57" s="1" t="s">
        <v>330</v>
      </c>
    </row>
    <row r="58" spans="1:10" x14ac:dyDescent="0.25">
      <c r="A58" s="2"/>
      <c r="B58" s="2">
        <f>År1</f>
        <v>2019</v>
      </c>
      <c r="C58" s="2">
        <f>År2</f>
        <v>2030</v>
      </c>
      <c r="D58" s="2">
        <f>År3</f>
        <v>2050</v>
      </c>
    </row>
    <row r="59" spans="1:10" x14ac:dyDescent="0.25">
      <c r="A59" s="108" t="s">
        <v>118</v>
      </c>
      <c r="B59" s="7">
        <f>'[1]Processer - data'!$H423</f>
        <v>0.48</v>
      </c>
      <c r="C59" s="8">
        <f>B59</f>
        <v>0.48</v>
      </c>
      <c r="D59" s="8">
        <f>C59</f>
        <v>0.48</v>
      </c>
    </row>
    <row r="60" spans="1:10" ht="15.75" thickBot="1" x14ac:dyDescent="0.3">
      <c r="A60" s="336" t="s">
        <v>119</v>
      </c>
      <c r="B60" s="332">
        <f>'[1]Processer - data'!$H424</f>
        <v>0.52</v>
      </c>
      <c r="C60" s="335">
        <f>B60</f>
        <v>0.52</v>
      </c>
      <c r="D60" s="335">
        <f>C60</f>
        <v>0.52</v>
      </c>
    </row>
    <row r="61" spans="1:10" ht="15.75" thickBot="1" x14ac:dyDescent="0.3">
      <c r="A61" s="333" t="s">
        <v>30</v>
      </c>
      <c r="B61" s="334">
        <f>SUM(B59:B60)</f>
        <v>1</v>
      </c>
      <c r="C61" s="334">
        <f t="shared" ref="C61:D61" si="3">SUM(C59:C60)</f>
        <v>1</v>
      </c>
      <c r="D61" s="334">
        <f t="shared" si="3"/>
        <v>1</v>
      </c>
    </row>
  </sheetData>
  <mergeCells count="1">
    <mergeCell ref="A47:A48"/>
  </mergeCells>
  <phoneticPr fontId="10" type="noConversion"/>
  <conditionalFormatting sqref="B61:D61">
    <cfRule type="cellIs" dxfId="17" priority="1" operator="notBetween">
      <formula>1</formula>
      <formula>1</formula>
    </cfRule>
  </conditionalFormatting>
  <hyperlinks>
    <hyperlink ref="A1" location="Resume!A1" display="Typer af skov:" xr:uid="{02E4F86A-40FA-4073-89AD-B17A22B4AE27}"/>
  </hyperlinks>
  <pageMargins left="0.7" right="0.7" top="0.75" bottom="0.75" header="0.3" footer="0.3"/>
  <pageSetup orientation="portrait" horizontalDpi="300" verticalDpi="3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E6B427-6AA9-47E3-AAB9-02E3770F076A}">
  <sheetPr codeName="Sheet36">
    <tabColor theme="9" tint="0.39997558519241921"/>
  </sheetPr>
  <dimension ref="A1:AM311"/>
  <sheetViews>
    <sheetView zoomScaleNormal="100" workbookViewId="0">
      <selection activeCell="D1" sqref="D1"/>
    </sheetView>
  </sheetViews>
  <sheetFormatPr defaultRowHeight="15" x14ac:dyDescent="0.25"/>
  <cols>
    <col min="1" max="1" width="10.140625" style="168" bestFit="1" customWidth="1"/>
    <col min="2" max="2" width="12.7109375" style="168" bestFit="1" customWidth="1"/>
    <col min="4" max="5" width="9.140625" style="168"/>
  </cols>
  <sheetData>
    <row r="1" spans="1:38" x14ac:dyDescent="0.25">
      <c r="D1" s="187" t="s">
        <v>332</v>
      </c>
      <c r="E1" s="168" t="s">
        <v>331</v>
      </c>
      <c r="F1">
        <v>1</v>
      </c>
      <c r="G1">
        <v>2</v>
      </c>
      <c r="H1">
        <v>3</v>
      </c>
      <c r="I1">
        <v>4</v>
      </c>
      <c r="J1">
        <v>5</v>
      </c>
      <c r="K1" s="168">
        <v>6</v>
      </c>
      <c r="L1" s="168">
        <v>7</v>
      </c>
      <c r="M1" s="168">
        <v>8</v>
      </c>
      <c r="N1" s="168">
        <v>9</v>
      </c>
      <c r="O1" s="168">
        <v>10</v>
      </c>
      <c r="P1" s="168">
        <v>11</v>
      </c>
      <c r="Q1" s="168">
        <v>12</v>
      </c>
      <c r="R1" s="168">
        <v>13</v>
      </c>
      <c r="S1" s="168">
        <v>14</v>
      </c>
      <c r="T1" s="168">
        <v>15</v>
      </c>
      <c r="U1" s="168">
        <v>16</v>
      </c>
      <c r="V1" s="168">
        <v>17</v>
      </c>
      <c r="W1" s="168">
        <v>18</v>
      </c>
      <c r="X1" s="168">
        <v>19</v>
      </c>
      <c r="Y1" s="168">
        <v>20</v>
      </c>
      <c r="Z1" s="168">
        <v>21</v>
      </c>
      <c r="AA1" s="168">
        <v>22</v>
      </c>
      <c r="AB1" s="168">
        <v>23</v>
      </c>
      <c r="AC1" s="168">
        <v>24</v>
      </c>
      <c r="AD1" s="168">
        <v>25</v>
      </c>
      <c r="AE1" s="168">
        <v>26</v>
      </c>
      <c r="AF1" s="168">
        <v>27</v>
      </c>
      <c r="AG1" s="168">
        <v>28</v>
      </c>
      <c r="AH1" s="168">
        <v>29</v>
      </c>
      <c r="AI1" s="168">
        <v>30</v>
      </c>
      <c r="AJ1" s="168">
        <v>31</v>
      </c>
      <c r="AK1" s="168"/>
      <c r="AL1" s="168"/>
    </row>
    <row r="2" spans="1:38" s="168" customFormat="1" x14ac:dyDescent="0.25">
      <c r="A2" s="168" t="s">
        <v>176</v>
      </c>
      <c r="B2" s="168" t="s">
        <v>23</v>
      </c>
      <c r="C2" s="168">
        <v>2020</v>
      </c>
      <c r="D2" s="168" cm="1">
        <f t="array" ref="D2">(IF(B2="Vestdanmark",Skovbrug!$C$22-(Skovbrug!$C$22)*(1-Skovbrug!$C$9)^(C2-Skovbrug!$B$12),Skovbrug!$F$22-(Skovbrug!$F$22)*(1-Skovbrug!$C$9)^(C2-Skovbrug!$B$12))*VLOOKUP(A2,Skovbrug!$A$13:$D$17,IF('Skovbrug-alder'!C2&lt;=År2,3,4),FALSE)-IF(C2&gt;2020,SUM(INDEX($C$1:$D$311,MATCH(1,(2020=$C$1:$C$311)*(B2=$B$1:$B$311)*(A2=$A$1:$A$311),0),2):D1),0))</f>
        <v>2175.3226081153261</v>
      </c>
      <c r="E2" s="168">
        <f t="shared" ref="E2:E63" si="0">IF(C2=2020,SUM(G2:AJ2),SUM(F1:AJ1)-SUM(G2:AJ2))</f>
        <v>0</v>
      </c>
      <c r="F2" s="168">
        <f>IF(C2&lt;=År2,IF(B2="Vestdanmark",(Arealanvendelse!$M$27-Arealanvendelse!$J$27),(Arealanvendelse!$M$37-Arealanvendelse!$J$37))/(Arealanvendelse!$M$3-Arealanvendelse!$J$3),IF(B2="Vestdanmark",(Arealanvendelse!$P$27-Arealanvendelse!$M$27),(Arealanvendelse!$P$37-Arealanvendelse!$M$37))/(Arealanvendelse!$P$3-Arealanvendelse!$M$3))*VLOOKUP(A2,Skovbrug!$A$13:$D$17,IF('Skovbrug-alder'!C2&lt;=År2,3,4),FALSE)+D2+E2</f>
        <v>3824.804089596807</v>
      </c>
      <c r="G2" s="168">
        <f>IF($C2-G$1&lt;År1,0,F1*(1-VLOOKUP($A2,[1]Hugst!$R$5:$W$9,MATCH(ROUNDUP((G$1)/10,0)*10,[1]Hugst!$R$4:$W$4,0))))</f>
        <v>0</v>
      </c>
      <c r="H2" s="168">
        <f>IF($C2-H$1&lt;År1,0,G1*(1-VLOOKUP($A2,[1]Hugst!$R$5:$W$9,MATCH(ROUNDUP((H$1)/10,0)*10,[1]Hugst!$R$4:$W$4,0))))</f>
        <v>0</v>
      </c>
      <c r="I2" s="168">
        <f>IF($C2-I$1&lt;År1,0,H1*(1-VLOOKUP($A2,[1]Hugst!$R$5:$W$9,MATCH(ROUNDUP((I$1)/10,0)*10,[1]Hugst!$R$4:$W$4,0))))</f>
        <v>0</v>
      </c>
      <c r="J2" s="168">
        <f>IF($C2-J$1&lt;År1,0,I1*(1-VLOOKUP($A2,[1]Hugst!$R$5:$W$9,MATCH(ROUNDUP((J$1)/10,0)*10,[1]Hugst!$R$4:$W$4,0))))</f>
        <v>0</v>
      </c>
      <c r="K2" s="168">
        <f>IF($C2-K$1&lt;År1,0,J1*(1-VLOOKUP($A2,[1]Hugst!$R$5:$W$9,MATCH(ROUNDUP((K$1)/10,0)*10,[1]Hugst!$R$4:$W$4,0))))</f>
        <v>0</v>
      </c>
      <c r="L2" s="168">
        <f>IF($C2-L$1&lt;År1,0,K1*(1-VLOOKUP($A2,[1]Hugst!$R$5:$W$9,MATCH(ROUNDUP((L$1)/10,0)*10,[1]Hugst!$R$4:$W$4,0))))</f>
        <v>0</v>
      </c>
      <c r="M2" s="168">
        <f>IF($C2-M$1&lt;År1,0,L1*(1-VLOOKUP($A2,[1]Hugst!$R$5:$W$9,MATCH(ROUNDUP((M$1)/10,0)*10,[1]Hugst!$R$4:$W$4,0))))</f>
        <v>0</v>
      </c>
      <c r="N2" s="168">
        <f>IF($C2-N$1&lt;År1,0,M1*(1-VLOOKUP($A2,[1]Hugst!$R$5:$W$9,MATCH(ROUNDUP((N$1)/10,0)*10,[1]Hugst!$R$4:$W$4,0))))</f>
        <v>0</v>
      </c>
      <c r="O2" s="168">
        <f>IF($C2-O$1&lt;År1,0,N1*(1-VLOOKUP($A2,[1]Hugst!$R$5:$W$9,MATCH(ROUNDUP((O$1)/10,0)*10,[1]Hugst!$R$4:$W$4,0))))</f>
        <v>0</v>
      </c>
      <c r="P2" s="168">
        <f>IF($C2-P$1&lt;År1,0,O1*(1-VLOOKUP($A2,[1]Hugst!$R$5:$W$9,MATCH(ROUNDUP((P$1)/10,0)*10,[1]Hugst!$R$4:$W$4,0))))</f>
        <v>0</v>
      </c>
      <c r="Q2" s="168">
        <f>IF($C2-Q$1&lt;År1,0,P1*(1-VLOOKUP($A2,[1]Hugst!$R$5:$W$9,MATCH(ROUNDUP((Q$1)/10,0)*10,[1]Hugst!$R$4:$W$4,0))))</f>
        <v>0</v>
      </c>
      <c r="R2" s="168">
        <f>IF($C2-R$1&lt;År1,0,Q1*(1-VLOOKUP($A2,[1]Hugst!$R$5:$W$9,MATCH(ROUNDUP((R$1)/10,0)*10,[1]Hugst!$R$4:$W$4,0))))</f>
        <v>0</v>
      </c>
      <c r="S2" s="168">
        <f>IF($C2-S$1&lt;År1,0,R1*(1-VLOOKUP($A2,[1]Hugst!$R$5:$W$9,MATCH(ROUNDUP((S$1)/10,0)*10,[1]Hugst!$R$4:$W$4,0))))</f>
        <v>0</v>
      </c>
      <c r="T2" s="168">
        <f>IF($C2-T$1&lt;År1,0,S1*(1-VLOOKUP($A2,[1]Hugst!$R$5:$W$9,MATCH(ROUNDUP((T$1)/10,0)*10,[1]Hugst!$R$4:$W$4,0))))</f>
        <v>0</v>
      </c>
      <c r="U2" s="168">
        <f>IF($C2-U$1&lt;År1,0,T1*(1-VLOOKUP($A2,[1]Hugst!$R$5:$W$9,MATCH(ROUNDUP((U$1)/10,0)*10,[1]Hugst!$R$4:$W$4,0))))</f>
        <v>0</v>
      </c>
      <c r="V2" s="168">
        <f>IF($C2-V$1&lt;År1,0,U1*(1-VLOOKUP($A2,[1]Hugst!$R$5:$W$9,MATCH(ROUNDUP((V$1)/10,0)*10,[1]Hugst!$R$4:$W$4,0))))</f>
        <v>0</v>
      </c>
      <c r="W2" s="168">
        <f>IF($C2-W$1&lt;År1,0,V1*(1-VLOOKUP($A2,[1]Hugst!$R$5:$W$9,MATCH(ROUNDUP((W$1)/10,0)*10,[1]Hugst!$R$4:$W$4,0))))</f>
        <v>0</v>
      </c>
      <c r="X2" s="168">
        <f>IF($C2-X$1&lt;År1,0,W1*(1-VLOOKUP($A2,[1]Hugst!$R$5:$W$9,MATCH(ROUNDUP((X$1)/10,0)*10,[1]Hugst!$R$4:$W$4,0))))</f>
        <v>0</v>
      </c>
      <c r="Y2" s="168">
        <f>IF($C2-Y$1&lt;År1,0,X1*(1-VLOOKUP($A2,[1]Hugst!$R$5:$W$9,MATCH(ROUNDUP((Y$1)/10,0)*10,[1]Hugst!$R$4:$W$4,0))))</f>
        <v>0</v>
      </c>
      <c r="Z2" s="168">
        <f>IF($C2-Z$1&lt;År1,0,Y1*(1-VLOOKUP($A2,[1]Hugst!$R$5:$W$9,MATCH(ROUNDUP((Z$1)/10,0)*10,[1]Hugst!$R$4:$W$4,0))))</f>
        <v>0</v>
      </c>
      <c r="AA2" s="168">
        <f>IF($C2-AA$1&lt;År1,0,Z1*(1-VLOOKUP($A2,[1]Hugst!$R$5:$W$9,MATCH(ROUNDUP((AA$1)/10,0)*10,[1]Hugst!$R$4:$W$4,0))))</f>
        <v>0</v>
      </c>
      <c r="AB2" s="168">
        <f>IF($C2-AB$1&lt;År1,0,AA1*(1-VLOOKUP($A2,[1]Hugst!$R$5:$W$9,MATCH(ROUNDUP((AB$1)/10,0)*10,[1]Hugst!$R$4:$W$4,0))))</f>
        <v>0</v>
      </c>
      <c r="AC2" s="168">
        <f>IF($C2-AC$1&lt;År1,0,AB1*(1-VLOOKUP($A2,[1]Hugst!$R$5:$W$9,MATCH(ROUNDUP((AC$1)/10,0)*10,[1]Hugst!$R$4:$W$4,0))))</f>
        <v>0</v>
      </c>
      <c r="AD2" s="168">
        <f>IF($C2-AD$1&lt;År1,0,AC1*(1-VLOOKUP($A2,[1]Hugst!$R$5:$W$9,MATCH(ROUNDUP((AD$1)/10,0)*10,[1]Hugst!$R$4:$W$4,0))))</f>
        <v>0</v>
      </c>
      <c r="AE2" s="168">
        <f>IF($C2-AE$1&lt;År1,0,AD1*(1-VLOOKUP($A2,[1]Hugst!$R$5:$W$9,MATCH(ROUNDUP((AE$1)/10,0)*10,[1]Hugst!$R$4:$W$4,0))))</f>
        <v>0</v>
      </c>
      <c r="AF2" s="168">
        <f>IF($C2-AF$1&lt;År1,0,AE1*(1-VLOOKUP($A2,[1]Hugst!$R$5:$W$9,MATCH(ROUNDUP((AF$1)/10,0)*10,[1]Hugst!$R$4:$W$4,0))))</f>
        <v>0</v>
      </c>
      <c r="AG2" s="168">
        <f>IF($C2-AG$1&lt;År1,0,AF1*(1-VLOOKUP($A2,[1]Hugst!$R$5:$W$9,MATCH(ROUNDUP((AG$1)/10,0)*10,[1]Hugst!$R$4:$W$4,0))))</f>
        <v>0</v>
      </c>
      <c r="AH2" s="168">
        <f>IF($C2-AH$1&lt;År1,0,AG1*(1-VLOOKUP($A2,[1]Hugst!$R$5:$W$9,MATCH(ROUNDUP((AH$1)/10,0)*10,[1]Hugst!$R$4:$W$4,0))))</f>
        <v>0</v>
      </c>
      <c r="AI2" s="168">
        <f>IF($C2-AI$1&lt;År1,0,AH1*(1-VLOOKUP($A2,[1]Hugst!$R$5:$W$9,MATCH(ROUNDUP((AI$1)/10,0)*10,[1]Hugst!$R$4:$W$4,0))))</f>
        <v>0</v>
      </c>
      <c r="AJ2" s="168">
        <f>IF($C2-AJ$1&lt;År1,0,AI1*(1-VLOOKUP($A2,[1]Hugst!$R$5:$W$9,MATCH(ROUNDUP((AJ$1)/10,0)*10,[1]Hugst!$R$4:$W$4,0))))</f>
        <v>0</v>
      </c>
    </row>
    <row r="3" spans="1:38" s="168" customFormat="1" x14ac:dyDescent="0.25">
      <c r="A3" s="168" t="s">
        <v>176</v>
      </c>
      <c r="B3" s="168" t="s">
        <v>23</v>
      </c>
      <c r="C3" s="168">
        <v>2021</v>
      </c>
      <c r="D3" s="168" cm="1">
        <f t="array" ref="D3">(IF(B3="Vestdanmark",Skovbrug!$C$22-(Skovbrug!$C$22)*(1-Skovbrug!$C$9)^(C3-Skovbrug!$B$12),Skovbrug!$F$22-(Skovbrug!$F$22)*(1-Skovbrug!$C$9)^(C3-Skovbrug!$B$12))*VLOOKUP(A3,Skovbrug!$A$13:$D$17,IF('Skovbrug-alder'!C3&lt;=År2,3,4),FALSE)-IF(C3&gt;2020,SUM(INDEX($C$1:$D$311,MATCH(1,(2020=$C$1:$C$311)*(B3=$B$1:$B$311)*(A3=$A$1:$A$311),0),2):D2),0))</f>
        <v>2164.4459950746968</v>
      </c>
      <c r="E3" s="168">
        <f t="shared" ca="1" si="0"/>
        <v>0</v>
      </c>
      <c r="F3" s="168">
        <f ca="1">IF(C3&lt;=År2,IF(B3="Vestdanmark",(Arealanvendelse!$M$27-Arealanvendelse!$J$27),(Arealanvendelse!$M$37-Arealanvendelse!$J$37))/(Arealanvendelse!$M$3-Arealanvendelse!$J$3),IF(B3="Vestdanmark",(Arealanvendelse!$P$27-Arealanvendelse!$M$27),(Arealanvendelse!$P$37-Arealanvendelse!$M$37))/(Arealanvendelse!$P$3-Arealanvendelse!$M$3))*VLOOKUP(A3,Skovbrug!$A$13:$D$17,IF('Skovbrug-alder'!C3&lt;=År2,3,4),FALSE)+D3+E3</f>
        <v>3813.9274765561777</v>
      </c>
      <c r="G3" s="168">
        <f ca="1">IF($C3-G$1&lt;År1,0,F2*(1-VLOOKUP($A3,[1]Hugst!$R$5:$W$9,MATCH(ROUNDUP((G$1)/10,0)*10,[1]Hugst!$R$4:$W$4,0))))</f>
        <v>3824.804089596807</v>
      </c>
      <c r="H3" s="168">
        <f>IF($C3-H$1&lt;År1,0,G2*(1-VLOOKUP($A3,[1]Hugst!$R$5:$W$9,MATCH(ROUNDUP((H$1)/10,0)*10,[1]Hugst!$R$4:$W$4,0))))</f>
        <v>0</v>
      </c>
      <c r="I3" s="168">
        <f>IF($C3-I$1&lt;År1,0,H2*(1-VLOOKUP($A3,[1]Hugst!$R$5:$W$9,MATCH(ROUNDUP((I$1)/10,0)*10,[1]Hugst!$R$4:$W$4,0))))</f>
        <v>0</v>
      </c>
      <c r="J3" s="168">
        <f>IF($C3-J$1&lt;År1,0,I2*(1-VLOOKUP($A3,[1]Hugst!$R$5:$W$9,MATCH(ROUNDUP((J$1)/10,0)*10,[1]Hugst!$R$4:$W$4,0))))</f>
        <v>0</v>
      </c>
      <c r="K3" s="168">
        <f>IF($C3-K$1&lt;År1,0,J2*(1-VLOOKUP($A3,[1]Hugst!$R$5:$W$9,MATCH(ROUNDUP((K$1)/10,0)*10,[1]Hugst!$R$4:$W$4,0))))</f>
        <v>0</v>
      </c>
      <c r="L3" s="168">
        <f>IF($C3-L$1&lt;År1,0,K2*(1-VLOOKUP($A3,[1]Hugst!$R$5:$W$9,MATCH(ROUNDUP((L$1)/10,0)*10,[1]Hugst!$R$4:$W$4,0))))</f>
        <v>0</v>
      </c>
      <c r="M3" s="168">
        <f>IF($C3-M$1&lt;År1,0,L2*(1-VLOOKUP($A3,[1]Hugst!$R$5:$W$9,MATCH(ROUNDUP((M$1)/10,0)*10,[1]Hugst!$R$4:$W$4,0))))</f>
        <v>0</v>
      </c>
      <c r="N3" s="168">
        <f>IF($C3-N$1&lt;År1,0,M2*(1-VLOOKUP($A3,[1]Hugst!$R$5:$W$9,MATCH(ROUNDUP((N$1)/10,0)*10,[1]Hugst!$R$4:$W$4,0))))</f>
        <v>0</v>
      </c>
      <c r="O3" s="168">
        <f>IF($C3-O$1&lt;År1,0,N2*(1-VLOOKUP($A3,[1]Hugst!$R$5:$W$9,MATCH(ROUNDUP((O$1)/10,0)*10,[1]Hugst!$R$4:$W$4,0))))</f>
        <v>0</v>
      </c>
      <c r="P3" s="168">
        <f>IF($C3-P$1&lt;År1,0,O2*(1-VLOOKUP($A3,[1]Hugst!$R$5:$W$9,MATCH(ROUNDUP((P$1)/10,0)*10,[1]Hugst!$R$4:$W$4,0))))</f>
        <v>0</v>
      </c>
      <c r="Q3" s="168">
        <f>IF($C3-Q$1&lt;År1,0,P2*(1-VLOOKUP($A3,[1]Hugst!$R$5:$W$9,MATCH(ROUNDUP((Q$1)/10,0)*10,[1]Hugst!$R$4:$W$4,0))))</f>
        <v>0</v>
      </c>
      <c r="R3" s="168">
        <f>IF($C3-R$1&lt;År1,0,Q2*(1-VLOOKUP($A3,[1]Hugst!$R$5:$W$9,MATCH(ROUNDUP((R$1)/10,0)*10,[1]Hugst!$R$4:$W$4,0))))</f>
        <v>0</v>
      </c>
      <c r="S3" s="168">
        <f>IF($C3-S$1&lt;År1,0,R2*(1-VLOOKUP($A3,[1]Hugst!$R$5:$W$9,MATCH(ROUNDUP((S$1)/10,0)*10,[1]Hugst!$R$4:$W$4,0))))</f>
        <v>0</v>
      </c>
      <c r="T3" s="168">
        <f>IF($C3-T$1&lt;År1,0,S2*(1-VLOOKUP($A3,[1]Hugst!$R$5:$W$9,MATCH(ROUNDUP((T$1)/10,0)*10,[1]Hugst!$R$4:$W$4,0))))</f>
        <v>0</v>
      </c>
      <c r="U3" s="168">
        <f>IF($C3-U$1&lt;År1,0,T2*(1-VLOOKUP($A3,[1]Hugst!$R$5:$W$9,MATCH(ROUNDUP((U$1)/10,0)*10,[1]Hugst!$R$4:$W$4,0))))</f>
        <v>0</v>
      </c>
      <c r="V3" s="168">
        <f>IF($C3-V$1&lt;År1,0,U2*(1-VLOOKUP($A3,[1]Hugst!$R$5:$W$9,MATCH(ROUNDUP((V$1)/10,0)*10,[1]Hugst!$R$4:$W$4,0))))</f>
        <v>0</v>
      </c>
      <c r="W3" s="168">
        <f>IF($C3-W$1&lt;År1,0,V2*(1-VLOOKUP($A3,[1]Hugst!$R$5:$W$9,MATCH(ROUNDUP((W$1)/10,0)*10,[1]Hugst!$R$4:$W$4,0))))</f>
        <v>0</v>
      </c>
      <c r="X3" s="168">
        <f>IF($C3-X$1&lt;År1,0,W2*(1-VLOOKUP($A3,[1]Hugst!$R$5:$W$9,MATCH(ROUNDUP((X$1)/10,0)*10,[1]Hugst!$R$4:$W$4,0))))</f>
        <v>0</v>
      </c>
      <c r="Y3" s="168">
        <f>IF($C3-Y$1&lt;År1,0,X2*(1-VLOOKUP($A3,[1]Hugst!$R$5:$W$9,MATCH(ROUNDUP((Y$1)/10,0)*10,[1]Hugst!$R$4:$W$4,0))))</f>
        <v>0</v>
      </c>
      <c r="Z3" s="168">
        <f>IF($C3-Z$1&lt;År1,0,Y2*(1-VLOOKUP($A3,[1]Hugst!$R$5:$W$9,MATCH(ROUNDUP((Z$1)/10,0)*10,[1]Hugst!$R$4:$W$4,0))))</f>
        <v>0</v>
      </c>
      <c r="AA3" s="168">
        <f>IF($C3-AA$1&lt;År1,0,Z2*(1-VLOOKUP($A3,[1]Hugst!$R$5:$W$9,MATCH(ROUNDUP((AA$1)/10,0)*10,[1]Hugst!$R$4:$W$4,0))))</f>
        <v>0</v>
      </c>
      <c r="AB3" s="168">
        <f>IF($C3-AB$1&lt;År1,0,AA2*(1-VLOOKUP($A3,[1]Hugst!$R$5:$W$9,MATCH(ROUNDUP((AB$1)/10,0)*10,[1]Hugst!$R$4:$W$4,0))))</f>
        <v>0</v>
      </c>
      <c r="AC3" s="168">
        <f>IF($C3-AC$1&lt;År1,0,AB2*(1-VLOOKUP($A3,[1]Hugst!$R$5:$W$9,MATCH(ROUNDUP((AC$1)/10,0)*10,[1]Hugst!$R$4:$W$4,0))))</f>
        <v>0</v>
      </c>
      <c r="AD3" s="168">
        <f>IF($C3-AD$1&lt;År1,0,AC2*(1-VLOOKUP($A3,[1]Hugst!$R$5:$W$9,MATCH(ROUNDUP((AD$1)/10,0)*10,[1]Hugst!$R$4:$W$4,0))))</f>
        <v>0</v>
      </c>
      <c r="AE3" s="168">
        <f>IF($C3-AE$1&lt;År1,0,AD2*(1-VLOOKUP($A3,[1]Hugst!$R$5:$W$9,MATCH(ROUNDUP((AE$1)/10,0)*10,[1]Hugst!$R$4:$W$4,0))))</f>
        <v>0</v>
      </c>
      <c r="AF3" s="168">
        <f>IF($C3-AF$1&lt;År1,0,AE2*(1-VLOOKUP($A3,[1]Hugst!$R$5:$W$9,MATCH(ROUNDUP((AF$1)/10,0)*10,[1]Hugst!$R$4:$W$4,0))))</f>
        <v>0</v>
      </c>
      <c r="AG3" s="168">
        <f>IF($C3-AG$1&lt;År1,0,AF2*(1-VLOOKUP($A3,[1]Hugst!$R$5:$W$9,MATCH(ROUNDUP((AG$1)/10,0)*10,[1]Hugst!$R$4:$W$4,0))))</f>
        <v>0</v>
      </c>
      <c r="AH3" s="168">
        <f>IF($C3-AH$1&lt;År1,0,AG2*(1-VLOOKUP($A3,[1]Hugst!$R$5:$W$9,MATCH(ROUNDUP((AH$1)/10,0)*10,[1]Hugst!$R$4:$W$4,0))))</f>
        <v>0</v>
      </c>
      <c r="AI3" s="168">
        <f>IF($C3-AI$1&lt;År1,0,AH2*(1-VLOOKUP($A3,[1]Hugst!$R$5:$W$9,MATCH(ROUNDUP((AI$1)/10,0)*10,[1]Hugst!$R$4:$W$4,0))))</f>
        <v>0</v>
      </c>
      <c r="AJ3" s="168">
        <f>IF($C3-AJ$1&lt;År1,0,AI2*(1-VLOOKUP($A3,[1]Hugst!$R$5:$W$9,MATCH(ROUNDUP((AJ$1)/10,0)*10,[1]Hugst!$R$4:$W$4,0))))</f>
        <v>0</v>
      </c>
    </row>
    <row r="4" spans="1:38" s="168" customFormat="1" x14ac:dyDescent="0.25">
      <c r="A4" s="168" t="s">
        <v>176</v>
      </c>
      <c r="B4" s="168" t="s">
        <v>23</v>
      </c>
      <c r="C4" s="168">
        <v>2022</v>
      </c>
      <c r="D4" s="168" cm="1">
        <f t="array" ref="D4">(IF(B4="Vestdanmark",Skovbrug!$C$22-(Skovbrug!$C$22)*(1-Skovbrug!$C$9)^(C4-Skovbrug!$B$12),Skovbrug!$F$22-(Skovbrug!$F$22)*(1-Skovbrug!$C$9)^(C4-Skovbrug!$B$12))*VLOOKUP(A4,Skovbrug!$A$13:$D$17,IF('Skovbrug-alder'!C4&lt;=År2,3,4),FALSE)-IF(C4&gt;2020,SUM(INDEX($C$1:$D$311,MATCH(1,(2020=$C$1:$C$311)*(B4=$B$1:$B$311)*(A4=$A$1:$A$311),0),2):D3),0))</f>
        <v>2153.6237650993862</v>
      </c>
      <c r="E4" s="168">
        <f t="shared" ca="1" si="0"/>
        <v>0</v>
      </c>
      <c r="F4" s="168">
        <f ca="1">IF(C4&lt;=År2,IF(B4="Vestdanmark",(Arealanvendelse!$M$27-Arealanvendelse!$J$27),(Arealanvendelse!$M$37-Arealanvendelse!$J$37))/(Arealanvendelse!$M$3-Arealanvendelse!$J$3),IF(B4="Vestdanmark",(Arealanvendelse!$P$27-Arealanvendelse!$M$27),(Arealanvendelse!$P$37-Arealanvendelse!$M$37))/(Arealanvendelse!$P$3-Arealanvendelse!$M$3))*VLOOKUP(A4,Skovbrug!$A$13:$D$17,IF('Skovbrug-alder'!C4&lt;=År2,3,4),FALSE)+D4+E4</f>
        <v>3803.1052465808671</v>
      </c>
      <c r="G4" s="168">
        <f ca="1">IF($C4-G$1&lt;År1,0,F3*(1-VLOOKUP($A4,[1]Hugst!$R$5:$W$9,MATCH(ROUNDUP((G$1)/10,0)*10,[1]Hugst!$R$4:$W$4,0))))</f>
        <v>3813.9274765561777</v>
      </c>
      <c r="H4" s="168">
        <f ca="1">IF($C4-H$1&lt;År1,0,G3*(1-VLOOKUP($A4,[1]Hugst!$R$5:$W$9,MATCH(ROUNDUP((H$1)/10,0)*10,[1]Hugst!$R$4:$W$4,0))))</f>
        <v>3824.804089596807</v>
      </c>
      <c r="I4" s="168">
        <f>IF($C4-I$1&lt;År1,0,H3*(1-VLOOKUP($A4,[1]Hugst!$R$5:$W$9,MATCH(ROUNDUP((I$1)/10,0)*10,[1]Hugst!$R$4:$W$4,0))))</f>
        <v>0</v>
      </c>
      <c r="J4" s="168">
        <f>IF($C4-J$1&lt;År1,0,I3*(1-VLOOKUP($A4,[1]Hugst!$R$5:$W$9,MATCH(ROUNDUP((J$1)/10,0)*10,[1]Hugst!$R$4:$W$4,0))))</f>
        <v>0</v>
      </c>
      <c r="K4" s="168">
        <f>IF($C4-K$1&lt;År1,0,J3*(1-VLOOKUP($A4,[1]Hugst!$R$5:$W$9,MATCH(ROUNDUP((K$1)/10,0)*10,[1]Hugst!$R$4:$W$4,0))))</f>
        <v>0</v>
      </c>
      <c r="L4" s="168">
        <f>IF($C4-L$1&lt;År1,0,K3*(1-VLOOKUP($A4,[1]Hugst!$R$5:$W$9,MATCH(ROUNDUP((L$1)/10,0)*10,[1]Hugst!$R$4:$W$4,0))))</f>
        <v>0</v>
      </c>
      <c r="M4" s="168">
        <f>IF($C4-M$1&lt;År1,0,L3*(1-VLOOKUP($A4,[1]Hugst!$R$5:$W$9,MATCH(ROUNDUP((M$1)/10,0)*10,[1]Hugst!$R$4:$W$4,0))))</f>
        <v>0</v>
      </c>
      <c r="N4" s="168">
        <f>IF($C4-N$1&lt;År1,0,M3*(1-VLOOKUP($A4,[1]Hugst!$R$5:$W$9,MATCH(ROUNDUP((N$1)/10,0)*10,[1]Hugst!$R$4:$W$4,0))))</f>
        <v>0</v>
      </c>
      <c r="O4" s="168">
        <f>IF($C4-O$1&lt;År1,0,N3*(1-VLOOKUP($A4,[1]Hugst!$R$5:$W$9,MATCH(ROUNDUP((O$1)/10,0)*10,[1]Hugst!$R$4:$W$4,0))))</f>
        <v>0</v>
      </c>
      <c r="P4" s="168">
        <f>IF($C4-P$1&lt;År1,0,O3*(1-VLOOKUP($A4,[1]Hugst!$R$5:$W$9,MATCH(ROUNDUP((P$1)/10,0)*10,[1]Hugst!$R$4:$W$4,0))))</f>
        <v>0</v>
      </c>
      <c r="Q4" s="168">
        <f>IF($C4-Q$1&lt;År1,0,P3*(1-VLOOKUP($A4,[1]Hugst!$R$5:$W$9,MATCH(ROUNDUP((Q$1)/10,0)*10,[1]Hugst!$R$4:$W$4,0))))</f>
        <v>0</v>
      </c>
      <c r="R4" s="168">
        <f>IF($C4-R$1&lt;År1,0,Q3*(1-VLOOKUP($A4,[1]Hugst!$R$5:$W$9,MATCH(ROUNDUP((R$1)/10,0)*10,[1]Hugst!$R$4:$W$4,0))))</f>
        <v>0</v>
      </c>
      <c r="S4" s="168">
        <f>IF($C4-S$1&lt;År1,0,R3*(1-VLOOKUP($A4,[1]Hugst!$R$5:$W$9,MATCH(ROUNDUP((S$1)/10,0)*10,[1]Hugst!$R$4:$W$4,0))))</f>
        <v>0</v>
      </c>
      <c r="T4" s="168">
        <f>IF($C4-T$1&lt;År1,0,S3*(1-VLOOKUP($A4,[1]Hugst!$R$5:$W$9,MATCH(ROUNDUP((T$1)/10,0)*10,[1]Hugst!$R$4:$W$4,0))))</f>
        <v>0</v>
      </c>
      <c r="U4" s="168">
        <f>IF($C4-U$1&lt;År1,0,T3*(1-VLOOKUP($A4,[1]Hugst!$R$5:$W$9,MATCH(ROUNDUP((U$1)/10,0)*10,[1]Hugst!$R$4:$W$4,0))))</f>
        <v>0</v>
      </c>
      <c r="V4" s="168">
        <f>IF($C4-V$1&lt;År1,0,U3*(1-VLOOKUP($A4,[1]Hugst!$R$5:$W$9,MATCH(ROUNDUP((V$1)/10,0)*10,[1]Hugst!$R$4:$W$4,0))))</f>
        <v>0</v>
      </c>
      <c r="W4" s="168">
        <f>IF($C4-W$1&lt;År1,0,V3*(1-VLOOKUP($A4,[1]Hugst!$R$5:$W$9,MATCH(ROUNDUP((W$1)/10,0)*10,[1]Hugst!$R$4:$W$4,0))))</f>
        <v>0</v>
      </c>
      <c r="X4" s="168">
        <f>IF($C4-X$1&lt;År1,0,W3*(1-VLOOKUP($A4,[1]Hugst!$R$5:$W$9,MATCH(ROUNDUP((X$1)/10,0)*10,[1]Hugst!$R$4:$W$4,0))))</f>
        <v>0</v>
      </c>
      <c r="Y4" s="168">
        <f>IF($C4-Y$1&lt;År1,0,X3*(1-VLOOKUP($A4,[1]Hugst!$R$5:$W$9,MATCH(ROUNDUP((Y$1)/10,0)*10,[1]Hugst!$R$4:$W$4,0))))</f>
        <v>0</v>
      </c>
      <c r="Z4" s="168">
        <f>IF($C4-Z$1&lt;År1,0,Y3*(1-VLOOKUP($A4,[1]Hugst!$R$5:$W$9,MATCH(ROUNDUP((Z$1)/10,0)*10,[1]Hugst!$R$4:$W$4,0))))</f>
        <v>0</v>
      </c>
      <c r="AA4" s="168">
        <f>IF($C4-AA$1&lt;År1,0,Z3*(1-VLOOKUP($A4,[1]Hugst!$R$5:$W$9,MATCH(ROUNDUP((AA$1)/10,0)*10,[1]Hugst!$R$4:$W$4,0))))</f>
        <v>0</v>
      </c>
      <c r="AB4" s="168">
        <f>IF($C4-AB$1&lt;År1,0,AA3*(1-VLOOKUP($A4,[1]Hugst!$R$5:$W$9,MATCH(ROUNDUP((AB$1)/10,0)*10,[1]Hugst!$R$4:$W$4,0))))</f>
        <v>0</v>
      </c>
      <c r="AC4" s="168">
        <f>IF($C4-AC$1&lt;År1,0,AB3*(1-VLOOKUP($A4,[1]Hugst!$R$5:$W$9,MATCH(ROUNDUP((AC$1)/10,0)*10,[1]Hugst!$R$4:$W$4,0))))</f>
        <v>0</v>
      </c>
      <c r="AD4" s="168">
        <f>IF($C4-AD$1&lt;År1,0,AC3*(1-VLOOKUP($A4,[1]Hugst!$R$5:$W$9,MATCH(ROUNDUP((AD$1)/10,0)*10,[1]Hugst!$R$4:$W$4,0))))</f>
        <v>0</v>
      </c>
      <c r="AE4" s="168">
        <f>IF($C4-AE$1&lt;År1,0,AD3*(1-VLOOKUP($A4,[1]Hugst!$R$5:$W$9,MATCH(ROUNDUP((AE$1)/10,0)*10,[1]Hugst!$R$4:$W$4,0))))</f>
        <v>0</v>
      </c>
      <c r="AF4" s="168">
        <f>IF($C4-AF$1&lt;År1,0,AE3*(1-VLOOKUP($A4,[1]Hugst!$R$5:$W$9,MATCH(ROUNDUP((AF$1)/10,0)*10,[1]Hugst!$R$4:$W$4,0))))</f>
        <v>0</v>
      </c>
      <c r="AG4" s="168">
        <f>IF($C4-AG$1&lt;År1,0,AF3*(1-VLOOKUP($A4,[1]Hugst!$R$5:$W$9,MATCH(ROUNDUP((AG$1)/10,0)*10,[1]Hugst!$R$4:$W$4,0))))</f>
        <v>0</v>
      </c>
      <c r="AH4" s="168">
        <f>IF($C4-AH$1&lt;År1,0,AG3*(1-VLOOKUP($A4,[1]Hugst!$R$5:$W$9,MATCH(ROUNDUP((AH$1)/10,0)*10,[1]Hugst!$R$4:$W$4,0))))</f>
        <v>0</v>
      </c>
      <c r="AI4" s="168">
        <f>IF($C4-AI$1&lt;År1,0,AH3*(1-VLOOKUP($A4,[1]Hugst!$R$5:$W$9,MATCH(ROUNDUP((AI$1)/10,0)*10,[1]Hugst!$R$4:$W$4,0))))</f>
        <v>0</v>
      </c>
      <c r="AJ4" s="168">
        <f>IF($C4-AJ$1&lt;År1,0,AI3*(1-VLOOKUP($A4,[1]Hugst!$R$5:$W$9,MATCH(ROUNDUP((AJ$1)/10,0)*10,[1]Hugst!$R$4:$W$4,0))))</f>
        <v>0</v>
      </c>
    </row>
    <row r="5" spans="1:38" s="168" customFormat="1" x14ac:dyDescent="0.25">
      <c r="A5" s="168" t="s">
        <v>176</v>
      </c>
      <c r="B5" s="168" t="s">
        <v>23</v>
      </c>
      <c r="C5" s="168">
        <v>2023</v>
      </c>
      <c r="D5" s="168" cm="1">
        <f t="array" ref="D5">(IF(B5="Vestdanmark",Skovbrug!$C$22-(Skovbrug!$C$22)*(1-Skovbrug!$C$9)^(C5-Skovbrug!$B$12),Skovbrug!$F$22-(Skovbrug!$F$22)*(1-Skovbrug!$C$9)^(C5-Skovbrug!$B$12))*VLOOKUP(A5,Skovbrug!$A$13:$D$17,IF('Skovbrug-alder'!C5&lt;=År2,3,4),FALSE)-IF(C5&gt;2020,SUM(INDEX($C$1:$D$311,MATCH(1,(2020=$C$1:$C$311)*(B5=$B$1:$B$311)*(A5=$A$1:$A$311),0),2):D4),0))</f>
        <v>2142.8556462738779</v>
      </c>
      <c r="E5" s="168">
        <f t="shared" ca="1" si="0"/>
        <v>0</v>
      </c>
      <c r="F5" s="168">
        <f ca="1">IF(C5&lt;=År2,IF(B5="Vestdanmark",(Arealanvendelse!$M$27-Arealanvendelse!$J$27),(Arealanvendelse!$M$37-Arealanvendelse!$J$37))/(Arealanvendelse!$M$3-Arealanvendelse!$J$3),IF(B5="Vestdanmark",(Arealanvendelse!$P$27-Arealanvendelse!$M$27),(Arealanvendelse!$P$37-Arealanvendelse!$M$37))/(Arealanvendelse!$P$3-Arealanvendelse!$M$3))*VLOOKUP(A5,Skovbrug!$A$13:$D$17,IF('Skovbrug-alder'!C5&lt;=År2,3,4),FALSE)+D5+E5</f>
        <v>3792.3371277553588</v>
      </c>
      <c r="G5" s="168">
        <f ca="1">IF($C5-G$1&lt;År1,0,F4*(1-VLOOKUP($A5,[1]Hugst!$R$5:$W$9,MATCH(ROUNDUP((G$1)/10,0)*10,[1]Hugst!$R$4:$W$4,0))))</f>
        <v>3803.1052465808671</v>
      </c>
      <c r="H5" s="168">
        <f ca="1">IF($C5-H$1&lt;År1,0,G4*(1-VLOOKUP($A5,[1]Hugst!$R$5:$W$9,MATCH(ROUNDUP((H$1)/10,0)*10,[1]Hugst!$R$4:$W$4,0))))</f>
        <v>3813.9274765561777</v>
      </c>
      <c r="I5" s="168">
        <f ca="1">IF($C5-I$1&lt;År1,0,H4*(1-VLOOKUP($A5,[1]Hugst!$R$5:$W$9,MATCH(ROUNDUP((I$1)/10,0)*10,[1]Hugst!$R$4:$W$4,0))))</f>
        <v>3824.804089596807</v>
      </c>
      <c r="J5" s="168">
        <f>IF($C5-J$1&lt;År1,0,I4*(1-VLOOKUP($A5,[1]Hugst!$R$5:$W$9,MATCH(ROUNDUP((J$1)/10,0)*10,[1]Hugst!$R$4:$W$4,0))))</f>
        <v>0</v>
      </c>
      <c r="K5" s="168">
        <f>IF($C5-K$1&lt;År1,0,J4*(1-VLOOKUP($A5,[1]Hugst!$R$5:$W$9,MATCH(ROUNDUP((K$1)/10,0)*10,[1]Hugst!$R$4:$W$4,0))))</f>
        <v>0</v>
      </c>
      <c r="L5" s="168">
        <f>IF($C5-L$1&lt;År1,0,K4*(1-VLOOKUP($A5,[1]Hugst!$R$5:$W$9,MATCH(ROUNDUP((L$1)/10,0)*10,[1]Hugst!$R$4:$W$4,0))))</f>
        <v>0</v>
      </c>
      <c r="M5" s="168">
        <f>IF($C5-M$1&lt;År1,0,L4*(1-VLOOKUP($A5,[1]Hugst!$R$5:$W$9,MATCH(ROUNDUP((M$1)/10,0)*10,[1]Hugst!$R$4:$W$4,0))))</f>
        <v>0</v>
      </c>
      <c r="N5" s="168">
        <f>IF($C5-N$1&lt;År1,0,M4*(1-VLOOKUP($A5,[1]Hugst!$R$5:$W$9,MATCH(ROUNDUP((N$1)/10,0)*10,[1]Hugst!$R$4:$W$4,0))))</f>
        <v>0</v>
      </c>
      <c r="O5" s="168">
        <f>IF($C5-O$1&lt;År1,0,N4*(1-VLOOKUP($A5,[1]Hugst!$R$5:$W$9,MATCH(ROUNDUP((O$1)/10,0)*10,[1]Hugst!$R$4:$W$4,0))))</f>
        <v>0</v>
      </c>
      <c r="P5" s="168">
        <f>IF($C5-P$1&lt;År1,0,O4*(1-VLOOKUP($A5,[1]Hugst!$R$5:$W$9,MATCH(ROUNDUP((P$1)/10,0)*10,[1]Hugst!$R$4:$W$4,0))))</f>
        <v>0</v>
      </c>
      <c r="Q5" s="168">
        <f>IF($C5-Q$1&lt;År1,0,P4*(1-VLOOKUP($A5,[1]Hugst!$R$5:$W$9,MATCH(ROUNDUP((Q$1)/10,0)*10,[1]Hugst!$R$4:$W$4,0))))</f>
        <v>0</v>
      </c>
      <c r="R5" s="168">
        <f>IF($C5-R$1&lt;År1,0,Q4*(1-VLOOKUP($A5,[1]Hugst!$R$5:$W$9,MATCH(ROUNDUP((R$1)/10,0)*10,[1]Hugst!$R$4:$W$4,0))))</f>
        <v>0</v>
      </c>
      <c r="S5" s="168">
        <f>IF($C5-S$1&lt;År1,0,R4*(1-VLOOKUP($A5,[1]Hugst!$R$5:$W$9,MATCH(ROUNDUP((S$1)/10,0)*10,[1]Hugst!$R$4:$W$4,0))))</f>
        <v>0</v>
      </c>
      <c r="T5" s="168">
        <f>IF($C5-T$1&lt;År1,0,S4*(1-VLOOKUP($A5,[1]Hugst!$R$5:$W$9,MATCH(ROUNDUP((T$1)/10,0)*10,[1]Hugst!$R$4:$W$4,0))))</f>
        <v>0</v>
      </c>
      <c r="U5" s="168">
        <f>IF($C5-U$1&lt;År1,0,T4*(1-VLOOKUP($A5,[1]Hugst!$R$5:$W$9,MATCH(ROUNDUP((U$1)/10,0)*10,[1]Hugst!$R$4:$W$4,0))))</f>
        <v>0</v>
      </c>
      <c r="V5" s="168">
        <f>IF($C5-V$1&lt;År1,0,U4*(1-VLOOKUP($A5,[1]Hugst!$R$5:$W$9,MATCH(ROUNDUP((V$1)/10,0)*10,[1]Hugst!$R$4:$W$4,0))))</f>
        <v>0</v>
      </c>
      <c r="W5" s="168">
        <f>IF($C5-W$1&lt;År1,0,V4*(1-VLOOKUP($A5,[1]Hugst!$R$5:$W$9,MATCH(ROUNDUP((W$1)/10,0)*10,[1]Hugst!$R$4:$W$4,0))))</f>
        <v>0</v>
      </c>
      <c r="X5" s="168">
        <f>IF($C5-X$1&lt;År1,0,W4*(1-VLOOKUP($A5,[1]Hugst!$R$5:$W$9,MATCH(ROUNDUP((X$1)/10,0)*10,[1]Hugst!$R$4:$W$4,0))))</f>
        <v>0</v>
      </c>
      <c r="Y5" s="168">
        <f>IF($C5-Y$1&lt;År1,0,X4*(1-VLOOKUP($A5,[1]Hugst!$R$5:$W$9,MATCH(ROUNDUP((Y$1)/10,0)*10,[1]Hugst!$R$4:$W$4,0))))</f>
        <v>0</v>
      </c>
      <c r="Z5" s="168">
        <f>IF($C5-Z$1&lt;År1,0,Y4*(1-VLOOKUP($A5,[1]Hugst!$R$5:$W$9,MATCH(ROUNDUP((Z$1)/10,0)*10,[1]Hugst!$R$4:$W$4,0))))</f>
        <v>0</v>
      </c>
      <c r="AA5" s="168">
        <f>IF($C5-AA$1&lt;År1,0,Z4*(1-VLOOKUP($A5,[1]Hugst!$R$5:$W$9,MATCH(ROUNDUP((AA$1)/10,0)*10,[1]Hugst!$R$4:$W$4,0))))</f>
        <v>0</v>
      </c>
      <c r="AB5" s="168">
        <f>IF($C5-AB$1&lt;År1,0,AA4*(1-VLOOKUP($A5,[1]Hugst!$R$5:$W$9,MATCH(ROUNDUP((AB$1)/10,0)*10,[1]Hugst!$R$4:$W$4,0))))</f>
        <v>0</v>
      </c>
      <c r="AC5" s="168">
        <f>IF($C5-AC$1&lt;År1,0,AB4*(1-VLOOKUP($A5,[1]Hugst!$R$5:$W$9,MATCH(ROUNDUP((AC$1)/10,0)*10,[1]Hugst!$R$4:$W$4,0))))</f>
        <v>0</v>
      </c>
      <c r="AD5" s="168">
        <f>IF($C5-AD$1&lt;År1,0,AC4*(1-VLOOKUP($A5,[1]Hugst!$R$5:$W$9,MATCH(ROUNDUP((AD$1)/10,0)*10,[1]Hugst!$R$4:$W$4,0))))</f>
        <v>0</v>
      </c>
      <c r="AE5" s="168">
        <f>IF($C5-AE$1&lt;År1,0,AD4*(1-VLOOKUP($A5,[1]Hugst!$R$5:$W$9,MATCH(ROUNDUP((AE$1)/10,0)*10,[1]Hugst!$R$4:$W$4,0))))</f>
        <v>0</v>
      </c>
      <c r="AF5" s="168">
        <f>IF($C5-AF$1&lt;År1,0,AE4*(1-VLOOKUP($A5,[1]Hugst!$R$5:$W$9,MATCH(ROUNDUP((AF$1)/10,0)*10,[1]Hugst!$R$4:$W$4,0))))</f>
        <v>0</v>
      </c>
      <c r="AG5" s="168">
        <f>IF($C5-AG$1&lt;År1,0,AF4*(1-VLOOKUP($A5,[1]Hugst!$R$5:$W$9,MATCH(ROUNDUP((AG$1)/10,0)*10,[1]Hugst!$R$4:$W$4,0))))</f>
        <v>0</v>
      </c>
      <c r="AH5" s="168">
        <f>IF($C5-AH$1&lt;År1,0,AG4*(1-VLOOKUP($A5,[1]Hugst!$R$5:$W$9,MATCH(ROUNDUP((AH$1)/10,0)*10,[1]Hugst!$R$4:$W$4,0))))</f>
        <v>0</v>
      </c>
      <c r="AI5" s="168">
        <f>IF($C5-AI$1&lt;År1,0,AH4*(1-VLOOKUP($A5,[1]Hugst!$R$5:$W$9,MATCH(ROUNDUP((AI$1)/10,0)*10,[1]Hugst!$R$4:$W$4,0))))</f>
        <v>0</v>
      </c>
      <c r="AJ5" s="168">
        <f>IF($C5-AJ$1&lt;År1,0,AI4*(1-VLOOKUP($A5,[1]Hugst!$R$5:$W$9,MATCH(ROUNDUP((AJ$1)/10,0)*10,[1]Hugst!$R$4:$W$4,0))))</f>
        <v>0</v>
      </c>
    </row>
    <row r="6" spans="1:38" s="168" customFormat="1" x14ac:dyDescent="0.25">
      <c r="A6" s="168" t="s">
        <v>176</v>
      </c>
      <c r="B6" s="168" t="s">
        <v>23</v>
      </c>
      <c r="C6" s="168">
        <v>2024</v>
      </c>
      <c r="D6" s="168" cm="1">
        <f t="array" ref="D6">(IF(B6="Vestdanmark",Skovbrug!$C$22-(Skovbrug!$C$22)*(1-Skovbrug!$C$9)^(C6-Skovbrug!$B$12),Skovbrug!$F$22-(Skovbrug!$F$22)*(1-Skovbrug!$C$9)^(C6-Skovbrug!$B$12))*VLOOKUP(A6,Skovbrug!$A$13:$D$17,IF('Skovbrug-alder'!C6&lt;=År2,3,4),FALSE)-IF(C6&gt;2020,SUM(INDEX($C$1:$D$311,MATCH(1,(2020=$C$1:$C$311)*(B6=$B$1:$B$311)*(A6=$A$1:$A$311),0),2):D5),0))</f>
        <v>2132.141368042503</v>
      </c>
      <c r="E6" s="168">
        <f t="shared" ca="1" si="0"/>
        <v>0</v>
      </c>
      <c r="F6" s="168">
        <f ca="1">IF(C6&lt;=År2,IF(B6="Vestdanmark",(Arealanvendelse!$M$27-Arealanvendelse!$J$27),(Arealanvendelse!$M$37-Arealanvendelse!$J$37))/(Arealanvendelse!$M$3-Arealanvendelse!$J$3),IF(B6="Vestdanmark",(Arealanvendelse!$P$27-Arealanvendelse!$M$27),(Arealanvendelse!$P$37-Arealanvendelse!$M$37))/(Arealanvendelse!$P$3-Arealanvendelse!$M$3))*VLOOKUP(A6,Skovbrug!$A$13:$D$17,IF('Skovbrug-alder'!C6&lt;=År2,3,4),FALSE)+D6+E6</f>
        <v>3781.6228495239839</v>
      </c>
      <c r="G6" s="168">
        <f ca="1">IF($C6-G$1&lt;År1,0,F5*(1-VLOOKUP($A6,[1]Hugst!$R$5:$W$9,MATCH(ROUNDUP((G$1)/10,0)*10,[1]Hugst!$R$4:$W$4,0))))</f>
        <v>3792.3371277553588</v>
      </c>
      <c r="H6" s="168">
        <f ca="1">IF($C6-H$1&lt;År1,0,G5*(1-VLOOKUP($A6,[1]Hugst!$R$5:$W$9,MATCH(ROUNDUP((H$1)/10,0)*10,[1]Hugst!$R$4:$W$4,0))))</f>
        <v>3803.1052465808671</v>
      </c>
      <c r="I6" s="168">
        <f ca="1">IF($C6-I$1&lt;År1,0,H5*(1-VLOOKUP($A6,[1]Hugst!$R$5:$W$9,MATCH(ROUNDUP((I$1)/10,0)*10,[1]Hugst!$R$4:$W$4,0))))</f>
        <v>3813.9274765561777</v>
      </c>
      <c r="J6" s="168">
        <f ca="1">IF($C6-J$1&lt;År1,0,I5*(1-VLOOKUP($A6,[1]Hugst!$R$5:$W$9,MATCH(ROUNDUP((J$1)/10,0)*10,[1]Hugst!$R$4:$W$4,0))))</f>
        <v>3824.804089596807</v>
      </c>
      <c r="K6" s="168">
        <f>IF($C6-K$1&lt;År1,0,J5*(1-VLOOKUP($A6,[1]Hugst!$R$5:$W$9,MATCH(ROUNDUP((K$1)/10,0)*10,[1]Hugst!$R$4:$W$4,0))))</f>
        <v>0</v>
      </c>
      <c r="L6" s="168">
        <f>IF($C6-L$1&lt;År1,0,K5*(1-VLOOKUP($A6,[1]Hugst!$R$5:$W$9,MATCH(ROUNDUP((L$1)/10,0)*10,[1]Hugst!$R$4:$W$4,0))))</f>
        <v>0</v>
      </c>
      <c r="M6" s="168">
        <f>IF($C6-M$1&lt;År1,0,L5*(1-VLOOKUP($A6,[1]Hugst!$R$5:$W$9,MATCH(ROUNDUP((M$1)/10,0)*10,[1]Hugst!$R$4:$W$4,0))))</f>
        <v>0</v>
      </c>
      <c r="N6" s="168">
        <f>IF($C6-N$1&lt;År1,0,M5*(1-VLOOKUP($A6,[1]Hugst!$R$5:$W$9,MATCH(ROUNDUP((N$1)/10,0)*10,[1]Hugst!$R$4:$W$4,0))))</f>
        <v>0</v>
      </c>
      <c r="O6" s="168">
        <f>IF($C6-O$1&lt;År1,0,N5*(1-VLOOKUP($A6,[1]Hugst!$R$5:$W$9,MATCH(ROUNDUP((O$1)/10,0)*10,[1]Hugst!$R$4:$W$4,0))))</f>
        <v>0</v>
      </c>
      <c r="P6" s="168">
        <f>IF($C6-P$1&lt;År1,0,O5*(1-VLOOKUP($A6,[1]Hugst!$R$5:$W$9,MATCH(ROUNDUP((P$1)/10,0)*10,[1]Hugst!$R$4:$W$4,0))))</f>
        <v>0</v>
      </c>
      <c r="Q6" s="168">
        <f>IF($C6-Q$1&lt;År1,0,P5*(1-VLOOKUP($A6,[1]Hugst!$R$5:$W$9,MATCH(ROUNDUP((Q$1)/10,0)*10,[1]Hugst!$R$4:$W$4,0))))</f>
        <v>0</v>
      </c>
      <c r="R6" s="168">
        <f>IF($C6-R$1&lt;År1,0,Q5*(1-VLOOKUP($A6,[1]Hugst!$R$5:$W$9,MATCH(ROUNDUP((R$1)/10,0)*10,[1]Hugst!$R$4:$W$4,0))))</f>
        <v>0</v>
      </c>
      <c r="S6" s="168">
        <f>IF($C6-S$1&lt;År1,0,R5*(1-VLOOKUP($A6,[1]Hugst!$R$5:$W$9,MATCH(ROUNDUP((S$1)/10,0)*10,[1]Hugst!$R$4:$W$4,0))))</f>
        <v>0</v>
      </c>
      <c r="T6" s="168">
        <f>IF($C6-T$1&lt;År1,0,S5*(1-VLOOKUP($A6,[1]Hugst!$R$5:$W$9,MATCH(ROUNDUP((T$1)/10,0)*10,[1]Hugst!$R$4:$W$4,0))))</f>
        <v>0</v>
      </c>
      <c r="U6" s="168">
        <f>IF($C6-U$1&lt;År1,0,T5*(1-VLOOKUP($A6,[1]Hugst!$R$5:$W$9,MATCH(ROUNDUP((U$1)/10,0)*10,[1]Hugst!$R$4:$W$4,0))))</f>
        <v>0</v>
      </c>
      <c r="V6" s="168">
        <f>IF($C6-V$1&lt;År1,0,U5*(1-VLOOKUP($A6,[1]Hugst!$R$5:$W$9,MATCH(ROUNDUP((V$1)/10,0)*10,[1]Hugst!$R$4:$W$4,0))))</f>
        <v>0</v>
      </c>
      <c r="W6" s="168">
        <f>IF($C6-W$1&lt;År1,0,V5*(1-VLOOKUP($A6,[1]Hugst!$R$5:$W$9,MATCH(ROUNDUP((W$1)/10,0)*10,[1]Hugst!$R$4:$W$4,0))))</f>
        <v>0</v>
      </c>
      <c r="X6" s="168">
        <f>IF($C6-X$1&lt;År1,0,W5*(1-VLOOKUP($A6,[1]Hugst!$R$5:$W$9,MATCH(ROUNDUP((X$1)/10,0)*10,[1]Hugst!$R$4:$W$4,0))))</f>
        <v>0</v>
      </c>
      <c r="Y6" s="168">
        <f>IF($C6-Y$1&lt;År1,0,X5*(1-VLOOKUP($A6,[1]Hugst!$R$5:$W$9,MATCH(ROUNDUP((Y$1)/10,0)*10,[1]Hugst!$R$4:$W$4,0))))</f>
        <v>0</v>
      </c>
      <c r="Z6" s="168">
        <f>IF($C6-Z$1&lt;År1,0,Y5*(1-VLOOKUP($A6,[1]Hugst!$R$5:$W$9,MATCH(ROUNDUP((Z$1)/10,0)*10,[1]Hugst!$R$4:$W$4,0))))</f>
        <v>0</v>
      </c>
      <c r="AA6" s="168">
        <f>IF($C6-AA$1&lt;År1,0,Z5*(1-VLOOKUP($A6,[1]Hugst!$R$5:$W$9,MATCH(ROUNDUP((AA$1)/10,0)*10,[1]Hugst!$R$4:$W$4,0))))</f>
        <v>0</v>
      </c>
      <c r="AB6" s="168">
        <f>IF($C6-AB$1&lt;År1,0,AA5*(1-VLOOKUP($A6,[1]Hugst!$R$5:$W$9,MATCH(ROUNDUP((AB$1)/10,0)*10,[1]Hugst!$R$4:$W$4,0))))</f>
        <v>0</v>
      </c>
      <c r="AC6" s="168">
        <f>IF($C6-AC$1&lt;År1,0,AB5*(1-VLOOKUP($A6,[1]Hugst!$R$5:$W$9,MATCH(ROUNDUP((AC$1)/10,0)*10,[1]Hugst!$R$4:$W$4,0))))</f>
        <v>0</v>
      </c>
      <c r="AD6" s="168">
        <f>IF($C6-AD$1&lt;År1,0,AC5*(1-VLOOKUP($A6,[1]Hugst!$R$5:$W$9,MATCH(ROUNDUP((AD$1)/10,0)*10,[1]Hugst!$R$4:$W$4,0))))</f>
        <v>0</v>
      </c>
      <c r="AE6" s="168">
        <f>IF($C6-AE$1&lt;År1,0,AD5*(1-VLOOKUP($A6,[1]Hugst!$R$5:$W$9,MATCH(ROUNDUP((AE$1)/10,0)*10,[1]Hugst!$R$4:$W$4,0))))</f>
        <v>0</v>
      </c>
      <c r="AF6" s="168">
        <f>IF($C6-AF$1&lt;År1,0,AE5*(1-VLOOKUP($A6,[1]Hugst!$R$5:$W$9,MATCH(ROUNDUP((AF$1)/10,0)*10,[1]Hugst!$R$4:$W$4,0))))</f>
        <v>0</v>
      </c>
      <c r="AG6" s="168">
        <f>IF($C6-AG$1&lt;År1,0,AF5*(1-VLOOKUP($A6,[1]Hugst!$R$5:$W$9,MATCH(ROUNDUP((AG$1)/10,0)*10,[1]Hugst!$R$4:$W$4,0))))</f>
        <v>0</v>
      </c>
      <c r="AH6" s="168">
        <f>IF($C6-AH$1&lt;År1,0,AG5*(1-VLOOKUP($A6,[1]Hugst!$R$5:$W$9,MATCH(ROUNDUP((AH$1)/10,0)*10,[1]Hugst!$R$4:$W$4,0))))</f>
        <v>0</v>
      </c>
      <c r="AI6" s="168">
        <f>IF($C6-AI$1&lt;År1,0,AH5*(1-VLOOKUP($A6,[1]Hugst!$R$5:$W$9,MATCH(ROUNDUP((AI$1)/10,0)*10,[1]Hugst!$R$4:$W$4,0))))</f>
        <v>0</v>
      </c>
      <c r="AJ6" s="168">
        <f>IF($C6-AJ$1&lt;År1,0,AI5*(1-VLOOKUP($A6,[1]Hugst!$R$5:$W$9,MATCH(ROUNDUP((AJ$1)/10,0)*10,[1]Hugst!$R$4:$W$4,0))))</f>
        <v>0</v>
      </c>
    </row>
    <row r="7" spans="1:38" s="168" customFormat="1" x14ac:dyDescent="0.25">
      <c r="A7" s="168" t="s">
        <v>176</v>
      </c>
      <c r="B7" s="168" t="s">
        <v>23</v>
      </c>
      <c r="C7" s="168">
        <v>2025</v>
      </c>
      <c r="D7" s="168" cm="1">
        <f t="array" ref="D7">(IF(B7="Vestdanmark",Skovbrug!$C$22-(Skovbrug!$C$22)*(1-Skovbrug!$C$9)^(C7-Skovbrug!$B$12),Skovbrug!$F$22-(Skovbrug!$F$22)*(1-Skovbrug!$C$9)^(C7-Skovbrug!$B$12))*VLOOKUP(A7,Skovbrug!$A$13:$D$17,IF('Skovbrug-alder'!C7&lt;=År2,3,4),FALSE)-IF(C7&gt;2020,SUM(INDEX($C$1:$D$311,MATCH(1,(2020=$C$1:$C$311)*(B7=$B$1:$B$311)*(A7=$A$1:$A$311),0),2):D6),0))</f>
        <v>2121.4806612022803</v>
      </c>
      <c r="E7" s="168">
        <f t="shared" ca="1" si="0"/>
        <v>0</v>
      </c>
      <c r="F7" s="168">
        <f ca="1">IF(C7&lt;=År2,IF(B7="Vestdanmark",(Arealanvendelse!$M$27-Arealanvendelse!$J$27),(Arealanvendelse!$M$37-Arealanvendelse!$J$37))/(Arealanvendelse!$M$3-Arealanvendelse!$J$3),IF(B7="Vestdanmark",(Arealanvendelse!$P$27-Arealanvendelse!$M$27),(Arealanvendelse!$P$37-Arealanvendelse!$M$37))/(Arealanvendelse!$P$3-Arealanvendelse!$M$3))*VLOOKUP(A7,Skovbrug!$A$13:$D$17,IF('Skovbrug-alder'!C7&lt;=År2,3,4),FALSE)+D7+E7</f>
        <v>3770.9621426837612</v>
      </c>
      <c r="G7" s="168">
        <f ca="1">IF($C7-G$1&lt;År1,0,F6*(1-VLOOKUP($A7,[1]Hugst!$R$5:$W$9,MATCH(ROUNDUP((G$1)/10,0)*10,[1]Hugst!$R$4:$W$4,0))))</f>
        <v>3781.6228495239839</v>
      </c>
      <c r="H7" s="168">
        <f ca="1">IF($C7-H$1&lt;År1,0,G6*(1-VLOOKUP($A7,[1]Hugst!$R$5:$W$9,MATCH(ROUNDUP((H$1)/10,0)*10,[1]Hugst!$R$4:$W$4,0))))</f>
        <v>3792.3371277553588</v>
      </c>
      <c r="I7" s="168">
        <f ca="1">IF($C7-I$1&lt;År1,0,H6*(1-VLOOKUP($A7,[1]Hugst!$R$5:$W$9,MATCH(ROUNDUP((I$1)/10,0)*10,[1]Hugst!$R$4:$W$4,0))))</f>
        <v>3803.1052465808671</v>
      </c>
      <c r="J7" s="168">
        <f ca="1">IF($C7-J$1&lt;År1,0,I6*(1-VLOOKUP($A7,[1]Hugst!$R$5:$W$9,MATCH(ROUNDUP((J$1)/10,0)*10,[1]Hugst!$R$4:$W$4,0))))</f>
        <v>3813.9274765561777</v>
      </c>
      <c r="K7" s="168">
        <f ca="1">IF($C7-K$1&lt;År1,0,J6*(1-VLOOKUP($A7,[1]Hugst!$R$5:$W$9,MATCH(ROUNDUP((K$1)/10,0)*10,[1]Hugst!$R$4:$W$4,0))))</f>
        <v>3824.804089596807</v>
      </c>
      <c r="L7" s="168">
        <f>IF($C7-L$1&lt;År1,0,K6*(1-VLOOKUP($A7,[1]Hugst!$R$5:$W$9,MATCH(ROUNDUP((L$1)/10,0)*10,[1]Hugst!$R$4:$W$4,0))))</f>
        <v>0</v>
      </c>
      <c r="M7" s="168">
        <f>IF($C7-M$1&lt;År1,0,L6*(1-VLOOKUP($A7,[1]Hugst!$R$5:$W$9,MATCH(ROUNDUP((M$1)/10,0)*10,[1]Hugst!$R$4:$W$4,0))))</f>
        <v>0</v>
      </c>
      <c r="N7" s="168">
        <f>IF($C7-N$1&lt;År1,0,M6*(1-VLOOKUP($A7,[1]Hugst!$R$5:$W$9,MATCH(ROUNDUP((N$1)/10,0)*10,[1]Hugst!$R$4:$W$4,0))))</f>
        <v>0</v>
      </c>
      <c r="O7" s="168">
        <f>IF($C7-O$1&lt;År1,0,N6*(1-VLOOKUP($A7,[1]Hugst!$R$5:$W$9,MATCH(ROUNDUP((O$1)/10,0)*10,[1]Hugst!$R$4:$W$4,0))))</f>
        <v>0</v>
      </c>
      <c r="P7" s="168">
        <f>IF($C7-P$1&lt;År1,0,O6*(1-VLOOKUP($A7,[1]Hugst!$R$5:$W$9,MATCH(ROUNDUP((P$1)/10,0)*10,[1]Hugst!$R$4:$W$4,0))))</f>
        <v>0</v>
      </c>
      <c r="Q7" s="168">
        <f>IF($C7-Q$1&lt;År1,0,P6*(1-VLOOKUP($A7,[1]Hugst!$R$5:$W$9,MATCH(ROUNDUP((Q$1)/10,0)*10,[1]Hugst!$R$4:$W$4,0))))</f>
        <v>0</v>
      </c>
      <c r="R7" s="168">
        <f>IF($C7-R$1&lt;År1,0,Q6*(1-VLOOKUP($A7,[1]Hugst!$R$5:$W$9,MATCH(ROUNDUP((R$1)/10,0)*10,[1]Hugst!$R$4:$W$4,0))))</f>
        <v>0</v>
      </c>
      <c r="S7" s="168">
        <f>IF($C7-S$1&lt;År1,0,R6*(1-VLOOKUP($A7,[1]Hugst!$R$5:$W$9,MATCH(ROUNDUP((S$1)/10,0)*10,[1]Hugst!$R$4:$W$4,0))))</f>
        <v>0</v>
      </c>
      <c r="T7" s="168">
        <f>IF($C7-T$1&lt;År1,0,S6*(1-VLOOKUP($A7,[1]Hugst!$R$5:$W$9,MATCH(ROUNDUP((T$1)/10,0)*10,[1]Hugst!$R$4:$W$4,0))))</f>
        <v>0</v>
      </c>
      <c r="U7" s="168">
        <f>IF($C7-U$1&lt;År1,0,T6*(1-VLOOKUP($A7,[1]Hugst!$R$5:$W$9,MATCH(ROUNDUP((U$1)/10,0)*10,[1]Hugst!$R$4:$W$4,0))))</f>
        <v>0</v>
      </c>
      <c r="V7" s="168">
        <f>IF($C7-V$1&lt;År1,0,U6*(1-VLOOKUP($A7,[1]Hugst!$R$5:$W$9,MATCH(ROUNDUP((V$1)/10,0)*10,[1]Hugst!$R$4:$W$4,0))))</f>
        <v>0</v>
      </c>
      <c r="W7" s="168">
        <f>IF($C7-W$1&lt;År1,0,V6*(1-VLOOKUP($A7,[1]Hugst!$R$5:$W$9,MATCH(ROUNDUP((W$1)/10,0)*10,[1]Hugst!$R$4:$W$4,0))))</f>
        <v>0</v>
      </c>
      <c r="X7" s="168">
        <f>IF($C7-X$1&lt;År1,0,W6*(1-VLOOKUP($A7,[1]Hugst!$R$5:$W$9,MATCH(ROUNDUP((X$1)/10,0)*10,[1]Hugst!$R$4:$W$4,0))))</f>
        <v>0</v>
      </c>
      <c r="Y7" s="168">
        <f>IF($C7-Y$1&lt;År1,0,X6*(1-VLOOKUP($A7,[1]Hugst!$R$5:$W$9,MATCH(ROUNDUP((Y$1)/10,0)*10,[1]Hugst!$R$4:$W$4,0))))</f>
        <v>0</v>
      </c>
      <c r="Z7" s="168">
        <f>IF($C7-Z$1&lt;År1,0,Y6*(1-VLOOKUP($A7,[1]Hugst!$R$5:$W$9,MATCH(ROUNDUP((Z$1)/10,0)*10,[1]Hugst!$R$4:$W$4,0))))</f>
        <v>0</v>
      </c>
      <c r="AA7" s="168">
        <f>IF($C7-AA$1&lt;År1,0,Z6*(1-VLOOKUP($A7,[1]Hugst!$R$5:$W$9,MATCH(ROUNDUP((AA$1)/10,0)*10,[1]Hugst!$R$4:$W$4,0))))</f>
        <v>0</v>
      </c>
      <c r="AB7" s="168">
        <f>IF($C7-AB$1&lt;År1,0,AA6*(1-VLOOKUP($A7,[1]Hugst!$R$5:$W$9,MATCH(ROUNDUP((AB$1)/10,0)*10,[1]Hugst!$R$4:$W$4,0))))</f>
        <v>0</v>
      </c>
      <c r="AC7" s="168">
        <f>IF($C7-AC$1&lt;År1,0,AB6*(1-VLOOKUP($A7,[1]Hugst!$R$5:$W$9,MATCH(ROUNDUP((AC$1)/10,0)*10,[1]Hugst!$R$4:$W$4,0))))</f>
        <v>0</v>
      </c>
      <c r="AD7" s="168">
        <f>IF($C7-AD$1&lt;År1,0,AC6*(1-VLOOKUP($A7,[1]Hugst!$R$5:$W$9,MATCH(ROUNDUP((AD$1)/10,0)*10,[1]Hugst!$R$4:$W$4,0))))</f>
        <v>0</v>
      </c>
      <c r="AE7" s="168">
        <f>IF($C7-AE$1&lt;År1,0,AD6*(1-VLOOKUP($A7,[1]Hugst!$R$5:$W$9,MATCH(ROUNDUP((AE$1)/10,0)*10,[1]Hugst!$R$4:$W$4,0))))</f>
        <v>0</v>
      </c>
      <c r="AF7" s="168">
        <f>IF($C7-AF$1&lt;År1,0,AE6*(1-VLOOKUP($A7,[1]Hugst!$R$5:$W$9,MATCH(ROUNDUP((AF$1)/10,0)*10,[1]Hugst!$R$4:$W$4,0))))</f>
        <v>0</v>
      </c>
      <c r="AG7" s="168">
        <f>IF($C7-AG$1&lt;År1,0,AF6*(1-VLOOKUP($A7,[1]Hugst!$R$5:$W$9,MATCH(ROUNDUP((AG$1)/10,0)*10,[1]Hugst!$R$4:$W$4,0))))</f>
        <v>0</v>
      </c>
      <c r="AH7" s="168">
        <f>IF($C7-AH$1&lt;År1,0,AG6*(1-VLOOKUP($A7,[1]Hugst!$R$5:$W$9,MATCH(ROUNDUP((AH$1)/10,0)*10,[1]Hugst!$R$4:$W$4,0))))</f>
        <v>0</v>
      </c>
      <c r="AI7" s="168">
        <f>IF($C7-AI$1&lt;År1,0,AH6*(1-VLOOKUP($A7,[1]Hugst!$R$5:$W$9,MATCH(ROUNDUP((AI$1)/10,0)*10,[1]Hugst!$R$4:$W$4,0))))</f>
        <v>0</v>
      </c>
      <c r="AJ7" s="168">
        <f>IF($C7-AJ$1&lt;År1,0,AI6*(1-VLOOKUP($A7,[1]Hugst!$R$5:$W$9,MATCH(ROUNDUP((AJ$1)/10,0)*10,[1]Hugst!$R$4:$W$4,0))))</f>
        <v>0</v>
      </c>
    </row>
    <row r="8" spans="1:38" s="168" customFormat="1" x14ac:dyDescent="0.25">
      <c r="A8" s="168" t="s">
        <v>176</v>
      </c>
      <c r="B8" s="168" t="s">
        <v>23</v>
      </c>
      <c r="C8" s="168">
        <v>2026</v>
      </c>
      <c r="D8" s="168" cm="1">
        <f t="array" ref="D8">(IF(B8="Vestdanmark",Skovbrug!$C$22-(Skovbrug!$C$22)*(1-Skovbrug!$C$9)^(C8-Skovbrug!$B$12),Skovbrug!$F$22-(Skovbrug!$F$22)*(1-Skovbrug!$C$9)^(C8-Skovbrug!$B$12))*VLOOKUP(A8,Skovbrug!$A$13:$D$17,IF('Skovbrug-alder'!C8&lt;=År2,3,4),FALSE)-IF(C8&gt;2020,SUM(INDEX($C$1:$D$311,MATCH(1,(2020=$C$1:$C$311)*(B8=$B$1:$B$311)*(A8=$A$1:$A$311),0),2):D7),0))</f>
        <v>2110.8732578962808</v>
      </c>
      <c r="E8" s="168">
        <f t="shared" ca="1" si="0"/>
        <v>0</v>
      </c>
      <c r="F8" s="168">
        <f ca="1">IF(C8&lt;=År2,IF(B8="Vestdanmark",(Arealanvendelse!$M$27-Arealanvendelse!$J$27),(Arealanvendelse!$M$37-Arealanvendelse!$J$37))/(Arealanvendelse!$M$3-Arealanvendelse!$J$3),IF(B8="Vestdanmark",(Arealanvendelse!$P$27-Arealanvendelse!$M$27),(Arealanvendelse!$P$37-Arealanvendelse!$M$37))/(Arealanvendelse!$P$3-Arealanvendelse!$M$3))*VLOOKUP(A8,Skovbrug!$A$13:$D$17,IF('Skovbrug-alder'!C8&lt;=År2,3,4),FALSE)+D8+E8</f>
        <v>3760.3547393777617</v>
      </c>
      <c r="G8" s="168">
        <f ca="1">IF($C8-G$1&lt;År1,0,F7*(1-VLOOKUP($A8,[1]Hugst!$R$5:$W$9,MATCH(ROUNDUP((G$1)/10,0)*10,[1]Hugst!$R$4:$W$4,0))))</f>
        <v>3770.9621426837612</v>
      </c>
      <c r="H8" s="168">
        <f ca="1">IF($C8-H$1&lt;År1,0,G7*(1-VLOOKUP($A8,[1]Hugst!$R$5:$W$9,MATCH(ROUNDUP((H$1)/10,0)*10,[1]Hugst!$R$4:$W$4,0))))</f>
        <v>3781.6228495239839</v>
      </c>
      <c r="I8" s="168">
        <f ca="1">IF($C8-I$1&lt;År1,0,H7*(1-VLOOKUP($A8,[1]Hugst!$R$5:$W$9,MATCH(ROUNDUP((I$1)/10,0)*10,[1]Hugst!$R$4:$W$4,0))))</f>
        <v>3792.3371277553588</v>
      </c>
      <c r="J8" s="168">
        <f ca="1">IF($C8-J$1&lt;År1,0,I7*(1-VLOOKUP($A8,[1]Hugst!$R$5:$W$9,MATCH(ROUNDUP((J$1)/10,0)*10,[1]Hugst!$R$4:$W$4,0))))</f>
        <v>3803.1052465808671</v>
      </c>
      <c r="K8" s="168">
        <f ca="1">IF($C8-K$1&lt;År1,0,J7*(1-VLOOKUP($A8,[1]Hugst!$R$5:$W$9,MATCH(ROUNDUP((K$1)/10,0)*10,[1]Hugst!$R$4:$W$4,0))))</f>
        <v>3813.9274765561777</v>
      </c>
      <c r="L8" s="168">
        <f ca="1">IF($C8-L$1&lt;År1,0,K7*(1-VLOOKUP($A8,[1]Hugst!$R$5:$W$9,MATCH(ROUNDUP((L$1)/10,0)*10,[1]Hugst!$R$4:$W$4,0))))</f>
        <v>3824.804089596807</v>
      </c>
      <c r="M8" s="168">
        <f>IF($C8-M$1&lt;År1,0,L7*(1-VLOOKUP($A8,[1]Hugst!$R$5:$W$9,MATCH(ROUNDUP((M$1)/10,0)*10,[1]Hugst!$R$4:$W$4,0))))</f>
        <v>0</v>
      </c>
      <c r="N8" s="168">
        <f>IF($C8-N$1&lt;År1,0,M7*(1-VLOOKUP($A8,[1]Hugst!$R$5:$W$9,MATCH(ROUNDUP((N$1)/10,0)*10,[1]Hugst!$R$4:$W$4,0))))</f>
        <v>0</v>
      </c>
      <c r="O8" s="168">
        <f>IF($C8-O$1&lt;År1,0,N7*(1-VLOOKUP($A8,[1]Hugst!$R$5:$W$9,MATCH(ROUNDUP((O$1)/10,0)*10,[1]Hugst!$R$4:$W$4,0))))</f>
        <v>0</v>
      </c>
      <c r="P8" s="168">
        <f>IF($C8-P$1&lt;År1,0,O7*(1-VLOOKUP($A8,[1]Hugst!$R$5:$W$9,MATCH(ROUNDUP((P$1)/10,0)*10,[1]Hugst!$R$4:$W$4,0))))</f>
        <v>0</v>
      </c>
      <c r="Q8" s="168">
        <f>IF($C8-Q$1&lt;År1,0,P7*(1-VLOOKUP($A8,[1]Hugst!$R$5:$W$9,MATCH(ROUNDUP((Q$1)/10,0)*10,[1]Hugst!$R$4:$W$4,0))))</f>
        <v>0</v>
      </c>
      <c r="R8" s="168">
        <f>IF($C8-R$1&lt;År1,0,Q7*(1-VLOOKUP($A8,[1]Hugst!$R$5:$W$9,MATCH(ROUNDUP((R$1)/10,0)*10,[1]Hugst!$R$4:$W$4,0))))</f>
        <v>0</v>
      </c>
      <c r="S8" s="168">
        <f>IF($C8-S$1&lt;År1,0,R7*(1-VLOOKUP($A8,[1]Hugst!$R$5:$W$9,MATCH(ROUNDUP((S$1)/10,0)*10,[1]Hugst!$R$4:$W$4,0))))</f>
        <v>0</v>
      </c>
      <c r="T8" s="168">
        <f>IF($C8-T$1&lt;År1,0,S7*(1-VLOOKUP($A8,[1]Hugst!$R$5:$W$9,MATCH(ROUNDUP((T$1)/10,0)*10,[1]Hugst!$R$4:$W$4,0))))</f>
        <v>0</v>
      </c>
      <c r="U8" s="168">
        <f>IF($C8-U$1&lt;År1,0,T7*(1-VLOOKUP($A8,[1]Hugst!$R$5:$W$9,MATCH(ROUNDUP((U$1)/10,0)*10,[1]Hugst!$R$4:$W$4,0))))</f>
        <v>0</v>
      </c>
      <c r="V8" s="168">
        <f>IF($C8-V$1&lt;År1,0,U7*(1-VLOOKUP($A8,[1]Hugst!$R$5:$W$9,MATCH(ROUNDUP((V$1)/10,0)*10,[1]Hugst!$R$4:$W$4,0))))</f>
        <v>0</v>
      </c>
      <c r="W8" s="168">
        <f>IF($C8-W$1&lt;År1,0,V7*(1-VLOOKUP($A8,[1]Hugst!$R$5:$W$9,MATCH(ROUNDUP((W$1)/10,0)*10,[1]Hugst!$R$4:$W$4,0))))</f>
        <v>0</v>
      </c>
      <c r="X8" s="168">
        <f>IF($C8-X$1&lt;År1,0,W7*(1-VLOOKUP($A8,[1]Hugst!$R$5:$W$9,MATCH(ROUNDUP((X$1)/10,0)*10,[1]Hugst!$R$4:$W$4,0))))</f>
        <v>0</v>
      </c>
      <c r="Y8" s="168">
        <f>IF($C8-Y$1&lt;År1,0,X7*(1-VLOOKUP($A8,[1]Hugst!$R$5:$W$9,MATCH(ROUNDUP((Y$1)/10,0)*10,[1]Hugst!$R$4:$W$4,0))))</f>
        <v>0</v>
      </c>
      <c r="Z8" s="168">
        <f>IF($C8-Z$1&lt;År1,0,Y7*(1-VLOOKUP($A8,[1]Hugst!$R$5:$W$9,MATCH(ROUNDUP((Z$1)/10,0)*10,[1]Hugst!$R$4:$W$4,0))))</f>
        <v>0</v>
      </c>
      <c r="AA8" s="168">
        <f>IF($C8-AA$1&lt;År1,0,Z7*(1-VLOOKUP($A8,[1]Hugst!$R$5:$W$9,MATCH(ROUNDUP((AA$1)/10,0)*10,[1]Hugst!$R$4:$W$4,0))))</f>
        <v>0</v>
      </c>
      <c r="AB8" s="168">
        <f>IF($C8-AB$1&lt;År1,0,AA7*(1-VLOOKUP($A8,[1]Hugst!$R$5:$W$9,MATCH(ROUNDUP((AB$1)/10,0)*10,[1]Hugst!$R$4:$W$4,0))))</f>
        <v>0</v>
      </c>
      <c r="AC8" s="168">
        <f>IF($C8-AC$1&lt;År1,0,AB7*(1-VLOOKUP($A8,[1]Hugst!$R$5:$W$9,MATCH(ROUNDUP((AC$1)/10,0)*10,[1]Hugst!$R$4:$W$4,0))))</f>
        <v>0</v>
      </c>
      <c r="AD8" s="168">
        <f>IF($C8-AD$1&lt;År1,0,AC7*(1-VLOOKUP($A8,[1]Hugst!$R$5:$W$9,MATCH(ROUNDUP((AD$1)/10,0)*10,[1]Hugst!$R$4:$W$4,0))))</f>
        <v>0</v>
      </c>
      <c r="AE8" s="168">
        <f>IF($C8-AE$1&lt;År1,0,AD7*(1-VLOOKUP($A8,[1]Hugst!$R$5:$W$9,MATCH(ROUNDUP((AE$1)/10,0)*10,[1]Hugst!$R$4:$W$4,0))))</f>
        <v>0</v>
      </c>
      <c r="AF8" s="168">
        <f>IF($C8-AF$1&lt;År1,0,AE7*(1-VLOOKUP($A8,[1]Hugst!$R$5:$W$9,MATCH(ROUNDUP((AF$1)/10,0)*10,[1]Hugst!$R$4:$W$4,0))))</f>
        <v>0</v>
      </c>
      <c r="AG8" s="168">
        <f>IF($C8-AG$1&lt;År1,0,AF7*(1-VLOOKUP($A8,[1]Hugst!$R$5:$W$9,MATCH(ROUNDUP((AG$1)/10,0)*10,[1]Hugst!$R$4:$W$4,0))))</f>
        <v>0</v>
      </c>
      <c r="AH8" s="168">
        <f>IF($C8-AH$1&lt;År1,0,AG7*(1-VLOOKUP($A8,[1]Hugst!$R$5:$W$9,MATCH(ROUNDUP((AH$1)/10,0)*10,[1]Hugst!$R$4:$W$4,0))))</f>
        <v>0</v>
      </c>
      <c r="AI8" s="168">
        <f>IF($C8-AI$1&lt;År1,0,AH7*(1-VLOOKUP($A8,[1]Hugst!$R$5:$W$9,MATCH(ROUNDUP((AI$1)/10,0)*10,[1]Hugst!$R$4:$W$4,0))))</f>
        <v>0</v>
      </c>
      <c r="AJ8" s="168">
        <f>IF($C8-AJ$1&lt;År1,0,AI7*(1-VLOOKUP($A8,[1]Hugst!$R$5:$W$9,MATCH(ROUNDUP((AJ$1)/10,0)*10,[1]Hugst!$R$4:$W$4,0))))</f>
        <v>0</v>
      </c>
    </row>
    <row r="9" spans="1:38" s="168" customFormat="1" x14ac:dyDescent="0.25">
      <c r="A9" s="168" t="s">
        <v>176</v>
      </c>
      <c r="B9" s="168" t="s">
        <v>23</v>
      </c>
      <c r="C9" s="168">
        <v>2027</v>
      </c>
      <c r="D9" s="168" cm="1">
        <f t="array" ref="D9">(IF(B9="Vestdanmark",Skovbrug!$C$22-(Skovbrug!$C$22)*(1-Skovbrug!$C$9)^(C9-Skovbrug!$B$12),Skovbrug!$F$22-(Skovbrug!$F$22)*(1-Skovbrug!$C$9)^(C9-Skovbrug!$B$12))*VLOOKUP(A9,Skovbrug!$A$13:$D$17,IF('Skovbrug-alder'!C9&lt;=År2,3,4),FALSE)-IF(C9&gt;2020,SUM(INDEX($C$1:$D$311,MATCH(1,(2020=$C$1:$C$311)*(B9=$B$1:$B$311)*(A9=$A$1:$A$311),0),2):D8),0))</f>
        <v>2100.3188916068175</v>
      </c>
      <c r="E9" s="168">
        <f t="shared" ca="1" si="0"/>
        <v>0</v>
      </c>
      <c r="F9" s="168">
        <f ca="1">IF(C9&lt;=År2,IF(B9="Vestdanmark",(Arealanvendelse!$M$27-Arealanvendelse!$J$27),(Arealanvendelse!$M$37-Arealanvendelse!$J$37))/(Arealanvendelse!$M$3-Arealanvendelse!$J$3),IF(B9="Vestdanmark",(Arealanvendelse!$P$27-Arealanvendelse!$M$27),(Arealanvendelse!$P$37-Arealanvendelse!$M$37))/(Arealanvendelse!$P$3-Arealanvendelse!$M$3))*VLOOKUP(A9,Skovbrug!$A$13:$D$17,IF('Skovbrug-alder'!C9&lt;=År2,3,4),FALSE)+D9+E9</f>
        <v>3749.8003730882983</v>
      </c>
      <c r="G9" s="168">
        <f ca="1">IF($C9-G$1&lt;År1,0,F8*(1-VLOOKUP($A9,[1]Hugst!$R$5:$W$9,MATCH(ROUNDUP((G$1)/10,0)*10,[1]Hugst!$R$4:$W$4,0))))</f>
        <v>3760.3547393777617</v>
      </c>
      <c r="H9" s="168">
        <f ca="1">IF($C9-H$1&lt;År1,0,G8*(1-VLOOKUP($A9,[1]Hugst!$R$5:$W$9,MATCH(ROUNDUP((H$1)/10,0)*10,[1]Hugst!$R$4:$W$4,0))))</f>
        <v>3770.9621426837612</v>
      </c>
      <c r="I9" s="168">
        <f ca="1">IF($C9-I$1&lt;År1,0,H8*(1-VLOOKUP($A9,[1]Hugst!$R$5:$W$9,MATCH(ROUNDUP((I$1)/10,0)*10,[1]Hugst!$R$4:$W$4,0))))</f>
        <v>3781.6228495239839</v>
      </c>
      <c r="J9" s="168">
        <f ca="1">IF($C9-J$1&lt;År1,0,I8*(1-VLOOKUP($A9,[1]Hugst!$R$5:$W$9,MATCH(ROUNDUP((J$1)/10,0)*10,[1]Hugst!$R$4:$W$4,0))))</f>
        <v>3792.3371277553588</v>
      </c>
      <c r="K9" s="168">
        <f ca="1">IF($C9-K$1&lt;År1,0,J8*(1-VLOOKUP($A9,[1]Hugst!$R$5:$W$9,MATCH(ROUNDUP((K$1)/10,0)*10,[1]Hugst!$R$4:$W$4,0))))</f>
        <v>3803.1052465808671</v>
      </c>
      <c r="L9" s="168">
        <f ca="1">IF($C9-L$1&lt;År1,0,K8*(1-VLOOKUP($A9,[1]Hugst!$R$5:$W$9,MATCH(ROUNDUP((L$1)/10,0)*10,[1]Hugst!$R$4:$W$4,0))))</f>
        <v>3813.9274765561777</v>
      </c>
      <c r="M9" s="168">
        <f ca="1">IF($C9-M$1&lt;År1,0,L8*(1-VLOOKUP($A9,[1]Hugst!$R$5:$W$9,MATCH(ROUNDUP((M$1)/10,0)*10,[1]Hugst!$R$4:$W$4,0))))</f>
        <v>3824.804089596807</v>
      </c>
      <c r="N9" s="168">
        <f>IF($C9-N$1&lt;År1,0,M8*(1-VLOOKUP($A9,[1]Hugst!$R$5:$W$9,MATCH(ROUNDUP((N$1)/10,0)*10,[1]Hugst!$R$4:$W$4,0))))</f>
        <v>0</v>
      </c>
      <c r="O9" s="168">
        <f>IF($C9-O$1&lt;År1,0,N8*(1-VLOOKUP($A9,[1]Hugst!$R$5:$W$9,MATCH(ROUNDUP((O$1)/10,0)*10,[1]Hugst!$R$4:$W$4,0))))</f>
        <v>0</v>
      </c>
      <c r="P9" s="168">
        <f>IF($C9-P$1&lt;År1,0,O8*(1-VLOOKUP($A9,[1]Hugst!$R$5:$W$9,MATCH(ROUNDUP((P$1)/10,0)*10,[1]Hugst!$R$4:$W$4,0))))</f>
        <v>0</v>
      </c>
      <c r="Q9" s="168">
        <f>IF($C9-Q$1&lt;År1,0,P8*(1-VLOOKUP($A9,[1]Hugst!$R$5:$W$9,MATCH(ROUNDUP((Q$1)/10,0)*10,[1]Hugst!$R$4:$W$4,0))))</f>
        <v>0</v>
      </c>
      <c r="R9" s="168">
        <f>IF($C9-R$1&lt;År1,0,Q8*(1-VLOOKUP($A9,[1]Hugst!$R$5:$W$9,MATCH(ROUNDUP((R$1)/10,0)*10,[1]Hugst!$R$4:$W$4,0))))</f>
        <v>0</v>
      </c>
      <c r="S9" s="168">
        <f>IF($C9-S$1&lt;År1,0,R8*(1-VLOOKUP($A9,[1]Hugst!$R$5:$W$9,MATCH(ROUNDUP((S$1)/10,0)*10,[1]Hugst!$R$4:$W$4,0))))</f>
        <v>0</v>
      </c>
      <c r="T9" s="168">
        <f>IF($C9-T$1&lt;År1,0,S8*(1-VLOOKUP($A9,[1]Hugst!$R$5:$W$9,MATCH(ROUNDUP((T$1)/10,0)*10,[1]Hugst!$R$4:$W$4,0))))</f>
        <v>0</v>
      </c>
      <c r="U9" s="168">
        <f>IF($C9-U$1&lt;År1,0,T8*(1-VLOOKUP($A9,[1]Hugst!$R$5:$W$9,MATCH(ROUNDUP((U$1)/10,0)*10,[1]Hugst!$R$4:$W$4,0))))</f>
        <v>0</v>
      </c>
      <c r="V9" s="168">
        <f>IF($C9-V$1&lt;År1,0,U8*(1-VLOOKUP($A9,[1]Hugst!$R$5:$W$9,MATCH(ROUNDUP((V$1)/10,0)*10,[1]Hugst!$R$4:$W$4,0))))</f>
        <v>0</v>
      </c>
      <c r="W9" s="168">
        <f>IF($C9-W$1&lt;År1,0,V8*(1-VLOOKUP($A9,[1]Hugst!$R$5:$W$9,MATCH(ROUNDUP((W$1)/10,0)*10,[1]Hugst!$R$4:$W$4,0))))</f>
        <v>0</v>
      </c>
      <c r="X9" s="168">
        <f>IF($C9-X$1&lt;År1,0,W8*(1-VLOOKUP($A9,[1]Hugst!$R$5:$W$9,MATCH(ROUNDUP((X$1)/10,0)*10,[1]Hugst!$R$4:$W$4,0))))</f>
        <v>0</v>
      </c>
      <c r="Y9" s="168">
        <f>IF($C9-Y$1&lt;År1,0,X8*(1-VLOOKUP($A9,[1]Hugst!$R$5:$W$9,MATCH(ROUNDUP((Y$1)/10,0)*10,[1]Hugst!$R$4:$W$4,0))))</f>
        <v>0</v>
      </c>
      <c r="Z9" s="168">
        <f>IF($C9-Z$1&lt;År1,0,Y8*(1-VLOOKUP($A9,[1]Hugst!$R$5:$W$9,MATCH(ROUNDUP((Z$1)/10,0)*10,[1]Hugst!$R$4:$W$4,0))))</f>
        <v>0</v>
      </c>
      <c r="AA9" s="168">
        <f>IF($C9-AA$1&lt;År1,0,Z8*(1-VLOOKUP($A9,[1]Hugst!$R$5:$W$9,MATCH(ROUNDUP((AA$1)/10,0)*10,[1]Hugst!$R$4:$W$4,0))))</f>
        <v>0</v>
      </c>
      <c r="AB9" s="168">
        <f>IF($C9-AB$1&lt;År1,0,AA8*(1-VLOOKUP($A9,[1]Hugst!$R$5:$W$9,MATCH(ROUNDUP((AB$1)/10,0)*10,[1]Hugst!$R$4:$W$4,0))))</f>
        <v>0</v>
      </c>
      <c r="AC9" s="168">
        <f>IF($C9-AC$1&lt;År1,0,AB8*(1-VLOOKUP($A9,[1]Hugst!$R$5:$W$9,MATCH(ROUNDUP((AC$1)/10,0)*10,[1]Hugst!$R$4:$W$4,0))))</f>
        <v>0</v>
      </c>
      <c r="AD9" s="168">
        <f>IF($C9-AD$1&lt;År1,0,AC8*(1-VLOOKUP($A9,[1]Hugst!$R$5:$W$9,MATCH(ROUNDUP((AD$1)/10,0)*10,[1]Hugst!$R$4:$W$4,0))))</f>
        <v>0</v>
      </c>
      <c r="AE9" s="168">
        <f>IF($C9-AE$1&lt;År1,0,AD8*(1-VLOOKUP($A9,[1]Hugst!$R$5:$W$9,MATCH(ROUNDUP((AE$1)/10,0)*10,[1]Hugst!$R$4:$W$4,0))))</f>
        <v>0</v>
      </c>
      <c r="AF9" s="168">
        <f>IF($C9-AF$1&lt;År1,0,AE8*(1-VLOOKUP($A9,[1]Hugst!$R$5:$W$9,MATCH(ROUNDUP((AF$1)/10,0)*10,[1]Hugst!$R$4:$W$4,0))))</f>
        <v>0</v>
      </c>
      <c r="AG9" s="168">
        <f>IF($C9-AG$1&lt;År1,0,AF8*(1-VLOOKUP($A9,[1]Hugst!$R$5:$W$9,MATCH(ROUNDUP((AG$1)/10,0)*10,[1]Hugst!$R$4:$W$4,0))))</f>
        <v>0</v>
      </c>
      <c r="AH9" s="168">
        <f>IF($C9-AH$1&lt;År1,0,AG8*(1-VLOOKUP($A9,[1]Hugst!$R$5:$W$9,MATCH(ROUNDUP((AH$1)/10,0)*10,[1]Hugst!$R$4:$W$4,0))))</f>
        <v>0</v>
      </c>
      <c r="AI9" s="168">
        <f>IF($C9-AI$1&lt;År1,0,AH8*(1-VLOOKUP($A9,[1]Hugst!$R$5:$W$9,MATCH(ROUNDUP((AI$1)/10,0)*10,[1]Hugst!$R$4:$W$4,0))))</f>
        <v>0</v>
      </c>
      <c r="AJ9" s="168">
        <f>IF($C9-AJ$1&lt;År1,0,AI8*(1-VLOOKUP($A9,[1]Hugst!$R$5:$W$9,MATCH(ROUNDUP((AJ$1)/10,0)*10,[1]Hugst!$R$4:$W$4,0))))</f>
        <v>0</v>
      </c>
    </row>
    <row r="10" spans="1:38" s="168" customFormat="1" x14ac:dyDescent="0.25">
      <c r="A10" s="168" t="s">
        <v>176</v>
      </c>
      <c r="B10" s="168" t="s">
        <v>23</v>
      </c>
      <c r="C10" s="168">
        <v>2028</v>
      </c>
      <c r="D10" s="168" cm="1">
        <f t="array" ref="D10">(IF(B10="Vestdanmark",Skovbrug!$C$22-(Skovbrug!$C$22)*(1-Skovbrug!$C$9)^(C10-Skovbrug!$B$12),Skovbrug!$F$22-(Skovbrug!$F$22)*(1-Skovbrug!$C$9)^(C10-Skovbrug!$B$12))*VLOOKUP(A10,Skovbrug!$A$13:$D$17,IF('Skovbrug-alder'!C10&lt;=År2,3,4),FALSE)-IF(C10&gt;2020,SUM(INDEX($C$1:$D$311,MATCH(1,(2020=$C$1:$C$311)*(B10=$B$1:$B$311)*(A10=$A$1:$A$311),0),2):D9),0))</f>
        <v>2089.8172971488093</v>
      </c>
      <c r="E10" s="168">
        <f t="shared" ca="1" si="0"/>
        <v>0</v>
      </c>
      <c r="F10" s="168">
        <f ca="1">IF(C10&lt;=År2,IF(B10="Vestdanmark",(Arealanvendelse!$M$27-Arealanvendelse!$J$27),(Arealanvendelse!$M$37-Arealanvendelse!$J$37))/(Arealanvendelse!$M$3-Arealanvendelse!$J$3),IF(B10="Vestdanmark",(Arealanvendelse!$P$27-Arealanvendelse!$M$27),(Arealanvendelse!$P$37-Arealanvendelse!$M$37))/(Arealanvendelse!$P$3-Arealanvendelse!$M$3))*VLOOKUP(A10,Skovbrug!$A$13:$D$17,IF('Skovbrug-alder'!C10&lt;=År2,3,4),FALSE)+D10+E10</f>
        <v>3739.2987786302901</v>
      </c>
      <c r="G10" s="168">
        <f ca="1">IF($C10-G$1&lt;År1,0,F9*(1-VLOOKUP($A10,[1]Hugst!$R$5:$W$9,MATCH(ROUNDUP((G$1)/10,0)*10,[1]Hugst!$R$4:$W$4,0))))</f>
        <v>3749.8003730882983</v>
      </c>
      <c r="H10" s="168">
        <f ca="1">IF($C10-H$1&lt;År1,0,G9*(1-VLOOKUP($A10,[1]Hugst!$R$5:$W$9,MATCH(ROUNDUP((H$1)/10,0)*10,[1]Hugst!$R$4:$W$4,0))))</f>
        <v>3760.3547393777617</v>
      </c>
      <c r="I10" s="168">
        <f ca="1">IF($C10-I$1&lt;År1,0,H9*(1-VLOOKUP($A10,[1]Hugst!$R$5:$W$9,MATCH(ROUNDUP((I$1)/10,0)*10,[1]Hugst!$R$4:$W$4,0))))</f>
        <v>3770.9621426837612</v>
      </c>
      <c r="J10" s="168">
        <f ca="1">IF($C10-J$1&lt;År1,0,I9*(1-VLOOKUP($A10,[1]Hugst!$R$5:$W$9,MATCH(ROUNDUP((J$1)/10,0)*10,[1]Hugst!$R$4:$W$4,0))))</f>
        <v>3781.6228495239839</v>
      </c>
      <c r="K10" s="168">
        <f ca="1">IF($C10-K$1&lt;År1,0,J9*(1-VLOOKUP($A10,[1]Hugst!$R$5:$W$9,MATCH(ROUNDUP((K$1)/10,0)*10,[1]Hugst!$R$4:$W$4,0))))</f>
        <v>3792.3371277553588</v>
      </c>
      <c r="L10" s="168">
        <f ca="1">IF($C10-L$1&lt;År1,0,K9*(1-VLOOKUP($A10,[1]Hugst!$R$5:$W$9,MATCH(ROUNDUP((L$1)/10,0)*10,[1]Hugst!$R$4:$W$4,0))))</f>
        <v>3803.1052465808671</v>
      </c>
      <c r="M10" s="168">
        <f ca="1">IF($C10-M$1&lt;År1,0,L9*(1-VLOOKUP($A10,[1]Hugst!$R$5:$W$9,MATCH(ROUNDUP((M$1)/10,0)*10,[1]Hugst!$R$4:$W$4,0))))</f>
        <v>3813.9274765561777</v>
      </c>
      <c r="N10" s="168">
        <f ca="1">IF($C10-N$1&lt;År1,0,M9*(1-VLOOKUP($A10,[1]Hugst!$R$5:$W$9,MATCH(ROUNDUP((N$1)/10,0)*10,[1]Hugst!$R$4:$W$4,0))))</f>
        <v>3824.804089596807</v>
      </c>
      <c r="O10" s="168">
        <f>IF($C10-O$1&lt;År1,0,N9*(1-VLOOKUP($A10,[1]Hugst!$R$5:$W$9,MATCH(ROUNDUP((O$1)/10,0)*10,[1]Hugst!$R$4:$W$4,0))))</f>
        <v>0</v>
      </c>
      <c r="P10" s="168">
        <f>IF($C10-P$1&lt;År1,0,O9*(1-VLOOKUP($A10,[1]Hugst!$R$5:$W$9,MATCH(ROUNDUP((P$1)/10,0)*10,[1]Hugst!$R$4:$W$4,0))))</f>
        <v>0</v>
      </c>
      <c r="Q10" s="168">
        <f>IF($C10-Q$1&lt;År1,0,P9*(1-VLOOKUP($A10,[1]Hugst!$R$5:$W$9,MATCH(ROUNDUP((Q$1)/10,0)*10,[1]Hugst!$R$4:$W$4,0))))</f>
        <v>0</v>
      </c>
      <c r="R10" s="168">
        <f>IF($C10-R$1&lt;År1,0,Q9*(1-VLOOKUP($A10,[1]Hugst!$R$5:$W$9,MATCH(ROUNDUP((R$1)/10,0)*10,[1]Hugst!$R$4:$W$4,0))))</f>
        <v>0</v>
      </c>
      <c r="S10" s="168">
        <f>IF($C10-S$1&lt;År1,0,R9*(1-VLOOKUP($A10,[1]Hugst!$R$5:$W$9,MATCH(ROUNDUP((S$1)/10,0)*10,[1]Hugst!$R$4:$W$4,0))))</f>
        <v>0</v>
      </c>
      <c r="T10" s="168">
        <f>IF($C10-T$1&lt;År1,0,S9*(1-VLOOKUP($A10,[1]Hugst!$R$5:$W$9,MATCH(ROUNDUP((T$1)/10,0)*10,[1]Hugst!$R$4:$W$4,0))))</f>
        <v>0</v>
      </c>
      <c r="U10" s="168">
        <f>IF($C10-U$1&lt;År1,0,T9*(1-VLOOKUP($A10,[1]Hugst!$R$5:$W$9,MATCH(ROUNDUP((U$1)/10,0)*10,[1]Hugst!$R$4:$W$4,0))))</f>
        <v>0</v>
      </c>
      <c r="V10" s="168">
        <f>IF($C10-V$1&lt;År1,0,U9*(1-VLOOKUP($A10,[1]Hugst!$R$5:$W$9,MATCH(ROUNDUP((V$1)/10,0)*10,[1]Hugst!$R$4:$W$4,0))))</f>
        <v>0</v>
      </c>
      <c r="W10" s="168">
        <f>IF($C10-W$1&lt;År1,0,V9*(1-VLOOKUP($A10,[1]Hugst!$R$5:$W$9,MATCH(ROUNDUP((W$1)/10,0)*10,[1]Hugst!$R$4:$W$4,0))))</f>
        <v>0</v>
      </c>
      <c r="X10" s="168">
        <f>IF($C10-X$1&lt;År1,0,W9*(1-VLOOKUP($A10,[1]Hugst!$R$5:$W$9,MATCH(ROUNDUP((X$1)/10,0)*10,[1]Hugst!$R$4:$W$4,0))))</f>
        <v>0</v>
      </c>
      <c r="Y10" s="168">
        <f>IF($C10-Y$1&lt;År1,0,X9*(1-VLOOKUP($A10,[1]Hugst!$R$5:$W$9,MATCH(ROUNDUP((Y$1)/10,0)*10,[1]Hugst!$R$4:$W$4,0))))</f>
        <v>0</v>
      </c>
      <c r="Z10" s="168">
        <f>IF($C10-Z$1&lt;År1,0,Y9*(1-VLOOKUP($A10,[1]Hugst!$R$5:$W$9,MATCH(ROUNDUP((Z$1)/10,0)*10,[1]Hugst!$R$4:$W$4,0))))</f>
        <v>0</v>
      </c>
      <c r="AA10" s="168">
        <f>IF($C10-AA$1&lt;År1,0,Z9*(1-VLOOKUP($A10,[1]Hugst!$R$5:$W$9,MATCH(ROUNDUP((AA$1)/10,0)*10,[1]Hugst!$R$4:$W$4,0))))</f>
        <v>0</v>
      </c>
      <c r="AB10" s="168">
        <f>IF($C10-AB$1&lt;År1,0,AA9*(1-VLOOKUP($A10,[1]Hugst!$R$5:$W$9,MATCH(ROUNDUP((AB$1)/10,0)*10,[1]Hugst!$R$4:$W$4,0))))</f>
        <v>0</v>
      </c>
      <c r="AC10" s="168">
        <f>IF($C10-AC$1&lt;År1,0,AB9*(1-VLOOKUP($A10,[1]Hugst!$R$5:$W$9,MATCH(ROUNDUP((AC$1)/10,0)*10,[1]Hugst!$R$4:$W$4,0))))</f>
        <v>0</v>
      </c>
      <c r="AD10" s="168">
        <f>IF($C10-AD$1&lt;År1,0,AC9*(1-VLOOKUP($A10,[1]Hugst!$R$5:$W$9,MATCH(ROUNDUP((AD$1)/10,0)*10,[1]Hugst!$R$4:$W$4,0))))</f>
        <v>0</v>
      </c>
      <c r="AE10" s="168">
        <f>IF($C10-AE$1&lt;År1,0,AD9*(1-VLOOKUP($A10,[1]Hugst!$R$5:$W$9,MATCH(ROUNDUP((AE$1)/10,0)*10,[1]Hugst!$R$4:$W$4,0))))</f>
        <v>0</v>
      </c>
      <c r="AF10" s="168">
        <f>IF($C10-AF$1&lt;År1,0,AE9*(1-VLOOKUP($A10,[1]Hugst!$R$5:$W$9,MATCH(ROUNDUP((AF$1)/10,0)*10,[1]Hugst!$R$4:$W$4,0))))</f>
        <v>0</v>
      </c>
      <c r="AG10" s="168">
        <f>IF($C10-AG$1&lt;År1,0,AF9*(1-VLOOKUP($A10,[1]Hugst!$R$5:$W$9,MATCH(ROUNDUP((AG$1)/10,0)*10,[1]Hugst!$R$4:$W$4,0))))</f>
        <v>0</v>
      </c>
      <c r="AH10" s="168">
        <f>IF($C10-AH$1&lt;År1,0,AG9*(1-VLOOKUP($A10,[1]Hugst!$R$5:$W$9,MATCH(ROUNDUP((AH$1)/10,0)*10,[1]Hugst!$R$4:$W$4,0))))</f>
        <v>0</v>
      </c>
      <c r="AI10" s="168">
        <f>IF($C10-AI$1&lt;År1,0,AH9*(1-VLOOKUP($A10,[1]Hugst!$R$5:$W$9,MATCH(ROUNDUP((AI$1)/10,0)*10,[1]Hugst!$R$4:$W$4,0))))</f>
        <v>0</v>
      </c>
      <c r="AJ10" s="168">
        <f>IF($C10-AJ$1&lt;År1,0,AI9*(1-VLOOKUP($A10,[1]Hugst!$R$5:$W$9,MATCH(ROUNDUP((AJ$1)/10,0)*10,[1]Hugst!$R$4:$W$4,0))))</f>
        <v>0</v>
      </c>
    </row>
    <row r="11" spans="1:38" s="168" customFormat="1" x14ac:dyDescent="0.25">
      <c r="A11" s="168" t="s">
        <v>176</v>
      </c>
      <c r="B11" s="168" t="s">
        <v>23</v>
      </c>
      <c r="C11" s="168">
        <v>2029</v>
      </c>
      <c r="D11" s="168" cm="1">
        <f t="array" ref="D11">(IF(B11="Vestdanmark",Skovbrug!$C$22-(Skovbrug!$C$22)*(1-Skovbrug!$C$9)^(C11-Skovbrug!$B$12),Skovbrug!$F$22-(Skovbrug!$F$22)*(1-Skovbrug!$C$9)^(C11-Skovbrug!$B$12))*VLOOKUP(A11,Skovbrug!$A$13:$D$17,IF('Skovbrug-alder'!C11&lt;=År2,3,4),FALSE)-IF(C11&gt;2020,SUM(INDEX($C$1:$D$311,MATCH(1,(2020=$C$1:$C$311)*(B11=$B$1:$B$311)*(A11=$A$1:$A$311),0),2):D10),0))</f>
        <v>2079.3682106629713</v>
      </c>
      <c r="E11" s="168">
        <f t="shared" ca="1" si="0"/>
        <v>0</v>
      </c>
      <c r="F11" s="168">
        <f ca="1">IF(C11&lt;=År2,IF(B11="Vestdanmark",(Arealanvendelse!$M$27-Arealanvendelse!$J$27),(Arealanvendelse!$M$37-Arealanvendelse!$J$37))/(Arealanvendelse!$M$3-Arealanvendelse!$J$3),IF(B11="Vestdanmark",(Arealanvendelse!$P$27-Arealanvendelse!$M$27),(Arealanvendelse!$P$37-Arealanvendelse!$M$37))/(Arealanvendelse!$P$3-Arealanvendelse!$M$3))*VLOOKUP(A11,Skovbrug!$A$13:$D$17,IF('Skovbrug-alder'!C11&lt;=År2,3,4),FALSE)+D11+E11</f>
        <v>3728.8496921444521</v>
      </c>
      <c r="G11" s="168">
        <f ca="1">IF($C11-G$1&lt;År1,0,F10*(1-VLOOKUP($A11,[1]Hugst!$R$5:$W$9,MATCH(ROUNDUP((G$1)/10,0)*10,[1]Hugst!$R$4:$W$4,0))))</f>
        <v>3739.2987786302901</v>
      </c>
      <c r="H11" s="168">
        <f ca="1">IF($C11-H$1&lt;År1,0,G10*(1-VLOOKUP($A11,[1]Hugst!$R$5:$W$9,MATCH(ROUNDUP((H$1)/10,0)*10,[1]Hugst!$R$4:$W$4,0))))</f>
        <v>3749.8003730882983</v>
      </c>
      <c r="I11" s="168">
        <f ca="1">IF($C11-I$1&lt;År1,0,H10*(1-VLOOKUP($A11,[1]Hugst!$R$5:$W$9,MATCH(ROUNDUP((I$1)/10,0)*10,[1]Hugst!$R$4:$W$4,0))))</f>
        <v>3760.3547393777617</v>
      </c>
      <c r="J11" s="168">
        <f ca="1">IF($C11-J$1&lt;År1,0,I10*(1-VLOOKUP($A11,[1]Hugst!$R$5:$W$9,MATCH(ROUNDUP((J$1)/10,0)*10,[1]Hugst!$R$4:$W$4,0))))</f>
        <v>3770.9621426837612</v>
      </c>
      <c r="K11" s="168">
        <f ca="1">IF($C11-K$1&lt;År1,0,J10*(1-VLOOKUP($A11,[1]Hugst!$R$5:$W$9,MATCH(ROUNDUP((K$1)/10,0)*10,[1]Hugst!$R$4:$W$4,0))))</f>
        <v>3781.6228495239839</v>
      </c>
      <c r="L11" s="168">
        <f ca="1">IF($C11-L$1&lt;År1,0,K10*(1-VLOOKUP($A11,[1]Hugst!$R$5:$W$9,MATCH(ROUNDUP((L$1)/10,0)*10,[1]Hugst!$R$4:$W$4,0))))</f>
        <v>3792.3371277553588</v>
      </c>
      <c r="M11" s="168">
        <f ca="1">IF($C11-M$1&lt;År1,0,L10*(1-VLOOKUP($A11,[1]Hugst!$R$5:$W$9,MATCH(ROUNDUP((M$1)/10,0)*10,[1]Hugst!$R$4:$W$4,0))))</f>
        <v>3803.1052465808671</v>
      </c>
      <c r="N11" s="168">
        <f ca="1">IF($C11-N$1&lt;År1,0,M10*(1-VLOOKUP($A11,[1]Hugst!$R$5:$W$9,MATCH(ROUNDUP((N$1)/10,0)*10,[1]Hugst!$R$4:$W$4,0))))</f>
        <v>3813.9274765561777</v>
      </c>
      <c r="O11" s="168">
        <f ca="1">IF($C11-O$1&lt;År1,0,N10*(1-VLOOKUP($A11,[1]Hugst!$R$5:$W$9,MATCH(ROUNDUP((O$1)/10,0)*10,[1]Hugst!$R$4:$W$4,0))))</f>
        <v>3824.804089596807</v>
      </c>
      <c r="P11" s="168">
        <f>IF($C11-P$1&lt;År1,0,O10*(1-VLOOKUP($A11,[1]Hugst!$R$5:$W$9,MATCH(ROUNDUP((P$1)/10,0)*10,[1]Hugst!$R$4:$W$4,0))))</f>
        <v>0</v>
      </c>
      <c r="Q11" s="168">
        <f>IF($C11-Q$1&lt;År1,0,P10*(1-VLOOKUP($A11,[1]Hugst!$R$5:$W$9,MATCH(ROUNDUP((Q$1)/10,0)*10,[1]Hugst!$R$4:$W$4,0))))</f>
        <v>0</v>
      </c>
      <c r="R11" s="168">
        <f>IF($C11-R$1&lt;År1,0,Q10*(1-VLOOKUP($A11,[1]Hugst!$R$5:$W$9,MATCH(ROUNDUP((R$1)/10,0)*10,[1]Hugst!$R$4:$W$4,0))))</f>
        <v>0</v>
      </c>
      <c r="S11" s="168">
        <f>IF($C11-S$1&lt;År1,0,R10*(1-VLOOKUP($A11,[1]Hugst!$R$5:$W$9,MATCH(ROUNDUP((S$1)/10,0)*10,[1]Hugst!$R$4:$W$4,0))))</f>
        <v>0</v>
      </c>
      <c r="T11" s="168">
        <f>IF($C11-T$1&lt;År1,0,S10*(1-VLOOKUP($A11,[1]Hugst!$R$5:$W$9,MATCH(ROUNDUP((T$1)/10,0)*10,[1]Hugst!$R$4:$W$4,0))))</f>
        <v>0</v>
      </c>
      <c r="U11" s="168">
        <f>IF($C11-U$1&lt;År1,0,T10*(1-VLOOKUP($A11,[1]Hugst!$R$5:$W$9,MATCH(ROUNDUP((U$1)/10,0)*10,[1]Hugst!$R$4:$W$4,0))))</f>
        <v>0</v>
      </c>
      <c r="V11" s="168">
        <f>IF($C11-V$1&lt;År1,0,U10*(1-VLOOKUP($A11,[1]Hugst!$R$5:$W$9,MATCH(ROUNDUP((V$1)/10,0)*10,[1]Hugst!$R$4:$W$4,0))))</f>
        <v>0</v>
      </c>
      <c r="W11" s="168">
        <f>IF($C11-W$1&lt;År1,0,V10*(1-VLOOKUP($A11,[1]Hugst!$R$5:$W$9,MATCH(ROUNDUP((W$1)/10,0)*10,[1]Hugst!$R$4:$W$4,0))))</f>
        <v>0</v>
      </c>
      <c r="X11" s="168">
        <f>IF($C11-X$1&lt;År1,0,W10*(1-VLOOKUP($A11,[1]Hugst!$R$5:$W$9,MATCH(ROUNDUP((X$1)/10,0)*10,[1]Hugst!$R$4:$W$4,0))))</f>
        <v>0</v>
      </c>
      <c r="Y11" s="168">
        <f>IF($C11-Y$1&lt;År1,0,X10*(1-VLOOKUP($A11,[1]Hugst!$R$5:$W$9,MATCH(ROUNDUP((Y$1)/10,0)*10,[1]Hugst!$R$4:$W$4,0))))</f>
        <v>0</v>
      </c>
      <c r="Z11" s="168">
        <f>IF($C11-Z$1&lt;År1,0,Y10*(1-VLOOKUP($A11,[1]Hugst!$R$5:$W$9,MATCH(ROUNDUP((Z$1)/10,0)*10,[1]Hugst!$R$4:$W$4,0))))</f>
        <v>0</v>
      </c>
      <c r="AA11" s="168">
        <f>IF($C11-AA$1&lt;År1,0,Z10*(1-VLOOKUP($A11,[1]Hugst!$R$5:$W$9,MATCH(ROUNDUP((AA$1)/10,0)*10,[1]Hugst!$R$4:$W$4,0))))</f>
        <v>0</v>
      </c>
      <c r="AB11" s="168">
        <f>IF($C11-AB$1&lt;År1,0,AA10*(1-VLOOKUP($A11,[1]Hugst!$R$5:$W$9,MATCH(ROUNDUP((AB$1)/10,0)*10,[1]Hugst!$R$4:$W$4,0))))</f>
        <v>0</v>
      </c>
      <c r="AC11" s="168">
        <f>IF($C11-AC$1&lt;År1,0,AB10*(1-VLOOKUP($A11,[1]Hugst!$R$5:$W$9,MATCH(ROUNDUP((AC$1)/10,0)*10,[1]Hugst!$R$4:$W$4,0))))</f>
        <v>0</v>
      </c>
      <c r="AD11" s="168">
        <f>IF($C11-AD$1&lt;År1,0,AC10*(1-VLOOKUP($A11,[1]Hugst!$R$5:$W$9,MATCH(ROUNDUP((AD$1)/10,0)*10,[1]Hugst!$R$4:$W$4,0))))</f>
        <v>0</v>
      </c>
      <c r="AE11" s="168">
        <f>IF($C11-AE$1&lt;År1,0,AD10*(1-VLOOKUP($A11,[1]Hugst!$R$5:$W$9,MATCH(ROUNDUP((AE$1)/10,0)*10,[1]Hugst!$R$4:$W$4,0))))</f>
        <v>0</v>
      </c>
      <c r="AF11" s="168">
        <f>IF($C11-AF$1&lt;År1,0,AE10*(1-VLOOKUP($A11,[1]Hugst!$R$5:$W$9,MATCH(ROUNDUP((AF$1)/10,0)*10,[1]Hugst!$R$4:$W$4,0))))</f>
        <v>0</v>
      </c>
      <c r="AG11" s="168">
        <f>IF($C11-AG$1&lt;År1,0,AF10*(1-VLOOKUP($A11,[1]Hugst!$R$5:$W$9,MATCH(ROUNDUP((AG$1)/10,0)*10,[1]Hugst!$R$4:$W$4,0))))</f>
        <v>0</v>
      </c>
      <c r="AH11" s="168">
        <f>IF($C11-AH$1&lt;År1,0,AG10*(1-VLOOKUP($A11,[1]Hugst!$R$5:$W$9,MATCH(ROUNDUP((AH$1)/10,0)*10,[1]Hugst!$R$4:$W$4,0))))</f>
        <v>0</v>
      </c>
      <c r="AI11" s="168">
        <f>IF($C11-AI$1&lt;År1,0,AH10*(1-VLOOKUP($A11,[1]Hugst!$R$5:$W$9,MATCH(ROUNDUP((AI$1)/10,0)*10,[1]Hugst!$R$4:$W$4,0))))</f>
        <v>0</v>
      </c>
      <c r="AJ11" s="168">
        <f>IF($C11-AJ$1&lt;År1,0,AI10*(1-VLOOKUP($A11,[1]Hugst!$R$5:$W$9,MATCH(ROUNDUP((AJ$1)/10,0)*10,[1]Hugst!$R$4:$W$4,0))))</f>
        <v>0</v>
      </c>
    </row>
    <row r="12" spans="1:38" s="168" customFormat="1" x14ac:dyDescent="0.25">
      <c r="A12" s="168" t="s">
        <v>176</v>
      </c>
      <c r="B12" s="168" t="s">
        <v>23</v>
      </c>
      <c r="C12" s="168">
        <v>2030</v>
      </c>
      <c r="D12" s="168" cm="1">
        <f t="array" ref="D12">(IF(B12="Vestdanmark",Skovbrug!$C$22-(Skovbrug!$C$22)*(1-Skovbrug!$C$9)^(C12-Skovbrug!$B$12),Skovbrug!$F$22-(Skovbrug!$F$22)*(1-Skovbrug!$C$9)^(C12-Skovbrug!$B$12))*VLOOKUP(A12,Skovbrug!$A$13:$D$17,IF('Skovbrug-alder'!C12&lt;=År2,3,4),FALSE)-IF(C12&gt;2020,SUM(INDEX($C$1:$D$311,MATCH(1,(2020=$C$1:$C$311)*(B12=$B$1:$B$311)*(A12=$A$1:$A$311),0),2):D11),0))</f>
        <v>2068.9713696097606</v>
      </c>
      <c r="E12" s="168">
        <f t="shared" ca="1" si="0"/>
        <v>0</v>
      </c>
      <c r="F12" s="168">
        <f ca="1">IF(C12&lt;=År2,IF(B12="Vestdanmark",(Arealanvendelse!$M$27-Arealanvendelse!$J$27),(Arealanvendelse!$M$37-Arealanvendelse!$J$37))/(Arealanvendelse!$M$3-Arealanvendelse!$J$3),IF(B12="Vestdanmark",(Arealanvendelse!$P$27-Arealanvendelse!$M$27),(Arealanvendelse!$P$37-Arealanvendelse!$M$37))/(Arealanvendelse!$P$3-Arealanvendelse!$M$3))*VLOOKUP(A12,Skovbrug!$A$13:$D$17,IF('Skovbrug-alder'!C12&lt;=År2,3,4),FALSE)+D12+E12</f>
        <v>3718.4528510912414</v>
      </c>
      <c r="G12" s="168">
        <f ca="1">IF($C12-G$1&lt;År1,0,F11*(1-VLOOKUP($A12,[1]Hugst!$R$5:$W$9,MATCH(ROUNDUP((G$1)/10,0)*10,[1]Hugst!$R$4:$W$4,0))))</f>
        <v>3728.8496921444521</v>
      </c>
      <c r="H12" s="168">
        <f ca="1">IF($C12-H$1&lt;År1,0,G11*(1-VLOOKUP($A12,[1]Hugst!$R$5:$W$9,MATCH(ROUNDUP((H$1)/10,0)*10,[1]Hugst!$R$4:$W$4,0))))</f>
        <v>3739.2987786302901</v>
      </c>
      <c r="I12" s="168">
        <f ca="1">IF($C12-I$1&lt;År1,0,H11*(1-VLOOKUP($A12,[1]Hugst!$R$5:$W$9,MATCH(ROUNDUP((I$1)/10,0)*10,[1]Hugst!$R$4:$W$4,0))))</f>
        <v>3749.8003730882983</v>
      </c>
      <c r="J12" s="168">
        <f ca="1">IF($C12-J$1&lt;År1,0,I11*(1-VLOOKUP($A12,[1]Hugst!$R$5:$W$9,MATCH(ROUNDUP((J$1)/10,0)*10,[1]Hugst!$R$4:$W$4,0))))</f>
        <v>3760.3547393777617</v>
      </c>
      <c r="K12" s="168">
        <f ca="1">IF($C12-K$1&lt;År1,0,J11*(1-VLOOKUP($A12,[1]Hugst!$R$5:$W$9,MATCH(ROUNDUP((K$1)/10,0)*10,[1]Hugst!$R$4:$W$4,0))))</f>
        <v>3770.9621426837612</v>
      </c>
      <c r="L12" s="168">
        <f ca="1">IF($C12-L$1&lt;År1,0,K11*(1-VLOOKUP($A12,[1]Hugst!$R$5:$W$9,MATCH(ROUNDUP((L$1)/10,0)*10,[1]Hugst!$R$4:$W$4,0))))</f>
        <v>3781.6228495239839</v>
      </c>
      <c r="M12" s="168">
        <f ca="1">IF($C12-M$1&lt;År1,0,L11*(1-VLOOKUP($A12,[1]Hugst!$R$5:$W$9,MATCH(ROUNDUP((M$1)/10,0)*10,[1]Hugst!$R$4:$W$4,0))))</f>
        <v>3792.3371277553588</v>
      </c>
      <c r="N12" s="168">
        <f ca="1">IF($C12-N$1&lt;År1,0,M11*(1-VLOOKUP($A12,[1]Hugst!$R$5:$W$9,MATCH(ROUNDUP((N$1)/10,0)*10,[1]Hugst!$R$4:$W$4,0))))</f>
        <v>3803.1052465808671</v>
      </c>
      <c r="O12" s="168">
        <f ca="1">IF($C12-O$1&lt;År1,0,N11*(1-VLOOKUP($A12,[1]Hugst!$R$5:$W$9,MATCH(ROUNDUP((O$1)/10,0)*10,[1]Hugst!$R$4:$W$4,0))))</f>
        <v>3813.9274765561777</v>
      </c>
      <c r="P12" s="168">
        <f ca="1">IF($C12-P$1&lt;År1,0,O11*(1-VLOOKUP($A12,[1]Hugst!$R$5:$W$9,MATCH(ROUNDUP((P$1)/10,0)*10,[1]Hugst!$R$4:$W$4,0))))</f>
        <v>3824.804089596807</v>
      </c>
      <c r="Q12" s="168">
        <f>IF($C12-Q$1&lt;År1,0,P11*(1-VLOOKUP($A12,[1]Hugst!$R$5:$W$9,MATCH(ROUNDUP((Q$1)/10,0)*10,[1]Hugst!$R$4:$W$4,0))))</f>
        <v>0</v>
      </c>
      <c r="R12" s="168">
        <f>IF($C12-R$1&lt;År1,0,Q11*(1-VLOOKUP($A12,[1]Hugst!$R$5:$W$9,MATCH(ROUNDUP((R$1)/10,0)*10,[1]Hugst!$R$4:$W$4,0))))</f>
        <v>0</v>
      </c>
      <c r="S12" s="168">
        <f>IF($C12-S$1&lt;År1,0,R11*(1-VLOOKUP($A12,[1]Hugst!$R$5:$W$9,MATCH(ROUNDUP((S$1)/10,0)*10,[1]Hugst!$R$4:$W$4,0))))</f>
        <v>0</v>
      </c>
      <c r="T12" s="168">
        <f>IF($C12-T$1&lt;År1,0,S11*(1-VLOOKUP($A12,[1]Hugst!$R$5:$W$9,MATCH(ROUNDUP((T$1)/10,0)*10,[1]Hugst!$R$4:$W$4,0))))</f>
        <v>0</v>
      </c>
      <c r="U12" s="168">
        <f>IF($C12-U$1&lt;År1,0,T11*(1-VLOOKUP($A12,[1]Hugst!$R$5:$W$9,MATCH(ROUNDUP((U$1)/10,0)*10,[1]Hugst!$R$4:$W$4,0))))</f>
        <v>0</v>
      </c>
      <c r="V12" s="168">
        <f>IF($C12-V$1&lt;År1,0,U11*(1-VLOOKUP($A12,[1]Hugst!$R$5:$W$9,MATCH(ROUNDUP((V$1)/10,0)*10,[1]Hugst!$R$4:$W$4,0))))</f>
        <v>0</v>
      </c>
      <c r="W12" s="168">
        <f>IF($C12-W$1&lt;År1,0,V11*(1-VLOOKUP($A12,[1]Hugst!$R$5:$W$9,MATCH(ROUNDUP((W$1)/10,0)*10,[1]Hugst!$R$4:$W$4,0))))</f>
        <v>0</v>
      </c>
      <c r="X12" s="168">
        <f>IF($C12-X$1&lt;År1,0,W11*(1-VLOOKUP($A12,[1]Hugst!$R$5:$W$9,MATCH(ROUNDUP((X$1)/10,0)*10,[1]Hugst!$R$4:$W$4,0))))</f>
        <v>0</v>
      </c>
      <c r="Y12" s="168">
        <f>IF($C12-Y$1&lt;År1,0,X11*(1-VLOOKUP($A12,[1]Hugst!$R$5:$W$9,MATCH(ROUNDUP((Y$1)/10,0)*10,[1]Hugst!$R$4:$W$4,0))))</f>
        <v>0</v>
      </c>
      <c r="Z12" s="168">
        <f>IF($C12-Z$1&lt;År1,0,Y11*(1-VLOOKUP($A12,[1]Hugst!$R$5:$W$9,MATCH(ROUNDUP((Z$1)/10,0)*10,[1]Hugst!$R$4:$W$4,0))))</f>
        <v>0</v>
      </c>
      <c r="AA12" s="168">
        <f>IF($C12-AA$1&lt;År1,0,Z11*(1-VLOOKUP($A12,[1]Hugst!$R$5:$W$9,MATCH(ROUNDUP((AA$1)/10,0)*10,[1]Hugst!$R$4:$W$4,0))))</f>
        <v>0</v>
      </c>
      <c r="AB12" s="168">
        <f>IF($C12-AB$1&lt;År1,0,AA11*(1-VLOOKUP($A12,[1]Hugst!$R$5:$W$9,MATCH(ROUNDUP((AB$1)/10,0)*10,[1]Hugst!$R$4:$W$4,0))))</f>
        <v>0</v>
      </c>
      <c r="AC12" s="168">
        <f>IF($C12-AC$1&lt;År1,0,AB11*(1-VLOOKUP($A12,[1]Hugst!$R$5:$W$9,MATCH(ROUNDUP((AC$1)/10,0)*10,[1]Hugst!$R$4:$W$4,0))))</f>
        <v>0</v>
      </c>
      <c r="AD12" s="168">
        <f>IF($C12-AD$1&lt;År1,0,AC11*(1-VLOOKUP($A12,[1]Hugst!$R$5:$W$9,MATCH(ROUNDUP((AD$1)/10,0)*10,[1]Hugst!$R$4:$W$4,0))))</f>
        <v>0</v>
      </c>
      <c r="AE12" s="168">
        <f>IF($C12-AE$1&lt;År1,0,AD11*(1-VLOOKUP($A12,[1]Hugst!$R$5:$W$9,MATCH(ROUNDUP((AE$1)/10,0)*10,[1]Hugst!$R$4:$W$4,0))))</f>
        <v>0</v>
      </c>
      <c r="AF12" s="168">
        <f>IF($C12-AF$1&lt;År1,0,AE11*(1-VLOOKUP($A12,[1]Hugst!$R$5:$W$9,MATCH(ROUNDUP((AF$1)/10,0)*10,[1]Hugst!$R$4:$W$4,0))))</f>
        <v>0</v>
      </c>
      <c r="AG12" s="168">
        <f>IF($C12-AG$1&lt;År1,0,AF11*(1-VLOOKUP($A12,[1]Hugst!$R$5:$W$9,MATCH(ROUNDUP((AG$1)/10,0)*10,[1]Hugst!$R$4:$W$4,0))))</f>
        <v>0</v>
      </c>
      <c r="AH12" s="168">
        <f>IF($C12-AH$1&lt;År1,0,AG11*(1-VLOOKUP($A12,[1]Hugst!$R$5:$W$9,MATCH(ROUNDUP((AH$1)/10,0)*10,[1]Hugst!$R$4:$W$4,0))))</f>
        <v>0</v>
      </c>
      <c r="AI12" s="168">
        <f>IF($C12-AI$1&lt;År1,0,AH11*(1-VLOOKUP($A12,[1]Hugst!$R$5:$W$9,MATCH(ROUNDUP((AI$1)/10,0)*10,[1]Hugst!$R$4:$W$4,0))))</f>
        <v>0</v>
      </c>
      <c r="AJ12" s="168">
        <f>IF($C12-AJ$1&lt;År1,0,AI11*(1-VLOOKUP($A12,[1]Hugst!$R$5:$W$9,MATCH(ROUNDUP((AJ$1)/10,0)*10,[1]Hugst!$R$4:$W$4,0))))</f>
        <v>0</v>
      </c>
    </row>
    <row r="13" spans="1:38" s="168" customFormat="1" x14ac:dyDescent="0.25">
      <c r="A13" s="168" t="s">
        <v>176</v>
      </c>
      <c r="B13" s="168" t="s">
        <v>23</v>
      </c>
      <c r="C13" s="168">
        <v>2031</v>
      </c>
      <c r="D13" s="168" cm="1">
        <f t="array" ref="D13">(IF(B13="Vestdanmark",Skovbrug!$C$22-(Skovbrug!$C$22)*(1-Skovbrug!$C$9)^(C13-Skovbrug!$B$12),Skovbrug!$F$22-(Skovbrug!$F$22)*(1-Skovbrug!$C$9)^(C13-Skovbrug!$B$12))*VLOOKUP(A13,Skovbrug!$A$13:$D$17,IF('Skovbrug-alder'!C13&lt;=År2,3,4),FALSE)-IF(C13&gt;2020,SUM(INDEX($C$1:$D$311,MATCH(1,(2020=$C$1:$C$311)*(B13=$B$1:$B$311)*(A13=$A$1:$A$311),0),2):D12),0))</f>
        <v>2058.626512761577</v>
      </c>
      <c r="E13" s="168">
        <f t="shared" ca="1" si="0"/>
        <v>0</v>
      </c>
      <c r="F13" s="168">
        <f ca="1">IF(C13&lt;=År2,IF(B13="Vestdanmark",(Arealanvendelse!$M$27-Arealanvendelse!$J$27),(Arealanvendelse!$M$37-Arealanvendelse!$J$37))/(Arealanvendelse!$M$3-Arealanvendelse!$J$3),IF(B13="Vestdanmark",(Arealanvendelse!$P$27-Arealanvendelse!$M$27),(Arealanvendelse!$P$37-Arealanvendelse!$M$37))/(Arealanvendelse!$P$3-Arealanvendelse!$M$3))*VLOOKUP(A13,Skovbrug!$A$13:$D$17,IF('Skovbrug-alder'!C13&lt;=År2,3,4),FALSE)+D13+E13</f>
        <v>3708.1079942430574</v>
      </c>
      <c r="G13" s="168">
        <f ca="1">IF($C13-G$1&lt;År1,0,F12*(1-VLOOKUP($A13,[1]Hugst!$R$5:$W$9,MATCH(ROUNDUP((G$1)/10,0)*10,[1]Hugst!$R$4:$W$4,0))))</f>
        <v>3718.4528510912414</v>
      </c>
      <c r="H13" s="168">
        <f ca="1">IF($C13-H$1&lt;År1,0,G12*(1-VLOOKUP($A13,[1]Hugst!$R$5:$W$9,MATCH(ROUNDUP((H$1)/10,0)*10,[1]Hugst!$R$4:$W$4,0))))</f>
        <v>3728.8496921444521</v>
      </c>
      <c r="I13" s="168">
        <f ca="1">IF($C13-I$1&lt;År1,0,H12*(1-VLOOKUP($A13,[1]Hugst!$R$5:$W$9,MATCH(ROUNDUP((I$1)/10,0)*10,[1]Hugst!$R$4:$W$4,0))))</f>
        <v>3739.2987786302901</v>
      </c>
      <c r="J13" s="168">
        <f ca="1">IF($C13-J$1&lt;År1,0,I12*(1-VLOOKUP($A13,[1]Hugst!$R$5:$W$9,MATCH(ROUNDUP((J$1)/10,0)*10,[1]Hugst!$R$4:$W$4,0))))</f>
        <v>3749.8003730882983</v>
      </c>
      <c r="K13" s="168">
        <f ca="1">IF($C13-K$1&lt;År1,0,J12*(1-VLOOKUP($A13,[1]Hugst!$R$5:$W$9,MATCH(ROUNDUP((K$1)/10,0)*10,[1]Hugst!$R$4:$W$4,0))))</f>
        <v>3760.3547393777617</v>
      </c>
      <c r="L13" s="168">
        <f ca="1">IF($C13-L$1&lt;År1,0,K12*(1-VLOOKUP($A13,[1]Hugst!$R$5:$W$9,MATCH(ROUNDUP((L$1)/10,0)*10,[1]Hugst!$R$4:$W$4,0))))</f>
        <v>3770.9621426837612</v>
      </c>
      <c r="M13" s="168">
        <f ca="1">IF($C13-M$1&lt;År1,0,L12*(1-VLOOKUP($A13,[1]Hugst!$R$5:$W$9,MATCH(ROUNDUP((M$1)/10,0)*10,[1]Hugst!$R$4:$W$4,0))))</f>
        <v>3781.6228495239839</v>
      </c>
      <c r="N13" s="168">
        <f ca="1">IF($C13-N$1&lt;År1,0,M12*(1-VLOOKUP($A13,[1]Hugst!$R$5:$W$9,MATCH(ROUNDUP((N$1)/10,0)*10,[1]Hugst!$R$4:$W$4,0))))</f>
        <v>3792.3371277553588</v>
      </c>
      <c r="O13" s="168">
        <f ca="1">IF($C13-O$1&lt;År1,0,N12*(1-VLOOKUP($A13,[1]Hugst!$R$5:$W$9,MATCH(ROUNDUP((O$1)/10,0)*10,[1]Hugst!$R$4:$W$4,0))))</f>
        <v>3803.1052465808671</v>
      </c>
      <c r="P13" s="168">
        <f ca="1">IF($C13-P$1&lt;År1,0,O12*(1-VLOOKUP($A13,[1]Hugst!$R$5:$W$9,MATCH(ROUNDUP((P$1)/10,0)*10,[1]Hugst!$R$4:$W$4,0))))</f>
        <v>3813.9274765561777</v>
      </c>
      <c r="Q13" s="168">
        <f ca="1">IF($C13-Q$1&lt;År1,0,P12*(1-VLOOKUP($A13,[1]Hugst!$R$5:$W$9,MATCH(ROUNDUP((Q$1)/10,0)*10,[1]Hugst!$R$4:$W$4,0))))</f>
        <v>3824.804089596807</v>
      </c>
      <c r="R13" s="168">
        <f>IF($C13-R$1&lt;År1,0,Q12*(1-VLOOKUP($A13,[1]Hugst!$R$5:$W$9,MATCH(ROUNDUP((R$1)/10,0)*10,[1]Hugst!$R$4:$W$4,0))))</f>
        <v>0</v>
      </c>
      <c r="S13" s="168">
        <f>IF($C13-S$1&lt;År1,0,R12*(1-VLOOKUP($A13,[1]Hugst!$R$5:$W$9,MATCH(ROUNDUP((S$1)/10,0)*10,[1]Hugst!$R$4:$W$4,0))))</f>
        <v>0</v>
      </c>
      <c r="T13" s="168">
        <f>IF($C13-T$1&lt;År1,0,S12*(1-VLOOKUP($A13,[1]Hugst!$R$5:$W$9,MATCH(ROUNDUP((T$1)/10,0)*10,[1]Hugst!$R$4:$W$4,0))))</f>
        <v>0</v>
      </c>
      <c r="U13" s="168">
        <f>IF($C13-U$1&lt;År1,0,T12*(1-VLOOKUP($A13,[1]Hugst!$R$5:$W$9,MATCH(ROUNDUP((U$1)/10,0)*10,[1]Hugst!$R$4:$W$4,0))))</f>
        <v>0</v>
      </c>
      <c r="V13" s="168">
        <f>IF($C13-V$1&lt;År1,0,U12*(1-VLOOKUP($A13,[1]Hugst!$R$5:$W$9,MATCH(ROUNDUP((V$1)/10,0)*10,[1]Hugst!$R$4:$W$4,0))))</f>
        <v>0</v>
      </c>
      <c r="W13" s="168">
        <f>IF($C13-W$1&lt;År1,0,V12*(1-VLOOKUP($A13,[1]Hugst!$R$5:$W$9,MATCH(ROUNDUP((W$1)/10,0)*10,[1]Hugst!$R$4:$W$4,0))))</f>
        <v>0</v>
      </c>
      <c r="X13" s="168">
        <f>IF($C13-X$1&lt;År1,0,W12*(1-VLOOKUP($A13,[1]Hugst!$R$5:$W$9,MATCH(ROUNDUP((X$1)/10,0)*10,[1]Hugst!$R$4:$W$4,0))))</f>
        <v>0</v>
      </c>
      <c r="Y13" s="168">
        <f>IF($C13-Y$1&lt;År1,0,X12*(1-VLOOKUP($A13,[1]Hugst!$R$5:$W$9,MATCH(ROUNDUP((Y$1)/10,0)*10,[1]Hugst!$R$4:$W$4,0))))</f>
        <v>0</v>
      </c>
      <c r="Z13" s="168">
        <f>IF($C13-Z$1&lt;År1,0,Y12*(1-VLOOKUP($A13,[1]Hugst!$R$5:$W$9,MATCH(ROUNDUP((Z$1)/10,0)*10,[1]Hugst!$R$4:$W$4,0))))</f>
        <v>0</v>
      </c>
      <c r="AA13" s="168">
        <f>IF($C13-AA$1&lt;År1,0,Z12*(1-VLOOKUP($A13,[1]Hugst!$R$5:$W$9,MATCH(ROUNDUP((AA$1)/10,0)*10,[1]Hugst!$R$4:$W$4,0))))</f>
        <v>0</v>
      </c>
      <c r="AB13" s="168">
        <f>IF($C13-AB$1&lt;År1,0,AA12*(1-VLOOKUP($A13,[1]Hugst!$R$5:$W$9,MATCH(ROUNDUP((AB$1)/10,0)*10,[1]Hugst!$R$4:$W$4,0))))</f>
        <v>0</v>
      </c>
      <c r="AC13" s="168">
        <f>IF($C13-AC$1&lt;År1,0,AB12*(1-VLOOKUP($A13,[1]Hugst!$R$5:$W$9,MATCH(ROUNDUP((AC$1)/10,0)*10,[1]Hugst!$R$4:$W$4,0))))</f>
        <v>0</v>
      </c>
      <c r="AD13" s="168">
        <f>IF($C13-AD$1&lt;År1,0,AC12*(1-VLOOKUP($A13,[1]Hugst!$R$5:$W$9,MATCH(ROUNDUP((AD$1)/10,0)*10,[1]Hugst!$R$4:$W$4,0))))</f>
        <v>0</v>
      </c>
      <c r="AE13" s="168">
        <f>IF($C13-AE$1&lt;År1,0,AD12*(1-VLOOKUP($A13,[1]Hugst!$R$5:$W$9,MATCH(ROUNDUP((AE$1)/10,0)*10,[1]Hugst!$R$4:$W$4,0))))</f>
        <v>0</v>
      </c>
      <c r="AF13" s="168">
        <f>IF($C13-AF$1&lt;År1,0,AE12*(1-VLOOKUP($A13,[1]Hugst!$R$5:$W$9,MATCH(ROUNDUP((AF$1)/10,0)*10,[1]Hugst!$R$4:$W$4,0))))</f>
        <v>0</v>
      </c>
      <c r="AG13" s="168">
        <f>IF($C13-AG$1&lt;År1,0,AF12*(1-VLOOKUP($A13,[1]Hugst!$R$5:$W$9,MATCH(ROUNDUP((AG$1)/10,0)*10,[1]Hugst!$R$4:$W$4,0))))</f>
        <v>0</v>
      </c>
      <c r="AH13" s="168">
        <f>IF($C13-AH$1&lt;År1,0,AG12*(1-VLOOKUP($A13,[1]Hugst!$R$5:$W$9,MATCH(ROUNDUP((AH$1)/10,0)*10,[1]Hugst!$R$4:$W$4,0))))</f>
        <v>0</v>
      </c>
      <c r="AI13" s="168">
        <f>IF($C13-AI$1&lt;År1,0,AH12*(1-VLOOKUP($A13,[1]Hugst!$R$5:$W$9,MATCH(ROUNDUP((AI$1)/10,0)*10,[1]Hugst!$R$4:$W$4,0))))</f>
        <v>0</v>
      </c>
      <c r="AJ13" s="168">
        <f>IF($C13-AJ$1&lt;År1,0,AI12*(1-VLOOKUP($A13,[1]Hugst!$R$5:$W$9,MATCH(ROUNDUP((AJ$1)/10,0)*10,[1]Hugst!$R$4:$W$4,0))))</f>
        <v>0</v>
      </c>
    </row>
    <row r="14" spans="1:38" s="168" customFormat="1" x14ac:dyDescent="0.25">
      <c r="A14" s="168" t="s">
        <v>176</v>
      </c>
      <c r="B14" s="168" t="s">
        <v>23</v>
      </c>
      <c r="C14" s="168">
        <v>2032</v>
      </c>
      <c r="D14" s="168" cm="1">
        <f t="array" ref="D14">(IF(B14="Vestdanmark",Skovbrug!$C$22-(Skovbrug!$C$22)*(1-Skovbrug!$C$9)^(C14-Skovbrug!$B$12),Skovbrug!$F$22-(Skovbrug!$F$22)*(1-Skovbrug!$C$9)^(C14-Skovbrug!$B$12))*VLOOKUP(A14,Skovbrug!$A$13:$D$17,IF('Skovbrug-alder'!C14&lt;=År2,3,4),FALSE)-IF(C14&gt;2020,SUM(INDEX($C$1:$D$311,MATCH(1,(2020=$C$1:$C$311)*(B14=$B$1:$B$311)*(A14=$A$1:$A$311),0),2):D13),0))</f>
        <v>2048.3333801978733</v>
      </c>
      <c r="E14" s="168">
        <f t="shared" ca="1" si="0"/>
        <v>0</v>
      </c>
      <c r="F14" s="168">
        <f ca="1">IF(C14&lt;=År2,IF(B14="Vestdanmark",(Arealanvendelse!$M$27-Arealanvendelse!$J$27),(Arealanvendelse!$M$37-Arealanvendelse!$J$37))/(Arealanvendelse!$M$3-Arealanvendelse!$J$3),IF(B14="Vestdanmark",(Arealanvendelse!$P$27-Arealanvendelse!$M$27),(Arealanvendelse!$P$37-Arealanvendelse!$M$37))/(Arealanvendelse!$P$3-Arealanvendelse!$M$3))*VLOOKUP(A14,Skovbrug!$A$13:$D$17,IF('Skovbrug-alder'!C14&lt;=År2,3,4),FALSE)+D14+E14</f>
        <v>3697.8148616793537</v>
      </c>
      <c r="G14" s="168">
        <f ca="1">IF($C14-G$1&lt;År1,0,F13*(1-VLOOKUP($A14,[1]Hugst!$R$5:$W$9,MATCH(ROUNDUP((G$1)/10,0)*10,[1]Hugst!$R$4:$W$4,0))))</f>
        <v>3708.1079942430574</v>
      </c>
      <c r="H14" s="168">
        <f ca="1">IF($C14-H$1&lt;År1,0,G13*(1-VLOOKUP($A14,[1]Hugst!$R$5:$W$9,MATCH(ROUNDUP((H$1)/10,0)*10,[1]Hugst!$R$4:$W$4,0))))</f>
        <v>3718.4528510912414</v>
      </c>
      <c r="I14" s="168">
        <f ca="1">IF($C14-I$1&lt;År1,0,H13*(1-VLOOKUP($A14,[1]Hugst!$R$5:$W$9,MATCH(ROUNDUP((I$1)/10,0)*10,[1]Hugst!$R$4:$W$4,0))))</f>
        <v>3728.8496921444521</v>
      </c>
      <c r="J14" s="168">
        <f ca="1">IF($C14-J$1&lt;År1,0,I13*(1-VLOOKUP($A14,[1]Hugst!$R$5:$W$9,MATCH(ROUNDUP((J$1)/10,0)*10,[1]Hugst!$R$4:$W$4,0))))</f>
        <v>3739.2987786302901</v>
      </c>
      <c r="K14" s="168">
        <f ca="1">IF($C14-K$1&lt;År1,0,J13*(1-VLOOKUP($A14,[1]Hugst!$R$5:$W$9,MATCH(ROUNDUP((K$1)/10,0)*10,[1]Hugst!$R$4:$W$4,0))))</f>
        <v>3749.8003730882983</v>
      </c>
      <c r="L14" s="168">
        <f ca="1">IF($C14-L$1&lt;År1,0,K13*(1-VLOOKUP($A14,[1]Hugst!$R$5:$W$9,MATCH(ROUNDUP((L$1)/10,0)*10,[1]Hugst!$R$4:$W$4,0))))</f>
        <v>3760.3547393777617</v>
      </c>
      <c r="M14" s="168">
        <f ca="1">IF($C14-M$1&lt;År1,0,L13*(1-VLOOKUP($A14,[1]Hugst!$R$5:$W$9,MATCH(ROUNDUP((M$1)/10,0)*10,[1]Hugst!$R$4:$W$4,0))))</f>
        <v>3770.9621426837612</v>
      </c>
      <c r="N14" s="168">
        <f ca="1">IF($C14-N$1&lt;År1,0,M13*(1-VLOOKUP($A14,[1]Hugst!$R$5:$W$9,MATCH(ROUNDUP((N$1)/10,0)*10,[1]Hugst!$R$4:$W$4,0))))</f>
        <v>3781.6228495239839</v>
      </c>
      <c r="O14" s="168">
        <f ca="1">IF($C14-O$1&lt;År1,0,N13*(1-VLOOKUP($A14,[1]Hugst!$R$5:$W$9,MATCH(ROUNDUP((O$1)/10,0)*10,[1]Hugst!$R$4:$W$4,0))))</f>
        <v>3792.3371277553588</v>
      </c>
      <c r="P14" s="168">
        <f ca="1">IF($C14-P$1&lt;År1,0,O13*(1-VLOOKUP($A14,[1]Hugst!$R$5:$W$9,MATCH(ROUNDUP((P$1)/10,0)*10,[1]Hugst!$R$4:$W$4,0))))</f>
        <v>3803.1052465808671</v>
      </c>
      <c r="Q14" s="168">
        <f ca="1">IF($C14-Q$1&lt;År1,0,P13*(1-VLOOKUP($A14,[1]Hugst!$R$5:$W$9,MATCH(ROUNDUP((Q$1)/10,0)*10,[1]Hugst!$R$4:$W$4,0))))</f>
        <v>3813.9274765561777</v>
      </c>
      <c r="R14" s="168">
        <f ca="1">IF($C14-R$1&lt;År1,0,Q13*(1-VLOOKUP($A14,[1]Hugst!$R$5:$W$9,MATCH(ROUNDUP((R$1)/10,0)*10,[1]Hugst!$R$4:$W$4,0))))</f>
        <v>3824.804089596807</v>
      </c>
      <c r="S14" s="168">
        <f>IF($C14-S$1&lt;År1,0,R13*(1-VLOOKUP($A14,[1]Hugst!$R$5:$W$9,MATCH(ROUNDUP((S$1)/10,0)*10,[1]Hugst!$R$4:$W$4,0))))</f>
        <v>0</v>
      </c>
      <c r="T14" s="168">
        <f>IF($C14-T$1&lt;År1,0,S13*(1-VLOOKUP($A14,[1]Hugst!$R$5:$W$9,MATCH(ROUNDUP((T$1)/10,0)*10,[1]Hugst!$R$4:$W$4,0))))</f>
        <v>0</v>
      </c>
      <c r="U14" s="168">
        <f>IF($C14-U$1&lt;År1,0,T13*(1-VLOOKUP($A14,[1]Hugst!$R$5:$W$9,MATCH(ROUNDUP((U$1)/10,0)*10,[1]Hugst!$R$4:$W$4,0))))</f>
        <v>0</v>
      </c>
      <c r="V14" s="168">
        <f>IF($C14-V$1&lt;År1,0,U13*(1-VLOOKUP($A14,[1]Hugst!$R$5:$W$9,MATCH(ROUNDUP((V$1)/10,0)*10,[1]Hugst!$R$4:$W$4,0))))</f>
        <v>0</v>
      </c>
      <c r="W14" s="168">
        <f>IF($C14-W$1&lt;År1,0,V13*(1-VLOOKUP($A14,[1]Hugst!$R$5:$W$9,MATCH(ROUNDUP((W$1)/10,0)*10,[1]Hugst!$R$4:$W$4,0))))</f>
        <v>0</v>
      </c>
      <c r="X14" s="168">
        <f>IF($C14-X$1&lt;År1,0,W13*(1-VLOOKUP($A14,[1]Hugst!$R$5:$W$9,MATCH(ROUNDUP((X$1)/10,0)*10,[1]Hugst!$R$4:$W$4,0))))</f>
        <v>0</v>
      </c>
      <c r="Y14" s="168">
        <f>IF($C14-Y$1&lt;År1,0,X13*(1-VLOOKUP($A14,[1]Hugst!$R$5:$W$9,MATCH(ROUNDUP((Y$1)/10,0)*10,[1]Hugst!$R$4:$W$4,0))))</f>
        <v>0</v>
      </c>
      <c r="Z14" s="168">
        <f>IF($C14-Z$1&lt;År1,0,Y13*(1-VLOOKUP($A14,[1]Hugst!$R$5:$W$9,MATCH(ROUNDUP((Z$1)/10,0)*10,[1]Hugst!$R$4:$W$4,0))))</f>
        <v>0</v>
      </c>
      <c r="AA14" s="168">
        <f>IF($C14-AA$1&lt;År1,0,Z13*(1-VLOOKUP($A14,[1]Hugst!$R$5:$W$9,MATCH(ROUNDUP((AA$1)/10,0)*10,[1]Hugst!$R$4:$W$4,0))))</f>
        <v>0</v>
      </c>
      <c r="AB14" s="168">
        <f>IF($C14-AB$1&lt;År1,0,AA13*(1-VLOOKUP($A14,[1]Hugst!$R$5:$W$9,MATCH(ROUNDUP((AB$1)/10,0)*10,[1]Hugst!$R$4:$W$4,0))))</f>
        <v>0</v>
      </c>
      <c r="AC14" s="168">
        <f>IF($C14-AC$1&lt;År1,0,AB13*(1-VLOOKUP($A14,[1]Hugst!$R$5:$W$9,MATCH(ROUNDUP((AC$1)/10,0)*10,[1]Hugst!$R$4:$W$4,0))))</f>
        <v>0</v>
      </c>
      <c r="AD14" s="168">
        <f>IF($C14-AD$1&lt;År1,0,AC13*(1-VLOOKUP($A14,[1]Hugst!$R$5:$W$9,MATCH(ROUNDUP((AD$1)/10,0)*10,[1]Hugst!$R$4:$W$4,0))))</f>
        <v>0</v>
      </c>
      <c r="AE14" s="168">
        <f>IF($C14-AE$1&lt;År1,0,AD13*(1-VLOOKUP($A14,[1]Hugst!$R$5:$W$9,MATCH(ROUNDUP((AE$1)/10,0)*10,[1]Hugst!$R$4:$W$4,0))))</f>
        <v>0</v>
      </c>
      <c r="AF14" s="168">
        <f>IF($C14-AF$1&lt;År1,0,AE13*(1-VLOOKUP($A14,[1]Hugst!$R$5:$W$9,MATCH(ROUNDUP((AF$1)/10,0)*10,[1]Hugst!$R$4:$W$4,0))))</f>
        <v>0</v>
      </c>
      <c r="AG14" s="168">
        <f>IF($C14-AG$1&lt;År1,0,AF13*(1-VLOOKUP($A14,[1]Hugst!$R$5:$W$9,MATCH(ROUNDUP((AG$1)/10,0)*10,[1]Hugst!$R$4:$W$4,0))))</f>
        <v>0</v>
      </c>
      <c r="AH14" s="168">
        <f>IF($C14-AH$1&lt;År1,0,AG13*(1-VLOOKUP($A14,[1]Hugst!$R$5:$W$9,MATCH(ROUNDUP((AH$1)/10,0)*10,[1]Hugst!$R$4:$W$4,0))))</f>
        <v>0</v>
      </c>
      <c r="AI14" s="168">
        <f>IF($C14-AI$1&lt;År1,0,AH13*(1-VLOOKUP($A14,[1]Hugst!$R$5:$W$9,MATCH(ROUNDUP((AI$1)/10,0)*10,[1]Hugst!$R$4:$W$4,0))))</f>
        <v>0</v>
      </c>
      <c r="AJ14" s="168">
        <f>IF($C14-AJ$1&lt;År1,0,AI13*(1-VLOOKUP($A14,[1]Hugst!$R$5:$W$9,MATCH(ROUNDUP((AJ$1)/10,0)*10,[1]Hugst!$R$4:$W$4,0))))</f>
        <v>0</v>
      </c>
    </row>
    <row r="15" spans="1:38" s="168" customFormat="1" x14ac:dyDescent="0.25">
      <c r="A15" s="168" t="s">
        <v>176</v>
      </c>
      <c r="B15" s="168" t="s">
        <v>23</v>
      </c>
      <c r="C15" s="168">
        <v>2033</v>
      </c>
      <c r="D15" s="168" cm="1">
        <f t="array" ref="D15">(IF(B15="Vestdanmark",Skovbrug!$C$22-(Skovbrug!$C$22)*(1-Skovbrug!$C$9)^(C15-Skovbrug!$B$12),Skovbrug!$F$22-(Skovbrug!$F$22)*(1-Skovbrug!$C$9)^(C15-Skovbrug!$B$12))*VLOOKUP(A15,Skovbrug!$A$13:$D$17,IF('Skovbrug-alder'!C15&lt;=År2,3,4),FALSE)-IF(C15&gt;2020,SUM(INDEX($C$1:$D$311,MATCH(1,(2020=$C$1:$C$311)*(B15=$B$1:$B$311)*(A15=$A$1:$A$311),0),2):D14),0))</f>
        <v>2038.0917132968316</v>
      </c>
      <c r="E15" s="168">
        <f t="shared" ca="1" si="0"/>
        <v>0</v>
      </c>
      <c r="F15" s="168">
        <f ca="1">IF(C15&lt;=År2,IF(B15="Vestdanmark",(Arealanvendelse!$M$27-Arealanvendelse!$J$27),(Arealanvendelse!$M$37-Arealanvendelse!$J$37))/(Arealanvendelse!$M$3-Arealanvendelse!$J$3),IF(B15="Vestdanmark",(Arealanvendelse!$P$27-Arealanvendelse!$M$27),(Arealanvendelse!$P$37-Arealanvendelse!$M$37))/(Arealanvendelse!$P$3-Arealanvendelse!$M$3))*VLOOKUP(A15,Skovbrug!$A$13:$D$17,IF('Skovbrug-alder'!C15&lt;=År2,3,4),FALSE)+D15+E15</f>
        <v>3687.573194778312</v>
      </c>
      <c r="G15" s="168">
        <f ca="1">IF($C15-G$1&lt;År1,0,F14*(1-VLOOKUP($A15,[1]Hugst!$R$5:$W$9,MATCH(ROUNDUP((G$1)/10,0)*10,[1]Hugst!$R$4:$W$4,0))))</f>
        <v>3697.8148616793537</v>
      </c>
      <c r="H15" s="168">
        <f ca="1">IF($C15-H$1&lt;År1,0,G14*(1-VLOOKUP($A15,[1]Hugst!$R$5:$W$9,MATCH(ROUNDUP((H$1)/10,0)*10,[1]Hugst!$R$4:$W$4,0))))</f>
        <v>3708.1079942430574</v>
      </c>
      <c r="I15" s="168">
        <f ca="1">IF($C15-I$1&lt;År1,0,H14*(1-VLOOKUP($A15,[1]Hugst!$R$5:$W$9,MATCH(ROUNDUP((I$1)/10,0)*10,[1]Hugst!$R$4:$W$4,0))))</f>
        <v>3718.4528510912414</v>
      </c>
      <c r="J15" s="168">
        <f ca="1">IF($C15-J$1&lt;År1,0,I14*(1-VLOOKUP($A15,[1]Hugst!$R$5:$W$9,MATCH(ROUNDUP((J$1)/10,0)*10,[1]Hugst!$R$4:$W$4,0))))</f>
        <v>3728.8496921444521</v>
      </c>
      <c r="K15" s="168">
        <f ca="1">IF($C15-K$1&lt;År1,0,J14*(1-VLOOKUP($A15,[1]Hugst!$R$5:$W$9,MATCH(ROUNDUP((K$1)/10,0)*10,[1]Hugst!$R$4:$W$4,0))))</f>
        <v>3739.2987786302901</v>
      </c>
      <c r="L15" s="168">
        <f ca="1">IF($C15-L$1&lt;År1,0,K14*(1-VLOOKUP($A15,[1]Hugst!$R$5:$W$9,MATCH(ROUNDUP((L$1)/10,0)*10,[1]Hugst!$R$4:$W$4,0))))</f>
        <v>3749.8003730882983</v>
      </c>
      <c r="M15" s="168">
        <f ca="1">IF($C15-M$1&lt;År1,0,L14*(1-VLOOKUP($A15,[1]Hugst!$R$5:$W$9,MATCH(ROUNDUP((M$1)/10,0)*10,[1]Hugst!$R$4:$W$4,0))))</f>
        <v>3760.3547393777617</v>
      </c>
      <c r="N15" s="168">
        <f ca="1">IF($C15-N$1&lt;År1,0,M14*(1-VLOOKUP($A15,[1]Hugst!$R$5:$W$9,MATCH(ROUNDUP((N$1)/10,0)*10,[1]Hugst!$R$4:$W$4,0))))</f>
        <v>3770.9621426837612</v>
      </c>
      <c r="O15" s="168">
        <f ca="1">IF($C15-O$1&lt;År1,0,N14*(1-VLOOKUP($A15,[1]Hugst!$R$5:$W$9,MATCH(ROUNDUP((O$1)/10,0)*10,[1]Hugst!$R$4:$W$4,0))))</f>
        <v>3781.6228495239839</v>
      </c>
      <c r="P15" s="168">
        <f ca="1">IF($C15-P$1&lt;År1,0,O14*(1-VLOOKUP($A15,[1]Hugst!$R$5:$W$9,MATCH(ROUNDUP((P$1)/10,0)*10,[1]Hugst!$R$4:$W$4,0))))</f>
        <v>3792.3371277553588</v>
      </c>
      <c r="Q15" s="168">
        <f ca="1">IF($C15-Q$1&lt;År1,0,P14*(1-VLOOKUP($A15,[1]Hugst!$R$5:$W$9,MATCH(ROUNDUP((Q$1)/10,0)*10,[1]Hugst!$R$4:$W$4,0))))</f>
        <v>3803.1052465808671</v>
      </c>
      <c r="R15" s="168">
        <f ca="1">IF($C15-R$1&lt;År1,0,Q14*(1-VLOOKUP($A15,[1]Hugst!$R$5:$W$9,MATCH(ROUNDUP((R$1)/10,0)*10,[1]Hugst!$R$4:$W$4,0))))</f>
        <v>3813.9274765561777</v>
      </c>
      <c r="S15" s="168">
        <f ca="1">IF($C15-S$1&lt;År1,0,R14*(1-VLOOKUP($A15,[1]Hugst!$R$5:$W$9,MATCH(ROUNDUP((S$1)/10,0)*10,[1]Hugst!$R$4:$W$4,0))))</f>
        <v>3824.804089596807</v>
      </c>
      <c r="T15" s="168">
        <f>IF($C15-T$1&lt;År1,0,S14*(1-VLOOKUP($A15,[1]Hugst!$R$5:$W$9,MATCH(ROUNDUP((T$1)/10,0)*10,[1]Hugst!$R$4:$W$4,0))))</f>
        <v>0</v>
      </c>
      <c r="U15" s="168">
        <f>IF($C15-U$1&lt;År1,0,T14*(1-VLOOKUP($A15,[1]Hugst!$R$5:$W$9,MATCH(ROUNDUP((U$1)/10,0)*10,[1]Hugst!$R$4:$W$4,0))))</f>
        <v>0</v>
      </c>
      <c r="V15" s="168">
        <f>IF($C15-V$1&lt;År1,0,U14*(1-VLOOKUP($A15,[1]Hugst!$R$5:$W$9,MATCH(ROUNDUP((V$1)/10,0)*10,[1]Hugst!$R$4:$W$4,0))))</f>
        <v>0</v>
      </c>
      <c r="W15" s="168">
        <f>IF($C15-W$1&lt;År1,0,V14*(1-VLOOKUP($A15,[1]Hugst!$R$5:$W$9,MATCH(ROUNDUP((W$1)/10,0)*10,[1]Hugst!$R$4:$W$4,0))))</f>
        <v>0</v>
      </c>
      <c r="X15" s="168">
        <f>IF($C15-X$1&lt;År1,0,W14*(1-VLOOKUP($A15,[1]Hugst!$R$5:$W$9,MATCH(ROUNDUP((X$1)/10,0)*10,[1]Hugst!$R$4:$W$4,0))))</f>
        <v>0</v>
      </c>
      <c r="Y15" s="168">
        <f>IF($C15-Y$1&lt;År1,0,X14*(1-VLOOKUP($A15,[1]Hugst!$R$5:$W$9,MATCH(ROUNDUP((Y$1)/10,0)*10,[1]Hugst!$R$4:$W$4,0))))</f>
        <v>0</v>
      </c>
      <c r="Z15" s="168">
        <f>IF($C15-Z$1&lt;År1,0,Y14*(1-VLOOKUP($A15,[1]Hugst!$R$5:$W$9,MATCH(ROUNDUP((Z$1)/10,0)*10,[1]Hugst!$R$4:$W$4,0))))</f>
        <v>0</v>
      </c>
      <c r="AA15" s="168">
        <f>IF($C15-AA$1&lt;År1,0,Z14*(1-VLOOKUP($A15,[1]Hugst!$R$5:$W$9,MATCH(ROUNDUP((AA$1)/10,0)*10,[1]Hugst!$R$4:$W$4,0))))</f>
        <v>0</v>
      </c>
      <c r="AB15" s="168">
        <f>IF($C15-AB$1&lt;År1,0,AA14*(1-VLOOKUP($A15,[1]Hugst!$R$5:$W$9,MATCH(ROUNDUP((AB$1)/10,0)*10,[1]Hugst!$R$4:$W$4,0))))</f>
        <v>0</v>
      </c>
      <c r="AC15" s="168">
        <f>IF($C15-AC$1&lt;År1,0,AB14*(1-VLOOKUP($A15,[1]Hugst!$R$5:$W$9,MATCH(ROUNDUP((AC$1)/10,0)*10,[1]Hugst!$R$4:$W$4,0))))</f>
        <v>0</v>
      </c>
      <c r="AD15" s="168">
        <f>IF($C15-AD$1&lt;År1,0,AC14*(1-VLOOKUP($A15,[1]Hugst!$R$5:$W$9,MATCH(ROUNDUP((AD$1)/10,0)*10,[1]Hugst!$R$4:$W$4,0))))</f>
        <v>0</v>
      </c>
      <c r="AE15" s="168">
        <f>IF($C15-AE$1&lt;År1,0,AD14*(1-VLOOKUP($A15,[1]Hugst!$R$5:$W$9,MATCH(ROUNDUP((AE$1)/10,0)*10,[1]Hugst!$R$4:$W$4,0))))</f>
        <v>0</v>
      </c>
      <c r="AF15" s="168">
        <f>IF($C15-AF$1&lt;År1,0,AE14*(1-VLOOKUP($A15,[1]Hugst!$R$5:$W$9,MATCH(ROUNDUP((AF$1)/10,0)*10,[1]Hugst!$R$4:$W$4,0))))</f>
        <v>0</v>
      </c>
      <c r="AG15" s="168">
        <f>IF($C15-AG$1&lt;År1,0,AF14*(1-VLOOKUP($A15,[1]Hugst!$R$5:$W$9,MATCH(ROUNDUP((AG$1)/10,0)*10,[1]Hugst!$R$4:$W$4,0))))</f>
        <v>0</v>
      </c>
      <c r="AH15" s="168">
        <f>IF($C15-AH$1&lt;År1,0,AG14*(1-VLOOKUP($A15,[1]Hugst!$R$5:$W$9,MATCH(ROUNDUP((AH$1)/10,0)*10,[1]Hugst!$R$4:$W$4,0))))</f>
        <v>0</v>
      </c>
      <c r="AI15" s="168">
        <f>IF($C15-AI$1&lt;År1,0,AH14*(1-VLOOKUP($A15,[1]Hugst!$R$5:$W$9,MATCH(ROUNDUP((AI$1)/10,0)*10,[1]Hugst!$R$4:$W$4,0))))</f>
        <v>0</v>
      </c>
      <c r="AJ15" s="168">
        <f>IF($C15-AJ$1&lt;År1,0,AI14*(1-VLOOKUP($A15,[1]Hugst!$R$5:$W$9,MATCH(ROUNDUP((AJ$1)/10,0)*10,[1]Hugst!$R$4:$W$4,0))))</f>
        <v>0</v>
      </c>
    </row>
    <row r="16" spans="1:38" s="168" customFormat="1" x14ac:dyDescent="0.25">
      <c r="A16" s="168" t="s">
        <v>176</v>
      </c>
      <c r="B16" s="168" t="s">
        <v>23</v>
      </c>
      <c r="C16" s="168">
        <v>2034</v>
      </c>
      <c r="D16" s="168" cm="1">
        <f t="array" ref="D16">(IF(B16="Vestdanmark",Skovbrug!$C$22-(Skovbrug!$C$22)*(1-Skovbrug!$C$9)^(C16-Skovbrug!$B$12),Skovbrug!$F$22-(Skovbrug!$F$22)*(1-Skovbrug!$C$9)^(C16-Skovbrug!$B$12))*VLOOKUP(A16,Skovbrug!$A$13:$D$17,IF('Skovbrug-alder'!C16&lt;=År2,3,4),FALSE)-IF(C16&gt;2020,SUM(INDEX($C$1:$D$311,MATCH(1,(2020=$C$1:$C$311)*(B16=$B$1:$B$311)*(A16=$A$1:$A$311),0),2):D15),0))</f>
        <v>2027.9012547303573</v>
      </c>
      <c r="E16" s="168">
        <f t="shared" ca="1" si="0"/>
        <v>0</v>
      </c>
      <c r="F16" s="168">
        <f ca="1">IF(C16&lt;=År2,IF(B16="Vestdanmark",(Arealanvendelse!$M$27-Arealanvendelse!$J$27),(Arealanvendelse!$M$37-Arealanvendelse!$J$37))/(Arealanvendelse!$M$3-Arealanvendelse!$J$3),IF(B16="Vestdanmark",(Arealanvendelse!$P$27-Arealanvendelse!$M$27),(Arealanvendelse!$P$37-Arealanvendelse!$M$37))/(Arealanvendelse!$P$3-Arealanvendelse!$M$3))*VLOOKUP(A16,Skovbrug!$A$13:$D$17,IF('Skovbrug-alder'!C16&lt;=År2,3,4),FALSE)+D16+E16</f>
        <v>3677.3827362118377</v>
      </c>
      <c r="G16" s="168">
        <f ca="1">IF($C16-G$1&lt;År1,0,F15*(1-VLOOKUP($A16,[1]Hugst!$R$5:$W$9,MATCH(ROUNDUP((G$1)/10,0)*10,[1]Hugst!$R$4:$W$4,0))))</f>
        <v>3687.573194778312</v>
      </c>
      <c r="H16" s="168">
        <f ca="1">IF($C16-H$1&lt;År1,0,G15*(1-VLOOKUP($A16,[1]Hugst!$R$5:$W$9,MATCH(ROUNDUP((H$1)/10,0)*10,[1]Hugst!$R$4:$W$4,0))))</f>
        <v>3697.8148616793537</v>
      </c>
      <c r="I16" s="168">
        <f ca="1">IF($C16-I$1&lt;År1,0,H15*(1-VLOOKUP($A16,[1]Hugst!$R$5:$W$9,MATCH(ROUNDUP((I$1)/10,0)*10,[1]Hugst!$R$4:$W$4,0))))</f>
        <v>3708.1079942430574</v>
      </c>
      <c r="J16" s="168">
        <f ca="1">IF($C16-J$1&lt;År1,0,I15*(1-VLOOKUP($A16,[1]Hugst!$R$5:$W$9,MATCH(ROUNDUP((J$1)/10,0)*10,[1]Hugst!$R$4:$W$4,0))))</f>
        <v>3718.4528510912414</v>
      </c>
      <c r="K16" s="168">
        <f ca="1">IF($C16-K$1&lt;År1,0,J15*(1-VLOOKUP($A16,[1]Hugst!$R$5:$W$9,MATCH(ROUNDUP((K$1)/10,0)*10,[1]Hugst!$R$4:$W$4,0))))</f>
        <v>3728.8496921444521</v>
      </c>
      <c r="L16" s="168">
        <f ca="1">IF($C16-L$1&lt;År1,0,K15*(1-VLOOKUP($A16,[1]Hugst!$R$5:$W$9,MATCH(ROUNDUP((L$1)/10,0)*10,[1]Hugst!$R$4:$W$4,0))))</f>
        <v>3739.2987786302901</v>
      </c>
      <c r="M16" s="168">
        <f ca="1">IF($C16-M$1&lt;År1,0,L15*(1-VLOOKUP($A16,[1]Hugst!$R$5:$W$9,MATCH(ROUNDUP((M$1)/10,0)*10,[1]Hugst!$R$4:$W$4,0))))</f>
        <v>3749.8003730882983</v>
      </c>
      <c r="N16" s="168">
        <f ca="1">IF($C16-N$1&lt;År1,0,M15*(1-VLOOKUP($A16,[1]Hugst!$R$5:$W$9,MATCH(ROUNDUP((N$1)/10,0)*10,[1]Hugst!$R$4:$W$4,0))))</f>
        <v>3760.3547393777617</v>
      </c>
      <c r="O16" s="168">
        <f ca="1">IF($C16-O$1&lt;År1,0,N15*(1-VLOOKUP($A16,[1]Hugst!$R$5:$W$9,MATCH(ROUNDUP((O$1)/10,0)*10,[1]Hugst!$R$4:$W$4,0))))</f>
        <v>3770.9621426837612</v>
      </c>
      <c r="P16" s="168">
        <f ca="1">IF($C16-P$1&lt;År1,0,O15*(1-VLOOKUP($A16,[1]Hugst!$R$5:$W$9,MATCH(ROUNDUP((P$1)/10,0)*10,[1]Hugst!$R$4:$W$4,0))))</f>
        <v>3781.6228495239839</v>
      </c>
      <c r="Q16" s="168">
        <f ca="1">IF($C16-Q$1&lt;År1,0,P15*(1-VLOOKUP($A16,[1]Hugst!$R$5:$W$9,MATCH(ROUNDUP((Q$1)/10,0)*10,[1]Hugst!$R$4:$W$4,0))))</f>
        <v>3792.3371277553588</v>
      </c>
      <c r="R16" s="168">
        <f ca="1">IF($C16-R$1&lt;År1,0,Q15*(1-VLOOKUP($A16,[1]Hugst!$R$5:$W$9,MATCH(ROUNDUP((R$1)/10,0)*10,[1]Hugst!$R$4:$W$4,0))))</f>
        <v>3803.1052465808671</v>
      </c>
      <c r="S16" s="168">
        <f ca="1">IF($C16-S$1&lt;År1,0,R15*(1-VLOOKUP($A16,[1]Hugst!$R$5:$W$9,MATCH(ROUNDUP((S$1)/10,0)*10,[1]Hugst!$R$4:$W$4,0))))</f>
        <v>3813.9274765561777</v>
      </c>
      <c r="T16" s="168">
        <f ca="1">IF($C16-T$1&lt;År1,0,S15*(1-VLOOKUP($A16,[1]Hugst!$R$5:$W$9,MATCH(ROUNDUP((T$1)/10,0)*10,[1]Hugst!$R$4:$W$4,0))))</f>
        <v>3824.804089596807</v>
      </c>
      <c r="U16" s="168">
        <f>IF($C16-U$1&lt;År1,0,T15*(1-VLOOKUP($A16,[1]Hugst!$R$5:$W$9,MATCH(ROUNDUP((U$1)/10,0)*10,[1]Hugst!$R$4:$W$4,0))))</f>
        <v>0</v>
      </c>
      <c r="V16" s="168">
        <f>IF($C16-V$1&lt;År1,0,U15*(1-VLOOKUP($A16,[1]Hugst!$R$5:$W$9,MATCH(ROUNDUP((V$1)/10,0)*10,[1]Hugst!$R$4:$W$4,0))))</f>
        <v>0</v>
      </c>
      <c r="W16" s="168">
        <f>IF($C16-W$1&lt;År1,0,V15*(1-VLOOKUP($A16,[1]Hugst!$R$5:$W$9,MATCH(ROUNDUP((W$1)/10,0)*10,[1]Hugst!$R$4:$W$4,0))))</f>
        <v>0</v>
      </c>
      <c r="X16" s="168">
        <f>IF($C16-X$1&lt;År1,0,W15*(1-VLOOKUP($A16,[1]Hugst!$R$5:$W$9,MATCH(ROUNDUP((X$1)/10,0)*10,[1]Hugst!$R$4:$W$4,0))))</f>
        <v>0</v>
      </c>
      <c r="Y16" s="168">
        <f>IF($C16-Y$1&lt;År1,0,X15*(1-VLOOKUP($A16,[1]Hugst!$R$5:$W$9,MATCH(ROUNDUP((Y$1)/10,0)*10,[1]Hugst!$R$4:$W$4,0))))</f>
        <v>0</v>
      </c>
      <c r="Z16" s="168">
        <f>IF($C16-Z$1&lt;År1,0,Y15*(1-VLOOKUP($A16,[1]Hugst!$R$5:$W$9,MATCH(ROUNDUP((Z$1)/10,0)*10,[1]Hugst!$R$4:$W$4,0))))</f>
        <v>0</v>
      </c>
      <c r="AA16" s="168">
        <f>IF($C16-AA$1&lt;År1,0,Z15*(1-VLOOKUP($A16,[1]Hugst!$R$5:$W$9,MATCH(ROUNDUP((AA$1)/10,0)*10,[1]Hugst!$R$4:$W$4,0))))</f>
        <v>0</v>
      </c>
      <c r="AB16" s="168">
        <f>IF($C16-AB$1&lt;År1,0,AA15*(1-VLOOKUP($A16,[1]Hugst!$R$5:$W$9,MATCH(ROUNDUP((AB$1)/10,0)*10,[1]Hugst!$R$4:$W$4,0))))</f>
        <v>0</v>
      </c>
      <c r="AC16" s="168">
        <f>IF($C16-AC$1&lt;År1,0,AB15*(1-VLOOKUP($A16,[1]Hugst!$R$5:$W$9,MATCH(ROUNDUP((AC$1)/10,0)*10,[1]Hugst!$R$4:$W$4,0))))</f>
        <v>0</v>
      </c>
      <c r="AD16" s="168">
        <f>IF($C16-AD$1&lt;År1,0,AC15*(1-VLOOKUP($A16,[1]Hugst!$R$5:$W$9,MATCH(ROUNDUP((AD$1)/10,0)*10,[1]Hugst!$R$4:$W$4,0))))</f>
        <v>0</v>
      </c>
      <c r="AE16" s="168">
        <f>IF($C16-AE$1&lt;År1,0,AD15*(1-VLOOKUP($A16,[1]Hugst!$R$5:$W$9,MATCH(ROUNDUP((AE$1)/10,0)*10,[1]Hugst!$R$4:$W$4,0))))</f>
        <v>0</v>
      </c>
      <c r="AF16" s="168">
        <f>IF($C16-AF$1&lt;År1,0,AE15*(1-VLOOKUP($A16,[1]Hugst!$R$5:$W$9,MATCH(ROUNDUP((AF$1)/10,0)*10,[1]Hugst!$R$4:$W$4,0))))</f>
        <v>0</v>
      </c>
      <c r="AG16" s="168">
        <f>IF($C16-AG$1&lt;År1,0,AF15*(1-VLOOKUP($A16,[1]Hugst!$R$5:$W$9,MATCH(ROUNDUP((AG$1)/10,0)*10,[1]Hugst!$R$4:$W$4,0))))</f>
        <v>0</v>
      </c>
      <c r="AH16" s="168">
        <f>IF($C16-AH$1&lt;År1,0,AG15*(1-VLOOKUP($A16,[1]Hugst!$R$5:$W$9,MATCH(ROUNDUP((AH$1)/10,0)*10,[1]Hugst!$R$4:$W$4,0))))</f>
        <v>0</v>
      </c>
      <c r="AI16" s="168">
        <f>IF($C16-AI$1&lt;År1,0,AH15*(1-VLOOKUP($A16,[1]Hugst!$R$5:$W$9,MATCH(ROUNDUP((AI$1)/10,0)*10,[1]Hugst!$R$4:$W$4,0))))</f>
        <v>0</v>
      </c>
      <c r="AJ16" s="168">
        <f>IF($C16-AJ$1&lt;År1,0,AI15*(1-VLOOKUP($A16,[1]Hugst!$R$5:$W$9,MATCH(ROUNDUP((AJ$1)/10,0)*10,[1]Hugst!$R$4:$W$4,0))))</f>
        <v>0</v>
      </c>
    </row>
    <row r="17" spans="1:38" s="168" customFormat="1" x14ac:dyDescent="0.25">
      <c r="A17" s="168" t="s">
        <v>176</v>
      </c>
      <c r="B17" s="168" t="s">
        <v>23</v>
      </c>
      <c r="C17" s="168">
        <v>2035</v>
      </c>
      <c r="D17" s="168" cm="1">
        <f t="array" ref="D17">(IF(B17="Vestdanmark",Skovbrug!$C$22-(Skovbrug!$C$22)*(1-Skovbrug!$C$9)^(C17-Skovbrug!$B$12),Skovbrug!$F$22-(Skovbrug!$F$22)*(1-Skovbrug!$C$9)^(C17-Skovbrug!$B$12))*VLOOKUP(A17,Skovbrug!$A$13:$D$17,IF('Skovbrug-alder'!C17&lt;=År2,3,4),FALSE)-IF(C17&gt;2020,SUM(INDEX($C$1:$D$311,MATCH(1,(2020=$C$1:$C$311)*(B17=$B$1:$B$311)*(A17=$A$1:$A$311),0),2):D16),0))</f>
        <v>2017.7617484567454</v>
      </c>
      <c r="E17" s="168">
        <f t="shared" ca="1" si="0"/>
        <v>0</v>
      </c>
      <c r="F17" s="168">
        <f ca="1">IF(C17&lt;=År2,IF(B17="Vestdanmark",(Arealanvendelse!$M$27-Arealanvendelse!$J$27),(Arealanvendelse!$M$37-Arealanvendelse!$J$37))/(Arealanvendelse!$M$3-Arealanvendelse!$J$3),IF(B17="Vestdanmark",(Arealanvendelse!$P$27-Arealanvendelse!$M$27),(Arealanvendelse!$P$37-Arealanvendelse!$M$37))/(Arealanvendelse!$P$3-Arealanvendelse!$M$3))*VLOOKUP(A17,Skovbrug!$A$13:$D$17,IF('Skovbrug-alder'!C17&lt;=År2,3,4),FALSE)+D17+E17</f>
        <v>3667.2432299382258</v>
      </c>
      <c r="G17" s="168">
        <f ca="1">IF($C17-G$1&lt;År1,0,F16*(1-VLOOKUP($A17,[1]Hugst!$R$5:$W$9,MATCH(ROUNDUP((G$1)/10,0)*10,[1]Hugst!$R$4:$W$4,0))))</f>
        <v>3677.3827362118377</v>
      </c>
      <c r="H17" s="168">
        <f ca="1">IF($C17-H$1&lt;År1,0,G16*(1-VLOOKUP($A17,[1]Hugst!$R$5:$W$9,MATCH(ROUNDUP((H$1)/10,0)*10,[1]Hugst!$R$4:$W$4,0))))</f>
        <v>3687.573194778312</v>
      </c>
      <c r="I17" s="168">
        <f ca="1">IF($C17-I$1&lt;År1,0,H16*(1-VLOOKUP($A17,[1]Hugst!$R$5:$W$9,MATCH(ROUNDUP((I$1)/10,0)*10,[1]Hugst!$R$4:$W$4,0))))</f>
        <v>3697.8148616793537</v>
      </c>
      <c r="J17" s="168">
        <f ca="1">IF($C17-J$1&lt;År1,0,I16*(1-VLOOKUP($A17,[1]Hugst!$R$5:$W$9,MATCH(ROUNDUP((J$1)/10,0)*10,[1]Hugst!$R$4:$W$4,0))))</f>
        <v>3708.1079942430574</v>
      </c>
      <c r="K17" s="168">
        <f ca="1">IF($C17-K$1&lt;År1,0,J16*(1-VLOOKUP($A17,[1]Hugst!$R$5:$W$9,MATCH(ROUNDUP((K$1)/10,0)*10,[1]Hugst!$R$4:$W$4,0))))</f>
        <v>3718.4528510912414</v>
      </c>
      <c r="L17" s="168">
        <f ca="1">IF($C17-L$1&lt;År1,0,K16*(1-VLOOKUP($A17,[1]Hugst!$R$5:$W$9,MATCH(ROUNDUP((L$1)/10,0)*10,[1]Hugst!$R$4:$W$4,0))))</f>
        <v>3728.8496921444521</v>
      </c>
      <c r="M17" s="168">
        <f ca="1">IF($C17-M$1&lt;År1,0,L16*(1-VLOOKUP($A17,[1]Hugst!$R$5:$W$9,MATCH(ROUNDUP((M$1)/10,0)*10,[1]Hugst!$R$4:$W$4,0))))</f>
        <v>3739.2987786302901</v>
      </c>
      <c r="N17" s="168">
        <f ca="1">IF($C17-N$1&lt;År1,0,M16*(1-VLOOKUP($A17,[1]Hugst!$R$5:$W$9,MATCH(ROUNDUP((N$1)/10,0)*10,[1]Hugst!$R$4:$W$4,0))))</f>
        <v>3749.8003730882983</v>
      </c>
      <c r="O17" s="168">
        <f ca="1">IF($C17-O$1&lt;År1,0,N16*(1-VLOOKUP($A17,[1]Hugst!$R$5:$W$9,MATCH(ROUNDUP((O$1)/10,0)*10,[1]Hugst!$R$4:$W$4,0))))</f>
        <v>3760.3547393777617</v>
      </c>
      <c r="P17" s="168">
        <f ca="1">IF($C17-P$1&lt;År1,0,O16*(1-VLOOKUP($A17,[1]Hugst!$R$5:$W$9,MATCH(ROUNDUP((P$1)/10,0)*10,[1]Hugst!$R$4:$W$4,0))))</f>
        <v>3770.9621426837612</v>
      </c>
      <c r="Q17" s="168">
        <f ca="1">IF($C17-Q$1&lt;År1,0,P16*(1-VLOOKUP($A17,[1]Hugst!$R$5:$W$9,MATCH(ROUNDUP((Q$1)/10,0)*10,[1]Hugst!$R$4:$W$4,0))))</f>
        <v>3781.6228495239839</v>
      </c>
      <c r="R17" s="168">
        <f ca="1">IF($C17-R$1&lt;År1,0,Q16*(1-VLOOKUP($A17,[1]Hugst!$R$5:$W$9,MATCH(ROUNDUP((R$1)/10,0)*10,[1]Hugst!$R$4:$W$4,0))))</f>
        <v>3792.3371277553588</v>
      </c>
      <c r="S17" s="168">
        <f ca="1">IF($C17-S$1&lt;År1,0,R16*(1-VLOOKUP($A17,[1]Hugst!$R$5:$W$9,MATCH(ROUNDUP((S$1)/10,0)*10,[1]Hugst!$R$4:$W$4,0))))</f>
        <v>3803.1052465808671</v>
      </c>
      <c r="T17" s="168">
        <f ca="1">IF($C17-T$1&lt;År1,0,S16*(1-VLOOKUP($A17,[1]Hugst!$R$5:$W$9,MATCH(ROUNDUP((T$1)/10,0)*10,[1]Hugst!$R$4:$W$4,0))))</f>
        <v>3813.9274765561777</v>
      </c>
      <c r="U17" s="168">
        <f ca="1">IF($C17-U$1&lt;År1,0,T16*(1-VLOOKUP($A17,[1]Hugst!$R$5:$W$9,MATCH(ROUNDUP((U$1)/10,0)*10,[1]Hugst!$R$4:$W$4,0))))</f>
        <v>3824.804089596807</v>
      </c>
      <c r="V17" s="168">
        <f>IF($C17-V$1&lt;År1,0,U16*(1-VLOOKUP($A17,[1]Hugst!$R$5:$W$9,MATCH(ROUNDUP((V$1)/10,0)*10,[1]Hugst!$R$4:$W$4,0))))</f>
        <v>0</v>
      </c>
      <c r="W17" s="168">
        <f>IF($C17-W$1&lt;År1,0,V16*(1-VLOOKUP($A17,[1]Hugst!$R$5:$W$9,MATCH(ROUNDUP((W$1)/10,0)*10,[1]Hugst!$R$4:$W$4,0))))</f>
        <v>0</v>
      </c>
      <c r="X17" s="168">
        <f>IF($C17-X$1&lt;År1,0,W16*(1-VLOOKUP($A17,[1]Hugst!$R$5:$W$9,MATCH(ROUNDUP((X$1)/10,0)*10,[1]Hugst!$R$4:$W$4,0))))</f>
        <v>0</v>
      </c>
      <c r="Y17" s="168">
        <f>IF($C17-Y$1&lt;År1,0,X16*(1-VLOOKUP($A17,[1]Hugst!$R$5:$W$9,MATCH(ROUNDUP((Y$1)/10,0)*10,[1]Hugst!$R$4:$W$4,0))))</f>
        <v>0</v>
      </c>
      <c r="Z17" s="168">
        <f>IF($C17-Z$1&lt;År1,0,Y16*(1-VLOOKUP($A17,[1]Hugst!$R$5:$W$9,MATCH(ROUNDUP((Z$1)/10,0)*10,[1]Hugst!$R$4:$W$4,0))))</f>
        <v>0</v>
      </c>
      <c r="AA17" s="168">
        <f>IF($C17-AA$1&lt;År1,0,Z16*(1-VLOOKUP($A17,[1]Hugst!$R$5:$W$9,MATCH(ROUNDUP((AA$1)/10,0)*10,[1]Hugst!$R$4:$W$4,0))))</f>
        <v>0</v>
      </c>
      <c r="AB17" s="168">
        <f>IF($C17-AB$1&lt;År1,0,AA16*(1-VLOOKUP($A17,[1]Hugst!$R$5:$W$9,MATCH(ROUNDUP((AB$1)/10,0)*10,[1]Hugst!$R$4:$W$4,0))))</f>
        <v>0</v>
      </c>
      <c r="AC17" s="168">
        <f>IF($C17-AC$1&lt;År1,0,AB16*(1-VLOOKUP($A17,[1]Hugst!$R$5:$W$9,MATCH(ROUNDUP((AC$1)/10,0)*10,[1]Hugst!$R$4:$W$4,0))))</f>
        <v>0</v>
      </c>
      <c r="AD17" s="168">
        <f>IF($C17-AD$1&lt;År1,0,AC16*(1-VLOOKUP($A17,[1]Hugst!$R$5:$W$9,MATCH(ROUNDUP((AD$1)/10,0)*10,[1]Hugst!$R$4:$W$4,0))))</f>
        <v>0</v>
      </c>
      <c r="AE17" s="168">
        <f>IF($C17-AE$1&lt;År1,0,AD16*(1-VLOOKUP($A17,[1]Hugst!$R$5:$W$9,MATCH(ROUNDUP((AE$1)/10,0)*10,[1]Hugst!$R$4:$W$4,0))))</f>
        <v>0</v>
      </c>
      <c r="AF17" s="168">
        <f>IF($C17-AF$1&lt;År1,0,AE16*(1-VLOOKUP($A17,[1]Hugst!$R$5:$W$9,MATCH(ROUNDUP((AF$1)/10,0)*10,[1]Hugst!$R$4:$W$4,0))))</f>
        <v>0</v>
      </c>
      <c r="AG17" s="168">
        <f>IF($C17-AG$1&lt;År1,0,AF16*(1-VLOOKUP($A17,[1]Hugst!$R$5:$W$9,MATCH(ROUNDUP((AG$1)/10,0)*10,[1]Hugst!$R$4:$W$4,0))))</f>
        <v>0</v>
      </c>
      <c r="AH17" s="168">
        <f>IF($C17-AH$1&lt;År1,0,AG16*(1-VLOOKUP($A17,[1]Hugst!$R$5:$W$9,MATCH(ROUNDUP((AH$1)/10,0)*10,[1]Hugst!$R$4:$W$4,0))))</f>
        <v>0</v>
      </c>
      <c r="AI17" s="168">
        <f>IF($C17-AI$1&lt;År1,0,AH16*(1-VLOOKUP($A17,[1]Hugst!$R$5:$W$9,MATCH(ROUNDUP((AI$1)/10,0)*10,[1]Hugst!$R$4:$W$4,0))))</f>
        <v>0</v>
      </c>
      <c r="AJ17" s="168">
        <f>IF($C17-AJ$1&lt;År1,0,AI16*(1-VLOOKUP($A17,[1]Hugst!$R$5:$W$9,MATCH(ROUNDUP((AJ$1)/10,0)*10,[1]Hugst!$R$4:$W$4,0))))</f>
        <v>0</v>
      </c>
    </row>
    <row r="18" spans="1:38" s="168" customFormat="1" x14ac:dyDescent="0.25">
      <c r="A18" s="168" t="s">
        <v>176</v>
      </c>
      <c r="B18" s="168" t="s">
        <v>23</v>
      </c>
      <c r="C18" s="168">
        <v>2036</v>
      </c>
      <c r="D18" s="168" cm="1">
        <f t="array" ref="D18">(IF(B18="Vestdanmark",Skovbrug!$C$22-(Skovbrug!$C$22)*(1-Skovbrug!$C$9)^(C18-Skovbrug!$B$12),Skovbrug!$F$22-(Skovbrug!$F$22)*(1-Skovbrug!$C$9)^(C18-Skovbrug!$B$12))*VLOOKUP(A18,Skovbrug!$A$13:$D$17,IF('Skovbrug-alder'!C18&lt;=År2,3,4),FALSE)-IF(C18&gt;2020,SUM(INDEX($C$1:$D$311,MATCH(1,(2020=$C$1:$C$311)*(B18=$B$1:$B$311)*(A18=$A$1:$A$311),0),2):D17),0))</f>
        <v>2007.6729397144518</v>
      </c>
      <c r="E18" s="168">
        <f t="shared" ca="1" si="0"/>
        <v>0</v>
      </c>
      <c r="F18" s="168">
        <f ca="1">IF(C18&lt;=År2,IF(B18="Vestdanmark",(Arealanvendelse!$M$27-Arealanvendelse!$J$27),(Arealanvendelse!$M$37-Arealanvendelse!$J$37))/(Arealanvendelse!$M$3-Arealanvendelse!$J$3),IF(B18="Vestdanmark",(Arealanvendelse!$P$27-Arealanvendelse!$M$27),(Arealanvendelse!$P$37-Arealanvendelse!$M$37))/(Arealanvendelse!$P$3-Arealanvendelse!$M$3))*VLOOKUP(A18,Skovbrug!$A$13:$D$17,IF('Skovbrug-alder'!C18&lt;=År2,3,4),FALSE)+D18+E18</f>
        <v>3657.1544211959322</v>
      </c>
      <c r="G18" s="168">
        <f ca="1">IF($C18-G$1&lt;År1,0,F17*(1-VLOOKUP($A18,[1]Hugst!$R$5:$W$9,MATCH(ROUNDUP((G$1)/10,0)*10,[1]Hugst!$R$4:$W$4,0))))</f>
        <v>3667.2432299382258</v>
      </c>
      <c r="H18" s="168">
        <f ca="1">IF($C18-H$1&lt;År1,0,G17*(1-VLOOKUP($A18,[1]Hugst!$R$5:$W$9,MATCH(ROUNDUP((H$1)/10,0)*10,[1]Hugst!$R$4:$W$4,0))))</f>
        <v>3677.3827362118377</v>
      </c>
      <c r="I18" s="168">
        <f ca="1">IF($C18-I$1&lt;År1,0,H17*(1-VLOOKUP($A18,[1]Hugst!$R$5:$W$9,MATCH(ROUNDUP((I$1)/10,0)*10,[1]Hugst!$R$4:$W$4,0))))</f>
        <v>3687.573194778312</v>
      </c>
      <c r="J18" s="168">
        <f ca="1">IF($C18-J$1&lt;År1,0,I17*(1-VLOOKUP($A18,[1]Hugst!$R$5:$W$9,MATCH(ROUNDUP((J$1)/10,0)*10,[1]Hugst!$R$4:$W$4,0))))</f>
        <v>3697.8148616793537</v>
      </c>
      <c r="K18" s="168">
        <f ca="1">IF($C18-K$1&lt;År1,0,J17*(1-VLOOKUP($A18,[1]Hugst!$R$5:$W$9,MATCH(ROUNDUP((K$1)/10,0)*10,[1]Hugst!$R$4:$W$4,0))))</f>
        <v>3708.1079942430574</v>
      </c>
      <c r="L18" s="168">
        <f ca="1">IF($C18-L$1&lt;År1,0,K17*(1-VLOOKUP($A18,[1]Hugst!$R$5:$W$9,MATCH(ROUNDUP((L$1)/10,0)*10,[1]Hugst!$R$4:$W$4,0))))</f>
        <v>3718.4528510912414</v>
      </c>
      <c r="M18" s="168">
        <f ca="1">IF($C18-M$1&lt;År1,0,L17*(1-VLOOKUP($A18,[1]Hugst!$R$5:$W$9,MATCH(ROUNDUP((M$1)/10,0)*10,[1]Hugst!$R$4:$W$4,0))))</f>
        <v>3728.8496921444521</v>
      </c>
      <c r="N18" s="168">
        <f ca="1">IF($C18-N$1&lt;År1,0,M17*(1-VLOOKUP($A18,[1]Hugst!$R$5:$W$9,MATCH(ROUNDUP((N$1)/10,0)*10,[1]Hugst!$R$4:$W$4,0))))</f>
        <v>3739.2987786302901</v>
      </c>
      <c r="O18" s="168">
        <f ca="1">IF($C18-O$1&lt;År1,0,N17*(1-VLOOKUP($A18,[1]Hugst!$R$5:$W$9,MATCH(ROUNDUP((O$1)/10,0)*10,[1]Hugst!$R$4:$W$4,0))))</f>
        <v>3749.8003730882983</v>
      </c>
      <c r="P18" s="168">
        <f ca="1">IF($C18-P$1&lt;År1,0,O17*(1-VLOOKUP($A18,[1]Hugst!$R$5:$W$9,MATCH(ROUNDUP((P$1)/10,0)*10,[1]Hugst!$R$4:$W$4,0))))</f>
        <v>3760.3547393777617</v>
      </c>
      <c r="Q18" s="168">
        <f ca="1">IF($C18-Q$1&lt;År1,0,P17*(1-VLOOKUP($A18,[1]Hugst!$R$5:$W$9,MATCH(ROUNDUP((Q$1)/10,0)*10,[1]Hugst!$R$4:$W$4,0))))</f>
        <v>3770.9621426837612</v>
      </c>
      <c r="R18" s="168">
        <f ca="1">IF($C18-R$1&lt;År1,0,Q17*(1-VLOOKUP($A18,[1]Hugst!$R$5:$W$9,MATCH(ROUNDUP((R$1)/10,0)*10,[1]Hugst!$R$4:$W$4,0))))</f>
        <v>3781.6228495239839</v>
      </c>
      <c r="S18" s="168">
        <f ca="1">IF($C18-S$1&lt;År1,0,R17*(1-VLOOKUP($A18,[1]Hugst!$R$5:$W$9,MATCH(ROUNDUP((S$1)/10,0)*10,[1]Hugst!$R$4:$W$4,0))))</f>
        <v>3792.3371277553588</v>
      </c>
      <c r="T18" s="168">
        <f ca="1">IF($C18-T$1&lt;År1,0,S17*(1-VLOOKUP($A18,[1]Hugst!$R$5:$W$9,MATCH(ROUNDUP((T$1)/10,0)*10,[1]Hugst!$R$4:$W$4,0))))</f>
        <v>3803.1052465808671</v>
      </c>
      <c r="U18" s="168">
        <f ca="1">IF($C18-U$1&lt;År1,0,T17*(1-VLOOKUP($A18,[1]Hugst!$R$5:$W$9,MATCH(ROUNDUP((U$1)/10,0)*10,[1]Hugst!$R$4:$W$4,0))))</f>
        <v>3813.9274765561777</v>
      </c>
      <c r="V18" s="168">
        <f ca="1">IF($C18-V$1&lt;År1,0,U17*(1-VLOOKUP($A18,[1]Hugst!$R$5:$W$9,MATCH(ROUNDUP((V$1)/10,0)*10,[1]Hugst!$R$4:$W$4,0))))</f>
        <v>3824.804089596807</v>
      </c>
      <c r="W18" s="168">
        <f>IF($C18-W$1&lt;År1,0,V17*(1-VLOOKUP($A18,[1]Hugst!$R$5:$W$9,MATCH(ROUNDUP((W$1)/10,0)*10,[1]Hugst!$R$4:$W$4,0))))</f>
        <v>0</v>
      </c>
      <c r="X18" s="168">
        <f>IF($C18-X$1&lt;År1,0,W17*(1-VLOOKUP($A18,[1]Hugst!$R$5:$W$9,MATCH(ROUNDUP((X$1)/10,0)*10,[1]Hugst!$R$4:$W$4,0))))</f>
        <v>0</v>
      </c>
      <c r="Y18" s="168">
        <f>IF($C18-Y$1&lt;År1,0,X17*(1-VLOOKUP($A18,[1]Hugst!$R$5:$W$9,MATCH(ROUNDUP((Y$1)/10,0)*10,[1]Hugst!$R$4:$W$4,0))))</f>
        <v>0</v>
      </c>
      <c r="Z18" s="168">
        <f>IF($C18-Z$1&lt;År1,0,Y17*(1-VLOOKUP($A18,[1]Hugst!$R$5:$W$9,MATCH(ROUNDUP((Z$1)/10,0)*10,[1]Hugst!$R$4:$W$4,0))))</f>
        <v>0</v>
      </c>
      <c r="AA18" s="168">
        <f>IF($C18-AA$1&lt;År1,0,Z17*(1-VLOOKUP($A18,[1]Hugst!$R$5:$W$9,MATCH(ROUNDUP((AA$1)/10,0)*10,[1]Hugst!$R$4:$W$4,0))))</f>
        <v>0</v>
      </c>
      <c r="AB18" s="168">
        <f>IF($C18-AB$1&lt;År1,0,AA17*(1-VLOOKUP($A18,[1]Hugst!$R$5:$W$9,MATCH(ROUNDUP((AB$1)/10,0)*10,[1]Hugst!$R$4:$W$4,0))))</f>
        <v>0</v>
      </c>
      <c r="AC18" s="168">
        <f>IF($C18-AC$1&lt;År1,0,AB17*(1-VLOOKUP($A18,[1]Hugst!$R$5:$W$9,MATCH(ROUNDUP((AC$1)/10,0)*10,[1]Hugst!$R$4:$W$4,0))))</f>
        <v>0</v>
      </c>
      <c r="AD18" s="168">
        <f>IF($C18-AD$1&lt;År1,0,AC17*(1-VLOOKUP($A18,[1]Hugst!$R$5:$W$9,MATCH(ROUNDUP((AD$1)/10,0)*10,[1]Hugst!$R$4:$W$4,0))))</f>
        <v>0</v>
      </c>
      <c r="AE18" s="168">
        <f>IF($C18-AE$1&lt;År1,0,AD17*(1-VLOOKUP($A18,[1]Hugst!$R$5:$W$9,MATCH(ROUNDUP((AE$1)/10,0)*10,[1]Hugst!$R$4:$W$4,0))))</f>
        <v>0</v>
      </c>
      <c r="AF18" s="168">
        <f>IF($C18-AF$1&lt;År1,0,AE17*(1-VLOOKUP($A18,[1]Hugst!$R$5:$W$9,MATCH(ROUNDUP((AF$1)/10,0)*10,[1]Hugst!$R$4:$W$4,0))))</f>
        <v>0</v>
      </c>
      <c r="AG18" s="168">
        <f>IF($C18-AG$1&lt;År1,0,AF17*(1-VLOOKUP($A18,[1]Hugst!$R$5:$W$9,MATCH(ROUNDUP((AG$1)/10,0)*10,[1]Hugst!$R$4:$W$4,0))))</f>
        <v>0</v>
      </c>
      <c r="AH18" s="168">
        <f>IF($C18-AH$1&lt;År1,0,AG17*(1-VLOOKUP($A18,[1]Hugst!$R$5:$W$9,MATCH(ROUNDUP((AH$1)/10,0)*10,[1]Hugst!$R$4:$W$4,0))))</f>
        <v>0</v>
      </c>
      <c r="AI18" s="168">
        <f>IF($C18-AI$1&lt;År1,0,AH17*(1-VLOOKUP($A18,[1]Hugst!$R$5:$W$9,MATCH(ROUNDUP((AI$1)/10,0)*10,[1]Hugst!$R$4:$W$4,0))))</f>
        <v>0</v>
      </c>
      <c r="AJ18" s="168">
        <f>IF($C18-AJ$1&lt;År1,0,AI17*(1-VLOOKUP($A18,[1]Hugst!$R$5:$W$9,MATCH(ROUNDUP((AJ$1)/10,0)*10,[1]Hugst!$R$4:$W$4,0))))</f>
        <v>0</v>
      </c>
    </row>
    <row r="19" spans="1:38" s="168" customFormat="1" x14ac:dyDescent="0.25">
      <c r="A19" s="168" t="s">
        <v>176</v>
      </c>
      <c r="B19" s="168" t="s">
        <v>23</v>
      </c>
      <c r="C19" s="168">
        <v>2037</v>
      </c>
      <c r="D19" s="168" cm="1">
        <f t="array" ref="D19">(IF(B19="Vestdanmark",Skovbrug!$C$22-(Skovbrug!$C$22)*(1-Skovbrug!$C$9)^(C19-Skovbrug!$B$12),Skovbrug!$F$22-(Skovbrug!$F$22)*(1-Skovbrug!$C$9)^(C19-Skovbrug!$B$12))*VLOOKUP(A19,Skovbrug!$A$13:$D$17,IF('Skovbrug-alder'!C19&lt;=År2,3,4),FALSE)-IF(C19&gt;2020,SUM(INDEX($C$1:$D$311,MATCH(1,(2020=$C$1:$C$311)*(B19=$B$1:$B$311)*(A19=$A$1:$A$311),0),2):D18),0))</f>
        <v>1997.6345750158653</v>
      </c>
      <c r="E19" s="168">
        <f t="shared" ca="1" si="0"/>
        <v>0</v>
      </c>
      <c r="F19" s="168">
        <f ca="1">IF(C19&lt;=År2,IF(B19="Vestdanmark",(Arealanvendelse!$M$27-Arealanvendelse!$J$27),(Arealanvendelse!$M$37-Arealanvendelse!$J$37))/(Arealanvendelse!$M$3-Arealanvendelse!$J$3),IF(B19="Vestdanmark",(Arealanvendelse!$P$27-Arealanvendelse!$M$27),(Arealanvendelse!$P$37-Arealanvendelse!$M$37))/(Arealanvendelse!$P$3-Arealanvendelse!$M$3))*VLOOKUP(A19,Skovbrug!$A$13:$D$17,IF('Skovbrug-alder'!C19&lt;=År2,3,4),FALSE)+D19+E19</f>
        <v>3647.1160564973457</v>
      </c>
      <c r="G19" s="168">
        <f ca="1">IF($C19-G$1&lt;År1,0,F18*(1-VLOOKUP($A19,[1]Hugst!$R$5:$W$9,MATCH(ROUNDUP((G$1)/10,0)*10,[1]Hugst!$R$4:$W$4,0))))</f>
        <v>3657.1544211959322</v>
      </c>
      <c r="H19" s="168">
        <f ca="1">IF($C19-H$1&lt;År1,0,G18*(1-VLOOKUP($A19,[1]Hugst!$R$5:$W$9,MATCH(ROUNDUP((H$1)/10,0)*10,[1]Hugst!$R$4:$W$4,0))))</f>
        <v>3667.2432299382258</v>
      </c>
      <c r="I19" s="168">
        <f ca="1">IF($C19-I$1&lt;År1,0,H18*(1-VLOOKUP($A19,[1]Hugst!$R$5:$W$9,MATCH(ROUNDUP((I$1)/10,0)*10,[1]Hugst!$R$4:$W$4,0))))</f>
        <v>3677.3827362118377</v>
      </c>
      <c r="J19" s="168">
        <f ca="1">IF($C19-J$1&lt;År1,0,I18*(1-VLOOKUP($A19,[1]Hugst!$R$5:$W$9,MATCH(ROUNDUP((J$1)/10,0)*10,[1]Hugst!$R$4:$W$4,0))))</f>
        <v>3687.573194778312</v>
      </c>
      <c r="K19" s="168">
        <f ca="1">IF($C19-K$1&lt;År1,0,J18*(1-VLOOKUP($A19,[1]Hugst!$R$5:$W$9,MATCH(ROUNDUP((K$1)/10,0)*10,[1]Hugst!$R$4:$W$4,0))))</f>
        <v>3697.8148616793537</v>
      </c>
      <c r="L19" s="168">
        <f ca="1">IF($C19-L$1&lt;År1,0,K18*(1-VLOOKUP($A19,[1]Hugst!$R$5:$W$9,MATCH(ROUNDUP((L$1)/10,0)*10,[1]Hugst!$R$4:$W$4,0))))</f>
        <v>3708.1079942430574</v>
      </c>
      <c r="M19" s="168">
        <f ca="1">IF($C19-M$1&lt;År1,0,L18*(1-VLOOKUP($A19,[1]Hugst!$R$5:$W$9,MATCH(ROUNDUP((M$1)/10,0)*10,[1]Hugst!$R$4:$W$4,0))))</f>
        <v>3718.4528510912414</v>
      </c>
      <c r="N19" s="168">
        <f ca="1">IF($C19-N$1&lt;År1,0,M18*(1-VLOOKUP($A19,[1]Hugst!$R$5:$W$9,MATCH(ROUNDUP((N$1)/10,0)*10,[1]Hugst!$R$4:$W$4,0))))</f>
        <v>3728.8496921444521</v>
      </c>
      <c r="O19" s="168">
        <f ca="1">IF($C19-O$1&lt;År1,0,N18*(1-VLOOKUP($A19,[1]Hugst!$R$5:$W$9,MATCH(ROUNDUP((O$1)/10,0)*10,[1]Hugst!$R$4:$W$4,0))))</f>
        <v>3739.2987786302901</v>
      </c>
      <c r="P19" s="168">
        <f ca="1">IF($C19-P$1&lt;År1,0,O18*(1-VLOOKUP($A19,[1]Hugst!$R$5:$W$9,MATCH(ROUNDUP((P$1)/10,0)*10,[1]Hugst!$R$4:$W$4,0))))</f>
        <v>3749.8003730882983</v>
      </c>
      <c r="Q19" s="168">
        <f ca="1">IF($C19-Q$1&lt;År1,0,P18*(1-VLOOKUP($A19,[1]Hugst!$R$5:$W$9,MATCH(ROUNDUP((Q$1)/10,0)*10,[1]Hugst!$R$4:$W$4,0))))</f>
        <v>3760.3547393777617</v>
      </c>
      <c r="R19" s="168">
        <f ca="1">IF($C19-R$1&lt;År1,0,Q18*(1-VLOOKUP($A19,[1]Hugst!$R$5:$W$9,MATCH(ROUNDUP((R$1)/10,0)*10,[1]Hugst!$R$4:$W$4,0))))</f>
        <v>3770.9621426837612</v>
      </c>
      <c r="S19" s="168">
        <f ca="1">IF($C19-S$1&lt;År1,0,R18*(1-VLOOKUP($A19,[1]Hugst!$R$5:$W$9,MATCH(ROUNDUP((S$1)/10,0)*10,[1]Hugst!$R$4:$W$4,0))))</f>
        <v>3781.6228495239839</v>
      </c>
      <c r="T19" s="168">
        <f ca="1">IF($C19-T$1&lt;År1,0,S18*(1-VLOOKUP($A19,[1]Hugst!$R$5:$W$9,MATCH(ROUNDUP((T$1)/10,0)*10,[1]Hugst!$R$4:$W$4,0))))</f>
        <v>3792.3371277553588</v>
      </c>
      <c r="U19" s="168">
        <f ca="1">IF($C19-U$1&lt;År1,0,T18*(1-VLOOKUP($A19,[1]Hugst!$R$5:$W$9,MATCH(ROUNDUP((U$1)/10,0)*10,[1]Hugst!$R$4:$W$4,0))))</f>
        <v>3803.1052465808671</v>
      </c>
      <c r="V19" s="168">
        <f ca="1">IF($C19-V$1&lt;År1,0,U18*(1-VLOOKUP($A19,[1]Hugst!$R$5:$W$9,MATCH(ROUNDUP((V$1)/10,0)*10,[1]Hugst!$R$4:$W$4,0))))</f>
        <v>3813.9274765561777</v>
      </c>
      <c r="W19" s="168">
        <f ca="1">IF($C19-W$1&lt;År1,0,V18*(1-VLOOKUP($A19,[1]Hugst!$R$5:$W$9,MATCH(ROUNDUP((W$1)/10,0)*10,[1]Hugst!$R$4:$W$4,0))))</f>
        <v>3824.804089596807</v>
      </c>
      <c r="X19" s="168">
        <f>IF($C19-X$1&lt;År1,0,W18*(1-VLOOKUP($A19,[1]Hugst!$R$5:$W$9,MATCH(ROUNDUP((X$1)/10,0)*10,[1]Hugst!$R$4:$W$4,0))))</f>
        <v>0</v>
      </c>
      <c r="Y19" s="168">
        <f>IF($C19-Y$1&lt;År1,0,X18*(1-VLOOKUP($A19,[1]Hugst!$R$5:$W$9,MATCH(ROUNDUP((Y$1)/10,0)*10,[1]Hugst!$R$4:$W$4,0))))</f>
        <v>0</v>
      </c>
      <c r="Z19" s="168">
        <f>IF($C19-Z$1&lt;År1,0,Y18*(1-VLOOKUP($A19,[1]Hugst!$R$5:$W$9,MATCH(ROUNDUP((Z$1)/10,0)*10,[1]Hugst!$R$4:$W$4,0))))</f>
        <v>0</v>
      </c>
      <c r="AA19" s="168">
        <f>IF($C19-AA$1&lt;År1,0,Z18*(1-VLOOKUP($A19,[1]Hugst!$R$5:$W$9,MATCH(ROUNDUP((AA$1)/10,0)*10,[1]Hugst!$R$4:$W$4,0))))</f>
        <v>0</v>
      </c>
      <c r="AB19" s="168">
        <f>IF($C19-AB$1&lt;År1,0,AA18*(1-VLOOKUP($A19,[1]Hugst!$R$5:$W$9,MATCH(ROUNDUP((AB$1)/10,0)*10,[1]Hugst!$R$4:$W$4,0))))</f>
        <v>0</v>
      </c>
      <c r="AC19" s="168">
        <f>IF($C19-AC$1&lt;År1,0,AB18*(1-VLOOKUP($A19,[1]Hugst!$R$5:$W$9,MATCH(ROUNDUP((AC$1)/10,0)*10,[1]Hugst!$R$4:$W$4,0))))</f>
        <v>0</v>
      </c>
      <c r="AD19" s="168">
        <f>IF($C19-AD$1&lt;År1,0,AC18*(1-VLOOKUP($A19,[1]Hugst!$R$5:$W$9,MATCH(ROUNDUP((AD$1)/10,0)*10,[1]Hugst!$R$4:$W$4,0))))</f>
        <v>0</v>
      </c>
      <c r="AE19" s="168">
        <f>IF($C19-AE$1&lt;År1,0,AD18*(1-VLOOKUP($A19,[1]Hugst!$R$5:$W$9,MATCH(ROUNDUP((AE$1)/10,0)*10,[1]Hugst!$R$4:$W$4,0))))</f>
        <v>0</v>
      </c>
      <c r="AF19" s="168">
        <f>IF($C19-AF$1&lt;År1,0,AE18*(1-VLOOKUP($A19,[1]Hugst!$R$5:$W$9,MATCH(ROUNDUP((AF$1)/10,0)*10,[1]Hugst!$R$4:$W$4,0))))</f>
        <v>0</v>
      </c>
      <c r="AG19" s="168">
        <f>IF($C19-AG$1&lt;År1,0,AF18*(1-VLOOKUP($A19,[1]Hugst!$R$5:$W$9,MATCH(ROUNDUP((AG$1)/10,0)*10,[1]Hugst!$R$4:$W$4,0))))</f>
        <v>0</v>
      </c>
      <c r="AH19" s="168">
        <f>IF($C19-AH$1&lt;År1,0,AG18*(1-VLOOKUP($A19,[1]Hugst!$R$5:$W$9,MATCH(ROUNDUP((AH$1)/10,0)*10,[1]Hugst!$R$4:$W$4,0))))</f>
        <v>0</v>
      </c>
      <c r="AI19" s="168">
        <f>IF($C19-AI$1&lt;År1,0,AH18*(1-VLOOKUP($A19,[1]Hugst!$R$5:$W$9,MATCH(ROUNDUP((AI$1)/10,0)*10,[1]Hugst!$R$4:$W$4,0))))</f>
        <v>0</v>
      </c>
      <c r="AJ19" s="168">
        <f>IF($C19-AJ$1&lt;År1,0,AI18*(1-VLOOKUP($A19,[1]Hugst!$R$5:$W$9,MATCH(ROUNDUP((AJ$1)/10,0)*10,[1]Hugst!$R$4:$W$4,0))))</f>
        <v>0</v>
      </c>
    </row>
    <row r="20" spans="1:38" s="168" customFormat="1" x14ac:dyDescent="0.25">
      <c r="A20" s="168" t="s">
        <v>176</v>
      </c>
      <c r="B20" s="168" t="s">
        <v>23</v>
      </c>
      <c r="C20" s="168">
        <v>2038</v>
      </c>
      <c r="D20" s="168" cm="1">
        <f t="array" ref="D20">(IF(B20="Vestdanmark",Skovbrug!$C$22-(Skovbrug!$C$22)*(1-Skovbrug!$C$9)^(C20-Skovbrug!$B$12),Skovbrug!$F$22-(Skovbrug!$F$22)*(1-Skovbrug!$C$9)^(C20-Skovbrug!$B$12))*VLOOKUP(A20,Skovbrug!$A$13:$D$17,IF('Skovbrug-alder'!C20&lt;=År2,3,4),FALSE)-IF(C20&gt;2020,SUM(INDEX($C$1:$D$311,MATCH(1,(2020=$C$1:$C$311)*(B20=$B$1:$B$311)*(A20=$A$1:$A$311),0),2):D19),0))</f>
        <v>1987.6464021408465</v>
      </c>
      <c r="E20" s="168">
        <f t="shared" ca="1" si="0"/>
        <v>0</v>
      </c>
      <c r="F20" s="168">
        <f ca="1">IF(C20&lt;=År2,IF(B20="Vestdanmark",(Arealanvendelse!$M$27-Arealanvendelse!$J$27),(Arealanvendelse!$M$37-Arealanvendelse!$J$37))/(Arealanvendelse!$M$3-Arealanvendelse!$J$3),IF(B20="Vestdanmark",(Arealanvendelse!$P$27-Arealanvendelse!$M$27),(Arealanvendelse!$P$37-Arealanvendelse!$M$37))/(Arealanvendelse!$P$3-Arealanvendelse!$M$3))*VLOOKUP(A20,Skovbrug!$A$13:$D$17,IF('Skovbrug-alder'!C20&lt;=År2,3,4),FALSE)+D20+E20</f>
        <v>3637.1278836223269</v>
      </c>
      <c r="G20" s="168">
        <f ca="1">IF($C20-G$1&lt;År1,0,F19*(1-VLOOKUP($A20,[1]Hugst!$R$5:$W$9,MATCH(ROUNDUP((G$1)/10,0)*10,[1]Hugst!$R$4:$W$4,0))))</f>
        <v>3647.1160564973457</v>
      </c>
      <c r="H20" s="168">
        <f ca="1">IF($C20-H$1&lt;År1,0,G19*(1-VLOOKUP($A20,[1]Hugst!$R$5:$W$9,MATCH(ROUNDUP((H$1)/10,0)*10,[1]Hugst!$R$4:$W$4,0))))</f>
        <v>3657.1544211959322</v>
      </c>
      <c r="I20" s="168">
        <f ca="1">IF($C20-I$1&lt;År1,0,H19*(1-VLOOKUP($A20,[1]Hugst!$R$5:$W$9,MATCH(ROUNDUP((I$1)/10,0)*10,[1]Hugst!$R$4:$W$4,0))))</f>
        <v>3667.2432299382258</v>
      </c>
      <c r="J20" s="168">
        <f ca="1">IF($C20-J$1&lt;År1,0,I19*(1-VLOOKUP($A20,[1]Hugst!$R$5:$W$9,MATCH(ROUNDUP((J$1)/10,0)*10,[1]Hugst!$R$4:$W$4,0))))</f>
        <v>3677.3827362118377</v>
      </c>
      <c r="K20" s="168">
        <f ca="1">IF($C20-K$1&lt;År1,0,J19*(1-VLOOKUP($A20,[1]Hugst!$R$5:$W$9,MATCH(ROUNDUP((K$1)/10,0)*10,[1]Hugst!$R$4:$W$4,0))))</f>
        <v>3687.573194778312</v>
      </c>
      <c r="L20" s="168">
        <f ca="1">IF($C20-L$1&lt;År1,0,K19*(1-VLOOKUP($A20,[1]Hugst!$R$5:$W$9,MATCH(ROUNDUP((L$1)/10,0)*10,[1]Hugst!$R$4:$W$4,0))))</f>
        <v>3697.8148616793537</v>
      </c>
      <c r="M20" s="168">
        <f ca="1">IF($C20-M$1&lt;År1,0,L19*(1-VLOOKUP($A20,[1]Hugst!$R$5:$W$9,MATCH(ROUNDUP((M$1)/10,0)*10,[1]Hugst!$R$4:$W$4,0))))</f>
        <v>3708.1079942430574</v>
      </c>
      <c r="N20" s="168">
        <f ca="1">IF($C20-N$1&lt;År1,0,M19*(1-VLOOKUP($A20,[1]Hugst!$R$5:$W$9,MATCH(ROUNDUP((N$1)/10,0)*10,[1]Hugst!$R$4:$W$4,0))))</f>
        <v>3718.4528510912414</v>
      </c>
      <c r="O20" s="168">
        <f ca="1">IF($C20-O$1&lt;År1,0,N19*(1-VLOOKUP($A20,[1]Hugst!$R$5:$W$9,MATCH(ROUNDUP((O$1)/10,0)*10,[1]Hugst!$R$4:$W$4,0))))</f>
        <v>3728.8496921444521</v>
      </c>
      <c r="P20" s="168">
        <f ca="1">IF($C20-P$1&lt;År1,0,O19*(1-VLOOKUP($A20,[1]Hugst!$R$5:$W$9,MATCH(ROUNDUP((P$1)/10,0)*10,[1]Hugst!$R$4:$W$4,0))))</f>
        <v>3739.2987786302901</v>
      </c>
      <c r="Q20" s="168">
        <f ca="1">IF($C20-Q$1&lt;År1,0,P19*(1-VLOOKUP($A20,[1]Hugst!$R$5:$W$9,MATCH(ROUNDUP((Q$1)/10,0)*10,[1]Hugst!$R$4:$W$4,0))))</f>
        <v>3749.8003730882983</v>
      </c>
      <c r="R20" s="168">
        <f ca="1">IF($C20-R$1&lt;År1,0,Q19*(1-VLOOKUP($A20,[1]Hugst!$R$5:$W$9,MATCH(ROUNDUP((R$1)/10,0)*10,[1]Hugst!$R$4:$W$4,0))))</f>
        <v>3760.3547393777617</v>
      </c>
      <c r="S20" s="168">
        <f ca="1">IF($C20-S$1&lt;År1,0,R19*(1-VLOOKUP($A20,[1]Hugst!$R$5:$W$9,MATCH(ROUNDUP((S$1)/10,0)*10,[1]Hugst!$R$4:$W$4,0))))</f>
        <v>3770.9621426837612</v>
      </c>
      <c r="T20" s="168">
        <f ca="1">IF($C20-T$1&lt;År1,0,S19*(1-VLOOKUP($A20,[1]Hugst!$R$5:$W$9,MATCH(ROUNDUP((T$1)/10,0)*10,[1]Hugst!$R$4:$W$4,0))))</f>
        <v>3781.6228495239839</v>
      </c>
      <c r="U20" s="168">
        <f ca="1">IF($C20-U$1&lt;År1,0,T19*(1-VLOOKUP($A20,[1]Hugst!$R$5:$W$9,MATCH(ROUNDUP((U$1)/10,0)*10,[1]Hugst!$R$4:$W$4,0))))</f>
        <v>3792.3371277553588</v>
      </c>
      <c r="V20" s="168">
        <f ca="1">IF($C20-V$1&lt;År1,0,U19*(1-VLOOKUP($A20,[1]Hugst!$R$5:$W$9,MATCH(ROUNDUP((V$1)/10,0)*10,[1]Hugst!$R$4:$W$4,0))))</f>
        <v>3803.1052465808671</v>
      </c>
      <c r="W20" s="168">
        <f ca="1">IF($C20-W$1&lt;År1,0,V19*(1-VLOOKUP($A20,[1]Hugst!$R$5:$W$9,MATCH(ROUNDUP((W$1)/10,0)*10,[1]Hugst!$R$4:$W$4,0))))</f>
        <v>3813.9274765561777</v>
      </c>
      <c r="X20" s="168">
        <f ca="1">IF($C20-X$1&lt;År1,0,W19*(1-VLOOKUP($A20,[1]Hugst!$R$5:$W$9,MATCH(ROUNDUP((X$1)/10,0)*10,[1]Hugst!$R$4:$W$4,0))))</f>
        <v>3824.804089596807</v>
      </c>
      <c r="Y20" s="168">
        <f>IF($C20-Y$1&lt;År1,0,X19*(1-VLOOKUP($A20,[1]Hugst!$R$5:$W$9,MATCH(ROUNDUP((Y$1)/10,0)*10,[1]Hugst!$R$4:$W$4,0))))</f>
        <v>0</v>
      </c>
      <c r="Z20" s="168">
        <f>IF($C20-Z$1&lt;År1,0,Y19*(1-VLOOKUP($A20,[1]Hugst!$R$5:$W$9,MATCH(ROUNDUP((Z$1)/10,0)*10,[1]Hugst!$R$4:$W$4,0))))</f>
        <v>0</v>
      </c>
      <c r="AA20" s="168">
        <f>IF($C20-AA$1&lt;År1,0,Z19*(1-VLOOKUP($A20,[1]Hugst!$R$5:$W$9,MATCH(ROUNDUP((AA$1)/10,0)*10,[1]Hugst!$R$4:$W$4,0))))</f>
        <v>0</v>
      </c>
      <c r="AB20" s="168">
        <f>IF($C20-AB$1&lt;År1,0,AA19*(1-VLOOKUP($A20,[1]Hugst!$R$5:$W$9,MATCH(ROUNDUP((AB$1)/10,0)*10,[1]Hugst!$R$4:$W$4,0))))</f>
        <v>0</v>
      </c>
      <c r="AC20" s="168">
        <f>IF($C20-AC$1&lt;År1,0,AB19*(1-VLOOKUP($A20,[1]Hugst!$R$5:$W$9,MATCH(ROUNDUP((AC$1)/10,0)*10,[1]Hugst!$R$4:$W$4,0))))</f>
        <v>0</v>
      </c>
      <c r="AD20" s="168">
        <f>IF($C20-AD$1&lt;År1,0,AC19*(1-VLOOKUP($A20,[1]Hugst!$R$5:$W$9,MATCH(ROUNDUP((AD$1)/10,0)*10,[1]Hugst!$R$4:$W$4,0))))</f>
        <v>0</v>
      </c>
      <c r="AE20" s="168">
        <f>IF($C20-AE$1&lt;År1,0,AD19*(1-VLOOKUP($A20,[1]Hugst!$R$5:$W$9,MATCH(ROUNDUP((AE$1)/10,0)*10,[1]Hugst!$R$4:$W$4,0))))</f>
        <v>0</v>
      </c>
      <c r="AF20" s="168">
        <f>IF($C20-AF$1&lt;År1,0,AE19*(1-VLOOKUP($A20,[1]Hugst!$R$5:$W$9,MATCH(ROUNDUP((AF$1)/10,0)*10,[1]Hugst!$R$4:$W$4,0))))</f>
        <v>0</v>
      </c>
      <c r="AG20" s="168">
        <f>IF($C20-AG$1&lt;År1,0,AF19*(1-VLOOKUP($A20,[1]Hugst!$R$5:$W$9,MATCH(ROUNDUP((AG$1)/10,0)*10,[1]Hugst!$R$4:$W$4,0))))</f>
        <v>0</v>
      </c>
      <c r="AH20" s="168">
        <f>IF($C20-AH$1&lt;År1,0,AG19*(1-VLOOKUP($A20,[1]Hugst!$R$5:$W$9,MATCH(ROUNDUP((AH$1)/10,0)*10,[1]Hugst!$R$4:$W$4,0))))</f>
        <v>0</v>
      </c>
      <c r="AI20" s="168">
        <f>IF($C20-AI$1&lt;År1,0,AH19*(1-VLOOKUP($A20,[1]Hugst!$R$5:$W$9,MATCH(ROUNDUP((AI$1)/10,0)*10,[1]Hugst!$R$4:$W$4,0))))</f>
        <v>0</v>
      </c>
      <c r="AJ20" s="168">
        <f>IF($C20-AJ$1&lt;År1,0,AI19*(1-VLOOKUP($A20,[1]Hugst!$R$5:$W$9,MATCH(ROUNDUP((AJ$1)/10,0)*10,[1]Hugst!$R$4:$W$4,0))))</f>
        <v>0</v>
      </c>
    </row>
    <row r="21" spans="1:38" s="168" customFormat="1" x14ac:dyDescent="0.25">
      <c r="A21" s="168" t="s">
        <v>176</v>
      </c>
      <c r="B21" s="168" t="s">
        <v>23</v>
      </c>
      <c r="C21" s="168">
        <v>2039</v>
      </c>
      <c r="D21" s="168" cm="1">
        <f t="array" ref="D21">(IF(B21="Vestdanmark",Skovbrug!$C$22-(Skovbrug!$C$22)*(1-Skovbrug!$C$9)^(C21-Skovbrug!$B$12),Skovbrug!$F$22-(Skovbrug!$F$22)*(1-Skovbrug!$C$9)^(C21-Skovbrug!$B$12))*VLOOKUP(A21,Skovbrug!$A$13:$D$17,IF('Skovbrug-alder'!C21&lt;=År2,3,4),FALSE)-IF(C21&gt;2020,SUM(INDEX($C$1:$D$311,MATCH(1,(2020=$C$1:$C$311)*(B21=$B$1:$B$311)*(A21=$A$1:$A$311),0),2):D20),0))</f>
        <v>1977.708170130034</v>
      </c>
      <c r="E21" s="168">
        <f t="shared" ca="1" si="0"/>
        <v>0</v>
      </c>
      <c r="F21" s="168">
        <f ca="1">IF(C21&lt;=År2,IF(B21="Vestdanmark",(Arealanvendelse!$M$27-Arealanvendelse!$J$27),(Arealanvendelse!$M$37-Arealanvendelse!$J$37))/(Arealanvendelse!$M$3-Arealanvendelse!$J$3),IF(B21="Vestdanmark",(Arealanvendelse!$P$27-Arealanvendelse!$M$27),(Arealanvendelse!$P$37-Arealanvendelse!$M$37))/(Arealanvendelse!$P$3-Arealanvendelse!$M$3))*VLOOKUP(A21,Skovbrug!$A$13:$D$17,IF('Skovbrug-alder'!C21&lt;=År2,3,4),FALSE)+D21+E21</f>
        <v>3627.1896516115144</v>
      </c>
      <c r="G21" s="168">
        <f ca="1">IF($C21-G$1&lt;År1,0,F20*(1-VLOOKUP($A21,[1]Hugst!$R$5:$W$9,MATCH(ROUNDUP((G$1)/10,0)*10,[1]Hugst!$R$4:$W$4,0))))</f>
        <v>3637.1278836223269</v>
      </c>
      <c r="H21" s="168">
        <f ca="1">IF($C21-H$1&lt;År1,0,G20*(1-VLOOKUP($A21,[1]Hugst!$R$5:$W$9,MATCH(ROUNDUP((H$1)/10,0)*10,[1]Hugst!$R$4:$W$4,0))))</f>
        <v>3647.1160564973457</v>
      </c>
      <c r="I21" s="168">
        <f ca="1">IF($C21-I$1&lt;År1,0,H20*(1-VLOOKUP($A21,[1]Hugst!$R$5:$W$9,MATCH(ROUNDUP((I$1)/10,0)*10,[1]Hugst!$R$4:$W$4,0))))</f>
        <v>3657.1544211959322</v>
      </c>
      <c r="J21" s="168">
        <f ca="1">IF($C21-J$1&lt;År1,0,I20*(1-VLOOKUP($A21,[1]Hugst!$R$5:$W$9,MATCH(ROUNDUP((J$1)/10,0)*10,[1]Hugst!$R$4:$W$4,0))))</f>
        <v>3667.2432299382258</v>
      </c>
      <c r="K21" s="168">
        <f ca="1">IF($C21-K$1&lt;År1,0,J20*(1-VLOOKUP($A21,[1]Hugst!$R$5:$W$9,MATCH(ROUNDUP((K$1)/10,0)*10,[1]Hugst!$R$4:$W$4,0))))</f>
        <v>3677.3827362118377</v>
      </c>
      <c r="L21" s="168">
        <f ca="1">IF($C21-L$1&lt;År1,0,K20*(1-VLOOKUP($A21,[1]Hugst!$R$5:$W$9,MATCH(ROUNDUP((L$1)/10,0)*10,[1]Hugst!$R$4:$W$4,0))))</f>
        <v>3687.573194778312</v>
      </c>
      <c r="M21" s="168">
        <f ca="1">IF($C21-M$1&lt;År1,0,L20*(1-VLOOKUP($A21,[1]Hugst!$R$5:$W$9,MATCH(ROUNDUP((M$1)/10,0)*10,[1]Hugst!$R$4:$W$4,0))))</f>
        <v>3697.8148616793537</v>
      </c>
      <c r="N21" s="168">
        <f ca="1">IF($C21-N$1&lt;År1,0,M20*(1-VLOOKUP($A21,[1]Hugst!$R$5:$W$9,MATCH(ROUNDUP((N$1)/10,0)*10,[1]Hugst!$R$4:$W$4,0))))</f>
        <v>3708.1079942430574</v>
      </c>
      <c r="O21" s="168">
        <f ca="1">IF($C21-O$1&lt;År1,0,N20*(1-VLOOKUP($A21,[1]Hugst!$R$5:$W$9,MATCH(ROUNDUP((O$1)/10,0)*10,[1]Hugst!$R$4:$W$4,0))))</f>
        <v>3718.4528510912414</v>
      </c>
      <c r="P21" s="168">
        <f ca="1">IF($C21-P$1&lt;År1,0,O20*(1-VLOOKUP($A21,[1]Hugst!$R$5:$W$9,MATCH(ROUNDUP((P$1)/10,0)*10,[1]Hugst!$R$4:$W$4,0))))</f>
        <v>3728.8496921444521</v>
      </c>
      <c r="Q21" s="168">
        <f ca="1">IF($C21-Q$1&lt;År1,0,P20*(1-VLOOKUP($A21,[1]Hugst!$R$5:$W$9,MATCH(ROUNDUP((Q$1)/10,0)*10,[1]Hugst!$R$4:$W$4,0))))</f>
        <v>3739.2987786302901</v>
      </c>
      <c r="R21" s="168">
        <f ca="1">IF($C21-R$1&lt;År1,0,Q20*(1-VLOOKUP($A21,[1]Hugst!$R$5:$W$9,MATCH(ROUNDUP((R$1)/10,0)*10,[1]Hugst!$R$4:$W$4,0))))</f>
        <v>3749.8003730882983</v>
      </c>
      <c r="S21" s="168">
        <f ca="1">IF($C21-S$1&lt;År1,0,R20*(1-VLOOKUP($A21,[1]Hugst!$R$5:$W$9,MATCH(ROUNDUP((S$1)/10,0)*10,[1]Hugst!$R$4:$W$4,0))))</f>
        <v>3760.3547393777617</v>
      </c>
      <c r="T21" s="168">
        <f ca="1">IF($C21-T$1&lt;År1,0,S20*(1-VLOOKUP($A21,[1]Hugst!$R$5:$W$9,MATCH(ROUNDUP((T$1)/10,0)*10,[1]Hugst!$R$4:$W$4,0))))</f>
        <v>3770.9621426837612</v>
      </c>
      <c r="U21" s="168">
        <f ca="1">IF($C21-U$1&lt;År1,0,T20*(1-VLOOKUP($A21,[1]Hugst!$R$5:$W$9,MATCH(ROUNDUP((U$1)/10,0)*10,[1]Hugst!$R$4:$W$4,0))))</f>
        <v>3781.6228495239839</v>
      </c>
      <c r="V21" s="168">
        <f ca="1">IF($C21-V$1&lt;År1,0,U20*(1-VLOOKUP($A21,[1]Hugst!$R$5:$W$9,MATCH(ROUNDUP((V$1)/10,0)*10,[1]Hugst!$R$4:$W$4,0))))</f>
        <v>3792.3371277553588</v>
      </c>
      <c r="W21" s="168">
        <f ca="1">IF($C21-W$1&lt;År1,0,V20*(1-VLOOKUP($A21,[1]Hugst!$R$5:$W$9,MATCH(ROUNDUP((W$1)/10,0)*10,[1]Hugst!$R$4:$W$4,0))))</f>
        <v>3803.1052465808671</v>
      </c>
      <c r="X21" s="168">
        <f ca="1">IF($C21-X$1&lt;År1,0,W20*(1-VLOOKUP($A21,[1]Hugst!$R$5:$W$9,MATCH(ROUNDUP((X$1)/10,0)*10,[1]Hugst!$R$4:$W$4,0))))</f>
        <v>3813.9274765561777</v>
      </c>
      <c r="Y21" s="168">
        <f ca="1">IF($C21-Y$1&lt;År1,0,X20*(1-VLOOKUP($A21,[1]Hugst!$R$5:$W$9,MATCH(ROUNDUP((Y$1)/10,0)*10,[1]Hugst!$R$4:$W$4,0))))</f>
        <v>3824.804089596807</v>
      </c>
      <c r="Z21" s="168">
        <f>IF($C21-Z$1&lt;År1,0,Y20*(1-VLOOKUP($A21,[1]Hugst!$R$5:$W$9,MATCH(ROUNDUP((Z$1)/10,0)*10,[1]Hugst!$R$4:$W$4,0))))</f>
        <v>0</v>
      </c>
      <c r="AA21" s="168">
        <f>IF($C21-AA$1&lt;År1,0,Z20*(1-VLOOKUP($A21,[1]Hugst!$R$5:$W$9,MATCH(ROUNDUP((AA$1)/10,0)*10,[1]Hugst!$R$4:$W$4,0))))</f>
        <v>0</v>
      </c>
      <c r="AB21" s="168">
        <f>IF($C21-AB$1&lt;År1,0,AA20*(1-VLOOKUP($A21,[1]Hugst!$R$5:$W$9,MATCH(ROUNDUP((AB$1)/10,0)*10,[1]Hugst!$R$4:$W$4,0))))</f>
        <v>0</v>
      </c>
      <c r="AC21" s="168">
        <f>IF($C21-AC$1&lt;År1,0,AB20*(1-VLOOKUP($A21,[1]Hugst!$R$5:$W$9,MATCH(ROUNDUP((AC$1)/10,0)*10,[1]Hugst!$R$4:$W$4,0))))</f>
        <v>0</v>
      </c>
      <c r="AD21" s="168">
        <f>IF($C21-AD$1&lt;År1,0,AC20*(1-VLOOKUP($A21,[1]Hugst!$R$5:$W$9,MATCH(ROUNDUP((AD$1)/10,0)*10,[1]Hugst!$R$4:$W$4,0))))</f>
        <v>0</v>
      </c>
      <c r="AE21" s="168">
        <f>IF($C21-AE$1&lt;År1,0,AD20*(1-VLOOKUP($A21,[1]Hugst!$R$5:$W$9,MATCH(ROUNDUP((AE$1)/10,0)*10,[1]Hugst!$R$4:$W$4,0))))</f>
        <v>0</v>
      </c>
      <c r="AF21" s="168">
        <f>IF($C21-AF$1&lt;År1,0,AE20*(1-VLOOKUP($A21,[1]Hugst!$R$5:$W$9,MATCH(ROUNDUP((AF$1)/10,0)*10,[1]Hugst!$R$4:$W$4,0))))</f>
        <v>0</v>
      </c>
      <c r="AG21" s="168">
        <f>IF($C21-AG$1&lt;År1,0,AF20*(1-VLOOKUP($A21,[1]Hugst!$R$5:$W$9,MATCH(ROUNDUP((AG$1)/10,0)*10,[1]Hugst!$R$4:$W$4,0))))</f>
        <v>0</v>
      </c>
      <c r="AH21" s="168">
        <f>IF($C21-AH$1&lt;År1,0,AG20*(1-VLOOKUP($A21,[1]Hugst!$R$5:$W$9,MATCH(ROUNDUP((AH$1)/10,0)*10,[1]Hugst!$R$4:$W$4,0))))</f>
        <v>0</v>
      </c>
      <c r="AI21" s="168">
        <f>IF($C21-AI$1&lt;År1,0,AH20*(1-VLOOKUP($A21,[1]Hugst!$R$5:$W$9,MATCH(ROUNDUP((AI$1)/10,0)*10,[1]Hugst!$R$4:$W$4,0))))</f>
        <v>0</v>
      </c>
      <c r="AJ21" s="168">
        <f>IF($C21-AJ$1&lt;År1,0,AI20*(1-VLOOKUP($A21,[1]Hugst!$R$5:$W$9,MATCH(ROUNDUP((AJ$1)/10,0)*10,[1]Hugst!$R$4:$W$4,0))))</f>
        <v>0</v>
      </c>
    </row>
    <row r="22" spans="1:38" s="168" customFormat="1" x14ac:dyDescent="0.25">
      <c r="A22" s="168" t="s">
        <v>176</v>
      </c>
      <c r="B22" s="168" t="s">
        <v>23</v>
      </c>
      <c r="C22" s="168">
        <v>2040</v>
      </c>
      <c r="D22" s="168" cm="1">
        <f t="array" ref="D22">(IF(B22="Vestdanmark",Skovbrug!$C$22-(Skovbrug!$C$22)*(1-Skovbrug!$C$9)^(C22-Skovbrug!$B$12),Skovbrug!$F$22-(Skovbrug!$F$22)*(1-Skovbrug!$C$9)^(C22-Skovbrug!$B$12))*VLOOKUP(A22,Skovbrug!$A$13:$D$17,IF('Skovbrug-alder'!C22&lt;=År2,3,4),FALSE)-IF(C22&gt;2020,SUM(INDEX($C$1:$D$311,MATCH(1,(2020=$C$1:$C$311)*(B22=$B$1:$B$311)*(A22=$A$1:$A$311),0),2):D21),0))</f>
        <v>1967.819629279431</v>
      </c>
      <c r="E22" s="168">
        <f t="shared" ca="1" si="0"/>
        <v>0</v>
      </c>
      <c r="F22" s="168">
        <f ca="1">IF(C22&lt;=År2,IF(B22="Vestdanmark",(Arealanvendelse!$M$27-Arealanvendelse!$J$27),(Arealanvendelse!$M$37-Arealanvendelse!$J$37))/(Arealanvendelse!$M$3-Arealanvendelse!$J$3),IF(B22="Vestdanmark",(Arealanvendelse!$P$27-Arealanvendelse!$M$27),(Arealanvendelse!$P$37-Arealanvendelse!$M$37))/(Arealanvendelse!$P$3-Arealanvendelse!$M$3))*VLOOKUP(A22,Skovbrug!$A$13:$D$17,IF('Skovbrug-alder'!C22&lt;=År2,3,4),FALSE)+D22+E22</f>
        <v>3617.3011107609113</v>
      </c>
      <c r="G22" s="168">
        <f ca="1">IF($C22-G$1&lt;År1,0,F21*(1-VLOOKUP($A22,[1]Hugst!$R$5:$W$9,MATCH(ROUNDUP((G$1)/10,0)*10,[1]Hugst!$R$4:$W$4,0))))</f>
        <v>3627.1896516115144</v>
      </c>
      <c r="H22" s="168">
        <f ca="1">IF($C22-H$1&lt;År1,0,G21*(1-VLOOKUP($A22,[1]Hugst!$R$5:$W$9,MATCH(ROUNDUP((H$1)/10,0)*10,[1]Hugst!$R$4:$W$4,0))))</f>
        <v>3637.1278836223269</v>
      </c>
      <c r="I22" s="168">
        <f ca="1">IF($C22-I$1&lt;År1,0,H21*(1-VLOOKUP($A22,[1]Hugst!$R$5:$W$9,MATCH(ROUNDUP((I$1)/10,0)*10,[1]Hugst!$R$4:$W$4,0))))</f>
        <v>3647.1160564973457</v>
      </c>
      <c r="J22" s="168">
        <f ca="1">IF($C22-J$1&lt;År1,0,I21*(1-VLOOKUP($A22,[1]Hugst!$R$5:$W$9,MATCH(ROUNDUP((J$1)/10,0)*10,[1]Hugst!$R$4:$W$4,0))))</f>
        <v>3657.1544211959322</v>
      </c>
      <c r="K22" s="168">
        <f ca="1">IF($C22-K$1&lt;År1,0,J21*(1-VLOOKUP($A22,[1]Hugst!$R$5:$W$9,MATCH(ROUNDUP((K$1)/10,0)*10,[1]Hugst!$R$4:$W$4,0))))</f>
        <v>3667.2432299382258</v>
      </c>
      <c r="L22" s="168">
        <f ca="1">IF($C22-L$1&lt;År1,0,K21*(1-VLOOKUP($A22,[1]Hugst!$R$5:$W$9,MATCH(ROUNDUP((L$1)/10,0)*10,[1]Hugst!$R$4:$W$4,0))))</f>
        <v>3677.3827362118377</v>
      </c>
      <c r="M22" s="168">
        <f ca="1">IF($C22-M$1&lt;År1,0,L21*(1-VLOOKUP($A22,[1]Hugst!$R$5:$W$9,MATCH(ROUNDUP((M$1)/10,0)*10,[1]Hugst!$R$4:$W$4,0))))</f>
        <v>3687.573194778312</v>
      </c>
      <c r="N22" s="168">
        <f ca="1">IF($C22-N$1&lt;År1,0,M21*(1-VLOOKUP($A22,[1]Hugst!$R$5:$W$9,MATCH(ROUNDUP((N$1)/10,0)*10,[1]Hugst!$R$4:$W$4,0))))</f>
        <v>3697.8148616793537</v>
      </c>
      <c r="O22" s="168">
        <f ca="1">IF($C22-O$1&lt;År1,0,N21*(1-VLOOKUP($A22,[1]Hugst!$R$5:$W$9,MATCH(ROUNDUP((O$1)/10,0)*10,[1]Hugst!$R$4:$W$4,0))))</f>
        <v>3708.1079942430574</v>
      </c>
      <c r="P22" s="168">
        <f ca="1">IF($C22-P$1&lt;År1,0,O21*(1-VLOOKUP($A22,[1]Hugst!$R$5:$W$9,MATCH(ROUNDUP((P$1)/10,0)*10,[1]Hugst!$R$4:$W$4,0))))</f>
        <v>3718.4528510912414</v>
      </c>
      <c r="Q22" s="168">
        <f ca="1">IF($C22-Q$1&lt;År1,0,P21*(1-VLOOKUP($A22,[1]Hugst!$R$5:$W$9,MATCH(ROUNDUP((Q$1)/10,0)*10,[1]Hugst!$R$4:$W$4,0))))</f>
        <v>3728.8496921444521</v>
      </c>
      <c r="R22" s="168">
        <f ca="1">IF($C22-R$1&lt;År1,0,Q21*(1-VLOOKUP($A22,[1]Hugst!$R$5:$W$9,MATCH(ROUNDUP((R$1)/10,0)*10,[1]Hugst!$R$4:$W$4,0))))</f>
        <v>3739.2987786302901</v>
      </c>
      <c r="S22" s="168">
        <f ca="1">IF($C22-S$1&lt;År1,0,R21*(1-VLOOKUP($A22,[1]Hugst!$R$5:$W$9,MATCH(ROUNDUP((S$1)/10,0)*10,[1]Hugst!$R$4:$W$4,0))))</f>
        <v>3749.8003730882983</v>
      </c>
      <c r="T22" s="168">
        <f ca="1">IF($C22-T$1&lt;År1,0,S21*(1-VLOOKUP($A22,[1]Hugst!$R$5:$W$9,MATCH(ROUNDUP((T$1)/10,0)*10,[1]Hugst!$R$4:$W$4,0))))</f>
        <v>3760.3547393777617</v>
      </c>
      <c r="U22" s="168">
        <f ca="1">IF($C22-U$1&lt;År1,0,T21*(1-VLOOKUP($A22,[1]Hugst!$R$5:$W$9,MATCH(ROUNDUP((U$1)/10,0)*10,[1]Hugst!$R$4:$W$4,0))))</f>
        <v>3770.9621426837612</v>
      </c>
      <c r="V22" s="168">
        <f ca="1">IF($C22-V$1&lt;År1,0,U21*(1-VLOOKUP($A22,[1]Hugst!$R$5:$W$9,MATCH(ROUNDUP((V$1)/10,0)*10,[1]Hugst!$R$4:$W$4,0))))</f>
        <v>3781.6228495239839</v>
      </c>
      <c r="W22" s="168">
        <f ca="1">IF($C22-W$1&lt;År1,0,V21*(1-VLOOKUP($A22,[1]Hugst!$R$5:$W$9,MATCH(ROUNDUP((W$1)/10,0)*10,[1]Hugst!$R$4:$W$4,0))))</f>
        <v>3792.3371277553588</v>
      </c>
      <c r="X22" s="168">
        <f ca="1">IF($C22-X$1&lt;År1,0,W21*(1-VLOOKUP($A22,[1]Hugst!$R$5:$W$9,MATCH(ROUNDUP((X$1)/10,0)*10,[1]Hugst!$R$4:$W$4,0))))</f>
        <v>3803.1052465808671</v>
      </c>
      <c r="Y22" s="168">
        <f ca="1">IF($C22-Y$1&lt;År1,0,X21*(1-VLOOKUP($A22,[1]Hugst!$R$5:$W$9,MATCH(ROUNDUP((Y$1)/10,0)*10,[1]Hugst!$R$4:$W$4,0))))</f>
        <v>3813.9274765561777</v>
      </c>
      <c r="Z22" s="168">
        <f ca="1">IF($C22-Z$1&lt;År1,0,Y21*(1-VLOOKUP($A22,[1]Hugst!$R$5:$W$9,MATCH(ROUNDUP((Z$1)/10,0)*10,[1]Hugst!$R$4:$W$4,0))))</f>
        <v>3824.804089596807</v>
      </c>
      <c r="AA22" s="168">
        <f>IF($C22-AA$1&lt;År1,0,Z21*(1-VLOOKUP($A22,[1]Hugst!$R$5:$W$9,MATCH(ROUNDUP((AA$1)/10,0)*10,[1]Hugst!$R$4:$W$4,0))))</f>
        <v>0</v>
      </c>
      <c r="AB22" s="168">
        <f>IF($C22-AB$1&lt;År1,0,AA21*(1-VLOOKUP($A22,[1]Hugst!$R$5:$W$9,MATCH(ROUNDUP((AB$1)/10,0)*10,[1]Hugst!$R$4:$W$4,0))))</f>
        <v>0</v>
      </c>
      <c r="AC22" s="168">
        <f>IF($C22-AC$1&lt;År1,0,AB21*(1-VLOOKUP($A22,[1]Hugst!$R$5:$W$9,MATCH(ROUNDUP((AC$1)/10,0)*10,[1]Hugst!$R$4:$W$4,0))))</f>
        <v>0</v>
      </c>
      <c r="AD22" s="168">
        <f>IF($C22-AD$1&lt;År1,0,AC21*(1-VLOOKUP($A22,[1]Hugst!$R$5:$W$9,MATCH(ROUNDUP((AD$1)/10,0)*10,[1]Hugst!$R$4:$W$4,0))))</f>
        <v>0</v>
      </c>
      <c r="AE22" s="168">
        <f>IF($C22-AE$1&lt;År1,0,AD21*(1-VLOOKUP($A22,[1]Hugst!$R$5:$W$9,MATCH(ROUNDUP((AE$1)/10,0)*10,[1]Hugst!$R$4:$W$4,0))))</f>
        <v>0</v>
      </c>
      <c r="AF22" s="168">
        <f>IF($C22-AF$1&lt;År1,0,AE21*(1-VLOOKUP($A22,[1]Hugst!$R$5:$W$9,MATCH(ROUNDUP((AF$1)/10,0)*10,[1]Hugst!$R$4:$W$4,0))))</f>
        <v>0</v>
      </c>
      <c r="AG22" s="168">
        <f>IF($C22-AG$1&lt;År1,0,AF21*(1-VLOOKUP($A22,[1]Hugst!$R$5:$W$9,MATCH(ROUNDUP((AG$1)/10,0)*10,[1]Hugst!$R$4:$W$4,0))))</f>
        <v>0</v>
      </c>
      <c r="AH22" s="168">
        <f>IF($C22-AH$1&lt;År1,0,AG21*(1-VLOOKUP($A22,[1]Hugst!$R$5:$W$9,MATCH(ROUNDUP((AH$1)/10,0)*10,[1]Hugst!$R$4:$W$4,0))))</f>
        <v>0</v>
      </c>
      <c r="AI22" s="168">
        <f>IF($C22-AI$1&lt;År1,0,AH21*(1-VLOOKUP($A22,[1]Hugst!$R$5:$W$9,MATCH(ROUNDUP((AI$1)/10,0)*10,[1]Hugst!$R$4:$W$4,0))))</f>
        <v>0</v>
      </c>
      <c r="AJ22" s="168">
        <f>IF($C22-AJ$1&lt;År1,0,AI21*(1-VLOOKUP($A22,[1]Hugst!$R$5:$W$9,MATCH(ROUNDUP((AJ$1)/10,0)*10,[1]Hugst!$R$4:$W$4,0))))</f>
        <v>0</v>
      </c>
    </row>
    <row r="23" spans="1:38" s="168" customFormat="1" x14ac:dyDescent="0.25">
      <c r="A23" s="168" t="s">
        <v>176</v>
      </c>
      <c r="B23" s="168" t="s">
        <v>23</v>
      </c>
      <c r="C23" s="168">
        <v>2041</v>
      </c>
      <c r="D23" s="168" cm="1">
        <f t="array" ref="D23">(IF(B23="Vestdanmark",Skovbrug!$C$22-(Skovbrug!$C$22)*(1-Skovbrug!$C$9)^(C23-Skovbrug!$B$12),Skovbrug!$F$22-(Skovbrug!$F$22)*(1-Skovbrug!$C$9)^(C23-Skovbrug!$B$12))*VLOOKUP(A23,Skovbrug!$A$13:$D$17,IF('Skovbrug-alder'!C23&lt;=År2,3,4),FALSE)-IF(C23&gt;2020,SUM(INDEX($C$1:$D$311,MATCH(1,(2020=$C$1:$C$311)*(B23=$B$1:$B$311)*(A23=$A$1:$A$311),0),2):D22),0))</f>
        <v>1957.9805311330711</v>
      </c>
      <c r="E23" s="168">
        <f t="shared" ca="1" si="0"/>
        <v>0</v>
      </c>
      <c r="F23" s="168">
        <f ca="1">IF(C23&lt;=År2,IF(B23="Vestdanmark",(Arealanvendelse!$M$27-Arealanvendelse!$J$27),(Arealanvendelse!$M$37-Arealanvendelse!$J$37))/(Arealanvendelse!$M$3-Arealanvendelse!$J$3),IF(B23="Vestdanmark",(Arealanvendelse!$P$27-Arealanvendelse!$M$27),(Arealanvendelse!$P$37-Arealanvendelse!$M$37))/(Arealanvendelse!$P$3-Arealanvendelse!$M$3))*VLOOKUP(A23,Skovbrug!$A$13:$D$17,IF('Skovbrug-alder'!C23&lt;=År2,3,4),FALSE)+D23+E23</f>
        <v>3607.4620126145514</v>
      </c>
      <c r="G23" s="168">
        <f ca="1">IF($C23-G$1&lt;År1,0,F22*(1-VLOOKUP($A23,[1]Hugst!$R$5:$W$9,MATCH(ROUNDUP((G$1)/10,0)*10,[1]Hugst!$R$4:$W$4,0))))</f>
        <v>3617.3011107609113</v>
      </c>
      <c r="H23" s="168">
        <f ca="1">IF($C23-H$1&lt;År1,0,G22*(1-VLOOKUP($A23,[1]Hugst!$R$5:$W$9,MATCH(ROUNDUP((H$1)/10,0)*10,[1]Hugst!$R$4:$W$4,0))))</f>
        <v>3627.1896516115144</v>
      </c>
      <c r="I23" s="168">
        <f ca="1">IF($C23-I$1&lt;År1,0,H22*(1-VLOOKUP($A23,[1]Hugst!$R$5:$W$9,MATCH(ROUNDUP((I$1)/10,0)*10,[1]Hugst!$R$4:$W$4,0))))</f>
        <v>3637.1278836223269</v>
      </c>
      <c r="J23" s="168">
        <f ca="1">IF($C23-J$1&lt;År1,0,I22*(1-VLOOKUP($A23,[1]Hugst!$R$5:$W$9,MATCH(ROUNDUP((J$1)/10,0)*10,[1]Hugst!$R$4:$W$4,0))))</f>
        <v>3647.1160564973457</v>
      </c>
      <c r="K23" s="168">
        <f ca="1">IF($C23-K$1&lt;År1,0,J22*(1-VLOOKUP($A23,[1]Hugst!$R$5:$W$9,MATCH(ROUNDUP((K$1)/10,0)*10,[1]Hugst!$R$4:$W$4,0))))</f>
        <v>3657.1544211959322</v>
      </c>
      <c r="L23" s="168">
        <f ca="1">IF($C23-L$1&lt;År1,0,K22*(1-VLOOKUP($A23,[1]Hugst!$R$5:$W$9,MATCH(ROUNDUP((L$1)/10,0)*10,[1]Hugst!$R$4:$W$4,0))))</f>
        <v>3667.2432299382258</v>
      </c>
      <c r="M23" s="168">
        <f ca="1">IF($C23-M$1&lt;År1,0,L22*(1-VLOOKUP($A23,[1]Hugst!$R$5:$W$9,MATCH(ROUNDUP((M$1)/10,0)*10,[1]Hugst!$R$4:$W$4,0))))</f>
        <v>3677.3827362118377</v>
      </c>
      <c r="N23" s="168">
        <f ca="1">IF($C23-N$1&lt;År1,0,M22*(1-VLOOKUP($A23,[1]Hugst!$R$5:$W$9,MATCH(ROUNDUP((N$1)/10,0)*10,[1]Hugst!$R$4:$W$4,0))))</f>
        <v>3687.573194778312</v>
      </c>
      <c r="O23" s="168">
        <f ca="1">IF($C23-O$1&lt;År1,0,N22*(1-VLOOKUP($A23,[1]Hugst!$R$5:$W$9,MATCH(ROUNDUP((O$1)/10,0)*10,[1]Hugst!$R$4:$W$4,0))))</f>
        <v>3697.8148616793537</v>
      </c>
      <c r="P23" s="168">
        <f ca="1">IF($C23-P$1&lt;År1,0,O22*(1-VLOOKUP($A23,[1]Hugst!$R$5:$W$9,MATCH(ROUNDUP((P$1)/10,0)*10,[1]Hugst!$R$4:$W$4,0))))</f>
        <v>3708.1079942430574</v>
      </c>
      <c r="Q23" s="168">
        <f ca="1">IF($C23-Q$1&lt;År1,0,P22*(1-VLOOKUP($A23,[1]Hugst!$R$5:$W$9,MATCH(ROUNDUP((Q$1)/10,0)*10,[1]Hugst!$R$4:$W$4,0))))</f>
        <v>3718.4528510912414</v>
      </c>
      <c r="R23" s="168">
        <f ca="1">IF($C23-R$1&lt;År1,0,Q22*(1-VLOOKUP($A23,[1]Hugst!$R$5:$W$9,MATCH(ROUNDUP((R$1)/10,0)*10,[1]Hugst!$R$4:$W$4,0))))</f>
        <v>3728.8496921444521</v>
      </c>
      <c r="S23" s="168">
        <f ca="1">IF($C23-S$1&lt;År1,0,R22*(1-VLOOKUP($A23,[1]Hugst!$R$5:$W$9,MATCH(ROUNDUP((S$1)/10,0)*10,[1]Hugst!$R$4:$W$4,0))))</f>
        <v>3739.2987786302901</v>
      </c>
      <c r="T23" s="168">
        <f ca="1">IF($C23-T$1&lt;År1,0,S22*(1-VLOOKUP($A23,[1]Hugst!$R$5:$W$9,MATCH(ROUNDUP((T$1)/10,0)*10,[1]Hugst!$R$4:$W$4,0))))</f>
        <v>3749.8003730882983</v>
      </c>
      <c r="U23" s="168">
        <f ca="1">IF($C23-U$1&lt;År1,0,T22*(1-VLOOKUP($A23,[1]Hugst!$R$5:$W$9,MATCH(ROUNDUP((U$1)/10,0)*10,[1]Hugst!$R$4:$W$4,0))))</f>
        <v>3760.3547393777617</v>
      </c>
      <c r="V23" s="168">
        <f ca="1">IF($C23-V$1&lt;År1,0,U22*(1-VLOOKUP($A23,[1]Hugst!$R$5:$W$9,MATCH(ROUNDUP((V$1)/10,0)*10,[1]Hugst!$R$4:$W$4,0))))</f>
        <v>3770.9621426837612</v>
      </c>
      <c r="W23" s="168">
        <f ca="1">IF($C23-W$1&lt;År1,0,V22*(1-VLOOKUP($A23,[1]Hugst!$R$5:$W$9,MATCH(ROUNDUP((W$1)/10,0)*10,[1]Hugst!$R$4:$W$4,0))))</f>
        <v>3781.6228495239839</v>
      </c>
      <c r="X23" s="168">
        <f ca="1">IF($C23-X$1&lt;År1,0,W22*(1-VLOOKUP($A23,[1]Hugst!$R$5:$W$9,MATCH(ROUNDUP((X$1)/10,0)*10,[1]Hugst!$R$4:$W$4,0))))</f>
        <v>3792.3371277553588</v>
      </c>
      <c r="Y23" s="168">
        <f ca="1">IF($C23-Y$1&lt;År1,0,X22*(1-VLOOKUP($A23,[1]Hugst!$R$5:$W$9,MATCH(ROUNDUP((Y$1)/10,0)*10,[1]Hugst!$R$4:$W$4,0))))</f>
        <v>3803.1052465808671</v>
      </c>
      <c r="Z23" s="168">
        <f ca="1">IF($C23-Z$1&lt;År1,0,Y22*(1-VLOOKUP($A23,[1]Hugst!$R$5:$W$9,MATCH(ROUNDUP((Z$1)/10,0)*10,[1]Hugst!$R$4:$W$4,0))))</f>
        <v>3813.9274765561777</v>
      </c>
      <c r="AA23" s="168">
        <f ca="1">IF($C23-AA$1&lt;År1,0,Z22*(1-VLOOKUP($A23,[1]Hugst!$R$5:$W$9,MATCH(ROUNDUP((AA$1)/10,0)*10,[1]Hugst!$R$4:$W$4,0))))</f>
        <v>3824.804089596807</v>
      </c>
      <c r="AB23" s="168">
        <f>IF($C23-AB$1&lt;År1,0,AA22*(1-VLOOKUP($A23,[1]Hugst!$R$5:$W$9,MATCH(ROUNDUP((AB$1)/10,0)*10,[1]Hugst!$R$4:$W$4,0))))</f>
        <v>0</v>
      </c>
      <c r="AC23" s="168">
        <f>IF($C23-AC$1&lt;År1,0,AB22*(1-VLOOKUP($A23,[1]Hugst!$R$5:$W$9,MATCH(ROUNDUP((AC$1)/10,0)*10,[1]Hugst!$R$4:$W$4,0))))</f>
        <v>0</v>
      </c>
      <c r="AD23" s="168">
        <f>IF($C23-AD$1&lt;År1,0,AC22*(1-VLOOKUP($A23,[1]Hugst!$R$5:$W$9,MATCH(ROUNDUP((AD$1)/10,0)*10,[1]Hugst!$R$4:$W$4,0))))</f>
        <v>0</v>
      </c>
      <c r="AE23" s="168">
        <f>IF($C23-AE$1&lt;År1,0,AD22*(1-VLOOKUP($A23,[1]Hugst!$R$5:$W$9,MATCH(ROUNDUP((AE$1)/10,0)*10,[1]Hugst!$R$4:$W$4,0))))</f>
        <v>0</v>
      </c>
      <c r="AF23" s="168">
        <f>IF($C23-AF$1&lt;År1,0,AE22*(1-VLOOKUP($A23,[1]Hugst!$R$5:$W$9,MATCH(ROUNDUP((AF$1)/10,0)*10,[1]Hugst!$R$4:$W$4,0))))</f>
        <v>0</v>
      </c>
      <c r="AG23" s="168">
        <f>IF($C23-AG$1&lt;År1,0,AF22*(1-VLOOKUP($A23,[1]Hugst!$R$5:$W$9,MATCH(ROUNDUP((AG$1)/10,0)*10,[1]Hugst!$R$4:$W$4,0))))</f>
        <v>0</v>
      </c>
      <c r="AH23" s="168">
        <f>IF($C23-AH$1&lt;År1,0,AG22*(1-VLOOKUP($A23,[1]Hugst!$R$5:$W$9,MATCH(ROUNDUP((AH$1)/10,0)*10,[1]Hugst!$R$4:$W$4,0))))</f>
        <v>0</v>
      </c>
      <c r="AI23" s="168">
        <f>IF($C23-AI$1&lt;År1,0,AH22*(1-VLOOKUP($A23,[1]Hugst!$R$5:$W$9,MATCH(ROUNDUP((AI$1)/10,0)*10,[1]Hugst!$R$4:$W$4,0))))</f>
        <v>0</v>
      </c>
      <c r="AJ23" s="168">
        <f>IF($C23-AJ$1&lt;År1,0,AI22*(1-VLOOKUP($A23,[1]Hugst!$R$5:$W$9,MATCH(ROUNDUP((AJ$1)/10,0)*10,[1]Hugst!$R$4:$W$4,0))))</f>
        <v>0</v>
      </c>
    </row>
    <row r="24" spans="1:38" s="168" customFormat="1" x14ac:dyDescent="0.25">
      <c r="A24" s="168" t="s">
        <v>176</v>
      </c>
      <c r="B24" s="168" t="s">
        <v>23</v>
      </c>
      <c r="C24" s="168">
        <v>2042</v>
      </c>
      <c r="D24" s="168" cm="1">
        <f t="array" ref="D24">(IF(B24="Vestdanmark",Skovbrug!$C$22-(Skovbrug!$C$22)*(1-Skovbrug!$C$9)^(C24-Skovbrug!$B$12),Skovbrug!$F$22-(Skovbrug!$F$22)*(1-Skovbrug!$C$9)^(C24-Skovbrug!$B$12))*VLOOKUP(A24,Skovbrug!$A$13:$D$17,IF('Skovbrug-alder'!C24&lt;=År2,3,4),FALSE)-IF(C24&gt;2020,SUM(INDEX($C$1:$D$311,MATCH(1,(2020=$C$1:$C$311)*(B24=$B$1:$B$311)*(A24=$A$1:$A$311),0),2):D23),0))</f>
        <v>1948.1906284773722</v>
      </c>
      <c r="E24" s="168">
        <f t="shared" ca="1" si="0"/>
        <v>0</v>
      </c>
      <c r="F24" s="168">
        <f ca="1">IF(C24&lt;=År2,IF(B24="Vestdanmark",(Arealanvendelse!$M$27-Arealanvendelse!$J$27),(Arealanvendelse!$M$37-Arealanvendelse!$J$37))/(Arealanvendelse!$M$3-Arealanvendelse!$J$3),IF(B24="Vestdanmark",(Arealanvendelse!$P$27-Arealanvendelse!$M$27),(Arealanvendelse!$P$37-Arealanvendelse!$M$37))/(Arealanvendelse!$P$3-Arealanvendelse!$M$3))*VLOOKUP(A24,Skovbrug!$A$13:$D$17,IF('Skovbrug-alder'!C24&lt;=År2,3,4),FALSE)+D24+E24</f>
        <v>3597.6721099588526</v>
      </c>
      <c r="G24" s="168">
        <f ca="1">IF($C24-G$1&lt;År1,0,F23*(1-VLOOKUP($A24,[1]Hugst!$R$5:$W$9,MATCH(ROUNDUP((G$1)/10,0)*10,[1]Hugst!$R$4:$W$4,0))))</f>
        <v>3607.4620126145514</v>
      </c>
      <c r="H24" s="168">
        <f ca="1">IF($C24-H$1&lt;År1,0,G23*(1-VLOOKUP($A24,[1]Hugst!$R$5:$W$9,MATCH(ROUNDUP((H$1)/10,0)*10,[1]Hugst!$R$4:$W$4,0))))</f>
        <v>3617.3011107609113</v>
      </c>
      <c r="I24" s="168">
        <f ca="1">IF($C24-I$1&lt;År1,0,H23*(1-VLOOKUP($A24,[1]Hugst!$R$5:$W$9,MATCH(ROUNDUP((I$1)/10,0)*10,[1]Hugst!$R$4:$W$4,0))))</f>
        <v>3627.1896516115144</v>
      </c>
      <c r="J24" s="168">
        <f ca="1">IF($C24-J$1&lt;År1,0,I23*(1-VLOOKUP($A24,[1]Hugst!$R$5:$W$9,MATCH(ROUNDUP((J$1)/10,0)*10,[1]Hugst!$R$4:$W$4,0))))</f>
        <v>3637.1278836223269</v>
      </c>
      <c r="K24" s="168">
        <f ca="1">IF($C24-K$1&lt;År1,0,J23*(1-VLOOKUP($A24,[1]Hugst!$R$5:$W$9,MATCH(ROUNDUP((K$1)/10,0)*10,[1]Hugst!$R$4:$W$4,0))))</f>
        <v>3647.1160564973457</v>
      </c>
      <c r="L24" s="168">
        <f ca="1">IF($C24-L$1&lt;År1,0,K23*(1-VLOOKUP($A24,[1]Hugst!$R$5:$W$9,MATCH(ROUNDUP((L$1)/10,0)*10,[1]Hugst!$R$4:$W$4,0))))</f>
        <v>3657.1544211959322</v>
      </c>
      <c r="M24" s="168">
        <f ca="1">IF($C24-M$1&lt;År1,0,L23*(1-VLOOKUP($A24,[1]Hugst!$R$5:$W$9,MATCH(ROUNDUP((M$1)/10,0)*10,[1]Hugst!$R$4:$W$4,0))))</f>
        <v>3667.2432299382258</v>
      </c>
      <c r="N24" s="168">
        <f ca="1">IF($C24-N$1&lt;År1,0,M23*(1-VLOOKUP($A24,[1]Hugst!$R$5:$W$9,MATCH(ROUNDUP((N$1)/10,0)*10,[1]Hugst!$R$4:$W$4,0))))</f>
        <v>3677.3827362118377</v>
      </c>
      <c r="O24" s="168">
        <f ca="1">IF($C24-O$1&lt;År1,0,N23*(1-VLOOKUP($A24,[1]Hugst!$R$5:$W$9,MATCH(ROUNDUP((O$1)/10,0)*10,[1]Hugst!$R$4:$W$4,0))))</f>
        <v>3687.573194778312</v>
      </c>
      <c r="P24" s="168">
        <f ca="1">IF($C24-P$1&lt;År1,0,O23*(1-VLOOKUP($A24,[1]Hugst!$R$5:$W$9,MATCH(ROUNDUP((P$1)/10,0)*10,[1]Hugst!$R$4:$W$4,0))))</f>
        <v>3697.8148616793537</v>
      </c>
      <c r="Q24" s="168">
        <f ca="1">IF($C24-Q$1&lt;År1,0,P23*(1-VLOOKUP($A24,[1]Hugst!$R$5:$W$9,MATCH(ROUNDUP((Q$1)/10,0)*10,[1]Hugst!$R$4:$W$4,0))))</f>
        <v>3708.1079942430574</v>
      </c>
      <c r="R24" s="168">
        <f ca="1">IF($C24-R$1&lt;År1,0,Q23*(1-VLOOKUP($A24,[1]Hugst!$R$5:$W$9,MATCH(ROUNDUP((R$1)/10,0)*10,[1]Hugst!$R$4:$W$4,0))))</f>
        <v>3718.4528510912414</v>
      </c>
      <c r="S24" s="168">
        <f ca="1">IF($C24-S$1&lt;År1,0,R23*(1-VLOOKUP($A24,[1]Hugst!$R$5:$W$9,MATCH(ROUNDUP((S$1)/10,0)*10,[1]Hugst!$R$4:$W$4,0))))</f>
        <v>3728.8496921444521</v>
      </c>
      <c r="T24" s="168">
        <f ca="1">IF($C24-T$1&lt;År1,0,S23*(1-VLOOKUP($A24,[1]Hugst!$R$5:$W$9,MATCH(ROUNDUP((T$1)/10,0)*10,[1]Hugst!$R$4:$W$4,0))))</f>
        <v>3739.2987786302901</v>
      </c>
      <c r="U24" s="168">
        <f ca="1">IF($C24-U$1&lt;År1,0,T23*(1-VLOOKUP($A24,[1]Hugst!$R$5:$W$9,MATCH(ROUNDUP((U$1)/10,0)*10,[1]Hugst!$R$4:$W$4,0))))</f>
        <v>3749.8003730882983</v>
      </c>
      <c r="V24" s="168">
        <f ca="1">IF($C24-V$1&lt;År1,0,U23*(1-VLOOKUP($A24,[1]Hugst!$R$5:$W$9,MATCH(ROUNDUP((V$1)/10,0)*10,[1]Hugst!$R$4:$W$4,0))))</f>
        <v>3760.3547393777617</v>
      </c>
      <c r="W24" s="168">
        <f ca="1">IF($C24-W$1&lt;År1,0,V23*(1-VLOOKUP($A24,[1]Hugst!$R$5:$W$9,MATCH(ROUNDUP((W$1)/10,0)*10,[1]Hugst!$R$4:$W$4,0))))</f>
        <v>3770.9621426837612</v>
      </c>
      <c r="X24" s="168">
        <f ca="1">IF($C24-X$1&lt;År1,0,W23*(1-VLOOKUP($A24,[1]Hugst!$R$5:$W$9,MATCH(ROUNDUP((X$1)/10,0)*10,[1]Hugst!$R$4:$W$4,0))))</f>
        <v>3781.6228495239839</v>
      </c>
      <c r="Y24" s="168">
        <f ca="1">IF($C24-Y$1&lt;År1,0,X23*(1-VLOOKUP($A24,[1]Hugst!$R$5:$W$9,MATCH(ROUNDUP((Y$1)/10,0)*10,[1]Hugst!$R$4:$W$4,0))))</f>
        <v>3792.3371277553588</v>
      </c>
      <c r="Z24" s="168">
        <f ca="1">IF($C24-Z$1&lt;År1,0,Y23*(1-VLOOKUP($A24,[1]Hugst!$R$5:$W$9,MATCH(ROUNDUP((Z$1)/10,0)*10,[1]Hugst!$R$4:$W$4,0))))</f>
        <v>3803.1052465808671</v>
      </c>
      <c r="AA24" s="168">
        <f ca="1">IF($C24-AA$1&lt;År1,0,Z23*(1-VLOOKUP($A24,[1]Hugst!$R$5:$W$9,MATCH(ROUNDUP((AA$1)/10,0)*10,[1]Hugst!$R$4:$W$4,0))))</f>
        <v>3813.9274765561777</v>
      </c>
      <c r="AB24" s="168">
        <f ca="1">IF($C24-AB$1&lt;År1,0,AA23*(1-VLOOKUP($A24,[1]Hugst!$R$5:$W$9,MATCH(ROUNDUP((AB$1)/10,0)*10,[1]Hugst!$R$4:$W$4,0))))</f>
        <v>3824.804089596807</v>
      </c>
      <c r="AC24" s="168">
        <f>IF($C24-AC$1&lt;År1,0,AB23*(1-VLOOKUP($A24,[1]Hugst!$R$5:$W$9,MATCH(ROUNDUP((AC$1)/10,0)*10,[1]Hugst!$R$4:$W$4,0))))</f>
        <v>0</v>
      </c>
      <c r="AD24" s="168">
        <f>IF($C24-AD$1&lt;År1,0,AC23*(1-VLOOKUP($A24,[1]Hugst!$R$5:$W$9,MATCH(ROUNDUP((AD$1)/10,0)*10,[1]Hugst!$R$4:$W$4,0))))</f>
        <v>0</v>
      </c>
      <c r="AE24" s="168">
        <f>IF($C24-AE$1&lt;År1,0,AD23*(1-VLOOKUP($A24,[1]Hugst!$R$5:$W$9,MATCH(ROUNDUP((AE$1)/10,0)*10,[1]Hugst!$R$4:$W$4,0))))</f>
        <v>0</v>
      </c>
      <c r="AF24" s="168">
        <f>IF($C24-AF$1&lt;År1,0,AE23*(1-VLOOKUP($A24,[1]Hugst!$R$5:$W$9,MATCH(ROUNDUP((AF$1)/10,0)*10,[1]Hugst!$R$4:$W$4,0))))</f>
        <v>0</v>
      </c>
      <c r="AG24" s="168">
        <f>IF($C24-AG$1&lt;År1,0,AF23*(1-VLOOKUP($A24,[1]Hugst!$R$5:$W$9,MATCH(ROUNDUP((AG$1)/10,0)*10,[1]Hugst!$R$4:$W$4,0))))</f>
        <v>0</v>
      </c>
      <c r="AH24" s="168">
        <f>IF($C24-AH$1&lt;År1,0,AG23*(1-VLOOKUP($A24,[1]Hugst!$R$5:$W$9,MATCH(ROUNDUP((AH$1)/10,0)*10,[1]Hugst!$R$4:$W$4,0))))</f>
        <v>0</v>
      </c>
      <c r="AI24" s="168">
        <f>IF($C24-AI$1&lt;År1,0,AH23*(1-VLOOKUP($A24,[1]Hugst!$R$5:$W$9,MATCH(ROUNDUP((AI$1)/10,0)*10,[1]Hugst!$R$4:$W$4,0))))</f>
        <v>0</v>
      </c>
      <c r="AJ24" s="168">
        <f>IF($C24-AJ$1&lt;År1,0,AI23*(1-VLOOKUP($A24,[1]Hugst!$R$5:$W$9,MATCH(ROUNDUP((AJ$1)/10,0)*10,[1]Hugst!$R$4:$W$4,0))))</f>
        <v>0</v>
      </c>
    </row>
    <row r="25" spans="1:38" s="168" customFormat="1" x14ac:dyDescent="0.25">
      <c r="A25" s="168" t="s">
        <v>176</v>
      </c>
      <c r="B25" s="168" t="s">
        <v>23</v>
      </c>
      <c r="C25" s="168">
        <v>2043</v>
      </c>
      <c r="D25" s="168" cm="1">
        <f t="array" ref="D25">(IF(B25="Vestdanmark",Skovbrug!$C$22-(Skovbrug!$C$22)*(1-Skovbrug!$C$9)^(C25-Skovbrug!$B$12),Skovbrug!$F$22-(Skovbrug!$F$22)*(1-Skovbrug!$C$9)^(C25-Skovbrug!$B$12))*VLOOKUP(A25,Skovbrug!$A$13:$D$17,IF('Skovbrug-alder'!C25&lt;=År2,3,4),FALSE)-IF(C25&gt;2020,SUM(INDEX($C$1:$D$311,MATCH(1,(2020=$C$1:$C$311)*(B25=$B$1:$B$311)*(A25=$A$1:$A$311),0),2):D24),0))</f>
        <v>1938.4496753349667</v>
      </c>
      <c r="E25" s="168">
        <f t="shared" ca="1" si="0"/>
        <v>0</v>
      </c>
      <c r="F25" s="168">
        <f ca="1">IF(C25&lt;=År2,IF(B25="Vestdanmark",(Arealanvendelse!$M$27-Arealanvendelse!$J$27),(Arealanvendelse!$M$37-Arealanvendelse!$J$37))/(Arealanvendelse!$M$3-Arealanvendelse!$J$3),IF(B25="Vestdanmark",(Arealanvendelse!$P$27-Arealanvendelse!$M$27),(Arealanvendelse!$P$37-Arealanvendelse!$M$37))/(Arealanvendelse!$P$3-Arealanvendelse!$M$3))*VLOOKUP(A25,Skovbrug!$A$13:$D$17,IF('Skovbrug-alder'!C25&lt;=År2,3,4),FALSE)+D25+E25</f>
        <v>3587.9311568164471</v>
      </c>
      <c r="G25" s="168">
        <f ca="1">IF($C25-G$1&lt;År1,0,F24*(1-VLOOKUP($A25,[1]Hugst!$R$5:$W$9,MATCH(ROUNDUP((G$1)/10,0)*10,[1]Hugst!$R$4:$W$4,0))))</f>
        <v>3597.6721099588526</v>
      </c>
      <c r="H25" s="168">
        <f ca="1">IF($C25-H$1&lt;År1,0,G24*(1-VLOOKUP($A25,[1]Hugst!$R$5:$W$9,MATCH(ROUNDUP((H$1)/10,0)*10,[1]Hugst!$R$4:$W$4,0))))</f>
        <v>3607.4620126145514</v>
      </c>
      <c r="I25" s="168">
        <f ca="1">IF($C25-I$1&lt;År1,0,H24*(1-VLOOKUP($A25,[1]Hugst!$R$5:$W$9,MATCH(ROUNDUP((I$1)/10,0)*10,[1]Hugst!$R$4:$W$4,0))))</f>
        <v>3617.3011107609113</v>
      </c>
      <c r="J25" s="168">
        <f ca="1">IF($C25-J$1&lt;År1,0,I24*(1-VLOOKUP($A25,[1]Hugst!$R$5:$W$9,MATCH(ROUNDUP((J$1)/10,0)*10,[1]Hugst!$R$4:$W$4,0))))</f>
        <v>3627.1896516115144</v>
      </c>
      <c r="K25" s="168">
        <f ca="1">IF($C25-K$1&lt;År1,0,J24*(1-VLOOKUP($A25,[1]Hugst!$R$5:$W$9,MATCH(ROUNDUP((K$1)/10,0)*10,[1]Hugst!$R$4:$W$4,0))))</f>
        <v>3637.1278836223269</v>
      </c>
      <c r="L25" s="168">
        <f ca="1">IF($C25-L$1&lt;År1,0,K24*(1-VLOOKUP($A25,[1]Hugst!$R$5:$W$9,MATCH(ROUNDUP((L$1)/10,0)*10,[1]Hugst!$R$4:$W$4,0))))</f>
        <v>3647.1160564973457</v>
      </c>
      <c r="M25" s="168">
        <f ca="1">IF($C25-M$1&lt;År1,0,L24*(1-VLOOKUP($A25,[1]Hugst!$R$5:$W$9,MATCH(ROUNDUP((M$1)/10,0)*10,[1]Hugst!$R$4:$W$4,0))))</f>
        <v>3657.1544211959322</v>
      </c>
      <c r="N25" s="168">
        <f ca="1">IF($C25-N$1&lt;År1,0,M24*(1-VLOOKUP($A25,[1]Hugst!$R$5:$W$9,MATCH(ROUNDUP((N$1)/10,0)*10,[1]Hugst!$R$4:$W$4,0))))</f>
        <v>3667.2432299382258</v>
      </c>
      <c r="O25" s="168">
        <f ca="1">IF($C25-O$1&lt;År1,0,N24*(1-VLOOKUP($A25,[1]Hugst!$R$5:$W$9,MATCH(ROUNDUP((O$1)/10,0)*10,[1]Hugst!$R$4:$W$4,0))))</f>
        <v>3677.3827362118377</v>
      </c>
      <c r="P25" s="168">
        <f ca="1">IF($C25-P$1&lt;År1,0,O24*(1-VLOOKUP($A25,[1]Hugst!$R$5:$W$9,MATCH(ROUNDUP((P$1)/10,0)*10,[1]Hugst!$R$4:$W$4,0))))</f>
        <v>3687.573194778312</v>
      </c>
      <c r="Q25" s="168">
        <f ca="1">IF($C25-Q$1&lt;År1,0,P24*(1-VLOOKUP($A25,[1]Hugst!$R$5:$W$9,MATCH(ROUNDUP((Q$1)/10,0)*10,[1]Hugst!$R$4:$W$4,0))))</f>
        <v>3697.8148616793537</v>
      </c>
      <c r="R25" s="168">
        <f ca="1">IF($C25-R$1&lt;År1,0,Q24*(1-VLOOKUP($A25,[1]Hugst!$R$5:$W$9,MATCH(ROUNDUP((R$1)/10,0)*10,[1]Hugst!$R$4:$W$4,0))))</f>
        <v>3708.1079942430574</v>
      </c>
      <c r="S25" s="168">
        <f ca="1">IF($C25-S$1&lt;År1,0,R24*(1-VLOOKUP($A25,[1]Hugst!$R$5:$W$9,MATCH(ROUNDUP((S$1)/10,0)*10,[1]Hugst!$R$4:$W$4,0))))</f>
        <v>3718.4528510912414</v>
      </c>
      <c r="T25" s="168">
        <f ca="1">IF($C25-T$1&lt;År1,0,S24*(1-VLOOKUP($A25,[1]Hugst!$R$5:$W$9,MATCH(ROUNDUP((T$1)/10,0)*10,[1]Hugst!$R$4:$W$4,0))))</f>
        <v>3728.8496921444521</v>
      </c>
      <c r="U25" s="168">
        <f ca="1">IF($C25-U$1&lt;År1,0,T24*(1-VLOOKUP($A25,[1]Hugst!$R$5:$W$9,MATCH(ROUNDUP((U$1)/10,0)*10,[1]Hugst!$R$4:$W$4,0))))</f>
        <v>3739.2987786302901</v>
      </c>
      <c r="V25" s="168">
        <f ca="1">IF($C25-V$1&lt;År1,0,U24*(1-VLOOKUP($A25,[1]Hugst!$R$5:$W$9,MATCH(ROUNDUP((V$1)/10,0)*10,[1]Hugst!$R$4:$W$4,0))))</f>
        <v>3749.8003730882983</v>
      </c>
      <c r="W25" s="168">
        <f ca="1">IF($C25-W$1&lt;År1,0,V24*(1-VLOOKUP($A25,[1]Hugst!$R$5:$W$9,MATCH(ROUNDUP((W$1)/10,0)*10,[1]Hugst!$R$4:$W$4,0))))</f>
        <v>3760.3547393777617</v>
      </c>
      <c r="X25" s="168">
        <f ca="1">IF($C25-X$1&lt;År1,0,W24*(1-VLOOKUP($A25,[1]Hugst!$R$5:$W$9,MATCH(ROUNDUP((X$1)/10,0)*10,[1]Hugst!$R$4:$W$4,0))))</f>
        <v>3770.9621426837612</v>
      </c>
      <c r="Y25" s="168">
        <f ca="1">IF($C25-Y$1&lt;År1,0,X24*(1-VLOOKUP($A25,[1]Hugst!$R$5:$W$9,MATCH(ROUNDUP((Y$1)/10,0)*10,[1]Hugst!$R$4:$W$4,0))))</f>
        <v>3781.6228495239839</v>
      </c>
      <c r="Z25" s="168">
        <f ca="1">IF($C25-Z$1&lt;År1,0,Y24*(1-VLOOKUP($A25,[1]Hugst!$R$5:$W$9,MATCH(ROUNDUP((Z$1)/10,0)*10,[1]Hugst!$R$4:$W$4,0))))</f>
        <v>3792.3371277553588</v>
      </c>
      <c r="AA25" s="168">
        <f ca="1">IF($C25-AA$1&lt;År1,0,Z24*(1-VLOOKUP($A25,[1]Hugst!$R$5:$W$9,MATCH(ROUNDUP((AA$1)/10,0)*10,[1]Hugst!$R$4:$W$4,0))))</f>
        <v>3803.1052465808671</v>
      </c>
      <c r="AB25" s="168">
        <f ca="1">IF($C25-AB$1&lt;År1,0,AA24*(1-VLOOKUP($A25,[1]Hugst!$R$5:$W$9,MATCH(ROUNDUP((AB$1)/10,0)*10,[1]Hugst!$R$4:$W$4,0))))</f>
        <v>3813.9274765561777</v>
      </c>
      <c r="AC25" s="168">
        <f ca="1">IF($C25-AC$1&lt;År1,0,AB24*(1-VLOOKUP($A25,[1]Hugst!$R$5:$W$9,MATCH(ROUNDUP((AC$1)/10,0)*10,[1]Hugst!$R$4:$W$4,0))))</f>
        <v>3824.804089596807</v>
      </c>
      <c r="AD25" s="168">
        <f>IF($C25-AD$1&lt;År1,0,AC24*(1-VLOOKUP($A25,[1]Hugst!$R$5:$W$9,MATCH(ROUNDUP((AD$1)/10,0)*10,[1]Hugst!$R$4:$W$4,0))))</f>
        <v>0</v>
      </c>
      <c r="AE25" s="168">
        <f>IF($C25-AE$1&lt;År1,0,AD24*(1-VLOOKUP($A25,[1]Hugst!$R$5:$W$9,MATCH(ROUNDUP((AE$1)/10,0)*10,[1]Hugst!$R$4:$W$4,0))))</f>
        <v>0</v>
      </c>
      <c r="AF25" s="168">
        <f>IF($C25-AF$1&lt;År1,0,AE24*(1-VLOOKUP($A25,[1]Hugst!$R$5:$W$9,MATCH(ROUNDUP((AF$1)/10,0)*10,[1]Hugst!$R$4:$W$4,0))))</f>
        <v>0</v>
      </c>
      <c r="AG25" s="168">
        <f>IF($C25-AG$1&lt;År1,0,AF24*(1-VLOOKUP($A25,[1]Hugst!$R$5:$W$9,MATCH(ROUNDUP((AG$1)/10,0)*10,[1]Hugst!$R$4:$W$4,0))))</f>
        <v>0</v>
      </c>
      <c r="AH25" s="168">
        <f>IF($C25-AH$1&lt;År1,0,AG24*(1-VLOOKUP($A25,[1]Hugst!$R$5:$W$9,MATCH(ROUNDUP((AH$1)/10,0)*10,[1]Hugst!$R$4:$W$4,0))))</f>
        <v>0</v>
      </c>
      <c r="AI25" s="168">
        <f>IF($C25-AI$1&lt;År1,0,AH24*(1-VLOOKUP($A25,[1]Hugst!$R$5:$W$9,MATCH(ROUNDUP((AI$1)/10,0)*10,[1]Hugst!$R$4:$W$4,0))))</f>
        <v>0</v>
      </c>
      <c r="AJ25" s="168">
        <f>IF($C25-AJ$1&lt;År1,0,AI24*(1-VLOOKUP($A25,[1]Hugst!$R$5:$W$9,MATCH(ROUNDUP((AJ$1)/10,0)*10,[1]Hugst!$R$4:$W$4,0))))</f>
        <v>0</v>
      </c>
    </row>
    <row r="26" spans="1:38" s="168" customFormat="1" x14ac:dyDescent="0.25">
      <c r="A26" s="168" t="s">
        <v>176</v>
      </c>
      <c r="B26" s="168" t="s">
        <v>23</v>
      </c>
      <c r="C26" s="168">
        <v>2044</v>
      </c>
      <c r="D26" s="168" cm="1">
        <f t="array" ref="D26">(IF(B26="Vestdanmark",Skovbrug!$C$22-(Skovbrug!$C$22)*(1-Skovbrug!$C$9)^(C26-Skovbrug!$B$12),Skovbrug!$F$22-(Skovbrug!$F$22)*(1-Skovbrug!$C$9)^(C26-Skovbrug!$B$12))*VLOOKUP(A26,Skovbrug!$A$13:$D$17,IF('Skovbrug-alder'!C26&lt;=År2,3,4),FALSE)-IF(C26&gt;2020,SUM(INDEX($C$1:$D$311,MATCH(1,(2020=$C$1:$C$311)*(B26=$B$1:$B$311)*(A26=$A$1:$A$311),0),2):D25),0))</f>
        <v>1928.7574269582983</v>
      </c>
      <c r="E26" s="168">
        <f t="shared" ca="1" si="0"/>
        <v>0</v>
      </c>
      <c r="F26" s="168">
        <f ca="1">IF(C26&lt;=År2,IF(B26="Vestdanmark",(Arealanvendelse!$M$27-Arealanvendelse!$J$27),(Arealanvendelse!$M$37-Arealanvendelse!$J$37))/(Arealanvendelse!$M$3-Arealanvendelse!$J$3),IF(B26="Vestdanmark",(Arealanvendelse!$P$27-Arealanvendelse!$M$27),(Arealanvendelse!$P$37-Arealanvendelse!$M$37))/(Arealanvendelse!$P$3-Arealanvendelse!$M$3))*VLOOKUP(A26,Skovbrug!$A$13:$D$17,IF('Skovbrug-alder'!C26&lt;=År2,3,4),FALSE)+D26+E26</f>
        <v>3578.2389084397787</v>
      </c>
      <c r="G26" s="168">
        <f ca="1">IF($C26-G$1&lt;År1,0,F25*(1-VLOOKUP($A26,[1]Hugst!$R$5:$W$9,MATCH(ROUNDUP((G$1)/10,0)*10,[1]Hugst!$R$4:$W$4,0))))</f>
        <v>3587.9311568164471</v>
      </c>
      <c r="H26" s="168">
        <f ca="1">IF($C26-H$1&lt;År1,0,G25*(1-VLOOKUP($A26,[1]Hugst!$R$5:$W$9,MATCH(ROUNDUP((H$1)/10,0)*10,[1]Hugst!$R$4:$W$4,0))))</f>
        <v>3597.6721099588526</v>
      </c>
      <c r="I26" s="168">
        <f ca="1">IF($C26-I$1&lt;År1,0,H25*(1-VLOOKUP($A26,[1]Hugst!$R$5:$W$9,MATCH(ROUNDUP((I$1)/10,0)*10,[1]Hugst!$R$4:$W$4,0))))</f>
        <v>3607.4620126145514</v>
      </c>
      <c r="J26" s="168">
        <f ca="1">IF($C26-J$1&lt;År1,0,I25*(1-VLOOKUP($A26,[1]Hugst!$R$5:$W$9,MATCH(ROUNDUP((J$1)/10,0)*10,[1]Hugst!$R$4:$W$4,0))))</f>
        <v>3617.3011107609113</v>
      </c>
      <c r="K26" s="168">
        <f ca="1">IF($C26-K$1&lt;År1,0,J25*(1-VLOOKUP($A26,[1]Hugst!$R$5:$W$9,MATCH(ROUNDUP((K$1)/10,0)*10,[1]Hugst!$R$4:$W$4,0))))</f>
        <v>3627.1896516115144</v>
      </c>
      <c r="L26" s="168">
        <f ca="1">IF($C26-L$1&lt;År1,0,K25*(1-VLOOKUP($A26,[1]Hugst!$R$5:$W$9,MATCH(ROUNDUP((L$1)/10,0)*10,[1]Hugst!$R$4:$W$4,0))))</f>
        <v>3637.1278836223269</v>
      </c>
      <c r="M26" s="168">
        <f ca="1">IF($C26-M$1&lt;År1,0,L25*(1-VLOOKUP($A26,[1]Hugst!$R$5:$W$9,MATCH(ROUNDUP((M$1)/10,0)*10,[1]Hugst!$R$4:$W$4,0))))</f>
        <v>3647.1160564973457</v>
      </c>
      <c r="N26" s="168">
        <f ca="1">IF($C26-N$1&lt;År1,0,M25*(1-VLOOKUP($A26,[1]Hugst!$R$5:$W$9,MATCH(ROUNDUP((N$1)/10,0)*10,[1]Hugst!$R$4:$W$4,0))))</f>
        <v>3657.1544211959322</v>
      </c>
      <c r="O26" s="168">
        <f ca="1">IF($C26-O$1&lt;År1,0,N25*(1-VLOOKUP($A26,[1]Hugst!$R$5:$W$9,MATCH(ROUNDUP((O$1)/10,0)*10,[1]Hugst!$R$4:$W$4,0))))</f>
        <v>3667.2432299382258</v>
      </c>
      <c r="P26" s="168">
        <f ca="1">IF($C26-P$1&lt;År1,0,O25*(1-VLOOKUP($A26,[1]Hugst!$R$5:$W$9,MATCH(ROUNDUP((P$1)/10,0)*10,[1]Hugst!$R$4:$W$4,0))))</f>
        <v>3677.3827362118377</v>
      </c>
      <c r="Q26" s="168">
        <f ca="1">IF($C26-Q$1&lt;År1,0,P25*(1-VLOOKUP($A26,[1]Hugst!$R$5:$W$9,MATCH(ROUNDUP((Q$1)/10,0)*10,[1]Hugst!$R$4:$W$4,0))))</f>
        <v>3687.573194778312</v>
      </c>
      <c r="R26" s="168">
        <f ca="1">IF($C26-R$1&lt;År1,0,Q25*(1-VLOOKUP($A26,[1]Hugst!$R$5:$W$9,MATCH(ROUNDUP((R$1)/10,0)*10,[1]Hugst!$R$4:$W$4,0))))</f>
        <v>3697.8148616793537</v>
      </c>
      <c r="S26" s="168">
        <f ca="1">IF($C26-S$1&lt;År1,0,R25*(1-VLOOKUP($A26,[1]Hugst!$R$5:$W$9,MATCH(ROUNDUP((S$1)/10,0)*10,[1]Hugst!$R$4:$W$4,0))))</f>
        <v>3708.1079942430574</v>
      </c>
      <c r="T26" s="168">
        <f ca="1">IF($C26-T$1&lt;År1,0,S25*(1-VLOOKUP($A26,[1]Hugst!$R$5:$W$9,MATCH(ROUNDUP((T$1)/10,0)*10,[1]Hugst!$R$4:$W$4,0))))</f>
        <v>3718.4528510912414</v>
      </c>
      <c r="U26" s="168">
        <f ca="1">IF($C26-U$1&lt;År1,0,T25*(1-VLOOKUP($A26,[1]Hugst!$R$5:$W$9,MATCH(ROUNDUP((U$1)/10,0)*10,[1]Hugst!$R$4:$W$4,0))))</f>
        <v>3728.8496921444521</v>
      </c>
      <c r="V26" s="168">
        <f ca="1">IF($C26-V$1&lt;År1,0,U25*(1-VLOOKUP($A26,[1]Hugst!$R$5:$W$9,MATCH(ROUNDUP((V$1)/10,0)*10,[1]Hugst!$R$4:$W$4,0))))</f>
        <v>3739.2987786302901</v>
      </c>
      <c r="W26" s="168">
        <f ca="1">IF($C26-W$1&lt;År1,0,V25*(1-VLOOKUP($A26,[1]Hugst!$R$5:$W$9,MATCH(ROUNDUP((W$1)/10,0)*10,[1]Hugst!$R$4:$W$4,0))))</f>
        <v>3749.8003730882983</v>
      </c>
      <c r="X26" s="168">
        <f ca="1">IF($C26-X$1&lt;År1,0,W25*(1-VLOOKUP($A26,[1]Hugst!$R$5:$W$9,MATCH(ROUNDUP((X$1)/10,0)*10,[1]Hugst!$R$4:$W$4,0))))</f>
        <v>3760.3547393777617</v>
      </c>
      <c r="Y26" s="168">
        <f ca="1">IF($C26-Y$1&lt;År1,0,X25*(1-VLOOKUP($A26,[1]Hugst!$R$5:$W$9,MATCH(ROUNDUP((Y$1)/10,0)*10,[1]Hugst!$R$4:$W$4,0))))</f>
        <v>3770.9621426837612</v>
      </c>
      <c r="Z26" s="168">
        <f ca="1">IF($C26-Z$1&lt;År1,0,Y25*(1-VLOOKUP($A26,[1]Hugst!$R$5:$W$9,MATCH(ROUNDUP((Z$1)/10,0)*10,[1]Hugst!$R$4:$W$4,0))))</f>
        <v>3781.6228495239839</v>
      </c>
      <c r="AA26" s="168">
        <f ca="1">IF($C26-AA$1&lt;År1,0,Z25*(1-VLOOKUP($A26,[1]Hugst!$R$5:$W$9,MATCH(ROUNDUP((AA$1)/10,0)*10,[1]Hugst!$R$4:$W$4,0))))</f>
        <v>3792.3371277553588</v>
      </c>
      <c r="AB26" s="168">
        <f ca="1">IF($C26-AB$1&lt;År1,0,AA25*(1-VLOOKUP($A26,[1]Hugst!$R$5:$W$9,MATCH(ROUNDUP((AB$1)/10,0)*10,[1]Hugst!$R$4:$W$4,0))))</f>
        <v>3803.1052465808671</v>
      </c>
      <c r="AC26" s="168">
        <f ca="1">IF($C26-AC$1&lt;År1,0,AB25*(1-VLOOKUP($A26,[1]Hugst!$R$5:$W$9,MATCH(ROUNDUP((AC$1)/10,0)*10,[1]Hugst!$R$4:$W$4,0))))</f>
        <v>3813.9274765561777</v>
      </c>
      <c r="AD26" s="168">
        <f ca="1">IF($C26-AD$1&lt;År1,0,AC25*(1-VLOOKUP($A26,[1]Hugst!$R$5:$W$9,MATCH(ROUNDUP((AD$1)/10,0)*10,[1]Hugst!$R$4:$W$4,0))))</f>
        <v>3824.804089596807</v>
      </c>
      <c r="AE26" s="168">
        <f>IF($C26-AE$1&lt;År1,0,AD25*(1-VLOOKUP($A26,[1]Hugst!$R$5:$W$9,MATCH(ROUNDUP((AE$1)/10,0)*10,[1]Hugst!$R$4:$W$4,0))))</f>
        <v>0</v>
      </c>
      <c r="AF26" s="168">
        <f>IF($C26-AF$1&lt;År1,0,AE25*(1-VLOOKUP($A26,[1]Hugst!$R$5:$W$9,MATCH(ROUNDUP((AF$1)/10,0)*10,[1]Hugst!$R$4:$W$4,0))))</f>
        <v>0</v>
      </c>
      <c r="AG26" s="168">
        <f>IF($C26-AG$1&lt;År1,0,AF25*(1-VLOOKUP($A26,[1]Hugst!$R$5:$W$9,MATCH(ROUNDUP((AG$1)/10,0)*10,[1]Hugst!$R$4:$W$4,0))))</f>
        <v>0</v>
      </c>
      <c r="AH26" s="168">
        <f>IF($C26-AH$1&lt;År1,0,AG25*(1-VLOOKUP($A26,[1]Hugst!$R$5:$W$9,MATCH(ROUNDUP((AH$1)/10,0)*10,[1]Hugst!$R$4:$W$4,0))))</f>
        <v>0</v>
      </c>
      <c r="AI26" s="168">
        <f>IF($C26-AI$1&lt;År1,0,AH25*(1-VLOOKUP($A26,[1]Hugst!$R$5:$W$9,MATCH(ROUNDUP((AI$1)/10,0)*10,[1]Hugst!$R$4:$W$4,0))))</f>
        <v>0</v>
      </c>
      <c r="AJ26" s="168">
        <f>IF($C26-AJ$1&lt;År1,0,AI25*(1-VLOOKUP($A26,[1]Hugst!$R$5:$W$9,MATCH(ROUNDUP((AJ$1)/10,0)*10,[1]Hugst!$R$4:$W$4,0))))</f>
        <v>0</v>
      </c>
    </row>
    <row r="27" spans="1:38" s="168" customFormat="1" x14ac:dyDescent="0.25">
      <c r="A27" s="168" t="s">
        <v>176</v>
      </c>
      <c r="B27" s="168" t="s">
        <v>23</v>
      </c>
      <c r="C27" s="168">
        <v>2045</v>
      </c>
      <c r="D27" s="168" cm="1">
        <f t="array" ref="D27">(IF(B27="Vestdanmark",Skovbrug!$C$22-(Skovbrug!$C$22)*(1-Skovbrug!$C$9)^(C27-Skovbrug!$B$12),Skovbrug!$F$22-(Skovbrug!$F$22)*(1-Skovbrug!$C$9)^(C27-Skovbrug!$B$12))*VLOOKUP(A27,Skovbrug!$A$13:$D$17,IF('Skovbrug-alder'!C27&lt;=År2,3,4),FALSE)-IF(C27&gt;2020,SUM(INDEX($C$1:$D$311,MATCH(1,(2020=$C$1:$C$311)*(B27=$B$1:$B$311)*(A27=$A$1:$A$311),0),2):D26),0))</f>
        <v>1919.1136398235103</v>
      </c>
      <c r="E27" s="168">
        <f t="shared" ca="1" si="0"/>
        <v>0</v>
      </c>
      <c r="F27" s="168">
        <f ca="1">IF(C27&lt;=År2,IF(B27="Vestdanmark",(Arealanvendelse!$M$27-Arealanvendelse!$J$27),(Arealanvendelse!$M$37-Arealanvendelse!$J$37))/(Arealanvendelse!$M$3-Arealanvendelse!$J$3),IF(B27="Vestdanmark",(Arealanvendelse!$P$27-Arealanvendelse!$M$27),(Arealanvendelse!$P$37-Arealanvendelse!$M$37))/(Arealanvendelse!$P$3-Arealanvendelse!$M$3))*VLOOKUP(A27,Skovbrug!$A$13:$D$17,IF('Skovbrug-alder'!C27&lt;=År2,3,4),FALSE)+D27+E27</f>
        <v>3568.5951213049907</v>
      </c>
      <c r="G27" s="168">
        <f ca="1">IF($C27-G$1&lt;År1,0,F26*(1-VLOOKUP($A27,[1]Hugst!$R$5:$W$9,MATCH(ROUNDUP((G$1)/10,0)*10,[1]Hugst!$R$4:$W$4,0))))</f>
        <v>3578.2389084397787</v>
      </c>
      <c r="H27" s="168">
        <f ca="1">IF($C27-H$1&lt;År1,0,G26*(1-VLOOKUP($A27,[1]Hugst!$R$5:$W$9,MATCH(ROUNDUP((H$1)/10,0)*10,[1]Hugst!$R$4:$W$4,0))))</f>
        <v>3587.9311568164471</v>
      </c>
      <c r="I27" s="168">
        <f ca="1">IF($C27-I$1&lt;År1,0,H26*(1-VLOOKUP($A27,[1]Hugst!$R$5:$W$9,MATCH(ROUNDUP((I$1)/10,0)*10,[1]Hugst!$R$4:$W$4,0))))</f>
        <v>3597.6721099588526</v>
      </c>
      <c r="J27" s="168">
        <f ca="1">IF($C27-J$1&lt;År1,0,I26*(1-VLOOKUP($A27,[1]Hugst!$R$5:$W$9,MATCH(ROUNDUP((J$1)/10,0)*10,[1]Hugst!$R$4:$W$4,0))))</f>
        <v>3607.4620126145514</v>
      </c>
      <c r="K27" s="168">
        <f ca="1">IF($C27-K$1&lt;År1,0,J26*(1-VLOOKUP($A27,[1]Hugst!$R$5:$W$9,MATCH(ROUNDUP((K$1)/10,0)*10,[1]Hugst!$R$4:$W$4,0))))</f>
        <v>3617.3011107609113</v>
      </c>
      <c r="L27" s="168">
        <f ca="1">IF($C27-L$1&lt;År1,0,K26*(1-VLOOKUP($A27,[1]Hugst!$R$5:$W$9,MATCH(ROUNDUP((L$1)/10,0)*10,[1]Hugst!$R$4:$W$4,0))))</f>
        <v>3627.1896516115144</v>
      </c>
      <c r="M27" s="168">
        <f ca="1">IF($C27-M$1&lt;År1,0,L26*(1-VLOOKUP($A27,[1]Hugst!$R$5:$W$9,MATCH(ROUNDUP((M$1)/10,0)*10,[1]Hugst!$R$4:$W$4,0))))</f>
        <v>3637.1278836223269</v>
      </c>
      <c r="N27" s="168">
        <f ca="1">IF($C27-N$1&lt;År1,0,M26*(1-VLOOKUP($A27,[1]Hugst!$R$5:$W$9,MATCH(ROUNDUP((N$1)/10,0)*10,[1]Hugst!$R$4:$W$4,0))))</f>
        <v>3647.1160564973457</v>
      </c>
      <c r="O27" s="168">
        <f ca="1">IF($C27-O$1&lt;År1,0,N26*(1-VLOOKUP($A27,[1]Hugst!$R$5:$W$9,MATCH(ROUNDUP((O$1)/10,0)*10,[1]Hugst!$R$4:$W$4,0))))</f>
        <v>3657.1544211959322</v>
      </c>
      <c r="P27" s="168">
        <f ca="1">IF($C27-P$1&lt;År1,0,O26*(1-VLOOKUP($A27,[1]Hugst!$R$5:$W$9,MATCH(ROUNDUP((P$1)/10,0)*10,[1]Hugst!$R$4:$W$4,0))))</f>
        <v>3667.2432299382258</v>
      </c>
      <c r="Q27" s="168">
        <f ca="1">IF($C27-Q$1&lt;År1,0,P26*(1-VLOOKUP($A27,[1]Hugst!$R$5:$W$9,MATCH(ROUNDUP((Q$1)/10,0)*10,[1]Hugst!$R$4:$W$4,0))))</f>
        <v>3677.3827362118377</v>
      </c>
      <c r="R27" s="168">
        <f ca="1">IF($C27-R$1&lt;År1,0,Q26*(1-VLOOKUP($A27,[1]Hugst!$R$5:$W$9,MATCH(ROUNDUP((R$1)/10,0)*10,[1]Hugst!$R$4:$W$4,0))))</f>
        <v>3687.573194778312</v>
      </c>
      <c r="S27" s="168">
        <f ca="1">IF($C27-S$1&lt;År1,0,R26*(1-VLOOKUP($A27,[1]Hugst!$R$5:$W$9,MATCH(ROUNDUP((S$1)/10,0)*10,[1]Hugst!$R$4:$W$4,0))))</f>
        <v>3697.8148616793537</v>
      </c>
      <c r="T27" s="168">
        <f ca="1">IF($C27-T$1&lt;År1,0,S26*(1-VLOOKUP($A27,[1]Hugst!$R$5:$W$9,MATCH(ROUNDUP((T$1)/10,0)*10,[1]Hugst!$R$4:$W$4,0))))</f>
        <v>3708.1079942430574</v>
      </c>
      <c r="U27" s="168">
        <f ca="1">IF($C27-U$1&lt;År1,0,T26*(1-VLOOKUP($A27,[1]Hugst!$R$5:$W$9,MATCH(ROUNDUP((U$1)/10,0)*10,[1]Hugst!$R$4:$W$4,0))))</f>
        <v>3718.4528510912414</v>
      </c>
      <c r="V27" s="168">
        <f ca="1">IF($C27-V$1&lt;År1,0,U26*(1-VLOOKUP($A27,[1]Hugst!$R$5:$W$9,MATCH(ROUNDUP((V$1)/10,0)*10,[1]Hugst!$R$4:$W$4,0))))</f>
        <v>3728.8496921444521</v>
      </c>
      <c r="W27" s="168">
        <f ca="1">IF($C27-W$1&lt;År1,0,V26*(1-VLOOKUP($A27,[1]Hugst!$R$5:$W$9,MATCH(ROUNDUP((W$1)/10,0)*10,[1]Hugst!$R$4:$W$4,0))))</f>
        <v>3739.2987786302901</v>
      </c>
      <c r="X27" s="168">
        <f ca="1">IF($C27-X$1&lt;År1,0,W26*(1-VLOOKUP($A27,[1]Hugst!$R$5:$W$9,MATCH(ROUNDUP((X$1)/10,0)*10,[1]Hugst!$R$4:$W$4,0))))</f>
        <v>3749.8003730882983</v>
      </c>
      <c r="Y27" s="168">
        <f ca="1">IF($C27-Y$1&lt;År1,0,X26*(1-VLOOKUP($A27,[1]Hugst!$R$5:$W$9,MATCH(ROUNDUP((Y$1)/10,0)*10,[1]Hugst!$R$4:$W$4,0))))</f>
        <v>3760.3547393777617</v>
      </c>
      <c r="Z27" s="168">
        <f ca="1">IF($C27-Z$1&lt;År1,0,Y26*(1-VLOOKUP($A27,[1]Hugst!$R$5:$W$9,MATCH(ROUNDUP((Z$1)/10,0)*10,[1]Hugst!$R$4:$W$4,0))))</f>
        <v>3770.9621426837612</v>
      </c>
      <c r="AA27" s="168">
        <f ca="1">IF($C27-AA$1&lt;År1,0,Z26*(1-VLOOKUP($A27,[1]Hugst!$R$5:$W$9,MATCH(ROUNDUP((AA$1)/10,0)*10,[1]Hugst!$R$4:$W$4,0))))</f>
        <v>3781.6228495239839</v>
      </c>
      <c r="AB27" s="168">
        <f ca="1">IF($C27-AB$1&lt;År1,0,AA26*(1-VLOOKUP($A27,[1]Hugst!$R$5:$W$9,MATCH(ROUNDUP((AB$1)/10,0)*10,[1]Hugst!$R$4:$W$4,0))))</f>
        <v>3792.3371277553588</v>
      </c>
      <c r="AC27" s="168">
        <f ca="1">IF($C27-AC$1&lt;År1,0,AB26*(1-VLOOKUP($A27,[1]Hugst!$R$5:$W$9,MATCH(ROUNDUP((AC$1)/10,0)*10,[1]Hugst!$R$4:$W$4,0))))</f>
        <v>3803.1052465808671</v>
      </c>
      <c r="AD27" s="168">
        <f ca="1">IF($C27-AD$1&lt;År1,0,AC26*(1-VLOOKUP($A27,[1]Hugst!$R$5:$W$9,MATCH(ROUNDUP((AD$1)/10,0)*10,[1]Hugst!$R$4:$W$4,0))))</f>
        <v>3813.9274765561777</v>
      </c>
      <c r="AE27" s="168">
        <f ca="1">IF($C27-AE$1&lt;År1,0,AD26*(1-VLOOKUP($A27,[1]Hugst!$R$5:$W$9,MATCH(ROUNDUP((AE$1)/10,0)*10,[1]Hugst!$R$4:$W$4,0))))</f>
        <v>3824.804089596807</v>
      </c>
      <c r="AF27" s="168">
        <f>IF($C27-AF$1&lt;År1,0,AE26*(1-VLOOKUP($A27,[1]Hugst!$R$5:$W$9,MATCH(ROUNDUP((AF$1)/10,0)*10,[1]Hugst!$R$4:$W$4,0))))</f>
        <v>0</v>
      </c>
      <c r="AG27" s="168">
        <f>IF($C27-AG$1&lt;År1,0,AF26*(1-VLOOKUP($A27,[1]Hugst!$R$5:$W$9,MATCH(ROUNDUP((AG$1)/10,0)*10,[1]Hugst!$R$4:$W$4,0))))</f>
        <v>0</v>
      </c>
      <c r="AH27" s="168">
        <f>IF($C27-AH$1&lt;År1,0,AG26*(1-VLOOKUP($A27,[1]Hugst!$R$5:$W$9,MATCH(ROUNDUP((AH$1)/10,0)*10,[1]Hugst!$R$4:$W$4,0))))</f>
        <v>0</v>
      </c>
      <c r="AI27" s="168">
        <f>IF($C27-AI$1&lt;År1,0,AH26*(1-VLOOKUP($A27,[1]Hugst!$R$5:$W$9,MATCH(ROUNDUP((AI$1)/10,0)*10,[1]Hugst!$R$4:$W$4,0))))</f>
        <v>0</v>
      </c>
      <c r="AJ27" s="168">
        <f>IF($C27-AJ$1&lt;År1,0,AI26*(1-VLOOKUP($A27,[1]Hugst!$R$5:$W$9,MATCH(ROUNDUP((AJ$1)/10,0)*10,[1]Hugst!$R$4:$W$4,0))))</f>
        <v>0</v>
      </c>
    </row>
    <row r="28" spans="1:38" s="168" customFormat="1" x14ac:dyDescent="0.25">
      <c r="A28" s="168" t="s">
        <v>176</v>
      </c>
      <c r="B28" s="168" t="s">
        <v>23</v>
      </c>
      <c r="C28" s="168">
        <v>2046</v>
      </c>
      <c r="D28" s="168" cm="1">
        <f t="array" ref="D28">(IF(B28="Vestdanmark",Skovbrug!$C$22-(Skovbrug!$C$22)*(1-Skovbrug!$C$9)^(C28-Skovbrug!$B$12),Skovbrug!$F$22-(Skovbrug!$F$22)*(1-Skovbrug!$C$9)^(C28-Skovbrug!$B$12))*VLOOKUP(A28,Skovbrug!$A$13:$D$17,IF('Skovbrug-alder'!C28&lt;=År2,3,4),FALSE)-IF(C28&gt;2020,SUM(INDEX($C$1:$D$311,MATCH(1,(2020=$C$1:$C$311)*(B28=$B$1:$B$311)*(A28=$A$1:$A$311),0),2):D27),0))</f>
        <v>1909.5180716244504</v>
      </c>
      <c r="E28" s="168">
        <f t="shared" ca="1" si="0"/>
        <v>0</v>
      </c>
      <c r="F28" s="168">
        <f ca="1">IF(C28&lt;=År2,IF(B28="Vestdanmark",(Arealanvendelse!$M$27-Arealanvendelse!$J$27),(Arealanvendelse!$M$37-Arealanvendelse!$J$37))/(Arealanvendelse!$M$3-Arealanvendelse!$J$3),IF(B28="Vestdanmark",(Arealanvendelse!$P$27-Arealanvendelse!$M$27),(Arealanvendelse!$P$37-Arealanvendelse!$M$37))/(Arealanvendelse!$P$3-Arealanvendelse!$M$3))*VLOOKUP(A28,Skovbrug!$A$13:$D$17,IF('Skovbrug-alder'!C28&lt;=År2,3,4),FALSE)+D28+E28</f>
        <v>3558.9995531059308</v>
      </c>
      <c r="G28" s="168">
        <f ca="1">IF($C28-G$1&lt;År1,0,F27*(1-VLOOKUP($A28,[1]Hugst!$R$5:$W$9,MATCH(ROUNDUP((G$1)/10,0)*10,[1]Hugst!$R$4:$W$4,0))))</f>
        <v>3568.5951213049907</v>
      </c>
      <c r="H28" s="168">
        <f ca="1">IF($C28-H$1&lt;År1,0,G27*(1-VLOOKUP($A28,[1]Hugst!$R$5:$W$9,MATCH(ROUNDUP((H$1)/10,0)*10,[1]Hugst!$R$4:$W$4,0))))</f>
        <v>3578.2389084397787</v>
      </c>
      <c r="I28" s="168">
        <f ca="1">IF($C28-I$1&lt;År1,0,H27*(1-VLOOKUP($A28,[1]Hugst!$R$5:$W$9,MATCH(ROUNDUP((I$1)/10,0)*10,[1]Hugst!$R$4:$W$4,0))))</f>
        <v>3587.9311568164471</v>
      </c>
      <c r="J28" s="168">
        <f ca="1">IF($C28-J$1&lt;År1,0,I27*(1-VLOOKUP($A28,[1]Hugst!$R$5:$W$9,MATCH(ROUNDUP((J$1)/10,0)*10,[1]Hugst!$R$4:$W$4,0))))</f>
        <v>3597.6721099588526</v>
      </c>
      <c r="K28" s="168">
        <f ca="1">IF($C28-K$1&lt;År1,0,J27*(1-VLOOKUP($A28,[1]Hugst!$R$5:$W$9,MATCH(ROUNDUP((K$1)/10,0)*10,[1]Hugst!$R$4:$W$4,0))))</f>
        <v>3607.4620126145514</v>
      </c>
      <c r="L28" s="168">
        <f ca="1">IF($C28-L$1&lt;År1,0,K27*(1-VLOOKUP($A28,[1]Hugst!$R$5:$W$9,MATCH(ROUNDUP((L$1)/10,0)*10,[1]Hugst!$R$4:$W$4,0))))</f>
        <v>3617.3011107609113</v>
      </c>
      <c r="M28" s="168">
        <f ca="1">IF($C28-M$1&lt;År1,0,L27*(1-VLOOKUP($A28,[1]Hugst!$R$5:$W$9,MATCH(ROUNDUP((M$1)/10,0)*10,[1]Hugst!$R$4:$W$4,0))))</f>
        <v>3627.1896516115144</v>
      </c>
      <c r="N28" s="168">
        <f ca="1">IF($C28-N$1&lt;År1,0,M27*(1-VLOOKUP($A28,[1]Hugst!$R$5:$W$9,MATCH(ROUNDUP((N$1)/10,0)*10,[1]Hugst!$R$4:$W$4,0))))</f>
        <v>3637.1278836223269</v>
      </c>
      <c r="O28" s="168">
        <f ca="1">IF($C28-O$1&lt;År1,0,N27*(1-VLOOKUP($A28,[1]Hugst!$R$5:$W$9,MATCH(ROUNDUP((O$1)/10,0)*10,[1]Hugst!$R$4:$W$4,0))))</f>
        <v>3647.1160564973457</v>
      </c>
      <c r="P28" s="168">
        <f ca="1">IF($C28-P$1&lt;År1,0,O27*(1-VLOOKUP($A28,[1]Hugst!$R$5:$W$9,MATCH(ROUNDUP((P$1)/10,0)*10,[1]Hugst!$R$4:$W$4,0))))</f>
        <v>3657.1544211959322</v>
      </c>
      <c r="Q28" s="168">
        <f ca="1">IF($C28-Q$1&lt;År1,0,P27*(1-VLOOKUP($A28,[1]Hugst!$R$5:$W$9,MATCH(ROUNDUP((Q$1)/10,0)*10,[1]Hugst!$R$4:$W$4,0))))</f>
        <v>3667.2432299382258</v>
      </c>
      <c r="R28" s="168">
        <f ca="1">IF($C28-R$1&lt;År1,0,Q27*(1-VLOOKUP($A28,[1]Hugst!$R$5:$W$9,MATCH(ROUNDUP((R$1)/10,0)*10,[1]Hugst!$R$4:$W$4,0))))</f>
        <v>3677.3827362118377</v>
      </c>
      <c r="S28" s="168">
        <f ca="1">IF($C28-S$1&lt;År1,0,R27*(1-VLOOKUP($A28,[1]Hugst!$R$5:$W$9,MATCH(ROUNDUP((S$1)/10,0)*10,[1]Hugst!$R$4:$W$4,0))))</f>
        <v>3687.573194778312</v>
      </c>
      <c r="T28" s="168">
        <f ca="1">IF($C28-T$1&lt;År1,0,S27*(1-VLOOKUP($A28,[1]Hugst!$R$5:$W$9,MATCH(ROUNDUP((T$1)/10,0)*10,[1]Hugst!$R$4:$W$4,0))))</f>
        <v>3697.8148616793537</v>
      </c>
      <c r="U28" s="168">
        <f ca="1">IF($C28-U$1&lt;År1,0,T27*(1-VLOOKUP($A28,[1]Hugst!$R$5:$W$9,MATCH(ROUNDUP((U$1)/10,0)*10,[1]Hugst!$R$4:$W$4,0))))</f>
        <v>3708.1079942430574</v>
      </c>
      <c r="V28" s="168">
        <f ca="1">IF($C28-V$1&lt;År1,0,U27*(1-VLOOKUP($A28,[1]Hugst!$R$5:$W$9,MATCH(ROUNDUP((V$1)/10,0)*10,[1]Hugst!$R$4:$W$4,0))))</f>
        <v>3718.4528510912414</v>
      </c>
      <c r="W28" s="168">
        <f ca="1">IF($C28-W$1&lt;År1,0,V27*(1-VLOOKUP($A28,[1]Hugst!$R$5:$W$9,MATCH(ROUNDUP((W$1)/10,0)*10,[1]Hugst!$R$4:$W$4,0))))</f>
        <v>3728.8496921444521</v>
      </c>
      <c r="X28" s="168">
        <f ca="1">IF($C28-X$1&lt;År1,0,W27*(1-VLOOKUP($A28,[1]Hugst!$R$5:$W$9,MATCH(ROUNDUP((X$1)/10,0)*10,[1]Hugst!$R$4:$W$4,0))))</f>
        <v>3739.2987786302901</v>
      </c>
      <c r="Y28" s="168">
        <f ca="1">IF($C28-Y$1&lt;År1,0,X27*(1-VLOOKUP($A28,[1]Hugst!$R$5:$W$9,MATCH(ROUNDUP((Y$1)/10,0)*10,[1]Hugst!$R$4:$W$4,0))))</f>
        <v>3749.8003730882983</v>
      </c>
      <c r="Z28" s="168">
        <f ca="1">IF($C28-Z$1&lt;År1,0,Y27*(1-VLOOKUP($A28,[1]Hugst!$R$5:$W$9,MATCH(ROUNDUP((Z$1)/10,0)*10,[1]Hugst!$R$4:$W$4,0))))</f>
        <v>3760.3547393777617</v>
      </c>
      <c r="AA28" s="168">
        <f ca="1">IF($C28-AA$1&lt;År1,0,Z27*(1-VLOOKUP($A28,[1]Hugst!$R$5:$W$9,MATCH(ROUNDUP((AA$1)/10,0)*10,[1]Hugst!$R$4:$W$4,0))))</f>
        <v>3770.9621426837612</v>
      </c>
      <c r="AB28" s="168">
        <f ca="1">IF($C28-AB$1&lt;År1,0,AA27*(1-VLOOKUP($A28,[1]Hugst!$R$5:$W$9,MATCH(ROUNDUP((AB$1)/10,0)*10,[1]Hugst!$R$4:$W$4,0))))</f>
        <v>3781.6228495239839</v>
      </c>
      <c r="AC28" s="168">
        <f ca="1">IF($C28-AC$1&lt;År1,0,AB27*(1-VLOOKUP($A28,[1]Hugst!$R$5:$W$9,MATCH(ROUNDUP((AC$1)/10,0)*10,[1]Hugst!$R$4:$W$4,0))))</f>
        <v>3792.3371277553588</v>
      </c>
      <c r="AD28" s="168">
        <f ca="1">IF($C28-AD$1&lt;År1,0,AC27*(1-VLOOKUP($A28,[1]Hugst!$R$5:$W$9,MATCH(ROUNDUP((AD$1)/10,0)*10,[1]Hugst!$R$4:$W$4,0))))</f>
        <v>3803.1052465808671</v>
      </c>
      <c r="AE28" s="168">
        <f ca="1">IF($C28-AE$1&lt;År1,0,AD27*(1-VLOOKUP($A28,[1]Hugst!$R$5:$W$9,MATCH(ROUNDUP((AE$1)/10,0)*10,[1]Hugst!$R$4:$W$4,0))))</f>
        <v>3813.9274765561777</v>
      </c>
      <c r="AF28" s="168">
        <f ca="1">IF($C28-AF$1&lt;År1,0,AE27*(1-VLOOKUP($A28,[1]Hugst!$R$5:$W$9,MATCH(ROUNDUP((AF$1)/10,0)*10,[1]Hugst!$R$4:$W$4,0))))</f>
        <v>3824.804089596807</v>
      </c>
      <c r="AG28" s="168">
        <f>IF($C28-AG$1&lt;År1,0,AF27*(1-VLOOKUP($A28,[1]Hugst!$R$5:$W$9,MATCH(ROUNDUP((AG$1)/10,0)*10,[1]Hugst!$R$4:$W$4,0))))</f>
        <v>0</v>
      </c>
      <c r="AH28" s="168">
        <f>IF($C28-AH$1&lt;År1,0,AG27*(1-VLOOKUP($A28,[1]Hugst!$R$5:$W$9,MATCH(ROUNDUP((AH$1)/10,0)*10,[1]Hugst!$R$4:$W$4,0))))</f>
        <v>0</v>
      </c>
      <c r="AI28" s="168">
        <f>IF($C28-AI$1&lt;År1,0,AH27*(1-VLOOKUP($A28,[1]Hugst!$R$5:$W$9,MATCH(ROUNDUP((AI$1)/10,0)*10,[1]Hugst!$R$4:$W$4,0))))</f>
        <v>0</v>
      </c>
      <c r="AJ28" s="168">
        <f>IF($C28-AJ$1&lt;År1,0,AI27*(1-VLOOKUP($A28,[1]Hugst!$R$5:$W$9,MATCH(ROUNDUP((AJ$1)/10,0)*10,[1]Hugst!$R$4:$W$4,0))))</f>
        <v>0</v>
      </c>
    </row>
    <row r="29" spans="1:38" s="168" customFormat="1" x14ac:dyDescent="0.25">
      <c r="A29" s="168" t="s">
        <v>176</v>
      </c>
      <c r="B29" s="168" t="s">
        <v>23</v>
      </c>
      <c r="C29" s="168">
        <v>2047</v>
      </c>
      <c r="D29" s="168" cm="1">
        <f t="array" ref="D29">(IF(B29="Vestdanmark",Skovbrug!$C$22-(Skovbrug!$C$22)*(1-Skovbrug!$C$9)^(C29-Skovbrug!$B$12),Skovbrug!$F$22-(Skovbrug!$F$22)*(1-Skovbrug!$C$9)^(C29-Skovbrug!$B$12))*VLOOKUP(A29,Skovbrug!$A$13:$D$17,IF('Skovbrug-alder'!C29&lt;=År2,3,4),FALSE)-IF(C29&gt;2020,SUM(INDEX($C$1:$D$311,MATCH(1,(2020=$C$1:$C$311)*(B29=$B$1:$B$311)*(A29=$A$1:$A$311),0),2):D28),0))</f>
        <v>1899.9704812662094</v>
      </c>
      <c r="E29" s="168">
        <f t="shared" ca="1" si="0"/>
        <v>0</v>
      </c>
      <c r="F29" s="168">
        <f ca="1">IF(C29&lt;=År2,IF(B29="Vestdanmark",(Arealanvendelse!$M$27-Arealanvendelse!$J$27),(Arealanvendelse!$M$37-Arealanvendelse!$J$37))/(Arealanvendelse!$M$3-Arealanvendelse!$J$3),IF(B29="Vestdanmark",(Arealanvendelse!$P$27-Arealanvendelse!$M$27),(Arealanvendelse!$P$37-Arealanvendelse!$M$37))/(Arealanvendelse!$P$3-Arealanvendelse!$M$3))*VLOOKUP(A29,Skovbrug!$A$13:$D$17,IF('Skovbrug-alder'!C29&lt;=År2,3,4),FALSE)+D29+E29</f>
        <v>3549.4519627476898</v>
      </c>
      <c r="G29" s="168">
        <f ca="1">IF($C29-G$1&lt;År1,0,F28*(1-VLOOKUP($A29,[1]Hugst!$R$5:$W$9,MATCH(ROUNDUP((G$1)/10,0)*10,[1]Hugst!$R$4:$W$4,0))))</f>
        <v>3558.9995531059308</v>
      </c>
      <c r="H29" s="168">
        <f ca="1">IF($C29-H$1&lt;År1,0,G28*(1-VLOOKUP($A29,[1]Hugst!$R$5:$W$9,MATCH(ROUNDUP((H$1)/10,0)*10,[1]Hugst!$R$4:$W$4,0))))</f>
        <v>3568.5951213049907</v>
      </c>
      <c r="I29" s="168">
        <f ca="1">IF($C29-I$1&lt;År1,0,H28*(1-VLOOKUP($A29,[1]Hugst!$R$5:$W$9,MATCH(ROUNDUP((I$1)/10,0)*10,[1]Hugst!$R$4:$W$4,0))))</f>
        <v>3578.2389084397787</v>
      </c>
      <c r="J29" s="168">
        <f ca="1">IF($C29-J$1&lt;År1,0,I28*(1-VLOOKUP($A29,[1]Hugst!$R$5:$W$9,MATCH(ROUNDUP((J$1)/10,0)*10,[1]Hugst!$R$4:$W$4,0))))</f>
        <v>3587.9311568164471</v>
      </c>
      <c r="K29" s="168">
        <f ca="1">IF($C29-K$1&lt;År1,0,J28*(1-VLOOKUP($A29,[1]Hugst!$R$5:$W$9,MATCH(ROUNDUP((K$1)/10,0)*10,[1]Hugst!$R$4:$W$4,0))))</f>
        <v>3597.6721099588526</v>
      </c>
      <c r="L29" s="168">
        <f ca="1">IF($C29-L$1&lt;År1,0,K28*(1-VLOOKUP($A29,[1]Hugst!$R$5:$W$9,MATCH(ROUNDUP((L$1)/10,0)*10,[1]Hugst!$R$4:$W$4,0))))</f>
        <v>3607.4620126145514</v>
      </c>
      <c r="M29" s="168">
        <f ca="1">IF($C29-M$1&lt;År1,0,L28*(1-VLOOKUP($A29,[1]Hugst!$R$5:$W$9,MATCH(ROUNDUP((M$1)/10,0)*10,[1]Hugst!$R$4:$W$4,0))))</f>
        <v>3617.3011107609113</v>
      </c>
      <c r="N29" s="168">
        <f ca="1">IF($C29-N$1&lt;År1,0,M28*(1-VLOOKUP($A29,[1]Hugst!$R$5:$W$9,MATCH(ROUNDUP((N$1)/10,0)*10,[1]Hugst!$R$4:$W$4,0))))</f>
        <v>3627.1896516115144</v>
      </c>
      <c r="O29" s="168">
        <f ca="1">IF($C29-O$1&lt;År1,0,N28*(1-VLOOKUP($A29,[1]Hugst!$R$5:$W$9,MATCH(ROUNDUP((O$1)/10,0)*10,[1]Hugst!$R$4:$W$4,0))))</f>
        <v>3637.1278836223269</v>
      </c>
      <c r="P29" s="168">
        <f ca="1">IF($C29-P$1&lt;År1,0,O28*(1-VLOOKUP($A29,[1]Hugst!$R$5:$W$9,MATCH(ROUNDUP((P$1)/10,0)*10,[1]Hugst!$R$4:$W$4,0))))</f>
        <v>3647.1160564973457</v>
      </c>
      <c r="Q29" s="168">
        <f ca="1">IF($C29-Q$1&lt;År1,0,P28*(1-VLOOKUP($A29,[1]Hugst!$R$5:$W$9,MATCH(ROUNDUP((Q$1)/10,0)*10,[1]Hugst!$R$4:$W$4,0))))</f>
        <v>3657.1544211959322</v>
      </c>
      <c r="R29" s="168">
        <f ca="1">IF($C29-R$1&lt;År1,0,Q28*(1-VLOOKUP($A29,[1]Hugst!$R$5:$W$9,MATCH(ROUNDUP((R$1)/10,0)*10,[1]Hugst!$R$4:$W$4,0))))</f>
        <v>3667.2432299382258</v>
      </c>
      <c r="S29" s="168">
        <f ca="1">IF($C29-S$1&lt;År1,0,R28*(1-VLOOKUP($A29,[1]Hugst!$R$5:$W$9,MATCH(ROUNDUP((S$1)/10,0)*10,[1]Hugst!$R$4:$W$4,0))))</f>
        <v>3677.3827362118377</v>
      </c>
      <c r="T29" s="168">
        <f ca="1">IF($C29-T$1&lt;År1,0,S28*(1-VLOOKUP($A29,[1]Hugst!$R$5:$W$9,MATCH(ROUNDUP((T$1)/10,0)*10,[1]Hugst!$R$4:$W$4,0))))</f>
        <v>3687.573194778312</v>
      </c>
      <c r="U29" s="168">
        <f ca="1">IF($C29-U$1&lt;År1,0,T28*(1-VLOOKUP($A29,[1]Hugst!$R$5:$W$9,MATCH(ROUNDUP((U$1)/10,0)*10,[1]Hugst!$R$4:$W$4,0))))</f>
        <v>3697.8148616793537</v>
      </c>
      <c r="V29" s="168">
        <f ca="1">IF($C29-V$1&lt;År1,0,U28*(1-VLOOKUP($A29,[1]Hugst!$R$5:$W$9,MATCH(ROUNDUP((V$1)/10,0)*10,[1]Hugst!$R$4:$W$4,0))))</f>
        <v>3708.1079942430574</v>
      </c>
      <c r="W29" s="168">
        <f ca="1">IF($C29-W$1&lt;År1,0,V28*(1-VLOOKUP($A29,[1]Hugst!$R$5:$W$9,MATCH(ROUNDUP((W$1)/10,0)*10,[1]Hugst!$R$4:$W$4,0))))</f>
        <v>3718.4528510912414</v>
      </c>
      <c r="X29" s="168">
        <f ca="1">IF($C29-X$1&lt;År1,0,W28*(1-VLOOKUP($A29,[1]Hugst!$R$5:$W$9,MATCH(ROUNDUP((X$1)/10,0)*10,[1]Hugst!$R$4:$W$4,0))))</f>
        <v>3728.8496921444521</v>
      </c>
      <c r="Y29" s="168">
        <f ca="1">IF($C29-Y$1&lt;År1,0,X28*(1-VLOOKUP($A29,[1]Hugst!$R$5:$W$9,MATCH(ROUNDUP((Y$1)/10,0)*10,[1]Hugst!$R$4:$W$4,0))))</f>
        <v>3739.2987786302901</v>
      </c>
      <c r="Z29" s="168">
        <f ca="1">IF($C29-Z$1&lt;År1,0,Y28*(1-VLOOKUP($A29,[1]Hugst!$R$5:$W$9,MATCH(ROUNDUP((Z$1)/10,0)*10,[1]Hugst!$R$4:$W$4,0))))</f>
        <v>3749.8003730882983</v>
      </c>
      <c r="AA29" s="168">
        <f ca="1">IF($C29-AA$1&lt;År1,0,Z28*(1-VLOOKUP($A29,[1]Hugst!$R$5:$W$9,MATCH(ROUNDUP((AA$1)/10,0)*10,[1]Hugst!$R$4:$W$4,0))))</f>
        <v>3760.3547393777617</v>
      </c>
      <c r="AB29" s="168">
        <f ca="1">IF($C29-AB$1&lt;År1,0,AA28*(1-VLOOKUP($A29,[1]Hugst!$R$5:$W$9,MATCH(ROUNDUP((AB$1)/10,0)*10,[1]Hugst!$R$4:$W$4,0))))</f>
        <v>3770.9621426837612</v>
      </c>
      <c r="AC29" s="168">
        <f ca="1">IF($C29-AC$1&lt;År1,0,AB28*(1-VLOOKUP($A29,[1]Hugst!$R$5:$W$9,MATCH(ROUNDUP((AC$1)/10,0)*10,[1]Hugst!$R$4:$W$4,0))))</f>
        <v>3781.6228495239839</v>
      </c>
      <c r="AD29" s="168">
        <f ca="1">IF($C29-AD$1&lt;År1,0,AC28*(1-VLOOKUP($A29,[1]Hugst!$R$5:$W$9,MATCH(ROUNDUP((AD$1)/10,0)*10,[1]Hugst!$R$4:$W$4,0))))</f>
        <v>3792.3371277553588</v>
      </c>
      <c r="AE29" s="168">
        <f ca="1">IF($C29-AE$1&lt;År1,0,AD28*(1-VLOOKUP($A29,[1]Hugst!$R$5:$W$9,MATCH(ROUNDUP((AE$1)/10,0)*10,[1]Hugst!$R$4:$W$4,0))))</f>
        <v>3803.1052465808671</v>
      </c>
      <c r="AF29" s="168">
        <f ca="1">IF($C29-AF$1&lt;År1,0,AE28*(1-VLOOKUP($A29,[1]Hugst!$R$5:$W$9,MATCH(ROUNDUP((AF$1)/10,0)*10,[1]Hugst!$R$4:$W$4,0))))</f>
        <v>3813.9274765561777</v>
      </c>
      <c r="AG29" s="168">
        <f ca="1">IF($C29-AG$1&lt;År1,0,AF28*(1-VLOOKUP($A29,[1]Hugst!$R$5:$W$9,MATCH(ROUNDUP((AG$1)/10,0)*10,[1]Hugst!$R$4:$W$4,0))))</f>
        <v>3824.804089596807</v>
      </c>
      <c r="AH29" s="168">
        <f>IF($C29-AH$1&lt;År1,0,AG28*(1-VLOOKUP($A29,[1]Hugst!$R$5:$W$9,MATCH(ROUNDUP((AH$1)/10,0)*10,[1]Hugst!$R$4:$W$4,0))))</f>
        <v>0</v>
      </c>
      <c r="AI29" s="168">
        <f>IF($C29-AI$1&lt;År1,0,AH28*(1-VLOOKUP($A29,[1]Hugst!$R$5:$W$9,MATCH(ROUNDUP((AI$1)/10,0)*10,[1]Hugst!$R$4:$W$4,0))))</f>
        <v>0</v>
      </c>
      <c r="AJ29" s="168">
        <f>IF($C29-AJ$1&lt;År1,0,AI28*(1-VLOOKUP($A29,[1]Hugst!$R$5:$W$9,MATCH(ROUNDUP((AJ$1)/10,0)*10,[1]Hugst!$R$4:$W$4,0))))</f>
        <v>0</v>
      </c>
    </row>
    <row r="30" spans="1:38" s="168" customFormat="1" x14ac:dyDescent="0.25">
      <c r="A30" s="168" t="s">
        <v>176</v>
      </c>
      <c r="B30" s="168" t="s">
        <v>23</v>
      </c>
      <c r="C30" s="168">
        <v>2048</v>
      </c>
      <c r="D30" s="168" cm="1">
        <f t="array" ref="D30">(IF(B30="Vestdanmark",Skovbrug!$C$22-(Skovbrug!$C$22)*(1-Skovbrug!$C$9)^(C30-Skovbrug!$B$12),Skovbrug!$F$22-(Skovbrug!$F$22)*(1-Skovbrug!$C$9)^(C30-Skovbrug!$B$12))*VLOOKUP(A30,Skovbrug!$A$13:$D$17,IF('Skovbrug-alder'!C30&lt;=År2,3,4),FALSE)-IF(C30&gt;2020,SUM(INDEX($C$1:$D$311,MATCH(1,(2020=$C$1:$C$311)*(B30=$B$1:$B$311)*(A30=$A$1:$A$311),0),2):D29),0))</f>
        <v>1890.4706288599409</v>
      </c>
      <c r="E30" s="168">
        <f t="shared" ca="1" si="0"/>
        <v>0</v>
      </c>
      <c r="F30" s="168">
        <f ca="1">IF(C30&lt;=År2,IF(B30="Vestdanmark",(Arealanvendelse!$M$27-Arealanvendelse!$J$27),(Arealanvendelse!$M$37-Arealanvendelse!$J$37))/(Arealanvendelse!$M$3-Arealanvendelse!$J$3),IF(B30="Vestdanmark",(Arealanvendelse!$P$27-Arealanvendelse!$M$27),(Arealanvendelse!$P$37-Arealanvendelse!$M$37))/(Arealanvendelse!$P$3-Arealanvendelse!$M$3))*VLOOKUP(A30,Skovbrug!$A$13:$D$17,IF('Skovbrug-alder'!C30&lt;=År2,3,4),FALSE)+D30+E30</f>
        <v>3539.9521103414213</v>
      </c>
      <c r="G30" s="168">
        <f ca="1">IF($C30-G$1&lt;År1,0,F29*(1-VLOOKUP($A30,[1]Hugst!$R$5:$W$9,MATCH(ROUNDUP((G$1)/10,0)*10,[1]Hugst!$R$4:$W$4,0))))</f>
        <v>3549.4519627476898</v>
      </c>
      <c r="H30" s="168">
        <f ca="1">IF($C30-H$1&lt;År1,0,G29*(1-VLOOKUP($A30,[1]Hugst!$R$5:$W$9,MATCH(ROUNDUP((H$1)/10,0)*10,[1]Hugst!$R$4:$W$4,0))))</f>
        <v>3558.9995531059308</v>
      </c>
      <c r="I30" s="168">
        <f ca="1">IF($C30-I$1&lt;År1,0,H29*(1-VLOOKUP($A30,[1]Hugst!$R$5:$W$9,MATCH(ROUNDUP((I$1)/10,0)*10,[1]Hugst!$R$4:$W$4,0))))</f>
        <v>3568.5951213049907</v>
      </c>
      <c r="J30" s="168">
        <f ca="1">IF($C30-J$1&lt;År1,0,I29*(1-VLOOKUP($A30,[1]Hugst!$R$5:$W$9,MATCH(ROUNDUP((J$1)/10,0)*10,[1]Hugst!$R$4:$W$4,0))))</f>
        <v>3578.2389084397787</v>
      </c>
      <c r="K30" s="168">
        <f ca="1">IF($C30-K$1&lt;År1,0,J29*(1-VLOOKUP($A30,[1]Hugst!$R$5:$W$9,MATCH(ROUNDUP((K$1)/10,0)*10,[1]Hugst!$R$4:$W$4,0))))</f>
        <v>3587.9311568164471</v>
      </c>
      <c r="L30" s="168">
        <f ca="1">IF($C30-L$1&lt;År1,0,K29*(1-VLOOKUP($A30,[1]Hugst!$R$5:$W$9,MATCH(ROUNDUP((L$1)/10,0)*10,[1]Hugst!$R$4:$W$4,0))))</f>
        <v>3597.6721099588526</v>
      </c>
      <c r="M30" s="168">
        <f ca="1">IF($C30-M$1&lt;År1,0,L29*(1-VLOOKUP($A30,[1]Hugst!$R$5:$W$9,MATCH(ROUNDUP((M$1)/10,0)*10,[1]Hugst!$R$4:$W$4,0))))</f>
        <v>3607.4620126145514</v>
      </c>
      <c r="N30" s="168">
        <f ca="1">IF($C30-N$1&lt;År1,0,M29*(1-VLOOKUP($A30,[1]Hugst!$R$5:$W$9,MATCH(ROUNDUP((N$1)/10,0)*10,[1]Hugst!$R$4:$W$4,0))))</f>
        <v>3617.3011107609113</v>
      </c>
      <c r="O30" s="168">
        <f ca="1">IF($C30-O$1&lt;År1,0,N29*(1-VLOOKUP($A30,[1]Hugst!$R$5:$W$9,MATCH(ROUNDUP((O$1)/10,0)*10,[1]Hugst!$R$4:$W$4,0))))</f>
        <v>3627.1896516115144</v>
      </c>
      <c r="P30" s="168">
        <f ca="1">IF($C30-P$1&lt;År1,0,O29*(1-VLOOKUP($A30,[1]Hugst!$R$5:$W$9,MATCH(ROUNDUP((P$1)/10,0)*10,[1]Hugst!$R$4:$W$4,0))))</f>
        <v>3637.1278836223269</v>
      </c>
      <c r="Q30" s="168">
        <f ca="1">IF($C30-Q$1&lt;År1,0,P29*(1-VLOOKUP($A30,[1]Hugst!$R$5:$W$9,MATCH(ROUNDUP((Q$1)/10,0)*10,[1]Hugst!$R$4:$W$4,0))))</f>
        <v>3647.1160564973457</v>
      </c>
      <c r="R30" s="168">
        <f ca="1">IF($C30-R$1&lt;År1,0,Q29*(1-VLOOKUP($A30,[1]Hugst!$R$5:$W$9,MATCH(ROUNDUP((R$1)/10,0)*10,[1]Hugst!$R$4:$W$4,0))))</f>
        <v>3657.1544211959322</v>
      </c>
      <c r="S30" s="168">
        <f ca="1">IF($C30-S$1&lt;År1,0,R29*(1-VLOOKUP($A30,[1]Hugst!$R$5:$W$9,MATCH(ROUNDUP((S$1)/10,0)*10,[1]Hugst!$R$4:$W$4,0))))</f>
        <v>3667.2432299382258</v>
      </c>
      <c r="T30" s="168">
        <f ca="1">IF($C30-T$1&lt;År1,0,S29*(1-VLOOKUP($A30,[1]Hugst!$R$5:$W$9,MATCH(ROUNDUP((T$1)/10,0)*10,[1]Hugst!$R$4:$W$4,0))))</f>
        <v>3677.3827362118377</v>
      </c>
      <c r="U30" s="168">
        <f ca="1">IF($C30-U$1&lt;År1,0,T29*(1-VLOOKUP($A30,[1]Hugst!$R$5:$W$9,MATCH(ROUNDUP((U$1)/10,0)*10,[1]Hugst!$R$4:$W$4,0))))</f>
        <v>3687.573194778312</v>
      </c>
      <c r="V30" s="168">
        <f ca="1">IF($C30-V$1&lt;År1,0,U29*(1-VLOOKUP($A30,[1]Hugst!$R$5:$W$9,MATCH(ROUNDUP((V$1)/10,0)*10,[1]Hugst!$R$4:$W$4,0))))</f>
        <v>3697.8148616793537</v>
      </c>
      <c r="W30" s="168">
        <f ca="1">IF($C30-W$1&lt;År1,0,V29*(1-VLOOKUP($A30,[1]Hugst!$R$5:$W$9,MATCH(ROUNDUP((W$1)/10,0)*10,[1]Hugst!$R$4:$W$4,0))))</f>
        <v>3708.1079942430574</v>
      </c>
      <c r="X30" s="168">
        <f ca="1">IF($C30-X$1&lt;År1,0,W29*(1-VLOOKUP($A30,[1]Hugst!$R$5:$W$9,MATCH(ROUNDUP((X$1)/10,0)*10,[1]Hugst!$R$4:$W$4,0))))</f>
        <v>3718.4528510912414</v>
      </c>
      <c r="Y30" s="168">
        <f ca="1">IF($C30-Y$1&lt;År1,0,X29*(1-VLOOKUP($A30,[1]Hugst!$R$5:$W$9,MATCH(ROUNDUP((Y$1)/10,0)*10,[1]Hugst!$R$4:$W$4,0))))</f>
        <v>3728.8496921444521</v>
      </c>
      <c r="Z30" s="168">
        <f ca="1">IF($C30-Z$1&lt;År1,0,Y29*(1-VLOOKUP($A30,[1]Hugst!$R$5:$W$9,MATCH(ROUNDUP((Z$1)/10,0)*10,[1]Hugst!$R$4:$W$4,0))))</f>
        <v>3739.2987786302901</v>
      </c>
      <c r="AA30" s="168">
        <f ca="1">IF($C30-AA$1&lt;År1,0,Z29*(1-VLOOKUP($A30,[1]Hugst!$R$5:$W$9,MATCH(ROUNDUP((AA$1)/10,0)*10,[1]Hugst!$R$4:$W$4,0))))</f>
        <v>3749.8003730882983</v>
      </c>
      <c r="AB30" s="168">
        <f ca="1">IF($C30-AB$1&lt;År1,0,AA29*(1-VLOOKUP($A30,[1]Hugst!$R$5:$W$9,MATCH(ROUNDUP((AB$1)/10,0)*10,[1]Hugst!$R$4:$W$4,0))))</f>
        <v>3760.3547393777617</v>
      </c>
      <c r="AC30" s="168">
        <f ca="1">IF($C30-AC$1&lt;År1,0,AB29*(1-VLOOKUP($A30,[1]Hugst!$R$5:$W$9,MATCH(ROUNDUP((AC$1)/10,0)*10,[1]Hugst!$R$4:$W$4,0))))</f>
        <v>3770.9621426837612</v>
      </c>
      <c r="AD30" s="168">
        <f ca="1">IF($C30-AD$1&lt;År1,0,AC29*(1-VLOOKUP($A30,[1]Hugst!$R$5:$W$9,MATCH(ROUNDUP((AD$1)/10,0)*10,[1]Hugst!$R$4:$W$4,0))))</f>
        <v>3781.6228495239839</v>
      </c>
      <c r="AE30" s="168">
        <f ca="1">IF($C30-AE$1&lt;År1,0,AD29*(1-VLOOKUP($A30,[1]Hugst!$R$5:$W$9,MATCH(ROUNDUP((AE$1)/10,0)*10,[1]Hugst!$R$4:$W$4,0))))</f>
        <v>3792.3371277553588</v>
      </c>
      <c r="AF30" s="168">
        <f ca="1">IF($C30-AF$1&lt;År1,0,AE29*(1-VLOOKUP($A30,[1]Hugst!$R$5:$W$9,MATCH(ROUNDUP((AF$1)/10,0)*10,[1]Hugst!$R$4:$W$4,0))))</f>
        <v>3803.1052465808671</v>
      </c>
      <c r="AG30" s="168">
        <f ca="1">IF($C30-AG$1&lt;År1,0,AF29*(1-VLOOKUP($A30,[1]Hugst!$R$5:$W$9,MATCH(ROUNDUP((AG$1)/10,0)*10,[1]Hugst!$R$4:$W$4,0))))</f>
        <v>3813.9274765561777</v>
      </c>
      <c r="AH30" s="168">
        <f ca="1">IF($C30-AH$1&lt;År1,0,AG29*(1-VLOOKUP($A30,[1]Hugst!$R$5:$W$9,MATCH(ROUNDUP((AH$1)/10,0)*10,[1]Hugst!$R$4:$W$4,0))))</f>
        <v>3824.804089596807</v>
      </c>
      <c r="AI30" s="168">
        <f>IF($C30-AI$1&lt;År1,0,AH29*(1-VLOOKUP($A30,[1]Hugst!$R$5:$W$9,MATCH(ROUNDUP((AI$1)/10,0)*10,[1]Hugst!$R$4:$W$4,0))))</f>
        <v>0</v>
      </c>
      <c r="AJ30" s="168">
        <f>IF($C30-AJ$1&lt;År1,0,AI29*(1-VLOOKUP($A30,[1]Hugst!$R$5:$W$9,MATCH(ROUNDUP((AJ$1)/10,0)*10,[1]Hugst!$R$4:$W$4,0))))</f>
        <v>0</v>
      </c>
    </row>
    <row r="31" spans="1:38" s="168" customFormat="1" x14ac:dyDescent="0.25">
      <c r="A31" s="168" t="s">
        <v>176</v>
      </c>
      <c r="B31" s="168" t="s">
        <v>23</v>
      </c>
      <c r="C31" s="168">
        <v>2049</v>
      </c>
      <c r="D31" s="168" cm="1">
        <f t="array" ref="D31">(IF(B31="Vestdanmark",Skovbrug!$C$22-(Skovbrug!$C$22)*(1-Skovbrug!$C$9)^(C31-Skovbrug!$B$12),Skovbrug!$F$22-(Skovbrug!$F$22)*(1-Skovbrug!$C$9)^(C31-Skovbrug!$B$12))*VLOOKUP(A31,Skovbrug!$A$13:$D$17,IF('Skovbrug-alder'!C31&lt;=År2,3,4),FALSE)-IF(C31&gt;2020,SUM(INDEX($C$1:$D$311,MATCH(1,(2020=$C$1:$C$311)*(B31=$B$1:$B$311)*(A31=$A$1:$A$311),0),2):D30),0))</f>
        <v>1881.0182757156435</v>
      </c>
      <c r="E31" s="168">
        <f t="shared" ca="1" si="0"/>
        <v>0</v>
      </c>
      <c r="F31" s="168">
        <f ca="1">IF(C31&lt;=År2,IF(B31="Vestdanmark",(Arealanvendelse!$M$27-Arealanvendelse!$J$27),(Arealanvendelse!$M$37-Arealanvendelse!$J$37))/(Arealanvendelse!$M$3-Arealanvendelse!$J$3),IF(B31="Vestdanmark",(Arealanvendelse!$P$27-Arealanvendelse!$M$27),(Arealanvendelse!$P$37-Arealanvendelse!$M$37))/(Arealanvendelse!$P$3-Arealanvendelse!$M$3))*VLOOKUP(A31,Skovbrug!$A$13:$D$17,IF('Skovbrug-alder'!C31&lt;=År2,3,4),FALSE)+D31+E31</f>
        <v>3530.4997571971239</v>
      </c>
      <c r="G31" s="168">
        <f ca="1">IF($C31-G$1&lt;År1,0,F30*(1-VLOOKUP($A31,[1]Hugst!$R$5:$W$9,MATCH(ROUNDUP((G$1)/10,0)*10,[1]Hugst!$R$4:$W$4,0))))</f>
        <v>3539.9521103414213</v>
      </c>
      <c r="H31" s="168">
        <f ca="1">IF($C31-H$1&lt;År1,0,G30*(1-VLOOKUP($A31,[1]Hugst!$R$5:$W$9,MATCH(ROUNDUP((H$1)/10,0)*10,[1]Hugst!$R$4:$W$4,0))))</f>
        <v>3549.4519627476898</v>
      </c>
      <c r="I31" s="168">
        <f ca="1">IF($C31-I$1&lt;År1,0,H30*(1-VLOOKUP($A31,[1]Hugst!$R$5:$W$9,MATCH(ROUNDUP((I$1)/10,0)*10,[1]Hugst!$R$4:$W$4,0))))</f>
        <v>3558.9995531059308</v>
      </c>
      <c r="J31" s="168">
        <f ca="1">IF($C31-J$1&lt;År1,0,I30*(1-VLOOKUP($A31,[1]Hugst!$R$5:$W$9,MATCH(ROUNDUP((J$1)/10,0)*10,[1]Hugst!$R$4:$W$4,0))))</f>
        <v>3568.5951213049907</v>
      </c>
      <c r="K31" s="168">
        <f ca="1">IF($C31-K$1&lt;År1,0,J30*(1-VLOOKUP($A31,[1]Hugst!$R$5:$W$9,MATCH(ROUNDUP((K$1)/10,0)*10,[1]Hugst!$R$4:$W$4,0))))</f>
        <v>3578.2389084397787</v>
      </c>
      <c r="L31" s="168">
        <f ca="1">IF($C31-L$1&lt;År1,0,K30*(1-VLOOKUP($A31,[1]Hugst!$R$5:$W$9,MATCH(ROUNDUP((L$1)/10,0)*10,[1]Hugst!$R$4:$W$4,0))))</f>
        <v>3587.9311568164471</v>
      </c>
      <c r="M31" s="168">
        <f ca="1">IF($C31-M$1&lt;År1,0,L30*(1-VLOOKUP($A31,[1]Hugst!$R$5:$W$9,MATCH(ROUNDUP((M$1)/10,0)*10,[1]Hugst!$R$4:$W$4,0))))</f>
        <v>3597.6721099588526</v>
      </c>
      <c r="N31" s="168">
        <f ca="1">IF($C31-N$1&lt;År1,0,M30*(1-VLOOKUP($A31,[1]Hugst!$R$5:$W$9,MATCH(ROUNDUP((N$1)/10,0)*10,[1]Hugst!$R$4:$W$4,0))))</f>
        <v>3607.4620126145514</v>
      </c>
      <c r="O31" s="168">
        <f ca="1">IF($C31-O$1&lt;År1,0,N30*(1-VLOOKUP($A31,[1]Hugst!$R$5:$W$9,MATCH(ROUNDUP((O$1)/10,0)*10,[1]Hugst!$R$4:$W$4,0))))</f>
        <v>3617.3011107609113</v>
      </c>
      <c r="P31" s="168">
        <f ca="1">IF($C31-P$1&lt;År1,0,O30*(1-VLOOKUP($A31,[1]Hugst!$R$5:$W$9,MATCH(ROUNDUP((P$1)/10,0)*10,[1]Hugst!$R$4:$W$4,0))))</f>
        <v>3627.1896516115144</v>
      </c>
      <c r="Q31" s="168">
        <f ca="1">IF($C31-Q$1&lt;År1,0,P30*(1-VLOOKUP($A31,[1]Hugst!$R$5:$W$9,MATCH(ROUNDUP((Q$1)/10,0)*10,[1]Hugst!$R$4:$W$4,0))))</f>
        <v>3637.1278836223269</v>
      </c>
      <c r="R31" s="168">
        <f ca="1">IF($C31-R$1&lt;År1,0,Q30*(1-VLOOKUP($A31,[1]Hugst!$R$5:$W$9,MATCH(ROUNDUP((R$1)/10,0)*10,[1]Hugst!$R$4:$W$4,0))))</f>
        <v>3647.1160564973457</v>
      </c>
      <c r="S31" s="168">
        <f ca="1">IF($C31-S$1&lt;År1,0,R30*(1-VLOOKUP($A31,[1]Hugst!$R$5:$W$9,MATCH(ROUNDUP((S$1)/10,0)*10,[1]Hugst!$R$4:$W$4,0))))</f>
        <v>3657.1544211959322</v>
      </c>
      <c r="T31" s="168">
        <f ca="1">IF($C31-T$1&lt;År1,0,S30*(1-VLOOKUP($A31,[1]Hugst!$R$5:$W$9,MATCH(ROUNDUP((T$1)/10,0)*10,[1]Hugst!$R$4:$W$4,0))))</f>
        <v>3667.2432299382258</v>
      </c>
      <c r="U31" s="168">
        <f ca="1">IF($C31-U$1&lt;År1,0,T30*(1-VLOOKUP($A31,[1]Hugst!$R$5:$W$9,MATCH(ROUNDUP((U$1)/10,0)*10,[1]Hugst!$R$4:$W$4,0))))</f>
        <v>3677.3827362118377</v>
      </c>
      <c r="V31" s="168">
        <f ca="1">IF($C31-V$1&lt;År1,0,U30*(1-VLOOKUP($A31,[1]Hugst!$R$5:$W$9,MATCH(ROUNDUP((V$1)/10,0)*10,[1]Hugst!$R$4:$W$4,0))))</f>
        <v>3687.573194778312</v>
      </c>
      <c r="W31" s="168">
        <f ca="1">IF($C31-W$1&lt;År1,0,V30*(1-VLOOKUP($A31,[1]Hugst!$R$5:$W$9,MATCH(ROUNDUP((W$1)/10,0)*10,[1]Hugst!$R$4:$W$4,0))))</f>
        <v>3697.8148616793537</v>
      </c>
      <c r="X31" s="168">
        <f ca="1">IF($C31-X$1&lt;År1,0,W30*(1-VLOOKUP($A31,[1]Hugst!$R$5:$W$9,MATCH(ROUNDUP((X$1)/10,0)*10,[1]Hugst!$R$4:$W$4,0))))</f>
        <v>3708.1079942430574</v>
      </c>
      <c r="Y31" s="168">
        <f ca="1">IF($C31-Y$1&lt;År1,0,X30*(1-VLOOKUP($A31,[1]Hugst!$R$5:$W$9,MATCH(ROUNDUP((Y$1)/10,0)*10,[1]Hugst!$R$4:$W$4,0))))</f>
        <v>3718.4528510912414</v>
      </c>
      <c r="Z31" s="168">
        <f ca="1">IF($C31-Z$1&lt;År1,0,Y30*(1-VLOOKUP($A31,[1]Hugst!$R$5:$W$9,MATCH(ROUNDUP((Z$1)/10,0)*10,[1]Hugst!$R$4:$W$4,0))))</f>
        <v>3728.8496921444521</v>
      </c>
      <c r="AA31" s="168">
        <f ca="1">IF($C31-AA$1&lt;År1,0,Z30*(1-VLOOKUP($A31,[1]Hugst!$R$5:$W$9,MATCH(ROUNDUP((AA$1)/10,0)*10,[1]Hugst!$R$4:$W$4,0))))</f>
        <v>3739.2987786302901</v>
      </c>
      <c r="AB31" s="168">
        <f ca="1">IF($C31-AB$1&lt;År1,0,AA30*(1-VLOOKUP($A31,[1]Hugst!$R$5:$W$9,MATCH(ROUNDUP((AB$1)/10,0)*10,[1]Hugst!$R$4:$W$4,0))))</f>
        <v>3749.8003730882983</v>
      </c>
      <c r="AC31" s="168">
        <f ca="1">IF($C31-AC$1&lt;År1,0,AB30*(1-VLOOKUP($A31,[1]Hugst!$R$5:$W$9,MATCH(ROUNDUP((AC$1)/10,0)*10,[1]Hugst!$R$4:$W$4,0))))</f>
        <v>3760.3547393777617</v>
      </c>
      <c r="AD31" s="168">
        <f ca="1">IF($C31-AD$1&lt;År1,0,AC30*(1-VLOOKUP($A31,[1]Hugst!$R$5:$W$9,MATCH(ROUNDUP((AD$1)/10,0)*10,[1]Hugst!$R$4:$W$4,0))))</f>
        <v>3770.9621426837612</v>
      </c>
      <c r="AE31" s="168">
        <f ca="1">IF($C31-AE$1&lt;År1,0,AD30*(1-VLOOKUP($A31,[1]Hugst!$R$5:$W$9,MATCH(ROUNDUP((AE$1)/10,0)*10,[1]Hugst!$R$4:$W$4,0))))</f>
        <v>3781.6228495239839</v>
      </c>
      <c r="AF31" s="168">
        <f ca="1">IF($C31-AF$1&lt;År1,0,AE30*(1-VLOOKUP($A31,[1]Hugst!$R$5:$W$9,MATCH(ROUNDUP((AF$1)/10,0)*10,[1]Hugst!$R$4:$W$4,0))))</f>
        <v>3792.3371277553588</v>
      </c>
      <c r="AG31" s="168">
        <f ca="1">IF($C31-AG$1&lt;År1,0,AF30*(1-VLOOKUP($A31,[1]Hugst!$R$5:$W$9,MATCH(ROUNDUP((AG$1)/10,0)*10,[1]Hugst!$R$4:$W$4,0))))</f>
        <v>3803.1052465808671</v>
      </c>
      <c r="AH31" s="168">
        <f ca="1">IF($C31-AH$1&lt;År1,0,AG30*(1-VLOOKUP($A31,[1]Hugst!$R$5:$W$9,MATCH(ROUNDUP((AH$1)/10,0)*10,[1]Hugst!$R$4:$W$4,0))))</f>
        <v>3813.9274765561777</v>
      </c>
      <c r="AI31" s="168">
        <f ca="1">IF($C31-AI$1&lt;År1,0,AH30*(1-VLOOKUP($A31,[1]Hugst!$R$5:$W$9,MATCH(ROUNDUP((AI$1)/10,0)*10,[1]Hugst!$R$4:$W$4,0))))</f>
        <v>3824.804089596807</v>
      </c>
      <c r="AJ31" s="168">
        <f>IF($C31-AJ$1&lt;År1,0,AI30*(1-VLOOKUP($A31,[1]Hugst!$R$5:$W$9,MATCH(ROUNDUP((AJ$1)/10,0)*10,[1]Hugst!$R$4:$W$4,0))))</f>
        <v>0</v>
      </c>
    </row>
    <row r="32" spans="1:38" s="168" customFormat="1" x14ac:dyDescent="0.25">
      <c r="A32" s="168" t="s">
        <v>176</v>
      </c>
      <c r="B32" s="168" t="s">
        <v>23</v>
      </c>
      <c r="C32" s="168">
        <v>2050</v>
      </c>
      <c r="D32" s="168" cm="1">
        <f t="array" ref="D32">(IF(B32="Vestdanmark",Skovbrug!$C$22-(Skovbrug!$C$22)*(1-Skovbrug!$C$9)^(C32-Skovbrug!$B$12),Skovbrug!$F$22-(Skovbrug!$F$22)*(1-Skovbrug!$C$9)^(C32-Skovbrug!$B$12))*VLOOKUP(A32,Skovbrug!$A$13:$D$17,IF('Skovbrug-alder'!C32&lt;=År2,3,4),FALSE)-IF(C32&gt;2020,SUM(INDEX($C$1:$D$311,MATCH(1,(2020=$C$1:$C$311)*(B32=$B$1:$B$311)*(A32=$A$1:$A$311),0),2):D31),0))</f>
        <v>1871.6131843370968</v>
      </c>
      <c r="E32" s="168">
        <f t="shared" ca="1" si="0"/>
        <v>12.613715614614193</v>
      </c>
      <c r="F32" s="168">
        <f ca="1">IF(C32&lt;=År2,IF(B32="Vestdanmark",(Arealanvendelse!$M$27-Arealanvendelse!$J$27),(Arealanvendelse!$M$37-Arealanvendelse!$J$37))/(Arealanvendelse!$M$3-Arealanvendelse!$J$3),IF(B32="Vestdanmark",(Arealanvendelse!$P$27-Arealanvendelse!$M$27),(Arealanvendelse!$P$37-Arealanvendelse!$M$37))/(Arealanvendelse!$P$3-Arealanvendelse!$M$3))*VLOOKUP(A32,Skovbrug!$A$13:$D$17,IF('Skovbrug-alder'!C32&lt;=År2,3,4),FALSE)+D32+E32</f>
        <v>3533.7083814331913</v>
      </c>
      <c r="G32" s="168">
        <f ca="1">IF($C32-G$1&lt;År1,0,F31*(1-VLOOKUP($A32,[1]Hugst!$R$5:$W$9,MATCH(ROUNDUP((G$1)/10,0)*10,[1]Hugst!$R$4:$W$4,0))))</f>
        <v>3530.4997571971239</v>
      </c>
      <c r="H32" s="168">
        <f ca="1">IF($C32-H$1&lt;År1,0,G31*(1-VLOOKUP($A32,[1]Hugst!$R$5:$W$9,MATCH(ROUNDUP((H$1)/10,0)*10,[1]Hugst!$R$4:$W$4,0))))</f>
        <v>3539.9521103414213</v>
      </c>
      <c r="I32" s="168">
        <f ca="1">IF($C32-I$1&lt;År1,0,H31*(1-VLOOKUP($A32,[1]Hugst!$R$5:$W$9,MATCH(ROUNDUP((I$1)/10,0)*10,[1]Hugst!$R$4:$W$4,0))))</f>
        <v>3549.4519627476898</v>
      </c>
      <c r="J32" s="168">
        <f ca="1">IF($C32-J$1&lt;År1,0,I31*(1-VLOOKUP($A32,[1]Hugst!$R$5:$W$9,MATCH(ROUNDUP((J$1)/10,0)*10,[1]Hugst!$R$4:$W$4,0))))</f>
        <v>3558.9995531059308</v>
      </c>
      <c r="K32" s="168">
        <f ca="1">IF($C32-K$1&lt;År1,0,J31*(1-VLOOKUP($A32,[1]Hugst!$R$5:$W$9,MATCH(ROUNDUP((K$1)/10,0)*10,[1]Hugst!$R$4:$W$4,0))))</f>
        <v>3568.5951213049907</v>
      </c>
      <c r="L32" s="168">
        <f ca="1">IF($C32-L$1&lt;År1,0,K31*(1-VLOOKUP($A32,[1]Hugst!$R$5:$W$9,MATCH(ROUNDUP((L$1)/10,0)*10,[1]Hugst!$R$4:$W$4,0))))</f>
        <v>3578.2389084397787</v>
      </c>
      <c r="M32" s="168">
        <f ca="1">IF($C32-M$1&lt;År1,0,L31*(1-VLOOKUP($A32,[1]Hugst!$R$5:$W$9,MATCH(ROUNDUP((M$1)/10,0)*10,[1]Hugst!$R$4:$W$4,0))))</f>
        <v>3587.9311568164471</v>
      </c>
      <c r="N32" s="168">
        <f ca="1">IF($C32-N$1&lt;År1,0,M31*(1-VLOOKUP($A32,[1]Hugst!$R$5:$W$9,MATCH(ROUNDUP((N$1)/10,0)*10,[1]Hugst!$R$4:$W$4,0))))</f>
        <v>3597.6721099588526</v>
      </c>
      <c r="O32" s="168">
        <f ca="1">IF($C32-O$1&lt;År1,0,N31*(1-VLOOKUP($A32,[1]Hugst!$R$5:$W$9,MATCH(ROUNDUP((O$1)/10,0)*10,[1]Hugst!$R$4:$W$4,0))))</f>
        <v>3607.4620126145514</v>
      </c>
      <c r="P32" s="168">
        <f ca="1">IF($C32-P$1&lt;År1,0,O31*(1-VLOOKUP($A32,[1]Hugst!$R$5:$W$9,MATCH(ROUNDUP((P$1)/10,0)*10,[1]Hugst!$R$4:$W$4,0))))</f>
        <v>3617.3011107609113</v>
      </c>
      <c r="Q32" s="168">
        <f ca="1">IF($C32-Q$1&lt;År1,0,P31*(1-VLOOKUP($A32,[1]Hugst!$R$5:$W$9,MATCH(ROUNDUP((Q$1)/10,0)*10,[1]Hugst!$R$4:$W$4,0))))</f>
        <v>3627.1896516115144</v>
      </c>
      <c r="R32" s="168">
        <f ca="1">IF($C32-R$1&lt;År1,0,Q31*(1-VLOOKUP($A32,[1]Hugst!$R$5:$W$9,MATCH(ROUNDUP((R$1)/10,0)*10,[1]Hugst!$R$4:$W$4,0))))</f>
        <v>3637.1278836223269</v>
      </c>
      <c r="S32" s="168">
        <f ca="1">IF($C32-S$1&lt;År1,0,R31*(1-VLOOKUP($A32,[1]Hugst!$R$5:$W$9,MATCH(ROUNDUP((S$1)/10,0)*10,[1]Hugst!$R$4:$W$4,0))))</f>
        <v>3647.1160564973457</v>
      </c>
      <c r="T32" s="168">
        <f ca="1">IF($C32-T$1&lt;År1,0,S31*(1-VLOOKUP($A32,[1]Hugst!$R$5:$W$9,MATCH(ROUNDUP((T$1)/10,0)*10,[1]Hugst!$R$4:$W$4,0))))</f>
        <v>3657.1544211959322</v>
      </c>
      <c r="U32" s="168">
        <f ca="1">IF($C32-U$1&lt;År1,0,T31*(1-VLOOKUP($A32,[1]Hugst!$R$5:$W$9,MATCH(ROUNDUP((U$1)/10,0)*10,[1]Hugst!$R$4:$W$4,0))))</f>
        <v>3667.2432299382258</v>
      </c>
      <c r="V32" s="168">
        <f ca="1">IF($C32-V$1&lt;År1,0,U31*(1-VLOOKUP($A32,[1]Hugst!$R$5:$W$9,MATCH(ROUNDUP((V$1)/10,0)*10,[1]Hugst!$R$4:$W$4,0))))</f>
        <v>3677.3827362118377</v>
      </c>
      <c r="W32" s="168">
        <f ca="1">IF($C32-W$1&lt;År1,0,V31*(1-VLOOKUP($A32,[1]Hugst!$R$5:$W$9,MATCH(ROUNDUP((W$1)/10,0)*10,[1]Hugst!$R$4:$W$4,0))))</f>
        <v>3687.573194778312</v>
      </c>
      <c r="X32" s="168">
        <f ca="1">IF($C32-X$1&lt;År1,0,W31*(1-VLOOKUP($A32,[1]Hugst!$R$5:$W$9,MATCH(ROUNDUP((X$1)/10,0)*10,[1]Hugst!$R$4:$W$4,0))))</f>
        <v>3697.8148616793537</v>
      </c>
      <c r="Y32" s="168">
        <f ca="1">IF($C32-Y$1&lt;År1,0,X31*(1-VLOOKUP($A32,[1]Hugst!$R$5:$W$9,MATCH(ROUNDUP((Y$1)/10,0)*10,[1]Hugst!$R$4:$W$4,0))))</f>
        <v>3708.1079942430574</v>
      </c>
      <c r="Z32" s="168">
        <f ca="1">IF($C32-Z$1&lt;År1,0,Y31*(1-VLOOKUP($A32,[1]Hugst!$R$5:$W$9,MATCH(ROUNDUP((Z$1)/10,0)*10,[1]Hugst!$R$4:$W$4,0))))</f>
        <v>3718.4528510912414</v>
      </c>
      <c r="AA32" s="168">
        <f ca="1">IF($C32-AA$1&lt;År1,0,Z31*(1-VLOOKUP($A32,[1]Hugst!$R$5:$W$9,MATCH(ROUNDUP((AA$1)/10,0)*10,[1]Hugst!$R$4:$W$4,0))))</f>
        <v>3728.8496921444521</v>
      </c>
      <c r="AB32" s="168">
        <f ca="1">IF($C32-AB$1&lt;År1,0,AA31*(1-VLOOKUP($A32,[1]Hugst!$R$5:$W$9,MATCH(ROUNDUP((AB$1)/10,0)*10,[1]Hugst!$R$4:$W$4,0))))</f>
        <v>3739.2987786302901</v>
      </c>
      <c r="AC32" s="168">
        <f ca="1">IF($C32-AC$1&lt;År1,0,AB31*(1-VLOOKUP($A32,[1]Hugst!$R$5:$W$9,MATCH(ROUNDUP((AC$1)/10,0)*10,[1]Hugst!$R$4:$W$4,0))))</f>
        <v>3749.8003730882983</v>
      </c>
      <c r="AD32" s="168">
        <f ca="1">IF($C32-AD$1&lt;År1,0,AC31*(1-VLOOKUP($A32,[1]Hugst!$R$5:$W$9,MATCH(ROUNDUP((AD$1)/10,0)*10,[1]Hugst!$R$4:$W$4,0))))</f>
        <v>3760.3547393777617</v>
      </c>
      <c r="AE32" s="168">
        <f ca="1">IF($C32-AE$1&lt;År1,0,AD31*(1-VLOOKUP($A32,[1]Hugst!$R$5:$W$9,MATCH(ROUNDUP((AE$1)/10,0)*10,[1]Hugst!$R$4:$W$4,0))))</f>
        <v>3770.9621426837612</v>
      </c>
      <c r="AF32" s="168">
        <f ca="1">IF($C32-AF$1&lt;År1,0,AE31*(1-VLOOKUP($A32,[1]Hugst!$R$5:$W$9,MATCH(ROUNDUP((AF$1)/10,0)*10,[1]Hugst!$R$4:$W$4,0))))</f>
        <v>3781.6228495239839</v>
      </c>
      <c r="AG32" s="168">
        <f ca="1">IF($C32-AG$1&lt;År1,0,AF31*(1-VLOOKUP($A32,[1]Hugst!$R$5:$W$9,MATCH(ROUNDUP((AG$1)/10,0)*10,[1]Hugst!$R$4:$W$4,0))))</f>
        <v>3792.3371277553588</v>
      </c>
      <c r="AH32" s="168">
        <f ca="1">IF($C32-AH$1&lt;År1,0,AG31*(1-VLOOKUP($A32,[1]Hugst!$R$5:$W$9,MATCH(ROUNDUP((AH$1)/10,0)*10,[1]Hugst!$R$4:$W$4,0))))</f>
        <v>3803.1052465808671</v>
      </c>
      <c r="AI32" s="168">
        <f ca="1">IF($C32-AI$1&lt;År1,0,AH31*(1-VLOOKUP($A32,[1]Hugst!$R$5:$W$9,MATCH(ROUNDUP((AI$1)/10,0)*10,[1]Hugst!$R$4:$W$4,0))))</f>
        <v>3813.9274765561777</v>
      </c>
      <c r="AJ32" s="168">
        <f ca="1">IF($C32-AJ$1&lt;År1,0,AI31*(1-VLOOKUP($A32,[1]Hugst!$R$5:$W$9,MATCH(ROUNDUP((AJ$1)/10,0)*10,[1]Hugst!$R$4:$W$4,0))))</f>
        <v>3812.1903739821792</v>
      </c>
      <c r="AL32" s="168">
        <f ca="1">SUM(F32:AJ32)</f>
        <v>113747.42386591312</v>
      </c>
    </row>
    <row r="33" spans="1:36" s="168" customFormat="1" x14ac:dyDescent="0.25">
      <c r="A33" s="168" t="s">
        <v>176</v>
      </c>
      <c r="B33" s="168" t="s">
        <v>24</v>
      </c>
      <c r="C33" s="168">
        <v>2020</v>
      </c>
      <c r="D33" s="168" cm="1">
        <f t="array" ref="D33">(IF(B33="Vestdanmark",Skovbrug!$C$22-(Skovbrug!$C$22)*(1-Skovbrug!$C$9)^(C33-Skovbrug!$B$12),Skovbrug!$F$22-(Skovbrug!$F$22)*(1-Skovbrug!$C$9)^(C33-Skovbrug!$B$12))*VLOOKUP(A33,Skovbrug!$A$13:$D$17,IF('Skovbrug-alder'!C33&lt;=År2,3,4),FALSE)-IF(C33&gt;2020,SUM(INDEX($C$1:$D$311,MATCH(1,(2020=$C$1:$C$311)*(B33=$B$1:$B$311)*(A33=$A$1:$A$311),0),2):D32),0))</f>
        <v>636.72739188467676</v>
      </c>
      <c r="E33" s="168">
        <f t="shared" si="0"/>
        <v>0</v>
      </c>
      <c r="F33" s="168">
        <f>IF(C33&lt;=År2,IF(B33="Vestdanmark",(Arealanvendelse!$M$27-Arealanvendelse!$J$27),(Arealanvendelse!$M$37-Arealanvendelse!$J$37))/(Arealanvendelse!$M$3-Arealanvendelse!$J$3),IF(B33="Vestdanmark",(Arealanvendelse!$P$27-Arealanvendelse!$M$27),(Arealanvendelse!$P$37-Arealanvendelse!$M$37))/(Arealanvendelse!$P$3-Arealanvendelse!$M$3))*VLOOKUP(A33,Skovbrug!$A$13:$D$17,IF('Skovbrug-alder'!C33&lt;=År2,3,4),FALSE)+D33+E33</f>
        <v>887.24591040319569</v>
      </c>
      <c r="G33" s="168">
        <f>IF($C33-G$1&lt;År1,0,F32*(1-VLOOKUP($A33,[1]Hugst!$R$5:$W$9,MATCH(ROUNDUP((G$1)/10,0)*10,[1]Hugst!$R$4:$W$4,0))))</f>
        <v>0</v>
      </c>
      <c r="H33" s="168">
        <f>IF($C33-H$1&lt;År1,0,G32*(1-VLOOKUP($A33,[1]Hugst!$R$5:$W$9,MATCH(ROUNDUP((H$1)/10,0)*10,[1]Hugst!$R$4:$W$4,0))))</f>
        <v>0</v>
      </c>
      <c r="I33" s="168">
        <f>IF($C33-I$1&lt;År1,0,H32*(1-VLOOKUP($A33,[1]Hugst!$R$5:$W$9,MATCH(ROUNDUP((I$1)/10,0)*10,[1]Hugst!$R$4:$W$4,0))))</f>
        <v>0</v>
      </c>
      <c r="J33" s="168">
        <f>IF($C33-J$1&lt;År1,0,I32*(1-VLOOKUP($A33,[1]Hugst!$R$5:$W$9,MATCH(ROUNDUP((J$1)/10,0)*10,[1]Hugst!$R$4:$W$4,0))))</f>
        <v>0</v>
      </c>
      <c r="K33" s="168">
        <f>IF($C33-K$1&lt;År1,0,J32*(1-VLOOKUP($A33,[1]Hugst!$R$5:$W$9,MATCH(ROUNDUP((K$1)/10,0)*10,[1]Hugst!$R$4:$W$4,0))))</f>
        <v>0</v>
      </c>
      <c r="L33" s="168">
        <f>IF($C33-L$1&lt;År1,0,K32*(1-VLOOKUP($A33,[1]Hugst!$R$5:$W$9,MATCH(ROUNDUP((L$1)/10,0)*10,[1]Hugst!$R$4:$W$4,0))))</f>
        <v>0</v>
      </c>
      <c r="M33" s="168">
        <f>IF($C33-M$1&lt;År1,0,L32*(1-VLOOKUP($A33,[1]Hugst!$R$5:$W$9,MATCH(ROUNDUP((M$1)/10,0)*10,[1]Hugst!$R$4:$W$4,0))))</f>
        <v>0</v>
      </c>
      <c r="N33" s="168">
        <f>IF($C33-N$1&lt;År1,0,M32*(1-VLOOKUP($A33,[1]Hugst!$R$5:$W$9,MATCH(ROUNDUP((N$1)/10,0)*10,[1]Hugst!$R$4:$W$4,0))))</f>
        <v>0</v>
      </c>
      <c r="O33" s="168">
        <f>IF($C33-O$1&lt;År1,0,N32*(1-VLOOKUP($A33,[1]Hugst!$R$5:$W$9,MATCH(ROUNDUP((O$1)/10,0)*10,[1]Hugst!$R$4:$W$4,0))))</f>
        <v>0</v>
      </c>
      <c r="P33" s="168">
        <f>IF($C33-P$1&lt;År1,0,O32*(1-VLOOKUP($A33,[1]Hugst!$R$5:$W$9,MATCH(ROUNDUP((P$1)/10,0)*10,[1]Hugst!$R$4:$W$4,0))))</f>
        <v>0</v>
      </c>
      <c r="Q33" s="168">
        <f>IF($C33-Q$1&lt;År1,0,P32*(1-VLOOKUP($A33,[1]Hugst!$R$5:$W$9,MATCH(ROUNDUP((Q$1)/10,0)*10,[1]Hugst!$R$4:$W$4,0))))</f>
        <v>0</v>
      </c>
      <c r="R33" s="168">
        <f>IF($C33-R$1&lt;År1,0,Q32*(1-VLOOKUP($A33,[1]Hugst!$R$5:$W$9,MATCH(ROUNDUP((R$1)/10,0)*10,[1]Hugst!$R$4:$W$4,0))))</f>
        <v>0</v>
      </c>
      <c r="S33" s="168">
        <f>IF($C33-S$1&lt;År1,0,R32*(1-VLOOKUP($A33,[1]Hugst!$R$5:$W$9,MATCH(ROUNDUP((S$1)/10,0)*10,[1]Hugst!$R$4:$W$4,0))))</f>
        <v>0</v>
      </c>
      <c r="T33" s="168">
        <f>IF($C33-T$1&lt;År1,0,S32*(1-VLOOKUP($A33,[1]Hugst!$R$5:$W$9,MATCH(ROUNDUP((T$1)/10,0)*10,[1]Hugst!$R$4:$W$4,0))))</f>
        <v>0</v>
      </c>
      <c r="U33" s="168">
        <f>IF($C33-U$1&lt;År1,0,T32*(1-VLOOKUP($A33,[1]Hugst!$R$5:$W$9,MATCH(ROUNDUP((U$1)/10,0)*10,[1]Hugst!$R$4:$W$4,0))))</f>
        <v>0</v>
      </c>
      <c r="V33" s="168">
        <f>IF($C33-V$1&lt;År1,0,U32*(1-VLOOKUP($A33,[1]Hugst!$R$5:$W$9,MATCH(ROUNDUP((V$1)/10,0)*10,[1]Hugst!$R$4:$W$4,0))))</f>
        <v>0</v>
      </c>
      <c r="W33" s="168">
        <f>IF($C33-W$1&lt;År1,0,V32*(1-VLOOKUP($A33,[1]Hugst!$R$5:$W$9,MATCH(ROUNDUP((W$1)/10,0)*10,[1]Hugst!$R$4:$W$4,0))))</f>
        <v>0</v>
      </c>
      <c r="X33" s="168">
        <f>IF($C33-X$1&lt;År1,0,W32*(1-VLOOKUP($A33,[1]Hugst!$R$5:$W$9,MATCH(ROUNDUP((X$1)/10,0)*10,[1]Hugst!$R$4:$W$4,0))))</f>
        <v>0</v>
      </c>
      <c r="Y33" s="168">
        <f>IF($C33-Y$1&lt;År1,0,X32*(1-VLOOKUP($A33,[1]Hugst!$R$5:$W$9,MATCH(ROUNDUP((Y$1)/10,0)*10,[1]Hugst!$R$4:$W$4,0))))</f>
        <v>0</v>
      </c>
      <c r="Z33" s="168">
        <f>IF($C33-Z$1&lt;År1,0,Y32*(1-VLOOKUP($A33,[1]Hugst!$R$5:$W$9,MATCH(ROUNDUP((Z$1)/10,0)*10,[1]Hugst!$R$4:$W$4,0))))</f>
        <v>0</v>
      </c>
      <c r="AA33" s="168">
        <f>IF($C33-AA$1&lt;År1,0,Z32*(1-VLOOKUP($A33,[1]Hugst!$R$5:$W$9,MATCH(ROUNDUP((AA$1)/10,0)*10,[1]Hugst!$R$4:$W$4,0))))</f>
        <v>0</v>
      </c>
      <c r="AB33" s="168">
        <f>IF($C33-AB$1&lt;År1,0,AA32*(1-VLOOKUP($A33,[1]Hugst!$R$5:$W$9,MATCH(ROUNDUP((AB$1)/10,0)*10,[1]Hugst!$R$4:$W$4,0))))</f>
        <v>0</v>
      </c>
      <c r="AC33" s="168">
        <f>IF($C33-AC$1&lt;År1,0,AB32*(1-VLOOKUP($A33,[1]Hugst!$R$5:$W$9,MATCH(ROUNDUP((AC$1)/10,0)*10,[1]Hugst!$R$4:$W$4,0))))</f>
        <v>0</v>
      </c>
      <c r="AD33" s="168">
        <f>IF($C33-AD$1&lt;År1,0,AC32*(1-VLOOKUP($A33,[1]Hugst!$R$5:$W$9,MATCH(ROUNDUP((AD$1)/10,0)*10,[1]Hugst!$R$4:$W$4,0))))</f>
        <v>0</v>
      </c>
      <c r="AE33" s="168">
        <f>IF($C33-AE$1&lt;År1,0,AD32*(1-VLOOKUP($A33,[1]Hugst!$R$5:$W$9,MATCH(ROUNDUP((AE$1)/10,0)*10,[1]Hugst!$R$4:$W$4,0))))</f>
        <v>0</v>
      </c>
      <c r="AF33" s="168">
        <f>IF($C33-AF$1&lt;År1,0,AE32*(1-VLOOKUP($A33,[1]Hugst!$R$5:$W$9,MATCH(ROUNDUP((AF$1)/10,0)*10,[1]Hugst!$R$4:$W$4,0))))</f>
        <v>0</v>
      </c>
      <c r="AG33" s="168">
        <f>IF($C33-AG$1&lt;År1,0,AF32*(1-VLOOKUP($A33,[1]Hugst!$R$5:$W$9,MATCH(ROUNDUP((AG$1)/10,0)*10,[1]Hugst!$R$4:$W$4,0))))</f>
        <v>0</v>
      </c>
      <c r="AH33" s="168">
        <f>IF($C33-AH$1&lt;År1,0,AG32*(1-VLOOKUP($A33,[1]Hugst!$R$5:$W$9,MATCH(ROUNDUP((AH$1)/10,0)*10,[1]Hugst!$R$4:$W$4,0))))</f>
        <v>0</v>
      </c>
      <c r="AI33" s="168">
        <f>IF($C33-AI$1&lt;År1,0,AH32*(1-VLOOKUP($A33,[1]Hugst!$R$5:$W$9,MATCH(ROUNDUP((AI$1)/10,0)*10,[1]Hugst!$R$4:$W$4,0))))</f>
        <v>0</v>
      </c>
      <c r="AJ33" s="168">
        <f>IF($C33-AJ$1&lt;År1,0,AI32*(1-VLOOKUP($A33,[1]Hugst!$R$5:$W$9,MATCH(ROUNDUP((AJ$1)/10,0)*10,[1]Hugst!$R$4:$W$4,0))))</f>
        <v>0</v>
      </c>
    </row>
    <row r="34" spans="1:36" s="168" customFormat="1" x14ac:dyDescent="0.25">
      <c r="A34" s="168" t="s">
        <v>176</v>
      </c>
      <c r="B34" s="168" t="s">
        <v>24</v>
      </c>
      <c r="C34" s="168">
        <v>2021</v>
      </c>
      <c r="D34" s="168" cm="1">
        <f t="array" ref="D34">(IF(B34="Vestdanmark",Skovbrug!$C$22-(Skovbrug!$C$22)*(1-Skovbrug!$C$9)^(C34-Skovbrug!$B$12),Skovbrug!$F$22-(Skovbrug!$F$22)*(1-Skovbrug!$C$9)^(C34-Skovbrug!$B$12))*VLOOKUP(A34,Skovbrug!$A$13:$D$17,IF('Skovbrug-alder'!C34&lt;=År2,3,4),FALSE)-IF(C34&gt;2020,SUM(INDEX($C$1:$D$311,MATCH(1,(2020=$C$1:$C$311)*(B34=$B$1:$B$311)*(A34=$A$1:$A$311),0),2):D33),0))</f>
        <v>633.54375492525287</v>
      </c>
      <c r="E34" s="168">
        <f t="shared" ca="1" si="0"/>
        <v>0</v>
      </c>
      <c r="F34" s="168">
        <f ca="1">IF(C34&lt;=År2,IF(B34="Vestdanmark",(Arealanvendelse!$M$27-Arealanvendelse!$J$27),(Arealanvendelse!$M$37-Arealanvendelse!$J$37))/(Arealanvendelse!$M$3-Arealanvendelse!$J$3),IF(B34="Vestdanmark",(Arealanvendelse!$P$27-Arealanvendelse!$M$27),(Arealanvendelse!$P$37-Arealanvendelse!$M$37))/(Arealanvendelse!$P$3-Arealanvendelse!$M$3))*VLOOKUP(A34,Skovbrug!$A$13:$D$17,IF('Skovbrug-alder'!C34&lt;=År2,3,4),FALSE)+D34+E34</f>
        <v>884.0622734437718</v>
      </c>
      <c r="G34" s="168">
        <f ca="1">IF($C34-G$1&lt;År1,0,F33*(1-VLOOKUP($A34,[1]Hugst!$R$5:$W$9,MATCH(ROUNDUP((G$1)/10,0)*10,[1]Hugst!$R$4:$W$4,0))))</f>
        <v>887.24591040319569</v>
      </c>
      <c r="H34" s="168">
        <f>IF($C34-H$1&lt;År1,0,G33*(1-VLOOKUP($A34,[1]Hugst!$R$5:$W$9,MATCH(ROUNDUP((H$1)/10,0)*10,[1]Hugst!$R$4:$W$4,0))))</f>
        <v>0</v>
      </c>
      <c r="I34" s="168">
        <f>IF($C34-I$1&lt;År1,0,H33*(1-VLOOKUP($A34,[1]Hugst!$R$5:$W$9,MATCH(ROUNDUP((I$1)/10,0)*10,[1]Hugst!$R$4:$W$4,0))))</f>
        <v>0</v>
      </c>
      <c r="J34" s="168">
        <f>IF($C34-J$1&lt;År1,0,I33*(1-VLOOKUP($A34,[1]Hugst!$R$5:$W$9,MATCH(ROUNDUP((J$1)/10,0)*10,[1]Hugst!$R$4:$W$4,0))))</f>
        <v>0</v>
      </c>
      <c r="K34" s="168">
        <f>IF($C34-K$1&lt;År1,0,J33*(1-VLOOKUP($A34,[1]Hugst!$R$5:$W$9,MATCH(ROUNDUP((K$1)/10,0)*10,[1]Hugst!$R$4:$W$4,0))))</f>
        <v>0</v>
      </c>
      <c r="L34" s="168">
        <f>IF($C34-L$1&lt;År1,0,K33*(1-VLOOKUP($A34,[1]Hugst!$R$5:$W$9,MATCH(ROUNDUP((L$1)/10,0)*10,[1]Hugst!$R$4:$W$4,0))))</f>
        <v>0</v>
      </c>
      <c r="M34" s="168">
        <f>IF($C34-M$1&lt;År1,0,L33*(1-VLOOKUP($A34,[1]Hugst!$R$5:$W$9,MATCH(ROUNDUP((M$1)/10,0)*10,[1]Hugst!$R$4:$W$4,0))))</f>
        <v>0</v>
      </c>
      <c r="N34" s="168">
        <f>IF($C34-N$1&lt;År1,0,M33*(1-VLOOKUP($A34,[1]Hugst!$R$5:$W$9,MATCH(ROUNDUP((N$1)/10,0)*10,[1]Hugst!$R$4:$W$4,0))))</f>
        <v>0</v>
      </c>
      <c r="O34" s="168">
        <f>IF($C34-O$1&lt;År1,0,N33*(1-VLOOKUP($A34,[1]Hugst!$R$5:$W$9,MATCH(ROUNDUP((O$1)/10,0)*10,[1]Hugst!$R$4:$W$4,0))))</f>
        <v>0</v>
      </c>
      <c r="P34" s="168">
        <f>IF($C34-P$1&lt;År1,0,O33*(1-VLOOKUP($A34,[1]Hugst!$R$5:$W$9,MATCH(ROUNDUP((P$1)/10,0)*10,[1]Hugst!$R$4:$W$4,0))))</f>
        <v>0</v>
      </c>
      <c r="Q34" s="168">
        <f>IF($C34-Q$1&lt;År1,0,P33*(1-VLOOKUP($A34,[1]Hugst!$R$5:$W$9,MATCH(ROUNDUP((Q$1)/10,0)*10,[1]Hugst!$R$4:$W$4,0))))</f>
        <v>0</v>
      </c>
      <c r="R34" s="168">
        <f>IF($C34-R$1&lt;År1,0,Q33*(1-VLOOKUP($A34,[1]Hugst!$R$5:$W$9,MATCH(ROUNDUP((R$1)/10,0)*10,[1]Hugst!$R$4:$W$4,0))))</f>
        <v>0</v>
      </c>
      <c r="S34" s="168">
        <f>IF($C34-S$1&lt;År1,0,R33*(1-VLOOKUP($A34,[1]Hugst!$R$5:$W$9,MATCH(ROUNDUP((S$1)/10,0)*10,[1]Hugst!$R$4:$W$4,0))))</f>
        <v>0</v>
      </c>
      <c r="T34" s="168">
        <f>IF($C34-T$1&lt;År1,0,S33*(1-VLOOKUP($A34,[1]Hugst!$R$5:$W$9,MATCH(ROUNDUP((T$1)/10,0)*10,[1]Hugst!$R$4:$W$4,0))))</f>
        <v>0</v>
      </c>
      <c r="U34" s="168">
        <f>IF($C34-U$1&lt;År1,0,T33*(1-VLOOKUP($A34,[1]Hugst!$R$5:$W$9,MATCH(ROUNDUP((U$1)/10,0)*10,[1]Hugst!$R$4:$W$4,0))))</f>
        <v>0</v>
      </c>
      <c r="V34" s="168">
        <f>IF($C34-V$1&lt;År1,0,U33*(1-VLOOKUP($A34,[1]Hugst!$R$5:$W$9,MATCH(ROUNDUP((V$1)/10,0)*10,[1]Hugst!$R$4:$W$4,0))))</f>
        <v>0</v>
      </c>
      <c r="W34" s="168">
        <f>IF($C34-W$1&lt;År1,0,V33*(1-VLOOKUP($A34,[1]Hugst!$R$5:$W$9,MATCH(ROUNDUP((W$1)/10,0)*10,[1]Hugst!$R$4:$W$4,0))))</f>
        <v>0</v>
      </c>
      <c r="X34" s="168">
        <f>IF($C34-X$1&lt;År1,0,W33*(1-VLOOKUP($A34,[1]Hugst!$R$5:$W$9,MATCH(ROUNDUP((X$1)/10,0)*10,[1]Hugst!$R$4:$W$4,0))))</f>
        <v>0</v>
      </c>
      <c r="Y34" s="168">
        <f>IF($C34-Y$1&lt;År1,0,X33*(1-VLOOKUP($A34,[1]Hugst!$R$5:$W$9,MATCH(ROUNDUP((Y$1)/10,0)*10,[1]Hugst!$R$4:$W$4,0))))</f>
        <v>0</v>
      </c>
      <c r="Z34" s="168">
        <f>IF($C34-Z$1&lt;År1,0,Y33*(1-VLOOKUP($A34,[1]Hugst!$R$5:$W$9,MATCH(ROUNDUP((Z$1)/10,0)*10,[1]Hugst!$R$4:$W$4,0))))</f>
        <v>0</v>
      </c>
      <c r="AA34" s="168">
        <f>IF($C34-AA$1&lt;År1,0,Z33*(1-VLOOKUP($A34,[1]Hugst!$R$5:$W$9,MATCH(ROUNDUP((AA$1)/10,0)*10,[1]Hugst!$R$4:$W$4,0))))</f>
        <v>0</v>
      </c>
      <c r="AB34" s="168">
        <f>IF($C34-AB$1&lt;År1,0,AA33*(1-VLOOKUP($A34,[1]Hugst!$R$5:$W$9,MATCH(ROUNDUP((AB$1)/10,0)*10,[1]Hugst!$R$4:$W$4,0))))</f>
        <v>0</v>
      </c>
      <c r="AC34" s="168">
        <f>IF($C34-AC$1&lt;År1,0,AB33*(1-VLOOKUP($A34,[1]Hugst!$R$5:$W$9,MATCH(ROUNDUP((AC$1)/10,0)*10,[1]Hugst!$R$4:$W$4,0))))</f>
        <v>0</v>
      </c>
      <c r="AD34" s="168">
        <f>IF($C34-AD$1&lt;År1,0,AC33*(1-VLOOKUP($A34,[1]Hugst!$R$5:$W$9,MATCH(ROUNDUP((AD$1)/10,0)*10,[1]Hugst!$R$4:$W$4,0))))</f>
        <v>0</v>
      </c>
      <c r="AE34" s="168">
        <f>IF($C34-AE$1&lt;År1,0,AD33*(1-VLOOKUP($A34,[1]Hugst!$R$5:$W$9,MATCH(ROUNDUP((AE$1)/10,0)*10,[1]Hugst!$R$4:$W$4,0))))</f>
        <v>0</v>
      </c>
      <c r="AF34" s="168">
        <f>IF($C34-AF$1&lt;År1,0,AE33*(1-VLOOKUP($A34,[1]Hugst!$R$5:$W$9,MATCH(ROUNDUP((AF$1)/10,0)*10,[1]Hugst!$R$4:$W$4,0))))</f>
        <v>0</v>
      </c>
      <c r="AG34" s="168">
        <f>IF($C34-AG$1&lt;År1,0,AF33*(1-VLOOKUP($A34,[1]Hugst!$R$5:$W$9,MATCH(ROUNDUP((AG$1)/10,0)*10,[1]Hugst!$R$4:$W$4,0))))</f>
        <v>0</v>
      </c>
      <c r="AH34" s="168">
        <f>IF($C34-AH$1&lt;År1,0,AG33*(1-VLOOKUP($A34,[1]Hugst!$R$5:$W$9,MATCH(ROUNDUP((AH$1)/10,0)*10,[1]Hugst!$R$4:$W$4,0))))</f>
        <v>0</v>
      </c>
      <c r="AI34" s="168">
        <f>IF($C34-AI$1&lt;År1,0,AH33*(1-VLOOKUP($A34,[1]Hugst!$R$5:$W$9,MATCH(ROUNDUP((AI$1)/10,0)*10,[1]Hugst!$R$4:$W$4,0))))</f>
        <v>0</v>
      </c>
      <c r="AJ34" s="168">
        <f>IF($C34-AJ$1&lt;År1,0,AI33*(1-VLOOKUP($A34,[1]Hugst!$R$5:$W$9,MATCH(ROUNDUP((AJ$1)/10,0)*10,[1]Hugst!$R$4:$W$4,0))))</f>
        <v>0</v>
      </c>
    </row>
    <row r="35" spans="1:36" s="168" customFormat="1" x14ac:dyDescent="0.25">
      <c r="A35" s="168" t="s">
        <v>176</v>
      </c>
      <c r="B35" s="168" t="s">
        <v>24</v>
      </c>
      <c r="C35" s="168">
        <v>2022</v>
      </c>
      <c r="D35" s="168" cm="1">
        <f t="array" ref="D35">(IF(B35="Vestdanmark",Skovbrug!$C$22-(Skovbrug!$C$22)*(1-Skovbrug!$C$9)^(C35-Skovbrug!$B$12),Skovbrug!$F$22-(Skovbrug!$F$22)*(1-Skovbrug!$C$9)^(C35-Skovbrug!$B$12))*VLOOKUP(A35,Skovbrug!$A$13:$D$17,IF('Skovbrug-alder'!C35&lt;=År2,3,4),FALSE)-IF(C35&gt;2020,SUM(INDEX($C$1:$D$311,MATCH(1,(2020=$C$1:$C$311)*(B35=$B$1:$B$311)*(A35=$A$1:$A$311),0),2):D34),0))</f>
        <v>630.37603615062835</v>
      </c>
      <c r="E35" s="168">
        <f t="shared" ca="1" si="0"/>
        <v>0</v>
      </c>
      <c r="F35" s="168">
        <f ca="1">IF(C35&lt;=År2,IF(B35="Vestdanmark",(Arealanvendelse!$M$27-Arealanvendelse!$J$27),(Arealanvendelse!$M$37-Arealanvendelse!$J$37))/(Arealanvendelse!$M$3-Arealanvendelse!$J$3),IF(B35="Vestdanmark",(Arealanvendelse!$P$27-Arealanvendelse!$M$27),(Arealanvendelse!$P$37-Arealanvendelse!$M$37))/(Arealanvendelse!$P$3-Arealanvendelse!$M$3))*VLOOKUP(A35,Skovbrug!$A$13:$D$17,IF('Skovbrug-alder'!C35&lt;=År2,3,4),FALSE)+D35+E35</f>
        <v>880.89455466914728</v>
      </c>
      <c r="G35" s="168">
        <f ca="1">IF($C35-G$1&lt;År1,0,F34*(1-VLOOKUP($A35,[1]Hugst!$R$5:$W$9,MATCH(ROUNDUP((G$1)/10,0)*10,[1]Hugst!$R$4:$W$4,0))))</f>
        <v>884.0622734437718</v>
      </c>
      <c r="H35" s="168">
        <f ca="1">IF($C35-H$1&lt;År1,0,G34*(1-VLOOKUP($A35,[1]Hugst!$R$5:$W$9,MATCH(ROUNDUP((H$1)/10,0)*10,[1]Hugst!$R$4:$W$4,0))))</f>
        <v>887.24591040319569</v>
      </c>
      <c r="I35" s="168">
        <f>IF($C35-I$1&lt;År1,0,H34*(1-VLOOKUP($A35,[1]Hugst!$R$5:$W$9,MATCH(ROUNDUP((I$1)/10,0)*10,[1]Hugst!$R$4:$W$4,0))))</f>
        <v>0</v>
      </c>
      <c r="J35" s="168">
        <f>IF($C35-J$1&lt;År1,0,I34*(1-VLOOKUP($A35,[1]Hugst!$R$5:$W$9,MATCH(ROUNDUP((J$1)/10,0)*10,[1]Hugst!$R$4:$W$4,0))))</f>
        <v>0</v>
      </c>
      <c r="K35" s="168">
        <f>IF($C35-K$1&lt;År1,0,J34*(1-VLOOKUP($A35,[1]Hugst!$R$5:$W$9,MATCH(ROUNDUP((K$1)/10,0)*10,[1]Hugst!$R$4:$W$4,0))))</f>
        <v>0</v>
      </c>
      <c r="L35" s="168">
        <f>IF($C35-L$1&lt;År1,0,K34*(1-VLOOKUP($A35,[1]Hugst!$R$5:$W$9,MATCH(ROUNDUP((L$1)/10,0)*10,[1]Hugst!$R$4:$W$4,0))))</f>
        <v>0</v>
      </c>
      <c r="M35" s="168">
        <f>IF($C35-M$1&lt;År1,0,L34*(1-VLOOKUP($A35,[1]Hugst!$R$5:$W$9,MATCH(ROUNDUP((M$1)/10,0)*10,[1]Hugst!$R$4:$W$4,0))))</f>
        <v>0</v>
      </c>
      <c r="N35" s="168">
        <f>IF($C35-N$1&lt;År1,0,M34*(1-VLOOKUP($A35,[1]Hugst!$R$5:$W$9,MATCH(ROUNDUP((N$1)/10,0)*10,[1]Hugst!$R$4:$W$4,0))))</f>
        <v>0</v>
      </c>
      <c r="O35" s="168">
        <f>IF($C35-O$1&lt;År1,0,N34*(1-VLOOKUP($A35,[1]Hugst!$R$5:$W$9,MATCH(ROUNDUP((O$1)/10,0)*10,[1]Hugst!$R$4:$W$4,0))))</f>
        <v>0</v>
      </c>
      <c r="P35" s="168">
        <f>IF($C35-P$1&lt;År1,0,O34*(1-VLOOKUP($A35,[1]Hugst!$R$5:$W$9,MATCH(ROUNDUP((P$1)/10,0)*10,[1]Hugst!$R$4:$W$4,0))))</f>
        <v>0</v>
      </c>
      <c r="Q35" s="168">
        <f>IF($C35-Q$1&lt;År1,0,P34*(1-VLOOKUP($A35,[1]Hugst!$R$5:$W$9,MATCH(ROUNDUP((Q$1)/10,0)*10,[1]Hugst!$R$4:$W$4,0))))</f>
        <v>0</v>
      </c>
      <c r="R35" s="168">
        <f>IF($C35-R$1&lt;År1,0,Q34*(1-VLOOKUP($A35,[1]Hugst!$R$5:$W$9,MATCH(ROUNDUP((R$1)/10,0)*10,[1]Hugst!$R$4:$W$4,0))))</f>
        <v>0</v>
      </c>
      <c r="S35" s="168">
        <f>IF($C35-S$1&lt;År1,0,R34*(1-VLOOKUP($A35,[1]Hugst!$R$5:$W$9,MATCH(ROUNDUP((S$1)/10,0)*10,[1]Hugst!$R$4:$W$4,0))))</f>
        <v>0</v>
      </c>
      <c r="T35" s="168">
        <f>IF($C35-T$1&lt;År1,0,S34*(1-VLOOKUP($A35,[1]Hugst!$R$5:$W$9,MATCH(ROUNDUP((T$1)/10,0)*10,[1]Hugst!$R$4:$W$4,0))))</f>
        <v>0</v>
      </c>
      <c r="U35" s="168">
        <f>IF($C35-U$1&lt;År1,0,T34*(1-VLOOKUP($A35,[1]Hugst!$R$5:$W$9,MATCH(ROUNDUP((U$1)/10,0)*10,[1]Hugst!$R$4:$W$4,0))))</f>
        <v>0</v>
      </c>
      <c r="V35" s="168">
        <f>IF($C35-V$1&lt;År1,0,U34*(1-VLOOKUP($A35,[1]Hugst!$R$5:$W$9,MATCH(ROUNDUP((V$1)/10,0)*10,[1]Hugst!$R$4:$W$4,0))))</f>
        <v>0</v>
      </c>
      <c r="W35" s="168">
        <f>IF($C35-W$1&lt;År1,0,V34*(1-VLOOKUP($A35,[1]Hugst!$R$5:$W$9,MATCH(ROUNDUP((W$1)/10,0)*10,[1]Hugst!$R$4:$W$4,0))))</f>
        <v>0</v>
      </c>
      <c r="X35" s="168">
        <f>IF($C35-X$1&lt;År1,0,W34*(1-VLOOKUP($A35,[1]Hugst!$R$5:$W$9,MATCH(ROUNDUP((X$1)/10,0)*10,[1]Hugst!$R$4:$W$4,0))))</f>
        <v>0</v>
      </c>
      <c r="Y35" s="168">
        <f>IF($C35-Y$1&lt;År1,0,X34*(1-VLOOKUP($A35,[1]Hugst!$R$5:$W$9,MATCH(ROUNDUP((Y$1)/10,0)*10,[1]Hugst!$R$4:$W$4,0))))</f>
        <v>0</v>
      </c>
      <c r="Z35" s="168">
        <f>IF($C35-Z$1&lt;År1,0,Y34*(1-VLOOKUP($A35,[1]Hugst!$R$5:$W$9,MATCH(ROUNDUP((Z$1)/10,0)*10,[1]Hugst!$R$4:$W$4,0))))</f>
        <v>0</v>
      </c>
      <c r="AA35" s="168">
        <f>IF($C35-AA$1&lt;År1,0,Z34*(1-VLOOKUP($A35,[1]Hugst!$R$5:$W$9,MATCH(ROUNDUP((AA$1)/10,0)*10,[1]Hugst!$R$4:$W$4,0))))</f>
        <v>0</v>
      </c>
      <c r="AB35" s="168">
        <f>IF($C35-AB$1&lt;År1,0,AA34*(1-VLOOKUP($A35,[1]Hugst!$R$5:$W$9,MATCH(ROUNDUP((AB$1)/10,0)*10,[1]Hugst!$R$4:$W$4,0))))</f>
        <v>0</v>
      </c>
      <c r="AC35" s="168">
        <f>IF($C35-AC$1&lt;År1,0,AB34*(1-VLOOKUP($A35,[1]Hugst!$R$5:$W$9,MATCH(ROUNDUP((AC$1)/10,0)*10,[1]Hugst!$R$4:$W$4,0))))</f>
        <v>0</v>
      </c>
      <c r="AD35" s="168">
        <f>IF($C35-AD$1&lt;År1,0,AC34*(1-VLOOKUP($A35,[1]Hugst!$R$5:$W$9,MATCH(ROUNDUP((AD$1)/10,0)*10,[1]Hugst!$R$4:$W$4,0))))</f>
        <v>0</v>
      </c>
      <c r="AE35" s="168">
        <f>IF($C35-AE$1&lt;År1,0,AD34*(1-VLOOKUP($A35,[1]Hugst!$R$5:$W$9,MATCH(ROUNDUP((AE$1)/10,0)*10,[1]Hugst!$R$4:$W$4,0))))</f>
        <v>0</v>
      </c>
      <c r="AF35" s="168">
        <f>IF($C35-AF$1&lt;År1,0,AE34*(1-VLOOKUP($A35,[1]Hugst!$R$5:$W$9,MATCH(ROUNDUP((AF$1)/10,0)*10,[1]Hugst!$R$4:$W$4,0))))</f>
        <v>0</v>
      </c>
      <c r="AG35" s="168">
        <f>IF($C35-AG$1&lt;År1,0,AF34*(1-VLOOKUP($A35,[1]Hugst!$R$5:$W$9,MATCH(ROUNDUP((AG$1)/10,0)*10,[1]Hugst!$R$4:$W$4,0))))</f>
        <v>0</v>
      </c>
      <c r="AH35" s="168">
        <f>IF($C35-AH$1&lt;År1,0,AG34*(1-VLOOKUP($A35,[1]Hugst!$R$5:$W$9,MATCH(ROUNDUP((AH$1)/10,0)*10,[1]Hugst!$R$4:$W$4,0))))</f>
        <v>0</v>
      </c>
      <c r="AI35" s="168">
        <f>IF($C35-AI$1&lt;År1,0,AH34*(1-VLOOKUP($A35,[1]Hugst!$R$5:$W$9,MATCH(ROUNDUP((AI$1)/10,0)*10,[1]Hugst!$R$4:$W$4,0))))</f>
        <v>0</v>
      </c>
      <c r="AJ35" s="168">
        <f>IF($C35-AJ$1&lt;År1,0,AI34*(1-VLOOKUP($A35,[1]Hugst!$R$5:$W$9,MATCH(ROUNDUP((AJ$1)/10,0)*10,[1]Hugst!$R$4:$W$4,0))))</f>
        <v>0</v>
      </c>
    </row>
    <row r="36" spans="1:36" s="168" customFormat="1" x14ac:dyDescent="0.25">
      <c r="A36" s="168" t="s">
        <v>176</v>
      </c>
      <c r="B36" s="168" t="s">
        <v>24</v>
      </c>
      <c r="C36" s="168">
        <v>2023</v>
      </c>
      <c r="D36" s="168" cm="1">
        <f t="array" ref="D36">(IF(B36="Vestdanmark",Skovbrug!$C$22-(Skovbrug!$C$22)*(1-Skovbrug!$C$9)^(C36-Skovbrug!$B$12),Skovbrug!$F$22-(Skovbrug!$F$22)*(1-Skovbrug!$C$9)^(C36-Skovbrug!$B$12))*VLOOKUP(A36,Skovbrug!$A$13:$D$17,IF('Skovbrug-alder'!C36&lt;=År2,3,4),FALSE)-IF(C36&gt;2020,SUM(INDEX($C$1:$D$311,MATCH(1,(2020=$C$1:$C$311)*(B36=$B$1:$B$311)*(A36=$A$1:$A$311),0),2):D35),0))</f>
        <v>627.22415596985957</v>
      </c>
      <c r="E36" s="168">
        <f t="shared" ca="1" si="0"/>
        <v>0</v>
      </c>
      <c r="F36" s="168">
        <f ca="1">IF(C36&lt;=År2,IF(B36="Vestdanmark",(Arealanvendelse!$M$27-Arealanvendelse!$J$27),(Arealanvendelse!$M$37-Arealanvendelse!$J$37))/(Arealanvendelse!$M$3-Arealanvendelse!$J$3),IF(B36="Vestdanmark",(Arealanvendelse!$P$27-Arealanvendelse!$M$27),(Arealanvendelse!$P$37-Arealanvendelse!$M$37))/(Arealanvendelse!$P$3-Arealanvendelse!$M$3))*VLOOKUP(A36,Skovbrug!$A$13:$D$17,IF('Skovbrug-alder'!C36&lt;=År2,3,4),FALSE)+D36+E36</f>
        <v>877.7426744883785</v>
      </c>
      <c r="G36" s="168">
        <f ca="1">IF($C36-G$1&lt;År1,0,F35*(1-VLOOKUP($A36,[1]Hugst!$R$5:$W$9,MATCH(ROUNDUP((G$1)/10,0)*10,[1]Hugst!$R$4:$W$4,0))))</f>
        <v>880.89455466914728</v>
      </c>
      <c r="H36" s="168">
        <f ca="1">IF($C36-H$1&lt;År1,0,G35*(1-VLOOKUP($A36,[1]Hugst!$R$5:$W$9,MATCH(ROUNDUP((H$1)/10,0)*10,[1]Hugst!$R$4:$W$4,0))))</f>
        <v>884.0622734437718</v>
      </c>
      <c r="I36" s="168">
        <f ca="1">IF($C36-I$1&lt;År1,0,H35*(1-VLOOKUP($A36,[1]Hugst!$R$5:$W$9,MATCH(ROUNDUP((I$1)/10,0)*10,[1]Hugst!$R$4:$W$4,0))))</f>
        <v>887.24591040319569</v>
      </c>
      <c r="J36" s="168">
        <f>IF($C36-J$1&lt;År1,0,I35*(1-VLOOKUP($A36,[1]Hugst!$R$5:$W$9,MATCH(ROUNDUP((J$1)/10,0)*10,[1]Hugst!$R$4:$W$4,0))))</f>
        <v>0</v>
      </c>
      <c r="K36" s="168">
        <f>IF($C36-K$1&lt;År1,0,J35*(1-VLOOKUP($A36,[1]Hugst!$R$5:$W$9,MATCH(ROUNDUP((K$1)/10,0)*10,[1]Hugst!$R$4:$W$4,0))))</f>
        <v>0</v>
      </c>
      <c r="L36" s="168">
        <f>IF($C36-L$1&lt;År1,0,K35*(1-VLOOKUP($A36,[1]Hugst!$R$5:$W$9,MATCH(ROUNDUP((L$1)/10,0)*10,[1]Hugst!$R$4:$W$4,0))))</f>
        <v>0</v>
      </c>
      <c r="M36" s="168">
        <f>IF($C36-M$1&lt;År1,0,L35*(1-VLOOKUP($A36,[1]Hugst!$R$5:$W$9,MATCH(ROUNDUP((M$1)/10,0)*10,[1]Hugst!$R$4:$W$4,0))))</f>
        <v>0</v>
      </c>
      <c r="N36" s="168">
        <f>IF($C36-N$1&lt;År1,0,M35*(1-VLOOKUP($A36,[1]Hugst!$R$5:$W$9,MATCH(ROUNDUP((N$1)/10,0)*10,[1]Hugst!$R$4:$W$4,0))))</f>
        <v>0</v>
      </c>
      <c r="O36" s="168">
        <f>IF($C36-O$1&lt;År1,0,N35*(1-VLOOKUP($A36,[1]Hugst!$R$5:$W$9,MATCH(ROUNDUP((O$1)/10,0)*10,[1]Hugst!$R$4:$W$4,0))))</f>
        <v>0</v>
      </c>
      <c r="P36" s="168">
        <f>IF($C36-P$1&lt;År1,0,O35*(1-VLOOKUP($A36,[1]Hugst!$R$5:$W$9,MATCH(ROUNDUP((P$1)/10,0)*10,[1]Hugst!$R$4:$W$4,0))))</f>
        <v>0</v>
      </c>
      <c r="Q36" s="168">
        <f>IF($C36-Q$1&lt;År1,0,P35*(1-VLOOKUP($A36,[1]Hugst!$R$5:$W$9,MATCH(ROUNDUP((Q$1)/10,0)*10,[1]Hugst!$R$4:$W$4,0))))</f>
        <v>0</v>
      </c>
      <c r="R36" s="168">
        <f>IF($C36-R$1&lt;År1,0,Q35*(1-VLOOKUP($A36,[1]Hugst!$R$5:$W$9,MATCH(ROUNDUP((R$1)/10,0)*10,[1]Hugst!$R$4:$W$4,0))))</f>
        <v>0</v>
      </c>
      <c r="S36" s="168">
        <f>IF($C36-S$1&lt;År1,0,R35*(1-VLOOKUP($A36,[1]Hugst!$R$5:$W$9,MATCH(ROUNDUP((S$1)/10,0)*10,[1]Hugst!$R$4:$W$4,0))))</f>
        <v>0</v>
      </c>
      <c r="T36" s="168">
        <f>IF($C36-T$1&lt;År1,0,S35*(1-VLOOKUP($A36,[1]Hugst!$R$5:$W$9,MATCH(ROUNDUP((T$1)/10,0)*10,[1]Hugst!$R$4:$W$4,0))))</f>
        <v>0</v>
      </c>
      <c r="U36" s="168">
        <f>IF($C36-U$1&lt;År1,0,T35*(1-VLOOKUP($A36,[1]Hugst!$R$5:$W$9,MATCH(ROUNDUP((U$1)/10,0)*10,[1]Hugst!$R$4:$W$4,0))))</f>
        <v>0</v>
      </c>
      <c r="V36" s="168">
        <f>IF($C36-V$1&lt;År1,0,U35*(1-VLOOKUP($A36,[1]Hugst!$R$5:$W$9,MATCH(ROUNDUP((V$1)/10,0)*10,[1]Hugst!$R$4:$W$4,0))))</f>
        <v>0</v>
      </c>
      <c r="W36" s="168">
        <f>IF($C36-W$1&lt;År1,0,V35*(1-VLOOKUP($A36,[1]Hugst!$R$5:$W$9,MATCH(ROUNDUP((W$1)/10,0)*10,[1]Hugst!$R$4:$W$4,0))))</f>
        <v>0</v>
      </c>
      <c r="X36" s="168">
        <f>IF($C36-X$1&lt;År1,0,W35*(1-VLOOKUP($A36,[1]Hugst!$R$5:$W$9,MATCH(ROUNDUP((X$1)/10,0)*10,[1]Hugst!$R$4:$W$4,0))))</f>
        <v>0</v>
      </c>
      <c r="Y36" s="168">
        <f>IF($C36-Y$1&lt;År1,0,X35*(1-VLOOKUP($A36,[1]Hugst!$R$5:$W$9,MATCH(ROUNDUP((Y$1)/10,0)*10,[1]Hugst!$R$4:$W$4,0))))</f>
        <v>0</v>
      </c>
      <c r="Z36" s="168">
        <f>IF($C36-Z$1&lt;År1,0,Y35*(1-VLOOKUP($A36,[1]Hugst!$R$5:$W$9,MATCH(ROUNDUP((Z$1)/10,0)*10,[1]Hugst!$R$4:$W$4,0))))</f>
        <v>0</v>
      </c>
      <c r="AA36" s="168">
        <f>IF($C36-AA$1&lt;År1,0,Z35*(1-VLOOKUP($A36,[1]Hugst!$R$5:$W$9,MATCH(ROUNDUP((AA$1)/10,0)*10,[1]Hugst!$R$4:$W$4,0))))</f>
        <v>0</v>
      </c>
      <c r="AB36" s="168">
        <f>IF($C36-AB$1&lt;År1,0,AA35*(1-VLOOKUP($A36,[1]Hugst!$R$5:$W$9,MATCH(ROUNDUP((AB$1)/10,0)*10,[1]Hugst!$R$4:$W$4,0))))</f>
        <v>0</v>
      </c>
      <c r="AC36" s="168">
        <f>IF($C36-AC$1&lt;År1,0,AB35*(1-VLOOKUP($A36,[1]Hugst!$R$5:$W$9,MATCH(ROUNDUP((AC$1)/10,0)*10,[1]Hugst!$R$4:$W$4,0))))</f>
        <v>0</v>
      </c>
      <c r="AD36" s="168">
        <f>IF($C36-AD$1&lt;År1,0,AC35*(1-VLOOKUP($A36,[1]Hugst!$R$5:$W$9,MATCH(ROUNDUP((AD$1)/10,0)*10,[1]Hugst!$R$4:$W$4,0))))</f>
        <v>0</v>
      </c>
      <c r="AE36" s="168">
        <f>IF($C36-AE$1&lt;År1,0,AD35*(1-VLOOKUP($A36,[1]Hugst!$R$5:$W$9,MATCH(ROUNDUP((AE$1)/10,0)*10,[1]Hugst!$R$4:$W$4,0))))</f>
        <v>0</v>
      </c>
      <c r="AF36" s="168">
        <f>IF($C36-AF$1&lt;År1,0,AE35*(1-VLOOKUP($A36,[1]Hugst!$R$5:$W$9,MATCH(ROUNDUP((AF$1)/10,0)*10,[1]Hugst!$R$4:$W$4,0))))</f>
        <v>0</v>
      </c>
      <c r="AG36" s="168">
        <f>IF($C36-AG$1&lt;År1,0,AF35*(1-VLOOKUP($A36,[1]Hugst!$R$5:$W$9,MATCH(ROUNDUP((AG$1)/10,0)*10,[1]Hugst!$R$4:$W$4,0))))</f>
        <v>0</v>
      </c>
      <c r="AH36" s="168">
        <f>IF($C36-AH$1&lt;År1,0,AG35*(1-VLOOKUP($A36,[1]Hugst!$R$5:$W$9,MATCH(ROUNDUP((AH$1)/10,0)*10,[1]Hugst!$R$4:$W$4,0))))</f>
        <v>0</v>
      </c>
      <c r="AI36" s="168">
        <f>IF($C36-AI$1&lt;År1,0,AH35*(1-VLOOKUP($A36,[1]Hugst!$R$5:$W$9,MATCH(ROUNDUP((AI$1)/10,0)*10,[1]Hugst!$R$4:$W$4,0))))</f>
        <v>0</v>
      </c>
      <c r="AJ36" s="168">
        <f>IF($C36-AJ$1&lt;År1,0,AI35*(1-VLOOKUP($A36,[1]Hugst!$R$5:$W$9,MATCH(ROUNDUP((AJ$1)/10,0)*10,[1]Hugst!$R$4:$W$4,0))))</f>
        <v>0</v>
      </c>
    </row>
    <row r="37" spans="1:36" s="168" customFormat="1" x14ac:dyDescent="0.25">
      <c r="A37" s="168" t="s">
        <v>176</v>
      </c>
      <c r="B37" s="168" t="s">
        <v>24</v>
      </c>
      <c r="C37" s="168">
        <v>2024</v>
      </c>
      <c r="D37" s="168" cm="1">
        <f t="array" ref="D37">(IF(B37="Vestdanmark",Skovbrug!$C$22-(Skovbrug!$C$22)*(1-Skovbrug!$C$9)^(C37-Skovbrug!$B$12),Skovbrug!$F$22-(Skovbrug!$F$22)*(1-Skovbrug!$C$9)^(C37-Skovbrug!$B$12))*VLOOKUP(A37,Skovbrug!$A$13:$D$17,IF('Skovbrug-alder'!C37&lt;=År2,3,4),FALSE)-IF(C37&gt;2020,SUM(INDEX($C$1:$D$311,MATCH(1,(2020=$C$1:$C$311)*(B37=$B$1:$B$311)*(A37=$A$1:$A$311),0),2):D36),0))</f>
        <v>624.08803519002686</v>
      </c>
      <c r="E37" s="168">
        <f t="shared" ca="1" si="0"/>
        <v>0</v>
      </c>
      <c r="F37" s="168">
        <f ca="1">IF(C37&lt;=År2,IF(B37="Vestdanmark",(Arealanvendelse!$M$27-Arealanvendelse!$J$27),(Arealanvendelse!$M$37-Arealanvendelse!$J$37))/(Arealanvendelse!$M$3-Arealanvendelse!$J$3),IF(B37="Vestdanmark",(Arealanvendelse!$P$27-Arealanvendelse!$M$27),(Arealanvendelse!$P$37-Arealanvendelse!$M$37))/(Arealanvendelse!$P$3-Arealanvendelse!$M$3))*VLOOKUP(A37,Skovbrug!$A$13:$D$17,IF('Skovbrug-alder'!C37&lt;=År2,3,4),FALSE)+D37+E37</f>
        <v>874.60655370854579</v>
      </c>
      <c r="G37" s="168">
        <f ca="1">IF($C37-G$1&lt;År1,0,F36*(1-VLOOKUP($A37,[1]Hugst!$R$5:$W$9,MATCH(ROUNDUP((G$1)/10,0)*10,[1]Hugst!$R$4:$W$4,0))))</f>
        <v>877.7426744883785</v>
      </c>
      <c r="H37" s="168">
        <f ca="1">IF($C37-H$1&lt;År1,0,G36*(1-VLOOKUP($A37,[1]Hugst!$R$5:$W$9,MATCH(ROUNDUP((H$1)/10,0)*10,[1]Hugst!$R$4:$W$4,0))))</f>
        <v>880.89455466914728</v>
      </c>
      <c r="I37" s="168">
        <f ca="1">IF($C37-I$1&lt;År1,0,H36*(1-VLOOKUP($A37,[1]Hugst!$R$5:$W$9,MATCH(ROUNDUP((I$1)/10,0)*10,[1]Hugst!$R$4:$W$4,0))))</f>
        <v>884.0622734437718</v>
      </c>
      <c r="J37" s="168">
        <f ca="1">IF($C37-J$1&lt;År1,0,I36*(1-VLOOKUP($A37,[1]Hugst!$R$5:$W$9,MATCH(ROUNDUP((J$1)/10,0)*10,[1]Hugst!$R$4:$W$4,0))))</f>
        <v>887.24591040319569</v>
      </c>
      <c r="K37" s="168">
        <f>IF($C37-K$1&lt;År1,0,J36*(1-VLOOKUP($A37,[1]Hugst!$R$5:$W$9,MATCH(ROUNDUP((K$1)/10,0)*10,[1]Hugst!$R$4:$W$4,0))))</f>
        <v>0</v>
      </c>
      <c r="L37" s="168">
        <f>IF($C37-L$1&lt;År1,0,K36*(1-VLOOKUP($A37,[1]Hugst!$R$5:$W$9,MATCH(ROUNDUP((L$1)/10,0)*10,[1]Hugst!$R$4:$W$4,0))))</f>
        <v>0</v>
      </c>
      <c r="M37" s="168">
        <f>IF($C37-M$1&lt;År1,0,L36*(1-VLOOKUP($A37,[1]Hugst!$R$5:$W$9,MATCH(ROUNDUP((M$1)/10,0)*10,[1]Hugst!$R$4:$W$4,0))))</f>
        <v>0</v>
      </c>
      <c r="N37" s="168">
        <f>IF($C37-N$1&lt;År1,0,M36*(1-VLOOKUP($A37,[1]Hugst!$R$5:$W$9,MATCH(ROUNDUP((N$1)/10,0)*10,[1]Hugst!$R$4:$W$4,0))))</f>
        <v>0</v>
      </c>
      <c r="O37" s="168">
        <f>IF($C37-O$1&lt;År1,0,N36*(1-VLOOKUP($A37,[1]Hugst!$R$5:$W$9,MATCH(ROUNDUP((O$1)/10,0)*10,[1]Hugst!$R$4:$W$4,0))))</f>
        <v>0</v>
      </c>
      <c r="P37" s="168">
        <f>IF($C37-P$1&lt;År1,0,O36*(1-VLOOKUP($A37,[1]Hugst!$R$5:$W$9,MATCH(ROUNDUP((P$1)/10,0)*10,[1]Hugst!$R$4:$W$4,0))))</f>
        <v>0</v>
      </c>
      <c r="Q37" s="168">
        <f>IF($C37-Q$1&lt;År1,0,P36*(1-VLOOKUP($A37,[1]Hugst!$R$5:$W$9,MATCH(ROUNDUP((Q$1)/10,0)*10,[1]Hugst!$R$4:$W$4,0))))</f>
        <v>0</v>
      </c>
      <c r="R37" s="168">
        <f>IF($C37-R$1&lt;År1,0,Q36*(1-VLOOKUP($A37,[1]Hugst!$R$5:$W$9,MATCH(ROUNDUP((R$1)/10,0)*10,[1]Hugst!$R$4:$W$4,0))))</f>
        <v>0</v>
      </c>
      <c r="S37" s="168">
        <f>IF($C37-S$1&lt;År1,0,R36*(1-VLOOKUP($A37,[1]Hugst!$R$5:$W$9,MATCH(ROUNDUP((S$1)/10,0)*10,[1]Hugst!$R$4:$W$4,0))))</f>
        <v>0</v>
      </c>
      <c r="T37" s="168">
        <f>IF($C37-T$1&lt;År1,0,S36*(1-VLOOKUP($A37,[1]Hugst!$R$5:$W$9,MATCH(ROUNDUP((T$1)/10,0)*10,[1]Hugst!$R$4:$W$4,0))))</f>
        <v>0</v>
      </c>
      <c r="U37" s="168">
        <f>IF($C37-U$1&lt;År1,0,T36*(1-VLOOKUP($A37,[1]Hugst!$R$5:$W$9,MATCH(ROUNDUP((U$1)/10,0)*10,[1]Hugst!$R$4:$W$4,0))))</f>
        <v>0</v>
      </c>
      <c r="V37" s="168">
        <f>IF($C37-V$1&lt;År1,0,U36*(1-VLOOKUP($A37,[1]Hugst!$R$5:$W$9,MATCH(ROUNDUP((V$1)/10,0)*10,[1]Hugst!$R$4:$W$4,0))))</f>
        <v>0</v>
      </c>
      <c r="W37" s="168">
        <f>IF($C37-W$1&lt;År1,0,V36*(1-VLOOKUP($A37,[1]Hugst!$R$5:$W$9,MATCH(ROUNDUP((W$1)/10,0)*10,[1]Hugst!$R$4:$W$4,0))))</f>
        <v>0</v>
      </c>
      <c r="X37" s="168">
        <f>IF($C37-X$1&lt;År1,0,W36*(1-VLOOKUP($A37,[1]Hugst!$R$5:$W$9,MATCH(ROUNDUP((X$1)/10,0)*10,[1]Hugst!$R$4:$W$4,0))))</f>
        <v>0</v>
      </c>
      <c r="Y37" s="168">
        <f>IF($C37-Y$1&lt;År1,0,X36*(1-VLOOKUP($A37,[1]Hugst!$R$5:$W$9,MATCH(ROUNDUP((Y$1)/10,0)*10,[1]Hugst!$R$4:$W$4,0))))</f>
        <v>0</v>
      </c>
      <c r="Z37" s="168">
        <f>IF($C37-Z$1&lt;År1,0,Y36*(1-VLOOKUP($A37,[1]Hugst!$R$5:$W$9,MATCH(ROUNDUP((Z$1)/10,0)*10,[1]Hugst!$R$4:$W$4,0))))</f>
        <v>0</v>
      </c>
      <c r="AA37" s="168">
        <f>IF($C37-AA$1&lt;År1,0,Z36*(1-VLOOKUP($A37,[1]Hugst!$R$5:$W$9,MATCH(ROUNDUP((AA$1)/10,0)*10,[1]Hugst!$R$4:$W$4,0))))</f>
        <v>0</v>
      </c>
      <c r="AB37" s="168">
        <f>IF($C37-AB$1&lt;År1,0,AA36*(1-VLOOKUP($A37,[1]Hugst!$R$5:$W$9,MATCH(ROUNDUP((AB$1)/10,0)*10,[1]Hugst!$R$4:$W$4,0))))</f>
        <v>0</v>
      </c>
      <c r="AC37" s="168">
        <f>IF($C37-AC$1&lt;År1,0,AB36*(1-VLOOKUP($A37,[1]Hugst!$R$5:$W$9,MATCH(ROUNDUP((AC$1)/10,0)*10,[1]Hugst!$R$4:$W$4,0))))</f>
        <v>0</v>
      </c>
      <c r="AD37" s="168">
        <f>IF($C37-AD$1&lt;År1,0,AC36*(1-VLOOKUP($A37,[1]Hugst!$R$5:$W$9,MATCH(ROUNDUP((AD$1)/10,0)*10,[1]Hugst!$R$4:$W$4,0))))</f>
        <v>0</v>
      </c>
      <c r="AE37" s="168">
        <f>IF($C37-AE$1&lt;År1,0,AD36*(1-VLOOKUP($A37,[1]Hugst!$R$5:$W$9,MATCH(ROUNDUP((AE$1)/10,0)*10,[1]Hugst!$R$4:$W$4,0))))</f>
        <v>0</v>
      </c>
      <c r="AF37" s="168">
        <f>IF($C37-AF$1&lt;År1,0,AE36*(1-VLOOKUP($A37,[1]Hugst!$R$5:$W$9,MATCH(ROUNDUP((AF$1)/10,0)*10,[1]Hugst!$R$4:$W$4,0))))</f>
        <v>0</v>
      </c>
      <c r="AG37" s="168">
        <f>IF($C37-AG$1&lt;År1,0,AF36*(1-VLOOKUP($A37,[1]Hugst!$R$5:$W$9,MATCH(ROUNDUP((AG$1)/10,0)*10,[1]Hugst!$R$4:$W$4,0))))</f>
        <v>0</v>
      </c>
      <c r="AH37" s="168">
        <f>IF($C37-AH$1&lt;År1,0,AG36*(1-VLOOKUP($A37,[1]Hugst!$R$5:$W$9,MATCH(ROUNDUP((AH$1)/10,0)*10,[1]Hugst!$R$4:$W$4,0))))</f>
        <v>0</v>
      </c>
      <c r="AI37" s="168">
        <f>IF($C37-AI$1&lt;År1,0,AH36*(1-VLOOKUP($A37,[1]Hugst!$R$5:$W$9,MATCH(ROUNDUP((AI$1)/10,0)*10,[1]Hugst!$R$4:$W$4,0))))</f>
        <v>0</v>
      </c>
      <c r="AJ37" s="168">
        <f>IF($C37-AJ$1&lt;År1,0,AI36*(1-VLOOKUP($A37,[1]Hugst!$R$5:$W$9,MATCH(ROUNDUP((AJ$1)/10,0)*10,[1]Hugst!$R$4:$W$4,0))))</f>
        <v>0</v>
      </c>
    </row>
    <row r="38" spans="1:36" s="168" customFormat="1" x14ac:dyDescent="0.25">
      <c r="A38" s="168" t="s">
        <v>176</v>
      </c>
      <c r="B38" s="168" t="s">
        <v>24</v>
      </c>
      <c r="C38" s="168">
        <v>2025</v>
      </c>
      <c r="D38" s="168" cm="1">
        <f t="array" ref="D38">(IF(B38="Vestdanmark",Skovbrug!$C$22-(Skovbrug!$C$22)*(1-Skovbrug!$C$9)^(C38-Skovbrug!$B$12),Skovbrug!$F$22-(Skovbrug!$F$22)*(1-Skovbrug!$C$9)^(C38-Skovbrug!$B$12))*VLOOKUP(A38,Skovbrug!$A$13:$D$17,IF('Skovbrug-alder'!C38&lt;=År2,3,4),FALSE)-IF(C38&gt;2020,SUM(INDEX($C$1:$D$311,MATCH(1,(2020=$C$1:$C$311)*(B38=$B$1:$B$311)*(A38=$A$1:$A$311),0),2):D37),0))</f>
        <v>620.96759501406632</v>
      </c>
      <c r="E38" s="168">
        <f t="shared" ca="1" si="0"/>
        <v>0</v>
      </c>
      <c r="F38" s="168">
        <f ca="1">IF(C38&lt;=År2,IF(B38="Vestdanmark",(Arealanvendelse!$M$27-Arealanvendelse!$J$27),(Arealanvendelse!$M$37-Arealanvendelse!$J$37))/(Arealanvendelse!$M$3-Arealanvendelse!$J$3),IF(B38="Vestdanmark",(Arealanvendelse!$P$27-Arealanvendelse!$M$27),(Arealanvendelse!$P$37-Arealanvendelse!$M$37))/(Arealanvendelse!$P$3-Arealanvendelse!$M$3))*VLOOKUP(A38,Skovbrug!$A$13:$D$17,IF('Skovbrug-alder'!C38&lt;=År2,3,4),FALSE)+D38+E38</f>
        <v>871.48611353258525</v>
      </c>
      <c r="G38" s="168">
        <f ca="1">IF($C38-G$1&lt;År1,0,F37*(1-VLOOKUP($A38,[1]Hugst!$R$5:$W$9,MATCH(ROUNDUP((G$1)/10,0)*10,[1]Hugst!$R$4:$W$4,0))))</f>
        <v>874.60655370854579</v>
      </c>
      <c r="H38" s="168">
        <f ca="1">IF($C38-H$1&lt;År1,0,G37*(1-VLOOKUP($A38,[1]Hugst!$R$5:$W$9,MATCH(ROUNDUP((H$1)/10,0)*10,[1]Hugst!$R$4:$W$4,0))))</f>
        <v>877.7426744883785</v>
      </c>
      <c r="I38" s="168">
        <f ca="1">IF($C38-I$1&lt;År1,0,H37*(1-VLOOKUP($A38,[1]Hugst!$R$5:$W$9,MATCH(ROUNDUP((I$1)/10,0)*10,[1]Hugst!$R$4:$W$4,0))))</f>
        <v>880.89455466914728</v>
      </c>
      <c r="J38" s="168">
        <f ca="1">IF($C38-J$1&lt;År1,0,I37*(1-VLOOKUP($A38,[1]Hugst!$R$5:$W$9,MATCH(ROUNDUP((J$1)/10,0)*10,[1]Hugst!$R$4:$W$4,0))))</f>
        <v>884.0622734437718</v>
      </c>
      <c r="K38" s="168">
        <f ca="1">IF($C38-K$1&lt;År1,0,J37*(1-VLOOKUP($A38,[1]Hugst!$R$5:$W$9,MATCH(ROUNDUP((K$1)/10,0)*10,[1]Hugst!$R$4:$W$4,0))))</f>
        <v>887.24591040319569</v>
      </c>
      <c r="L38" s="168">
        <f>IF($C38-L$1&lt;År1,0,K37*(1-VLOOKUP($A38,[1]Hugst!$R$5:$W$9,MATCH(ROUNDUP((L$1)/10,0)*10,[1]Hugst!$R$4:$W$4,0))))</f>
        <v>0</v>
      </c>
      <c r="M38" s="168">
        <f>IF($C38-M$1&lt;År1,0,L37*(1-VLOOKUP($A38,[1]Hugst!$R$5:$W$9,MATCH(ROUNDUP((M$1)/10,0)*10,[1]Hugst!$R$4:$W$4,0))))</f>
        <v>0</v>
      </c>
      <c r="N38" s="168">
        <f>IF($C38-N$1&lt;År1,0,M37*(1-VLOOKUP($A38,[1]Hugst!$R$5:$W$9,MATCH(ROUNDUP((N$1)/10,0)*10,[1]Hugst!$R$4:$W$4,0))))</f>
        <v>0</v>
      </c>
      <c r="O38" s="168">
        <f>IF($C38-O$1&lt;År1,0,N37*(1-VLOOKUP($A38,[1]Hugst!$R$5:$W$9,MATCH(ROUNDUP((O$1)/10,0)*10,[1]Hugst!$R$4:$W$4,0))))</f>
        <v>0</v>
      </c>
      <c r="P38" s="168">
        <f>IF($C38-P$1&lt;År1,0,O37*(1-VLOOKUP($A38,[1]Hugst!$R$5:$W$9,MATCH(ROUNDUP((P$1)/10,0)*10,[1]Hugst!$R$4:$W$4,0))))</f>
        <v>0</v>
      </c>
      <c r="Q38" s="168">
        <f>IF($C38-Q$1&lt;År1,0,P37*(1-VLOOKUP($A38,[1]Hugst!$R$5:$W$9,MATCH(ROUNDUP((Q$1)/10,0)*10,[1]Hugst!$R$4:$W$4,0))))</f>
        <v>0</v>
      </c>
      <c r="R38" s="168">
        <f>IF($C38-R$1&lt;År1,0,Q37*(1-VLOOKUP($A38,[1]Hugst!$R$5:$W$9,MATCH(ROUNDUP((R$1)/10,0)*10,[1]Hugst!$R$4:$W$4,0))))</f>
        <v>0</v>
      </c>
      <c r="S38" s="168">
        <f>IF($C38-S$1&lt;År1,0,R37*(1-VLOOKUP($A38,[1]Hugst!$R$5:$W$9,MATCH(ROUNDUP((S$1)/10,0)*10,[1]Hugst!$R$4:$W$4,0))))</f>
        <v>0</v>
      </c>
      <c r="T38" s="168">
        <f>IF($C38-T$1&lt;År1,0,S37*(1-VLOOKUP($A38,[1]Hugst!$R$5:$W$9,MATCH(ROUNDUP((T$1)/10,0)*10,[1]Hugst!$R$4:$W$4,0))))</f>
        <v>0</v>
      </c>
      <c r="U38" s="168">
        <f>IF($C38-U$1&lt;År1,0,T37*(1-VLOOKUP($A38,[1]Hugst!$R$5:$W$9,MATCH(ROUNDUP((U$1)/10,0)*10,[1]Hugst!$R$4:$W$4,0))))</f>
        <v>0</v>
      </c>
      <c r="V38" s="168">
        <f>IF($C38-V$1&lt;År1,0,U37*(1-VLOOKUP($A38,[1]Hugst!$R$5:$W$9,MATCH(ROUNDUP((V$1)/10,0)*10,[1]Hugst!$R$4:$W$4,0))))</f>
        <v>0</v>
      </c>
      <c r="W38" s="168">
        <f>IF($C38-W$1&lt;År1,0,V37*(1-VLOOKUP($A38,[1]Hugst!$R$5:$W$9,MATCH(ROUNDUP((W$1)/10,0)*10,[1]Hugst!$R$4:$W$4,0))))</f>
        <v>0</v>
      </c>
      <c r="X38" s="168">
        <f>IF($C38-X$1&lt;År1,0,W37*(1-VLOOKUP($A38,[1]Hugst!$R$5:$W$9,MATCH(ROUNDUP((X$1)/10,0)*10,[1]Hugst!$R$4:$W$4,0))))</f>
        <v>0</v>
      </c>
      <c r="Y38" s="168">
        <f>IF($C38-Y$1&lt;År1,0,X37*(1-VLOOKUP($A38,[1]Hugst!$R$5:$W$9,MATCH(ROUNDUP((Y$1)/10,0)*10,[1]Hugst!$R$4:$W$4,0))))</f>
        <v>0</v>
      </c>
      <c r="Z38" s="168">
        <f>IF($C38-Z$1&lt;År1,0,Y37*(1-VLOOKUP($A38,[1]Hugst!$R$5:$W$9,MATCH(ROUNDUP((Z$1)/10,0)*10,[1]Hugst!$R$4:$W$4,0))))</f>
        <v>0</v>
      </c>
      <c r="AA38" s="168">
        <f>IF($C38-AA$1&lt;År1,0,Z37*(1-VLOOKUP($A38,[1]Hugst!$R$5:$W$9,MATCH(ROUNDUP((AA$1)/10,0)*10,[1]Hugst!$R$4:$W$4,0))))</f>
        <v>0</v>
      </c>
      <c r="AB38" s="168">
        <f>IF($C38-AB$1&lt;År1,0,AA37*(1-VLOOKUP($A38,[1]Hugst!$R$5:$W$9,MATCH(ROUNDUP((AB$1)/10,0)*10,[1]Hugst!$R$4:$W$4,0))))</f>
        <v>0</v>
      </c>
      <c r="AC38" s="168">
        <f>IF($C38-AC$1&lt;År1,0,AB37*(1-VLOOKUP($A38,[1]Hugst!$R$5:$W$9,MATCH(ROUNDUP((AC$1)/10,0)*10,[1]Hugst!$R$4:$W$4,0))))</f>
        <v>0</v>
      </c>
      <c r="AD38" s="168">
        <f>IF($C38-AD$1&lt;År1,0,AC37*(1-VLOOKUP($A38,[1]Hugst!$R$5:$W$9,MATCH(ROUNDUP((AD$1)/10,0)*10,[1]Hugst!$R$4:$W$4,0))))</f>
        <v>0</v>
      </c>
      <c r="AE38" s="168">
        <f>IF($C38-AE$1&lt;År1,0,AD37*(1-VLOOKUP($A38,[1]Hugst!$R$5:$W$9,MATCH(ROUNDUP((AE$1)/10,0)*10,[1]Hugst!$R$4:$W$4,0))))</f>
        <v>0</v>
      </c>
      <c r="AF38" s="168">
        <f>IF($C38-AF$1&lt;År1,0,AE37*(1-VLOOKUP($A38,[1]Hugst!$R$5:$W$9,MATCH(ROUNDUP((AF$1)/10,0)*10,[1]Hugst!$R$4:$W$4,0))))</f>
        <v>0</v>
      </c>
      <c r="AG38" s="168">
        <f>IF($C38-AG$1&lt;År1,0,AF37*(1-VLOOKUP($A38,[1]Hugst!$R$5:$W$9,MATCH(ROUNDUP((AG$1)/10,0)*10,[1]Hugst!$R$4:$W$4,0))))</f>
        <v>0</v>
      </c>
      <c r="AH38" s="168">
        <f>IF($C38-AH$1&lt;År1,0,AG37*(1-VLOOKUP($A38,[1]Hugst!$R$5:$W$9,MATCH(ROUNDUP((AH$1)/10,0)*10,[1]Hugst!$R$4:$W$4,0))))</f>
        <v>0</v>
      </c>
      <c r="AI38" s="168">
        <f>IF($C38-AI$1&lt;År1,0,AH37*(1-VLOOKUP($A38,[1]Hugst!$R$5:$W$9,MATCH(ROUNDUP((AI$1)/10,0)*10,[1]Hugst!$R$4:$W$4,0))))</f>
        <v>0</v>
      </c>
      <c r="AJ38" s="168">
        <f>IF($C38-AJ$1&lt;År1,0,AI37*(1-VLOOKUP($A38,[1]Hugst!$R$5:$W$9,MATCH(ROUNDUP((AJ$1)/10,0)*10,[1]Hugst!$R$4:$W$4,0))))</f>
        <v>0</v>
      </c>
    </row>
    <row r="39" spans="1:36" s="168" customFormat="1" x14ac:dyDescent="0.25">
      <c r="A39" s="168" t="s">
        <v>176</v>
      </c>
      <c r="B39" s="168" t="s">
        <v>24</v>
      </c>
      <c r="C39" s="168">
        <v>2026</v>
      </c>
      <c r="D39" s="168" cm="1">
        <f t="array" ref="D39">(IF(B39="Vestdanmark",Skovbrug!$C$22-(Skovbrug!$C$22)*(1-Skovbrug!$C$9)^(C39-Skovbrug!$B$12),Skovbrug!$F$22-(Skovbrug!$F$22)*(1-Skovbrug!$C$9)^(C39-Skovbrug!$B$12))*VLOOKUP(A39,Skovbrug!$A$13:$D$17,IF('Skovbrug-alder'!C39&lt;=År2,3,4),FALSE)-IF(C39&gt;2020,SUM(INDEX($C$1:$D$311,MATCH(1,(2020=$C$1:$C$311)*(B39=$B$1:$B$311)*(A39=$A$1:$A$311),0),2):D38),0))</f>
        <v>617.86275703902356</v>
      </c>
      <c r="E39" s="168">
        <f t="shared" ca="1" si="0"/>
        <v>0</v>
      </c>
      <c r="F39" s="168">
        <f ca="1">IF(C39&lt;=År2,IF(B39="Vestdanmark",(Arealanvendelse!$M$27-Arealanvendelse!$J$27),(Arealanvendelse!$M$37-Arealanvendelse!$J$37))/(Arealanvendelse!$M$3-Arealanvendelse!$J$3),IF(B39="Vestdanmark",(Arealanvendelse!$P$27-Arealanvendelse!$M$27),(Arealanvendelse!$P$37-Arealanvendelse!$M$37))/(Arealanvendelse!$P$3-Arealanvendelse!$M$3))*VLOOKUP(A39,Skovbrug!$A$13:$D$17,IF('Skovbrug-alder'!C39&lt;=År2,3,4),FALSE)+D39+E39</f>
        <v>868.38127555754249</v>
      </c>
      <c r="G39" s="168">
        <f ca="1">IF($C39-G$1&lt;År1,0,F38*(1-VLOOKUP($A39,[1]Hugst!$R$5:$W$9,MATCH(ROUNDUP((G$1)/10,0)*10,[1]Hugst!$R$4:$W$4,0))))</f>
        <v>871.48611353258525</v>
      </c>
      <c r="H39" s="168">
        <f ca="1">IF($C39-H$1&lt;År1,0,G38*(1-VLOOKUP($A39,[1]Hugst!$R$5:$W$9,MATCH(ROUNDUP((H$1)/10,0)*10,[1]Hugst!$R$4:$W$4,0))))</f>
        <v>874.60655370854579</v>
      </c>
      <c r="I39" s="168">
        <f ca="1">IF($C39-I$1&lt;År1,0,H38*(1-VLOOKUP($A39,[1]Hugst!$R$5:$W$9,MATCH(ROUNDUP((I$1)/10,0)*10,[1]Hugst!$R$4:$W$4,0))))</f>
        <v>877.7426744883785</v>
      </c>
      <c r="J39" s="168">
        <f ca="1">IF($C39-J$1&lt;År1,0,I38*(1-VLOOKUP($A39,[1]Hugst!$R$5:$W$9,MATCH(ROUNDUP((J$1)/10,0)*10,[1]Hugst!$R$4:$W$4,0))))</f>
        <v>880.89455466914728</v>
      </c>
      <c r="K39" s="168">
        <f ca="1">IF($C39-K$1&lt;År1,0,J38*(1-VLOOKUP($A39,[1]Hugst!$R$5:$W$9,MATCH(ROUNDUP((K$1)/10,0)*10,[1]Hugst!$R$4:$W$4,0))))</f>
        <v>884.0622734437718</v>
      </c>
      <c r="L39" s="168">
        <f ca="1">IF($C39-L$1&lt;År1,0,K38*(1-VLOOKUP($A39,[1]Hugst!$R$5:$W$9,MATCH(ROUNDUP((L$1)/10,0)*10,[1]Hugst!$R$4:$W$4,0))))</f>
        <v>887.24591040319569</v>
      </c>
      <c r="M39" s="168">
        <f>IF($C39-M$1&lt;År1,0,L38*(1-VLOOKUP($A39,[1]Hugst!$R$5:$W$9,MATCH(ROUNDUP((M$1)/10,0)*10,[1]Hugst!$R$4:$W$4,0))))</f>
        <v>0</v>
      </c>
      <c r="N39" s="168">
        <f>IF($C39-N$1&lt;År1,0,M38*(1-VLOOKUP($A39,[1]Hugst!$R$5:$W$9,MATCH(ROUNDUP((N$1)/10,0)*10,[1]Hugst!$R$4:$W$4,0))))</f>
        <v>0</v>
      </c>
      <c r="O39" s="168">
        <f>IF($C39-O$1&lt;År1,0,N38*(1-VLOOKUP($A39,[1]Hugst!$R$5:$W$9,MATCH(ROUNDUP((O$1)/10,0)*10,[1]Hugst!$R$4:$W$4,0))))</f>
        <v>0</v>
      </c>
      <c r="P39" s="168">
        <f>IF($C39-P$1&lt;År1,0,O38*(1-VLOOKUP($A39,[1]Hugst!$R$5:$W$9,MATCH(ROUNDUP((P$1)/10,0)*10,[1]Hugst!$R$4:$W$4,0))))</f>
        <v>0</v>
      </c>
      <c r="Q39" s="168">
        <f>IF($C39-Q$1&lt;År1,0,P38*(1-VLOOKUP($A39,[1]Hugst!$R$5:$W$9,MATCH(ROUNDUP((Q$1)/10,0)*10,[1]Hugst!$R$4:$W$4,0))))</f>
        <v>0</v>
      </c>
      <c r="R39" s="168">
        <f>IF($C39-R$1&lt;År1,0,Q38*(1-VLOOKUP($A39,[1]Hugst!$R$5:$W$9,MATCH(ROUNDUP((R$1)/10,0)*10,[1]Hugst!$R$4:$W$4,0))))</f>
        <v>0</v>
      </c>
      <c r="S39" s="168">
        <f>IF($C39-S$1&lt;År1,0,R38*(1-VLOOKUP($A39,[1]Hugst!$R$5:$W$9,MATCH(ROUNDUP((S$1)/10,0)*10,[1]Hugst!$R$4:$W$4,0))))</f>
        <v>0</v>
      </c>
      <c r="T39" s="168">
        <f>IF($C39-T$1&lt;År1,0,S38*(1-VLOOKUP($A39,[1]Hugst!$R$5:$W$9,MATCH(ROUNDUP((T$1)/10,0)*10,[1]Hugst!$R$4:$W$4,0))))</f>
        <v>0</v>
      </c>
      <c r="U39" s="168">
        <f>IF($C39-U$1&lt;År1,0,T38*(1-VLOOKUP($A39,[1]Hugst!$R$5:$W$9,MATCH(ROUNDUP((U$1)/10,0)*10,[1]Hugst!$R$4:$W$4,0))))</f>
        <v>0</v>
      </c>
      <c r="V39" s="168">
        <f>IF($C39-V$1&lt;År1,0,U38*(1-VLOOKUP($A39,[1]Hugst!$R$5:$W$9,MATCH(ROUNDUP((V$1)/10,0)*10,[1]Hugst!$R$4:$W$4,0))))</f>
        <v>0</v>
      </c>
      <c r="W39" s="168">
        <f>IF($C39-W$1&lt;År1,0,V38*(1-VLOOKUP($A39,[1]Hugst!$R$5:$W$9,MATCH(ROUNDUP((W$1)/10,0)*10,[1]Hugst!$R$4:$W$4,0))))</f>
        <v>0</v>
      </c>
      <c r="X39" s="168">
        <f>IF($C39-X$1&lt;År1,0,W38*(1-VLOOKUP($A39,[1]Hugst!$R$5:$W$9,MATCH(ROUNDUP((X$1)/10,0)*10,[1]Hugst!$R$4:$W$4,0))))</f>
        <v>0</v>
      </c>
      <c r="Y39" s="168">
        <f>IF($C39-Y$1&lt;År1,0,X38*(1-VLOOKUP($A39,[1]Hugst!$R$5:$W$9,MATCH(ROUNDUP((Y$1)/10,0)*10,[1]Hugst!$R$4:$W$4,0))))</f>
        <v>0</v>
      </c>
      <c r="Z39" s="168">
        <f>IF($C39-Z$1&lt;År1,0,Y38*(1-VLOOKUP($A39,[1]Hugst!$R$5:$W$9,MATCH(ROUNDUP((Z$1)/10,0)*10,[1]Hugst!$R$4:$W$4,0))))</f>
        <v>0</v>
      </c>
      <c r="AA39" s="168">
        <f>IF($C39-AA$1&lt;År1,0,Z38*(1-VLOOKUP($A39,[1]Hugst!$R$5:$W$9,MATCH(ROUNDUP((AA$1)/10,0)*10,[1]Hugst!$R$4:$W$4,0))))</f>
        <v>0</v>
      </c>
      <c r="AB39" s="168">
        <f>IF($C39-AB$1&lt;År1,0,AA38*(1-VLOOKUP($A39,[1]Hugst!$R$5:$W$9,MATCH(ROUNDUP((AB$1)/10,0)*10,[1]Hugst!$R$4:$W$4,0))))</f>
        <v>0</v>
      </c>
      <c r="AC39" s="168">
        <f>IF($C39-AC$1&lt;År1,0,AB38*(1-VLOOKUP($A39,[1]Hugst!$R$5:$W$9,MATCH(ROUNDUP((AC$1)/10,0)*10,[1]Hugst!$R$4:$W$4,0))))</f>
        <v>0</v>
      </c>
      <c r="AD39" s="168">
        <f>IF($C39-AD$1&lt;År1,0,AC38*(1-VLOOKUP($A39,[1]Hugst!$R$5:$W$9,MATCH(ROUNDUP((AD$1)/10,0)*10,[1]Hugst!$R$4:$W$4,0))))</f>
        <v>0</v>
      </c>
      <c r="AE39" s="168">
        <f>IF($C39-AE$1&lt;År1,0,AD38*(1-VLOOKUP($A39,[1]Hugst!$R$5:$W$9,MATCH(ROUNDUP((AE$1)/10,0)*10,[1]Hugst!$R$4:$W$4,0))))</f>
        <v>0</v>
      </c>
      <c r="AF39" s="168">
        <f>IF($C39-AF$1&lt;År1,0,AE38*(1-VLOOKUP($A39,[1]Hugst!$R$5:$W$9,MATCH(ROUNDUP((AF$1)/10,0)*10,[1]Hugst!$R$4:$W$4,0))))</f>
        <v>0</v>
      </c>
      <c r="AG39" s="168">
        <f>IF($C39-AG$1&lt;År1,0,AF38*(1-VLOOKUP($A39,[1]Hugst!$R$5:$W$9,MATCH(ROUNDUP((AG$1)/10,0)*10,[1]Hugst!$R$4:$W$4,0))))</f>
        <v>0</v>
      </c>
      <c r="AH39" s="168">
        <f>IF($C39-AH$1&lt;År1,0,AG38*(1-VLOOKUP($A39,[1]Hugst!$R$5:$W$9,MATCH(ROUNDUP((AH$1)/10,0)*10,[1]Hugst!$R$4:$W$4,0))))</f>
        <v>0</v>
      </c>
      <c r="AI39" s="168">
        <f>IF($C39-AI$1&lt;År1,0,AH38*(1-VLOOKUP($A39,[1]Hugst!$R$5:$W$9,MATCH(ROUNDUP((AI$1)/10,0)*10,[1]Hugst!$R$4:$W$4,0))))</f>
        <v>0</v>
      </c>
      <c r="AJ39" s="168">
        <f>IF($C39-AJ$1&lt;År1,0,AI38*(1-VLOOKUP($A39,[1]Hugst!$R$5:$W$9,MATCH(ROUNDUP((AJ$1)/10,0)*10,[1]Hugst!$R$4:$W$4,0))))</f>
        <v>0</v>
      </c>
    </row>
    <row r="40" spans="1:36" s="168" customFormat="1" x14ac:dyDescent="0.25">
      <c r="A40" s="168" t="s">
        <v>176</v>
      </c>
      <c r="B40" s="168" t="s">
        <v>24</v>
      </c>
      <c r="C40" s="168">
        <v>2027</v>
      </c>
      <c r="D40" s="168" cm="1">
        <f t="array" ref="D40">(IF(B40="Vestdanmark",Skovbrug!$C$22-(Skovbrug!$C$22)*(1-Skovbrug!$C$9)^(C40-Skovbrug!$B$12),Skovbrug!$F$22-(Skovbrug!$F$22)*(1-Skovbrug!$C$9)^(C40-Skovbrug!$B$12))*VLOOKUP(A40,Skovbrug!$A$13:$D$17,IF('Skovbrug-alder'!C40&lt;=År2,3,4),FALSE)-IF(C40&gt;2020,SUM(INDEX($C$1:$D$311,MATCH(1,(2020=$C$1:$C$311)*(B40=$B$1:$B$311)*(A40=$A$1:$A$311),0),2):D39),0))</f>
        <v>614.77344325379818</v>
      </c>
      <c r="E40" s="168">
        <f t="shared" ca="1" si="0"/>
        <v>0</v>
      </c>
      <c r="F40" s="168">
        <f ca="1">IF(C40&lt;=År2,IF(B40="Vestdanmark",(Arealanvendelse!$M$27-Arealanvendelse!$J$27),(Arealanvendelse!$M$37-Arealanvendelse!$J$37))/(Arealanvendelse!$M$3-Arealanvendelse!$J$3),IF(B40="Vestdanmark",(Arealanvendelse!$P$27-Arealanvendelse!$M$27),(Arealanvendelse!$P$37-Arealanvendelse!$M$37))/(Arealanvendelse!$P$3-Arealanvendelse!$M$3))*VLOOKUP(A40,Skovbrug!$A$13:$D$17,IF('Skovbrug-alder'!C40&lt;=År2,3,4),FALSE)+D40+E40</f>
        <v>865.29196177231711</v>
      </c>
      <c r="G40" s="168">
        <f ca="1">IF($C40-G$1&lt;År1,0,F39*(1-VLOOKUP($A40,[1]Hugst!$R$5:$W$9,MATCH(ROUNDUP((G$1)/10,0)*10,[1]Hugst!$R$4:$W$4,0))))</f>
        <v>868.38127555754249</v>
      </c>
      <c r="H40" s="168">
        <f ca="1">IF($C40-H$1&lt;År1,0,G39*(1-VLOOKUP($A40,[1]Hugst!$R$5:$W$9,MATCH(ROUNDUP((H$1)/10,0)*10,[1]Hugst!$R$4:$W$4,0))))</f>
        <v>871.48611353258525</v>
      </c>
      <c r="I40" s="168">
        <f ca="1">IF($C40-I$1&lt;År1,0,H39*(1-VLOOKUP($A40,[1]Hugst!$R$5:$W$9,MATCH(ROUNDUP((I$1)/10,0)*10,[1]Hugst!$R$4:$W$4,0))))</f>
        <v>874.60655370854579</v>
      </c>
      <c r="J40" s="168">
        <f ca="1">IF($C40-J$1&lt;År1,0,I39*(1-VLOOKUP($A40,[1]Hugst!$R$5:$W$9,MATCH(ROUNDUP((J$1)/10,0)*10,[1]Hugst!$R$4:$W$4,0))))</f>
        <v>877.7426744883785</v>
      </c>
      <c r="K40" s="168">
        <f ca="1">IF($C40-K$1&lt;År1,0,J39*(1-VLOOKUP($A40,[1]Hugst!$R$5:$W$9,MATCH(ROUNDUP((K$1)/10,0)*10,[1]Hugst!$R$4:$W$4,0))))</f>
        <v>880.89455466914728</v>
      </c>
      <c r="L40" s="168">
        <f ca="1">IF($C40-L$1&lt;År1,0,K39*(1-VLOOKUP($A40,[1]Hugst!$R$5:$W$9,MATCH(ROUNDUP((L$1)/10,0)*10,[1]Hugst!$R$4:$W$4,0))))</f>
        <v>884.0622734437718</v>
      </c>
      <c r="M40" s="168">
        <f ca="1">IF($C40-M$1&lt;År1,0,L39*(1-VLOOKUP($A40,[1]Hugst!$R$5:$W$9,MATCH(ROUNDUP((M$1)/10,0)*10,[1]Hugst!$R$4:$W$4,0))))</f>
        <v>887.24591040319569</v>
      </c>
      <c r="N40" s="168">
        <f>IF($C40-N$1&lt;År1,0,M39*(1-VLOOKUP($A40,[1]Hugst!$R$5:$W$9,MATCH(ROUNDUP((N$1)/10,0)*10,[1]Hugst!$R$4:$W$4,0))))</f>
        <v>0</v>
      </c>
      <c r="O40" s="168">
        <f>IF($C40-O$1&lt;År1,0,N39*(1-VLOOKUP($A40,[1]Hugst!$R$5:$W$9,MATCH(ROUNDUP((O$1)/10,0)*10,[1]Hugst!$R$4:$W$4,0))))</f>
        <v>0</v>
      </c>
      <c r="P40" s="168">
        <f>IF($C40-P$1&lt;År1,0,O39*(1-VLOOKUP($A40,[1]Hugst!$R$5:$W$9,MATCH(ROUNDUP((P$1)/10,0)*10,[1]Hugst!$R$4:$W$4,0))))</f>
        <v>0</v>
      </c>
      <c r="Q40" s="168">
        <f>IF($C40-Q$1&lt;År1,0,P39*(1-VLOOKUP($A40,[1]Hugst!$R$5:$W$9,MATCH(ROUNDUP((Q$1)/10,0)*10,[1]Hugst!$R$4:$W$4,0))))</f>
        <v>0</v>
      </c>
      <c r="R40" s="168">
        <f>IF($C40-R$1&lt;År1,0,Q39*(1-VLOOKUP($A40,[1]Hugst!$R$5:$W$9,MATCH(ROUNDUP((R$1)/10,0)*10,[1]Hugst!$R$4:$W$4,0))))</f>
        <v>0</v>
      </c>
      <c r="S40" s="168">
        <f>IF($C40-S$1&lt;År1,0,R39*(1-VLOOKUP($A40,[1]Hugst!$R$5:$W$9,MATCH(ROUNDUP((S$1)/10,0)*10,[1]Hugst!$R$4:$W$4,0))))</f>
        <v>0</v>
      </c>
      <c r="T40" s="168">
        <f>IF($C40-T$1&lt;År1,0,S39*(1-VLOOKUP($A40,[1]Hugst!$R$5:$W$9,MATCH(ROUNDUP((T$1)/10,0)*10,[1]Hugst!$R$4:$W$4,0))))</f>
        <v>0</v>
      </c>
      <c r="U40" s="168">
        <f>IF($C40-U$1&lt;År1,0,T39*(1-VLOOKUP($A40,[1]Hugst!$R$5:$W$9,MATCH(ROUNDUP((U$1)/10,0)*10,[1]Hugst!$R$4:$W$4,0))))</f>
        <v>0</v>
      </c>
      <c r="V40" s="168">
        <f>IF($C40-V$1&lt;År1,0,U39*(1-VLOOKUP($A40,[1]Hugst!$R$5:$W$9,MATCH(ROUNDUP((V$1)/10,0)*10,[1]Hugst!$R$4:$W$4,0))))</f>
        <v>0</v>
      </c>
      <c r="W40" s="168">
        <f>IF($C40-W$1&lt;År1,0,V39*(1-VLOOKUP($A40,[1]Hugst!$R$5:$W$9,MATCH(ROUNDUP((W$1)/10,0)*10,[1]Hugst!$R$4:$W$4,0))))</f>
        <v>0</v>
      </c>
      <c r="X40" s="168">
        <f>IF($C40-X$1&lt;År1,0,W39*(1-VLOOKUP($A40,[1]Hugst!$R$5:$W$9,MATCH(ROUNDUP((X$1)/10,0)*10,[1]Hugst!$R$4:$W$4,0))))</f>
        <v>0</v>
      </c>
      <c r="Y40" s="168">
        <f>IF($C40-Y$1&lt;År1,0,X39*(1-VLOOKUP($A40,[1]Hugst!$R$5:$W$9,MATCH(ROUNDUP((Y$1)/10,0)*10,[1]Hugst!$R$4:$W$4,0))))</f>
        <v>0</v>
      </c>
      <c r="Z40" s="168">
        <f>IF($C40-Z$1&lt;År1,0,Y39*(1-VLOOKUP($A40,[1]Hugst!$R$5:$W$9,MATCH(ROUNDUP((Z$1)/10,0)*10,[1]Hugst!$R$4:$W$4,0))))</f>
        <v>0</v>
      </c>
      <c r="AA40" s="168">
        <f>IF($C40-AA$1&lt;År1,0,Z39*(1-VLOOKUP($A40,[1]Hugst!$R$5:$W$9,MATCH(ROUNDUP((AA$1)/10,0)*10,[1]Hugst!$R$4:$W$4,0))))</f>
        <v>0</v>
      </c>
      <c r="AB40" s="168">
        <f>IF($C40-AB$1&lt;År1,0,AA39*(1-VLOOKUP($A40,[1]Hugst!$R$5:$W$9,MATCH(ROUNDUP((AB$1)/10,0)*10,[1]Hugst!$R$4:$W$4,0))))</f>
        <v>0</v>
      </c>
      <c r="AC40" s="168">
        <f>IF($C40-AC$1&lt;År1,0,AB39*(1-VLOOKUP($A40,[1]Hugst!$R$5:$W$9,MATCH(ROUNDUP((AC$1)/10,0)*10,[1]Hugst!$R$4:$W$4,0))))</f>
        <v>0</v>
      </c>
      <c r="AD40" s="168">
        <f>IF($C40-AD$1&lt;År1,0,AC39*(1-VLOOKUP($A40,[1]Hugst!$R$5:$W$9,MATCH(ROUNDUP((AD$1)/10,0)*10,[1]Hugst!$R$4:$W$4,0))))</f>
        <v>0</v>
      </c>
      <c r="AE40" s="168">
        <f>IF($C40-AE$1&lt;År1,0,AD39*(1-VLOOKUP($A40,[1]Hugst!$R$5:$W$9,MATCH(ROUNDUP((AE$1)/10,0)*10,[1]Hugst!$R$4:$W$4,0))))</f>
        <v>0</v>
      </c>
      <c r="AF40" s="168">
        <f>IF($C40-AF$1&lt;År1,0,AE39*(1-VLOOKUP($A40,[1]Hugst!$R$5:$W$9,MATCH(ROUNDUP((AF$1)/10,0)*10,[1]Hugst!$R$4:$W$4,0))))</f>
        <v>0</v>
      </c>
      <c r="AG40" s="168">
        <f>IF($C40-AG$1&lt;År1,0,AF39*(1-VLOOKUP($A40,[1]Hugst!$R$5:$W$9,MATCH(ROUNDUP((AG$1)/10,0)*10,[1]Hugst!$R$4:$W$4,0))))</f>
        <v>0</v>
      </c>
      <c r="AH40" s="168">
        <f>IF($C40-AH$1&lt;År1,0,AG39*(1-VLOOKUP($A40,[1]Hugst!$R$5:$W$9,MATCH(ROUNDUP((AH$1)/10,0)*10,[1]Hugst!$R$4:$W$4,0))))</f>
        <v>0</v>
      </c>
      <c r="AI40" s="168">
        <f>IF($C40-AI$1&lt;År1,0,AH39*(1-VLOOKUP($A40,[1]Hugst!$R$5:$W$9,MATCH(ROUNDUP((AI$1)/10,0)*10,[1]Hugst!$R$4:$W$4,0))))</f>
        <v>0</v>
      </c>
      <c r="AJ40" s="168">
        <f>IF($C40-AJ$1&lt;År1,0,AI39*(1-VLOOKUP($A40,[1]Hugst!$R$5:$W$9,MATCH(ROUNDUP((AJ$1)/10,0)*10,[1]Hugst!$R$4:$W$4,0))))</f>
        <v>0</v>
      </c>
    </row>
    <row r="41" spans="1:36" s="168" customFormat="1" x14ac:dyDescent="0.25">
      <c r="A41" s="168" t="s">
        <v>176</v>
      </c>
      <c r="B41" s="168" t="s">
        <v>24</v>
      </c>
      <c r="C41" s="168">
        <v>2028</v>
      </c>
      <c r="D41" s="168" cm="1">
        <f t="array" ref="D41">(IF(B41="Vestdanmark",Skovbrug!$C$22-(Skovbrug!$C$22)*(1-Skovbrug!$C$9)^(C41-Skovbrug!$B$12),Skovbrug!$F$22-(Skovbrug!$F$22)*(1-Skovbrug!$C$9)^(C41-Skovbrug!$B$12))*VLOOKUP(A41,Skovbrug!$A$13:$D$17,IF('Skovbrug-alder'!C41&lt;=År2,3,4),FALSE)-IF(C41&gt;2020,SUM(INDEX($C$1:$D$311,MATCH(1,(2020=$C$1:$C$311)*(B41=$B$1:$B$311)*(A41=$A$1:$A$311),0),2):D40),0))</f>
        <v>611.69957603754301</v>
      </c>
      <c r="E41" s="168">
        <f t="shared" ca="1" si="0"/>
        <v>0</v>
      </c>
      <c r="F41" s="168">
        <f ca="1">IF(C41&lt;=År2,IF(B41="Vestdanmark",(Arealanvendelse!$M$27-Arealanvendelse!$J$27),(Arealanvendelse!$M$37-Arealanvendelse!$J$37))/(Arealanvendelse!$M$3-Arealanvendelse!$J$3),IF(B41="Vestdanmark",(Arealanvendelse!$P$27-Arealanvendelse!$M$27),(Arealanvendelse!$P$37-Arealanvendelse!$M$37))/(Arealanvendelse!$P$3-Arealanvendelse!$M$3))*VLOOKUP(A41,Skovbrug!$A$13:$D$17,IF('Skovbrug-alder'!C41&lt;=År2,3,4),FALSE)+D41+E41</f>
        <v>862.21809455606194</v>
      </c>
      <c r="G41" s="168">
        <f ca="1">IF($C41-G$1&lt;År1,0,F40*(1-VLOOKUP($A41,[1]Hugst!$R$5:$W$9,MATCH(ROUNDUP((G$1)/10,0)*10,[1]Hugst!$R$4:$W$4,0))))</f>
        <v>865.29196177231711</v>
      </c>
      <c r="H41" s="168">
        <f ca="1">IF($C41-H$1&lt;År1,0,G40*(1-VLOOKUP($A41,[1]Hugst!$R$5:$W$9,MATCH(ROUNDUP((H$1)/10,0)*10,[1]Hugst!$R$4:$W$4,0))))</f>
        <v>868.38127555754249</v>
      </c>
      <c r="I41" s="168">
        <f ca="1">IF($C41-I$1&lt;År1,0,H40*(1-VLOOKUP($A41,[1]Hugst!$R$5:$W$9,MATCH(ROUNDUP((I$1)/10,0)*10,[1]Hugst!$R$4:$W$4,0))))</f>
        <v>871.48611353258525</v>
      </c>
      <c r="J41" s="168">
        <f ca="1">IF($C41-J$1&lt;År1,0,I40*(1-VLOOKUP($A41,[1]Hugst!$R$5:$W$9,MATCH(ROUNDUP((J$1)/10,0)*10,[1]Hugst!$R$4:$W$4,0))))</f>
        <v>874.60655370854579</v>
      </c>
      <c r="K41" s="168">
        <f ca="1">IF($C41-K$1&lt;År1,0,J40*(1-VLOOKUP($A41,[1]Hugst!$R$5:$W$9,MATCH(ROUNDUP((K$1)/10,0)*10,[1]Hugst!$R$4:$W$4,0))))</f>
        <v>877.7426744883785</v>
      </c>
      <c r="L41" s="168">
        <f ca="1">IF($C41-L$1&lt;År1,0,K40*(1-VLOOKUP($A41,[1]Hugst!$R$5:$W$9,MATCH(ROUNDUP((L$1)/10,0)*10,[1]Hugst!$R$4:$W$4,0))))</f>
        <v>880.89455466914728</v>
      </c>
      <c r="M41" s="168">
        <f ca="1">IF($C41-M$1&lt;År1,0,L40*(1-VLOOKUP($A41,[1]Hugst!$R$5:$W$9,MATCH(ROUNDUP((M$1)/10,0)*10,[1]Hugst!$R$4:$W$4,0))))</f>
        <v>884.0622734437718</v>
      </c>
      <c r="N41" s="168">
        <f ca="1">IF($C41-N$1&lt;År1,0,M40*(1-VLOOKUP($A41,[1]Hugst!$R$5:$W$9,MATCH(ROUNDUP((N$1)/10,0)*10,[1]Hugst!$R$4:$W$4,0))))</f>
        <v>887.24591040319569</v>
      </c>
      <c r="O41" s="168">
        <f>IF($C41-O$1&lt;År1,0,N40*(1-VLOOKUP($A41,[1]Hugst!$R$5:$W$9,MATCH(ROUNDUP((O$1)/10,0)*10,[1]Hugst!$R$4:$W$4,0))))</f>
        <v>0</v>
      </c>
      <c r="P41" s="168">
        <f>IF($C41-P$1&lt;År1,0,O40*(1-VLOOKUP($A41,[1]Hugst!$R$5:$W$9,MATCH(ROUNDUP((P$1)/10,0)*10,[1]Hugst!$R$4:$W$4,0))))</f>
        <v>0</v>
      </c>
      <c r="Q41" s="168">
        <f>IF($C41-Q$1&lt;År1,0,P40*(1-VLOOKUP($A41,[1]Hugst!$R$5:$W$9,MATCH(ROUNDUP((Q$1)/10,0)*10,[1]Hugst!$R$4:$W$4,0))))</f>
        <v>0</v>
      </c>
      <c r="R41" s="168">
        <f>IF($C41-R$1&lt;År1,0,Q40*(1-VLOOKUP($A41,[1]Hugst!$R$5:$W$9,MATCH(ROUNDUP((R$1)/10,0)*10,[1]Hugst!$R$4:$W$4,0))))</f>
        <v>0</v>
      </c>
      <c r="S41" s="168">
        <f>IF($C41-S$1&lt;År1,0,R40*(1-VLOOKUP($A41,[1]Hugst!$R$5:$W$9,MATCH(ROUNDUP((S$1)/10,0)*10,[1]Hugst!$R$4:$W$4,0))))</f>
        <v>0</v>
      </c>
      <c r="T41" s="168">
        <f>IF($C41-T$1&lt;År1,0,S40*(1-VLOOKUP($A41,[1]Hugst!$R$5:$W$9,MATCH(ROUNDUP((T$1)/10,0)*10,[1]Hugst!$R$4:$W$4,0))))</f>
        <v>0</v>
      </c>
      <c r="U41" s="168">
        <f>IF($C41-U$1&lt;År1,0,T40*(1-VLOOKUP($A41,[1]Hugst!$R$5:$W$9,MATCH(ROUNDUP((U$1)/10,0)*10,[1]Hugst!$R$4:$W$4,0))))</f>
        <v>0</v>
      </c>
      <c r="V41" s="168">
        <f>IF($C41-V$1&lt;År1,0,U40*(1-VLOOKUP($A41,[1]Hugst!$R$5:$W$9,MATCH(ROUNDUP((V$1)/10,0)*10,[1]Hugst!$R$4:$W$4,0))))</f>
        <v>0</v>
      </c>
      <c r="W41" s="168">
        <f>IF($C41-W$1&lt;År1,0,V40*(1-VLOOKUP($A41,[1]Hugst!$R$5:$W$9,MATCH(ROUNDUP((W$1)/10,0)*10,[1]Hugst!$R$4:$W$4,0))))</f>
        <v>0</v>
      </c>
      <c r="X41" s="168">
        <f>IF($C41-X$1&lt;År1,0,W40*(1-VLOOKUP($A41,[1]Hugst!$R$5:$W$9,MATCH(ROUNDUP((X$1)/10,0)*10,[1]Hugst!$R$4:$W$4,0))))</f>
        <v>0</v>
      </c>
      <c r="Y41" s="168">
        <f>IF($C41-Y$1&lt;År1,0,X40*(1-VLOOKUP($A41,[1]Hugst!$R$5:$W$9,MATCH(ROUNDUP((Y$1)/10,0)*10,[1]Hugst!$R$4:$W$4,0))))</f>
        <v>0</v>
      </c>
      <c r="Z41" s="168">
        <f>IF($C41-Z$1&lt;År1,0,Y40*(1-VLOOKUP($A41,[1]Hugst!$R$5:$W$9,MATCH(ROUNDUP((Z$1)/10,0)*10,[1]Hugst!$R$4:$W$4,0))))</f>
        <v>0</v>
      </c>
      <c r="AA41" s="168">
        <f>IF($C41-AA$1&lt;År1,0,Z40*(1-VLOOKUP($A41,[1]Hugst!$R$5:$W$9,MATCH(ROUNDUP((AA$1)/10,0)*10,[1]Hugst!$R$4:$W$4,0))))</f>
        <v>0</v>
      </c>
      <c r="AB41" s="168">
        <f>IF($C41-AB$1&lt;År1,0,AA40*(1-VLOOKUP($A41,[1]Hugst!$R$5:$W$9,MATCH(ROUNDUP((AB$1)/10,0)*10,[1]Hugst!$R$4:$W$4,0))))</f>
        <v>0</v>
      </c>
      <c r="AC41" s="168">
        <f>IF($C41-AC$1&lt;År1,0,AB40*(1-VLOOKUP($A41,[1]Hugst!$R$5:$W$9,MATCH(ROUNDUP((AC$1)/10,0)*10,[1]Hugst!$R$4:$W$4,0))))</f>
        <v>0</v>
      </c>
      <c r="AD41" s="168">
        <f>IF($C41-AD$1&lt;År1,0,AC40*(1-VLOOKUP($A41,[1]Hugst!$R$5:$W$9,MATCH(ROUNDUP((AD$1)/10,0)*10,[1]Hugst!$R$4:$W$4,0))))</f>
        <v>0</v>
      </c>
      <c r="AE41" s="168">
        <f>IF($C41-AE$1&lt;År1,0,AD40*(1-VLOOKUP($A41,[1]Hugst!$R$5:$W$9,MATCH(ROUNDUP((AE$1)/10,0)*10,[1]Hugst!$R$4:$W$4,0))))</f>
        <v>0</v>
      </c>
      <c r="AF41" s="168">
        <f>IF($C41-AF$1&lt;År1,0,AE40*(1-VLOOKUP($A41,[1]Hugst!$R$5:$W$9,MATCH(ROUNDUP((AF$1)/10,0)*10,[1]Hugst!$R$4:$W$4,0))))</f>
        <v>0</v>
      </c>
      <c r="AG41" s="168">
        <f>IF($C41-AG$1&lt;År1,0,AF40*(1-VLOOKUP($A41,[1]Hugst!$R$5:$W$9,MATCH(ROUNDUP((AG$1)/10,0)*10,[1]Hugst!$R$4:$W$4,0))))</f>
        <v>0</v>
      </c>
      <c r="AH41" s="168">
        <f>IF($C41-AH$1&lt;År1,0,AG40*(1-VLOOKUP($A41,[1]Hugst!$R$5:$W$9,MATCH(ROUNDUP((AH$1)/10,0)*10,[1]Hugst!$R$4:$W$4,0))))</f>
        <v>0</v>
      </c>
      <c r="AI41" s="168">
        <f>IF($C41-AI$1&lt;År1,0,AH40*(1-VLOOKUP($A41,[1]Hugst!$R$5:$W$9,MATCH(ROUNDUP((AI$1)/10,0)*10,[1]Hugst!$R$4:$W$4,0))))</f>
        <v>0</v>
      </c>
      <c r="AJ41" s="168">
        <f>IF($C41-AJ$1&lt;År1,0,AI40*(1-VLOOKUP($A41,[1]Hugst!$R$5:$W$9,MATCH(ROUNDUP((AJ$1)/10,0)*10,[1]Hugst!$R$4:$W$4,0))))</f>
        <v>0</v>
      </c>
    </row>
    <row r="42" spans="1:36" s="168" customFormat="1" x14ac:dyDescent="0.25">
      <c r="A42" s="168" t="s">
        <v>176</v>
      </c>
      <c r="B42" s="168" t="s">
        <v>24</v>
      </c>
      <c r="C42" s="168">
        <v>2029</v>
      </c>
      <c r="D42" s="168" cm="1">
        <f t="array" ref="D42">(IF(B42="Vestdanmark",Skovbrug!$C$22-(Skovbrug!$C$22)*(1-Skovbrug!$C$9)^(C42-Skovbrug!$B$12),Skovbrug!$F$22-(Skovbrug!$F$22)*(1-Skovbrug!$C$9)^(C42-Skovbrug!$B$12))*VLOOKUP(A42,Skovbrug!$A$13:$D$17,IF('Skovbrug-alder'!C42&lt;=År2,3,4),FALSE)-IF(C42&gt;2020,SUM(INDEX($C$1:$D$311,MATCH(1,(2020=$C$1:$C$311)*(B42=$B$1:$B$311)*(A42=$A$1:$A$311),0),2):D41),0))</f>
        <v>608.64107815735042</v>
      </c>
      <c r="E42" s="168">
        <f t="shared" ca="1" si="0"/>
        <v>0</v>
      </c>
      <c r="F42" s="168">
        <f ca="1">IF(C42&lt;=År2,IF(B42="Vestdanmark",(Arealanvendelse!$M$27-Arealanvendelse!$J$27),(Arealanvendelse!$M$37-Arealanvendelse!$J$37))/(Arealanvendelse!$M$3-Arealanvendelse!$J$3),IF(B42="Vestdanmark",(Arealanvendelse!$P$27-Arealanvendelse!$M$27),(Arealanvendelse!$P$37-Arealanvendelse!$M$37))/(Arealanvendelse!$P$3-Arealanvendelse!$M$3))*VLOOKUP(A42,Skovbrug!$A$13:$D$17,IF('Skovbrug-alder'!C42&lt;=År2,3,4),FALSE)+D42+E42</f>
        <v>859.15959667586935</v>
      </c>
      <c r="G42" s="168">
        <f ca="1">IF($C42-G$1&lt;År1,0,F41*(1-VLOOKUP($A42,[1]Hugst!$R$5:$W$9,MATCH(ROUNDUP((G$1)/10,0)*10,[1]Hugst!$R$4:$W$4,0))))</f>
        <v>862.21809455606194</v>
      </c>
      <c r="H42" s="168">
        <f ca="1">IF($C42-H$1&lt;År1,0,G41*(1-VLOOKUP($A42,[1]Hugst!$R$5:$W$9,MATCH(ROUNDUP((H$1)/10,0)*10,[1]Hugst!$R$4:$W$4,0))))</f>
        <v>865.29196177231711</v>
      </c>
      <c r="I42" s="168">
        <f ca="1">IF($C42-I$1&lt;År1,0,H41*(1-VLOOKUP($A42,[1]Hugst!$R$5:$W$9,MATCH(ROUNDUP((I$1)/10,0)*10,[1]Hugst!$R$4:$W$4,0))))</f>
        <v>868.38127555754249</v>
      </c>
      <c r="J42" s="168">
        <f ca="1">IF($C42-J$1&lt;År1,0,I41*(1-VLOOKUP($A42,[1]Hugst!$R$5:$W$9,MATCH(ROUNDUP((J$1)/10,0)*10,[1]Hugst!$R$4:$W$4,0))))</f>
        <v>871.48611353258525</v>
      </c>
      <c r="K42" s="168">
        <f ca="1">IF($C42-K$1&lt;År1,0,J41*(1-VLOOKUP($A42,[1]Hugst!$R$5:$W$9,MATCH(ROUNDUP((K$1)/10,0)*10,[1]Hugst!$R$4:$W$4,0))))</f>
        <v>874.60655370854579</v>
      </c>
      <c r="L42" s="168">
        <f ca="1">IF($C42-L$1&lt;År1,0,K41*(1-VLOOKUP($A42,[1]Hugst!$R$5:$W$9,MATCH(ROUNDUP((L$1)/10,0)*10,[1]Hugst!$R$4:$W$4,0))))</f>
        <v>877.7426744883785</v>
      </c>
      <c r="M42" s="168">
        <f ca="1">IF($C42-M$1&lt;År1,0,L41*(1-VLOOKUP($A42,[1]Hugst!$R$5:$W$9,MATCH(ROUNDUP((M$1)/10,0)*10,[1]Hugst!$R$4:$W$4,0))))</f>
        <v>880.89455466914728</v>
      </c>
      <c r="N42" s="168">
        <f ca="1">IF($C42-N$1&lt;År1,0,M41*(1-VLOOKUP($A42,[1]Hugst!$R$5:$W$9,MATCH(ROUNDUP((N$1)/10,0)*10,[1]Hugst!$R$4:$W$4,0))))</f>
        <v>884.0622734437718</v>
      </c>
      <c r="O42" s="168">
        <f ca="1">IF($C42-O$1&lt;År1,0,N41*(1-VLOOKUP($A42,[1]Hugst!$R$5:$W$9,MATCH(ROUNDUP((O$1)/10,0)*10,[1]Hugst!$R$4:$W$4,0))))</f>
        <v>887.24591040319569</v>
      </c>
      <c r="P42" s="168">
        <f>IF($C42-P$1&lt;År1,0,O41*(1-VLOOKUP($A42,[1]Hugst!$R$5:$W$9,MATCH(ROUNDUP((P$1)/10,0)*10,[1]Hugst!$R$4:$W$4,0))))</f>
        <v>0</v>
      </c>
      <c r="Q42" s="168">
        <f>IF($C42-Q$1&lt;År1,0,P41*(1-VLOOKUP($A42,[1]Hugst!$R$5:$W$9,MATCH(ROUNDUP((Q$1)/10,0)*10,[1]Hugst!$R$4:$W$4,0))))</f>
        <v>0</v>
      </c>
      <c r="R42" s="168">
        <f>IF($C42-R$1&lt;År1,0,Q41*(1-VLOOKUP($A42,[1]Hugst!$R$5:$W$9,MATCH(ROUNDUP((R$1)/10,0)*10,[1]Hugst!$R$4:$W$4,0))))</f>
        <v>0</v>
      </c>
      <c r="S42" s="168">
        <f>IF($C42-S$1&lt;År1,0,R41*(1-VLOOKUP($A42,[1]Hugst!$R$5:$W$9,MATCH(ROUNDUP((S$1)/10,0)*10,[1]Hugst!$R$4:$W$4,0))))</f>
        <v>0</v>
      </c>
      <c r="T42" s="168">
        <f>IF($C42-T$1&lt;År1,0,S41*(1-VLOOKUP($A42,[1]Hugst!$R$5:$W$9,MATCH(ROUNDUP((T$1)/10,0)*10,[1]Hugst!$R$4:$W$4,0))))</f>
        <v>0</v>
      </c>
      <c r="U42" s="168">
        <f>IF($C42-U$1&lt;År1,0,T41*(1-VLOOKUP($A42,[1]Hugst!$R$5:$W$9,MATCH(ROUNDUP((U$1)/10,0)*10,[1]Hugst!$R$4:$W$4,0))))</f>
        <v>0</v>
      </c>
      <c r="V42" s="168">
        <f>IF($C42-V$1&lt;År1,0,U41*(1-VLOOKUP($A42,[1]Hugst!$R$5:$W$9,MATCH(ROUNDUP((V$1)/10,0)*10,[1]Hugst!$R$4:$W$4,0))))</f>
        <v>0</v>
      </c>
      <c r="W42" s="168">
        <f>IF($C42-W$1&lt;År1,0,V41*(1-VLOOKUP($A42,[1]Hugst!$R$5:$W$9,MATCH(ROUNDUP((W$1)/10,0)*10,[1]Hugst!$R$4:$W$4,0))))</f>
        <v>0</v>
      </c>
      <c r="X42" s="168">
        <f>IF($C42-X$1&lt;År1,0,W41*(1-VLOOKUP($A42,[1]Hugst!$R$5:$W$9,MATCH(ROUNDUP((X$1)/10,0)*10,[1]Hugst!$R$4:$W$4,0))))</f>
        <v>0</v>
      </c>
      <c r="Y42" s="168">
        <f>IF($C42-Y$1&lt;År1,0,X41*(1-VLOOKUP($A42,[1]Hugst!$R$5:$W$9,MATCH(ROUNDUP((Y$1)/10,0)*10,[1]Hugst!$R$4:$W$4,0))))</f>
        <v>0</v>
      </c>
      <c r="Z42" s="168">
        <f>IF($C42-Z$1&lt;År1,0,Y41*(1-VLOOKUP($A42,[1]Hugst!$R$5:$W$9,MATCH(ROUNDUP((Z$1)/10,0)*10,[1]Hugst!$R$4:$W$4,0))))</f>
        <v>0</v>
      </c>
      <c r="AA42" s="168">
        <f>IF($C42-AA$1&lt;År1,0,Z41*(1-VLOOKUP($A42,[1]Hugst!$R$5:$W$9,MATCH(ROUNDUP((AA$1)/10,0)*10,[1]Hugst!$R$4:$W$4,0))))</f>
        <v>0</v>
      </c>
      <c r="AB42" s="168">
        <f>IF($C42-AB$1&lt;År1,0,AA41*(1-VLOOKUP($A42,[1]Hugst!$R$5:$W$9,MATCH(ROUNDUP((AB$1)/10,0)*10,[1]Hugst!$R$4:$W$4,0))))</f>
        <v>0</v>
      </c>
      <c r="AC42" s="168">
        <f>IF($C42-AC$1&lt;År1,0,AB41*(1-VLOOKUP($A42,[1]Hugst!$R$5:$W$9,MATCH(ROUNDUP((AC$1)/10,0)*10,[1]Hugst!$R$4:$W$4,0))))</f>
        <v>0</v>
      </c>
      <c r="AD42" s="168">
        <f>IF($C42-AD$1&lt;År1,0,AC41*(1-VLOOKUP($A42,[1]Hugst!$R$5:$W$9,MATCH(ROUNDUP((AD$1)/10,0)*10,[1]Hugst!$R$4:$W$4,0))))</f>
        <v>0</v>
      </c>
      <c r="AE42" s="168">
        <f>IF($C42-AE$1&lt;År1,0,AD41*(1-VLOOKUP($A42,[1]Hugst!$R$5:$W$9,MATCH(ROUNDUP((AE$1)/10,0)*10,[1]Hugst!$R$4:$W$4,0))))</f>
        <v>0</v>
      </c>
      <c r="AF42" s="168">
        <f>IF($C42-AF$1&lt;År1,0,AE41*(1-VLOOKUP($A42,[1]Hugst!$R$5:$W$9,MATCH(ROUNDUP((AF$1)/10,0)*10,[1]Hugst!$R$4:$W$4,0))))</f>
        <v>0</v>
      </c>
      <c r="AG42" s="168">
        <f>IF($C42-AG$1&lt;År1,0,AF41*(1-VLOOKUP($A42,[1]Hugst!$R$5:$W$9,MATCH(ROUNDUP((AG$1)/10,0)*10,[1]Hugst!$R$4:$W$4,0))))</f>
        <v>0</v>
      </c>
      <c r="AH42" s="168">
        <f>IF($C42-AH$1&lt;År1,0,AG41*(1-VLOOKUP($A42,[1]Hugst!$R$5:$W$9,MATCH(ROUNDUP((AH$1)/10,0)*10,[1]Hugst!$R$4:$W$4,0))))</f>
        <v>0</v>
      </c>
      <c r="AI42" s="168">
        <f>IF($C42-AI$1&lt;År1,0,AH41*(1-VLOOKUP($A42,[1]Hugst!$R$5:$W$9,MATCH(ROUNDUP((AI$1)/10,0)*10,[1]Hugst!$R$4:$W$4,0))))</f>
        <v>0</v>
      </c>
      <c r="AJ42" s="168">
        <f>IF($C42-AJ$1&lt;År1,0,AI41*(1-VLOOKUP($A42,[1]Hugst!$R$5:$W$9,MATCH(ROUNDUP((AJ$1)/10,0)*10,[1]Hugst!$R$4:$W$4,0))))</f>
        <v>0</v>
      </c>
    </row>
    <row r="43" spans="1:36" s="168" customFormat="1" x14ac:dyDescent="0.25">
      <c r="A43" s="168" t="s">
        <v>176</v>
      </c>
      <c r="B43" s="168" t="s">
        <v>24</v>
      </c>
      <c r="C43" s="168">
        <v>2030</v>
      </c>
      <c r="D43" s="168" cm="1">
        <f t="array" ref="D43">(IF(B43="Vestdanmark",Skovbrug!$C$22-(Skovbrug!$C$22)*(1-Skovbrug!$C$9)^(C43-Skovbrug!$B$12),Skovbrug!$F$22-(Skovbrug!$F$22)*(1-Skovbrug!$C$9)^(C43-Skovbrug!$B$12))*VLOOKUP(A43,Skovbrug!$A$13:$D$17,IF('Skovbrug-alder'!C43&lt;=År2,3,4),FALSE)-IF(C43&gt;2020,SUM(INDEX($C$1:$D$311,MATCH(1,(2020=$C$1:$C$311)*(B43=$B$1:$B$311)*(A43=$A$1:$A$311),0),2):D42),0))</f>
        <v>605.5978727665788</v>
      </c>
      <c r="E43" s="168">
        <f t="shared" ca="1" si="0"/>
        <v>0</v>
      </c>
      <c r="F43" s="168">
        <f ca="1">IF(C43&lt;=År2,IF(B43="Vestdanmark",(Arealanvendelse!$M$27-Arealanvendelse!$J$27),(Arealanvendelse!$M$37-Arealanvendelse!$J$37))/(Arealanvendelse!$M$3-Arealanvendelse!$J$3),IF(B43="Vestdanmark",(Arealanvendelse!$P$27-Arealanvendelse!$M$27),(Arealanvendelse!$P$37-Arealanvendelse!$M$37))/(Arealanvendelse!$P$3-Arealanvendelse!$M$3))*VLOOKUP(A43,Skovbrug!$A$13:$D$17,IF('Skovbrug-alder'!C43&lt;=År2,3,4),FALSE)+D43+E43</f>
        <v>856.11639128509773</v>
      </c>
      <c r="G43" s="168">
        <f ca="1">IF($C43-G$1&lt;År1,0,F42*(1-VLOOKUP($A43,[1]Hugst!$R$5:$W$9,MATCH(ROUNDUP((G$1)/10,0)*10,[1]Hugst!$R$4:$W$4,0))))</f>
        <v>859.15959667586935</v>
      </c>
      <c r="H43" s="168">
        <f ca="1">IF($C43-H$1&lt;År1,0,G42*(1-VLOOKUP($A43,[1]Hugst!$R$5:$W$9,MATCH(ROUNDUP((H$1)/10,0)*10,[1]Hugst!$R$4:$W$4,0))))</f>
        <v>862.21809455606194</v>
      </c>
      <c r="I43" s="168">
        <f ca="1">IF($C43-I$1&lt;År1,0,H42*(1-VLOOKUP($A43,[1]Hugst!$R$5:$W$9,MATCH(ROUNDUP((I$1)/10,0)*10,[1]Hugst!$R$4:$W$4,0))))</f>
        <v>865.29196177231711</v>
      </c>
      <c r="J43" s="168">
        <f ca="1">IF($C43-J$1&lt;År1,0,I42*(1-VLOOKUP($A43,[1]Hugst!$R$5:$W$9,MATCH(ROUNDUP((J$1)/10,0)*10,[1]Hugst!$R$4:$W$4,0))))</f>
        <v>868.38127555754249</v>
      </c>
      <c r="K43" s="168">
        <f ca="1">IF($C43-K$1&lt;År1,0,J42*(1-VLOOKUP($A43,[1]Hugst!$R$5:$W$9,MATCH(ROUNDUP((K$1)/10,0)*10,[1]Hugst!$R$4:$W$4,0))))</f>
        <v>871.48611353258525</v>
      </c>
      <c r="L43" s="168">
        <f ca="1">IF($C43-L$1&lt;År1,0,K42*(1-VLOOKUP($A43,[1]Hugst!$R$5:$W$9,MATCH(ROUNDUP((L$1)/10,0)*10,[1]Hugst!$R$4:$W$4,0))))</f>
        <v>874.60655370854579</v>
      </c>
      <c r="M43" s="168">
        <f ca="1">IF($C43-M$1&lt;År1,0,L42*(1-VLOOKUP($A43,[1]Hugst!$R$5:$W$9,MATCH(ROUNDUP((M$1)/10,0)*10,[1]Hugst!$R$4:$W$4,0))))</f>
        <v>877.7426744883785</v>
      </c>
      <c r="N43" s="168">
        <f ca="1">IF($C43-N$1&lt;År1,0,M42*(1-VLOOKUP($A43,[1]Hugst!$R$5:$W$9,MATCH(ROUNDUP((N$1)/10,0)*10,[1]Hugst!$R$4:$W$4,0))))</f>
        <v>880.89455466914728</v>
      </c>
      <c r="O43" s="168">
        <f ca="1">IF($C43-O$1&lt;År1,0,N42*(1-VLOOKUP($A43,[1]Hugst!$R$5:$W$9,MATCH(ROUNDUP((O$1)/10,0)*10,[1]Hugst!$R$4:$W$4,0))))</f>
        <v>884.0622734437718</v>
      </c>
      <c r="P43" s="168">
        <f ca="1">IF($C43-P$1&lt;År1,0,O42*(1-VLOOKUP($A43,[1]Hugst!$R$5:$W$9,MATCH(ROUNDUP((P$1)/10,0)*10,[1]Hugst!$R$4:$W$4,0))))</f>
        <v>887.24591040319569</v>
      </c>
      <c r="Q43" s="168">
        <f>IF($C43-Q$1&lt;År1,0,P42*(1-VLOOKUP($A43,[1]Hugst!$R$5:$W$9,MATCH(ROUNDUP((Q$1)/10,0)*10,[1]Hugst!$R$4:$W$4,0))))</f>
        <v>0</v>
      </c>
      <c r="R43" s="168">
        <f>IF($C43-R$1&lt;År1,0,Q42*(1-VLOOKUP($A43,[1]Hugst!$R$5:$W$9,MATCH(ROUNDUP((R$1)/10,0)*10,[1]Hugst!$R$4:$W$4,0))))</f>
        <v>0</v>
      </c>
      <c r="S43" s="168">
        <f>IF($C43-S$1&lt;År1,0,R42*(1-VLOOKUP($A43,[1]Hugst!$R$5:$W$9,MATCH(ROUNDUP((S$1)/10,0)*10,[1]Hugst!$R$4:$W$4,0))))</f>
        <v>0</v>
      </c>
      <c r="T43" s="168">
        <f>IF($C43-T$1&lt;År1,0,S42*(1-VLOOKUP($A43,[1]Hugst!$R$5:$W$9,MATCH(ROUNDUP((T$1)/10,0)*10,[1]Hugst!$R$4:$W$4,0))))</f>
        <v>0</v>
      </c>
      <c r="U43" s="168">
        <f>IF($C43-U$1&lt;År1,0,T42*(1-VLOOKUP($A43,[1]Hugst!$R$5:$W$9,MATCH(ROUNDUP((U$1)/10,0)*10,[1]Hugst!$R$4:$W$4,0))))</f>
        <v>0</v>
      </c>
      <c r="V43" s="168">
        <f>IF($C43-V$1&lt;År1,0,U42*(1-VLOOKUP($A43,[1]Hugst!$R$5:$W$9,MATCH(ROUNDUP((V$1)/10,0)*10,[1]Hugst!$R$4:$W$4,0))))</f>
        <v>0</v>
      </c>
      <c r="W43" s="168">
        <f>IF($C43-W$1&lt;År1,0,V42*(1-VLOOKUP($A43,[1]Hugst!$R$5:$W$9,MATCH(ROUNDUP((W$1)/10,0)*10,[1]Hugst!$R$4:$W$4,0))))</f>
        <v>0</v>
      </c>
      <c r="X43" s="168">
        <f>IF($C43-X$1&lt;År1,0,W42*(1-VLOOKUP($A43,[1]Hugst!$R$5:$W$9,MATCH(ROUNDUP((X$1)/10,0)*10,[1]Hugst!$R$4:$W$4,0))))</f>
        <v>0</v>
      </c>
      <c r="Y43" s="168">
        <f>IF($C43-Y$1&lt;År1,0,X42*(1-VLOOKUP($A43,[1]Hugst!$R$5:$W$9,MATCH(ROUNDUP((Y$1)/10,0)*10,[1]Hugst!$R$4:$W$4,0))))</f>
        <v>0</v>
      </c>
      <c r="Z43" s="168">
        <f>IF($C43-Z$1&lt;År1,0,Y42*(1-VLOOKUP($A43,[1]Hugst!$R$5:$W$9,MATCH(ROUNDUP((Z$1)/10,0)*10,[1]Hugst!$R$4:$W$4,0))))</f>
        <v>0</v>
      </c>
      <c r="AA43" s="168">
        <f>IF($C43-AA$1&lt;År1,0,Z42*(1-VLOOKUP($A43,[1]Hugst!$R$5:$W$9,MATCH(ROUNDUP((AA$1)/10,0)*10,[1]Hugst!$R$4:$W$4,0))))</f>
        <v>0</v>
      </c>
      <c r="AB43" s="168">
        <f>IF($C43-AB$1&lt;År1,0,AA42*(1-VLOOKUP($A43,[1]Hugst!$R$5:$W$9,MATCH(ROUNDUP((AB$1)/10,0)*10,[1]Hugst!$R$4:$W$4,0))))</f>
        <v>0</v>
      </c>
      <c r="AC43" s="168">
        <f>IF($C43-AC$1&lt;År1,0,AB42*(1-VLOOKUP($A43,[1]Hugst!$R$5:$W$9,MATCH(ROUNDUP((AC$1)/10,0)*10,[1]Hugst!$R$4:$W$4,0))))</f>
        <v>0</v>
      </c>
      <c r="AD43" s="168">
        <f>IF($C43-AD$1&lt;År1,0,AC42*(1-VLOOKUP($A43,[1]Hugst!$R$5:$W$9,MATCH(ROUNDUP((AD$1)/10,0)*10,[1]Hugst!$R$4:$W$4,0))))</f>
        <v>0</v>
      </c>
      <c r="AE43" s="168">
        <f>IF($C43-AE$1&lt;År1,0,AD42*(1-VLOOKUP($A43,[1]Hugst!$R$5:$W$9,MATCH(ROUNDUP((AE$1)/10,0)*10,[1]Hugst!$R$4:$W$4,0))))</f>
        <v>0</v>
      </c>
      <c r="AF43" s="168">
        <f>IF($C43-AF$1&lt;År1,0,AE42*(1-VLOOKUP($A43,[1]Hugst!$R$5:$W$9,MATCH(ROUNDUP((AF$1)/10,0)*10,[1]Hugst!$R$4:$W$4,0))))</f>
        <v>0</v>
      </c>
      <c r="AG43" s="168">
        <f>IF($C43-AG$1&lt;År1,0,AF42*(1-VLOOKUP($A43,[1]Hugst!$R$5:$W$9,MATCH(ROUNDUP((AG$1)/10,0)*10,[1]Hugst!$R$4:$W$4,0))))</f>
        <v>0</v>
      </c>
      <c r="AH43" s="168">
        <f>IF($C43-AH$1&lt;År1,0,AG42*(1-VLOOKUP($A43,[1]Hugst!$R$5:$W$9,MATCH(ROUNDUP((AH$1)/10,0)*10,[1]Hugst!$R$4:$W$4,0))))</f>
        <v>0</v>
      </c>
      <c r="AI43" s="168">
        <f>IF($C43-AI$1&lt;År1,0,AH42*(1-VLOOKUP($A43,[1]Hugst!$R$5:$W$9,MATCH(ROUNDUP((AI$1)/10,0)*10,[1]Hugst!$R$4:$W$4,0))))</f>
        <v>0</v>
      </c>
      <c r="AJ43" s="168">
        <f>IF($C43-AJ$1&lt;År1,0,AI42*(1-VLOOKUP($A43,[1]Hugst!$R$5:$W$9,MATCH(ROUNDUP((AJ$1)/10,0)*10,[1]Hugst!$R$4:$W$4,0))))</f>
        <v>0</v>
      </c>
    </row>
    <row r="44" spans="1:36" s="168" customFormat="1" x14ac:dyDescent="0.25">
      <c r="A44" s="168" t="s">
        <v>176</v>
      </c>
      <c r="B44" s="168" t="s">
        <v>24</v>
      </c>
      <c r="C44" s="168">
        <v>2031</v>
      </c>
      <c r="D44" s="168" cm="1">
        <f t="array" ref="D44">(IF(B44="Vestdanmark",Skovbrug!$C$22-(Skovbrug!$C$22)*(1-Skovbrug!$C$9)^(C44-Skovbrug!$B$12),Skovbrug!$F$22-(Skovbrug!$F$22)*(1-Skovbrug!$C$9)^(C44-Skovbrug!$B$12))*VLOOKUP(A44,Skovbrug!$A$13:$D$17,IF('Skovbrug-alder'!C44&lt;=År2,3,4),FALSE)-IF(C44&gt;2020,SUM(INDEX($C$1:$D$311,MATCH(1,(2020=$C$1:$C$311)*(B44=$B$1:$B$311)*(A44=$A$1:$A$311),0),2):D43),0))</f>
        <v>602.56988340271346</v>
      </c>
      <c r="E44" s="168">
        <f t="shared" ca="1" si="0"/>
        <v>0</v>
      </c>
      <c r="F44" s="168">
        <f ca="1">IF(C44&lt;=År2,IF(B44="Vestdanmark",(Arealanvendelse!$M$27-Arealanvendelse!$J$27),(Arealanvendelse!$M$37-Arealanvendelse!$J$37))/(Arealanvendelse!$M$3-Arealanvendelse!$J$3),IF(B44="Vestdanmark",(Arealanvendelse!$P$27-Arealanvendelse!$M$27),(Arealanvendelse!$P$37-Arealanvendelse!$M$37))/(Arealanvendelse!$P$3-Arealanvendelse!$M$3))*VLOOKUP(A44,Skovbrug!$A$13:$D$17,IF('Skovbrug-alder'!C44&lt;=År2,3,4),FALSE)+D44+E44</f>
        <v>853.08840192123239</v>
      </c>
      <c r="G44" s="168">
        <f ca="1">IF($C44-G$1&lt;År1,0,F43*(1-VLOOKUP($A44,[1]Hugst!$R$5:$W$9,MATCH(ROUNDUP((G$1)/10,0)*10,[1]Hugst!$R$4:$W$4,0))))</f>
        <v>856.11639128509773</v>
      </c>
      <c r="H44" s="168">
        <f ca="1">IF($C44-H$1&lt;År1,0,G43*(1-VLOOKUP($A44,[1]Hugst!$R$5:$W$9,MATCH(ROUNDUP((H$1)/10,0)*10,[1]Hugst!$R$4:$W$4,0))))</f>
        <v>859.15959667586935</v>
      </c>
      <c r="I44" s="168">
        <f ca="1">IF($C44-I$1&lt;År1,0,H43*(1-VLOOKUP($A44,[1]Hugst!$R$5:$W$9,MATCH(ROUNDUP((I$1)/10,0)*10,[1]Hugst!$R$4:$W$4,0))))</f>
        <v>862.21809455606194</v>
      </c>
      <c r="J44" s="168">
        <f ca="1">IF($C44-J$1&lt;År1,0,I43*(1-VLOOKUP($A44,[1]Hugst!$R$5:$W$9,MATCH(ROUNDUP((J$1)/10,0)*10,[1]Hugst!$R$4:$W$4,0))))</f>
        <v>865.29196177231711</v>
      </c>
      <c r="K44" s="168">
        <f ca="1">IF($C44-K$1&lt;År1,0,J43*(1-VLOOKUP($A44,[1]Hugst!$R$5:$W$9,MATCH(ROUNDUP((K$1)/10,0)*10,[1]Hugst!$R$4:$W$4,0))))</f>
        <v>868.38127555754249</v>
      </c>
      <c r="L44" s="168">
        <f ca="1">IF($C44-L$1&lt;År1,0,K43*(1-VLOOKUP($A44,[1]Hugst!$R$5:$W$9,MATCH(ROUNDUP((L$1)/10,0)*10,[1]Hugst!$R$4:$W$4,0))))</f>
        <v>871.48611353258525</v>
      </c>
      <c r="M44" s="168">
        <f ca="1">IF($C44-M$1&lt;År1,0,L43*(1-VLOOKUP($A44,[1]Hugst!$R$5:$W$9,MATCH(ROUNDUP((M$1)/10,0)*10,[1]Hugst!$R$4:$W$4,0))))</f>
        <v>874.60655370854579</v>
      </c>
      <c r="N44" s="168">
        <f ca="1">IF($C44-N$1&lt;År1,0,M43*(1-VLOOKUP($A44,[1]Hugst!$R$5:$W$9,MATCH(ROUNDUP((N$1)/10,0)*10,[1]Hugst!$R$4:$W$4,0))))</f>
        <v>877.7426744883785</v>
      </c>
      <c r="O44" s="168">
        <f ca="1">IF($C44-O$1&lt;År1,0,N43*(1-VLOOKUP($A44,[1]Hugst!$R$5:$W$9,MATCH(ROUNDUP((O$1)/10,0)*10,[1]Hugst!$R$4:$W$4,0))))</f>
        <v>880.89455466914728</v>
      </c>
      <c r="P44" s="168">
        <f ca="1">IF($C44-P$1&lt;År1,0,O43*(1-VLOOKUP($A44,[1]Hugst!$R$5:$W$9,MATCH(ROUNDUP((P$1)/10,0)*10,[1]Hugst!$R$4:$W$4,0))))</f>
        <v>884.0622734437718</v>
      </c>
      <c r="Q44" s="168">
        <f ca="1">IF($C44-Q$1&lt;År1,0,P43*(1-VLOOKUP($A44,[1]Hugst!$R$5:$W$9,MATCH(ROUNDUP((Q$1)/10,0)*10,[1]Hugst!$R$4:$W$4,0))))</f>
        <v>887.24591040319569</v>
      </c>
      <c r="R44" s="168">
        <f>IF($C44-R$1&lt;År1,0,Q43*(1-VLOOKUP($A44,[1]Hugst!$R$5:$W$9,MATCH(ROUNDUP((R$1)/10,0)*10,[1]Hugst!$R$4:$W$4,0))))</f>
        <v>0</v>
      </c>
      <c r="S44" s="168">
        <f>IF($C44-S$1&lt;År1,0,R43*(1-VLOOKUP($A44,[1]Hugst!$R$5:$W$9,MATCH(ROUNDUP((S$1)/10,0)*10,[1]Hugst!$R$4:$W$4,0))))</f>
        <v>0</v>
      </c>
      <c r="T44" s="168">
        <f>IF($C44-T$1&lt;År1,0,S43*(1-VLOOKUP($A44,[1]Hugst!$R$5:$W$9,MATCH(ROUNDUP((T$1)/10,0)*10,[1]Hugst!$R$4:$W$4,0))))</f>
        <v>0</v>
      </c>
      <c r="U44" s="168">
        <f>IF($C44-U$1&lt;År1,0,T43*(1-VLOOKUP($A44,[1]Hugst!$R$5:$W$9,MATCH(ROUNDUP((U$1)/10,0)*10,[1]Hugst!$R$4:$W$4,0))))</f>
        <v>0</v>
      </c>
      <c r="V44" s="168">
        <f>IF($C44-V$1&lt;År1,0,U43*(1-VLOOKUP($A44,[1]Hugst!$R$5:$W$9,MATCH(ROUNDUP((V$1)/10,0)*10,[1]Hugst!$R$4:$W$4,0))))</f>
        <v>0</v>
      </c>
      <c r="W44" s="168">
        <f>IF($C44-W$1&lt;År1,0,V43*(1-VLOOKUP($A44,[1]Hugst!$R$5:$W$9,MATCH(ROUNDUP((W$1)/10,0)*10,[1]Hugst!$R$4:$W$4,0))))</f>
        <v>0</v>
      </c>
      <c r="X44" s="168">
        <f>IF($C44-X$1&lt;År1,0,W43*(1-VLOOKUP($A44,[1]Hugst!$R$5:$W$9,MATCH(ROUNDUP((X$1)/10,0)*10,[1]Hugst!$R$4:$W$4,0))))</f>
        <v>0</v>
      </c>
      <c r="Y44" s="168">
        <f>IF($C44-Y$1&lt;År1,0,X43*(1-VLOOKUP($A44,[1]Hugst!$R$5:$W$9,MATCH(ROUNDUP((Y$1)/10,0)*10,[1]Hugst!$R$4:$W$4,0))))</f>
        <v>0</v>
      </c>
      <c r="Z44" s="168">
        <f>IF($C44-Z$1&lt;År1,0,Y43*(1-VLOOKUP($A44,[1]Hugst!$R$5:$W$9,MATCH(ROUNDUP((Z$1)/10,0)*10,[1]Hugst!$R$4:$W$4,0))))</f>
        <v>0</v>
      </c>
      <c r="AA44" s="168">
        <f>IF($C44-AA$1&lt;År1,0,Z43*(1-VLOOKUP($A44,[1]Hugst!$R$5:$W$9,MATCH(ROUNDUP((AA$1)/10,0)*10,[1]Hugst!$R$4:$W$4,0))))</f>
        <v>0</v>
      </c>
      <c r="AB44" s="168">
        <f>IF($C44-AB$1&lt;År1,0,AA43*(1-VLOOKUP($A44,[1]Hugst!$R$5:$W$9,MATCH(ROUNDUP((AB$1)/10,0)*10,[1]Hugst!$R$4:$W$4,0))))</f>
        <v>0</v>
      </c>
      <c r="AC44" s="168">
        <f>IF($C44-AC$1&lt;År1,0,AB43*(1-VLOOKUP($A44,[1]Hugst!$R$5:$W$9,MATCH(ROUNDUP((AC$1)/10,0)*10,[1]Hugst!$R$4:$W$4,0))))</f>
        <v>0</v>
      </c>
      <c r="AD44" s="168">
        <f>IF($C44-AD$1&lt;År1,0,AC43*(1-VLOOKUP($A44,[1]Hugst!$R$5:$W$9,MATCH(ROUNDUP((AD$1)/10,0)*10,[1]Hugst!$R$4:$W$4,0))))</f>
        <v>0</v>
      </c>
      <c r="AE44" s="168">
        <f>IF($C44-AE$1&lt;År1,0,AD43*(1-VLOOKUP($A44,[1]Hugst!$R$5:$W$9,MATCH(ROUNDUP((AE$1)/10,0)*10,[1]Hugst!$R$4:$W$4,0))))</f>
        <v>0</v>
      </c>
      <c r="AF44" s="168">
        <f>IF($C44-AF$1&lt;År1,0,AE43*(1-VLOOKUP($A44,[1]Hugst!$R$5:$W$9,MATCH(ROUNDUP((AF$1)/10,0)*10,[1]Hugst!$R$4:$W$4,0))))</f>
        <v>0</v>
      </c>
      <c r="AG44" s="168">
        <f>IF($C44-AG$1&lt;År1,0,AF43*(1-VLOOKUP($A44,[1]Hugst!$R$5:$W$9,MATCH(ROUNDUP((AG$1)/10,0)*10,[1]Hugst!$R$4:$W$4,0))))</f>
        <v>0</v>
      </c>
      <c r="AH44" s="168">
        <f>IF($C44-AH$1&lt;År1,0,AG43*(1-VLOOKUP($A44,[1]Hugst!$R$5:$W$9,MATCH(ROUNDUP((AH$1)/10,0)*10,[1]Hugst!$R$4:$W$4,0))))</f>
        <v>0</v>
      </c>
      <c r="AI44" s="168">
        <f>IF($C44-AI$1&lt;År1,0,AH43*(1-VLOOKUP($A44,[1]Hugst!$R$5:$W$9,MATCH(ROUNDUP((AI$1)/10,0)*10,[1]Hugst!$R$4:$W$4,0))))</f>
        <v>0</v>
      </c>
      <c r="AJ44" s="168">
        <f>IF($C44-AJ$1&lt;År1,0,AI43*(1-VLOOKUP($A44,[1]Hugst!$R$5:$W$9,MATCH(ROUNDUP((AJ$1)/10,0)*10,[1]Hugst!$R$4:$W$4,0))))</f>
        <v>0</v>
      </c>
    </row>
    <row r="45" spans="1:36" s="168" customFormat="1" x14ac:dyDescent="0.25">
      <c r="A45" s="168" t="s">
        <v>176</v>
      </c>
      <c r="B45" s="168" t="s">
        <v>24</v>
      </c>
      <c r="C45" s="168">
        <v>2032</v>
      </c>
      <c r="D45" s="168" cm="1">
        <f t="array" ref="D45">(IF(B45="Vestdanmark",Skovbrug!$C$22-(Skovbrug!$C$22)*(1-Skovbrug!$C$9)^(C45-Skovbrug!$B$12),Skovbrug!$F$22-(Skovbrug!$F$22)*(1-Skovbrug!$C$9)^(C45-Skovbrug!$B$12))*VLOOKUP(A45,Skovbrug!$A$13:$D$17,IF('Skovbrug-alder'!C45&lt;=År2,3,4),FALSE)-IF(C45&gt;2020,SUM(INDEX($C$1:$D$311,MATCH(1,(2020=$C$1:$C$311)*(B45=$B$1:$B$311)*(A45=$A$1:$A$311),0),2):D44),0))</f>
        <v>599.55703398572223</v>
      </c>
      <c r="E45" s="168">
        <f t="shared" ca="1" si="0"/>
        <v>0</v>
      </c>
      <c r="F45" s="168">
        <f ca="1">IF(C45&lt;=År2,IF(B45="Vestdanmark",(Arealanvendelse!$M$27-Arealanvendelse!$J$27),(Arealanvendelse!$M$37-Arealanvendelse!$J$37))/(Arealanvendelse!$M$3-Arealanvendelse!$J$3),IF(B45="Vestdanmark",(Arealanvendelse!$P$27-Arealanvendelse!$M$27),(Arealanvendelse!$P$37-Arealanvendelse!$M$37))/(Arealanvendelse!$P$3-Arealanvendelse!$M$3))*VLOOKUP(A45,Skovbrug!$A$13:$D$17,IF('Skovbrug-alder'!C45&lt;=År2,3,4),FALSE)+D45+E45</f>
        <v>850.07555250424116</v>
      </c>
      <c r="G45" s="168">
        <f ca="1">IF($C45-G$1&lt;År1,0,F44*(1-VLOOKUP($A45,[1]Hugst!$R$5:$W$9,MATCH(ROUNDUP((G$1)/10,0)*10,[1]Hugst!$R$4:$W$4,0))))</f>
        <v>853.08840192123239</v>
      </c>
      <c r="H45" s="168">
        <f ca="1">IF($C45-H$1&lt;År1,0,G44*(1-VLOOKUP($A45,[1]Hugst!$R$5:$W$9,MATCH(ROUNDUP((H$1)/10,0)*10,[1]Hugst!$R$4:$W$4,0))))</f>
        <v>856.11639128509773</v>
      </c>
      <c r="I45" s="168">
        <f ca="1">IF($C45-I$1&lt;År1,0,H44*(1-VLOOKUP($A45,[1]Hugst!$R$5:$W$9,MATCH(ROUNDUP((I$1)/10,0)*10,[1]Hugst!$R$4:$W$4,0))))</f>
        <v>859.15959667586935</v>
      </c>
      <c r="J45" s="168">
        <f ca="1">IF($C45-J$1&lt;År1,0,I44*(1-VLOOKUP($A45,[1]Hugst!$R$5:$W$9,MATCH(ROUNDUP((J$1)/10,0)*10,[1]Hugst!$R$4:$W$4,0))))</f>
        <v>862.21809455606194</v>
      </c>
      <c r="K45" s="168">
        <f ca="1">IF($C45-K$1&lt;År1,0,J44*(1-VLOOKUP($A45,[1]Hugst!$R$5:$W$9,MATCH(ROUNDUP((K$1)/10,0)*10,[1]Hugst!$R$4:$W$4,0))))</f>
        <v>865.29196177231711</v>
      </c>
      <c r="L45" s="168">
        <f ca="1">IF($C45-L$1&lt;År1,0,K44*(1-VLOOKUP($A45,[1]Hugst!$R$5:$W$9,MATCH(ROUNDUP((L$1)/10,0)*10,[1]Hugst!$R$4:$W$4,0))))</f>
        <v>868.38127555754249</v>
      </c>
      <c r="M45" s="168">
        <f ca="1">IF($C45-M$1&lt;År1,0,L44*(1-VLOOKUP($A45,[1]Hugst!$R$5:$W$9,MATCH(ROUNDUP((M$1)/10,0)*10,[1]Hugst!$R$4:$W$4,0))))</f>
        <v>871.48611353258525</v>
      </c>
      <c r="N45" s="168">
        <f ca="1">IF($C45-N$1&lt;År1,0,M44*(1-VLOOKUP($A45,[1]Hugst!$R$5:$W$9,MATCH(ROUNDUP((N$1)/10,0)*10,[1]Hugst!$R$4:$W$4,0))))</f>
        <v>874.60655370854579</v>
      </c>
      <c r="O45" s="168">
        <f ca="1">IF($C45-O$1&lt;År1,0,N44*(1-VLOOKUP($A45,[1]Hugst!$R$5:$W$9,MATCH(ROUNDUP((O$1)/10,0)*10,[1]Hugst!$R$4:$W$4,0))))</f>
        <v>877.7426744883785</v>
      </c>
      <c r="P45" s="168">
        <f ca="1">IF($C45-P$1&lt;År1,0,O44*(1-VLOOKUP($A45,[1]Hugst!$R$5:$W$9,MATCH(ROUNDUP((P$1)/10,0)*10,[1]Hugst!$R$4:$W$4,0))))</f>
        <v>880.89455466914728</v>
      </c>
      <c r="Q45" s="168">
        <f ca="1">IF($C45-Q$1&lt;År1,0,P44*(1-VLOOKUP($A45,[1]Hugst!$R$5:$W$9,MATCH(ROUNDUP((Q$1)/10,0)*10,[1]Hugst!$R$4:$W$4,0))))</f>
        <v>884.0622734437718</v>
      </c>
      <c r="R45" s="168">
        <f ca="1">IF($C45-R$1&lt;År1,0,Q44*(1-VLOOKUP($A45,[1]Hugst!$R$5:$W$9,MATCH(ROUNDUP((R$1)/10,0)*10,[1]Hugst!$R$4:$W$4,0))))</f>
        <v>887.24591040319569</v>
      </c>
      <c r="S45" s="168">
        <f>IF($C45-S$1&lt;År1,0,R44*(1-VLOOKUP($A45,[1]Hugst!$R$5:$W$9,MATCH(ROUNDUP((S$1)/10,0)*10,[1]Hugst!$R$4:$W$4,0))))</f>
        <v>0</v>
      </c>
      <c r="T45" s="168">
        <f>IF($C45-T$1&lt;År1,0,S44*(1-VLOOKUP($A45,[1]Hugst!$R$5:$W$9,MATCH(ROUNDUP((T$1)/10,0)*10,[1]Hugst!$R$4:$W$4,0))))</f>
        <v>0</v>
      </c>
      <c r="U45" s="168">
        <f>IF($C45-U$1&lt;År1,0,T44*(1-VLOOKUP($A45,[1]Hugst!$R$5:$W$9,MATCH(ROUNDUP((U$1)/10,0)*10,[1]Hugst!$R$4:$W$4,0))))</f>
        <v>0</v>
      </c>
      <c r="V45" s="168">
        <f>IF($C45-V$1&lt;År1,0,U44*(1-VLOOKUP($A45,[1]Hugst!$R$5:$W$9,MATCH(ROUNDUP((V$1)/10,0)*10,[1]Hugst!$R$4:$W$4,0))))</f>
        <v>0</v>
      </c>
      <c r="W45" s="168">
        <f>IF($C45-W$1&lt;År1,0,V44*(1-VLOOKUP($A45,[1]Hugst!$R$5:$W$9,MATCH(ROUNDUP((W$1)/10,0)*10,[1]Hugst!$R$4:$W$4,0))))</f>
        <v>0</v>
      </c>
      <c r="X45" s="168">
        <f>IF($C45-X$1&lt;År1,0,W44*(1-VLOOKUP($A45,[1]Hugst!$R$5:$W$9,MATCH(ROUNDUP((X$1)/10,0)*10,[1]Hugst!$R$4:$W$4,0))))</f>
        <v>0</v>
      </c>
      <c r="Y45" s="168">
        <f>IF($C45-Y$1&lt;År1,0,X44*(1-VLOOKUP($A45,[1]Hugst!$R$5:$W$9,MATCH(ROUNDUP((Y$1)/10,0)*10,[1]Hugst!$R$4:$W$4,0))))</f>
        <v>0</v>
      </c>
      <c r="Z45" s="168">
        <f>IF($C45-Z$1&lt;År1,0,Y44*(1-VLOOKUP($A45,[1]Hugst!$R$5:$W$9,MATCH(ROUNDUP((Z$1)/10,0)*10,[1]Hugst!$R$4:$W$4,0))))</f>
        <v>0</v>
      </c>
      <c r="AA45" s="168">
        <f>IF($C45-AA$1&lt;År1,0,Z44*(1-VLOOKUP($A45,[1]Hugst!$R$5:$W$9,MATCH(ROUNDUP((AA$1)/10,0)*10,[1]Hugst!$R$4:$W$4,0))))</f>
        <v>0</v>
      </c>
      <c r="AB45" s="168">
        <f>IF($C45-AB$1&lt;År1,0,AA44*(1-VLOOKUP($A45,[1]Hugst!$R$5:$W$9,MATCH(ROUNDUP((AB$1)/10,0)*10,[1]Hugst!$R$4:$W$4,0))))</f>
        <v>0</v>
      </c>
      <c r="AC45" s="168">
        <f>IF($C45-AC$1&lt;År1,0,AB44*(1-VLOOKUP($A45,[1]Hugst!$R$5:$W$9,MATCH(ROUNDUP((AC$1)/10,0)*10,[1]Hugst!$R$4:$W$4,0))))</f>
        <v>0</v>
      </c>
      <c r="AD45" s="168">
        <f>IF($C45-AD$1&lt;År1,0,AC44*(1-VLOOKUP($A45,[1]Hugst!$R$5:$W$9,MATCH(ROUNDUP((AD$1)/10,0)*10,[1]Hugst!$R$4:$W$4,0))))</f>
        <v>0</v>
      </c>
      <c r="AE45" s="168">
        <f>IF($C45-AE$1&lt;År1,0,AD44*(1-VLOOKUP($A45,[1]Hugst!$R$5:$W$9,MATCH(ROUNDUP((AE$1)/10,0)*10,[1]Hugst!$R$4:$W$4,0))))</f>
        <v>0</v>
      </c>
      <c r="AF45" s="168">
        <f>IF($C45-AF$1&lt;År1,0,AE44*(1-VLOOKUP($A45,[1]Hugst!$R$5:$W$9,MATCH(ROUNDUP((AF$1)/10,0)*10,[1]Hugst!$R$4:$W$4,0))))</f>
        <v>0</v>
      </c>
      <c r="AG45" s="168">
        <f>IF($C45-AG$1&lt;År1,0,AF44*(1-VLOOKUP($A45,[1]Hugst!$R$5:$W$9,MATCH(ROUNDUP((AG$1)/10,0)*10,[1]Hugst!$R$4:$W$4,0))))</f>
        <v>0</v>
      </c>
      <c r="AH45" s="168">
        <f>IF($C45-AH$1&lt;År1,0,AG44*(1-VLOOKUP($A45,[1]Hugst!$R$5:$W$9,MATCH(ROUNDUP((AH$1)/10,0)*10,[1]Hugst!$R$4:$W$4,0))))</f>
        <v>0</v>
      </c>
      <c r="AI45" s="168">
        <f>IF($C45-AI$1&lt;År1,0,AH44*(1-VLOOKUP($A45,[1]Hugst!$R$5:$W$9,MATCH(ROUNDUP((AI$1)/10,0)*10,[1]Hugst!$R$4:$W$4,0))))</f>
        <v>0</v>
      </c>
      <c r="AJ45" s="168">
        <f>IF($C45-AJ$1&lt;År1,0,AI44*(1-VLOOKUP($A45,[1]Hugst!$R$5:$W$9,MATCH(ROUNDUP((AJ$1)/10,0)*10,[1]Hugst!$R$4:$W$4,0))))</f>
        <v>0</v>
      </c>
    </row>
    <row r="46" spans="1:36" s="168" customFormat="1" x14ac:dyDescent="0.25">
      <c r="A46" s="168" t="s">
        <v>176</v>
      </c>
      <c r="B46" s="168" t="s">
        <v>24</v>
      </c>
      <c r="C46" s="168">
        <v>2033</v>
      </c>
      <c r="D46" s="168" cm="1">
        <f t="array" ref="D46">(IF(B46="Vestdanmark",Skovbrug!$C$22-(Skovbrug!$C$22)*(1-Skovbrug!$C$9)^(C46-Skovbrug!$B$12),Skovbrug!$F$22-(Skovbrug!$F$22)*(1-Skovbrug!$C$9)^(C46-Skovbrug!$B$12))*VLOOKUP(A46,Skovbrug!$A$13:$D$17,IF('Skovbrug-alder'!C46&lt;=År2,3,4),FALSE)-IF(C46&gt;2020,SUM(INDEX($C$1:$D$311,MATCH(1,(2020=$C$1:$C$311)*(B46=$B$1:$B$311)*(A46=$A$1:$A$311),0),2):D45),0))</f>
        <v>596.55924881578539</v>
      </c>
      <c r="E46" s="168">
        <f t="shared" ca="1" si="0"/>
        <v>0</v>
      </c>
      <c r="F46" s="168">
        <f ca="1">IF(C46&lt;=År2,IF(B46="Vestdanmark",(Arealanvendelse!$M$27-Arealanvendelse!$J$27),(Arealanvendelse!$M$37-Arealanvendelse!$J$37))/(Arealanvendelse!$M$3-Arealanvendelse!$J$3),IF(B46="Vestdanmark",(Arealanvendelse!$P$27-Arealanvendelse!$M$27),(Arealanvendelse!$P$37-Arealanvendelse!$M$37))/(Arealanvendelse!$P$3-Arealanvendelse!$M$3))*VLOOKUP(A46,Skovbrug!$A$13:$D$17,IF('Skovbrug-alder'!C46&lt;=År2,3,4),FALSE)+D46+E46</f>
        <v>847.07776733430433</v>
      </c>
      <c r="G46" s="168">
        <f ca="1">IF($C46-G$1&lt;År1,0,F45*(1-VLOOKUP($A46,[1]Hugst!$R$5:$W$9,MATCH(ROUNDUP((G$1)/10,0)*10,[1]Hugst!$R$4:$W$4,0))))</f>
        <v>850.07555250424116</v>
      </c>
      <c r="H46" s="168">
        <f ca="1">IF($C46-H$1&lt;År1,0,G45*(1-VLOOKUP($A46,[1]Hugst!$R$5:$W$9,MATCH(ROUNDUP((H$1)/10,0)*10,[1]Hugst!$R$4:$W$4,0))))</f>
        <v>853.08840192123239</v>
      </c>
      <c r="I46" s="168">
        <f ca="1">IF($C46-I$1&lt;År1,0,H45*(1-VLOOKUP($A46,[1]Hugst!$R$5:$W$9,MATCH(ROUNDUP((I$1)/10,0)*10,[1]Hugst!$R$4:$W$4,0))))</f>
        <v>856.11639128509773</v>
      </c>
      <c r="J46" s="168">
        <f ca="1">IF($C46-J$1&lt;År1,0,I45*(1-VLOOKUP($A46,[1]Hugst!$R$5:$W$9,MATCH(ROUNDUP((J$1)/10,0)*10,[1]Hugst!$R$4:$W$4,0))))</f>
        <v>859.15959667586935</v>
      </c>
      <c r="K46" s="168">
        <f ca="1">IF($C46-K$1&lt;År1,0,J45*(1-VLOOKUP($A46,[1]Hugst!$R$5:$W$9,MATCH(ROUNDUP((K$1)/10,0)*10,[1]Hugst!$R$4:$W$4,0))))</f>
        <v>862.21809455606194</v>
      </c>
      <c r="L46" s="168">
        <f ca="1">IF($C46-L$1&lt;År1,0,K45*(1-VLOOKUP($A46,[1]Hugst!$R$5:$W$9,MATCH(ROUNDUP((L$1)/10,0)*10,[1]Hugst!$R$4:$W$4,0))))</f>
        <v>865.29196177231711</v>
      </c>
      <c r="M46" s="168">
        <f ca="1">IF($C46-M$1&lt;År1,0,L45*(1-VLOOKUP($A46,[1]Hugst!$R$5:$W$9,MATCH(ROUNDUP((M$1)/10,0)*10,[1]Hugst!$R$4:$W$4,0))))</f>
        <v>868.38127555754249</v>
      </c>
      <c r="N46" s="168">
        <f ca="1">IF($C46-N$1&lt;År1,0,M45*(1-VLOOKUP($A46,[1]Hugst!$R$5:$W$9,MATCH(ROUNDUP((N$1)/10,0)*10,[1]Hugst!$R$4:$W$4,0))))</f>
        <v>871.48611353258525</v>
      </c>
      <c r="O46" s="168">
        <f ca="1">IF($C46-O$1&lt;År1,0,N45*(1-VLOOKUP($A46,[1]Hugst!$R$5:$W$9,MATCH(ROUNDUP((O$1)/10,0)*10,[1]Hugst!$R$4:$W$4,0))))</f>
        <v>874.60655370854579</v>
      </c>
      <c r="P46" s="168">
        <f ca="1">IF($C46-P$1&lt;År1,0,O45*(1-VLOOKUP($A46,[1]Hugst!$R$5:$W$9,MATCH(ROUNDUP((P$1)/10,0)*10,[1]Hugst!$R$4:$W$4,0))))</f>
        <v>877.7426744883785</v>
      </c>
      <c r="Q46" s="168">
        <f ca="1">IF($C46-Q$1&lt;År1,0,P45*(1-VLOOKUP($A46,[1]Hugst!$R$5:$W$9,MATCH(ROUNDUP((Q$1)/10,0)*10,[1]Hugst!$R$4:$W$4,0))))</f>
        <v>880.89455466914728</v>
      </c>
      <c r="R46" s="168">
        <f ca="1">IF($C46-R$1&lt;År1,0,Q45*(1-VLOOKUP($A46,[1]Hugst!$R$5:$W$9,MATCH(ROUNDUP((R$1)/10,0)*10,[1]Hugst!$R$4:$W$4,0))))</f>
        <v>884.0622734437718</v>
      </c>
      <c r="S46" s="168">
        <f ca="1">IF($C46-S$1&lt;År1,0,R45*(1-VLOOKUP($A46,[1]Hugst!$R$5:$W$9,MATCH(ROUNDUP((S$1)/10,0)*10,[1]Hugst!$R$4:$W$4,0))))</f>
        <v>887.24591040319569</v>
      </c>
      <c r="T46" s="168">
        <f>IF($C46-T$1&lt;År1,0,S45*(1-VLOOKUP($A46,[1]Hugst!$R$5:$W$9,MATCH(ROUNDUP((T$1)/10,0)*10,[1]Hugst!$R$4:$W$4,0))))</f>
        <v>0</v>
      </c>
      <c r="U46" s="168">
        <f>IF($C46-U$1&lt;År1,0,T45*(1-VLOOKUP($A46,[1]Hugst!$R$5:$W$9,MATCH(ROUNDUP((U$1)/10,0)*10,[1]Hugst!$R$4:$W$4,0))))</f>
        <v>0</v>
      </c>
      <c r="V46" s="168">
        <f>IF($C46-V$1&lt;År1,0,U45*(1-VLOOKUP($A46,[1]Hugst!$R$5:$W$9,MATCH(ROUNDUP((V$1)/10,0)*10,[1]Hugst!$R$4:$W$4,0))))</f>
        <v>0</v>
      </c>
      <c r="W46" s="168">
        <f>IF($C46-W$1&lt;År1,0,V45*(1-VLOOKUP($A46,[1]Hugst!$R$5:$W$9,MATCH(ROUNDUP((W$1)/10,0)*10,[1]Hugst!$R$4:$W$4,0))))</f>
        <v>0</v>
      </c>
      <c r="X46" s="168">
        <f>IF($C46-X$1&lt;År1,0,W45*(1-VLOOKUP($A46,[1]Hugst!$R$5:$W$9,MATCH(ROUNDUP((X$1)/10,0)*10,[1]Hugst!$R$4:$W$4,0))))</f>
        <v>0</v>
      </c>
      <c r="Y46" s="168">
        <f>IF($C46-Y$1&lt;År1,0,X45*(1-VLOOKUP($A46,[1]Hugst!$R$5:$W$9,MATCH(ROUNDUP((Y$1)/10,0)*10,[1]Hugst!$R$4:$W$4,0))))</f>
        <v>0</v>
      </c>
      <c r="Z46" s="168">
        <f>IF($C46-Z$1&lt;År1,0,Y45*(1-VLOOKUP($A46,[1]Hugst!$R$5:$W$9,MATCH(ROUNDUP((Z$1)/10,0)*10,[1]Hugst!$R$4:$W$4,0))))</f>
        <v>0</v>
      </c>
      <c r="AA46" s="168">
        <f>IF($C46-AA$1&lt;År1,0,Z45*(1-VLOOKUP($A46,[1]Hugst!$R$5:$W$9,MATCH(ROUNDUP((AA$1)/10,0)*10,[1]Hugst!$R$4:$W$4,0))))</f>
        <v>0</v>
      </c>
      <c r="AB46" s="168">
        <f>IF($C46-AB$1&lt;År1,0,AA45*(1-VLOOKUP($A46,[1]Hugst!$R$5:$W$9,MATCH(ROUNDUP((AB$1)/10,0)*10,[1]Hugst!$R$4:$W$4,0))))</f>
        <v>0</v>
      </c>
      <c r="AC46" s="168">
        <f>IF($C46-AC$1&lt;År1,0,AB45*(1-VLOOKUP($A46,[1]Hugst!$R$5:$W$9,MATCH(ROUNDUP((AC$1)/10,0)*10,[1]Hugst!$R$4:$W$4,0))))</f>
        <v>0</v>
      </c>
      <c r="AD46" s="168">
        <f>IF($C46-AD$1&lt;År1,0,AC45*(1-VLOOKUP($A46,[1]Hugst!$R$5:$W$9,MATCH(ROUNDUP((AD$1)/10,0)*10,[1]Hugst!$R$4:$W$4,0))))</f>
        <v>0</v>
      </c>
      <c r="AE46" s="168">
        <f>IF($C46-AE$1&lt;År1,0,AD45*(1-VLOOKUP($A46,[1]Hugst!$R$5:$W$9,MATCH(ROUNDUP((AE$1)/10,0)*10,[1]Hugst!$R$4:$W$4,0))))</f>
        <v>0</v>
      </c>
      <c r="AF46" s="168">
        <f>IF($C46-AF$1&lt;År1,0,AE45*(1-VLOOKUP($A46,[1]Hugst!$R$5:$W$9,MATCH(ROUNDUP((AF$1)/10,0)*10,[1]Hugst!$R$4:$W$4,0))))</f>
        <v>0</v>
      </c>
      <c r="AG46" s="168">
        <f>IF($C46-AG$1&lt;År1,0,AF45*(1-VLOOKUP($A46,[1]Hugst!$R$5:$W$9,MATCH(ROUNDUP((AG$1)/10,0)*10,[1]Hugst!$R$4:$W$4,0))))</f>
        <v>0</v>
      </c>
      <c r="AH46" s="168">
        <f>IF($C46-AH$1&lt;År1,0,AG45*(1-VLOOKUP($A46,[1]Hugst!$R$5:$W$9,MATCH(ROUNDUP((AH$1)/10,0)*10,[1]Hugst!$R$4:$W$4,0))))</f>
        <v>0</v>
      </c>
      <c r="AI46" s="168">
        <f>IF($C46-AI$1&lt;År1,0,AH45*(1-VLOOKUP($A46,[1]Hugst!$R$5:$W$9,MATCH(ROUNDUP((AI$1)/10,0)*10,[1]Hugst!$R$4:$W$4,0))))</f>
        <v>0</v>
      </c>
      <c r="AJ46" s="168">
        <f>IF($C46-AJ$1&lt;År1,0,AI45*(1-VLOOKUP($A46,[1]Hugst!$R$5:$W$9,MATCH(ROUNDUP((AJ$1)/10,0)*10,[1]Hugst!$R$4:$W$4,0))))</f>
        <v>0</v>
      </c>
    </row>
    <row r="47" spans="1:36" s="168" customFormat="1" x14ac:dyDescent="0.25">
      <c r="A47" s="168" t="s">
        <v>176</v>
      </c>
      <c r="B47" s="168" t="s">
        <v>24</v>
      </c>
      <c r="C47" s="168">
        <v>2034</v>
      </c>
      <c r="D47" s="168" cm="1">
        <f t="array" ref="D47">(IF(B47="Vestdanmark",Skovbrug!$C$22-(Skovbrug!$C$22)*(1-Skovbrug!$C$9)^(C47-Skovbrug!$B$12),Skovbrug!$F$22-(Skovbrug!$F$22)*(1-Skovbrug!$C$9)^(C47-Skovbrug!$B$12))*VLOOKUP(A47,Skovbrug!$A$13:$D$17,IF('Skovbrug-alder'!C47&lt;=År2,3,4),FALSE)-IF(C47&gt;2020,SUM(INDEX($C$1:$D$311,MATCH(1,(2020=$C$1:$C$311)*(B47=$B$1:$B$311)*(A47=$A$1:$A$311),0),2):D46),0))</f>
        <v>593.57645257170952</v>
      </c>
      <c r="E47" s="168">
        <f t="shared" ca="1" si="0"/>
        <v>0</v>
      </c>
      <c r="F47" s="168">
        <f ca="1">IF(C47&lt;=År2,IF(B47="Vestdanmark",(Arealanvendelse!$M$27-Arealanvendelse!$J$27),(Arealanvendelse!$M$37-Arealanvendelse!$J$37))/(Arealanvendelse!$M$3-Arealanvendelse!$J$3),IF(B47="Vestdanmark",(Arealanvendelse!$P$27-Arealanvendelse!$M$27),(Arealanvendelse!$P$37-Arealanvendelse!$M$37))/(Arealanvendelse!$P$3-Arealanvendelse!$M$3))*VLOOKUP(A47,Skovbrug!$A$13:$D$17,IF('Skovbrug-alder'!C47&lt;=År2,3,4),FALSE)+D47+E47</f>
        <v>844.09497109022846</v>
      </c>
      <c r="G47" s="168">
        <f ca="1">IF($C47-G$1&lt;År1,0,F46*(1-VLOOKUP($A47,[1]Hugst!$R$5:$W$9,MATCH(ROUNDUP((G$1)/10,0)*10,[1]Hugst!$R$4:$W$4,0))))</f>
        <v>847.07776733430433</v>
      </c>
      <c r="H47" s="168">
        <f ca="1">IF($C47-H$1&lt;År1,0,G46*(1-VLOOKUP($A47,[1]Hugst!$R$5:$W$9,MATCH(ROUNDUP((H$1)/10,0)*10,[1]Hugst!$R$4:$W$4,0))))</f>
        <v>850.07555250424116</v>
      </c>
      <c r="I47" s="168">
        <f ca="1">IF($C47-I$1&lt;År1,0,H46*(1-VLOOKUP($A47,[1]Hugst!$R$5:$W$9,MATCH(ROUNDUP((I$1)/10,0)*10,[1]Hugst!$R$4:$W$4,0))))</f>
        <v>853.08840192123239</v>
      </c>
      <c r="J47" s="168">
        <f ca="1">IF($C47-J$1&lt;År1,0,I46*(1-VLOOKUP($A47,[1]Hugst!$R$5:$W$9,MATCH(ROUNDUP((J$1)/10,0)*10,[1]Hugst!$R$4:$W$4,0))))</f>
        <v>856.11639128509773</v>
      </c>
      <c r="K47" s="168">
        <f ca="1">IF($C47-K$1&lt;År1,0,J46*(1-VLOOKUP($A47,[1]Hugst!$R$5:$W$9,MATCH(ROUNDUP((K$1)/10,0)*10,[1]Hugst!$R$4:$W$4,0))))</f>
        <v>859.15959667586935</v>
      </c>
      <c r="L47" s="168">
        <f ca="1">IF($C47-L$1&lt;År1,0,K46*(1-VLOOKUP($A47,[1]Hugst!$R$5:$W$9,MATCH(ROUNDUP((L$1)/10,0)*10,[1]Hugst!$R$4:$W$4,0))))</f>
        <v>862.21809455606194</v>
      </c>
      <c r="M47" s="168">
        <f ca="1">IF($C47-M$1&lt;År1,0,L46*(1-VLOOKUP($A47,[1]Hugst!$R$5:$W$9,MATCH(ROUNDUP((M$1)/10,0)*10,[1]Hugst!$R$4:$W$4,0))))</f>
        <v>865.29196177231711</v>
      </c>
      <c r="N47" s="168">
        <f ca="1">IF($C47-N$1&lt;År1,0,M46*(1-VLOOKUP($A47,[1]Hugst!$R$5:$W$9,MATCH(ROUNDUP((N$1)/10,0)*10,[1]Hugst!$R$4:$W$4,0))))</f>
        <v>868.38127555754249</v>
      </c>
      <c r="O47" s="168">
        <f ca="1">IF($C47-O$1&lt;År1,0,N46*(1-VLOOKUP($A47,[1]Hugst!$R$5:$W$9,MATCH(ROUNDUP((O$1)/10,0)*10,[1]Hugst!$R$4:$W$4,0))))</f>
        <v>871.48611353258525</v>
      </c>
      <c r="P47" s="168">
        <f ca="1">IF($C47-P$1&lt;År1,0,O46*(1-VLOOKUP($A47,[1]Hugst!$R$5:$W$9,MATCH(ROUNDUP((P$1)/10,0)*10,[1]Hugst!$R$4:$W$4,0))))</f>
        <v>874.60655370854579</v>
      </c>
      <c r="Q47" s="168">
        <f ca="1">IF($C47-Q$1&lt;År1,0,P46*(1-VLOOKUP($A47,[1]Hugst!$R$5:$W$9,MATCH(ROUNDUP((Q$1)/10,0)*10,[1]Hugst!$R$4:$W$4,0))))</f>
        <v>877.7426744883785</v>
      </c>
      <c r="R47" s="168">
        <f ca="1">IF($C47-R$1&lt;År1,0,Q46*(1-VLOOKUP($A47,[1]Hugst!$R$5:$W$9,MATCH(ROUNDUP((R$1)/10,0)*10,[1]Hugst!$R$4:$W$4,0))))</f>
        <v>880.89455466914728</v>
      </c>
      <c r="S47" s="168">
        <f ca="1">IF($C47-S$1&lt;År1,0,R46*(1-VLOOKUP($A47,[1]Hugst!$R$5:$W$9,MATCH(ROUNDUP((S$1)/10,0)*10,[1]Hugst!$R$4:$W$4,0))))</f>
        <v>884.0622734437718</v>
      </c>
      <c r="T47" s="168">
        <f ca="1">IF($C47-T$1&lt;År1,0,S46*(1-VLOOKUP($A47,[1]Hugst!$R$5:$W$9,MATCH(ROUNDUP((T$1)/10,0)*10,[1]Hugst!$R$4:$W$4,0))))</f>
        <v>887.24591040319569</v>
      </c>
      <c r="U47" s="168">
        <f>IF($C47-U$1&lt;År1,0,T46*(1-VLOOKUP($A47,[1]Hugst!$R$5:$W$9,MATCH(ROUNDUP((U$1)/10,0)*10,[1]Hugst!$R$4:$W$4,0))))</f>
        <v>0</v>
      </c>
      <c r="V47" s="168">
        <f>IF($C47-V$1&lt;År1,0,U46*(1-VLOOKUP($A47,[1]Hugst!$R$5:$W$9,MATCH(ROUNDUP((V$1)/10,0)*10,[1]Hugst!$R$4:$W$4,0))))</f>
        <v>0</v>
      </c>
      <c r="W47" s="168">
        <f>IF($C47-W$1&lt;År1,0,V46*(1-VLOOKUP($A47,[1]Hugst!$R$5:$W$9,MATCH(ROUNDUP((W$1)/10,0)*10,[1]Hugst!$R$4:$W$4,0))))</f>
        <v>0</v>
      </c>
      <c r="X47" s="168">
        <f>IF($C47-X$1&lt;År1,0,W46*(1-VLOOKUP($A47,[1]Hugst!$R$5:$W$9,MATCH(ROUNDUP((X$1)/10,0)*10,[1]Hugst!$R$4:$W$4,0))))</f>
        <v>0</v>
      </c>
      <c r="Y47" s="168">
        <f>IF($C47-Y$1&lt;År1,0,X46*(1-VLOOKUP($A47,[1]Hugst!$R$5:$W$9,MATCH(ROUNDUP((Y$1)/10,0)*10,[1]Hugst!$R$4:$W$4,0))))</f>
        <v>0</v>
      </c>
      <c r="Z47" s="168">
        <f>IF($C47-Z$1&lt;År1,0,Y46*(1-VLOOKUP($A47,[1]Hugst!$R$5:$W$9,MATCH(ROUNDUP((Z$1)/10,0)*10,[1]Hugst!$R$4:$W$4,0))))</f>
        <v>0</v>
      </c>
      <c r="AA47" s="168">
        <f>IF($C47-AA$1&lt;År1,0,Z46*(1-VLOOKUP($A47,[1]Hugst!$R$5:$W$9,MATCH(ROUNDUP((AA$1)/10,0)*10,[1]Hugst!$R$4:$W$4,0))))</f>
        <v>0</v>
      </c>
      <c r="AB47" s="168">
        <f>IF($C47-AB$1&lt;År1,0,AA46*(1-VLOOKUP($A47,[1]Hugst!$R$5:$W$9,MATCH(ROUNDUP((AB$1)/10,0)*10,[1]Hugst!$R$4:$W$4,0))))</f>
        <v>0</v>
      </c>
      <c r="AC47" s="168">
        <f>IF($C47-AC$1&lt;År1,0,AB46*(1-VLOOKUP($A47,[1]Hugst!$R$5:$W$9,MATCH(ROUNDUP((AC$1)/10,0)*10,[1]Hugst!$R$4:$W$4,0))))</f>
        <v>0</v>
      </c>
      <c r="AD47" s="168">
        <f>IF($C47-AD$1&lt;År1,0,AC46*(1-VLOOKUP($A47,[1]Hugst!$R$5:$W$9,MATCH(ROUNDUP((AD$1)/10,0)*10,[1]Hugst!$R$4:$W$4,0))))</f>
        <v>0</v>
      </c>
      <c r="AE47" s="168">
        <f>IF($C47-AE$1&lt;År1,0,AD46*(1-VLOOKUP($A47,[1]Hugst!$R$5:$W$9,MATCH(ROUNDUP((AE$1)/10,0)*10,[1]Hugst!$R$4:$W$4,0))))</f>
        <v>0</v>
      </c>
      <c r="AF47" s="168">
        <f>IF($C47-AF$1&lt;År1,0,AE46*(1-VLOOKUP($A47,[1]Hugst!$R$5:$W$9,MATCH(ROUNDUP((AF$1)/10,0)*10,[1]Hugst!$R$4:$W$4,0))))</f>
        <v>0</v>
      </c>
      <c r="AG47" s="168">
        <f>IF($C47-AG$1&lt;År1,0,AF46*(1-VLOOKUP($A47,[1]Hugst!$R$5:$W$9,MATCH(ROUNDUP((AG$1)/10,0)*10,[1]Hugst!$R$4:$W$4,0))))</f>
        <v>0</v>
      </c>
      <c r="AH47" s="168">
        <f>IF($C47-AH$1&lt;År1,0,AG46*(1-VLOOKUP($A47,[1]Hugst!$R$5:$W$9,MATCH(ROUNDUP((AH$1)/10,0)*10,[1]Hugst!$R$4:$W$4,0))))</f>
        <v>0</v>
      </c>
      <c r="AI47" s="168">
        <f>IF($C47-AI$1&lt;År1,0,AH46*(1-VLOOKUP($A47,[1]Hugst!$R$5:$W$9,MATCH(ROUNDUP((AI$1)/10,0)*10,[1]Hugst!$R$4:$W$4,0))))</f>
        <v>0</v>
      </c>
      <c r="AJ47" s="168">
        <f>IF($C47-AJ$1&lt;År1,0,AI46*(1-VLOOKUP($A47,[1]Hugst!$R$5:$W$9,MATCH(ROUNDUP((AJ$1)/10,0)*10,[1]Hugst!$R$4:$W$4,0))))</f>
        <v>0</v>
      </c>
    </row>
    <row r="48" spans="1:36" s="168" customFormat="1" x14ac:dyDescent="0.25">
      <c r="A48" s="168" t="s">
        <v>176</v>
      </c>
      <c r="B48" s="168" t="s">
        <v>24</v>
      </c>
      <c r="C48" s="168">
        <v>2035</v>
      </c>
      <c r="D48" s="168" cm="1">
        <f t="array" ref="D48">(IF(B48="Vestdanmark",Skovbrug!$C$22-(Skovbrug!$C$22)*(1-Skovbrug!$C$9)^(C48-Skovbrug!$B$12),Skovbrug!$F$22-(Skovbrug!$F$22)*(1-Skovbrug!$C$9)^(C48-Skovbrug!$B$12))*VLOOKUP(A48,Skovbrug!$A$13:$D$17,IF('Skovbrug-alder'!C48&lt;=År2,3,4),FALSE)-IF(C48&gt;2020,SUM(INDEX($C$1:$D$311,MATCH(1,(2020=$C$1:$C$311)*(B48=$B$1:$B$311)*(A48=$A$1:$A$311),0),2):D47),0))</f>
        <v>590.60857030886109</v>
      </c>
      <c r="E48" s="168">
        <f t="shared" ca="1" si="0"/>
        <v>0</v>
      </c>
      <c r="F48" s="168">
        <f ca="1">IF(C48&lt;=År2,IF(B48="Vestdanmark",(Arealanvendelse!$M$27-Arealanvendelse!$J$27),(Arealanvendelse!$M$37-Arealanvendelse!$J$37))/(Arealanvendelse!$M$3-Arealanvendelse!$J$3),IF(B48="Vestdanmark",(Arealanvendelse!$P$27-Arealanvendelse!$M$27),(Arealanvendelse!$P$37-Arealanvendelse!$M$37))/(Arealanvendelse!$P$3-Arealanvendelse!$M$3))*VLOOKUP(A48,Skovbrug!$A$13:$D$17,IF('Skovbrug-alder'!C48&lt;=År2,3,4),FALSE)+D48+E48</f>
        <v>841.12708882738002</v>
      </c>
      <c r="G48" s="168">
        <f ca="1">IF($C48-G$1&lt;År1,0,F47*(1-VLOOKUP($A48,[1]Hugst!$R$5:$W$9,MATCH(ROUNDUP((G$1)/10,0)*10,[1]Hugst!$R$4:$W$4,0))))</f>
        <v>844.09497109022846</v>
      </c>
      <c r="H48" s="168">
        <f ca="1">IF($C48-H$1&lt;År1,0,G47*(1-VLOOKUP($A48,[1]Hugst!$R$5:$W$9,MATCH(ROUNDUP((H$1)/10,0)*10,[1]Hugst!$R$4:$W$4,0))))</f>
        <v>847.07776733430433</v>
      </c>
      <c r="I48" s="168">
        <f ca="1">IF($C48-I$1&lt;År1,0,H47*(1-VLOOKUP($A48,[1]Hugst!$R$5:$W$9,MATCH(ROUNDUP((I$1)/10,0)*10,[1]Hugst!$R$4:$W$4,0))))</f>
        <v>850.07555250424116</v>
      </c>
      <c r="J48" s="168">
        <f ca="1">IF($C48-J$1&lt;År1,0,I47*(1-VLOOKUP($A48,[1]Hugst!$R$5:$W$9,MATCH(ROUNDUP((J$1)/10,0)*10,[1]Hugst!$R$4:$W$4,0))))</f>
        <v>853.08840192123239</v>
      </c>
      <c r="K48" s="168">
        <f ca="1">IF($C48-K$1&lt;År1,0,J47*(1-VLOOKUP($A48,[1]Hugst!$R$5:$W$9,MATCH(ROUNDUP((K$1)/10,0)*10,[1]Hugst!$R$4:$W$4,0))))</f>
        <v>856.11639128509773</v>
      </c>
      <c r="L48" s="168">
        <f ca="1">IF($C48-L$1&lt;År1,0,K47*(1-VLOOKUP($A48,[1]Hugst!$R$5:$W$9,MATCH(ROUNDUP((L$1)/10,0)*10,[1]Hugst!$R$4:$W$4,0))))</f>
        <v>859.15959667586935</v>
      </c>
      <c r="M48" s="168">
        <f ca="1">IF($C48-M$1&lt;År1,0,L47*(1-VLOOKUP($A48,[1]Hugst!$R$5:$W$9,MATCH(ROUNDUP((M$1)/10,0)*10,[1]Hugst!$R$4:$W$4,0))))</f>
        <v>862.21809455606194</v>
      </c>
      <c r="N48" s="168">
        <f ca="1">IF($C48-N$1&lt;År1,0,M47*(1-VLOOKUP($A48,[1]Hugst!$R$5:$W$9,MATCH(ROUNDUP((N$1)/10,0)*10,[1]Hugst!$R$4:$W$4,0))))</f>
        <v>865.29196177231711</v>
      </c>
      <c r="O48" s="168">
        <f ca="1">IF($C48-O$1&lt;År1,0,N47*(1-VLOOKUP($A48,[1]Hugst!$R$5:$W$9,MATCH(ROUNDUP((O$1)/10,0)*10,[1]Hugst!$R$4:$W$4,0))))</f>
        <v>868.38127555754249</v>
      </c>
      <c r="P48" s="168">
        <f ca="1">IF($C48-P$1&lt;År1,0,O47*(1-VLOOKUP($A48,[1]Hugst!$R$5:$W$9,MATCH(ROUNDUP((P$1)/10,0)*10,[1]Hugst!$R$4:$W$4,0))))</f>
        <v>871.48611353258525</v>
      </c>
      <c r="Q48" s="168">
        <f ca="1">IF($C48-Q$1&lt;År1,0,P47*(1-VLOOKUP($A48,[1]Hugst!$R$5:$W$9,MATCH(ROUNDUP((Q$1)/10,0)*10,[1]Hugst!$R$4:$W$4,0))))</f>
        <v>874.60655370854579</v>
      </c>
      <c r="R48" s="168">
        <f ca="1">IF($C48-R$1&lt;År1,0,Q47*(1-VLOOKUP($A48,[1]Hugst!$R$5:$W$9,MATCH(ROUNDUP((R$1)/10,0)*10,[1]Hugst!$R$4:$W$4,0))))</f>
        <v>877.7426744883785</v>
      </c>
      <c r="S48" s="168">
        <f ca="1">IF($C48-S$1&lt;År1,0,R47*(1-VLOOKUP($A48,[1]Hugst!$R$5:$W$9,MATCH(ROUNDUP((S$1)/10,0)*10,[1]Hugst!$R$4:$W$4,0))))</f>
        <v>880.89455466914728</v>
      </c>
      <c r="T48" s="168">
        <f ca="1">IF($C48-T$1&lt;År1,0,S47*(1-VLOOKUP($A48,[1]Hugst!$R$5:$W$9,MATCH(ROUNDUP((T$1)/10,0)*10,[1]Hugst!$R$4:$W$4,0))))</f>
        <v>884.0622734437718</v>
      </c>
      <c r="U48" s="168">
        <f ca="1">IF($C48-U$1&lt;År1,0,T47*(1-VLOOKUP($A48,[1]Hugst!$R$5:$W$9,MATCH(ROUNDUP((U$1)/10,0)*10,[1]Hugst!$R$4:$W$4,0))))</f>
        <v>887.24591040319569</v>
      </c>
      <c r="V48" s="168">
        <f>IF($C48-V$1&lt;År1,0,U47*(1-VLOOKUP($A48,[1]Hugst!$R$5:$W$9,MATCH(ROUNDUP((V$1)/10,0)*10,[1]Hugst!$R$4:$W$4,0))))</f>
        <v>0</v>
      </c>
      <c r="W48" s="168">
        <f>IF($C48-W$1&lt;År1,0,V47*(1-VLOOKUP($A48,[1]Hugst!$R$5:$W$9,MATCH(ROUNDUP((W$1)/10,0)*10,[1]Hugst!$R$4:$W$4,0))))</f>
        <v>0</v>
      </c>
      <c r="X48" s="168">
        <f>IF($C48-X$1&lt;År1,0,W47*(1-VLOOKUP($A48,[1]Hugst!$R$5:$W$9,MATCH(ROUNDUP((X$1)/10,0)*10,[1]Hugst!$R$4:$W$4,0))))</f>
        <v>0</v>
      </c>
      <c r="Y48" s="168">
        <f>IF($C48-Y$1&lt;År1,0,X47*(1-VLOOKUP($A48,[1]Hugst!$R$5:$W$9,MATCH(ROUNDUP((Y$1)/10,0)*10,[1]Hugst!$R$4:$W$4,0))))</f>
        <v>0</v>
      </c>
      <c r="Z48" s="168">
        <f>IF($C48-Z$1&lt;År1,0,Y47*(1-VLOOKUP($A48,[1]Hugst!$R$5:$W$9,MATCH(ROUNDUP((Z$1)/10,0)*10,[1]Hugst!$R$4:$W$4,0))))</f>
        <v>0</v>
      </c>
      <c r="AA48" s="168">
        <f>IF($C48-AA$1&lt;År1,0,Z47*(1-VLOOKUP($A48,[1]Hugst!$R$5:$W$9,MATCH(ROUNDUP((AA$1)/10,0)*10,[1]Hugst!$R$4:$W$4,0))))</f>
        <v>0</v>
      </c>
      <c r="AB48" s="168">
        <f>IF($C48-AB$1&lt;År1,0,AA47*(1-VLOOKUP($A48,[1]Hugst!$R$5:$W$9,MATCH(ROUNDUP((AB$1)/10,0)*10,[1]Hugst!$R$4:$W$4,0))))</f>
        <v>0</v>
      </c>
      <c r="AC48" s="168">
        <f>IF($C48-AC$1&lt;År1,0,AB47*(1-VLOOKUP($A48,[1]Hugst!$R$5:$W$9,MATCH(ROUNDUP((AC$1)/10,0)*10,[1]Hugst!$R$4:$W$4,0))))</f>
        <v>0</v>
      </c>
      <c r="AD48" s="168">
        <f>IF($C48-AD$1&lt;År1,0,AC47*(1-VLOOKUP($A48,[1]Hugst!$R$5:$W$9,MATCH(ROUNDUP((AD$1)/10,0)*10,[1]Hugst!$R$4:$W$4,0))))</f>
        <v>0</v>
      </c>
      <c r="AE48" s="168">
        <f>IF($C48-AE$1&lt;År1,0,AD47*(1-VLOOKUP($A48,[1]Hugst!$R$5:$W$9,MATCH(ROUNDUP((AE$1)/10,0)*10,[1]Hugst!$R$4:$W$4,0))))</f>
        <v>0</v>
      </c>
      <c r="AF48" s="168">
        <f>IF($C48-AF$1&lt;År1,0,AE47*(1-VLOOKUP($A48,[1]Hugst!$R$5:$W$9,MATCH(ROUNDUP((AF$1)/10,0)*10,[1]Hugst!$R$4:$W$4,0))))</f>
        <v>0</v>
      </c>
      <c r="AG48" s="168">
        <f>IF($C48-AG$1&lt;År1,0,AF47*(1-VLOOKUP($A48,[1]Hugst!$R$5:$W$9,MATCH(ROUNDUP((AG$1)/10,0)*10,[1]Hugst!$R$4:$W$4,0))))</f>
        <v>0</v>
      </c>
      <c r="AH48" s="168">
        <f>IF($C48-AH$1&lt;År1,0,AG47*(1-VLOOKUP($A48,[1]Hugst!$R$5:$W$9,MATCH(ROUNDUP((AH$1)/10,0)*10,[1]Hugst!$R$4:$W$4,0))))</f>
        <v>0</v>
      </c>
      <c r="AI48" s="168">
        <f>IF($C48-AI$1&lt;År1,0,AH47*(1-VLOOKUP($A48,[1]Hugst!$R$5:$W$9,MATCH(ROUNDUP((AI$1)/10,0)*10,[1]Hugst!$R$4:$W$4,0))))</f>
        <v>0</v>
      </c>
      <c r="AJ48" s="168">
        <f>IF($C48-AJ$1&lt;År1,0,AI47*(1-VLOOKUP($A48,[1]Hugst!$R$5:$W$9,MATCH(ROUNDUP((AJ$1)/10,0)*10,[1]Hugst!$R$4:$W$4,0))))</f>
        <v>0</v>
      </c>
    </row>
    <row r="49" spans="1:39" s="168" customFormat="1" x14ac:dyDescent="0.25">
      <c r="A49" s="168" t="s">
        <v>176</v>
      </c>
      <c r="B49" s="168" t="s">
        <v>24</v>
      </c>
      <c r="C49" s="168">
        <v>2036</v>
      </c>
      <c r="D49" s="168" cm="1">
        <f t="array" ref="D49">(IF(B49="Vestdanmark",Skovbrug!$C$22-(Skovbrug!$C$22)*(1-Skovbrug!$C$9)^(C49-Skovbrug!$B$12),Skovbrug!$F$22-(Skovbrug!$F$22)*(1-Skovbrug!$C$9)^(C49-Skovbrug!$B$12))*VLOOKUP(A49,Skovbrug!$A$13:$D$17,IF('Skovbrug-alder'!C49&lt;=År2,3,4),FALSE)-IF(C49&gt;2020,SUM(INDEX($C$1:$D$311,MATCH(1,(2020=$C$1:$C$311)*(B49=$B$1:$B$311)*(A49=$A$1:$A$311),0),2):D48),0))</f>
        <v>587.65552745730383</v>
      </c>
      <c r="E49" s="168">
        <f t="shared" ca="1" si="0"/>
        <v>0</v>
      </c>
      <c r="F49" s="168">
        <f ca="1">IF(C49&lt;=År2,IF(B49="Vestdanmark",(Arealanvendelse!$M$27-Arealanvendelse!$J$27),(Arealanvendelse!$M$37-Arealanvendelse!$J$37))/(Arealanvendelse!$M$3-Arealanvendelse!$J$3),IF(B49="Vestdanmark",(Arealanvendelse!$P$27-Arealanvendelse!$M$27),(Arealanvendelse!$P$37-Arealanvendelse!$M$37))/(Arealanvendelse!$P$3-Arealanvendelse!$M$3))*VLOOKUP(A49,Skovbrug!$A$13:$D$17,IF('Skovbrug-alder'!C49&lt;=År2,3,4),FALSE)+D49+E49</f>
        <v>838.17404597582276</v>
      </c>
      <c r="G49" s="168">
        <f ca="1">IF($C49-G$1&lt;År1,0,F48*(1-VLOOKUP($A49,[1]Hugst!$R$5:$W$9,MATCH(ROUNDUP((G$1)/10,0)*10,[1]Hugst!$R$4:$W$4,0))))</f>
        <v>841.12708882738002</v>
      </c>
      <c r="H49" s="168">
        <f ca="1">IF($C49-H$1&lt;År1,0,G48*(1-VLOOKUP($A49,[1]Hugst!$R$5:$W$9,MATCH(ROUNDUP((H$1)/10,0)*10,[1]Hugst!$R$4:$W$4,0))))</f>
        <v>844.09497109022846</v>
      </c>
      <c r="I49" s="168">
        <f ca="1">IF($C49-I$1&lt;År1,0,H48*(1-VLOOKUP($A49,[1]Hugst!$R$5:$W$9,MATCH(ROUNDUP((I$1)/10,0)*10,[1]Hugst!$R$4:$W$4,0))))</f>
        <v>847.07776733430433</v>
      </c>
      <c r="J49" s="168">
        <f ca="1">IF($C49-J$1&lt;År1,0,I48*(1-VLOOKUP($A49,[1]Hugst!$R$5:$W$9,MATCH(ROUNDUP((J$1)/10,0)*10,[1]Hugst!$R$4:$W$4,0))))</f>
        <v>850.07555250424116</v>
      </c>
      <c r="K49" s="168">
        <f ca="1">IF($C49-K$1&lt;År1,0,J48*(1-VLOOKUP($A49,[1]Hugst!$R$5:$W$9,MATCH(ROUNDUP((K$1)/10,0)*10,[1]Hugst!$R$4:$W$4,0))))</f>
        <v>853.08840192123239</v>
      </c>
      <c r="L49" s="168">
        <f ca="1">IF($C49-L$1&lt;År1,0,K48*(1-VLOOKUP($A49,[1]Hugst!$R$5:$W$9,MATCH(ROUNDUP((L$1)/10,0)*10,[1]Hugst!$R$4:$W$4,0))))</f>
        <v>856.11639128509773</v>
      </c>
      <c r="M49" s="168">
        <f ca="1">IF($C49-M$1&lt;År1,0,L48*(1-VLOOKUP($A49,[1]Hugst!$R$5:$W$9,MATCH(ROUNDUP((M$1)/10,0)*10,[1]Hugst!$R$4:$W$4,0))))</f>
        <v>859.15959667586935</v>
      </c>
      <c r="N49" s="168">
        <f ca="1">IF($C49-N$1&lt;År1,0,M48*(1-VLOOKUP($A49,[1]Hugst!$R$5:$W$9,MATCH(ROUNDUP((N$1)/10,0)*10,[1]Hugst!$R$4:$W$4,0))))</f>
        <v>862.21809455606194</v>
      </c>
      <c r="O49" s="168">
        <f ca="1">IF($C49-O$1&lt;År1,0,N48*(1-VLOOKUP($A49,[1]Hugst!$R$5:$W$9,MATCH(ROUNDUP((O$1)/10,0)*10,[1]Hugst!$R$4:$W$4,0))))</f>
        <v>865.29196177231711</v>
      </c>
      <c r="P49" s="168">
        <f ca="1">IF($C49-P$1&lt;År1,0,O48*(1-VLOOKUP($A49,[1]Hugst!$R$5:$W$9,MATCH(ROUNDUP((P$1)/10,0)*10,[1]Hugst!$R$4:$W$4,0))))</f>
        <v>868.38127555754249</v>
      </c>
      <c r="Q49" s="168">
        <f ca="1">IF($C49-Q$1&lt;År1,0,P48*(1-VLOOKUP($A49,[1]Hugst!$R$5:$W$9,MATCH(ROUNDUP((Q$1)/10,0)*10,[1]Hugst!$R$4:$W$4,0))))</f>
        <v>871.48611353258525</v>
      </c>
      <c r="R49" s="168">
        <f ca="1">IF($C49-R$1&lt;År1,0,Q48*(1-VLOOKUP($A49,[1]Hugst!$R$5:$W$9,MATCH(ROUNDUP((R$1)/10,0)*10,[1]Hugst!$R$4:$W$4,0))))</f>
        <v>874.60655370854579</v>
      </c>
      <c r="S49" s="168">
        <f ca="1">IF($C49-S$1&lt;År1,0,R48*(1-VLOOKUP($A49,[1]Hugst!$R$5:$W$9,MATCH(ROUNDUP((S$1)/10,0)*10,[1]Hugst!$R$4:$W$4,0))))</f>
        <v>877.7426744883785</v>
      </c>
      <c r="T49" s="168">
        <f ca="1">IF($C49-T$1&lt;År1,0,S48*(1-VLOOKUP($A49,[1]Hugst!$R$5:$W$9,MATCH(ROUNDUP((T$1)/10,0)*10,[1]Hugst!$R$4:$W$4,0))))</f>
        <v>880.89455466914728</v>
      </c>
      <c r="U49" s="168">
        <f ca="1">IF($C49-U$1&lt;År1,0,T48*(1-VLOOKUP($A49,[1]Hugst!$R$5:$W$9,MATCH(ROUNDUP((U$1)/10,0)*10,[1]Hugst!$R$4:$W$4,0))))</f>
        <v>884.0622734437718</v>
      </c>
      <c r="V49" s="168">
        <f ca="1">IF($C49-V$1&lt;År1,0,U48*(1-VLOOKUP($A49,[1]Hugst!$R$5:$W$9,MATCH(ROUNDUP((V$1)/10,0)*10,[1]Hugst!$R$4:$W$4,0))))</f>
        <v>887.24591040319569</v>
      </c>
      <c r="W49" s="168">
        <f>IF($C49-W$1&lt;År1,0,V48*(1-VLOOKUP($A49,[1]Hugst!$R$5:$W$9,MATCH(ROUNDUP((W$1)/10,0)*10,[1]Hugst!$R$4:$W$4,0))))</f>
        <v>0</v>
      </c>
      <c r="X49" s="168">
        <f>IF($C49-X$1&lt;År1,0,W48*(1-VLOOKUP($A49,[1]Hugst!$R$5:$W$9,MATCH(ROUNDUP((X$1)/10,0)*10,[1]Hugst!$R$4:$W$4,0))))</f>
        <v>0</v>
      </c>
      <c r="Y49" s="168">
        <f>IF($C49-Y$1&lt;År1,0,X48*(1-VLOOKUP($A49,[1]Hugst!$R$5:$W$9,MATCH(ROUNDUP((Y$1)/10,0)*10,[1]Hugst!$R$4:$W$4,0))))</f>
        <v>0</v>
      </c>
      <c r="Z49" s="168">
        <f>IF($C49-Z$1&lt;År1,0,Y48*(1-VLOOKUP($A49,[1]Hugst!$R$5:$W$9,MATCH(ROUNDUP((Z$1)/10,0)*10,[1]Hugst!$R$4:$W$4,0))))</f>
        <v>0</v>
      </c>
      <c r="AA49" s="168">
        <f>IF($C49-AA$1&lt;År1,0,Z48*(1-VLOOKUP($A49,[1]Hugst!$R$5:$W$9,MATCH(ROUNDUP((AA$1)/10,0)*10,[1]Hugst!$R$4:$W$4,0))))</f>
        <v>0</v>
      </c>
      <c r="AB49" s="168">
        <f>IF($C49-AB$1&lt;År1,0,AA48*(1-VLOOKUP($A49,[1]Hugst!$R$5:$W$9,MATCH(ROUNDUP((AB$1)/10,0)*10,[1]Hugst!$R$4:$W$4,0))))</f>
        <v>0</v>
      </c>
      <c r="AC49" s="168">
        <f>IF($C49-AC$1&lt;År1,0,AB48*(1-VLOOKUP($A49,[1]Hugst!$R$5:$W$9,MATCH(ROUNDUP((AC$1)/10,0)*10,[1]Hugst!$R$4:$W$4,0))))</f>
        <v>0</v>
      </c>
      <c r="AD49" s="168">
        <f>IF($C49-AD$1&lt;År1,0,AC48*(1-VLOOKUP($A49,[1]Hugst!$R$5:$W$9,MATCH(ROUNDUP((AD$1)/10,0)*10,[1]Hugst!$R$4:$W$4,0))))</f>
        <v>0</v>
      </c>
      <c r="AE49" s="168">
        <f>IF($C49-AE$1&lt;År1,0,AD48*(1-VLOOKUP($A49,[1]Hugst!$R$5:$W$9,MATCH(ROUNDUP((AE$1)/10,0)*10,[1]Hugst!$R$4:$W$4,0))))</f>
        <v>0</v>
      </c>
      <c r="AF49" s="168">
        <f>IF($C49-AF$1&lt;År1,0,AE48*(1-VLOOKUP($A49,[1]Hugst!$R$5:$W$9,MATCH(ROUNDUP((AF$1)/10,0)*10,[1]Hugst!$R$4:$W$4,0))))</f>
        <v>0</v>
      </c>
      <c r="AG49" s="168">
        <f>IF($C49-AG$1&lt;År1,0,AF48*(1-VLOOKUP($A49,[1]Hugst!$R$5:$W$9,MATCH(ROUNDUP((AG$1)/10,0)*10,[1]Hugst!$R$4:$W$4,0))))</f>
        <v>0</v>
      </c>
      <c r="AH49" s="168">
        <f>IF($C49-AH$1&lt;År1,0,AG48*(1-VLOOKUP($A49,[1]Hugst!$R$5:$W$9,MATCH(ROUNDUP((AH$1)/10,0)*10,[1]Hugst!$R$4:$W$4,0))))</f>
        <v>0</v>
      </c>
      <c r="AI49" s="168">
        <f>IF($C49-AI$1&lt;År1,0,AH48*(1-VLOOKUP($A49,[1]Hugst!$R$5:$W$9,MATCH(ROUNDUP((AI$1)/10,0)*10,[1]Hugst!$R$4:$W$4,0))))</f>
        <v>0</v>
      </c>
      <c r="AJ49" s="168">
        <f>IF($C49-AJ$1&lt;År1,0,AI48*(1-VLOOKUP($A49,[1]Hugst!$R$5:$W$9,MATCH(ROUNDUP((AJ$1)/10,0)*10,[1]Hugst!$R$4:$W$4,0))))</f>
        <v>0</v>
      </c>
    </row>
    <row r="50" spans="1:39" s="168" customFormat="1" x14ac:dyDescent="0.25">
      <c r="A50" s="168" t="s">
        <v>176</v>
      </c>
      <c r="B50" s="168" t="s">
        <v>24</v>
      </c>
      <c r="C50" s="168">
        <v>2037</v>
      </c>
      <c r="D50" s="168" cm="1">
        <f t="array" ref="D50">(IF(B50="Vestdanmark",Skovbrug!$C$22-(Skovbrug!$C$22)*(1-Skovbrug!$C$9)^(C50-Skovbrug!$B$12),Skovbrug!$F$22-(Skovbrug!$F$22)*(1-Skovbrug!$C$9)^(C50-Skovbrug!$B$12))*VLOOKUP(A50,Skovbrug!$A$13:$D$17,IF('Skovbrug-alder'!C50&lt;=År2,3,4),FALSE)-IF(C50&gt;2020,SUM(INDEX($C$1:$D$311,MATCH(1,(2020=$C$1:$C$311)*(B50=$B$1:$B$311)*(A50=$A$1:$A$311),0),2):D49),0))</f>
        <v>584.71724982002343</v>
      </c>
      <c r="E50" s="168">
        <f t="shared" ca="1" si="0"/>
        <v>0</v>
      </c>
      <c r="F50" s="168">
        <f ca="1">IF(C50&lt;=År2,IF(B50="Vestdanmark",(Arealanvendelse!$M$27-Arealanvendelse!$J$27),(Arealanvendelse!$M$37-Arealanvendelse!$J$37))/(Arealanvendelse!$M$3-Arealanvendelse!$J$3),IF(B50="Vestdanmark",(Arealanvendelse!$P$27-Arealanvendelse!$M$27),(Arealanvendelse!$P$37-Arealanvendelse!$M$37))/(Arealanvendelse!$P$3-Arealanvendelse!$M$3))*VLOOKUP(A50,Skovbrug!$A$13:$D$17,IF('Skovbrug-alder'!C50&lt;=År2,3,4),FALSE)+D50+E50</f>
        <v>835.23576833854236</v>
      </c>
      <c r="G50" s="168">
        <f ca="1">IF($C50-G$1&lt;År1,0,F49*(1-VLOOKUP($A50,[1]Hugst!$R$5:$W$9,MATCH(ROUNDUP((G$1)/10,0)*10,[1]Hugst!$R$4:$W$4,0))))</f>
        <v>838.17404597582276</v>
      </c>
      <c r="H50" s="168">
        <f ca="1">IF($C50-H$1&lt;År1,0,G49*(1-VLOOKUP($A50,[1]Hugst!$R$5:$W$9,MATCH(ROUNDUP((H$1)/10,0)*10,[1]Hugst!$R$4:$W$4,0))))</f>
        <v>841.12708882738002</v>
      </c>
      <c r="I50" s="168">
        <f ca="1">IF($C50-I$1&lt;År1,0,H49*(1-VLOOKUP($A50,[1]Hugst!$R$5:$W$9,MATCH(ROUNDUP((I$1)/10,0)*10,[1]Hugst!$R$4:$W$4,0))))</f>
        <v>844.09497109022846</v>
      </c>
      <c r="J50" s="168">
        <f ca="1">IF($C50-J$1&lt;År1,0,I49*(1-VLOOKUP($A50,[1]Hugst!$R$5:$W$9,MATCH(ROUNDUP((J$1)/10,0)*10,[1]Hugst!$R$4:$W$4,0))))</f>
        <v>847.07776733430433</v>
      </c>
      <c r="K50" s="168">
        <f ca="1">IF($C50-K$1&lt;År1,0,J49*(1-VLOOKUP($A50,[1]Hugst!$R$5:$W$9,MATCH(ROUNDUP((K$1)/10,0)*10,[1]Hugst!$R$4:$W$4,0))))</f>
        <v>850.07555250424116</v>
      </c>
      <c r="L50" s="168">
        <f ca="1">IF($C50-L$1&lt;År1,0,K49*(1-VLOOKUP($A50,[1]Hugst!$R$5:$W$9,MATCH(ROUNDUP((L$1)/10,0)*10,[1]Hugst!$R$4:$W$4,0))))</f>
        <v>853.08840192123239</v>
      </c>
      <c r="M50" s="168">
        <f ca="1">IF($C50-M$1&lt;År1,0,L49*(1-VLOOKUP($A50,[1]Hugst!$R$5:$W$9,MATCH(ROUNDUP((M$1)/10,0)*10,[1]Hugst!$R$4:$W$4,0))))</f>
        <v>856.11639128509773</v>
      </c>
      <c r="N50" s="168">
        <f ca="1">IF($C50-N$1&lt;År1,0,M49*(1-VLOOKUP($A50,[1]Hugst!$R$5:$W$9,MATCH(ROUNDUP((N$1)/10,0)*10,[1]Hugst!$R$4:$W$4,0))))</f>
        <v>859.15959667586935</v>
      </c>
      <c r="O50" s="168">
        <f ca="1">IF($C50-O$1&lt;År1,0,N49*(1-VLOOKUP($A50,[1]Hugst!$R$5:$W$9,MATCH(ROUNDUP((O$1)/10,0)*10,[1]Hugst!$R$4:$W$4,0))))</f>
        <v>862.21809455606194</v>
      </c>
      <c r="P50" s="168">
        <f ca="1">IF($C50-P$1&lt;År1,0,O49*(1-VLOOKUP($A50,[1]Hugst!$R$5:$W$9,MATCH(ROUNDUP((P$1)/10,0)*10,[1]Hugst!$R$4:$W$4,0))))</f>
        <v>865.29196177231711</v>
      </c>
      <c r="Q50" s="168">
        <f ca="1">IF($C50-Q$1&lt;År1,0,P49*(1-VLOOKUP($A50,[1]Hugst!$R$5:$W$9,MATCH(ROUNDUP((Q$1)/10,0)*10,[1]Hugst!$R$4:$W$4,0))))</f>
        <v>868.38127555754249</v>
      </c>
      <c r="R50" s="168">
        <f ca="1">IF($C50-R$1&lt;År1,0,Q49*(1-VLOOKUP($A50,[1]Hugst!$R$5:$W$9,MATCH(ROUNDUP((R$1)/10,0)*10,[1]Hugst!$R$4:$W$4,0))))</f>
        <v>871.48611353258525</v>
      </c>
      <c r="S50" s="168">
        <f ca="1">IF($C50-S$1&lt;År1,0,R49*(1-VLOOKUP($A50,[1]Hugst!$R$5:$W$9,MATCH(ROUNDUP((S$1)/10,0)*10,[1]Hugst!$R$4:$W$4,0))))</f>
        <v>874.60655370854579</v>
      </c>
      <c r="T50" s="168">
        <f ca="1">IF($C50-T$1&lt;År1,0,S49*(1-VLOOKUP($A50,[1]Hugst!$R$5:$W$9,MATCH(ROUNDUP((T$1)/10,0)*10,[1]Hugst!$R$4:$W$4,0))))</f>
        <v>877.7426744883785</v>
      </c>
      <c r="U50" s="168">
        <f ca="1">IF($C50-U$1&lt;År1,0,T49*(1-VLOOKUP($A50,[1]Hugst!$R$5:$W$9,MATCH(ROUNDUP((U$1)/10,0)*10,[1]Hugst!$R$4:$W$4,0))))</f>
        <v>880.89455466914728</v>
      </c>
      <c r="V50" s="168">
        <f ca="1">IF($C50-V$1&lt;År1,0,U49*(1-VLOOKUP($A50,[1]Hugst!$R$5:$W$9,MATCH(ROUNDUP((V$1)/10,0)*10,[1]Hugst!$R$4:$W$4,0))))</f>
        <v>884.0622734437718</v>
      </c>
      <c r="W50" s="168">
        <f ca="1">IF($C50-W$1&lt;År1,0,V49*(1-VLOOKUP($A50,[1]Hugst!$R$5:$W$9,MATCH(ROUNDUP((W$1)/10,0)*10,[1]Hugst!$R$4:$W$4,0))))</f>
        <v>887.24591040319569</v>
      </c>
      <c r="X50" s="168">
        <f>IF($C50-X$1&lt;År1,0,W49*(1-VLOOKUP($A50,[1]Hugst!$R$5:$W$9,MATCH(ROUNDUP((X$1)/10,0)*10,[1]Hugst!$R$4:$W$4,0))))</f>
        <v>0</v>
      </c>
      <c r="Y50" s="168">
        <f>IF($C50-Y$1&lt;År1,0,X49*(1-VLOOKUP($A50,[1]Hugst!$R$5:$W$9,MATCH(ROUNDUP((Y$1)/10,0)*10,[1]Hugst!$R$4:$W$4,0))))</f>
        <v>0</v>
      </c>
      <c r="Z50" s="168">
        <f>IF($C50-Z$1&lt;År1,0,Y49*(1-VLOOKUP($A50,[1]Hugst!$R$5:$W$9,MATCH(ROUNDUP((Z$1)/10,0)*10,[1]Hugst!$R$4:$W$4,0))))</f>
        <v>0</v>
      </c>
      <c r="AA50" s="168">
        <f>IF($C50-AA$1&lt;År1,0,Z49*(1-VLOOKUP($A50,[1]Hugst!$R$5:$W$9,MATCH(ROUNDUP((AA$1)/10,0)*10,[1]Hugst!$R$4:$W$4,0))))</f>
        <v>0</v>
      </c>
      <c r="AB50" s="168">
        <f>IF($C50-AB$1&lt;År1,0,AA49*(1-VLOOKUP($A50,[1]Hugst!$R$5:$W$9,MATCH(ROUNDUP((AB$1)/10,0)*10,[1]Hugst!$R$4:$W$4,0))))</f>
        <v>0</v>
      </c>
      <c r="AC50" s="168">
        <f>IF($C50-AC$1&lt;År1,0,AB49*(1-VLOOKUP($A50,[1]Hugst!$R$5:$W$9,MATCH(ROUNDUP((AC$1)/10,0)*10,[1]Hugst!$R$4:$W$4,0))))</f>
        <v>0</v>
      </c>
      <c r="AD50" s="168">
        <f>IF($C50-AD$1&lt;År1,0,AC49*(1-VLOOKUP($A50,[1]Hugst!$R$5:$W$9,MATCH(ROUNDUP((AD$1)/10,0)*10,[1]Hugst!$R$4:$W$4,0))))</f>
        <v>0</v>
      </c>
      <c r="AE50" s="168">
        <f>IF($C50-AE$1&lt;År1,0,AD49*(1-VLOOKUP($A50,[1]Hugst!$R$5:$W$9,MATCH(ROUNDUP((AE$1)/10,0)*10,[1]Hugst!$R$4:$W$4,0))))</f>
        <v>0</v>
      </c>
      <c r="AF50" s="168">
        <f>IF($C50-AF$1&lt;År1,0,AE49*(1-VLOOKUP($A50,[1]Hugst!$R$5:$W$9,MATCH(ROUNDUP((AF$1)/10,0)*10,[1]Hugst!$R$4:$W$4,0))))</f>
        <v>0</v>
      </c>
      <c r="AG50" s="168">
        <f>IF($C50-AG$1&lt;År1,0,AF49*(1-VLOOKUP($A50,[1]Hugst!$R$5:$W$9,MATCH(ROUNDUP((AG$1)/10,0)*10,[1]Hugst!$R$4:$W$4,0))))</f>
        <v>0</v>
      </c>
      <c r="AH50" s="168">
        <f>IF($C50-AH$1&lt;År1,0,AG49*(1-VLOOKUP($A50,[1]Hugst!$R$5:$W$9,MATCH(ROUNDUP((AH$1)/10,0)*10,[1]Hugst!$R$4:$W$4,0))))</f>
        <v>0</v>
      </c>
      <c r="AI50" s="168">
        <f>IF($C50-AI$1&lt;År1,0,AH49*(1-VLOOKUP($A50,[1]Hugst!$R$5:$W$9,MATCH(ROUNDUP((AI$1)/10,0)*10,[1]Hugst!$R$4:$W$4,0))))</f>
        <v>0</v>
      </c>
      <c r="AJ50" s="168">
        <f>IF($C50-AJ$1&lt;År1,0,AI49*(1-VLOOKUP($A50,[1]Hugst!$R$5:$W$9,MATCH(ROUNDUP((AJ$1)/10,0)*10,[1]Hugst!$R$4:$W$4,0))))</f>
        <v>0</v>
      </c>
    </row>
    <row r="51" spans="1:39" s="168" customFormat="1" x14ac:dyDescent="0.25">
      <c r="A51" s="168" t="s">
        <v>176</v>
      </c>
      <c r="B51" s="168" t="s">
        <v>24</v>
      </c>
      <c r="C51" s="168">
        <v>2038</v>
      </c>
      <c r="D51" s="168" cm="1">
        <f t="array" ref="D51">(IF(B51="Vestdanmark",Skovbrug!$C$22-(Skovbrug!$C$22)*(1-Skovbrug!$C$9)^(C51-Skovbrug!$B$12),Skovbrug!$F$22-(Skovbrug!$F$22)*(1-Skovbrug!$C$9)^(C51-Skovbrug!$B$12))*VLOOKUP(A51,Skovbrug!$A$13:$D$17,IF('Skovbrug-alder'!C51&lt;=År2,3,4),FALSE)-IF(C51&gt;2020,SUM(INDEX($C$1:$D$311,MATCH(1,(2020=$C$1:$C$311)*(B51=$B$1:$B$311)*(A51=$A$1:$A$311),0),2):D50),0))</f>
        <v>581.79366357093386</v>
      </c>
      <c r="E51" s="168">
        <f t="shared" ca="1" si="0"/>
        <v>0</v>
      </c>
      <c r="F51" s="168">
        <f ca="1">IF(C51&lt;=År2,IF(B51="Vestdanmark",(Arealanvendelse!$M$27-Arealanvendelse!$J$27),(Arealanvendelse!$M$37-Arealanvendelse!$J$37))/(Arealanvendelse!$M$3-Arealanvendelse!$J$3),IF(B51="Vestdanmark",(Arealanvendelse!$P$27-Arealanvendelse!$M$27),(Arealanvendelse!$P$37-Arealanvendelse!$M$37))/(Arealanvendelse!$P$3-Arealanvendelse!$M$3))*VLOOKUP(A51,Skovbrug!$A$13:$D$17,IF('Skovbrug-alder'!C51&lt;=År2,3,4),FALSE)+D51+E51</f>
        <v>832.31218208945279</v>
      </c>
      <c r="G51" s="168">
        <f ca="1">IF($C51-G$1&lt;År1,0,F50*(1-VLOOKUP($A51,[1]Hugst!$R$5:$W$9,MATCH(ROUNDUP((G$1)/10,0)*10,[1]Hugst!$R$4:$W$4,0))))</f>
        <v>835.23576833854236</v>
      </c>
      <c r="H51" s="168">
        <f ca="1">IF($C51-H$1&lt;År1,0,G50*(1-VLOOKUP($A51,[1]Hugst!$R$5:$W$9,MATCH(ROUNDUP((H$1)/10,0)*10,[1]Hugst!$R$4:$W$4,0))))</f>
        <v>838.17404597582276</v>
      </c>
      <c r="I51" s="168">
        <f ca="1">IF($C51-I$1&lt;År1,0,H50*(1-VLOOKUP($A51,[1]Hugst!$R$5:$W$9,MATCH(ROUNDUP((I$1)/10,0)*10,[1]Hugst!$R$4:$W$4,0))))</f>
        <v>841.12708882738002</v>
      </c>
      <c r="J51" s="168">
        <f ca="1">IF($C51-J$1&lt;År1,0,I50*(1-VLOOKUP($A51,[1]Hugst!$R$5:$W$9,MATCH(ROUNDUP((J$1)/10,0)*10,[1]Hugst!$R$4:$W$4,0))))</f>
        <v>844.09497109022846</v>
      </c>
      <c r="K51" s="168">
        <f ca="1">IF($C51-K$1&lt;År1,0,J50*(1-VLOOKUP($A51,[1]Hugst!$R$5:$W$9,MATCH(ROUNDUP((K$1)/10,0)*10,[1]Hugst!$R$4:$W$4,0))))</f>
        <v>847.07776733430433</v>
      </c>
      <c r="L51" s="168">
        <f ca="1">IF($C51-L$1&lt;År1,0,K50*(1-VLOOKUP($A51,[1]Hugst!$R$5:$W$9,MATCH(ROUNDUP((L$1)/10,0)*10,[1]Hugst!$R$4:$W$4,0))))</f>
        <v>850.07555250424116</v>
      </c>
      <c r="M51" s="168">
        <f ca="1">IF($C51-M$1&lt;År1,0,L50*(1-VLOOKUP($A51,[1]Hugst!$R$5:$W$9,MATCH(ROUNDUP((M$1)/10,0)*10,[1]Hugst!$R$4:$W$4,0))))</f>
        <v>853.08840192123239</v>
      </c>
      <c r="N51" s="168">
        <f ca="1">IF($C51-N$1&lt;År1,0,M50*(1-VLOOKUP($A51,[1]Hugst!$R$5:$W$9,MATCH(ROUNDUP((N$1)/10,0)*10,[1]Hugst!$R$4:$W$4,0))))</f>
        <v>856.11639128509773</v>
      </c>
      <c r="O51" s="168">
        <f ca="1">IF($C51-O$1&lt;År1,0,N50*(1-VLOOKUP($A51,[1]Hugst!$R$5:$W$9,MATCH(ROUNDUP((O$1)/10,0)*10,[1]Hugst!$R$4:$W$4,0))))</f>
        <v>859.15959667586935</v>
      </c>
      <c r="P51" s="168">
        <f ca="1">IF($C51-P$1&lt;År1,0,O50*(1-VLOOKUP($A51,[1]Hugst!$R$5:$W$9,MATCH(ROUNDUP((P$1)/10,0)*10,[1]Hugst!$R$4:$W$4,0))))</f>
        <v>862.21809455606194</v>
      </c>
      <c r="Q51" s="168">
        <f ca="1">IF($C51-Q$1&lt;År1,0,P50*(1-VLOOKUP($A51,[1]Hugst!$R$5:$W$9,MATCH(ROUNDUP((Q$1)/10,0)*10,[1]Hugst!$R$4:$W$4,0))))</f>
        <v>865.29196177231711</v>
      </c>
      <c r="R51" s="168">
        <f ca="1">IF($C51-R$1&lt;År1,0,Q50*(1-VLOOKUP($A51,[1]Hugst!$R$5:$W$9,MATCH(ROUNDUP((R$1)/10,0)*10,[1]Hugst!$R$4:$W$4,0))))</f>
        <v>868.38127555754249</v>
      </c>
      <c r="S51" s="168">
        <f ca="1">IF($C51-S$1&lt;År1,0,R50*(1-VLOOKUP($A51,[1]Hugst!$R$5:$W$9,MATCH(ROUNDUP((S$1)/10,0)*10,[1]Hugst!$R$4:$W$4,0))))</f>
        <v>871.48611353258525</v>
      </c>
      <c r="T51" s="168">
        <f ca="1">IF($C51-T$1&lt;År1,0,S50*(1-VLOOKUP($A51,[1]Hugst!$R$5:$W$9,MATCH(ROUNDUP((T$1)/10,0)*10,[1]Hugst!$R$4:$W$4,0))))</f>
        <v>874.60655370854579</v>
      </c>
      <c r="U51" s="168">
        <f ca="1">IF($C51-U$1&lt;År1,0,T50*(1-VLOOKUP($A51,[1]Hugst!$R$5:$W$9,MATCH(ROUNDUP((U$1)/10,0)*10,[1]Hugst!$R$4:$W$4,0))))</f>
        <v>877.7426744883785</v>
      </c>
      <c r="V51" s="168">
        <f ca="1">IF($C51-V$1&lt;År1,0,U50*(1-VLOOKUP($A51,[1]Hugst!$R$5:$W$9,MATCH(ROUNDUP((V$1)/10,0)*10,[1]Hugst!$R$4:$W$4,0))))</f>
        <v>880.89455466914728</v>
      </c>
      <c r="W51" s="168">
        <f ca="1">IF($C51-W$1&lt;År1,0,V50*(1-VLOOKUP($A51,[1]Hugst!$R$5:$W$9,MATCH(ROUNDUP((W$1)/10,0)*10,[1]Hugst!$R$4:$W$4,0))))</f>
        <v>884.0622734437718</v>
      </c>
      <c r="X51" s="168">
        <f ca="1">IF($C51-X$1&lt;År1,0,W50*(1-VLOOKUP($A51,[1]Hugst!$R$5:$W$9,MATCH(ROUNDUP((X$1)/10,0)*10,[1]Hugst!$R$4:$W$4,0))))</f>
        <v>887.24591040319569</v>
      </c>
      <c r="Y51" s="168">
        <f>IF($C51-Y$1&lt;År1,0,X50*(1-VLOOKUP($A51,[1]Hugst!$R$5:$W$9,MATCH(ROUNDUP((Y$1)/10,0)*10,[1]Hugst!$R$4:$W$4,0))))</f>
        <v>0</v>
      </c>
      <c r="Z51" s="168">
        <f>IF($C51-Z$1&lt;År1,0,Y50*(1-VLOOKUP($A51,[1]Hugst!$R$5:$W$9,MATCH(ROUNDUP((Z$1)/10,0)*10,[1]Hugst!$R$4:$W$4,0))))</f>
        <v>0</v>
      </c>
      <c r="AA51" s="168">
        <f>IF($C51-AA$1&lt;År1,0,Z50*(1-VLOOKUP($A51,[1]Hugst!$R$5:$W$9,MATCH(ROUNDUP((AA$1)/10,0)*10,[1]Hugst!$R$4:$W$4,0))))</f>
        <v>0</v>
      </c>
      <c r="AB51" s="168">
        <f>IF($C51-AB$1&lt;År1,0,AA50*(1-VLOOKUP($A51,[1]Hugst!$R$5:$W$9,MATCH(ROUNDUP((AB$1)/10,0)*10,[1]Hugst!$R$4:$W$4,0))))</f>
        <v>0</v>
      </c>
      <c r="AC51" s="168">
        <f>IF($C51-AC$1&lt;År1,0,AB50*(1-VLOOKUP($A51,[1]Hugst!$R$5:$W$9,MATCH(ROUNDUP((AC$1)/10,0)*10,[1]Hugst!$R$4:$W$4,0))))</f>
        <v>0</v>
      </c>
      <c r="AD51" s="168">
        <f>IF($C51-AD$1&lt;År1,0,AC50*(1-VLOOKUP($A51,[1]Hugst!$R$5:$W$9,MATCH(ROUNDUP((AD$1)/10,0)*10,[1]Hugst!$R$4:$W$4,0))))</f>
        <v>0</v>
      </c>
      <c r="AE51" s="168">
        <f>IF($C51-AE$1&lt;År1,0,AD50*(1-VLOOKUP($A51,[1]Hugst!$R$5:$W$9,MATCH(ROUNDUP((AE$1)/10,0)*10,[1]Hugst!$R$4:$W$4,0))))</f>
        <v>0</v>
      </c>
      <c r="AF51" s="168">
        <f>IF($C51-AF$1&lt;År1,0,AE50*(1-VLOOKUP($A51,[1]Hugst!$R$5:$W$9,MATCH(ROUNDUP((AF$1)/10,0)*10,[1]Hugst!$R$4:$W$4,0))))</f>
        <v>0</v>
      </c>
      <c r="AG51" s="168">
        <f>IF($C51-AG$1&lt;År1,0,AF50*(1-VLOOKUP($A51,[1]Hugst!$R$5:$W$9,MATCH(ROUNDUP((AG$1)/10,0)*10,[1]Hugst!$R$4:$W$4,0))))</f>
        <v>0</v>
      </c>
      <c r="AH51" s="168">
        <f>IF($C51-AH$1&lt;År1,0,AG50*(1-VLOOKUP($A51,[1]Hugst!$R$5:$W$9,MATCH(ROUNDUP((AH$1)/10,0)*10,[1]Hugst!$R$4:$W$4,0))))</f>
        <v>0</v>
      </c>
      <c r="AI51" s="168">
        <f>IF($C51-AI$1&lt;År1,0,AH50*(1-VLOOKUP($A51,[1]Hugst!$R$5:$W$9,MATCH(ROUNDUP((AI$1)/10,0)*10,[1]Hugst!$R$4:$W$4,0))))</f>
        <v>0</v>
      </c>
      <c r="AJ51" s="168">
        <f>IF($C51-AJ$1&lt;År1,0,AI50*(1-VLOOKUP($A51,[1]Hugst!$R$5:$W$9,MATCH(ROUNDUP((AJ$1)/10,0)*10,[1]Hugst!$R$4:$W$4,0))))</f>
        <v>0</v>
      </c>
    </row>
    <row r="52" spans="1:39" s="168" customFormat="1" x14ac:dyDescent="0.25">
      <c r="A52" s="168" t="s">
        <v>176</v>
      </c>
      <c r="B52" s="168" t="s">
        <v>24</v>
      </c>
      <c r="C52" s="168">
        <v>2039</v>
      </c>
      <c r="D52" s="168" cm="1">
        <f t="array" ref="D52">(IF(B52="Vestdanmark",Skovbrug!$C$22-(Skovbrug!$C$22)*(1-Skovbrug!$C$9)^(C52-Skovbrug!$B$12),Skovbrug!$F$22-(Skovbrug!$F$22)*(1-Skovbrug!$C$9)^(C52-Skovbrug!$B$12))*VLOOKUP(A52,Skovbrug!$A$13:$D$17,IF('Skovbrug-alder'!C52&lt;=År2,3,4),FALSE)-IF(C52&gt;2020,SUM(INDEX($C$1:$D$311,MATCH(1,(2020=$C$1:$C$311)*(B52=$B$1:$B$311)*(A52=$A$1:$A$311),0),2):D51),0))</f>
        <v>578.88469525305845</v>
      </c>
      <c r="E52" s="168">
        <f t="shared" ca="1" si="0"/>
        <v>0</v>
      </c>
      <c r="F52" s="168">
        <f ca="1">IF(C52&lt;=År2,IF(B52="Vestdanmark",(Arealanvendelse!$M$27-Arealanvendelse!$J$27),(Arealanvendelse!$M$37-Arealanvendelse!$J$37))/(Arealanvendelse!$M$3-Arealanvendelse!$J$3),IF(B52="Vestdanmark",(Arealanvendelse!$P$27-Arealanvendelse!$M$27),(Arealanvendelse!$P$37-Arealanvendelse!$M$37))/(Arealanvendelse!$P$3-Arealanvendelse!$M$3))*VLOOKUP(A52,Skovbrug!$A$13:$D$17,IF('Skovbrug-alder'!C52&lt;=År2,3,4),FALSE)+D52+E52</f>
        <v>829.40321377157738</v>
      </c>
      <c r="G52" s="168">
        <f ca="1">IF($C52-G$1&lt;År1,0,F51*(1-VLOOKUP($A52,[1]Hugst!$R$5:$W$9,MATCH(ROUNDUP((G$1)/10,0)*10,[1]Hugst!$R$4:$W$4,0))))</f>
        <v>832.31218208945279</v>
      </c>
      <c r="H52" s="168">
        <f ca="1">IF($C52-H$1&lt;År1,0,G51*(1-VLOOKUP($A52,[1]Hugst!$R$5:$W$9,MATCH(ROUNDUP((H$1)/10,0)*10,[1]Hugst!$R$4:$W$4,0))))</f>
        <v>835.23576833854236</v>
      </c>
      <c r="I52" s="168">
        <f ca="1">IF($C52-I$1&lt;År1,0,H51*(1-VLOOKUP($A52,[1]Hugst!$R$5:$W$9,MATCH(ROUNDUP((I$1)/10,0)*10,[1]Hugst!$R$4:$W$4,0))))</f>
        <v>838.17404597582276</v>
      </c>
      <c r="J52" s="168">
        <f ca="1">IF($C52-J$1&lt;År1,0,I51*(1-VLOOKUP($A52,[1]Hugst!$R$5:$W$9,MATCH(ROUNDUP((J$1)/10,0)*10,[1]Hugst!$R$4:$W$4,0))))</f>
        <v>841.12708882738002</v>
      </c>
      <c r="K52" s="168">
        <f ca="1">IF($C52-K$1&lt;År1,0,J51*(1-VLOOKUP($A52,[1]Hugst!$R$5:$W$9,MATCH(ROUNDUP((K$1)/10,0)*10,[1]Hugst!$R$4:$W$4,0))))</f>
        <v>844.09497109022846</v>
      </c>
      <c r="L52" s="168">
        <f ca="1">IF($C52-L$1&lt;År1,0,K51*(1-VLOOKUP($A52,[1]Hugst!$R$5:$W$9,MATCH(ROUNDUP((L$1)/10,0)*10,[1]Hugst!$R$4:$W$4,0))))</f>
        <v>847.07776733430433</v>
      </c>
      <c r="M52" s="168">
        <f ca="1">IF($C52-M$1&lt;År1,0,L51*(1-VLOOKUP($A52,[1]Hugst!$R$5:$W$9,MATCH(ROUNDUP((M$1)/10,0)*10,[1]Hugst!$R$4:$W$4,0))))</f>
        <v>850.07555250424116</v>
      </c>
      <c r="N52" s="168">
        <f ca="1">IF($C52-N$1&lt;År1,0,M51*(1-VLOOKUP($A52,[1]Hugst!$R$5:$W$9,MATCH(ROUNDUP((N$1)/10,0)*10,[1]Hugst!$R$4:$W$4,0))))</f>
        <v>853.08840192123239</v>
      </c>
      <c r="O52" s="168">
        <f ca="1">IF($C52-O$1&lt;År1,0,N51*(1-VLOOKUP($A52,[1]Hugst!$R$5:$W$9,MATCH(ROUNDUP((O$1)/10,0)*10,[1]Hugst!$R$4:$W$4,0))))</f>
        <v>856.11639128509773</v>
      </c>
      <c r="P52" s="168">
        <f ca="1">IF($C52-P$1&lt;År1,0,O51*(1-VLOOKUP($A52,[1]Hugst!$R$5:$W$9,MATCH(ROUNDUP((P$1)/10,0)*10,[1]Hugst!$R$4:$W$4,0))))</f>
        <v>859.15959667586935</v>
      </c>
      <c r="Q52" s="168">
        <f ca="1">IF($C52-Q$1&lt;År1,0,P51*(1-VLOOKUP($A52,[1]Hugst!$R$5:$W$9,MATCH(ROUNDUP((Q$1)/10,0)*10,[1]Hugst!$R$4:$W$4,0))))</f>
        <v>862.21809455606194</v>
      </c>
      <c r="R52" s="168">
        <f ca="1">IF($C52-R$1&lt;År1,0,Q51*(1-VLOOKUP($A52,[1]Hugst!$R$5:$W$9,MATCH(ROUNDUP((R$1)/10,0)*10,[1]Hugst!$R$4:$W$4,0))))</f>
        <v>865.29196177231711</v>
      </c>
      <c r="S52" s="168">
        <f ca="1">IF($C52-S$1&lt;År1,0,R51*(1-VLOOKUP($A52,[1]Hugst!$R$5:$W$9,MATCH(ROUNDUP((S$1)/10,0)*10,[1]Hugst!$R$4:$W$4,0))))</f>
        <v>868.38127555754249</v>
      </c>
      <c r="T52" s="168">
        <f ca="1">IF($C52-T$1&lt;År1,0,S51*(1-VLOOKUP($A52,[1]Hugst!$R$5:$W$9,MATCH(ROUNDUP((T$1)/10,0)*10,[1]Hugst!$R$4:$W$4,0))))</f>
        <v>871.48611353258525</v>
      </c>
      <c r="U52" s="168">
        <f ca="1">IF($C52-U$1&lt;År1,0,T51*(1-VLOOKUP($A52,[1]Hugst!$R$5:$W$9,MATCH(ROUNDUP((U$1)/10,0)*10,[1]Hugst!$R$4:$W$4,0))))</f>
        <v>874.60655370854579</v>
      </c>
      <c r="V52" s="168">
        <f ca="1">IF($C52-V$1&lt;År1,0,U51*(1-VLOOKUP($A52,[1]Hugst!$R$5:$W$9,MATCH(ROUNDUP((V$1)/10,0)*10,[1]Hugst!$R$4:$W$4,0))))</f>
        <v>877.7426744883785</v>
      </c>
      <c r="W52" s="168">
        <f ca="1">IF($C52-W$1&lt;År1,0,V51*(1-VLOOKUP($A52,[1]Hugst!$R$5:$W$9,MATCH(ROUNDUP((W$1)/10,0)*10,[1]Hugst!$R$4:$W$4,0))))</f>
        <v>880.89455466914728</v>
      </c>
      <c r="X52" s="168">
        <f ca="1">IF($C52-X$1&lt;År1,0,W51*(1-VLOOKUP($A52,[1]Hugst!$R$5:$W$9,MATCH(ROUNDUP((X$1)/10,0)*10,[1]Hugst!$R$4:$W$4,0))))</f>
        <v>884.0622734437718</v>
      </c>
      <c r="Y52" s="168">
        <f ca="1">IF($C52-Y$1&lt;År1,0,X51*(1-VLOOKUP($A52,[1]Hugst!$R$5:$W$9,MATCH(ROUNDUP((Y$1)/10,0)*10,[1]Hugst!$R$4:$W$4,0))))</f>
        <v>887.24591040319569</v>
      </c>
      <c r="Z52" s="168">
        <f>IF($C52-Z$1&lt;År1,0,Y51*(1-VLOOKUP($A52,[1]Hugst!$R$5:$W$9,MATCH(ROUNDUP((Z$1)/10,0)*10,[1]Hugst!$R$4:$W$4,0))))</f>
        <v>0</v>
      </c>
      <c r="AA52" s="168">
        <f>IF($C52-AA$1&lt;År1,0,Z51*(1-VLOOKUP($A52,[1]Hugst!$R$5:$W$9,MATCH(ROUNDUP((AA$1)/10,0)*10,[1]Hugst!$R$4:$W$4,0))))</f>
        <v>0</v>
      </c>
      <c r="AB52" s="168">
        <f>IF($C52-AB$1&lt;År1,0,AA51*(1-VLOOKUP($A52,[1]Hugst!$R$5:$W$9,MATCH(ROUNDUP((AB$1)/10,0)*10,[1]Hugst!$R$4:$W$4,0))))</f>
        <v>0</v>
      </c>
      <c r="AC52" s="168">
        <f>IF($C52-AC$1&lt;År1,0,AB51*(1-VLOOKUP($A52,[1]Hugst!$R$5:$W$9,MATCH(ROUNDUP((AC$1)/10,0)*10,[1]Hugst!$R$4:$W$4,0))))</f>
        <v>0</v>
      </c>
      <c r="AD52" s="168">
        <f>IF($C52-AD$1&lt;År1,0,AC51*(1-VLOOKUP($A52,[1]Hugst!$R$5:$W$9,MATCH(ROUNDUP((AD$1)/10,0)*10,[1]Hugst!$R$4:$W$4,0))))</f>
        <v>0</v>
      </c>
      <c r="AE52" s="168">
        <f>IF($C52-AE$1&lt;År1,0,AD51*(1-VLOOKUP($A52,[1]Hugst!$R$5:$W$9,MATCH(ROUNDUP((AE$1)/10,0)*10,[1]Hugst!$R$4:$W$4,0))))</f>
        <v>0</v>
      </c>
      <c r="AF52" s="168">
        <f>IF($C52-AF$1&lt;År1,0,AE51*(1-VLOOKUP($A52,[1]Hugst!$R$5:$W$9,MATCH(ROUNDUP((AF$1)/10,0)*10,[1]Hugst!$R$4:$W$4,0))))</f>
        <v>0</v>
      </c>
      <c r="AG52" s="168">
        <f>IF($C52-AG$1&lt;År1,0,AF51*(1-VLOOKUP($A52,[1]Hugst!$R$5:$W$9,MATCH(ROUNDUP((AG$1)/10,0)*10,[1]Hugst!$R$4:$W$4,0))))</f>
        <v>0</v>
      </c>
      <c r="AH52" s="168">
        <f>IF($C52-AH$1&lt;År1,0,AG51*(1-VLOOKUP($A52,[1]Hugst!$R$5:$W$9,MATCH(ROUNDUP((AH$1)/10,0)*10,[1]Hugst!$R$4:$W$4,0))))</f>
        <v>0</v>
      </c>
      <c r="AI52" s="168">
        <f>IF($C52-AI$1&lt;År1,0,AH51*(1-VLOOKUP($A52,[1]Hugst!$R$5:$W$9,MATCH(ROUNDUP((AI$1)/10,0)*10,[1]Hugst!$R$4:$W$4,0))))</f>
        <v>0</v>
      </c>
      <c r="AJ52" s="168">
        <f>IF($C52-AJ$1&lt;År1,0,AI51*(1-VLOOKUP($A52,[1]Hugst!$R$5:$W$9,MATCH(ROUNDUP((AJ$1)/10,0)*10,[1]Hugst!$R$4:$W$4,0))))</f>
        <v>0</v>
      </c>
    </row>
    <row r="53" spans="1:39" s="168" customFormat="1" x14ac:dyDescent="0.25">
      <c r="A53" s="168" t="s">
        <v>176</v>
      </c>
      <c r="B53" s="168" t="s">
        <v>24</v>
      </c>
      <c r="C53" s="168">
        <v>2040</v>
      </c>
      <c r="D53" s="168" cm="1">
        <f t="array" ref="D53">(IF(B53="Vestdanmark",Skovbrug!$C$22-(Skovbrug!$C$22)*(1-Skovbrug!$C$9)^(C53-Skovbrug!$B$12),Skovbrug!$F$22-(Skovbrug!$F$22)*(1-Skovbrug!$C$9)^(C53-Skovbrug!$B$12))*VLOOKUP(A53,Skovbrug!$A$13:$D$17,IF('Skovbrug-alder'!C53&lt;=År2,3,4),FALSE)-IF(C53&gt;2020,SUM(INDEX($C$1:$D$311,MATCH(1,(2020=$C$1:$C$311)*(B53=$B$1:$B$311)*(A53=$A$1:$A$311),0),2):D52),0))</f>
        <v>575.99027177679818</v>
      </c>
      <c r="E53" s="168">
        <f t="shared" ca="1" si="0"/>
        <v>0</v>
      </c>
      <c r="F53" s="168">
        <f ca="1">IF(C53&lt;=År2,IF(B53="Vestdanmark",(Arealanvendelse!$M$27-Arealanvendelse!$J$27),(Arealanvendelse!$M$37-Arealanvendelse!$J$37))/(Arealanvendelse!$M$3-Arealanvendelse!$J$3),IF(B53="Vestdanmark",(Arealanvendelse!$P$27-Arealanvendelse!$M$27),(Arealanvendelse!$P$37-Arealanvendelse!$M$37))/(Arealanvendelse!$P$3-Arealanvendelse!$M$3))*VLOOKUP(A53,Skovbrug!$A$13:$D$17,IF('Skovbrug-alder'!C53&lt;=År2,3,4),FALSE)+D53+E53</f>
        <v>826.50879029531711</v>
      </c>
      <c r="G53" s="168">
        <f ca="1">IF($C53-G$1&lt;År1,0,F52*(1-VLOOKUP($A53,[1]Hugst!$R$5:$W$9,MATCH(ROUNDUP((G$1)/10,0)*10,[1]Hugst!$R$4:$W$4,0))))</f>
        <v>829.40321377157738</v>
      </c>
      <c r="H53" s="168">
        <f ca="1">IF($C53-H$1&lt;År1,0,G52*(1-VLOOKUP($A53,[1]Hugst!$R$5:$W$9,MATCH(ROUNDUP((H$1)/10,0)*10,[1]Hugst!$R$4:$W$4,0))))</f>
        <v>832.31218208945279</v>
      </c>
      <c r="I53" s="168">
        <f ca="1">IF($C53-I$1&lt;År1,0,H52*(1-VLOOKUP($A53,[1]Hugst!$R$5:$W$9,MATCH(ROUNDUP((I$1)/10,0)*10,[1]Hugst!$R$4:$W$4,0))))</f>
        <v>835.23576833854236</v>
      </c>
      <c r="J53" s="168">
        <f ca="1">IF($C53-J$1&lt;År1,0,I52*(1-VLOOKUP($A53,[1]Hugst!$R$5:$W$9,MATCH(ROUNDUP((J$1)/10,0)*10,[1]Hugst!$R$4:$W$4,0))))</f>
        <v>838.17404597582276</v>
      </c>
      <c r="K53" s="168">
        <f ca="1">IF($C53-K$1&lt;År1,0,J52*(1-VLOOKUP($A53,[1]Hugst!$R$5:$W$9,MATCH(ROUNDUP((K$1)/10,0)*10,[1]Hugst!$R$4:$W$4,0))))</f>
        <v>841.12708882738002</v>
      </c>
      <c r="L53" s="168">
        <f ca="1">IF($C53-L$1&lt;År1,0,K52*(1-VLOOKUP($A53,[1]Hugst!$R$5:$W$9,MATCH(ROUNDUP((L$1)/10,0)*10,[1]Hugst!$R$4:$W$4,0))))</f>
        <v>844.09497109022846</v>
      </c>
      <c r="M53" s="168">
        <f ca="1">IF($C53-M$1&lt;År1,0,L52*(1-VLOOKUP($A53,[1]Hugst!$R$5:$W$9,MATCH(ROUNDUP((M$1)/10,0)*10,[1]Hugst!$R$4:$W$4,0))))</f>
        <v>847.07776733430433</v>
      </c>
      <c r="N53" s="168">
        <f ca="1">IF($C53-N$1&lt;År1,0,M52*(1-VLOOKUP($A53,[1]Hugst!$R$5:$W$9,MATCH(ROUNDUP((N$1)/10,0)*10,[1]Hugst!$R$4:$W$4,0))))</f>
        <v>850.07555250424116</v>
      </c>
      <c r="O53" s="168">
        <f ca="1">IF($C53-O$1&lt;År1,0,N52*(1-VLOOKUP($A53,[1]Hugst!$R$5:$W$9,MATCH(ROUNDUP((O$1)/10,0)*10,[1]Hugst!$R$4:$W$4,0))))</f>
        <v>853.08840192123239</v>
      </c>
      <c r="P53" s="168">
        <f ca="1">IF($C53-P$1&lt;År1,0,O52*(1-VLOOKUP($A53,[1]Hugst!$R$5:$W$9,MATCH(ROUNDUP((P$1)/10,0)*10,[1]Hugst!$R$4:$W$4,0))))</f>
        <v>856.11639128509773</v>
      </c>
      <c r="Q53" s="168">
        <f ca="1">IF($C53-Q$1&lt;År1,0,P52*(1-VLOOKUP($A53,[1]Hugst!$R$5:$W$9,MATCH(ROUNDUP((Q$1)/10,0)*10,[1]Hugst!$R$4:$W$4,0))))</f>
        <v>859.15959667586935</v>
      </c>
      <c r="R53" s="168">
        <f ca="1">IF($C53-R$1&lt;År1,0,Q52*(1-VLOOKUP($A53,[1]Hugst!$R$5:$W$9,MATCH(ROUNDUP((R$1)/10,0)*10,[1]Hugst!$R$4:$W$4,0))))</f>
        <v>862.21809455606194</v>
      </c>
      <c r="S53" s="168">
        <f ca="1">IF($C53-S$1&lt;År1,0,R52*(1-VLOOKUP($A53,[1]Hugst!$R$5:$W$9,MATCH(ROUNDUP((S$1)/10,0)*10,[1]Hugst!$R$4:$W$4,0))))</f>
        <v>865.29196177231711</v>
      </c>
      <c r="T53" s="168">
        <f ca="1">IF($C53-T$1&lt;År1,0,S52*(1-VLOOKUP($A53,[1]Hugst!$R$5:$W$9,MATCH(ROUNDUP((T$1)/10,0)*10,[1]Hugst!$R$4:$W$4,0))))</f>
        <v>868.38127555754249</v>
      </c>
      <c r="U53" s="168">
        <f ca="1">IF($C53-U$1&lt;År1,0,T52*(1-VLOOKUP($A53,[1]Hugst!$R$5:$W$9,MATCH(ROUNDUP((U$1)/10,0)*10,[1]Hugst!$R$4:$W$4,0))))</f>
        <v>871.48611353258525</v>
      </c>
      <c r="V53" s="168">
        <f ca="1">IF($C53-V$1&lt;År1,0,U52*(1-VLOOKUP($A53,[1]Hugst!$R$5:$W$9,MATCH(ROUNDUP((V$1)/10,0)*10,[1]Hugst!$R$4:$W$4,0))))</f>
        <v>874.60655370854579</v>
      </c>
      <c r="W53" s="168">
        <f ca="1">IF($C53-W$1&lt;År1,0,V52*(1-VLOOKUP($A53,[1]Hugst!$R$5:$W$9,MATCH(ROUNDUP((W$1)/10,0)*10,[1]Hugst!$R$4:$W$4,0))))</f>
        <v>877.7426744883785</v>
      </c>
      <c r="X53" s="168">
        <f ca="1">IF($C53-X$1&lt;År1,0,W52*(1-VLOOKUP($A53,[1]Hugst!$R$5:$W$9,MATCH(ROUNDUP((X$1)/10,0)*10,[1]Hugst!$R$4:$W$4,0))))</f>
        <v>880.89455466914728</v>
      </c>
      <c r="Y53" s="168">
        <f ca="1">IF($C53-Y$1&lt;År1,0,X52*(1-VLOOKUP($A53,[1]Hugst!$R$5:$W$9,MATCH(ROUNDUP((Y$1)/10,0)*10,[1]Hugst!$R$4:$W$4,0))))</f>
        <v>884.0622734437718</v>
      </c>
      <c r="Z53" s="168">
        <f ca="1">IF($C53-Z$1&lt;År1,0,Y52*(1-VLOOKUP($A53,[1]Hugst!$R$5:$W$9,MATCH(ROUNDUP((Z$1)/10,0)*10,[1]Hugst!$R$4:$W$4,0))))</f>
        <v>887.24591040319569</v>
      </c>
      <c r="AA53" s="168">
        <f>IF($C53-AA$1&lt;År1,0,Z52*(1-VLOOKUP($A53,[1]Hugst!$R$5:$W$9,MATCH(ROUNDUP((AA$1)/10,0)*10,[1]Hugst!$R$4:$W$4,0))))</f>
        <v>0</v>
      </c>
      <c r="AB53" s="168">
        <f>IF($C53-AB$1&lt;År1,0,AA52*(1-VLOOKUP($A53,[1]Hugst!$R$5:$W$9,MATCH(ROUNDUP((AB$1)/10,0)*10,[1]Hugst!$R$4:$W$4,0))))</f>
        <v>0</v>
      </c>
      <c r="AC53" s="168">
        <f>IF($C53-AC$1&lt;År1,0,AB52*(1-VLOOKUP($A53,[1]Hugst!$R$5:$W$9,MATCH(ROUNDUP((AC$1)/10,0)*10,[1]Hugst!$R$4:$W$4,0))))</f>
        <v>0</v>
      </c>
      <c r="AD53" s="168">
        <f>IF($C53-AD$1&lt;År1,0,AC52*(1-VLOOKUP($A53,[1]Hugst!$R$5:$W$9,MATCH(ROUNDUP((AD$1)/10,0)*10,[1]Hugst!$R$4:$W$4,0))))</f>
        <v>0</v>
      </c>
      <c r="AE53" s="168">
        <f>IF($C53-AE$1&lt;År1,0,AD52*(1-VLOOKUP($A53,[1]Hugst!$R$5:$W$9,MATCH(ROUNDUP((AE$1)/10,0)*10,[1]Hugst!$R$4:$W$4,0))))</f>
        <v>0</v>
      </c>
      <c r="AF53" s="168">
        <f>IF($C53-AF$1&lt;År1,0,AE52*(1-VLOOKUP($A53,[1]Hugst!$R$5:$W$9,MATCH(ROUNDUP((AF$1)/10,0)*10,[1]Hugst!$R$4:$W$4,0))))</f>
        <v>0</v>
      </c>
      <c r="AG53" s="168">
        <f>IF($C53-AG$1&lt;År1,0,AF52*(1-VLOOKUP($A53,[1]Hugst!$R$5:$W$9,MATCH(ROUNDUP((AG$1)/10,0)*10,[1]Hugst!$R$4:$W$4,0))))</f>
        <v>0</v>
      </c>
      <c r="AH53" s="168">
        <f>IF($C53-AH$1&lt;År1,0,AG52*(1-VLOOKUP($A53,[1]Hugst!$R$5:$W$9,MATCH(ROUNDUP((AH$1)/10,0)*10,[1]Hugst!$R$4:$W$4,0))))</f>
        <v>0</v>
      </c>
      <c r="AI53" s="168">
        <f>IF($C53-AI$1&lt;År1,0,AH52*(1-VLOOKUP($A53,[1]Hugst!$R$5:$W$9,MATCH(ROUNDUP((AI$1)/10,0)*10,[1]Hugst!$R$4:$W$4,0))))</f>
        <v>0</v>
      </c>
      <c r="AJ53" s="168">
        <f>IF($C53-AJ$1&lt;År1,0,AI52*(1-VLOOKUP($A53,[1]Hugst!$R$5:$W$9,MATCH(ROUNDUP((AJ$1)/10,0)*10,[1]Hugst!$R$4:$W$4,0))))</f>
        <v>0</v>
      </c>
    </row>
    <row r="54" spans="1:39" s="168" customFormat="1" x14ac:dyDescent="0.25">
      <c r="A54" s="168" t="s">
        <v>176</v>
      </c>
      <c r="B54" s="168" t="s">
        <v>24</v>
      </c>
      <c r="C54" s="168">
        <v>2041</v>
      </c>
      <c r="D54" s="168" cm="1">
        <f t="array" ref="D54">(IF(B54="Vestdanmark",Skovbrug!$C$22-(Skovbrug!$C$22)*(1-Skovbrug!$C$9)^(C54-Skovbrug!$B$12),Skovbrug!$F$22-(Skovbrug!$F$22)*(1-Skovbrug!$C$9)^(C54-Skovbrug!$B$12))*VLOOKUP(A54,Skovbrug!$A$13:$D$17,IF('Skovbrug-alder'!C54&lt;=År2,3,4),FALSE)-IF(C54&gt;2020,SUM(INDEX($C$1:$D$311,MATCH(1,(2020=$C$1:$C$311)*(B54=$B$1:$B$311)*(A54=$A$1:$A$311),0),2):D53),0))</f>
        <v>573.1103204179235</v>
      </c>
      <c r="E54" s="168">
        <f t="shared" ca="1" si="0"/>
        <v>0</v>
      </c>
      <c r="F54" s="168">
        <f ca="1">IF(C54&lt;=År2,IF(B54="Vestdanmark",(Arealanvendelse!$M$27-Arealanvendelse!$J$27),(Arealanvendelse!$M$37-Arealanvendelse!$J$37))/(Arealanvendelse!$M$3-Arealanvendelse!$J$3),IF(B54="Vestdanmark",(Arealanvendelse!$P$27-Arealanvendelse!$M$27),(Arealanvendelse!$P$37-Arealanvendelse!$M$37))/(Arealanvendelse!$P$3-Arealanvendelse!$M$3))*VLOOKUP(A54,Skovbrug!$A$13:$D$17,IF('Skovbrug-alder'!C54&lt;=År2,3,4),FALSE)+D54+E54</f>
        <v>823.62883893644243</v>
      </c>
      <c r="G54" s="168">
        <f ca="1">IF($C54-G$1&lt;År1,0,F53*(1-VLOOKUP($A54,[1]Hugst!$R$5:$W$9,MATCH(ROUNDUP((G$1)/10,0)*10,[1]Hugst!$R$4:$W$4,0))))</f>
        <v>826.50879029531711</v>
      </c>
      <c r="H54" s="168">
        <f ca="1">IF($C54-H$1&lt;År1,0,G53*(1-VLOOKUP($A54,[1]Hugst!$R$5:$W$9,MATCH(ROUNDUP((H$1)/10,0)*10,[1]Hugst!$R$4:$W$4,0))))</f>
        <v>829.40321377157738</v>
      </c>
      <c r="I54" s="168">
        <f ca="1">IF($C54-I$1&lt;År1,0,H53*(1-VLOOKUP($A54,[1]Hugst!$R$5:$W$9,MATCH(ROUNDUP((I$1)/10,0)*10,[1]Hugst!$R$4:$W$4,0))))</f>
        <v>832.31218208945279</v>
      </c>
      <c r="J54" s="168">
        <f ca="1">IF($C54-J$1&lt;År1,0,I53*(1-VLOOKUP($A54,[1]Hugst!$R$5:$W$9,MATCH(ROUNDUP((J$1)/10,0)*10,[1]Hugst!$R$4:$W$4,0))))</f>
        <v>835.23576833854236</v>
      </c>
      <c r="K54" s="168">
        <f ca="1">IF($C54-K$1&lt;År1,0,J53*(1-VLOOKUP($A54,[1]Hugst!$R$5:$W$9,MATCH(ROUNDUP((K$1)/10,0)*10,[1]Hugst!$R$4:$W$4,0))))</f>
        <v>838.17404597582276</v>
      </c>
      <c r="L54" s="168">
        <f ca="1">IF($C54-L$1&lt;År1,0,K53*(1-VLOOKUP($A54,[1]Hugst!$R$5:$W$9,MATCH(ROUNDUP((L$1)/10,0)*10,[1]Hugst!$R$4:$W$4,0))))</f>
        <v>841.12708882738002</v>
      </c>
      <c r="M54" s="168">
        <f ca="1">IF($C54-M$1&lt;År1,0,L53*(1-VLOOKUP($A54,[1]Hugst!$R$5:$W$9,MATCH(ROUNDUP((M$1)/10,0)*10,[1]Hugst!$R$4:$W$4,0))))</f>
        <v>844.09497109022846</v>
      </c>
      <c r="N54" s="168">
        <f ca="1">IF($C54-N$1&lt;År1,0,M53*(1-VLOOKUP($A54,[1]Hugst!$R$5:$W$9,MATCH(ROUNDUP((N$1)/10,0)*10,[1]Hugst!$R$4:$W$4,0))))</f>
        <v>847.07776733430433</v>
      </c>
      <c r="O54" s="168">
        <f ca="1">IF($C54-O$1&lt;År1,0,N53*(1-VLOOKUP($A54,[1]Hugst!$R$5:$W$9,MATCH(ROUNDUP((O$1)/10,0)*10,[1]Hugst!$R$4:$W$4,0))))</f>
        <v>850.07555250424116</v>
      </c>
      <c r="P54" s="168">
        <f ca="1">IF($C54-P$1&lt;År1,0,O53*(1-VLOOKUP($A54,[1]Hugst!$R$5:$W$9,MATCH(ROUNDUP((P$1)/10,0)*10,[1]Hugst!$R$4:$W$4,0))))</f>
        <v>853.08840192123239</v>
      </c>
      <c r="Q54" s="168">
        <f ca="1">IF($C54-Q$1&lt;År1,0,P53*(1-VLOOKUP($A54,[1]Hugst!$R$5:$W$9,MATCH(ROUNDUP((Q$1)/10,0)*10,[1]Hugst!$R$4:$W$4,0))))</f>
        <v>856.11639128509773</v>
      </c>
      <c r="R54" s="168">
        <f ca="1">IF($C54-R$1&lt;År1,0,Q53*(1-VLOOKUP($A54,[1]Hugst!$R$5:$W$9,MATCH(ROUNDUP((R$1)/10,0)*10,[1]Hugst!$R$4:$W$4,0))))</f>
        <v>859.15959667586935</v>
      </c>
      <c r="S54" s="168">
        <f ca="1">IF($C54-S$1&lt;År1,0,R53*(1-VLOOKUP($A54,[1]Hugst!$R$5:$W$9,MATCH(ROUNDUP((S$1)/10,0)*10,[1]Hugst!$R$4:$W$4,0))))</f>
        <v>862.21809455606194</v>
      </c>
      <c r="T54" s="168">
        <f ca="1">IF($C54-T$1&lt;År1,0,S53*(1-VLOOKUP($A54,[1]Hugst!$R$5:$W$9,MATCH(ROUNDUP((T$1)/10,0)*10,[1]Hugst!$R$4:$W$4,0))))</f>
        <v>865.29196177231711</v>
      </c>
      <c r="U54" s="168">
        <f ca="1">IF($C54-U$1&lt;År1,0,T53*(1-VLOOKUP($A54,[1]Hugst!$R$5:$W$9,MATCH(ROUNDUP((U$1)/10,0)*10,[1]Hugst!$R$4:$W$4,0))))</f>
        <v>868.38127555754249</v>
      </c>
      <c r="V54" s="168">
        <f ca="1">IF($C54-V$1&lt;År1,0,U53*(1-VLOOKUP($A54,[1]Hugst!$R$5:$W$9,MATCH(ROUNDUP((V$1)/10,0)*10,[1]Hugst!$R$4:$W$4,0))))</f>
        <v>871.48611353258525</v>
      </c>
      <c r="W54" s="168">
        <f ca="1">IF($C54-W$1&lt;År1,0,V53*(1-VLOOKUP($A54,[1]Hugst!$R$5:$W$9,MATCH(ROUNDUP((W$1)/10,0)*10,[1]Hugst!$R$4:$W$4,0))))</f>
        <v>874.60655370854579</v>
      </c>
      <c r="X54" s="168">
        <f ca="1">IF($C54-X$1&lt;År1,0,W53*(1-VLOOKUP($A54,[1]Hugst!$R$5:$W$9,MATCH(ROUNDUP((X$1)/10,0)*10,[1]Hugst!$R$4:$W$4,0))))</f>
        <v>877.7426744883785</v>
      </c>
      <c r="Y54" s="168">
        <f ca="1">IF($C54-Y$1&lt;År1,0,X53*(1-VLOOKUP($A54,[1]Hugst!$R$5:$W$9,MATCH(ROUNDUP((Y$1)/10,0)*10,[1]Hugst!$R$4:$W$4,0))))</f>
        <v>880.89455466914728</v>
      </c>
      <c r="Z54" s="168">
        <f ca="1">IF($C54-Z$1&lt;År1,0,Y53*(1-VLOOKUP($A54,[1]Hugst!$R$5:$W$9,MATCH(ROUNDUP((Z$1)/10,0)*10,[1]Hugst!$R$4:$W$4,0))))</f>
        <v>884.0622734437718</v>
      </c>
      <c r="AA54" s="168">
        <f ca="1">IF($C54-AA$1&lt;År1,0,Z53*(1-VLOOKUP($A54,[1]Hugst!$R$5:$W$9,MATCH(ROUNDUP((AA$1)/10,0)*10,[1]Hugst!$R$4:$W$4,0))))</f>
        <v>887.24591040319569</v>
      </c>
      <c r="AB54" s="168">
        <f>IF($C54-AB$1&lt;År1,0,AA53*(1-VLOOKUP($A54,[1]Hugst!$R$5:$W$9,MATCH(ROUNDUP((AB$1)/10,0)*10,[1]Hugst!$R$4:$W$4,0))))</f>
        <v>0</v>
      </c>
      <c r="AC54" s="168">
        <f>IF($C54-AC$1&lt;År1,0,AB53*(1-VLOOKUP($A54,[1]Hugst!$R$5:$W$9,MATCH(ROUNDUP((AC$1)/10,0)*10,[1]Hugst!$R$4:$W$4,0))))</f>
        <v>0</v>
      </c>
      <c r="AD54" s="168">
        <f>IF($C54-AD$1&lt;År1,0,AC53*(1-VLOOKUP($A54,[1]Hugst!$R$5:$W$9,MATCH(ROUNDUP((AD$1)/10,0)*10,[1]Hugst!$R$4:$W$4,0))))</f>
        <v>0</v>
      </c>
      <c r="AE54" s="168">
        <f>IF($C54-AE$1&lt;År1,0,AD53*(1-VLOOKUP($A54,[1]Hugst!$R$5:$W$9,MATCH(ROUNDUP((AE$1)/10,0)*10,[1]Hugst!$R$4:$W$4,0))))</f>
        <v>0</v>
      </c>
      <c r="AF54" s="168">
        <f>IF($C54-AF$1&lt;År1,0,AE53*(1-VLOOKUP($A54,[1]Hugst!$R$5:$W$9,MATCH(ROUNDUP((AF$1)/10,0)*10,[1]Hugst!$R$4:$W$4,0))))</f>
        <v>0</v>
      </c>
      <c r="AG54" s="168">
        <f>IF($C54-AG$1&lt;År1,0,AF53*(1-VLOOKUP($A54,[1]Hugst!$R$5:$W$9,MATCH(ROUNDUP((AG$1)/10,0)*10,[1]Hugst!$R$4:$W$4,0))))</f>
        <v>0</v>
      </c>
      <c r="AH54" s="168">
        <f>IF($C54-AH$1&lt;År1,0,AG53*(1-VLOOKUP($A54,[1]Hugst!$R$5:$W$9,MATCH(ROUNDUP((AH$1)/10,0)*10,[1]Hugst!$R$4:$W$4,0))))</f>
        <v>0</v>
      </c>
      <c r="AI54" s="168">
        <f>IF($C54-AI$1&lt;År1,0,AH53*(1-VLOOKUP($A54,[1]Hugst!$R$5:$W$9,MATCH(ROUNDUP((AI$1)/10,0)*10,[1]Hugst!$R$4:$W$4,0))))</f>
        <v>0</v>
      </c>
      <c r="AJ54" s="168">
        <f>IF($C54-AJ$1&lt;År1,0,AI53*(1-VLOOKUP($A54,[1]Hugst!$R$5:$W$9,MATCH(ROUNDUP((AJ$1)/10,0)*10,[1]Hugst!$R$4:$W$4,0))))</f>
        <v>0</v>
      </c>
    </row>
    <row r="55" spans="1:39" s="168" customFormat="1" x14ac:dyDescent="0.25">
      <c r="A55" s="168" t="s">
        <v>176</v>
      </c>
      <c r="B55" s="168" t="s">
        <v>24</v>
      </c>
      <c r="C55" s="168">
        <v>2042</v>
      </c>
      <c r="D55" s="168" cm="1">
        <f t="array" ref="D55">(IF(B55="Vestdanmark",Skovbrug!$C$22-(Skovbrug!$C$22)*(1-Skovbrug!$C$9)^(C55-Skovbrug!$B$12),Skovbrug!$F$22-(Skovbrug!$F$22)*(1-Skovbrug!$C$9)^(C55-Skovbrug!$B$12))*VLOOKUP(A55,Skovbrug!$A$13:$D$17,IF('Skovbrug-alder'!C55&lt;=År2,3,4),FALSE)-IF(C55&gt;2020,SUM(INDEX($C$1:$D$311,MATCH(1,(2020=$C$1:$C$311)*(B55=$B$1:$B$311)*(A55=$A$1:$A$311),0),2):D54),0))</f>
        <v>570.24476881582814</v>
      </c>
      <c r="E55" s="168">
        <f t="shared" ca="1" si="0"/>
        <v>0</v>
      </c>
      <c r="F55" s="168">
        <f ca="1">IF(C55&lt;=År2,IF(B55="Vestdanmark",(Arealanvendelse!$M$27-Arealanvendelse!$J$27),(Arealanvendelse!$M$37-Arealanvendelse!$J$37))/(Arealanvendelse!$M$3-Arealanvendelse!$J$3),IF(B55="Vestdanmark",(Arealanvendelse!$P$27-Arealanvendelse!$M$27),(Arealanvendelse!$P$37-Arealanvendelse!$M$37))/(Arealanvendelse!$P$3-Arealanvendelse!$M$3))*VLOOKUP(A55,Skovbrug!$A$13:$D$17,IF('Skovbrug-alder'!C55&lt;=År2,3,4),FALSE)+D55+E55</f>
        <v>820.76328733434707</v>
      </c>
      <c r="G55" s="168">
        <f ca="1">IF($C55-G$1&lt;År1,0,F54*(1-VLOOKUP($A55,[1]Hugst!$R$5:$W$9,MATCH(ROUNDUP((G$1)/10,0)*10,[1]Hugst!$R$4:$W$4,0))))</f>
        <v>823.62883893644243</v>
      </c>
      <c r="H55" s="168">
        <f ca="1">IF($C55-H$1&lt;År1,0,G54*(1-VLOOKUP($A55,[1]Hugst!$R$5:$W$9,MATCH(ROUNDUP((H$1)/10,0)*10,[1]Hugst!$R$4:$W$4,0))))</f>
        <v>826.50879029531711</v>
      </c>
      <c r="I55" s="168">
        <f ca="1">IF($C55-I$1&lt;År1,0,H54*(1-VLOOKUP($A55,[1]Hugst!$R$5:$W$9,MATCH(ROUNDUP((I$1)/10,0)*10,[1]Hugst!$R$4:$W$4,0))))</f>
        <v>829.40321377157738</v>
      </c>
      <c r="J55" s="168">
        <f ca="1">IF($C55-J$1&lt;År1,0,I54*(1-VLOOKUP($A55,[1]Hugst!$R$5:$W$9,MATCH(ROUNDUP((J$1)/10,0)*10,[1]Hugst!$R$4:$W$4,0))))</f>
        <v>832.31218208945279</v>
      </c>
      <c r="K55" s="168">
        <f ca="1">IF($C55-K$1&lt;År1,0,J54*(1-VLOOKUP($A55,[1]Hugst!$R$5:$W$9,MATCH(ROUNDUP((K$1)/10,0)*10,[1]Hugst!$R$4:$W$4,0))))</f>
        <v>835.23576833854236</v>
      </c>
      <c r="L55" s="168">
        <f ca="1">IF($C55-L$1&lt;År1,0,K54*(1-VLOOKUP($A55,[1]Hugst!$R$5:$W$9,MATCH(ROUNDUP((L$1)/10,0)*10,[1]Hugst!$R$4:$W$4,0))))</f>
        <v>838.17404597582276</v>
      </c>
      <c r="M55" s="168">
        <f ca="1">IF($C55-M$1&lt;År1,0,L54*(1-VLOOKUP($A55,[1]Hugst!$R$5:$W$9,MATCH(ROUNDUP((M$1)/10,0)*10,[1]Hugst!$R$4:$W$4,0))))</f>
        <v>841.12708882738002</v>
      </c>
      <c r="N55" s="168">
        <f ca="1">IF($C55-N$1&lt;År1,0,M54*(1-VLOOKUP($A55,[1]Hugst!$R$5:$W$9,MATCH(ROUNDUP((N$1)/10,0)*10,[1]Hugst!$R$4:$W$4,0))))</f>
        <v>844.09497109022846</v>
      </c>
      <c r="O55" s="168">
        <f ca="1">IF($C55-O$1&lt;År1,0,N54*(1-VLOOKUP($A55,[1]Hugst!$R$5:$W$9,MATCH(ROUNDUP((O$1)/10,0)*10,[1]Hugst!$R$4:$W$4,0))))</f>
        <v>847.07776733430433</v>
      </c>
      <c r="P55" s="168">
        <f ca="1">IF($C55-P$1&lt;År1,0,O54*(1-VLOOKUP($A55,[1]Hugst!$R$5:$W$9,MATCH(ROUNDUP((P$1)/10,0)*10,[1]Hugst!$R$4:$W$4,0))))</f>
        <v>850.07555250424116</v>
      </c>
      <c r="Q55" s="168">
        <f ca="1">IF($C55-Q$1&lt;År1,0,P54*(1-VLOOKUP($A55,[1]Hugst!$R$5:$W$9,MATCH(ROUNDUP((Q$1)/10,0)*10,[1]Hugst!$R$4:$W$4,0))))</f>
        <v>853.08840192123239</v>
      </c>
      <c r="R55" s="168">
        <f ca="1">IF($C55-R$1&lt;År1,0,Q54*(1-VLOOKUP($A55,[1]Hugst!$R$5:$W$9,MATCH(ROUNDUP((R$1)/10,0)*10,[1]Hugst!$R$4:$W$4,0))))</f>
        <v>856.11639128509773</v>
      </c>
      <c r="S55" s="168">
        <f ca="1">IF($C55-S$1&lt;År1,0,R54*(1-VLOOKUP($A55,[1]Hugst!$R$5:$W$9,MATCH(ROUNDUP((S$1)/10,0)*10,[1]Hugst!$R$4:$W$4,0))))</f>
        <v>859.15959667586935</v>
      </c>
      <c r="T55" s="168">
        <f ca="1">IF($C55-T$1&lt;År1,0,S54*(1-VLOOKUP($A55,[1]Hugst!$R$5:$W$9,MATCH(ROUNDUP((T$1)/10,0)*10,[1]Hugst!$R$4:$W$4,0))))</f>
        <v>862.21809455606194</v>
      </c>
      <c r="U55" s="168">
        <f ca="1">IF($C55-U$1&lt;År1,0,T54*(1-VLOOKUP($A55,[1]Hugst!$R$5:$W$9,MATCH(ROUNDUP((U$1)/10,0)*10,[1]Hugst!$R$4:$W$4,0))))</f>
        <v>865.29196177231711</v>
      </c>
      <c r="V55" s="168">
        <f ca="1">IF($C55-V$1&lt;År1,0,U54*(1-VLOOKUP($A55,[1]Hugst!$R$5:$W$9,MATCH(ROUNDUP((V$1)/10,0)*10,[1]Hugst!$R$4:$W$4,0))))</f>
        <v>868.38127555754249</v>
      </c>
      <c r="W55" s="168">
        <f ca="1">IF($C55-W$1&lt;År1,0,V54*(1-VLOOKUP($A55,[1]Hugst!$R$5:$W$9,MATCH(ROUNDUP((W$1)/10,0)*10,[1]Hugst!$R$4:$W$4,0))))</f>
        <v>871.48611353258525</v>
      </c>
      <c r="X55" s="168">
        <f ca="1">IF($C55-X$1&lt;År1,0,W54*(1-VLOOKUP($A55,[1]Hugst!$R$5:$W$9,MATCH(ROUNDUP((X$1)/10,0)*10,[1]Hugst!$R$4:$W$4,0))))</f>
        <v>874.60655370854579</v>
      </c>
      <c r="Y55" s="168">
        <f ca="1">IF($C55-Y$1&lt;År1,0,X54*(1-VLOOKUP($A55,[1]Hugst!$R$5:$W$9,MATCH(ROUNDUP((Y$1)/10,0)*10,[1]Hugst!$R$4:$W$4,0))))</f>
        <v>877.7426744883785</v>
      </c>
      <c r="Z55" s="168">
        <f ca="1">IF($C55-Z$1&lt;År1,0,Y54*(1-VLOOKUP($A55,[1]Hugst!$R$5:$W$9,MATCH(ROUNDUP((Z$1)/10,0)*10,[1]Hugst!$R$4:$W$4,0))))</f>
        <v>880.89455466914728</v>
      </c>
      <c r="AA55" s="168">
        <f ca="1">IF($C55-AA$1&lt;År1,0,Z54*(1-VLOOKUP($A55,[1]Hugst!$R$5:$W$9,MATCH(ROUNDUP((AA$1)/10,0)*10,[1]Hugst!$R$4:$W$4,0))))</f>
        <v>884.0622734437718</v>
      </c>
      <c r="AB55" s="168">
        <f ca="1">IF($C55-AB$1&lt;År1,0,AA54*(1-VLOOKUP($A55,[1]Hugst!$R$5:$W$9,MATCH(ROUNDUP((AB$1)/10,0)*10,[1]Hugst!$R$4:$W$4,0))))</f>
        <v>887.24591040319569</v>
      </c>
      <c r="AC55" s="168">
        <f>IF($C55-AC$1&lt;År1,0,AB54*(1-VLOOKUP($A55,[1]Hugst!$R$5:$W$9,MATCH(ROUNDUP((AC$1)/10,0)*10,[1]Hugst!$R$4:$W$4,0))))</f>
        <v>0</v>
      </c>
      <c r="AD55" s="168">
        <f>IF($C55-AD$1&lt;År1,0,AC54*(1-VLOOKUP($A55,[1]Hugst!$R$5:$W$9,MATCH(ROUNDUP((AD$1)/10,0)*10,[1]Hugst!$R$4:$W$4,0))))</f>
        <v>0</v>
      </c>
      <c r="AE55" s="168">
        <f>IF($C55-AE$1&lt;År1,0,AD54*(1-VLOOKUP($A55,[1]Hugst!$R$5:$W$9,MATCH(ROUNDUP((AE$1)/10,0)*10,[1]Hugst!$R$4:$W$4,0))))</f>
        <v>0</v>
      </c>
      <c r="AF55" s="168">
        <f>IF($C55-AF$1&lt;År1,0,AE54*(1-VLOOKUP($A55,[1]Hugst!$R$5:$W$9,MATCH(ROUNDUP((AF$1)/10,0)*10,[1]Hugst!$R$4:$W$4,0))))</f>
        <v>0</v>
      </c>
      <c r="AG55" s="168">
        <f>IF($C55-AG$1&lt;År1,0,AF54*(1-VLOOKUP($A55,[1]Hugst!$R$5:$W$9,MATCH(ROUNDUP((AG$1)/10,0)*10,[1]Hugst!$R$4:$W$4,0))))</f>
        <v>0</v>
      </c>
      <c r="AH55" s="168">
        <f>IF($C55-AH$1&lt;År1,0,AG54*(1-VLOOKUP($A55,[1]Hugst!$R$5:$W$9,MATCH(ROUNDUP((AH$1)/10,0)*10,[1]Hugst!$R$4:$W$4,0))))</f>
        <v>0</v>
      </c>
      <c r="AI55" s="168">
        <f>IF($C55-AI$1&lt;År1,0,AH54*(1-VLOOKUP($A55,[1]Hugst!$R$5:$W$9,MATCH(ROUNDUP((AI$1)/10,0)*10,[1]Hugst!$R$4:$W$4,0))))</f>
        <v>0</v>
      </c>
      <c r="AJ55" s="168">
        <f>IF($C55-AJ$1&lt;År1,0,AI54*(1-VLOOKUP($A55,[1]Hugst!$R$5:$W$9,MATCH(ROUNDUP((AJ$1)/10,0)*10,[1]Hugst!$R$4:$W$4,0))))</f>
        <v>0</v>
      </c>
    </row>
    <row r="56" spans="1:39" s="168" customFormat="1" x14ac:dyDescent="0.25">
      <c r="A56" s="168" t="s">
        <v>176</v>
      </c>
      <c r="B56" s="168" t="s">
        <v>24</v>
      </c>
      <c r="C56" s="168">
        <v>2043</v>
      </c>
      <c r="D56" s="168" cm="1">
        <f t="array" ref="D56">(IF(B56="Vestdanmark",Skovbrug!$C$22-(Skovbrug!$C$22)*(1-Skovbrug!$C$9)^(C56-Skovbrug!$B$12),Skovbrug!$F$22-(Skovbrug!$F$22)*(1-Skovbrug!$C$9)^(C56-Skovbrug!$B$12))*VLOOKUP(A56,Skovbrug!$A$13:$D$17,IF('Skovbrug-alder'!C56&lt;=År2,3,4),FALSE)-IF(C56&gt;2020,SUM(INDEX($C$1:$D$311,MATCH(1,(2020=$C$1:$C$311)*(B56=$B$1:$B$311)*(A56=$A$1:$A$311),0),2):D55),0))</f>
        <v>567.39354497175373</v>
      </c>
      <c r="E56" s="168">
        <f t="shared" ca="1" si="0"/>
        <v>0</v>
      </c>
      <c r="F56" s="168">
        <f ca="1">IF(C56&lt;=År2,IF(B56="Vestdanmark",(Arealanvendelse!$M$27-Arealanvendelse!$J$27),(Arealanvendelse!$M$37-Arealanvendelse!$J$37))/(Arealanvendelse!$M$3-Arealanvendelse!$J$3),IF(B56="Vestdanmark",(Arealanvendelse!$P$27-Arealanvendelse!$M$27),(Arealanvendelse!$P$37-Arealanvendelse!$M$37))/(Arealanvendelse!$P$3-Arealanvendelse!$M$3))*VLOOKUP(A56,Skovbrug!$A$13:$D$17,IF('Skovbrug-alder'!C56&lt;=År2,3,4),FALSE)+D56+E56</f>
        <v>817.91206349027266</v>
      </c>
      <c r="G56" s="168">
        <f ca="1">IF($C56-G$1&lt;År1,0,F55*(1-VLOOKUP($A56,[1]Hugst!$R$5:$W$9,MATCH(ROUNDUP((G$1)/10,0)*10,[1]Hugst!$R$4:$W$4,0))))</f>
        <v>820.76328733434707</v>
      </c>
      <c r="H56" s="168">
        <f ca="1">IF($C56-H$1&lt;År1,0,G55*(1-VLOOKUP($A56,[1]Hugst!$R$5:$W$9,MATCH(ROUNDUP((H$1)/10,0)*10,[1]Hugst!$R$4:$W$4,0))))</f>
        <v>823.62883893644243</v>
      </c>
      <c r="I56" s="168">
        <f ca="1">IF($C56-I$1&lt;År1,0,H55*(1-VLOOKUP($A56,[1]Hugst!$R$5:$W$9,MATCH(ROUNDUP((I$1)/10,0)*10,[1]Hugst!$R$4:$W$4,0))))</f>
        <v>826.50879029531711</v>
      </c>
      <c r="J56" s="168">
        <f ca="1">IF($C56-J$1&lt;År1,0,I55*(1-VLOOKUP($A56,[1]Hugst!$R$5:$W$9,MATCH(ROUNDUP((J$1)/10,0)*10,[1]Hugst!$R$4:$W$4,0))))</f>
        <v>829.40321377157738</v>
      </c>
      <c r="K56" s="168">
        <f ca="1">IF($C56-K$1&lt;År1,0,J55*(1-VLOOKUP($A56,[1]Hugst!$R$5:$W$9,MATCH(ROUNDUP((K$1)/10,0)*10,[1]Hugst!$R$4:$W$4,0))))</f>
        <v>832.31218208945279</v>
      </c>
      <c r="L56" s="168">
        <f ca="1">IF($C56-L$1&lt;År1,0,K55*(1-VLOOKUP($A56,[1]Hugst!$R$5:$W$9,MATCH(ROUNDUP((L$1)/10,0)*10,[1]Hugst!$R$4:$W$4,0))))</f>
        <v>835.23576833854236</v>
      </c>
      <c r="M56" s="168">
        <f ca="1">IF($C56-M$1&lt;År1,0,L55*(1-VLOOKUP($A56,[1]Hugst!$R$5:$W$9,MATCH(ROUNDUP((M$1)/10,0)*10,[1]Hugst!$R$4:$W$4,0))))</f>
        <v>838.17404597582276</v>
      </c>
      <c r="N56" s="168">
        <f ca="1">IF($C56-N$1&lt;År1,0,M55*(1-VLOOKUP($A56,[1]Hugst!$R$5:$W$9,MATCH(ROUNDUP((N$1)/10,0)*10,[1]Hugst!$R$4:$W$4,0))))</f>
        <v>841.12708882738002</v>
      </c>
      <c r="O56" s="168">
        <f ca="1">IF($C56-O$1&lt;År1,0,N55*(1-VLOOKUP($A56,[1]Hugst!$R$5:$W$9,MATCH(ROUNDUP((O$1)/10,0)*10,[1]Hugst!$R$4:$W$4,0))))</f>
        <v>844.09497109022846</v>
      </c>
      <c r="P56" s="168">
        <f ca="1">IF($C56-P$1&lt;År1,0,O55*(1-VLOOKUP($A56,[1]Hugst!$R$5:$W$9,MATCH(ROUNDUP((P$1)/10,0)*10,[1]Hugst!$R$4:$W$4,0))))</f>
        <v>847.07776733430433</v>
      </c>
      <c r="Q56" s="168">
        <f ca="1">IF($C56-Q$1&lt;År1,0,P55*(1-VLOOKUP($A56,[1]Hugst!$R$5:$W$9,MATCH(ROUNDUP((Q$1)/10,0)*10,[1]Hugst!$R$4:$W$4,0))))</f>
        <v>850.07555250424116</v>
      </c>
      <c r="R56" s="168">
        <f ca="1">IF($C56-R$1&lt;År1,0,Q55*(1-VLOOKUP($A56,[1]Hugst!$R$5:$W$9,MATCH(ROUNDUP((R$1)/10,0)*10,[1]Hugst!$R$4:$W$4,0))))</f>
        <v>853.08840192123239</v>
      </c>
      <c r="S56" s="168">
        <f ca="1">IF($C56-S$1&lt;År1,0,R55*(1-VLOOKUP($A56,[1]Hugst!$R$5:$W$9,MATCH(ROUNDUP((S$1)/10,0)*10,[1]Hugst!$R$4:$W$4,0))))</f>
        <v>856.11639128509773</v>
      </c>
      <c r="T56" s="168">
        <f ca="1">IF($C56-T$1&lt;År1,0,S55*(1-VLOOKUP($A56,[1]Hugst!$R$5:$W$9,MATCH(ROUNDUP((T$1)/10,0)*10,[1]Hugst!$R$4:$W$4,0))))</f>
        <v>859.15959667586935</v>
      </c>
      <c r="U56" s="168">
        <f ca="1">IF($C56-U$1&lt;År1,0,T55*(1-VLOOKUP($A56,[1]Hugst!$R$5:$W$9,MATCH(ROUNDUP((U$1)/10,0)*10,[1]Hugst!$R$4:$W$4,0))))</f>
        <v>862.21809455606194</v>
      </c>
      <c r="V56" s="168">
        <f ca="1">IF($C56-V$1&lt;År1,0,U55*(1-VLOOKUP($A56,[1]Hugst!$R$5:$W$9,MATCH(ROUNDUP((V$1)/10,0)*10,[1]Hugst!$R$4:$W$4,0))))</f>
        <v>865.29196177231711</v>
      </c>
      <c r="W56" s="168">
        <f ca="1">IF($C56-W$1&lt;År1,0,V55*(1-VLOOKUP($A56,[1]Hugst!$R$5:$W$9,MATCH(ROUNDUP((W$1)/10,0)*10,[1]Hugst!$R$4:$W$4,0))))</f>
        <v>868.38127555754249</v>
      </c>
      <c r="X56" s="168">
        <f ca="1">IF($C56-X$1&lt;År1,0,W55*(1-VLOOKUP($A56,[1]Hugst!$R$5:$W$9,MATCH(ROUNDUP((X$1)/10,0)*10,[1]Hugst!$R$4:$W$4,0))))</f>
        <v>871.48611353258525</v>
      </c>
      <c r="Y56" s="168">
        <f ca="1">IF($C56-Y$1&lt;År1,0,X55*(1-VLOOKUP($A56,[1]Hugst!$R$5:$W$9,MATCH(ROUNDUP((Y$1)/10,0)*10,[1]Hugst!$R$4:$W$4,0))))</f>
        <v>874.60655370854579</v>
      </c>
      <c r="Z56" s="168">
        <f ca="1">IF($C56-Z$1&lt;År1,0,Y55*(1-VLOOKUP($A56,[1]Hugst!$R$5:$W$9,MATCH(ROUNDUP((Z$1)/10,0)*10,[1]Hugst!$R$4:$W$4,0))))</f>
        <v>877.7426744883785</v>
      </c>
      <c r="AA56" s="168">
        <f ca="1">IF($C56-AA$1&lt;År1,0,Z55*(1-VLOOKUP($A56,[1]Hugst!$R$5:$W$9,MATCH(ROUNDUP((AA$1)/10,0)*10,[1]Hugst!$R$4:$W$4,0))))</f>
        <v>880.89455466914728</v>
      </c>
      <c r="AB56" s="168">
        <f ca="1">IF($C56-AB$1&lt;År1,0,AA55*(1-VLOOKUP($A56,[1]Hugst!$R$5:$W$9,MATCH(ROUNDUP((AB$1)/10,0)*10,[1]Hugst!$R$4:$W$4,0))))</f>
        <v>884.0622734437718</v>
      </c>
      <c r="AC56" s="168">
        <f ca="1">IF($C56-AC$1&lt;År1,0,AB55*(1-VLOOKUP($A56,[1]Hugst!$R$5:$W$9,MATCH(ROUNDUP((AC$1)/10,0)*10,[1]Hugst!$R$4:$W$4,0))))</f>
        <v>887.24591040319569</v>
      </c>
      <c r="AD56" s="168">
        <f>IF($C56-AD$1&lt;År1,0,AC55*(1-VLOOKUP($A56,[1]Hugst!$R$5:$W$9,MATCH(ROUNDUP((AD$1)/10,0)*10,[1]Hugst!$R$4:$W$4,0))))</f>
        <v>0</v>
      </c>
      <c r="AE56" s="168">
        <f>IF($C56-AE$1&lt;År1,0,AD55*(1-VLOOKUP($A56,[1]Hugst!$R$5:$W$9,MATCH(ROUNDUP((AE$1)/10,0)*10,[1]Hugst!$R$4:$W$4,0))))</f>
        <v>0</v>
      </c>
      <c r="AF56" s="168">
        <f>IF($C56-AF$1&lt;År1,0,AE55*(1-VLOOKUP($A56,[1]Hugst!$R$5:$W$9,MATCH(ROUNDUP((AF$1)/10,0)*10,[1]Hugst!$R$4:$W$4,0))))</f>
        <v>0</v>
      </c>
      <c r="AG56" s="168">
        <f>IF($C56-AG$1&lt;År1,0,AF55*(1-VLOOKUP($A56,[1]Hugst!$R$5:$W$9,MATCH(ROUNDUP((AG$1)/10,0)*10,[1]Hugst!$R$4:$W$4,0))))</f>
        <v>0</v>
      </c>
      <c r="AH56" s="168">
        <f>IF($C56-AH$1&lt;År1,0,AG55*(1-VLOOKUP($A56,[1]Hugst!$R$5:$W$9,MATCH(ROUNDUP((AH$1)/10,0)*10,[1]Hugst!$R$4:$W$4,0))))</f>
        <v>0</v>
      </c>
      <c r="AI56" s="168">
        <f>IF($C56-AI$1&lt;År1,0,AH55*(1-VLOOKUP($A56,[1]Hugst!$R$5:$W$9,MATCH(ROUNDUP((AI$1)/10,0)*10,[1]Hugst!$R$4:$W$4,0))))</f>
        <v>0</v>
      </c>
      <c r="AJ56" s="168">
        <f>IF($C56-AJ$1&lt;År1,0,AI55*(1-VLOOKUP($A56,[1]Hugst!$R$5:$W$9,MATCH(ROUNDUP((AJ$1)/10,0)*10,[1]Hugst!$R$4:$W$4,0))))</f>
        <v>0</v>
      </c>
    </row>
    <row r="57" spans="1:39" s="168" customFormat="1" x14ac:dyDescent="0.25">
      <c r="A57" s="168" t="s">
        <v>176</v>
      </c>
      <c r="B57" s="168" t="s">
        <v>24</v>
      </c>
      <c r="C57" s="168">
        <v>2044</v>
      </c>
      <c r="D57" s="168" cm="1">
        <f t="array" ref="D57">(IF(B57="Vestdanmark",Skovbrug!$C$22-(Skovbrug!$C$22)*(1-Skovbrug!$C$9)^(C57-Skovbrug!$B$12),Skovbrug!$F$22-(Skovbrug!$F$22)*(1-Skovbrug!$C$9)^(C57-Skovbrug!$B$12))*VLOOKUP(A57,Skovbrug!$A$13:$D$17,IF('Skovbrug-alder'!C57&lt;=År2,3,4),FALSE)-IF(C57&gt;2020,SUM(INDEX($C$1:$D$311,MATCH(1,(2020=$C$1:$C$311)*(B57=$B$1:$B$311)*(A57=$A$1:$A$311),0),2):D56),0))</f>
        <v>564.55657724688353</v>
      </c>
      <c r="E57" s="168">
        <f t="shared" ca="1" si="0"/>
        <v>0</v>
      </c>
      <c r="F57" s="168">
        <f ca="1">IF(C57&lt;=År2,IF(B57="Vestdanmark",(Arealanvendelse!$M$27-Arealanvendelse!$J$27),(Arealanvendelse!$M$37-Arealanvendelse!$J$37))/(Arealanvendelse!$M$3-Arealanvendelse!$J$3),IF(B57="Vestdanmark",(Arealanvendelse!$P$27-Arealanvendelse!$M$27),(Arealanvendelse!$P$37-Arealanvendelse!$M$37))/(Arealanvendelse!$P$3-Arealanvendelse!$M$3))*VLOOKUP(A57,Skovbrug!$A$13:$D$17,IF('Skovbrug-alder'!C57&lt;=År2,3,4),FALSE)+D57+E57</f>
        <v>815.07509576540247</v>
      </c>
      <c r="G57" s="168">
        <f ca="1">IF($C57-G$1&lt;År1,0,F56*(1-VLOOKUP($A57,[1]Hugst!$R$5:$W$9,MATCH(ROUNDUP((G$1)/10,0)*10,[1]Hugst!$R$4:$W$4,0))))</f>
        <v>817.91206349027266</v>
      </c>
      <c r="H57" s="168">
        <f ca="1">IF($C57-H$1&lt;År1,0,G56*(1-VLOOKUP($A57,[1]Hugst!$R$5:$W$9,MATCH(ROUNDUP((H$1)/10,0)*10,[1]Hugst!$R$4:$W$4,0))))</f>
        <v>820.76328733434707</v>
      </c>
      <c r="I57" s="168">
        <f ca="1">IF($C57-I$1&lt;År1,0,H56*(1-VLOOKUP($A57,[1]Hugst!$R$5:$W$9,MATCH(ROUNDUP((I$1)/10,0)*10,[1]Hugst!$R$4:$W$4,0))))</f>
        <v>823.62883893644243</v>
      </c>
      <c r="J57" s="168">
        <f ca="1">IF($C57-J$1&lt;År1,0,I56*(1-VLOOKUP($A57,[1]Hugst!$R$5:$W$9,MATCH(ROUNDUP((J$1)/10,0)*10,[1]Hugst!$R$4:$W$4,0))))</f>
        <v>826.50879029531711</v>
      </c>
      <c r="K57" s="168">
        <f ca="1">IF($C57-K$1&lt;År1,0,J56*(1-VLOOKUP($A57,[1]Hugst!$R$5:$W$9,MATCH(ROUNDUP((K$1)/10,0)*10,[1]Hugst!$R$4:$W$4,0))))</f>
        <v>829.40321377157738</v>
      </c>
      <c r="L57" s="168">
        <f ca="1">IF($C57-L$1&lt;År1,0,K56*(1-VLOOKUP($A57,[1]Hugst!$R$5:$W$9,MATCH(ROUNDUP((L$1)/10,0)*10,[1]Hugst!$R$4:$W$4,0))))</f>
        <v>832.31218208945279</v>
      </c>
      <c r="M57" s="168">
        <f ca="1">IF($C57-M$1&lt;År1,0,L56*(1-VLOOKUP($A57,[1]Hugst!$R$5:$W$9,MATCH(ROUNDUP((M$1)/10,0)*10,[1]Hugst!$R$4:$W$4,0))))</f>
        <v>835.23576833854236</v>
      </c>
      <c r="N57" s="168">
        <f ca="1">IF($C57-N$1&lt;År1,0,M56*(1-VLOOKUP($A57,[1]Hugst!$R$5:$W$9,MATCH(ROUNDUP((N$1)/10,0)*10,[1]Hugst!$R$4:$W$4,0))))</f>
        <v>838.17404597582276</v>
      </c>
      <c r="O57" s="168">
        <f ca="1">IF($C57-O$1&lt;År1,0,N56*(1-VLOOKUP($A57,[1]Hugst!$R$5:$W$9,MATCH(ROUNDUP((O$1)/10,0)*10,[1]Hugst!$R$4:$W$4,0))))</f>
        <v>841.12708882738002</v>
      </c>
      <c r="P57" s="168">
        <f ca="1">IF($C57-P$1&lt;År1,0,O56*(1-VLOOKUP($A57,[1]Hugst!$R$5:$W$9,MATCH(ROUNDUP((P$1)/10,0)*10,[1]Hugst!$R$4:$W$4,0))))</f>
        <v>844.09497109022846</v>
      </c>
      <c r="Q57" s="168">
        <f ca="1">IF($C57-Q$1&lt;År1,0,P56*(1-VLOOKUP($A57,[1]Hugst!$R$5:$W$9,MATCH(ROUNDUP((Q$1)/10,0)*10,[1]Hugst!$R$4:$W$4,0))))</f>
        <v>847.07776733430433</v>
      </c>
      <c r="R57" s="168">
        <f ca="1">IF($C57-R$1&lt;År1,0,Q56*(1-VLOOKUP($A57,[1]Hugst!$R$5:$W$9,MATCH(ROUNDUP((R$1)/10,0)*10,[1]Hugst!$R$4:$W$4,0))))</f>
        <v>850.07555250424116</v>
      </c>
      <c r="S57" s="168">
        <f ca="1">IF($C57-S$1&lt;År1,0,R56*(1-VLOOKUP($A57,[1]Hugst!$R$5:$W$9,MATCH(ROUNDUP((S$1)/10,0)*10,[1]Hugst!$R$4:$W$4,0))))</f>
        <v>853.08840192123239</v>
      </c>
      <c r="T57" s="168">
        <f ca="1">IF($C57-T$1&lt;År1,0,S56*(1-VLOOKUP($A57,[1]Hugst!$R$5:$W$9,MATCH(ROUNDUP((T$1)/10,0)*10,[1]Hugst!$R$4:$W$4,0))))</f>
        <v>856.11639128509773</v>
      </c>
      <c r="U57" s="168">
        <f ca="1">IF($C57-U$1&lt;År1,0,T56*(1-VLOOKUP($A57,[1]Hugst!$R$5:$W$9,MATCH(ROUNDUP((U$1)/10,0)*10,[1]Hugst!$R$4:$W$4,0))))</f>
        <v>859.15959667586935</v>
      </c>
      <c r="V57" s="168">
        <f ca="1">IF($C57-V$1&lt;År1,0,U56*(1-VLOOKUP($A57,[1]Hugst!$R$5:$W$9,MATCH(ROUNDUP((V$1)/10,0)*10,[1]Hugst!$R$4:$W$4,0))))</f>
        <v>862.21809455606194</v>
      </c>
      <c r="W57" s="168">
        <f ca="1">IF($C57-W$1&lt;År1,0,V56*(1-VLOOKUP($A57,[1]Hugst!$R$5:$W$9,MATCH(ROUNDUP((W$1)/10,0)*10,[1]Hugst!$R$4:$W$4,0))))</f>
        <v>865.29196177231711</v>
      </c>
      <c r="X57" s="168">
        <f ca="1">IF($C57-X$1&lt;År1,0,W56*(1-VLOOKUP($A57,[1]Hugst!$R$5:$W$9,MATCH(ROUNDUP((X$1)/10,0)*10,[1]Hugst!$R$4:$W$4,0))))</f>
        <v>868.38127555754249</v>
      </c>
      <c r="Y57" s="168">
        <f ca="1">IF($C57-Y$1&lt;År1,0,X56*(1-VLOOKUP($A57,[1]Hugst!$R$5:$W$9,MATCH(ROUNDUP((Y$1)/10,0)*10,[1]Hugst!$R$4:$W$4,0))))</f>
        <v>871.48611353258525</v>
      </c>
      <c r="Z57" s="168">
        <f ca="1">IF($C57-Z$1&lt;År1,0,Y56*(1-VLOOKUP($A57,[1]Hugst!$R$5:$W$9,MATCH(ROUNDUP((Z$1)/10,0)*10,[1]Hugst!$R$4:$W$4,0))))</f>
        <v>874.60655370854579</v>
      </c>
      <c r="AA57" s="168">
        <f ca="1">IF($C57-AA$1&lt;År1,0,Z56*(1-VLOOKUP($A57,[1]Hugst!$R$5:$W$9,MATCH(ROUNDUP((AA$1)/10,0)*10,[1]Hugst!$R$4:$W$4,0))))</f>
        <v>877.7426744883785</v>
      </c>
      <c r="AB57" s="168">
        <f ca="1">IF($C57-AB$1&lt;År1,0,AA56*(1-VLOOKUP($A57,[1]Hugst!$R$5:$W$9,MATCH(ROUNDUP((AB$1)/10,0)*10,[1]Hugst!$R$4:$W$4,0))))</f>
        <v>880.89455466914728</v>
      </c>
      <c r="AC57" s="168">
        <f ca="1">IF($C57-AC$1&lt;År1,0,AB56*(1-VLOOKUP($A57,[1]Hugst!$R$5:$W$9,MATCH(ROUNDUP((AC$1)/10,0)*10,[1]Hugst!$R$4:$W$4,0))))</f>
        <v>884.0622734437718</v>
      </c>
      <c r="AD57" s="168">
        <f ca="1">IF($C57-AD$1&lt;År1,0,AC56*(1-VLOOKUP($A57,[1]Hugst!$R$5:$W$9,MATCH(ROUNDUP((AD$1)/10,0)*10,[1]Hugst!$R$4:$W$4,0))))</f>
        <v>887.24591040319569</v>
      </c>
      <c r="AE57" s="168">
        <f>IF($C57-AE$1&lt;År1,0,AD56*(1-VLOOKUP($A57,[1]Hugst!$R$5:$W$9,MATCH(ROUNDUP((AE$1)/10,0)*10,[1]Hugst!$R$4:$W$4,0))))</f>
        <v>0</v>
      </c>
      <c r="AF57" s="168">
        <f>IF($C57-AF$1&lt;År1,0,AE56*(1-VLOOKUP($A57,[1]Hugst!$R$5:$W$9,MATCH(ROUNDUP((AF$1)/10,0)*10,[1]Hugst!$R$4:$W$4,0))))</f>
        <v>0</v>
      </c>
      <c r="AG57" s="168">
        <f>IF($C57-AG$1&lt;År1,0,AF56*(1-VLOOKUP($A57,[1]Hugst!$R$5:$W$9,MATCH(ROUNDUP((AG$1)/10,0)*10,[1]Hugst!$R$4:$W$4,0))))</f>
        <v>0</v>
      </c>
      <c r="AH57" s="168">
        <f>IF($C57-AH$1&lt;År1,0,AG56*(1-VLOOKUP($A57,[1]Hugst!$R$5:$W$9,MATCH(ROUNDUP((AH$1)/10,0)*10,[1]Hugst!$R$4:$W$4,0))))</f>
        <v>0</v>
      </c>
      <c r="AI57" s="168">
        <f>IF($C57-AI$1&lt;År1,0,AH56*(1-VLOOKUP($A57,[1]Hugst!$R$5:$W$9,MATCH(ROUNDUP((AI$1)/10,0)*10,[1]Hugst!$R$4:$W$4,0))))</f>
        <v>0</v>
      </c>
      <c r="AJ57" s="168">
        <f>IF($C57-AJ$1&lt;År1,0,AI56*(1-VLOOKUP($A57,[1]Hugst!$R$5:$W$9,MATCH(ROUNDUP((AJ$1)/10,0)*10,[1]Hugst!$R$4:$W$4,0))))</f>
        <v>0</v>
      </c>
    </row>
    <row r="58" spans="1:39" s="168" customFormat="1" x14ac:dyDescent="0.25">
      <c r="A58" s="168" t="s">
        <v>176</v>
      </c>
      <c r="B58" s="168" t="s">
        <v>24</v>
      </c>
      <c r="C58" s="168">
        <v>2045</v>
      </c>
      <c r="D58" s="168" cm="1">
        <f t="array" ref="D58">(IF(B58="Vestdanmark",Skovbrug!$C$22-(Skovbrug!$C$22)*(1-Skovbrug!$C$9)^(C58-Skovbrug!$B$12),Skovbrug!$F$22-(Skovbrug!$F$22)*(1-Skovbrug!$C$9)^(C58-Skovbrug!$B$12))*VLOOKUP(A58,Skovbrug!$A$13:$D$17,IF('Skovbrug-alder'!C58&lt;=År2,3,4),FALSE)-IF(C58&gt;2020,SUM(INDEX($C$1:$D$311,MATCH(1,(2020=$C$1:$C$311)*(B58=$B$1:$B$311)*(A58=$A$1:$A$311),0),2):D57),0))</f>
        <v>561.73379436065443</v>
      </c>
      <c r="E58" s="168">
        <f t="shared" ca="1" si="0"/>
        <v>0</v>
      </c>
      <c r="F58" s="168">
        <f ca="1">IF(C58&lt;=År2,IF(B58="Vestdanmark",(Arealanvendelse!$M$27-Arealanvendelse!$J$27),(Arealanvendelse!$M$37-Arealanvendelse!$J$37))/(Arealanvendelse!$M$3-Arealanvendelse!$J$3),IF(B58="Vestdanmark",(Arealanvendelse!$P$27-Arealanvendelse!$M$27),(Arealanvendelse!$P$37-Arealanvendelse!$M$37))/(Arealanvendelse!$P$3-Arealanvendelse!$M$3))*VLOOKUP(A58,Skovbrug!$A$13:$D$17,IF('Skovbrug-alder'!C58&lt;=År2,3,4),FALSE)+D58+E58</f>
        <v>812.25231287917336</v>
      </c>
      <c r="G58" s="168">
        <f ca="1">IF($C58-G$1&lt;År1,0,F57*(1-VLOOKUP($A58,[1]Hugst!$R$5:$W$9,MATCH(ROUNDUP((G$1)/10,0)*10,[1]Hugst!$R$4:$W$4,0))))</f>
        <v>815.07509576540247</v>
      </c>
      <c r="H58" s="168">
        <f ca="1">IF($C58-H$1&lt;År1,0,G57*(1-VLOOKUP($A58,[1]Hugst!$R$5:$W$9,MATCH(ROUNDUP((H$1)/10,0)*10,[1]Hugst!$R$4:$W$4,0))))</f>
        <v>817.91206349027266</v>
      </c>
      <c r="I58" s="168">
        <f ca="1">IF($C58-I$1&lt;År1,0,H57*(1-VLOOKUP($A58,[1]Hugst!$R$5:$W$9,MATCH(ROUNDUP((I$1)/10,0)*10,[1]Hugst!$R$4:$W$4,0))))</f>
        <v>820.76328733434707</v>
      </c>
      <c r="J58" s="168">
        <f ca="1">IF($C58-J$1&lt;År1,0,I57*(1-VLOOKUP($A58,[1]Hugst!$R$5:$W$9,MATCH(ROUNDUP((J$1)/10,0)*10,[1]Hugst!$R$4:$W$4,0))))</f>
        <v>823.62883893644243</v>
      </c>
      <c r="K58" s="168">
        <f ca="1">IF($C58-K$1&lt;År1,0,J57*(1-VLOOKUP($A58,[1]Hugst!$R$5:$W$9,MATCH(ROUNDUP((K$1)/10,0)*10,[1]Hugst!$R$4:$W$4,0))))</f>
        <v>826.50879029531711</v>
      </c>
      <c r="L58" s="168">
        <f ca="1">IF($C58-L$1&lt;År1,0,K57*(1-VLOOKUP($A58,[1]Hugst!$R$5:$W$9,MATCH(ROUNDUP((L$1)/10,0)*10,[1]Hugst!$R$4:$W$4,0))))</f>
        <v>829.40321377157738</v>
      </c>
      <c r="M58" s="168">
        <f ca="1">IF($C58-M$1&lt;År1,0,L57*(1-VLOOKUP($A58,[1]Hugst!$R$5:$W$9,MATCH(ROUNDUP((M$1)/10,0)*10,[1]Hugst!$R$4:$W$4,0))))</f>
        <v>832.31218208945279</v>
      </c>
      <c r="N58" s="168">
        <f ca="1">IF($C58-N$1&lt;År1,0,M57*(1-VLOOKUP($A58,[1]Hugst!$R$5:$W$9,MATCH(ROUNDUP((N$1)/10,0)*10,[1]Hugst!$R$4:$W$4,0))))</f>
        <v>835.23576833854236</v>
      </c>
      <c r="O58" s="168">
        <f ca="1">IF($C58-O$1&lt;År1,0,N57*(1-VLOOKUP($A58,[1]Hugst!$R$5:$W$9,MATCH(ROUNDUP((O$1)/10,0)*10,[1]Hugst!$R$4:$W$4,0))))</f>
        <v>838.17404597582276</v>
      </c>
      <c r="P58" s="168">
        <f ca="1">IF($C58-P$1&lt;År1,0,O57*(1-VLOOKUP($A58,[1]Hugst!$R$5:$W$9,MATCH(ROUNDUP((P$1)/10,0)*10,[1]Hugst!$R$4:$W$4,0))))</f>
        <v>841.12708882738002</v>
      </c>
      <c r="Q58" s="168">
        <f ca="1">IF($C58-Q$1&lt;År1,0,P57*(1-VLOOKUP($A58,[1]Hugst!$R$5:$W$9,MATCH(ROUNDUP((Q$1)/10,0)*10,[1]Hugst!$R$4:$W$4,0))))</f>
        <v>844.09497109022846</v>
      </c>
      <c r="R58" s="168">
        <f ca="1">IF($C58-R$1&lt;År1,0,Q57*(1-VLOOKUP($A58,[1]Hugst!$R$5:$W$9,MATCH(ROUNDUP((R$1)/10,0)*10,[1]Hugst!$R$4:$W$4,0))))</f>
        <v>847.07776733430433</v>
      </c>
      <c r="S58" s="168">
        <f ca="1">IF($C58-S$1&lt;År1,0,R57*(1-VLOOKUP($A58,[1]Hugst!$R$5:$W$9,MATCH(ROUNDUP((S$1)/10,0)*10,[1]Hugst!$R$4:$W$4,0))))</f>
        <v>850.07555250424116</v>
      </c>
      <c r="T58" s="168">
        <f ca="1">IF($C58-T$1&lt;År1,0,S57*(1-VLOOKUP($A58,[1]Hugst!$R$5:$W$9,MATCH(ROUNDUP((T$1)/10,0)*10,[1]Hugst!$R$4:$W$4,0))))</f>
        <v>853.08840192123239</v>
      </c>
      <c r="U58" s="168">
        <f ca="1">IF($C58-U$1&lt;År1,0,T57*(1-VLOOKUP($A58,[1]Hugst!$R$5:$W$9,MATCH(ROUNDUP((U$1)/10,0)*10,[1]Hugst!$R$4:$W$4,0))))</f>
        <v>856.11639128509773</v>
      </c>
      <c r="V58" s="168">
        <f ca="1">IF($C58-V$1&lt;År1,0,U57*(1-VLOOKUP($A58,[1]Hugst!$R$5:$W$9,MATCH(ROUNDUP((V$1)/10,0)*10,[1]Hugst!$R$4:$W$4,0))))</f>
        <v>859.15959667586935</v>
      </c>
      <c r="W58" s="168">
        <f ca="1">IF($C58-W$1&lt;År1,0,V57*(1-VLOOKUP($A58,[1]Hugst!$R$5:$W$9,MATCH(ROUNDUP((W$1)/10,0)*10,[1]Hugst!$R$4:$W$4,0))))</f>
        <v>862.21809455606194</v>
      </c>
      <c r="X58" s="168">
        <f ca="1">IF($C58-X$1&lt;År1,0,W57*(1-VLOOKUP($A58,[1]Hugst!$R$5:$W$9,MATCH(ROUNDUP((X$1)/10,0)*10,[1]Hugst!$R$4:$W$4,0))))</f>
        <v>865.29196177231711</v>
      </c>
      <c r="Y58" s="168">
        <f ca="1">IF($C58-Y$1&lt;År1,0,X57*(1-VLOOKUP($A58,[1]Hugst!$R$5:$W$9,MATCH(ROUNDUP((Y$1)/10,0)*10,[1]Hugst!$R$4:$W$4,0))))</f>
        <v>868.38127555754249</v>
      </c>
      <c r="Z58" s="168">
        <f ca="1">IF($C58-Z$1&lt;År1,0,Y57*(1-VLOOKUP($A58,[1]Hugst!$R$5:$W$9,MATCH(ROUNDUP((Z$1)/10,0)*10,[1]Hugst!$R$4:$W$4,0))))</f>
        <v>871.48611353258525</v>
      </c>
      <c r="AA58" s="168">
        <f ca="1">IF($C58-AA$1&lt;År1,0,Z57*(1-VLOOKUP($A58,[1]Hugst!$R$5:$W$9,MATCH(ROUNDUP((AA$1)/10,0)*10,[1]Hugst!$R$4:$W$4,0))))</f>
        <v>874.60655370854579</v>
      </c>
      <c r="AB58" s="168">
        <f ca="1">IF($C58-AB$1&lt;År1,0,AA57*(1-VLOOKUP($A58,[1]Hugst!$R$5:$W$9,MATCH(ROUNDUP((AB$1)/10,0)*10,[1]Hugst!$R$4:$W$4,0))))</f>
        <v>877.7426744883785</v>
      </c>
      <c r="AC58" s="168">
        <f ca="1">IF($C58-AC$1&lt;År1,0,AB57*(1-VLOOKUP($A58,[1]Hugst!$R$5:$W$9,MATCH(ROUNDUP((AC$1)/10,0)*10,[1]Hugst!$R$4:$W$4,0))))</f>
        <v>880.89455466914728</v>
      </c>
      <c r="AD58" s="168">
        <f ca="1">IF($C58-AD$1&lt;År1,0,AC57*(1-VLOOKUP($A58,[1]Hugst!$R$5:$W$9,MATCH(ROUNDUP((AD$1)/10,0)*10,[1]Hugst!$R$4:$W$4,0))))</f>
        <v>884.0622734437718</v>
      </c>
      <c r="AE58" s="168">
        <f ca="1">IF($C58-AE$1&lt;År1,0,AD57*(1-VLOOKUP($A58,[1]Hugst!$R$5:$W$9,MATCH(ROUNDUP((AE$1)/10,0)*10,[1]Hugst!$R$4:$W$4,0))))</f>
        <v>887.24591040319569</v>
      </c>
      <c r="AF58" s="168">
        <f>IF($C58-AF$1&lt;År1,0,AE57*(1-VLOOKUP($A58,[1]Hugst!$R$5:$W$9,MATCH(ROUNDUP((AF$1)/10,0)*10,[1]Hugst!$R$4:$W$4,0))))</f>
        <v>0</v>
      </c>
      <c r="AG58" s="168">
        <f>IF($C58-AG$1&lt;År1,0,AF57*(1-VLOOKUP($A58,[1]Hugst!$R$5:$W$9,MATCH(ROUNDUP((AG$1)/10,0)*10,[1]Hugst!$R$4:$W$4,0))))</f>
        <v>0</v>
      </c>
      <c r="AH58" s="168">
        <f>IF($C58-AH$1&lt;År1,0,AG57*(1-VLOOKUP($A58,[1]Hugst!$R$5:$W$9,MATCH(ROUNDUP((AH$1)/10,0)*10,[1]Hugst!$R$4:$W$4,0))))</f>
        <v>0</v>
      </c>
      <c r="AI58" s="168">
        <f>IF($C58-AI$1&lt;År1,0,AH57*(1-VLOOKUP($A58,[1]Hugst!$R$5:$W$9,MATCH(ROUNDUP((AI$1)/10,0)*10,[1]Hugst!$R$4:$W$4,0))))</f>
        <v>0</v>
      </c>
      <c r="AJ58" s="168">
        <f>IF($C58-AJ$1&lt;År1,0,AI57*(1-VLOOKUP($A58,[1]Hugst!$R$5:$W$9,MATCH(ROUNDUP((AJ$1)/10,0)*10,[1]Hugst!$R$4:$W$4,0))))</f>
        <v>0</v>
      </c>
    </row>
    <row r="59" spans="1:39" s="168" customFormat="1" x14ac:dyDescent="0.25">
      <c r="A59" s="168" t="s">
        <v>176</v>
      </c>
      <c r="B59" s="168" t="s">
        <v>24</v>
      </c>
      <c r="C59" s="168">
        <v>2046</v>
      </c>
      <c r="D59" s="168" cm="1">
        <f t="array" ref="D59">(IF(B59="Vestdanmark",Skovbrug!$C$22-(Skovbrug!$C$22)*(1-Skovbrug!$C$9)^(C59-Skovbrug!$B$12),Skovbrug!$F$22-(Skovbrug!$F$22)*(1-Skovbrug!$C$9)^(C59-Skovbrug!$B$12))*VLOOKUP(A59,Skovbrug!$A$13:$D$17,IF('Skovbrug-alder'!C59&lt;=År2,3,4),FALSE)-IF(C59&gt;2020,SUM(INDEX($C$1:$D$311,MATCH(1,(2020=$C$1:$C$311)*(B59=$B$1:$B$311)*(A59=$A$1:$A$311),0),2):D58),0))</f>
        <v>558.92512538886513</v>
      </c>
      <c r="E59" s="168">
        <f t="shared" ca="1" si="0"/>
        <v>0</v>
      </c>
      <c r="F59" s="168">
        <f ca="1">IF(C59&lt;=År2,IF(B59="Vestdanmark",(Arealanvendelse!$M$27-Arealanvendelse!$J$27),(Arealanvendelse!$M$37-Arealanvendelse!$J$37))/(Arealanvendelse!$M$3-Arealanvendelse!$J$3),IF(B59="Vestdanmark",(Arealanvendelse!$P$27-Arealanvendelse!$M$27),(Arealanvendelse!$P$37-Arealanvendelse!$M$37))/(Arealanvendelse!$P$3-Arealanvendelse!$M$3))*VLOOKUP(A59,Skovbrug!$A$13:$D$17,IF('Skovbrug-alder'!C59&lt;=År2,3,4),FALSE)+D59+E59</f>
        <v>809.44364390738406</v>
      </c>
      <c r="G59" s="168">
        <f ca="1">IF($C59-G$1&lt;År1,0,F58*(1-VLOOKUP($A59,[1]Hugst!$R$5:$W$9,MATCH(ROUNDUP((G$1)/10,0)*10,[1]Hugst!$R$4:$W$4,0))))</f>
        <v>812.25231287917336</v>
      </c>
      <c r="H59" s="168">
        <f ca="1">IF($C59-H$1&lt;År1,0,G58*(1-VLOOKUP($A59,[1]Hugst!$R$5:$W$9,MATCH(ROUNDUP((H$1)/10,0)*10,[1]Hugst!$R$4:$W$4,0))))</f>
        <v>815.07509576540247</v>
      </c>
      <c r="I59" s="168">
        <f ca="1">IF($C59-I$1&lt;År1,0,H58*(1-VLOOKUP($A59,[1]Hugst!$R$5:$W$9,MATCH(ROUNDUP((I$1)/10,0)*10,[1]Hugst!$R$4:$W$4,0))))</f>
        <v>817.91206349027266</v>
      </c>
      <c r="J59" s="168">
        <f ca="1">IF($C59-J$1&lt;År1,0,I58*(1-VLOOKUP($A59,[1]Hugst!$R$5:$W$9,MATCH(ROUNDUP((J$1)/10,0)*10,[1]Hugst!$R$4:$W$4,0))))</f>
        <v>820.76328733434707</v>
      </c>
      <c r="K59" s="168">
        <f ca="1">IF($C59-K$1&lt;År1,0,J58*(1-VLOOKUP($A59,[1]Hugst!$R$5:$W$9,MATCH(ROUNDUP((K$1)/10,0)*10,[1]Hugst!$R$4:$W$4,0))))</f>
        <v>823.62883893644243</v>
      </c>
      <c r="L59" s="168">
        <f ca="1">IF($C59-L$1&lt;År1,0,K58*(1-VLOOKUP($A59,[1]Hugst!$R$5:$W$9,MATCH(ROUNDUP((L$1)/10,0)*10,[1]Hugst!$R$4:$W$4,0))))</f>
        <v>826.50879029531711</v>
      </c>
      <c r="M59" s="168">
        <f ca="1">IF($C59-M$1&lt;År1,0,L58*(1-VLOOKUP($A59,[1]Hugst!$R$5:$W$9,MATCH(ROUNDUP((M$1)/10,0)*10,[1]Hugst!$R$4:$W$4,0))))</f>
        <v>829.40321377157738</v>
      </c>
      <c r="N59" s="168">
        <f ca="1">IF($C59-N$1&lt;År1,0,M58*(1-VLOOKUP($A59,[1]Hugst!$R$5:$W$9,MATCH(ROUNDUP((N$1)/10,0)*10,[1]Hugst!$R$4:$W$4,0))))</f>
        <v>832.31218208945279</v>
      </c>
      <c r="O59" s="168">
        <f ca="1">IF($C59-O$1&lt;År1,0,N58*(1-VLOOKUP($A59,[1]Hugst!$R$5:$W$9,MATCH(ROUNDUP((O$1)/10,0)*10,[1]Hugst!$R$4:$W$4,0))))</f>
        <v>835.23576833854236</v>
      </c>
      <c r="P59" s="168">
        <f ca="1">IF($C59-P$1&lt;År1,0,O58*(1-VLOOKUP($A59,[1]Hugst!$R$5:$W$9,MATCH(ROUNDUP((P$1)/10,0)*10,[1]Hugst!$R$4:$W$4,0))))</f>
        <v>838.17404597582276</v>
      </c>
      <c r="Q59" s="168">
        <f ca="1">IF($C59-Q$1&lt;År1,0,P58*(1-VLOOKUP($A59,[1]Hugst!$R$5:$W$9,MATCH(ROUNDUP((Q$1)/10,0)*10,[1]Hugst!$R$4:$W$4,0))))</f>
        <v>841.12708882738002</v>
      </c>
      <c r="R59" s="168">
        <f ca="1">IF($C59-R$1&lt;År1,0,Q58*(1-VLOOKUP($A59,[1]Hugst!$R$5:$W$9,MATCH(ROUNDUP((R$1)/10,0)*10,[1]Hugst!$R$4:$W$4,0))))</f>
        <v>844.09497109022846</v>
      </c>
      <c r="S59" s="168">
        <f ca="1">IF($C59-S$1&lt;År1,0,R58*(1-VLOOKUP($A59,[1]Hugst!$R$5:$W$9,MATCH(ROUNDUP((S$1)/10,0)*10,[1]Hugst!$R$4:$W$4,0))))</f>
        <v>847.07776733430433</v>
      </c>
      <c r="T59" s="168">
        <f ca="1">IF($C59-T$1&lt;År1,0,S58*(1-VLOOKUP($A59,[1]Hugst!$R$5:$W$9,MATCH(ROUNDUP((T$1)/10,0)*10,[1]Hugst!$R$4:$W$4,0))))</f>
        <v>850.07555250424116</v>
      </c>
      <c r="U59" s="168">
        <f ca="1">IF($C59-U$1&lt;År1,0,T58*(1-VLOOKUP($A59,[1]Hugst!$R$5:$W$9,MATCH(ROUNDUP((U$1)/10,0)*10,[1]Hugst!$R$4:$W$4,0))))</f>
        <v>853.08840192123239</v>
      </c>
      <c r="V59" s="168">
        <f ca="1">IF($C59-V$1&lt;År1,0,U58*(1-VLOOKUP($A59,[1]Hugst!$R$5:$W$9,MATCH(ROUNDUP((V$1)/10,0)*10,[1]Hugst!$R$4:$W$4,0))))</f>
        <v>856.11639128509773</v>
      </c>
      <c r="W59" s="168">
        <f ca="1">IF($C59-W$1&lt;År1,0,V58*(1-VLOOKUP($A59,[1]Hugst!$R$5:$W$9,MATCH(ROUNDUP((W$1)/10,0)*10,[1]Hugst!$R$4:$W$4,0))))</f>
        <v>859.15959667586935</v>
      </c>
      <c r="X59" s="168">
        <f ca="1">IF($C59-X$1&lt;År1,0,W58*(1-VLOOKUP($A59,[1]Hugst!$R$5:$W$9,MATCH(ROUNDUP((X$1)/10,0)*10,[1]Hugst!$R$4:$W$4,0))))</f>
        <v>862.21809455606194</v>
      </c>
      <c r="Y59" s="168">
        <f ca="1">IF($C59-Y$1&lt;År1,0,X58*(1-VLOOKUP($A59,[1]Hugst!$R$5:$W$9,MATCH(ROUNDUP((Y$1)/10,0)*10,[1]Hugst!$R$4:$W$4,0))))</f>
        <v>865.29196177231711</v>
      </c>
      <c r="Z59" s="168">
        <f ca="1">IF($C59-Z$1&lt;År1,0,Y58*(1-VLOOKUP($A59,[1]Hugst!$R$5:$W$9,MATCH(ROUNDUP((Z$1)/10,0)*10,[1]Hugst!$R$4:$W$4,0))))</f>
        <v>868.38127555754249</v>
      </c>
      <c r="AA59" s="168">
        <f ca="1">IF($C59-AA$1&lt;År1,0,Z58*(1-VLOOKUP($A59,[1]Hugst!$R$5:$W$9,MATCH(ROUNDUP((AA$1)/10,0)*10,[1]Hugst!$R$4:$W$4,0))))</f>
        <v>871.48611353258525</v>
      </c>
      <c r="AB59" s="168">
        <f ca="1">IF($C59-AB$1&lt;År1,0,AA58*(1-VLOOKUP($A59,[1]Hugst!$R$5:$W$9,MATCH(ROUNDUP((AB$1)/10,0)*10,[1]Hugst!$R$4:$W$4,0))))</f>
        <v>874.60655370854579</v>
      </c>
      <c r="AC59" s="168">
        <f ca="1">IF($C59-AC$1&lt;År1,0,AB58*(1-VLOOKUP($A59,[1]Hugst!$R$5:$W$9,MATCH(ROUNDUP((AC$1)/10,0)*10,[1]Hugst!$R$4:$W$4,0))))</f>
        <v>877.7426744883785</v>
      </c>
      <c r="AD59" s="168">
        <f ca="1">IF($C59-AD$1&lt;År1,0,AC58*(1-VLOOKUP($A59,[1]Hugst!$R$5:$W$9,MATCH(ROUNDUP((AD$1)/10,0)*10,[1]Hugst!$R$4:$W$4,0))))</f>
        <v>880.89455466914728</v>
      </c>
      <c r="AE59" s="168">
        <f ca="1">IF($C59-AE$1&lt;År1,0,AD58*(1-VLOOKUP($A59,[1]Hugst!$R$5:$W$9,MATCH(ROUNDUP((AE$1)/10,0)*10,[1]Hugst!$R$4:$W$4,0))))</f>
        <v>884.0622734437718</v>
      </c>
      <c r="AF59" s="168">
        <f ca="1">IF($C59-AF$1&lt;År1,0,AE58*(1-VLOOKUP($A59,[1]Hugst!$R$5:$W$9,MATCH(ROUNDUP((AF$1)/10,0)*10,[1]Hugst!$R$4:$W$4,0))))</f>
        <v>887.24591040319569</v>
      </c>
      <c r="AG59" s="168">
        <f>IF($C59-AG$1&lt;År1,0,AF58*(1-VLOOKUP($A59,[1]Hugst!$R$5:$W$9,MATCH(ROUNDUP((AG$1)/10,0)*10,[1]Hugst!$R$4:$W$4,0))))</f>
        <v>0</v>
      </c>
      <c r="AH59" s="168">
        <f>IF($C59-AH$1&lt;År1,0,AG58*(1-VLOOKUP($A59,[1]Hugst!$R$5:$W$9,MATCH(ROUNDUP((AH$1)/10,0)*10,[1]Hugst!$R$4:$W$4,0))))</f>
        <v>0</v>
      </c>
      <c r="AI59" s="168">
        <f>IF($C59-AI$1&lt;År1,0,AH58*(1-VLOOKUP($A59,[1]Hugst!$R$5:$W$9,MATCH(ROUNDUP((AI$1)/10,0)*10,[1]Hugst!$R$4:$W$4,0))))</f>
        <v>0</v>
      </c>
      <c r="AJ59" s="168">
        <f>IF($C59-AJ$1&lt;År1,0,AI58*(1-VLOOKUP($A59,[1]Hugst!$R$5:$W$9,MATCH(ROUNDUP((AJ$1)/10,0)*10,[1]Hugst!$R$4:$W$4,0))))</f>
        <v>0</v>
      </c>
    </row>
    <row r="60" spans="1:39" s="168" customFormat="1" x14ac:dyDescent="0.25">
      <c r="A60" s="168" t="s">
        <v>176</v>
      </c>
      <c r="B60" s="168" t="s">
        <v>24</v>
      </c>
      <c r="C60" s="168">
        <v>2047</v>
      </c>
      <c r="D60" s="168" cm="1">
        <f t="array" ref="D60">(IF(B60="Vestdanmark",Skovbrug!$C$22-(Skovbrug!$C$22)*(1-Skovbrug!$C$9)^(C60-Skovbrug!$B$12),Skovbrug!$F$22-(Skovbrug!$F$22)*(1-Skovbrug!$C$9)^(C60-Skovbrug!$B$12))*VLOOKUP(A60,Skovbrug!$A$13:$D$17,IF('Skovbrug-alder'!C60&lt;=År2,3,4),FALSE)-IF(C60&gt;2020,SUM(INDEX($C$1:$D$311,MATCH(1,(2020=$C$1:$C$311)*(B60=$B$1:$B$311)*(A60=$A$1:$A$311),0),2):D59),0))</f>
        <v>556.13049976188631</v>
      </c>
      <c r="E60" s="168">
        <f t="shared" ca="1" si="0"/>
        <v>0</v>
      </c>
      <c r="F60" s="168">
        <f ca="1">IF(C60&lt;=År2,IF(B60="Vestdanmark",(Arealanvendelse!$M$27-Arealanvendelse!$J$27),(Arealanvendelse!$M$37-Arealanvendelse!$J$37))/(Arealanvendelse!$M$3-Arealanvendelse!$J$3),IF(B60="Vestdanmark",(Arealanvendelse!$P$27-Arealanvendelse!$M$27),(Arealanvendelse!$P$37-Arealanvendelse!$M$37))/(Arealanvendelse!$P$3-Arealanvendelse!$M$3))*VLOOKUP(A60,Skovbrug!$A$13:$D$17,IF('Skovbrug-alder'!C60&lt;=År2,3,4),FALSE)+D60+E60</f>
        <v>806.64901828040524</v>
      </c>
      <c r="G60" s="168">
        <f ca="1">IF($C60-G$1&lt;År1,0,F59*(1-VLOOKUP($A60,[1]Hugst!$R$5:$W$9,MATCH(ROUNDUP((G$1)/10,0)*10,[1]Hugst!$R$4:$W$4,0))))</f>
        <v>809.44364390738406</v>
      </c>
      <c r="H60" s="168">
        <f ca="1">IF($C60-H$1&lt;År1,0,G59*(1-VLOOKUP($A60,[1]Hugst!$R$5:$W$9,MATCH(ROUNDUP((H$1)/10,0)*10,[1]Hugst!$R$4:$W$4,0))))</f>
        <v>812.25231287917336</v>
      </c>
      <c r="I60" s="168">
        <f ca="1">IF($C60-I$1&lt;År1,0,H59*(1-VLOOKUP($A60,[1]Hugst!$R$5:$W$9,MATCH(ROUNDUP((I$1)/10,0)*10,[1]Hugst!$R$4:$W$4,0))))</f>
        <v>815.07509576540247</v>
      </c>
      <c r="J60" s="168">
        <f ca="1">IF($C60-J$1&lt;År1,0,I59*(1-VLOOKUP($A60,[1]Hugst!$R$5:$W$9,MATCH(ROUNDUP((J$1)/10,0)*10,[1]Hugst!$R$4:$W$4,0))))</f>
        <v>817.91206349027266</v>
      </c>
      <c r="K60" s="168">
        <f ca="1">IF($C60-K$1&lt;År1,0,J59*(1-VLOOKUP($A60,[1]Hugst!$R$5:$W$9,MATCH(ROUNDUP((K$1)/10,0)*10,[1]Hugst!$R$4:$W$4,0))))</f>
        <v>820.76328733434707</v>
      </c>
      <c r="L60" s="168">
        <f ca="1">IF($C60-L$1&lt;År1,0,K59*(1-VLOOKUP($A60,[1]Hugst!$R$5:$W$9,MATCH(ROUNDUP((L$1)/10,0)*10,[1]Hugst!$R$4:$W$4,0))))</f>
        <v>823.62883893644243</v>
      </c>
      <c r="M60" s="168">
        <f ca="1">IF($C60-M$1&lt;År1,0,L59*(1-VLOOKUP($A60,[1]Hugst!$R$5:$W$9,MATCH(ROUNDUP((M$1)/10,0)*10,[1]Hugst!$R$4:$W$4,0))))</f>
        <v>826.50879029531711</v>
      </c>
      <c r="N60" s="168">
        <f ca="1">IF($C60-N$1&lt;År1,0,M59*(1-VLOOKUP($A60,[1]Hugst!$R$5:$W$9,MATCH(ROUNDUP((N$1)/10,0)*10,[1]Hugst!$R$4:$W$4,0))))</f>
        <v>829.40321377157738</v>
      </c>
      <c r="O60" s="168">
        <f ca="1">IF($C60-O$1&lt;År1,0,N59*(1-VLOOKUP($A60,[1]Hugst!$R$5:$W$9,MATCH(ROUNDUP((O$1)/10,0)*10,[1]Hugst!$R$4:$W$4,0))))</f>
        <v>832.31218208945279</v>
      </c>
      <c r="P60" s="168">
        <f ca="1">IF($C60-P$1&lt;År1,0,O59*(1-VLOOKUP($A60,[1]Hugst!$R$5:$W$9,MATCH(ROUNDUP((P$1)/10,0)*10,[1]Hugst!$R$4:$W$4,0))))</f>
        <v>835.23576833854236</v>
      </c>
      <c r="Q60" s="168">
        <f ca="1">IF($C60-Q$1&lt;År1,0,P59*(1-VLOOKUP($A60,[1]Hugst!$R$5:$W$9,MATCH(ROUNDUP((Q$1)/10,0)*10,[1]Hugst!$R$4:$W$4,0))))</f>
        <v>838.17404597582276</v>
      </c>
      <c r="R60" s="168">
        <f ca="1">IF($C60-R$1&lt;År1,0,Q59*(1-VLOOKUP($A60,[1]Hugst!$R$5:$W$9,MATCH(ROUNDUP((R$1)/10,0)*10,[1]Hugst!$R$4:$W$4,0))))</f>
        <v>841.12708882738002</v>
      </c>
      <c r="S60" s="168">
        <f ca="1">IF($C60-S$1&lt;År1,0,R59*(1-VLOOKUP($A60,[1]Hugst!$R$5:$W$9,MATCH(ROUNDUP((S$1)/10,0)*10,[1]Hugst!$R$4:$W$4,0))))</f>
        <v>844.09497109022846</v>
      </c>
      <c r="T60" s="168">
        <f ca="1">IF($C60-T$1&lt;År1,0,S59*(1-VLOOKUP($A60,[1]Hugst!$R$5:$W$9,MATCH(ROUNDUP((T$1)/10,0)*10,[1]Hugst!$R$4:$W$4,0))))</f>
        <v>847.07776733430433</v>
      </c>
      <c r="U60" s="168">
        <f ca="1">IF($C60-U$1&lt;År1,0,T59*(1-VLOOKUP($A60,[1]Hugst!$R$5:$W$9,MATCH(ROUNDUP((U$1)/10,0)*10,[1]Hugst!$R$4:$W$4,0))))</f>
        <v>850.07555250424116</v>
      </c>
      <c r="V60" s="168">
        <f ca="1">IF($C60-V$1&lt;År1,0,U59*(1-VLOOKUP($A60,[1]Hugst!$R$5:$W$9,MATCH(ROUNDUP((V$1)/10,0)*10,[1]Hugst!$R$4:$W$4,0))))</f>
        <v>853.08840192123239</v>
      </c>
      <c r="W60" s="168">
        <f ca="1">IF($C60-W$1&lt;År1,0,V59*(1-VLOOKUP($A60,[1]Hugst!$R$5:$W$9,MATCH(ROUNDUP((W$1)/10,0)*10,[1]Hugst!$R$4:$W$4,0))))</f>
        <v>856.11639128509773</v>
      </c>
      <c r="X60" s="168">
        <f ca="1">IF($C60-X$1&lt;År1,0,W59*(1-VLOOKUP($A60,[1]Hugst!$R$5:$W$9,MATCH(ROUNDUP((X$1)/10,0)*10,[1]Hugst!$R$4:$W$4,0))))</f>
        <v>859.15959667586935</v>
      </c>
      <c r="Y60" s="168">
        <f ca="1">IF($C60-Y$1&lt;År1,0,X59*(1-VLOOKUP($A60,[1]Hugst!$R$5:$W$9,MATCH(ROUNDUP((Y$1)/10,0)*10,[1]Hugst!$R$4:$W$4,0))))</f>
        <v>862.21809455606194</v>
      </c>
      <c r="Z60" s="168">
        <f ca="1">IF($C60-Z$1&lt;År1,0,Y59*(1-VLOOKUP($A60,[1]Hugst!$R$5:$W$9,MATCH(ROUNDUP((Z$1)/10,0)*10,[1]Hugst!$R$4:$W$4,0))))</f>
        <v>865.29196177231711</v>
      </c>
      <c r="AA60" s="168">
        <f ca="1">IF($C60-AA$1&lt;År1,0,Z59*(1-VLOOKUP($A60,[1]Hugst!$R$5:$W$9,MATCH(ROUNDUP((AA$1)/10,0)*10,[1]Hugst!$R$4:$W$4,0))))</f>
        <v>868.38127555754249</v>
      </c>
      <c r="AB60" s="168">
        <f ca="1">IF($C60-AB$1&lt;År1,0,AA59*(1-VLOOKUP($A60,[1]Hugst!$R$5:$W$9,MATCH(ROUNDUP((AB$1)/10,0)*10,[1]Hugst!$R$4:$W$4,0))))</f>
        <v>871.48611353258525</v>
      </c>
      <c r="AC60" s="168">
        <f ca="1">IF($C60-AC$1&lt;År1,0,AB59*(1-VLOOKUP($A60,[1]Hugst!$R$5:$W$9,MATCH(ROUNDUP((AC$1)/10,0)*10,[1]Hugst!$R$4:$W$4,0))))</f>
        <v>874.60655370854579</v>
      </c>
      <c r="AD60" s="168">
        <f ca="1">IF($C60-AD$1&lt;År1,0,AC59*(1-VLOOKUP($A60,[1]Hugst!$R$5:$W$9,MATCH(ROUNDUP((AD$1)/10,0)*10,[1]Hugst!$R$4:$W$4,0))))</f>
        <v>877.7426744883785</v>
      </c>
      <c r="AE60" s="168">
        <f ca="1">IF($C60-AE$1&lt;År1,0,AD59*(1-VLOOKUP($A60,[1]Hugst!$R$5:$W$9,MATCH(ROUNDUP((AE$1)/10,0)*10,[1]Hugst!$R$4:$W$4,0))))</f>
        <v>880.89455466914728</v>
      </c>
      <c r="AF60" s="168">
        <f ca="1">IF($C60-AF$1&lt;År1,0,AE59*(1-VLOOKUP($A60,[1]Hugst!$R$5:$W$9,MATCH(ROUNDUP((AF$1)/10,0)*10,[1]Hugst!$R$4:$W$4,0))))</f>
        <v>884.0622734437718</v>
      </c>
      <c r="AG60" s="168">
        <f ca="1">IF($C60-AG$1&lt;År1,0,AF59*(1-VLOOKUP($A60,[1]Hugst!$R$5:$W$9,MATCH(ROUNDUP((AG$1)/10,0)*10,[1]Hugst!$R$4:$W$4,0))))</f>
        <v>887.24591040319569</v>
      </c>
      <c r="AH60" s="168">
        <f>IF($C60-AH$1&lt;År1,0,AG59*(1-VLOOKUP($A60,[1]Hugst!$R$5:$W$9,MATCH(ROUNDUP((AH$1)/10,0)*10,[1]Hugst!$R$4:$W$4,0))))</f>
        <v>0</v>
      </c>
      <c r="AI60" s="168">
        <f>IF($C60-AI$1&lt;År1,0,AH59*(1-VLOOKUP($A60,[1]Hugst!$R$5:$W$9,MATCH(ROUNDUP((AI$1)/10,0)*10,[1]Hugst!$R$4:$W$4,0))))</f>
        <v>0</v>
      </c>
      <c r="AJ60" s="168">
        <f>IF($C60-AJ$1&lt;År1,0,AI59*(1-VLOOKUP($A60,[1]Hugst!$R$5:$W$9,MATCH(ROUNDUP((AJ$1)/10,0)*10,[1]Hugst!$R$4:$W$4,0))))</f>
        <v>0</v>
      </c>
    </row>
    <row r="61" spans="1:39" s="168" customFormat="1" x14ac:dyDescent="0.25">
      <c r="A61" s="168" t="s">
        <v>176</v>
      </c>
      <c r="B61" s="168" t="s">
        <v>24</v>
      </c>
      <c r="C61" s="168">
        <v>2048</v>
      </c>
      <c r="D61" s="168" cm="1">
        <f t="array" ref="D61">(IF(B61="Vestdanmark",Skovbrug!$C$22-(Skovbrug!$C$22)*(1-Skovbrug!$C$9)^(C61-Skovbrug!$B$12),Skovbrug!$F$22-(Skovbrug!$F$22)*(1-Skovbrug!$C$9)^(C61-Skovbrug!$B$12))*VLOOKUP(A61,Skovbrug!$A$13:$D$17,IF('Skovbrug-alder'!C61&lt;=År2,3,4),FALSE)-IF(C61&gt;2020,SUM(INDEX($C$1:$D$311,MATCH(1,(2020=$C$1:$C$311)*(B61=$B$1:$B$311)*(A61=$A$1:$A$311),0),2):D60),0))</f>
        <v>553.34984726308903</v>
      </c>
      <c r="E61" s="168">
        <f t="shared" ca="1" si="0"/>
        <v>0</v>
      </c>
      <c r="F61" s="168">
        <f ca="1">IF(C61&lt;=År2,IF(B61="Vestdanmark",(Arealanvendelse!$M$27-Arealanvendelse!$J$27),(Arealanvendelse!$M$37-Arealanvendelse!$J$37))/(Arealanvendelse!$M$3-Arealanvendelse!$J$3),IF(B61="Vestdanmark",(Arealanvendelse!$P$27-Arealanvendelse!$M$27),(Arealanvendelse!$P$37-Arealanvendelse!$M$37))/(Arealanvendelse!$P$3-Arealanvendelse!$M$3))*VLOOKUP(A61,Skovbrug!$A$13:$D$17,IF('Skovbrug-alder'!C61&lt;=År2,3,4),FALSE)+D61+E61</f>
        <v>803.86836578160796</v>
      </c>
      <c r="G61" s="168">
        <f ca="1">IF($C61-G$1&lt;År1,0,F60*(1-VLOOKUP($A61,[1]Hugst!$R$5:$W$9,MATCH(ROUNDUP((G$1)/10,0)*10,[1]Hugst!$R$4:$W$4,0))))</f>
        <v>806.64901828040524</v>
      </c>
      <c r="H61" s="168">
        <f ca="1">IF($C61-H$1&lt;År1,0,G60*(1-VLOOKUP($A61,[1]Hugst!$R$5:$W$9,MATCH(ROUNDUP((H$1)/10,0)*10,[1]Hugst!$R$4:$W$4,0))))</f>
        <v>809.44364390738406</v>
      </c>
      <c r="I61" s="168">
        <f ca="1">IF($C61-I$1&lt;År1,0,H60*(1-VLOOKUP($A61,[1]Hugst!$R$5:$W$9,MATCH(ROUNDUP((I$1)/10,0)*10,[1]Hugst!$R$4:$W$4,0))))</f>
        <v>812.25231287917336</v>
      </c>
      <c r="J61" s="168">
        <f ca="1">IF($C61-J$1&lt;År1,0,I60*(1-VLOOKUP($A61,[1]Hugst!$R$5:$W$9,MATCH(ROUNDUP((J$1)/10,0)*10,[1]Hugst!$R$4:$W$4,0))))</f>
        <v>815.07509576540247</v>
      </c>
      <c r="K61" s="168">
        <f ca="1">IF($C61-K$1&lt;År1,0,J60*(1-VLOOKUP($A61,[1]Hugst!$R$5:$W$9,MATCH(ROUNDUP((K$1)/10,0)*10,[1]Hugst!$R$4:$W$4,0))))</f>
        <v>817.91206349027266</v>
      </c>
      <c r="L61" s="168">
        <f ca="1">IF($C61-L$1&lt;År1,0,K60*(1-VLOOKUP($A61,[1]Hugst!$R$5:$W$9,MATCH(ROUNDUP((L$1)/10,0)*10,[1]Hugst!$R$4:$W$4,0))))</f>
        <v>820.76328733434707</v>
      </c>
      <c r="M61" s="168">
        <f ca="1">IF($C61-M$1&lt;År1,0,L60*(1-VLOOKUP($A61,[1]Hugst!$R$5:$W$9,MATCH(ROUNDUP((M$1)/10,0)*10,[1]Hugst!$R$4:$W$4,0))))</f>
        <v>823.62883893644243</v>
      </c>
      <c r="N61" s="168">
        <f ca="1">IF($C61-N$1&lt;År1,0,M60*(1-VLOOKUP($A61,[1]Hugst!$R$5:$W$9,MATCH(ROUNDUP((N$1)/10,0)*10,[1]Hugst!$R$4:$W$4,0))))</f>
        <v>826.50879029531711</v>
      </c>
      <c r="O61" s="168">
        <f ca="1">IF($C61-O$1&lt;År1,0,N60*(1-VLOOKUP($A61,[1]Hugst!$R$5:$W$9,MATCH(ROUNDUP((O$1)/10,0)*10,[1]Hugst!$R$4:$W$4,0))))</f>
        <v>829.40321377157738</v>
      </c>
      <c r="P61" s="168">
        <f ca="1">IF($C61-P$1&lt;År1,0,O60*(1-VLOOKUP($A61,[1]Hugst!$R$5:$W$9,MATCH(ROUNDUP((P$1)/10,0)*10,[1]Hugst!$R$4:$W$4,0))))</f>
        <v>832.31218208945279</v>
      </c>
      <c r="Q61" s="168">
        <f ca="1">IF($C61-Q$1&lt;År1,0,P60*(1-VLOOKUP($A61,[1]Hugst!$R$5:$W$9,MATCH(ROUNDUP((Q$1)/10,0)*10,[1]Hugst!$R$4:$W$4,0))))</f>
        <v>835.23576833854236</v>
      </c>
      <c r="R61" s="168">
        <f ca="1">IF($C61-R$1&lt;År1,0,Q60*(1-VLOOKUP($A61,[1]Hugst!$R$5:$W$9,MATCH(ROUNDUP((R$1)/10,0)*10,[1]Hugst!$R$4:$W$4,0))))</f>
        <v>838.17404597582276</v>
      </c>
      <c r="S61" s="168">
        <f ca="1">IF($C61-S$1&lt;År1,0,R60*(1-VLOOKUP($A61,[1]Hugst!$R$5:$W$9,MATCH(ROUNDUP((S$1)/10,0)*10,[1]Hugst!$R$4:$W$4,0))))</f>
        <v>841.12708882738002</v>
      </c>
      <c r="T61" s="168">
        <f ca="1">IF($C61-T$1&lt;År1,0,S60*(1-VLOOKUP($A61,[1]Hugst!$R$5:$W$9,MATCH(ROUNDUP((T$1)/10,0)*10,[1]Hugst!$R$4:$W$4,0))))</f>
        <v>844.09497109022846</v>
      </c>
      <c r="U61" s="168">
        <f ca="1">IF($C61-U$1&lt;År1,0,T60*(1-VLOOKUP($A61,[1]Hugst!$R$5:$W$9,MATCH(ROUNDUP((U$1)/10,0)*10,[1]Hugst!$R$4:$W$4,0))))</f>
        <v>847.07776733430433</v>
      </c>
      <c r="V61" s="168">
        <f ca="1">IF($C61-V$1&lt;År1,0,U60*(1-VLOOKUP($A61,[1]Hugst!$R$5:$W$9,MATCH(ROUNDUP((V$1)/10,0)*10,[1]Hugst!$R$4:$W$4,0))))</f>
        <v>850.07555250424116</v>
      </c>
      <c r="W61" s="168">
        <f ca="1">IF($C61-W$1&lt;År1,0,V60*(1-VLOOKUP($A61,[1]Hugst!$R$5:$W$9,MATCH(ROUNDUP((W$1)/10,0)*10,[1]Hugst!$R$4:$W$4,0))))</f>
        <v>853.08840192123239</v>
      </c>
      <c r="X61" s="168">
        <f ca="1">IF($C61-X$1&lt;År1,0,W60*(1-VLOOKUP($A61,[1]Hugst!$R$5:$W$9,MATCH(ROUNDUP((X$1)/10,0)*10,[1]Hugst!$R$4:$W$4,0))))</f>
        <v>856.11639128509773</v>
      </c>
      <c r="Y61" s="168">
        <f ca="1">IF($C61-Y$1&lt;År1,0,X60*(1-VLOOKUP($A61,[1]Hugst!$R$5:$W$9,MATCH(ROUNDUP((Y$1)/10,0)*10,[1]Hugst!$R$4:$W$4,0))))</f>
        <v>859.15959667586935</v>
      </c>
      <c r="Z61" s="168">
        <f ca="1">IF($C61-Z$1&lt;År1,0,Y60*(1-VLOOKUP($A61,[1]Hugst!$R$5:$W$9,MATCH(ROUNDUP((Z$1)/10,0)*10,[1]Hugst!$R$4:$W$4,0))))</f>
        <v>862.21809455606194</v>
      </c>
      <c r="AA61" s="168">
        <f ca="1">IF($C61-AA$1&lt;År1,0,Z60*(1-VLOOKUP($A61,[1]Hugst!$R$5:$W$9,MATCH(ROUNDUP((AA$1)/10,0)*10,[1]Hugst!$R$4:$W$4,0))))</f>
        <v>865.29196177231711</v>
      </c>
      <c r="AB61" s="168">
        <f ca="1">IF($C61-AB$1&lt;År1,0,AA60*(1-VLOOKUP($A61,[1]Hugst!$R$5:$W$9,MATCH(ROUNDUP((AB$1)/10,0)*10,[1]Hugst!$R$4:$W$4,0))))</f>
        <v>868.38127555754249</v>
      </c>
      <c r="AC61" s="168">
        <f ca="1">IF($C61-AC$1&lt;År1,0,AB60*(1-VLOOKUP($A61,[1]Hugst!$R$5:$W$9,MATCH(ROUNDUP((AC$1)/10,0)*10,[1]Hugst!$R$4:$W$4,0))))</f>
        <v>871.48611353258525</v>
      </c>
      <c r="AD61" s="168">
        <f ca="1">IF($C61-AD$1&lt;År1,0,AC60*(1-VLOOKUP($A61,[1]Hugst!$R$5:$W$9,MATCH(ROUNDUP((AD$1)/10,0)*10,[1]Hugst!$R$4:$W$4,0))))</f>
        <v>874.60655370854579</v>
      </c>
      <c r="AE61" s="168">
        <f ca="1">IF($C61-AE$1&lt;År1,0,AD60*(1-VLOOKUP($A61,[1]Hugst!$R$5:$W$9,MATCH(ROUNDUP((AE$1)/10,0)*10,[1]Hugst!$R$4:$W$4,0))))</f>
        <v>877.7426744883785</v>
      </c>
      <c r="AF61" s="168">
        <f ca="1">IF($C61-AF$1&lt;År1,0,AE60*(1-VLOOKUP($A61,[1]Hugst!$R$5:$W$9,MATCH(ROUNDUP((AF$1)/10,0)*10,[1]Hugst!$R$4:$W$4,0))))</f>
        <v>880.89455466914728</v>
      </c>
      <c r="AG61" s="168">
        <f ca="1">IF($C61-AG$1&lt;År1,0,AF60*(1-VLOOKUP($A61,[1]Hugst!$R$5:$W$9,MATCH(ROUNDUP((AG$1)/10,0)*10,[1]Hugst!$R$4:$W$4,0))))</f>
        <v>884.0622734437718</v>
      </c>
      <c r="AH61" s="168">
        <f ca="1">IF($C61-AH$1&lt;År1,0,AG60*(1-VLOOKUP($A61,[1]Hugst!$R$5:$W$9,MATCH(ROUNDUP((AH$1)/10,0)*10,[1]Hugst!$R$4:$W$4,0))))</f>
        <v>887.24591040319569</v>
      </c>
      <c r="AI61" s="168">
        <f>IF($C61-AI$1&lt;År1,0,AH60*(1-VLOOKUP($A61,[1]Hugst!$R$5:$W$9,MATCH(ROUNDUP((AI$1)/10,0)*10,[1]Hugst!$R$4:$W$4,0))))</f>
        <v>0</v>
      </c>
      <c r="AJ61" s="168">
        <f>IF($C61-AJ$1&lt;År1,0,AI60*(1-VLOOKUP($A61,[1]Hugst!$R$5:$W$9,MATCH(ROUNDUP((AJ$1)/10,0)*10,[1]Hugst!$R$4:$W$4,0))))</f>
        <v>0</v>
      </c>
    </row>
    <row r="62" spans="1:39" s="168" customFormat="1" x14ac:dyDescent="0.25">
      <c r="A62" s="168" t="s">
        <v>176</v>
      </c>
      <c r="B62" s="168" t="s">
        <v>24</v>
      </c>
      <c r="C62" s="168">
        <v>2049</v>
      </c>
      <c r="D62" s="168" cm="1">
        <f t="array" ref="D62">(IF(B62="Vestdanmark",Skovbrug!$C$22-(Skovbrug!$C$22)*(1-Skovbrug!$C$9)^(C62-Skovbrug!$B$12),Skovbrug!$F$22-(Skovbrug!$F$22)*(1-Skovbrug!$C$9)^(C62-Skovbrug!$B$12))*VLOOKUP(A62,Skovbrug!$A$13:$D$17,IF('Skovbrug-alder'!C62&lt;=År2,3,4),FALSE)-IF(C62&gt;2020,SUM(INDEX($C$1:$D$311,MATCH(1,(2020=$C$1:$C$311)*(B62=$B$1:$B$311)*(A62=$A$1:$A$311),0),2):D61),0))</f>
        <v>550.58309802679287</v>
      </c>
      <c r="E62" s="168">
        <f t="shared" ca="1" si="0"/>
        <v>0</v>
      </c>
      <c r="F62" s="168">
        <f ca="1">IF(C62&lt;=År2,IF(B62="Vestdanmark",(Arealanvendelse!$M$27-Arealanvendelse!$J$27),(Arealanvendelse!$M$37-Arealanvendelse!$J$37))/(Arealanvendelse!$M$3-Arealanvendelse!$J$3),IF(B62="Vestdanmark",(Arealanvendelse!$P$27-Arealanvendelse!$M$27),(Arealanvendelse!$P$37-Arealanvendelse!$M$37))/(Arealanvendelse!$P$3-Arealanvendelse!$M$3))*VLOOKUP(A62,Skovbrug!$A$13:$D$17,IF('Skovbrug-alder'!C62&lt;=År2,3,4),FALSE)+D62+E62</f>
        <v>801.1016165453118</v>
      </c>
      <c r="G62" s="168">
        <f ca="1">IF($C62-G$1&lt;År1,0,F61*(1-VLOOKUP($A62,[1]Hugst!$R$5:$W$9,MATCH(ROUNDUP((G$1)/10,0)*10,[1]Hugst!$R$4:$W$4,0))))</f>
        <v>803.86836578160796</v>
      </c>
      <c r="H62" s="168">
        <f ca="1">IF($C62-H$1&lt;År1,0,G61*(1-VLOOKUP($A62,[1]Hugst!$R$5:$W$9,MATCH(ROUNDUP((H$1)/10,0)*10,[1]Hugst!$R$4:$W$4,0))))</f>
        <v>806.64901828040524</v>
      </c>
      <c r="I62" s="168">
        <f ca="1">IF($C62-I$1&lt;År1,0,H61*(1-VLOOKUP($A62,[1]Hugst!$R$5:$W$9,MATCH(ROUNDUP((I$1)/10,0)*10,[1]Hugst!$R$4:$W$4,0))))</f>
        <v>809.44364390738406</v>
      </c>
      <c r="J62" s="168">
        <f ca="1">IF($C62-J$1&lt;År1,0,I61*(1-VLOOKUP($A62,[1]Hugst!$R$5:$W$9,MATCH(ROUNDUP((J$1)/10,0)*10,[1]Hugst!$R$4:$W$4,0))))</f>
        <v>812.25231287917336</v>
      </c>
      <c r="K62" s="168">
        <f ca="1">IF($C62-K$1&lt;År1,0,J61*(1-VLOOKUP($A62,[1]Hugst!$R$5:$W$9,MATCH(ROUNDUP((K$1)/10,0)*10,[1]Hugst!$R$4:$W$4,0))))</f>
        <v>815.07509576540247</v>
      </c>
      <c r="L62" s="168">
        <f ca="1">IF($C62-L$1&lt;År1,0,K61*(1-VLOOKUP($A62,[1]Hugst!$R$5:$W$9,MATCH(ROUNDUP((L$1)/10,0)*10,[1]Hugst!$R$4:$W$4,0))))</f>
        <v>817.91206349027266</v>
      </c>
      <c r="M62" s="168">
        <f ca="1">IF($C62-M$1&lt;År1,0,L61*(1-VLOOKUP($A62,[1]Hugst!$R$5:$W$9,MATCH(ROUNDUP((M$1)/10,0)*10,[1]Hugst!$R$4:$W$4,0))))</f>
        <v>820.76328733434707</v>
      </c>
      <c r="N62" s="168">
        <f ca="1">IF($C62-N$1&lt;År1,0,M61*(1-VLOOKUP($A62,[1]Hugst!$R$5:$W$9,MATCH(ROUNDUP((N$1)/10,0)*10,[1]Hugst!$R$4:$W$4,0))))</f>
        <v>823.62883893644243</v>
      </c>
      <c r="O62" s="168">
        <f ca="1">IF($C62-O$1&lt;År1,0,N61*(1-VLOOKUP($A62,[1]Hugst!$R$5:$W$9,MATCH(ROUNDUP((O$1)/10,0)*10,[1]Hugst!$R$4:$W$4,0))))</f>
        <v>826.50879029531711</v>
      </c>
      <c r="P62" s="168">
        <f ca="1">IF($C62-P$1&lt;År1,0,O61*(1-VLOOKUP($A62,[1]Hugst!$R$5:$W$9,MATCH(ROUNDUP((P$1)/10,0)*10,[1]Hugst!$R$4:$W$4,0))))</f>
        <v>829.40321377157738</v>
      </c>
      <c r="Q62" s="168">
        <f ca="1">IF($C62-Q$1&lt;År1,0,P61*(1-VLOOKUP($A62,[1]Hugst!$R$5:$W$9,MATCH(ROUNDUP((Q$1)/10,0)*10,[1]Hugst!$R$4:$W$4,0))))</f>
        <v>832.31218208945279</v>
      </c>
      <c r="R62" s="168">
        <f ca="1">IF($C62-R$1&lt;År1,0,Q61*(1-VLOOKUP($A62,[1]Hugst!$R$5:$W$9,MATCH(ROUNDUP((R$1)/10,0)*10,[1]Hugst!$R$4:$W$4,0))))</f>
        <v>835.23576833854236</v>
      </c>
      <c r="S62" s="168">
        <f ca="1">IF($C62-S$1&lt;År1,0,R61*(1-VLOOKUP($A62,[1]Hugst!$R$5:$W$9,MATCH(ROUNDUP((S$1)/10,0)*10,[1]Hugst!$R$4:$W$4,0))))</f>
        <v>838.17404597582276</v>
      </c>
      <c r="T62" s="168">
        <f ca="1">IF($C62-T$1&lt;År1,0,S61*(1-VLOOKUP($A62,[1]Hugst!$R$5:$W$9,MATCH(ROUNDUP((T$1)/10,0)*10,[1]Hugst!$R$4:$W$4,0))))</f>
        <v>841.12708882738002</v>
      </c>
      <c r="U62" s="168">
        <f ca="1">IF($C62-U$1&lt;År1,0,T61*(1-VLOOKUP($A62,[1]Hugst!$R$5:$W$9,MATCH(ROUNDUP((U$1)/10,0)*10,[1]Hugst!$R$4:$W$4,0))))</f>
        <v>844.09497109022846</v>
      </c>
      <c r="V62" s="168">
        <f ca="1">IF($C62-V$1&lt;År1,0,U61*(1-VLOOKUP($A62,[1]Hugst!$R$5:$W$9,MATCH(ROUNDUP((V$1)/10,0)*10,[1]Hugst!$R$4:$W$4,0))))</f>
        <v>847.07776733430433</v>
      </c>
      <c r="W62" s="168">
        <f ca="1">IF($C62-W$1&lt;År1,0,V61*(1-VLOOKUP($A62,[1]Hugst!$R$5:$W$9,MATCH(ROUNDUP((W$1)/10,0)*10,[1]Hugst!$R$4:$W$4,0))))</f>
        <v>850.07555250424116</v>
      </c>
      <c r="X62" s="168">
        <f ca="1">IF($C62-X$1&lt;År1,0,W61*(1-VLOOKUP($A62,[1]Hugst!$R$5:$W$9,MATCH(ROUNDUP((X$1)/10,0)*10,[1]Hugst!$R$4:$W$4,0))))</f>
        <v>853.08840192123239</v>
      </c>
      <c r="Y62" s="168">
        <f ca="1">IF($C62-Y$1&lt;År1,0,X61*(1-VLOOKUP($A62,[1]Hugst!$R$5:$W$9,MATCH(ROUNDUP((Y$1)/10,0)*10,[1]Hugst!$R$4:$W$4,0))))</f>
        <v>856.11639128509773</v>
      </c>
      <c r="Z62" s="168">
        <f ca="1">IF($C62-Z$1&lt;År1,0,Y61*(1-VLOOKUP($A62,[1]Hugst!$R$5:$W$9,MATCH(ROUNDUP((Z$1)/10,0)*10,[1]Hugst!$R$4:$W$4,0))))</f>
        <v>859.15959667586935</v>
      </c>
      <c r="AA62" s="168">
        <f ca="1">IF($C62-AA$1&lt;År1,0,Z61*(1-VLOOKUP($A62,[1]Hugst!$R$5:$W$9,MATCH(ROUNDUP((AA$1)/10,0)*10,[1]Hugst!$R$4:$W$4,0))))</f>
        <v>862.21809455606194</v>
      </c>
      <c r="AB62" s="168">
        <f ca="1">IF($C62-AB$1&lt;År1,0,AA61*(1-VLOOKUP($A62,[1]Hugst!$R$5:$W$9,MATCH(ROUNDUP((AB$1)/10,0)*10,[1]Hugst!$R$4:$W$4,0))))</f>
        <v>865.29196177231711</v>
      </c>
      <c r="AC62" s="168">
        <f ca="1">IF($C62-AC$1&lt;År1,0,AB61*(1-VLOOKUP($A62,[1]Hugst!$R$5:$W$9,MATCH(ROUNDUP((AC$1)/10,0)*10,[1]Hugst!$R$4:$W$4,0))))</f>
        <v>868.38127555754249</v>
      </c>
      <c r="AD62" s="168">
        <f ca="1">IF($C62-AD$1&lt;År1,0,AC61*(1-VLOOKUP($A62,[1]Hugst!$R$5:$W$9,MATCH(ROUNDUP((AD$1)/10,0)*10,[1]Hugst!$R$4:$W$4,0))))</f>
        <v>871.48611353258525</v>
      </c>
      <c r="AE62" s="168">
        <f ca="1">IF($C62-AE$1&lt;År1,0,AD61*(1-VLOOKUP($A62,[1]Hugst!$R$5:$W$9,MATCH(ROUNDUP((AE$1)/10,0)*10,[1]Hugst!$R$4:$W$4,0))))</f>
        <v>874.60655370854579</v>
      </c>
      <c r="AF62" s="168">
        <f ca="1">IF($C62-AF$1&lt;År1,0,AE61*(1-VLOOKUP($A62,[1]Hugst!$R$5:$W$9,MATCH(ROUNDUP((AF$1)/10,0)*10,[1]Hugst!$R$4:$W$4,0))))</f>
        <v>877.7426744883785</v>
      </c>
      <c r="AG62" s="168">
        <f ca="1">IF($C62-AG$1&lt;År1,0,AF61*(1-VLOOKUP($A62,[1]Hugst!$R$5:$W$9,MATCH(ROUNDUP((AG$1)/10,0)*10,[1]Hugst!$R$4:$W$4,0))))</f>
        <v>880.89455466914728</v>
      </c>
      <c r="AH62" s="168">
        <f ca="1">IF($C62-AH$1&lt;År1,0,AG61*(1-VLOOKUP($A62,[1]Hugst!$R$5:$W$9,MATCH(ROUNDUP((AH$1)/10,0)*10,[1]Hugst!$R$4:$W$4,0))))</f>
        <v>884.0622734437718</v>
      </c>
      <c r="AI62" s="168">
        <f ca="1">IF($C62-AI$1&lt;År1,0,AH61*(1-VLOOKUP($A62,[1]Hugst!$R$5:$W$9,MATCH(ROUNDUP((AI$1)/10,0)*10,[1]Hugst!$R$4:$W$4,0))))</f>
        <v>887.24591040319569</v>
      </c>
      <c r="AJ62" s="168">
        <f>IF($C62-AJ$1&lt;År1,0,AI61*(1-VLOOKUP($A62,[1]Hugst!$R$5:$W$9,MATCH(ROUNDUP((AJ$1)/10,0)*10,[1]Hugst!$R$4:$W$4,0))))</f>
        <v>0</v>
      </c>
    </row>
    <row r="63" spans="1:39" s="168" customFormat="1" x14ac:dyDescent="0.25">
      <c r="A63" s="168" t="s">
        <v>176</v>
      </c>
      <c r="B63" s="168" t="s">
        <v>24</v>
      </c>
      <c r="C63" s="168">
        <v>2050</v>
      </c>
      <c r="D63" s="168" cm="1">
        <f t="array" ref="D63">(IF(B63="Vestdanmark",Skovbrug!$C$22-(Skovbrug!$C$22)*(1-Skovbrug!$C$9)^(C63-Skovbrug!$B$12),Skovbrug!$F$22-(Skovbrug!$F$22)*(1-Skovbrug!$C$9)^(C63-Skovbrug!$B$12))*VLOOKUP(A63,Skovbrug!$A$13:$D$17,IF('Skovbrug-alder'!C63&lt;=År2,3,4),FALSE)-IF(C63&gt;2020,SUM(INDEX($C$1:$D$311,MATCH(1,(2020=$C$1:$C$311)*(B63=$B$1:$B$311)*(A63=$A$1:$A$311),0),2):D62),0))</f>
        <v>547.83018253665068</v>
      </c>
      <c r="E63" s="168">
        <f t="shared" ca="1" si="0"/>
        <v>2.9260237470734864</v>
      </c>
      <c r="F63" s="168">
        <f ca="1">IF(C63&lt;=År2,IF(B63="Vestdanmark",(Arealanvendelse!$M$27-Arealanvendelse!$J$27),(Arealanvendelse!$M$37-Arealanvendelse!$J$37))/(Arealanvendelse!$M$3-Arealanvendelse!$J$3),IF(B63="Vestdanmark",(Arealanvendelse!$P$27-Arealanvendelse!$M$27),(Arealanvendelse!$P$37-Arealanvendelse!$M$37))/(Arealanvendelse!$P$3-Arealanvendelse!$M$3))*VLOOKUP(A63,Skovbrug!$A$13:$D$17,IF('Skovbrug-alder'!C63&lt;=År2,3,4),FALSE)+D63+E63</f>
        <v>801.2747248022431</v>
      </c>
      <c r="G63" s="168">
        <f ca="1">IF($C63-G$1&lt;År1,0,F62*(1-VLOOKUP($A63,[1]Hugst!$R$5:$W$9,MATCH(ROUNDUP((G$1)/10,0)*10,[1]Hugst!$R$4:$W$4,0))))</f>
        <v>801.1016165453118</v>
      </c>
      <c r="H63" s="168">
        <f ca="1">IF($C63-H$1&lt;År1,0,G62*(1-VLOOKUP($A63,[1]Hugst!$R$5:$W$9,MATCH(ROUNDUP((H$1)/10,0)*10,[1]Hugst!$R$4:$W$4,0))))</f>
        <v>803.86836578160796</v>
      </c>
      <c r="I63" s="168">
        <f ca="1">IF($C63-I$1&lt;År1,0,H62*(1-VLOOKUP($A63,[1]Hugst!$R$5:$W$9,MATCH(ROUNDUP((I$1)/10,0)*10,[1]Hugst!$R$4:$W$4,0))))</f>
        <v>806.64901828040524</v>
      </c>
      <c r="J63" s="168">
        <f ca="1">IF($C63-J$1&lt;År1,0,I62*(1-VLOOKUP($A63,[1]Hugst!$R$5:$W$9,MATCH(ROUNDUP((J$1)/10,0)*10,[1]Hugst!$R$4:$W$4,0))))</f>
        <v>809.44364390738406</v>
      </c>
      <c r="K63" s="168">
        <f ca="1">IF($C63-K$1&lt;År1,0,J62*(1-VLOOKUP($A63,[1]Hugst!$R$5:$W$9,MATCH(ROUNDUP((K$1)/10,0)*10,[1]Hugst!$R$4:$W$4,0))))</f>
        <v>812.25231287917336</v>
      </c>
      <c r="L63" s="168">
        <f ca="1">IF($C63-L$1&lt;År1,0,K62*(1-VLOOKUP($A63,[1]Hugst!$R$5:$W$9,MATCH(ROUNDUP((L$1)/10,0)*10,[1]Hugst!$R$4:$W$4,0))))</f>
        <v>815.07509576540247</v>
      </c>
      <c r="M63" s="168">
        <f ca="1">IF($C63-M$1&lt;År1,0,L62*(1-VLOOKUP($A63,[1]Hugst!$R$5:$W$9,MATCH(ROUNDUP((M$1)/10,0)*10,[1]Hugst!$R$4:$W$4,0))))</f>
        <v>817.91206349027266</v>
      </c>
      <c r="N63" s="168">
        <f ca="1">IF($C63-N$1&lt;År1,0,M62*(1-VLOOKUP($A63,[1]Hugst!$R$5:$W$9,MATCH(ROUNDUP((N$1)/10,0)*10,[1]Hugst!$R$4:$W$4,0))))</f>
        <v>820.76328733434707</v>
      </c>
      <c r="O63" s="168">
        <f ca="1">IF($C63-O$1&lt;År1,0,N62*(1-VLOOKUP($A63,[1]Hugst!$R$5:$W$9,MATCH(ROUNDUP((O$1)/10,0)*10,[1]Hugst!$R$4:$W$4,0))))</f>
        <v>823.62883893644243</v>
      </c>
      <c r="P63" s="168">
        <f ca="1">IF($C63-P$1&lt;År1,0,O62*(1-VLOOKUP($A63,[1]Hugst!$R$5:$W$9,MATCH(ROUNDUP((P$1)/10,0)*10,[1]Hugst!$R$4:$W$4,0))))</f>
        <v>826.50879029531711</v>
      </c>
      <c r="Q63" s="168">
        <f ca="1">IF($C63-Q$1&lt;År1,0,P62*(1-VLOOKUP($A63,[1]Hugst!$R$5:$W$9,MATCH(ROUNDUP((Q$1)/10,0)*10,[1]Hugst!$R$4:$W$4,0))))</f>
        <v>829.40321377157738</v>
      </c>
      <c r="R63" s="168">
        <f ca="1">IF($C63-R$1&lt;År1,0,Q62*(1-VLOOKUP($A63,[1]Hugst!$R$5:$W$9,MATCH(ROUNDUP((R$1)/10,0)*10,[1]Hugst!$R$4:$W$4,0))))</f>
        <v>832.31218208945279</v>
      </c>
      <c r="S63" s="168">
        <f ca="1">IF($C63-S$1&lt;År1,0,R62*(1-VLOOKUP($A63,[1]Hugst!$R$5:$W$9,MATCH(ROUNDUP((S$1)/10,0)*10,[1]Hugst!$R$4:$W$4,0))))</f>
        <v>835.23576833854236</v>
      </c>
      <c r="T63" s="168">
        <f ca="1">IF($C63-T$1&lt;År1,0,S62*(1-VLOOKUP($A63,[1]Hugst!$R$5:$W$9,MATCH(ROUNDUP((T$1)/10,0)*10,[1]Hugst!$R$4:$W$4,0))))</f>
        <v>838.17404597582276</v>
      </c>
      <c r="U63" s="168">
        <f ca="1">IF($C63-U$1&lt;År1,0,T62*(1-VLOOKUP($A63,[1]Hugst!$R$5:$W$9,MATCH(ROUNDUP((U$1)/10,0)*10,[1]Hugst!$R$4:$W$4,0))))</f>
        <v>841.12708882738002</v>
      </c>
      <c r="V63" s="168">
        <f ca="1">IF($C63-V$1&lt;År1,0,U62*(1-VLOOKUP($A63,[1]Hugst!$R$5:$W$9,MATCH(ROUNDUP((V$1)/10,0)*10,[1]Hugst!$R$4:$W$4,0))))</f>
        <v>844.09497109022846</v>
      </c>
      <c r="W63" s="168">
        <f ca="1">IF($C63-W$1&lt;År1,0,V62*(1-VLOOKUP($A63,[1]Hugst!$R$5:$W$9,MATCH(ROUNDUP((W$1)/10,0)*10,[1]Hugst!$R$4:$W$4,0))))</f>
        <v>847.07776733430433</v>
      </c>
      <c r="X63" s="168">
        <f ca="1">IF($C63-X$1&lt;År1,0,W62*(1-VLOOKUP($A63,[1]Hugst!$R$5:$W$9,MATCH(ROUNDUP((X$1)/10,0)*10,[1]Hugst!$R$4:$W$4,0))))</f>
        <v>850.07555250424116</v>
      </c>
      <c r="Y63" s="168">
        <f ca="1">IF($C63-Y$1&lt;År1,0,X62*(1-VLOOKUP($A63,[1]Hugst!$R$5:$W$9,MATCH(ROUNDUP((Y$1)/10,0)*10,[1]Hugst!$R$4:$W$4,0))))</f>
        <v>853.08840192123239</v>
      </c>
      <c r="Z63" s="168">
        <f ca="1">IF($C63-Z$1&lt;År1,0,Y62*(1-VLOOKUP($A63,[1]Hugst!$R$5:$W$9,MATCH(ROUNDUP((Z$1)/10,0)*10,[1]Hugst!$R$4:$W$4,0))))</f>
        <v>856.11639128509773</v>
      </c>
      <c r="AA63" s="168">
        <f ca="1">IF($C63-AA$1&lt;År1,0,Z62*(1-VLOOKUP($A63,[1]Hugst!$R$5:$W$9,MATCH(ROUNDUP((AA$1)/10,0)*10,[1]Hugst!$R$4:$W$4,0))))</f>
        <v>859.15959667586935</v>
      </c>
      <c r="AB63" s="168">
        <f ca="1">IF($C63-AB$1&lt;År1,0,AA62*(1-VLOOKUP($A63,[1]Hugst!$R$5:$W$9,MATCH(ROUNDUP((AB$1)/10,0)*10,[1]Hugst!$R$4:$W$4,0))))</f>
        <v>862.21809455606194</v>
      </c>
      <c r="AC63" s="168">
        <f ca="1">IF($C63-AC$1&lt;År1,0,AB62*(1-VLOOKUP($A63,[1]Hugst!$R$5:$W$9,MATCH(ROUNDUP((AC$1)/10,0)*10,[1]Hugst!$R$4:$W$4,0))))</f>
        <v>865.29196177231711</v>
      </c>
      <c r="AD63" s="168">
        <f ca="1">IF($C63-AD$1&lt;År1,0,AC62*(1-VLOOKUP($A63,[1]Hugst!$R$5:$W$9,MATCH(ROUNDUP((AD$1)/10,0)*10,[1]Hugst!$R$4:$W$4,0))))</f>
        <v>868.38127555754249</v>
      </c>
      <c r="AE63" s="168">
        <f ca="1">IF($C63-AE$1&lt;År1,0,AD62*(1-VLOOKUP($A63,[1]Hugst!$R$5:$W$9,MATCH(ROUNDUP((AE$1)/10,0)*10,[1]Hugst!$R$4:$W$4,0))))</f>
        <v>871.48611353258525</v>
      </c>
      <c r="AF63" s="168">
        <f ca="1">IF($C63-AF$1&lt;År1,0,AE62*(1-VLOOKUP($A63,[1]Hugst!$R$5:$W$9,MATCH(ROUNDUP((AF$1)/10,0)*10,[1]Hugst!$R$4:$W$4,0))))</f>
        <v>874.60655370854579</v>
      </c>
      <c r="AG63" s="168">
        <f ca="1">IF($C63-AG$1&lt;År1,0,AF62*(1-VLOOKUP($A63,[1]Hugst!$R$5:$W$9,MATCH(ROUNDUP((AG$1)/10,0)*10,[1]Hugst!$R$4:$W$4,0))))</f>
        <v>877.7426744883785</v>
      </c>
      <c r="AH63" s="168">
        <f ca="1">IF($C63-AH$1&lt;År1,0,AG62*(1-VLOOKUP($A63,[1]Hugst!$R$5:$W$9,MATCH(ROUNDUP((AH$1)/10,0)*10,[1]Hugst!$R$4:$W$4,0))))</f>
        <v>880.89455466914728</v>
      </c>
      <c r="AI63" s="168">
        <f ca="1">IF($C63-AI$1&lt;År1,0,AH62*(1-VLOOKUP($A63,[1]Hugst!$R$5:$W$9,MATCH(ROUNDUP((AI$1)/10,0)*10,[1]Hugst!$R$4:$W$4,0))))</f>
        <v>884.0622734437718</v>
      </c>
      <c r="AJ63" s="168">
        <f ca="1">IF($C63-AJ$1&lt;År1,0,AI62*(1-VLOOKUP($A63,[1]Hugst!$R$5:$W$9,MATCH(ROUNDUP((AJ$1)/10,0)*10,[1]Hugst!$R$4:$W$4,0))))</f>
        <v>884.3198866561213</v>
      </c>
      <c r="AL63" s="168">
        <f ca="1">SUM(F63:AJ63)</f>
        <v>26093.346126216118</v>
      </c>
    </row>
    <row r="64" spans="1:39" x14ac:dyDescent="0.25">
      <c r="A64" s="168" t="s">
        <v>177</v>
      </c>
      <c r="B64" s="168" t="s">
        <v>23</v>
      </c>
      <c r="C64">
        <v>2020</v>
      </c>
      <c r="D64" s="168" cm="1">
        <f t="array" ref="D64">(IF(B64="Vestdanmark",Skovbrug!$C$22-(Skovbrug!$C$22)*(1-Skovbrug!$C$9)^(C64-Skovbrug!$B$12),Skovbrug!$F$22-(Skovbrug!$F$22)*(1-Skovbrug!$C$9)^(C64-Skovbrug!$B$12))*VLOOKUP(A64,Skovbrug!$A$13:$D$17,IF('Skovbrug-alder'!C64&lt;=År2,3,4),FALSE)-IF(C64&gt;2020,SUM(INDEX($C$1:$D$311,MATCH(1,(2020=$C$1:$C$311)*(B64=$B$1:$B$311)*(A64=$A$1:$A$311),0),2):D63),0))</f>
        <v>0</v>
      </c>
      <c r="E64" s="168">
        <f>IF(C64=2020,SUM(G64:AJ64),SUM(F63:AJ63)-SUM(G64:AJ64))</f>
        <v>0</v>
      </c>
      <c r="F64">
        <f>IF(C64&lt;=År2,IF(B64="Vestdanmark",(Arealanvendelse!$M$27-Arealanvendelse!$J$27),(Arealanvendelse!$M$37-Arealanvendelse!$J$37))/(Arealanvendelse!$M$3-Arealanvendelse!$J$3),IF(B64="Vestdanmark",(Arealanvendelse!$P$27-Arealanvendelse!$M$27),(Arealanvendelse!$P$37-Arealanvendelse!$M$37))/(Arealanvendelse!$P$3-Arealanvendelse!$M$3))*VLOOKUP(A64,Skovbrug!$A$13:$D$17,IF('Skovbrug-alder'!C64&lt;=År2,3,4),FALSE)+D64+E64</f>
        <v>0</v>
      </c>
      <c r="G64" s="168">
        <f>IF($C64-G$1&lt;År1,0,F63*(1-VLOOKUP($A64,[1]Hugst!$R$5:$W$9,MATCH(ROUNDUP((G$1)/10,0)*10,[1]Hugst!$R$4:$W$4,0))))</f>
        <v>0</v>
      </c>
      <c r="H64" s="168">
        <f>IF($C64-H$1&lt;År1,0,G63*(1-VLOOKUP($A64,[1]Hugst!$R$5:$W$9,MATCH(ROUNDUP((H$1)/10,0)*10,[1]Hugst!$R$4:$W$4,0))))</f>
        <v>0</v>
      </c>
      <c r="I64" s="168">
        <f>IF($C64-I$1&lt;År1,0,H63*(1-VLOOKUP($A64,[1]Hugst!$R$5:$W$9,MATCH(ROUNDUP((I$1)/10,0)*10,[1]Hugst!$R$4:$W$4,0))))</f>
        <v>0</v>
      </c>
      <c r="J64" s="168">
        <f>IF($C64-J$1&lt;År1,0,I63*(1-VLOOKUP($A64,[1]Hugst!$R$5:$W$9,MATCH(ROUNDUP((J$1)/10,0)*10,[1]Hugst!$R$4:$W$4,0))))</f>
        <v>0</v>
      </c>
      <c r="K64" s="168">
        <f>IF($C64-K$1&lt;År1,0,J63*(1-VLOOKUP($A64,[1]Hugst!$R$5:$W$9,MATCH(ROUNDUP((K$1)/10,0)*10,[1]Hugst!$R$4:$W$4,0))))</f>
        <v>0</v>
      </c>
      <c r="L64" s="168">
        <f>IF($C64-L$1&lt;År1,0,K63*(1-VLOOKUP($A64,[1]Hugst!$R$5:$W$9,MATCH(ROUNDUP((L$1)/10,0)*10,[1]Hugst!$R$4:$W$4,0))))</f>
        <v>0</v>
      </c>
      <c r="M64" s="168">
        <f>IF($C64-M$1&lt;År1,0,L63*(1-VLOOKUP($A64,[1]Hugst!$R$5:$W$9,MATCH(ROUNDUP((M$1)/10,0)*10,[1]Hugst!$R$4:$W$4,0))))</f>
        <v>0</v>
      </c>
      <c r="N64" s="168">
        <f>IF($C64-N$1&lt;År1,0,M63*(1-VLOOKUP($A64,[1]Hugst!$R$5:$W$9,MATCH(ROUNDUP((N$1)/10,0)*10,[1]Hugst!$R$4:$W$4,0))))</f>
        <v>0</v>
      </c>
      <c r="O64" s="168">
        <f>IF($C64-O$1&lt;År1,0,N63*(1-VLOOKUP($A64,[1]Hugst!$R$5:$W$9,MATCH(ROUNDUP((O$1)/10,0)*10,[1]Hugst!$R$4:$W$4,0))))</f>
        <v>0</v>
      </c>
      <c r="P64" s="168">
        <f>IF($C64-P$1&lt;År1,0,O63*(1-VLOOKUP($A64,[1]Hugst!$R$5:$W$9,MATCH(ROUNDUP((P$1)/10,0)*10,[1]Hugst!$R$4:$W$4,0))))</f>
        <v>0</v>
      </c>
      <c r="Q64" s="168">
        <f>IF($C64-Q$1&lt;År1,0,P63*(1-VLOOKUP($A64,[1]Hugst!$R$5:$W$9,MATCH(ROUNDUP((Q$1)/10,0)*10,[1]Hugst!$R$4:$W$4,0))))</f>
        <v>0</v>
      </c>
      <c r="R64" s="168">
        <f>IF($C64-R$1&lt;År1,0,Q63*(1-VLOOKUP($A64,[1]Hugst!$R$5:$W$9,MATCH(ROUNDUP((R$1)/10,0)*10,[1]Hugst!$R$4:$W$4,0))))</f>
        <v>0</v>
      </c>
      <c r="S64" s="168">
        <f>IF($C64-S$1&lt;År1,0,R63*(1-VLOOKUP($A64,[1]Hugst!$R$5:$W$9,MATCH(ROUNDUP((S$1)/10,0)*10,[1]Hugst!$R$4:$W$4,0))))</f>
        <v>0</v>
      </c>
      <c r="T64" s="168">
        <f>IF($C64-T$1&lt;År1,0,S63*(1-VLOOKUP($A64,[1]Hugst!$R$5:$W$9,MATCH(ROUNDUP((T$1)/10,0)*10,[1]Hugst!$R$4:$W$4,0))))</f>
        <v>0</v>
      </c>
      <c r="U64" s="168">
        <f>IF($C64-U$1&lt;År1,0,T63*(1-VLOOKUP($A64,[1]Hugst!$R$5:$W$9,MATCH(ROUNDUP((U$1)/10,0)*10,[1]Hugst!$R$4:$W$4,0))))</f>
        <v>0</v>
      </c>
      <c r="V64" s="168">
        <f>IF($C64-V$1&lt;År1,0,U63*(1-VLOOKUP($A64,[1]Hugst!$R$5:$W$9,MATCH(ROUNDUP((V$1)/10,0)*10,[1]Hugst!$R$4:$W$4,0))))</f>
        <v>0</v>
      </c>
      <c r="W64" s="168">
        <f>IF($C64-W$1&lt;År1,0,V63*(1-VLOOKUP($A64,[1]Hugst!$R$5:$W$9,MATCH(ROUNDUP((W$1)/10,0)*10,[1]Hugst!$R$4:$W$4,0))))</f>
        <v>0</v>
      </c>
      <c r="X64" s="168">
        <f>IF($C64-X$1&lt;År1,0,W63*(1-VLOOKUP($A64,[1]Hugst!$R$5:$W$9,MATCH(ROUNDUP((X$1)/10,0)*10,[1]Hugst!$R$4:$W$4,0))))</f>
        <v>0</v>
      </c>
      <c r="Y64" s="168">
        <f>IF($C64-Y$1&lt;År1,0,X63*(1-VLOOKUP($A64,[1]Hugst!$R$5:$W$9,MATCH(ROUNDUP((Y$1)/10,0)*10,[1]Hugst!$R$4:$W$4,0))))</f>
        <v>0</v>
      </c>
      <c r="Z64" s="168">
        <f>IF($C64-Z$1&lt;År1,0,Y63*(1-VLOOKUP($A64,[1]Hugst!$R$5:$W$9,MATCH(ROUNDUP((Z$1)/10,0)*10,[1]Hugst!$R$4:$W$4,0))))</f>
        <v>0</v>
      </c>
      <c r="AA64" s="168">
        <f>IF($C64-AA$1&lt;År1,0,Z63*(1-VLOOKUP($A64,[1]Hugst!$R$5:$W$9,MATCH(ROUNDUP((AA$1)/10,0)*10,[1]Hugst!$R$4:$W$4,0))))</f>
        <v>0</v>
      </c>
      <c r="AB64" s="168">
        <f>IF($C64-AB$1&lt;År1,0,AA63*(1-VLOOKUP($A64,[1]Hugst!$R$5:$W$9,MATCH(ROUNDUP((AB$1)/10,0)*10,[1]Hugst!$R$4:$W$4,0))))</f>
        <v>0</v>
      </c>
      <c r="AC64" s="168">
        <f>IF($C64-AC$1&lt;År1,0,AB63*(1-VLOOKUP($A64,[1]Hugst!$R$5:$W$9,MATCH(ROUNDUP((AC$1)/10,0)*10,[1]Hugst!$R$4:$W$4,0))))</f>
        <v>0</v>
      </c>
      <c r="AD64" s="168">
        <f>IF($C64-AD$1&lt;År1,0,AC63*(1-VLOOKUP($A64,[1]Hugst!$R$5:$W$9,MATCH(ROUNDUP((AD$1)/10,0)*10,[1]Hugst!$R$4:$W$4,0))))</f>
        <v>0</v>
      </c>
      <c r="AE64" s="168">
        <f>IF($C64-AE$1&lt;År1,0,AD63*(1-VLOOKUP($A64,[1]Hugst!$R$5:$W$9,MATCH(ROUNDUP((AE$1)/10,0)*10,[1]Hugst!$R$4:$W$4,0))))</f>
        <v>0</v>
      </c>
      <c r="AF64" s="168">
        <f>IF($C64-AF$1&lt;År1,0,AE63*(1-VLOOKUP($A64,[1]Hugst!$R$5:$W$9,MATCH(ROUNDUP((AF$1)/10,0)*10,[1]Hugst!$R$4:$W$4,0))))</f>
        <v>0</v>
      </c>
      <c r="AG64" s="168">
        <f>IF($C64-AG$1&lt;År1,0,AF63*(1-VLOOKUP($A64,[1]Hugst!$R$5:$W$9,MATCH(ROUNDUP((AG$1)/10,0)*10,[1]Hugst!$R$4:$W$4,0))))</f>
        <v>0</v>
      </c>
      <c r="AH64" s="168">
        <f>IF($C64-AH$1&lt;År1,0,AG63*(1-VLOOKUP($A64,[1]Hugst!$R$5:$W$9,MATCH(ROUNDUP((AH$1)/10,0)*10,[1]Hugst!$R$4:$W$4,0))))</f>
        <v>0</v>
      </c>
      <c r="AI64" s="168">
        <f>IF($C64-AI$1&lt;År1,0,AH63*(1-VLOOKUP($A64,[1]Hugst!$R$5:$W$9,MATCH(ROUNDUP((AI$1)/10,0)*10,[1]Hugst!$R$4:$W$4,0))))</f>
        <v>0</v>
      </c>
      <c r="AJ64" s="168">
        <f>IF($C64-AJ$1&lt;År1,0,AI63*(1-VLOOKUP($A64,[1]Hugst!$R$5:$W$9,MATCH(ROUNDUP((AJ$1)/10,0)*10,[1]Hugst!$R$4:$W$4,0))))</f>
        <v>0</v>
      </c>
      <c r="AK64" s="168"/>
      <c r="AM64" s="168"/>
    </row>
    <row r="65" spans="1:39" x14ac:dyDescent="0.25">
      <c r="A65" s="168" t="s">
        <v>177</v>
      </c>
      <c r="B65" s="168" t="s">
        <v>23</v>
      </c>
      <c r="C65">
        <v>2021</v>
      </c>
      <c r="D65" s="168" cm="1">
        <f t="array" ref="D65">(IF(B65="Vestdanmark",Skovbrug!$C$22-(Skovbrug!$C$22)*(1-Skovbrug!$C$9)^(C65-Skovbrug!$B$12),Skovbrug!$F$22-(Skovbrug!$F$22)*(1-Skovbrug!$C$9)^(C65-Skovbrug!$B$12))*VLOOKUP(A65,Skovbrug!$A$13:$D$17,IF('Skovbrug-alder'!C65&lt;=År2,3,4),FALSE)-IF(C65&gt;2020,SUM(INDEX($C$1:$D$311,MATCH(1,(2020=$C$1:$C$311)*(B65=$B$1:$B$311)*(A65=$A$1:$A$311),0),2):D64),0))</f>
        <v>0</v>
      </c>
      <c r="E65" s="168">
        <f t="shared" ref="E65:E94" ca="1" si="1">IF(C65=2020,SUM(G65:AJ65),SUM(F64:AJ64)-SUM(G65:AJ65))</f>
        <v>0</v>
      </c>
      <c r="F65" s="168">
        <f ca="1">IF(C65&lt;=År2,IF(B65="Vestdanmark",(Arealanvendelse!$M$27-Arealanvendelse!$J$27),(Arealanvendelse!$M$37-Arealanvendelse!$J$37))/(Arealanvendelse!$M$3-Arealanvendelse!$J$3),IF(B65="Vestdanmark",(Arealanvendelse!$P$27-Arealanvendelse!$M$27),(Arealanvendelse!$P$37-Arealanvendelse!$M$37))/(Arealanvendelse!$P$3-Arealanvendelse!$M$3))*VLOOKUP(A65,Skovbrug!$A$13:$D$17,IF('Skovbrug-alder'!C65&lt;=År2,3,4),FALSE)+D65+E65</f>
        <v>0</v>
      </c>
      <c r="G65" s="168">
        <f ca="1">IF($C65-G$1&lt;År1,0,F64*(1-VLOOKUP($A65,[1]Hugst!$R$5:$W$9,MATCH(ROUNDUP((G$1)/10,0)*10,[1]Hugst!$R$4:$W$4,0))))</f>
        <v>0</v>
      </c>
      <c r="H65" s="168">
        <f>IF($C65-H$1&lt;År1,0,G64*(1-VLOOKUP($A65,[1]Hugst!$R$5:$W$9,MATCH(ROUNDUP((H$1)/10,0)*10,[1]Hugst!$R$4:$W$4,0))))</f>
        <v>0</v>
      </c>
      <c r="I65" s="168">
        <f>IF($C65-I$1&lt;År1,0,H64*(1-VLOOKUP($A65,[1]Hugst!$R$5:$W$9,MATCH(ROUNDUP((I$1)/10,0)*10,[1]Hugst!$R$4:$W$4,0))))</f>
        <v>0</v>
      </c>
      <c r="J65" s="168">
        <f>IF($C65-J$1&lt;År1,0,I64*(1-VLOOKUP($A65,[1]Hugst!$R$5:$W$9,MATCH(ROUNDUP((J$1)/10,0)*10,[1]Hugst!$R$4:$W$4,0))))</f>
        <v>0</v>
      </c>
      <c r="K65" s="168">
        <f>IF($C65-K$1&lt;År1,0,J64*(1-VLOOKUP($A65,[1]Hugst!$R$5:$W$9,MATCH(ROUNDUP((K$1)/10,0)*10,[1]Hugst!$R$4:$W$4,0))))</f>
        <v>0</v>
      </c>
      <c r="L65" s="168">
        <f>IF($C65-L$1&lt;År1,0,K64*(1-VLOOKUP($A65,[1]Hugst!$R$5:$W$9,MATCH(ROUNDUP((L$1)/10,0)*10,[1]Hugst!$R$4:$W$4,0))))</f>
        <v>0</v>
      </c>
      <c r="M65" s="168">
        <f>IF($C65-M$1&lt;År1,0,L64*(1-VLOOKUP($A65,[1]Hugst!$R$5:$W$9,MATCH(ROUNDUP((M$1)/10,0)*10,[1]Hugst!$R$4:$W$4,0))))</f>
        <v>0</v>
      </c>
      <c r="N65" s="168">
        <f>IF($C65-N$1&lt;År1,0,M64*(1-VLOOKUP($A65,[1]Hugst!$R$5:$W$9,MATCH(ROUNDUP((N$1)/10,0)*10,[1]Hugst!$R$4:$W$4,0))))</f>
        <v>0</v>
      </c>
      <c r="O65" s="168">
        <f>IF($C65-O$1&lt;År1,0,N64*(1-VLOOKUP($A65,[1]Hugst!$R$5:$W$9,MATCH(ROUNDUP((O$1)/10,0)*10,[1]Hugst!$R$4:$W$4,0))))</f>
        <v>0</v>
      </c>
      <c r="P65" s="168">
        <f>IF($C65-P$1&lt;År1,0,O64*(1-VLOOKUP($A65,[1]Hugst!$R$5:$W$9,MATCH(ROUNDUP((P$1)/10,0)*10,[1]Hugst!$R$4:$W$4,0))))</f>
        <v>0</v>
      </c>
      <c r="Q65" s="168">
        <f>IF($C65-Q$1&lt;År1,0,P64*(1-VLOOKUP($A65,[1]Hugst!$R$5:$W$9,MATCH(ROUNDUP((Q$1)/10,0)*10,[1]Hugst!$R$4:$W$4,0))))</f>
        <v>0</v>
      </c>
      <c r="R65" s="168">
        <f>IF($C65-R$1&lt;År1,0,Q64*(1-VLOOKUP($A65,[1]Hugst!$R$5:$W$9,MATCH(ROUNDUP((R$1)/10,0)*10,[1]Hugst!$R$4:$W$4,0))))</f>
        <v>0</v>
      </c>
      <c r="S65" s="168">
        <f>IF($C65-S$1&lt;År1,0,R64*(1-VLOOKUP($A65,[1]Hugst!$R$5:$W$9,MATCH(ROUNDUP((S$1)/10,0)*10,[1]Hugst!$R$4:$W$4,0))))</f>
        <v>0</v>
      </c>
      <c r="T65" s="168">
        <f>IF($C65-T$1&lt;År1,0,S64*(1-VLOOKUP($A65,[1]Hugst!$R$5:$W$9,MATCH(ROUNDUP((T$1)/10,0)*10,[1]Hugst!$R$4:$W$4,0))))</f>
        <v>0</v>
      </c>
      <c r="U65" s="168">
        <f>IF($C65-U$1&lt;År1,0,T64*(1-VLOOKUP($A65,[1]Hugst!$R$5:$W$9,MATCH(ROUNDUP((U$1)/10,0)*10,[1]Hugst!$R$4:$W$4,0))))</f>
        <v>0</v>
      </c>
      <c r="V65" s="168">
        <f>IF($C65-V$1&lt;År1,0,U64*(1-VLOOKUP($A65,[1]Hugst!$R$5:$W$9,MATCH(ROUNDUP((V$1)/10,0)*10,[1]Hugst!$R$4:$W$4,0))))</f>
        <v>0</v>
      </c>
      <c r="W65" s="168">
        <f>IF($C65-W$1&lt;År1,0,V64*(1-VLOOKUP($A65,[1]Hugst!$R$5:$W$9,MATCH(ROUNDUP((W$1)/10,0)*10,[1]Hugst!$R$4:$W$4,0))))</f>
        <v>0</v>
      </c>
      <c r="X65" s="168">
        <f>IF($C65-X$1&lt;År1,0,W64*(1-VLOOKUP($A65,[1]Hugst!$R$5:$W$9,MATCH(ROUNDUP((X$1)/10,0)*10,[1]Hugst!$R$4:$W$4,0))))</f>
        <v>0</v>
      </c>
      <c r="Y65" s="168">
        <f>IF($C65-Y$1&lt;År1,0,X64*(1-VLOOKUP($A65,[1]Hugst!$R$5:$W$9,MATCH(ROUNDUP((Y$1)/10,0)*10,[1]Hugst!$R$4:$W$4,0))))</f>
        <v>0</v>
      </c>
      <c r="Z65" s="168">
        <f>IF($C65-Z$1&lt;År1,0,Y64*(1-VLOOKUP($A65,[1]Hugst!$R$5:$W$9,MATCH(ROUNDUP((Z$1)/10,0)*10,[1]Hugst!$R$4:$W$4,0))))</f>
        <v>0</v>
      </c>
      <c r="AA65" s="168">
        <f>IF($C65-AA$1&lt;År1,0,Z64*(1-VLOOKUP($A65,[1]Hugst!$R$5:$W$9,MATCH(ROUNDUP((AA$1)/10,0)*10,[1]Hugst!$R$4:$W$4,0))))</f>
        <v>0</v>
      </c>
      <c r="AB65" s="168">
        <f>IF($C65-AB$1&lt;År1,0,AA64*(1-VLOOKUP($A65,[1]Hugst!$R$5:$W$9,MATCH(ROUNDUP((AB$1)/10,0)*10,[1]Hugst!$R$4:$W$4,0))))</f>
        <v>0</v>
      </c>
      <c r="AC65" s="168">
        <f>IF($C65-AC$1&lt;År1,0,AB64*(1-VLOOKUP($A65,[1]Hugst!$R$5:$W$9,MATCH(ROUNDUP((AC$1)/10,0)*10,[1]Hugst!$R$4:$W$4,0))))</f>
        <v>0</v>
      </c>
      <c r="AD65" s="168">
        <f>IF($C65-AD$1&lt;År1,0,AC64*(1-VLOOKUP($A65,[1]Hugst!$R$5:$W$9,MATCH(ROUNDUP((AD$1)/10,0)*10,[1]Hugst!$R$4:$W$4,0))))</f>
        <v>0</v>
      </c>
      <c r="AE65" s="168">
        <f>IF($C65-AE$1&lt;År1,0,AD64*(1-VLOOKUP($A65,[1]Hugst!$R$5:$W$9,MATCH(ROUNDUP((AE$1)/10,0)*10,[1]Hugst!$R$4:$W$4,0))))</f>
        <v>0</v>
      </c>
      <c r="AF65" s="168">
        <f>IF($C65-AF$1&lt;År1,0,AE64*(1-VLOOKUP($A65,[1]Hugst!$R$5:$W$9,MATCH(ROUNDUP((AF$1)/10,0)*10,[1]Hugst!$R$4:$W$4,0))))</f>
        <v>0</v>
      </c>
      <c r="AG65" s="168">
        <f>IF($C65-AG$1&lt;År1,0,AF64*(1-VLOOKUP($A65,[1]Hugst!$R$5:$W$9,MATCH(ROUNDUP((AG$1)/10,0)*10,[1]Hugst!$R$4:$W$4,0))))</f>
        <v>0</v>
      </c>
      <c r="AH65" s="168">
        <f>IF($C65-AH$1&lt;År1,0,AG64*(1-VLOOKUP($A65,[1]Hugst!$R$5:$W$9,MATCH(ROUNDUP((AH$1)/10,0)*10,[1]Hugst!$R$4:$W$4,0))))</f>
        <v>0</v>
      </c>
      <c r="AI65" s="168">
        <f>IF($C65-AI$1&lt;År1,0,AH64*(1-VLOOKUP($A65,[1]Hugst!$R$5:$W$9,MATCH(ROUNDUP((AI$1)/10,0)*10,[1]Hugst!$R$4:$W$4,0))))</f>
        <v>0</v>
      </c>
      <c r="AJ65" s="168">
        <f>IF($C65-AJ$1&lt;År1,0,AI64*(1-VLOOKUP($A65,[1]Hugst!$R$5:$W$9,MATCH(ROUNDUP((AJ$1)/10,0)*10,[1]Hugst!$R$4:$W$4,0))))</f>
        <v>0</v>
      </c>
      <c r="AK65" s="168"/>
      <c r="AL65" s="168"/>
      <c r="AM65" s="168"/>
    </row>
    <row r="66" spans="1:39" x14ac:dyDescent="0.25">
      <c r="A66" s="168" t="s">
        <v>177</v>
      </c>
      <c r="B66" s="168" t="s">
        <v>23</v>
      </c>
      <c r="C66" s="168">
        <v>2022</v>
      </c>
      <c r="D66" s="168" cm="1">
        <f t="array" ref="D66">(IF(B66="Vestdanmark",Skovbrug!$C$22-(Skovbrug!$C$22)*(1-Skovbrug!$C$9)^(C66-Skovbrug!$B$12),Skovbrug!$F$22-(Skovbrug!$F$22)*(1-Skovbrug!$C$9)^(C66-Skovbrug!$B$12))*VLOOKUP(A66,Skovbrug!$A$13:$D$17,IF('Skovbrug-alder'!C66&lt;=År2,3,4),FALSE)-IF(C66&gt;2020,SUM(INDEX($C$1:$D$311,MATCH(1,(2020=$C$1:$C$311)*(B66=$B$1:$B$311)*(A66=$A$1:$A$311),0),2):D65),0))</f>
        <v>0</v>
      </c>
      <c r="E66" s="168">
        <f t="shared" ca="1" si="1"/>
        <v>0</v>
      </c>
      <c r="F66" s="168">
        <f ca="1">IF(C66&lt;=År2,IF(B66="Vestdanmark",(Arealanvendelse!$M$27-Arealanvendelse!$J$27),(Arealanvendelse!$M$37-Arealanvendelse!$J$37))/(Arealanvendelse!$M$3-Arealanvendelse!$J$3),IF(B66="Vestdanmark",(Arealanvendelse!$P$27-Arealanvendelse!$M$27),(Arealanvendelse!$P$37-Arealanvendelse!$M$37))/(Arealanvendelse!$P$3-Arealanvendelse!$M$3))*VLOOKUP(A66,Skovbrug!$A$13:$D$17,IF('Skovbrug-alder'!C66&lt;=År2,3,4),FALSE)+D66+E66</f>
        <v>0</v>
      </c>
      <c r="G66" s="168">
        <f ca="1">IF($C66-G$1&lt;År1,0,F65*(1-VLOOKUP($A66,[1]Hugst!$R$5:$W$9,MATCH(ROUNDUP((G$1)/10,0)*10,[1]Hugst!$R$4:$W$4,0))))</f>
        <v>0</v>
      </c>
      <c r="H66" s="168">
        <f ca="1">IF($C66-H$1&lt;År1,0,G65*(1-VLOOKUP($A66,[1]Hugst!$R$5:$W$9,MATCH(ROUNDUP((H$1)/10,0)*10,[1]Hugst!$R$4:$W$4,0))))</f>
        <v>0</v>
      </c>
      <c r="I66" s="168">
        <f>IF($C66-I$1&lt;År1,0,H65*(1-VLOOKUP($A66,[1]Hugst!$R$5:$W$9,MATCH(ROUNDUP((I$1)/10,0)*10,[1]Hugst!$R$4:$W$4,0))))</f>
        <v>0</v>
      </c>
      <c r="J66" s="168">
        <f>IF($C66-J$1&lt;År1,0,I65*(1-VLOOKUP($A66,[1]Hugst!$R$5:$W$9,MATCH(ROUNDUP((J$1)/10,0)*10,[1]Hugst!$R$4:$W$4,0))))</f>
        <v>0</v>
      </c>
      <c r="K66" s="168">
        <f>IF($C66-K$1&lt;År1,0,J65*(1-VLOOKUP($A66,[1]Hugst!$R$5:$W$9,MATCH(ROUNDUP((K$1)/10,0)*10,[1]Hugst!$R$4:$W$4,0))))</f>
        <v>0</v>
      </c>
      <c r="L66" s="168">
        <f>IF($C66-L$1&lt;År1,0,K65*(1-VLOOKUP($A66,[1]Hugst!$R$5:$W$9,MATCH(ROUNDUP((L$1)/10,0)*10,[1]Hugst!$R$4:$W$4,0))))</f>
        <v>0</v>
      </c>
      <c r="M66" s="168">
        <f>IF($C66-M$1&lt;År1,0,L65*(1-VLOOKUP($A66,[1]Hugst!$R$5:$W$9,MATCH(ROUNDUP((M$1)/10,0)*10,[1]Hugst!$R$4:$W$4,0))))</f>
        <v>0</v>
      </c>
      <c r="N66" s="168">
        <f>IF($C66-N$1&lt;År1,0,M65*(1-VLOOKUP($A66,[1]Hugst!$R$5:$W$9,MATCH(ROUNDUP((N$1)/10,0)*10,[1]Hugst!$R$4:$W$4,0))))</f>
        <v>0</v>
      </c>
      <c r="O66" s="168">
        <f>IF($C66-O$1&lt;År1,0,N65*(1-VLOOKUP($A66,[1]Hugst!$R$5:$W$9,MATCH(ROUNDUP((O$1)/10,0)*10,[1]Hugst!$R$4:$W$4,0))))</f>
        <v>0</v>
      </c>
      <c r="P66" s="168">
        <f>IF($C66-P$1&lt;År1,0,O65*(1-VLOOKUP($A66,[1]Hugst!$R$5:$W$9,MATCH(ROUNDUP((P$1)/10,0)*10,[1]Hugst!$R$4:$W$4,0))))</f>
        <v>0</v>
      </c>
      <c r="Q66" s="168">
        <f>IF($C66-Q$1&lt;År1,0,P65*(1-VLOOKUP($A66,[1]Hugst!$R$5:$W$9,MATCH(ROUNDUP((Q$1)/10,0)*10,[1]Hugst!$R$4:$W$4,0))))</f>
        <v>0</v>
      </c>
      <c r="R66" s="168">
        <f>IF($C66-R$1&lt;År1,0,Q65*(1-VLOOKUP($A66,[1]Hugst!$R$5:$W$9,MATCH(ROUNDUP((R$1)/10,0)*10,[1]Hugst!$R$4:$W$4,0))))</f>
        <v>0</v>
      </c>
      <c r="S66" s="168">
        <f>IF($C66-S$1&lt;År1,0,R65*(1-VLOOKUP($A66,[1]Hugst!$R$5:$W$9,MATCH(ROUNDUP((S$1)/10,0)*10,[1]Hugst!$R$4:$W$4,0))))</f>
        <v>0</v>
      </c>
      <c r="T66" s="168">
        <f>IF($C66-T$1&lt;År1,0,S65*(1-VLOOKUP($A66,[1]Hugst!$R$5:$W$9,MATCH(ROUNDUP((T$1)/10,0)*10,[1]Hugst!$R$4:$W$4,0))))</f>
        <v>0</v>
      </c>
      <c r="U66" s="168">
        <f>IF($C66-U$1&lt;År1,0,T65*(1-VLOOKUP($A66,[1]Hugst!$R$5:$W$9,MATCH(ROUNDUP((U$1)/10,0)*10,[1]Hugst!$R$4:$W$4,0))))</f>
        <v>0</v>
      </c>
      <c r="V66" s="168">
        <f>IF($C66-V$1&lt;År1,0,U65*(1-VLOOKUP($A66,[1]Hugst!$R$5:$W$9,MATCH(ROUNDUP((V$1)/10,0)*10,[1]Hugst!$R$4:$W$4,0))))</f>
        <v>0</v>
      </c>
      <c r="W66" s="168">
        <f>IF($C66-W$1&lt;År1,0,V65*(1-VLOOKUP($A66,[1]Hugst!$R$5:$W$9,MATCH(ROUNDUP((W$1)/10,0)*10,[1]Hugst!$R$4:$W$4,0))))</f>
        <v>0</v>
      </c>
      <c r="X66" s="168">
        <f>IF($C66-X$1&lt;År1,0,W65*(1-VLOOKUP($A66,[1]Hugst!$R$5:$W$9,MATCH(ROUNDUP((X$1)/10,0)*10,[1]Hugst!$R$4:$W$4,0))))</f>
        <v>0</v>
      </c>
      <c r="Y66" s="168">
        <f>IF($C66-Y$1&lt;År1,0,X65*(1-VLOOKUP($A66,[1]Hugst!$R$5:$W$9,MATCH(ROUNDUP((Y$1)/10,0)*10,[1]Hugst!$R$4:$W$4,0))))</f>
        <v>0</v>
      </c>
      <c r="Z66" s="168">
        <f>IF($C66-Z$1&lt;År1,0,Y65*(1-VLOOKUP($A66,[1]Hugst!$R$5:$W$9,MATCH(ROUNDUP((Z$1)/10,0)*10,[1]Hugst!$R$4:$W$4,0))))</f>
        <v>0</v>
      </c>
      <c r="AA66" s="168">
        <f>IF($C66-AA$1&lt;År1,0,Z65*(1-VLOOKUP($A66,[1]Hugst!$R$5:$W$9,MATCH(ROUNDUP((AA$1)/10,0)*10,[1]Hugst!$R$4:$W$4,0))))</f>
        <v>0</v>
      </c>
      <c r="AB66" s="168">
        <f>IF($C66-AB$1&lt;År1,0,AA65*(1-VLOOKUP($A66,[1]Hugst!$R$5:$W$9,MATCH(ROUNDUP((AB$1)/10,0)*10,[1]Hugst!$R$4:$W$4,0))))</f>
        <v>0</v>
      </c>
      <c r="AC66" s="168">
        <f>IF($C66-AC$1&lt;År1,0,AB65*(1-VLOOKUP($A66,[1]Hugst!$R$5:$W$9,MATCH(ROUNDUP((AC$1)/10,0)*10,[1]Hugst!$R$4:$W$4,0))))</f>
        <v>0</v>
      </c>
      <c r="AD66" s="168">
        <f>IF($C66-AD$1&lt;År1,0,AC65*(1-VLOOKUP($A66,[1]Hugst!$R$5:$W$9,MATCH(ROUNDUP((AD$1)/10,0)*10,[1]Hugst!$R$4:$W$4,0))))</f>
        <v>0</v>
      </c>
      <c r="AE66" s="168">
        <f>IF($C66-AE$1&lt;År1,0,AD65*(1-VLOOKUP($A66,[1]Hugst!$R$5:$W$9,MATCH(ROUNDUP((AE$1)/10,0)*10,[1]Hugst!$R$4:$W$4,0))))</f>
        <v>0</v>
      </c>
      <c r="AF66" s="168">
        <f>IF($C66-AF$1&lt;År1,0,AE65*(1-VLOOKUP($A66,[1]Hugst!$R$5:$W$9,MATCH(ROUNDUP((AF$1)/10,0)*10,[1]Hugst!$R$4:$W$4,0))))</f>
        <v>0</v>
      </c>
      <c r="AG66" s="168">
        <f>IF($C66-AG$1&lt;År1,0,AF65*(1-VLOOKUP($A66,[1]Hugst!$R$5:$W$9,MATCH(ROUNDUP((AG$1)/10,0)*10,[1]Hugst!$R$4:$W$4,0))))</f>
        <v>0</v>
      </c>
      <c r="AH66" s="168">
        <f>IF($C66-AH$1&lt;År1,0,AG65*(1-VLOOKUP($A66,[1]Hugst!$R$5:$W$9,MATCH(ROUNDUP((AH$1)/10,0)*10,[1]Hugst!$R$4:$W$4,0))))</f>
        <v>0</v>
      </c>
      <c r="AI66" s="168">
        <f>IF($C66-AI$1&lt;År1,0,AH65*(1-VLOOKUP($A66,[1]Hugst!$R$5:$W$9,MATCH(ROUNDUP((AI$1)/10,0)*10,[1]Hugst!$R$4:$W$4,0))))</f>
        <v>0</v>
      </c>
      <c r="AJ66" s="168">
        <f>IF($C66-AJ$1&lt;År1,0,AI65*(1-VLOOKUP($A66,[1]Hugst!$R$5:$W$9,MATCH(ROUNDUP((AJ$1)/10,0)*10,[1]Hugst!$R$4:$W$4,0))))</f>
        <v>0</v>
      </c>
      <c r="AK66" s="168"/>
      <c r="AL66" s="168"/>
      <c r="AM66" s="168"/>
    </row>
    <row r="67" spans="1:39" x14ac:dyDescent="0.25">
      <c r="A67" s="168" t="s">
        <v>177</v>
      </c>
      <c r="B67" s="168" t="s">
        <v>23</v>
      </c>
      <c r="C67" s="168">
        <v>2023</v>
      </c>
      <c r="D67" s="168" cm="1">
        <f t="array" ref="D67">(IF(B67="Vestdanmark",Skovbrug!$C$22-(Skovbrug!$C$22)*(1-Skovbrug!$C$9)^(C67-Skovbrug!$B$12),Skovbrug!$F$22-(Skovbrug!$F$22)*(1-Skovbrug!$C$9)^(C67-Skovbrug!$B$12))*VLOOKUP(A67,Skovbrug!$A$13:$D$17,IF('Skovbrug-alder'!C67&lt;=År2,3,4),FALSE)-IF(C67&gt;2020,SUM(INDEX($C$1:$D$311,MATCH(1,(2020=$C$1:$C$311)*(B67=$B$1:$B$311)*(A67=$A$1:$A$311),0),2):D66),0))</f>
        <v>0</v>
      </c>
      <c r="E67" s="168">
        <f t="shared" ca="1" si="1"/>
        <v>0</v>
      </c>
      <c r="F67" s="168">
        <f ca="1">IF(C67&lt;=År2,IF(B67="Vestdanmark",(Arealanvendelse!$M$27-Arealanvendelse!$J$27),(Arealanvendelse!$M$37-Arealanvendelse!$J$37))/(Arealanvendelse!$M$3-Arealanvendelse!$J$3),IF(B67="Vestdanmark",(Arealanvendelse!$P$27-Arealanvendelse!$M$27),(Arealanvendelse!$P$37-Arealanvendelse!$M$37))/(Arealanvendelse!$P$3-Arealanvendelse!$M$3))*VLOOKUP(A67,Skovbrug!$A$13:$D$17,IF('Skovbrug-alder'!C67&lt;=År2,3,4),FALSE)+D67+E67</f>
        <v>0</v>
      </c>
      <c r="G67" s="168">
        <f ca="1">IF($C67-G$1&lt;År1,0,F66*(1-VLOOKUP($A67,[1]Hugst!$R$5:$W$9,MATCH(ROUNDUP((G$1)/10,0)*10,[1]Hugst!$R$4:$W$4,0))))</f>
        <v>0</v>
      </c>
      <c r="H67" s="168">
        <f ca="1">IF($C67-H$1&lt;År1,0,G66*(1-VLOOKUP($A67,[1]Hugst!$R$5:$W$9,MATCH(ROUNDUP((H$1)/10,0)*10,[1]Hugst!$R$4:$W$4,0))))</f>
        <v>0</v>
      </c>
      <c r="I67" s="168">
        <f ca="1">IF($C67-I$1&lt;År1,0,H66*(1-VLOOKUP($A67,[1]Hugst!$R$5:$W$9,MATCH(ROUNDUP((I$1)/10,0)*10,[1]Hugst!$R$4:$W$4,0))))</f>
        <v>0</v>
      </c>
      <c r="J67" s="168">
        <f>IF($C67-J$1&lt;År1,0,I66*(1-VLOOKUP($A67,[1]Hugst!$R$5:$W$9,MATCH(ROUNDUP((J$1)/10,0)*10,[1]Hugst!$R$4:$W$4,0))))</f>
        <v>0</v>
      </c>
      <c r="K67" s="168">
        <f>IF($C67-K$1&lt;År1,0,J66*(1-VLOOKUP($A67,[1]Hugst!$R$5:$W$9,MATCH(ROUNDUP((K$1)/10,0)*10,[1]Hugst!$R$4:$W$4,0))))</f>
        <v>0</v>
      </c>
      <c r="L67" s="168">
        <f>IF($C67-L$1&lt;År1,0,K66*(1-VLOOKUP($A67,[1]Hugst!$R$5:$W$9,MATCH(ROUNDUP((L$1)/10,0)*10,[1]Hugst!$R$4:$W$4,0))))</f>
        <v>0</v>
      </c>
      <c r="M67" s="168">
        <f>IF($C67-M$1&lt;År1,0,L66*(1-VLOOKUP($A67,[1]Hugst!$R$5:$W$9,MATCH(ROUNDUP((M$1)/10,0)*10,[1]Hugst!$R$4:$W$4,0))))</f>
        <v>0</v>
      </c>
      <c r="N67" s="168">
        <f>IF($C67-N$1&lt;År1,0,M66*(1-VLOOKUP($A67,[1]Hugst!$R$5:$W$9,MATCH(ROUNDUP((N$1)/10,0)*10,[1]Hugst!$R$4:$W$4,0))))</f>
        <v>0</v>
      </c>
      <c r="O67" s="168">
        <f>IF($C67-O$1&lt;År1,0,N66*(1-VLOOKUP($A67,[1]Hugst!$R$5:$W$9,MATCH(ROUNDUP((O$1)/10,0)*10,[1]Hugst!$R$4:$W$4,0))))</f>
        <v>0</v>
      </c>
      <c r="P67" s="168">
        <f>IF($C67-P$1&lt;År1,0,O66*(1-VLOOKUP($A67,[1]Hugst!$R$5:$W$9,MATCH(ROUNDUP((P$1)/10,0)*10,[1]Hugst!$R$4:$W$4,0))))</f>
        <v>0</v>
      </c>
      <c r="Q67" s="168">
        <f>IF($C67-Q$1&lt;År1,0,P66*(1-VLOOKUP($A67,[1]Hugst!$R$5:$W$9,MATCH(ROUNDUP((Q$1)/10,0)*10,[1]Hugst!$R$4:$W$4,0))))</f>
        <v>0</v>
      </c>
      <c r="R67" s="168">
        <f>IF($C67-R$1&lt;År1,0,Q66*(1-VLOOKUP($A67,[1]Hugst!$R$5:$W$9,MATCH(ROUNDUP((R$1)/10,0)*10,[1]Hugst!$R$4:$W$4,0))))</f>
        <v>0</v>
      </c>
      <c r="S67" s="168">
        <f>IF($C67-S$1&lt;År1,0,R66*(1-VLOOKUP($A67,[1]Hugst!$R$5:$W$9,MATCH(ROUNDUP((S$1)/10,0)*10,[1]Hugst!$R$4:$W$4,0))))</f>
        <v>0</v>
      </c>
      <c r="T67" s="168">
        <f>IF($C67-T$1&lt;År1,0,S66*(1-VLOOKUP($A67,[1]Hugst!$R$5:$W$9,MATCH(ROUNDUP((T$1)/10,0)*10,[1]Hugst!$R$4:$W$4,0))))</f>
        <v>0</v>
      </c>
      <c r="U67" s="168">
        <f>IF($C67-U$1&lt;År1,0,T66*(1-VLOOKUP($A67,[1]Hugst!$R$5:$W$9,MATCH(ROUNDUP((U$1)/10,0)*10,[1]Hugst!$R$4:$W$4,0))))</f>
        <v>0</v>
      </c>
      <c r="V67" s="168">
        <f>IF($C67-V$1&lt;År1,0,U66*(1-VLOOKUP($A67,[1]Hugst!$R$5:$W$9,MATCH(ROUNDUP((V$1)/10,0)*10,[1]Hugst!$R$4:$W$4,0))))</f>
        <v>0</v>
      </c>
      <c r="W67" s="168">
        <f>IF($C67-W$1&lt;År1,0,V66*(1-VLOOKUP($A67,[1]Hugst!$R$5:$W$9,MATCH(ROUNDUP((W$1)/10,0)*10,[1]Hugst!$R$4:$W$4,0))))</f>
        <v>0</v>
      </c>
      <c r="X67" s="168">
        <f>IF($C67-X$1&lt;År1,0,W66*(1-VLOOKUP($A67,[1]Hugst!$R$5:$W$9,MATCH(ROUNDUP((X$1)/10,0)*10,[1]Hugst!$R$4:$W$4,0))))</f>
        <v>0</v>
      </c>
      <c r="Y67" s="168">
        <f>IF($C67-Y$1&lt;År1,0,X66*(1-VLOOKUP($A67,[1]Hugst!$R$5:$W$9,MATCH(ROUNDUP((Y$1)/10,0)*10,[1]Hugst!$R$4:$W$4,0))))</f>
        <v>0</v>
      </c>
      <c r="Z67" s="168">
        <f>IF($C67-Z$1&lt;År1,0,Y66*(1-VLOOKUP($A67,[1]Hugst!$R$5:$W$9,MATCH(ROUNDUP((Z$1)/10,0)*10,[1]Hugst!$R$4:$W$4,0))))</f>
        <v>0</v>
      </c>
      <c r="AA67" s="168">
        <f>IF($C67-AA$1&lt;År1,0,Z66*(1-VLOOKUP($A67,[1]Hugst!$R$5:$W$9,MATCH(ROUNDUP((AA$1)/10,0)*10,[1]Hugst!$R$4:$W$4,0))))</f>
        <v>0</v>
      </c>
      <c r="AB67" s="168">
        <f>IF($C67-AB$1&lt;År1,0,AA66*(1-VLOOKUP($A67,[1]Hugst!$R$5:$W$9,MATCH(ROUNDUP((AB$1)/10,0)*10,[1]Hugst!$R$4:$W$4,0))))</f>
        <v>0</v>
      </c>
      <c r="AC67" s="168">
        <f>IF($C67-AC$1&lt;År1,0,AB66*(1-VLOOKUP($A67,[1]Hugst!$R$5:$W$9,MATCH(ROUNDUP((AC$1)/10,0)*10,[1]Hugst!$R$4:$W$4,0))))</f>
        <v>0</v>
      </c>
      <c r="AD67" s="168">
        <f>IF($C67-AD$1&lt;År1,0,AC66*(1-VLOOKUP($A67,[1]Hugst!$R$5:$W$9,MATCH(ROUNDUP((AD$1)/10,0)*10,[1]Hugst!$R$4:$W$4,0))))</f>
        <v>0</v>
      </c>
      <c r="AE67" s="168">
        <f>IF($C67-AE$1&lt;År1,0,AD66*(1-VLOOKUP($A67,[1]Hugst!$R$5:$W$9,MATCH(ROUNDUP((AE$1)/10,0)*10,[1]Hugst!$R$4:$W$4,0))))</f>
        <v>0</v>
      </c>
      <c r="AF67" s="168">
        <f>IF($C67-AF$1&lt;År1,0,AE66*(1-VLOOKUP($A67,[1]Hugst!$R$5:$W$9,MATCH(ROUNDUP((AF$1)/10,0)*10,[1]Hugst!$R$4:$W$4,0))))</f>
        <v>0</v>
      </c>
      <c r="AG67" s="168">
        <f>IF($C67-AG$1&lt;År1,0,AF66*(1-VLOOKUP($A67,[1]Hugst!$R$5:$W$9,MATCH(ROUNDUP((AG$1)/10,0)*10,[1]Hugst!$R$4:$W$4,0))))</f>
        <v>0</v>
      </c>
      <c r="AH67" s="168">
        <f>IF($C67-AH$1&lt;År1,0,AG66*(1-VLOOKUP($A67,[1]Hugst!$R$5:$W$9,MATCH(ROUNDUP((AH$1)/10,0)*10,[1]Hugst!$R$4:$W$4,0))))</f>
        <v>0</v>
      </c>
      <c r="AI67" s="168">
        <f>IF($C67-AI$1&lt;År1,0,AH66*(1-VLOOKUP($A67,[1]Hugst!$R$5:$W$9,MATCH(ROUNDUP((AI$1)/10,0)*10,[1]Hugst!$R$4:$W$4,0))))</f>
        <v>0</v>
      </c>
      <c r="AJ67" s="168">
        <f>IF($C67-AJ$1&lt;År1,0,AI66*(1-VLOOKUP($A67,[1]Hugst!$R$5:$W$9,MATCH(ROUNDUP((AJ$1)/10,0)*10,[1]Hugst!$R$4:$W$4,0))))</f>
        <v>0</v>
      </c>
      <c r="AK67" s="168"/>
      <c r="AL67" s="168"/>
      <c r="AM67" s="168"/>
    </row>
    <row r="68" spans="1:39" x14ac:dyDescent="0.25">
      <c r="A68" s="168" t="s">
        <v>177</v>
      </c>
      <c r="B68" s="168" t="s">
        <v>23</v>
      </c>
      <c r="C68" s="168">
        <v>2024</v>
      </c>
      <c r="D68" s="168" cm="1">
        <f t="array" ref="D68">(IF(B68="Vestdanmark",Skovbrug!$C$22-(Skovbrug!$C$22)*(1-Skovbrug!$C$9)^(C68-Skovbrug!$B$12),Skovbrug!$F$22-(Skovbrug!$F$22)*(1-Skovbrug!$C$9)^(C68-Skovbrug!$B$12))*VLOOKUP(A68,Skovbrug!$A$13:$D$17,IF('Skovbrug-alder'!C68&lt;=År2,3,4),FALSE)-IF(C68&gt;2020,SUM(INDEX($C$1:$D$311,MATCH(1,(2020=$C$1:$C$311)*(B68=$B$1:$B$311)*(A68=$A$1:$A$311),0),2):D67),0))</f>
        <v>0</v>
      </c>
      <c r="E68" s="168">
        <f t="shared" ca="1" si="1"/>
        <v>0</v>
      </c>
      <c r="F68" s="168">
        <f ca="1">IF(C68&lt;=År2,IF(B68="Vestdanmark",(Arealanvendelse!$M$27-Arealanvendelse!$J$27),(Arealanvendelse!$M$37-Arealanvendelse!$J$37))/(Arealanvendelse!$M$3-Arealanvendelse!$J$3),IF(B68="Vestdanmark",(Arealanvendelse!$P$27-Arealanvendelse!$M$27),(Arealanvendelse!$P$37-Arealanvendelse!$M$37))/(Arealanvendelse!$P$3-Arealanvendelse!$M$3))*VLOOKUP(A68,Skovbrug!$A$13:$D$17,IF('Skovbrug-alder'!C68&lt;=År2,3,4),FALSE)+D68+E68</f>
        <v>0</v>
      </c>
      <c r="G68" s="168">
        <f ca="1">IF($C68-G$1&lt;År1,0,F67*(1-VLOOKUP($A68,[1]Hugst!$R$5:$W$9,MATCH(ROUNDUP((G$1)/10,0)*10,[1]Hugst!$R$4:$W$4,0))))</f>
        <v>0</v>
      </c>
      <c r="H68" s="168">
        <f ca="1">IF($C68-H$1&lt;År1,0,G67*(1-VLOOKUP($A68,[1]Hugst!$R$5:$W$9,MATCH(ROUNDUP((H$1)/10,0)*10,[1]Hugst!$R$4:$W$4,0))))</f>
        <v>0</v>
      </c>
      <c r="I68" s="168">
        <f ca="1">IF($C68-I$1&lt;År1,0,H67*(1-VLOOKUP($A68,[1]Hugst!$R$5:$W$9,MATCH(ROUNDUP((I$1)/10,0)*10,[1]Hugst!$R$4:$W$4,0))))</f>
        <v>0</v>
      </c>
      <c r="J68" s="168">
        <f ca="1">IF($C68-J$1&lt;År1,0,I67*(1-VLOOKUP($A68,[1]Hugst!$R$5:$W$9,MATCH(ROUNDUP((J$1)/10,0)*10,[1]Hugst!$R$4:$W$4,0))))</f>
        <v>0</v>
      </c>
      <c r="K68" s="168">
        <f>IF($C68-K$1&lt;År1,0,J67*(1-VLOOKUP($A68,[1]Hugst!$R$5:$W$9,MATCH(ROUNDUP((K$1)/10,0)*10,[1]Hugst!$R$4:$W$4,0))))</f>
        <v>0</v>
      </c>
      <c r="L68" s="168">
        <f>IF($C68-L$1&lt;År1,0,K67*(1-VLOOKUP($A68,[1]Hugst!$R$5:$W$9,MATCH(ROUNDUP((L$1)/10,0)*10,[1]Hugst!$R$4:$W$4,0))))</f>
        <v>0</v>
      </c>
      <c r="M68" s="168">
        <f>IF($C68-M$1&lt;År1,0,L67*(1-VLOOKUP($A68,[1]Hugst!$R$5:$W$9,MATCH(ROUNDUP((M$1)/10,0)*10,[1]Hugst!$R$4:$W$4,0))))</f>
        <v>0</v>
      </c>
      <c r="N68" s="168">
        <f>IF($C68-N$1&lt;År1,0,M67*(1-VLOOKUP($A68,[1]Hugst!$R$5:$W$9,MATCH(ROUNDUP((N$1)/10,0)*10,[1]Hugst!$R$4:$W$4,0))))</f>
        <v>0</v>
      </c>
      <c r="O68" s="168">
        <f>IF($C68-O$1&lt;År1,0,N67*(1-VLOOKUP($A68,[1]Hugst!$R$5:$W$9,MATCH(ROUNDUP((O$1)/10,0)*10,[1]Hugst!$R$4:$W$4,0))))</f>
        <v>0</v>
      </c>
      <c r="P68" s="168">
        <f>IF($C68-P$1&lt;År1,0,O67*(1-VLOOKUP($A68,[1]Hugst!$R$5:$W$9,MATCH(ROUNDUP((P$1)/10,0)*10,[1]Hugst!$R$4:$W$4,0))))</f>
        <v>0</v>
      </c>
      <c r="Q68" s="168">
        <f>IF($C68-Q$1&lt;År1,0,P67*(1-VLOOKUP($A68,[1]Hugst!$R$5:$W$9,MATCH(ROUNDUP((Q$1)/10,0)*10,[1]Hugst!$R$4:$W$4,0))))</f>
        <v>0</v>
      </c>
      <c r="R68" s="168">
        <f>IF($C68-R$1&lt;År1,0,Q67*(1-VLOOKUP($A68,[1]Hugst!$R$5:$W$9,MATCH(ROUNDUP((R$1)/10,0)*10,[1]Hugst!$R$4:$W$4,0))))</f>
        <v>0</v>
      </c>
      <c r="S68" s="168">
        <f>IF($C68-S$1&lt;År1,0,R67*(1-VLOOKUP($A68,[1]Hugst!$R$5:$W$9,MATCH(ROUNDUP((S$1)/10,0)*10,[1]Hugst!$R$4:$W$4,0))))</f>
        <v>0</v>
      </c>
      <c r="T68" s="168">
        <f>IF($C68-T$1&lt;År1,0,S67*(1-VLOOKUP($A68,[1]Hugst!$R$5:$W$9,MATCH(ROUNDUP((T$1)/10,0)*10,[1]Hugst!$R$4:$W$4,0))))</f>
        <v>0</v>
      </c>
      <c r="U68" s="168">
        <f>IF($C68-U$1&lt;År1,0,T67*(1-VLOOKUP($A68,[1]Hugst!$R$5:$W$9,MATCH(ROUNDUP((U$1)/10,0)*10,[1]Hugst!$R$4:$W$4,0))))</f>
        <v>0</v>
      </c>
      <c r="V68" s="168">
        <f>IF($C68-V$1&lt;År1,0,U67*(1-VLOOKUP($A68,[1]Hugst!$R$5:$W$9,MATCH(ROUNDUP((V$1)/10,0)*10,[1]Hugst!$R$4:$W$4,0))))</f>
        <v>0</v>
      </c>
      <c r="W68" s="168">
        <f>IF($C68-W$1&lt;År1,0,V67*(1-VLOOKUP($A68,[1]Hugst!$R$5:$W$9,MATCH(ROUNDUP((W$1)/10,0)*10,[1]Hugst!$R$4:$W$4,0))))</f>
        <v>0</v>
      </c>
      <c r="X68" s="168">
        <f>IF($C68-X$1&lt;År1,0,W67*(1-VLOOKUP($A68,[1]Hugst!$R$5:$W$9,MATCH(ROUNDUP((X$1)/10,0)*10,[1]Hugst!$R$4:$W$4,0))))</f>
        <v>0</v>
      </c>
      <c r="Y68" s="168">
        <f>IF($C68-Y$1&lt;År1,0,X67*(1-VLOOKUP($A68,[1]Hugst!$R$5:$W$9,MATCH(ROUNDUP((Y$1)/10,0)*10,[1]Hugst!$R$4:$W$4,0))))</f>
        <v>0</v>
      </c>
      <c r="Z68" s="168">
        <f>IF($C68-Z$1&lt;År1,0,Y67*(1-VLOOKUP($A68,[1]Hugst!$R$5:$W$9,MATCH(ROUNDUP((Z$1)/10,0)*10,[1]Hugst!$R$4:$W$4,0))))</f>
        <v>0</v>
      </c>
      <c r="AA68" s="168">
        <f>IF($C68-AA$1&lt;År1,0,Z67*(1-VLOOKUP($A68,[1]Hugst!$R$5:$W$9,MATCH(ROUNDUP((AA$1)/10,0)*10,[1]Hugst!$R$4:$W$4,0))))</f>
        <v>0</v>
      </c>
      <c r="AB68" s="168">
        <f>IF($C68-AB$1&lt;År1,0,AA67*(1-VLOOKUP($A68,[1]Hugst!$R$5:$W$9,MATCH(ROUNDUP((AB$1)/10,0)*10,[1]Hugst!$R$4:$W$4,0))))</f>
        <v>0</v>
      </c>
      <c r="AC68" s="168">
        <f>IF($C68-AC$1&lt;År1,0,AB67*(1-VLOOKUP($A68,[1]Hugst!$R$5:$W$9,MATCH(ROUNDUP((AC$1)/10,0)*10,[1]Hugst!$R$4:$W$4,0))))</f>
        <v>0</v>
      </c>
      <c r="AD68" s="168">
        <f>IF($C68-AD$1&lt;År1,0,AC67*(1-VLOOKUP($A68,[1]Hugst!$R$5:$W$9,MATCH(ROUNDUP((AD$1)/10,0)*10,[1]Hugst!$R$4:$W$4,0))))</f>
        <v>0</v>
      </c>
      <c r="AE68" s="168">
        <f>IF($C68-AE$1&lt;År1,0,AD67*(1-VLOOKUP($A68,[1]Hugst!$R$5:$W$9,MATCH(ROUNDUP((AE$1)/10,0)*10,[1]Hugst!$R$4:$W$4,0))))</f>
        <v>0</v>
      </c>
      <c r="AF68" s="168">
        <f>IF($C68-AF$1&lt;År1,0,AE67*(1-VLOOKUP($A68,[1]Hugst!$R$5:$W$9,MATCH(ROUNDUP((AF$1)/10,0)*10,[1]Hugst!$R$4:$W$4,0))))</f>
        <v>0</v>
      </c>
      <c r="AG68" s="168">
        <f>IF($C68-AG$1&lt;År1,0,AF67*(1-VLOOKUP($A68,[1]Hugst!$R$5:$W$9,MATCH(ROUNDUP((AG$1)/10,0)*10,[1]Hugst!$R$4:$W$4,0))))</f>
        <v>0</v>
      </c>
      <c r="AH68" s="168">
        <f>IF($C68-AH$1&lt;År1,0,AG67*(1-VLOOKUP($A68,[1]Hugst!$R$5:$W$9,MATCH(ROUNDUP((AH$1)/10,0)*10,[1]Hugst!$R$4:$W$4,0))))</f>
        <v>0</v>
      </c>
      <c r="AI68" s="168">
        <f>IF($C68-AI$1&lt;År1,0,AH67*(1-VLOOKUP($A68,[1]Hugst!$R$5:$W$9,MATCH(ROUNDUP((AI$1)/10,0)*10,[1]Hugst!$R$4:$W$4,0))))</f>
        <v>0</v>
      </c>
      <c r="AJ68" s="168">
        <f>IF($C68-AJ$1&lt;År1,0,AI67*(1-VLOOKUP($A68,[1]Hugst!$R$5:$W$9,MATCH(ROUNDUP((AJ$1)/10,0)*10,[1]Hugst!$R$4:$W$4,0))))</f>
        <v>0</v>
      </c>
      <c r="AK68" s="168"/>
      <c r="AL68" s="168"/>
      <c r="AM68" s="168"/>
    </row>
    <row r="69" spans="1:39" x14ac:dyDescent="0.25">
      <c r="A69" s="168" t="s">
        <v>177</v>
      </c>
      <c r="B69" s="168" t="s">
        <v>23</v>
      </c>
      <c r="C69" s="168">
        <v>2025</v>
      </c>
      <c r="D69" s="168" cm="1">
        <f t="array" ref="D69">(IF(B69="Vestdanmark",Skovbrug!$C$22-(Skovbrug!$C$22)*(1-Skovbrug!$C$9)^(C69-Skovbrug!$B$12),Skovbrug!$F$22-(Skovbrug!$F$22)*(1-Skovbrug!$C$9)^(C69-Skovbrug!$B$12))*VLOOKUP(A69,Skovbrug!$A$13:$D$17,IF('Skovbrug-alder'!C69&lt;=År2,3,4),FALSE)-IF(C69&gt;2020,SUM(INDEX($C$1:$D$311,MATCH(1,(2020=$C$1:$C$311)*(B69=$B$1:$B$311)*(A69=$A$1:$A$311),0),2):D68),0))</f>
        <v>0</v>
      </c>
      <c r="E69" s="168">
        <f t="shared" ca="1" si="1"/>
        <v>0</v>
      </c>
      <c r="F69" s="168">
        <f ca="1">IF(C69&lt;=År2,IF(B69="Vestdanmark",(Arealanvendelse!$M$27-Arealanvendelse!$J$27),(Arealanvendelse!$M$37-Arealanvendelse!$J$37))/(Arealanvendelse!$M$3-Arealanvendelse!$J$3),IF(B69="Vestdanmark",(Arealanvendelse!$P$27-Arealanvendelse!$M$27),(Arealanvendelse!$P$37-Arealanvendelse!$M$37))/(Arealanvendelse!$P$3-Arealanvendelse!$M$3))*VLOOKUP(A69,Skovbrug!$A$13:$D$17,IF('Skovbrug-alder'!C69&lt;=År2,3,4),FALSE)+D69+E69</f>
        <v>0</v>
      </c>
      <c r="G69" s="168">
        <f ca="1">IF($C69-G$1&lt;År1,0,F68*(1-VLOOKUP($A69,[1]Hugst!$R$5:$W$9,MATCH(ROUNDUP((G$1)/10,0)*10,[1]Hugst!$R$4:$W$4,0))))</f>
        <v>0</v>
      </c>
      <c r="H69" s="168">
        <f ca="1">IF($C69-H$1&lt;År1,0,G68*(1-VLOOKUP($A69,[1]Hugst!$R$5:$W$9,MATCH(ROUNDUP((H$1)/10,0)*10,[1]Hugst!$R$4:$W$4,0))))</f>
        <v>0</v>
      </c>
      <c r="I69" s="168">
        <f ca="1">IF($C69-I$1&lt;År1,0,H68*(1-VLOOKUP($A69,[1]Hugst!$R$5:$W$9,MATCH(ROUNDUP((I$1)/10,0)*10,[1]Hugst!$R$4:$W$4,0))))</f>
        <v>0</v>
      </c>
      <c r="J69" s="168">
        <f ca="1">IF($C69-J$1&lt;År1,0,I68*(1-VLOOKUP($A69,[1]Hugst!$R$5:$W$9,MATCH(ROUNDUP((J$1)/10,0)*10,[1]Hugst!$R$4:$W$4,0))))</f>
        <v>0</v>
      </c>
      <c r="K69" s="168">
        <f ca="1">IF($C69-K$1&lt;År1,0,J68*(1-VLOOKUP($A69,[1]Hugst!$R$5:$W$9,MATCH(ROUNDUP((K$1)/10,0)*10,[1]Hugst!$R$4:$W$4,0))))</f>
        <v>0</v>
      </c>
      <c r="L69" s="168">
        <f>IF($C69-L$1&lt;År1,0,K68*(1-VLOOKUP($A69,[1]Hugst!$R$5:$W$9,MATCH(ROUNDUP((L$1)/10,0)*10,[1]Hugst!$R$4:$W$4,0))))</f>
        <v>0</v>
      </c>
      <c r="M69" s="168">
        <f>IF($C69-M$1&lt;År1,0,L68*(1-VLOOKUP($A69,[1]Hugst!$R$5:$W$9,MATCH(ROUNDUP((M$1)/10,0)*10,[1]Hugst!$R$4:$W$4,0))))</f>
        <v>0</v>
      </c>
      <c r="N69" s="168">
        <f>IF($C69-N$1&lt;År1,0,M68*(1-VLOOKUP($A69,[1]Hugst!$R$5:$W$9,MATCH(ROUNDUP((N$1)/10,0)*10,[1]Hugst!$R$4:$W$4,0))))</f>
        <v>0</v>
      </c>
      <c r="O69" s="168">
        <f>IF($C69-O$1&lt;År1,0,N68*(1-VLOOKUP($A69,[1]Hugst!$R$5:$W$9,MATCH(ROUNDUP((O$1)/10,0)*10,[1]Hugst!$R$4:$W$4,0))))</f>
        <v>0</v>
      </c>
      <c r="P69" s="168">
        <f>IF($C69-P$1&lt;År1,0,O68*(1-VLOOKUP($A69,[1]Hugst!$R$5:$W$9,MATCH(ROUNDUP((P$1)/10,0)*10,[1]Hugst!$R$4:$W$4,0))))</f>
        <v>0</v>
      </c>
      <c r="Q69" s="168">
        <f>IF($C69-Q$1&lt;År1,0,P68*(1-VLOOKUP($A69,[1]Hugst!$R$5:$W$9,MATCH(ROUNDUP((Q$1)/10,0)*10,[1]Hugst!$R$4:$W$4,0))))</f>
        <v>0</v>
      </c>
      <c r="R69" s="168">
        <f>IF($C69-R$1&lt;År1,0,Q68*(1-VLOOKUP($A69,[1]Hugst!$R$5:$W$9,MATCH(ROUNDUP((R$1)/10,0)*10,[1]Hugst!$R$4:$W$4,0))))</f>
        <v>0</v>
      </c>
      <c r="S69" s="168">
        <f>IF($C69-S$1&lt;År1,0,R68*(1-VLOOKUP($A69,[1]Hugst!$R$5:$W$9,MATCH(ROUNDUP((S$1)/10,0)*10,[1]Hugst!$R$4:$W$4,0))))</f>
        <v>0</v>
      </c>
      <c r="T69" s="168">
        <f>IF($C69-T$1&lt;År1,0,S68*(1-VLOOKUP($A69,[1]Hugst!$R$5:$W$9,MATCH(ROUNDUP((T$1)/10,0)*10,[1]Hugst!$R$4:$W$4,0))))</f>
        <v>0</v>
      </c>
      <c r="U69" s="168">
        <f>IF($C69-U$1&lt;År1,0,T68*(1-VLOOKUP($A69,[1]Hugst!$R$5:$W$9,MATCH(ROUNDUP((U$1)/10,0)*10,[1]Hugst!$R$4:$W$4,0))))</f>
        <v>0</v>
      </c>
      <c r="V69" s="168">
        <f>IF($C69-V$1&lt;År1,0,U68*(1-VLOOKUP($A69,[1]Hugst!$R$5:$W$9,MATCH(ROUNDUP((V$1)/10,0)*10,[1]Hugst!$R$4:$W$4,0))))</f>
        <v>0</v>
      </c>
      <c r="W69" s="168">
        <f>IF($C69-W$1&lt;År1,0,V68*(1-VLOOKUP($A69,[1]Hugst!$R$5:$W$9,MATCH(ROUNDUP((W$1)/10,0)*10,[1]Hugst!$R$4:$W$4,0))))</f>
        <v>0</v>
      </c>
      <c r="X69" s="168">
        <f>IF($C69-X$1&lt;År1,0,W68*(1-VLOOKUP($A69,[1]Hugst!$R$5:$W$9,MATCH(ROUNDUP((X$1)/10,0)*10,[1]Hugst!$R$4:$W$4,0))))</f>
        <v>0</v>
      </c>
      <c r="Y69" s="168">
        <f>IF($C69-Y$1&lt;År1,0,X68*(1-VLOOKUP($A69,[1]Hugst!$R$5:$W$9,MATCH(ROUNDUP((Y$1)/10,0)*10,[1]Hugst!$R$4:$W$4,0))))</f>
        <v>0</v>
      </c>
      <c r="Z69" s="168">
        <f>IF($C69-Z$1&lt;År1,0,Y68*(1-VLOOKUP($A69,[1]Hugst!$R$5:$W$9,MATCH(ROUNDUP((Z$1)/10,0)*10,[1]Hugst!$R$4:$W$4,0))))</f>
        <v>0</v>
      </c>
      <c r="AA69" s="168">
        <f>IF($C69-AA$1&lt;År1,0,Z68*(1-VLOOKUP($A69,[1]Hugst!$R$5:$W$9,MATCH(ROUNDUP((AA$1)/10,0)*10,[1]Hugst!$R$4:$W$4,0))))</f>
        <v>0</v>
      </c>
      <c r="AB69" s="168">
        <f>IF($C69-AB$1&lt;År1,0,AA68*(1-VLOOKUP($A69,[1]Hugst!$R$5:$W$9,MATCH(ROUNDUP((AB$1)/10,0)*10,[1]Hugst!$R$4:$W$4,0))))</f>
        <v>0</v>
      </c>
      <c r="AC69" s="168">
        <f>IF($C69-AC$1&lt;År1,0,AB68*(1-VLOOKUP($A69,[1]Hugst!$R$5:$W$9,MATCH(ROUNDUP((AC$1)/10,0)*10,[1]Hugst!$R$4:$W$4,0))))</f>
        <v>0</v>
      </c>
      <c r="AD69" s="168">
        <f>IF($C69-AD$1&lt;År1,0,AC68*(1-VLOOKUP($A69,[1]Hugst!$R$5:$W$9,MATCH(ROUNDUP((AD$1)/10,0)*10,[1]Hugst!$R$4:$W$4,0))))</f>
        <v>0</v>
      </c>
      <c r="AE69" s="168">
        <f>IF($C69-AE$1&lt;År1,0,AD68*(1-VLOOKUP($A69,[1]Hugst!$R$5:$W$9,MATCH(ROUNDUP((AE$1)/10,0)*10,[1]Hugst!$R$4:$W$4,0))))</f>
        <v>0</v>
      </c>
      <c r="AF69" s="168">
        <f>IF($C69-AF$1&lt;År1,0,AE68*(1-VLOOKUP($A69,[1]Hugst!$R$5:$W$9,MATCH(ROUNDUP((AF$1)/10,0)*10,[1]Hugst!$R$4:$W$4,0))))</f>
        <v>0</v>
      </c>
      <c r="AG69" s="168">
        <f>IF($C69-AG$1&lt;År1,0,AF68*(1-VLOOKUP($A69,[1]Hugst!$R$5:$W$9,MATCH(ROUNDUP((AG$1)/10,0)*10,[1]Hugst!$R$4:$W$4,0))))</f>
        <v>0</v>
      </c>
      <c r="AH69" s="168">
        <f>IF($C69-AH$1&lt;År1,0,AG68*(1-VLOOKUP($A69,[1]Hugst!$R$5:$W$9,MATCH(ROUNDUP((AH$1)/10,0)*10,[1]Hugst!$R$4:$W$4,0))))</f>
        <v>0</v>
      </c>
      <c r="AI69" s="168">
        <f>IF($C69-AI$1&lt;År1,0,AH68*(1-VLOOKUP($A69,[1]Hugst!$R$5:$W$9,MATCH(ROUNDUP((AI$1)/10,0)*10,[1]Hugst!$R$4:$W$4,0))))</f>
        <v>0</v>
      </c>
      <c r="AJ69" s="168">
        <f>IF($C69-AJ$1&lt;År1,0,AI68*(1-VLOOKUP($A69,[1]Hugst!$R$5:$W$9,MATCH(ROUNDUP((AJ$1)/10,0)*10,[1]Hugst!$R$4:$W$4,0))))</f>
        <v>0</v>
      </c>
      <c r="AK69" s="168"/>
      <c r="AL69" s="168"/>
      <c r="AM69" s="168"/>
    </row>
    <row r="70" spans="1:39" x14ac:dyDescent="0.25">
      <c r="A70" s="168" t="s">
        <v>177</v>
      </c>
      <c r="B70" s="168" t="s">
        <v>23</v>
      </c>
      <c r="C70" s="168">
        <v>2026</v>
      </c>
      <c r="D70" s="168" cm="1">
        <f t="array" ref="D70">(IF(B70="Vestdanmark",Skovbrug!$C$22-(Skovbrug!$C$22)*(1-Skovbrug!$C$9)^(C70-Skovbrug!$B$12),Skovbrug!$F$22-(Skovbrug!$F$22)*(1-Skovbrug!$C$9)^(C70-Skovbrug!$B$12))*VLOOKUP(A70,Skovbrug!$A$13:$D$17,IF('Skovbrug-alder'!C70&lt;=År2,3,4),FALSE)-IF(C70&gt;2020,SUM(INDEX($C$1:$D$311,MATCH(1,(2020=$C$1:$C$311)*(B70=$B$1:$B$311)*(A70=$A$1:$A$311),0),2):D69),0))</f>
        <v>0</v>
      </c>
      <c r="E70" s="168">
        <f t="shared" ca="1" si="1"/>
        <v>0</v>
      </c>
      <c r="F70" s="168">
        <f ca="1">IF(C70&lt;=År2,IF(B70="Vestdanmark",(Arealanvendelse!$M$27-Arealanvendelse!$J$27),(Arealanvendelse!$M$37-Arealanvendelse!$J$37))/(Arealanvendelse!$M$3-Arealanvendelse!$J$3),IF(B70="Vestdanmark",(Arealanvendelse!$P$27-Arealanvendelse!$M$27),(Arealanvendelse!$P$37-Arealanvendelse!$M$37))/(Arealanvendelse!$P$3-Arealanvendelse!$M$3))*VLOOKUP(A70,Skovbrug!$A$13:$D$17,IF('Skovbrug-alder'!C70&lt;=År2,3,4),FALSE)+D70+E70</f>
        <v>0</v>
      </c>
      <c r="G70" s="168">
        <f ca="1">IF($C70-G$1&lt;År1,0,F69*(1-VLOOKUP($A70,[1]Hugst!$R$5:$W$9,MATCH(ROUNDUP((G$1)/10,0)*10,[1]Hugst!$R$4:$W$4,0))))</f>
        <v>0</v>
      </c>
      <c r="H70" s="168">
        <f ca="1">IF($C70-H$1&lt;År1,0,G69*(1-VLOOKUP($A70,[1]Hugst!$R$5:$W$9,MATCH(ROUNDUP((H$1)/10,0)*10,[1]Hugst!$R$4:$W$4,0))))</f>
        <v>0</v>
      </c>
      <c r="I70" s="168">
        <f ca="1">IF($C70-I$1&lt;År1,0,H69*(1-VLOOKUP($A70,[1]Hugst!$R$5:$W$9,MATCH(ROUNDUP((I$1)/10,0)*10,[1]Hugst!$R$4:$W$4,0))))</f>
        <v>0</v>
      </c>
      <c r="J70" s="168">
        <f ca="1">IF($C70-J$1&lt;År1,0,I69*(1-VLOOKUP($A70,[1]Hugst!$R$5:$W$9,MATCH(ROUNDUP((J$1)/10,0)*10,[1]Hugst!$R$4:$W$4,0))))</f>
        <v>0</v>
      </c>
      <c r="K70" s="168">
        <f ca="1">IF($C70-K$1&lt;År1,0,J69*(1-VLOOKUP($A70,[1]Hugst!$R$5:$W$9,MATCH(ROUNDUP((K$1)/10,0)*10,[1]Hugst!$R$4:$W$4,0))))</f>
        <v>0</v>
      </c>
      <c r="L70" s="168">
        <f ca="1">IF($C70-L$1&lt;År1,0,K69*(1-VLOOKUP($A70,[1]Hugst!$R$5:$W$9,MATCH(ROUNDUP((L$1)/10,0)*10,[1]Hugst!$R$4:$W$4,0))))</f>
        <v>0</v>
      </c>
      <c r="M70" s="168">
        <f>IF($C70-M$1&lt;År1,0,L69*(1-VLOOKUP($A70,[1]Hugst!$R$5:$W$9,MATCH(ROUNDUP((M$1)/10,0)*10,[1]Hugst!$R$4:$W$4,0))))</f>
        <v>0</v>
      </c>
      <c r="N70" s="168">
        <f>IF($C70-N$1&lt;År1,0,M69*(1-VLOOKUP($A70,[1]Hugst!$R$5:$W$9,MATCH(ROUNDUP((N$1)/10,0)*10,[1]Hugst!$R$4:$W$4,0))))</f>
        <v>0</v>
      </c>
      <c r="O70" s="168">
        <f>IF($C70-O$1&lt;År1,0,N69*(1-VLOOKUP($A70,[1]Hugst!$R$5:$W$9,MATCH(ROUNDUP((O$1)/10,0)*10,[1]Hugst!$R$4:$W$4,0))))</f>
        <v>0</v>
      </c>
      <c r="P70" s="168">
        <f>IF($C70-P$1&lt;År1,0,O69*(1-VLOOKUP($A70,[1]Hugst!$R$5:$W$9,MATCH(ROUNDUP((P$1)/10,0)*10,[1]Hugst!$R$4:$W$4,0))))</f>
        <v>0</v>
      </c>
      <c r="Q70" s="168">
        <f>IF($C70-Q$1&lt;År1,0,P69*(1-VLOOKUP($A70,[1]Hugst!$R$5:$W$9,MATCH(ROUNDUP((Q$1)/10,0)*10,[1]Hugst!$R$4:$W$4,0))))</f>
        <v>0</v>
      </c>
      <c r="R70" s="168">
        <f>IF($C70-R$1&lt;År1,0,Q69*(1-VLOOKUP($A70,[1]Hugst!$R$5:$W$9,MATCH(ROUNDUP((R$1)/10,0)*10,[1]Hugst!$R$4:$W$4,0))))</f>
        <v>0</v>
      </c>
      <c r="S70" s="168">
        <f>IF($C70-S$1&lt;År1,0,R69*(1-VLOOKUP($A70,[1]Hugst!$R$5:$W$9,MATCH(ROUNDUP((S$1)/10,0)*10,[1]Hugst!$R$4:$W$4,0))))</f>
        <v>0</v>
      </c>
      <c r="T70" s="168">
        <f>IF($C70-T$1&lt;År1,0,S69*(1-VLOOKUP($A70,[1]Hugst!$R$5:$W$9,MATCH(ROUNDUP((T$1)/10,0)*10,[1]Hugst!$R$4:$W$4,0))))</f>
        <v>0</v>
      </c>
      <c r="U70" s="168">
        <f>IF($C70-U$1&lt;År1,0,T69*(1-VLOOKUP($A70,[1]Hugst!$R$5:$W$9,MATCH(ROUNDUP((U$1)/10,0)*10,[1]Hugst!$R$4:$W$4,0))))</f>
        <v>0</v>
      </c>
      <c r="V70" s="168">
        <f>IF($C70-V$1&lt;År1,0,U69*(1-VLOOKUP($A70,[1]Hugst!$R$5:$W$9,MATCH(ROUNDUP((V$1)/10,0)*10,[1]Hugst!$R$4:$W$4,0))))</f>
        <v>0</v>
      </c>
      <c r="W70" s="168">
        <f>IF($C70-W$1&lt;År1,0,V69*(1-VLOOKUP($A70,[1]Hugst!$R$5:$W$9,MATCH(ROUNDUP((W$1)/10,0)*10,[1]Hugst!$R$4:$W$4,0))))</f>
        <v>0</v>
      </c>
      <c r="X70" s="168">
        <f>IF($C70-X$1&lt;År1,0,W69*(1-VLOOKUP($A70,[1]Hugst!$R$5:$W$9,MATCH(ROUNDUP((X$1)/10,0)*10,[1]Hugst!$R$4:$W$4,0))))</f>
        <v>0</v>
      </c>
      <c r="Y70" s="168">
        <f>IF($C70-Y$1&lt;År1,0,X69*(1-VLOOKUP($A70,[1]Hugst!$R$5:$W$9,MATCH(ROUNDUP((Y$1)/10,0)*10,[1]Hugst!$R$4:$W$4,0))))</f>
        <v>0</v>
      </c>
      <c r="Z70" s="168">
        <f>IF($C70-Z$1&lt;År1,0,Y69*(1-VLOOKUP($A70,[1]Hugst!$R$5:$W$9,MATCH(ROUNDUP((Z$1)/10,0)*10,[1]Hugst!$R$4:$W$4,0))))</f>
        <v>0</v>
      </c>
      <c r="AA70" s="168">
        <f>IF($C70-AA$1&lt;År1,0,Z69*(1-VLOOKUP($A70,[1]Hugst!$R$5:$W$9,MATCH(ROUNDUP((AA$1)/10,0)*10,[1]Hugst!$R$4:$W$4,0))))</f>
        <v>0</v>
      </c>
      <c r="AB70" s="168">
        <f>IF($C70-AB$1&lt;År1,0,AA69*(1-VLOOKUP($A70,[1]Hugst!$R$5:$W$9,MATCH(ROUNDUP((AB$1)/10,0)*10,[1]Hugst!$R$4:$W$4,0))))</f>
        <v>0</v>
      </c>
      <c r="AC70" s="168">
        <f>IF($C70-AC$1&lt;År1,0,AB69*(1-VLOOKUP($A70,[1]Hugst!$R$5:$W$9,MATCH(ROUNDUP((AC$1)/10,0)*10,[1]Hugst!$R$4:$W$4,0))))</f>
        <v>0</v>
      </c>
      <c r="AD70" s="168">
        <f>IF($C70-AD$1&lt;År1,0,AC69*(1-VLOOKUP($A70,[1]Hugst!$R$5:$W$9,MATCH(ROUNDUP((AD$1)/10,0)*10,[1]Hugst!$R$4:$W$4,0))))</f>
        <v>0</v>
      </c>
      <c r="AE70" s="168">
        <f>IF($C70-AE$1&lt;År1,0,AD69*(1-VLOOKUP($A70,[1]Hugst!$R$5:$W$9,MATCH(ROUNDUP((AE$1)/10,0)*10,[1]Hugst!$R$4:$W$4,0))))</f>
        <v>0</v>
      </c>
      <c r="AF70" s="168">
        <f>IF($C70-AF$1&lt;År1,0,AE69*(1-VLOOKUP($A70,[1]Hugst!$R$5:$W$9,MATCH(ROUNDUP((AF$1)/10,0)*10,[1]Hugst!$R$4:$W$4,0))))</f>
        <v>0</v>
      </c>
      <c r="AG70" s="168">
        <f>IF($C70-AG$1&lt;År1,0,AF69*(1-VLOOKUP($A70,[1]Hugst!$R$5:$W$9,MATCH(ROUNDUP((AG$1)/10,0)*10,[1]Hugst!$R$4:$W$4,0))))</f>
        <v>0</v>
      </c>
      <c r="AH70" s="168">
        <f>IF($C70-AH$1&lt;År1,0,AG69*(1-VLOOKUP($A70,[1]Hugst!$R$5:$W$9,MATCH(ROUNDUP((AH$1)/10,0)*10,[1]Hugst!$R$4:$W$4,0))))</f>
        <v>0</v>
      </c>
      <c r="AI70" s="168">
        <f>IF($C70-AI$1&lt;År1,0,AH69*(1-VLOOKUP($A70,[1]Hugst!$R$5:$W$9,MATCH(ROUNDUP((AI$1)/10,0)*10,[1]Hugst!$R$4:$W$4,0))))</f>
        <v>0</v>
      </c>
      <c r="AJ70" s="168">
        <f>IF($C70-AJ$1&lt;År1,0,AI69*(1-VLOOKUP($A70,[1]Hugst!$R$5:$W$9,MATCH(ROUNDUP((AJ$1)/10,0)*10,[1]Hugst!$R$4:$W$4,0))))</f>
        <v>0</v>
      </c>
      <c r="AK70" s="168"/>
      <c r="AL70" s="168"/>
      <c r="AM70" s="168"/>
    </row>
    <row r="71" spans="1:39" x14ac:dyDescent="0.25">
      <c r="A71" s="168" t="s">
        <v>177</v>
      </c>
      <c r="B71" s="168" t="s">
        <v>23</v>
      </c>
      <c r="C71" s="168">
        <v>2027</v>
      </c>
      <c r="D71" s="168" cm="1">
        <f t="array" ref="D71">(IF(B71="Vestdanmark",Skovbrug!$C$22-(Skovbrug!$C$22)*(1-Skovbrug!$C$9)^(C71-Skovbrug!$B$12),Skovbrug!$F$22-(Skovbrug!$F$22)*(1-Skovbrug!$C$9)^(C71-Skovbrug!$B$12))*VLOOKUP(A71,Skovbrug!$A$13:$D$17,IF('Skovbrug-alder'!C71&lt;=År2,3,4),FALSE)-IF(C71&gt;2020,SUM(INDEX($C$1:$D$311,MATCH(1,(2020=$C$1:$C$311)*(B71=$B$1:$B$311)*(A71=$A$1:$A$311),0),2):D70),0))</f>
        <v>0</v>
      </c>
      <c r="E71" s="168">
        <f t="shared" ca="1" si="1"/>
        <v>0</v>
      </c>
      <c r="F71" s="168">
        <f ca="1">IF(C71&lt;=År2,IF(B71="Vestdanmark",(Arealanvendelse!$M$27-Arealanvendelse!$J$27),(Arealanvendelse!$M$37-Arealanvendelse!$J$37))/(Arealanvendelse!$M$3-Arealanvendelse!$J$3),IF(B71="Vestdanmark",(Arealanvendelse!$P$27-Arealanvendelse!$M$27),(Arealanvendelse!$P$37-Arealanvendelse!$M$37))/(Arealanvendelse!$P$3-Arealanvendelse!$M$3))*VLOOKUP(A71,Skovbrug!$A$13:$D$17,IF('Skovbrug-alder'!C71&lt;=År2,3,4),FALSE)+D71+E71</f>
        <v>0</v>
      </c>
      <c r="G71" s="168">
        <f ca="1">IF($C71-G$1&lt;År1,0,F70*(1-VLOOKUP($A71,[1]Hugst!$R$5:$W$9,MATCH(ROUNDUP((G$1)/10,0)*10,[1]Hugst!$R$4:$W$4,0))))</f>
        <v>0</v>
      </c>
      <c r="H71" s="168">
        <f ca="1">IF($C71-H$1&lt;År1,0,G70*(1-VLOOKUP($A71,[1]Hugst!$R$5:$W$9,MATCH(ROUNDUP((H$1)/10,0)*10,[1]Hugst!$R$4:$W$4,0))))</f>
        <v>0</v>
      </c>
      <c r="I71" s="168">
        <f ca="1">IF($C71-I$1&lt;År1,0,H70*(1-VLOOKUP($A71,[1]Hugst!$R$5:$W$9,MATCH(ROUNDUP((I$1)/10,0)*10,[1]Hugst!$R$4:$W$4,0))))</f>
        <v>0</v>
      </c>
      <c r="J71" s="168">
        <f ca="1">IF($C71-J$1&lt;År1,0,I70*(1-VLOOKUP($A71,[1]Hugst!$R$5:$W$9,MATCH(ROUNDUP((J$1)/10,0)*10,[1]Hugst!$R$4:$W$4,0))))</f>
        <v>0</v>
      </c>
      <c r="K71" s="168">
        <f ca="1">IF($C71-K$1&lt;År1,0,J70*(1-VLOOKUP($A71,[1]Hugst!$R$5:$W$9,MATCH(ROUNDUP((K$1)/10,0)*10,[1]Hugst!$R$4:$W$4,0))))</f>
        <v>0</v>
      </c>
      <c r="L71" s="168">
        <f ca="1">IF($C71-L$1&lt;År1,0,K70*(1-VLOOKUP($A71,[1]Hugst!$R$5:$W$9,MATCH(ROUNDUP((L$1)/10,0)*10,[1]Hugst!$R$4:$W$4,0))))</f>
        <v>0</v>
      </c>
      <c r="M71" s="168">
        <f ca="1">IF($C71-M$1&lt;År1,0,L70*(1-VLOOKUP($A71,[1]Hugst!$R$5:$W$9,MATCH(ROUNDUP((M$1)/10,0)*10,[1]Hugst!$R$4:$W$4,0))))</f>
        <v>0</v>
      </c>
      <c r="N71" s="168">
        <f>IF($C71-N$1&lt;År1,0,M70*(1-VLOOKUP($A71,[1]Hugst!$R$5:$W$9,MATCH(ROUNDUP((N$1)/10,0)*10,[1]Hugst!$R$4:$W$4,0))))</f>
        <v>0</v>
      </c>
      <c r="O71" s="168">
        <f>IF($C71-O$1&lt;År1,0,N70*(1-VLOOKUP($A71,[1]Hugst!$R$5:$W$9,MATCH(ROUNDUP((O$1)/10,0)*10,[1]Hugst!$R$4:$W$4,0))))</f>
        <v>0</v>
      </c>
      <c r="P71" s="168">
        <f>IF($C71-P$1&lt;År1,0,O70*(1-VLOOKUP($A71,[1]Hugst!$R$5:$W$9,MATCH(ROUNDUP((P$1)/10,0)*10,[1]Hugst!$R$4:$W$4,0))))</f>
        <v>0</v>
      </c>
      <c r="Q71" s="168">
        <f>IF($C71-Q$1&lt;År1,0,P70*(1-VLOOKUP($A71,[1]Hugst!$R$5:$W$9,MATCH(ROUNDUP((Q$1)/10,0)*10,[1]Hugst!$R$4:$W$4,0))))</f>
        <v>0</v>
      </c>
      <c r="R71" s="168">
        <f>IF($C71-R$1&lt;År1,0,Q70*(1-VLOOKUP($A71,[1]Hugst!$R$5:$W$9,MATCH(ROUNDUP((R$1)/10,0)*10,[1]Hugst!$R$4:$W$4,0))))</f>
        <v>0</v>
      </c>
      <c r="S71" s="168">
        <f>IF($C71-S$1&lt;År1,0,R70*(1-VLOOKUP($A71,[1]Hugst!$R$5:$W$9,MATCH(ROUNDUP((S$1)/10,0)*10,[1]Hugst!$R$4:$W$4,0))))</f>
        <v>0</v>
      </c>
      <c r="T71" s="168">
        <f>IF($C71-T$1&lt;År1,0,S70*(1-VLOOKUP($A71,[1]Hugst!$R$5:$W$9,MATCH(ROUNDUP((T$1)/10,0)*10,[1]Hugst!$R$4:$W$4,0))))</f>
        <v>0</v>
      </c>
      <c r="U71" s="168">
        <f>IF($C71-U$1&lt;År1,0,T70*(1-VLOOKUP($A71,[1]Hugst!$R$5:$W$9,MATCH(ROUNDUP((U$1)/10,0)*10,[1]Hugst!$R$4:$W$4,0))))</f>
        <v>0</v>
      </c>
      <c r="V71" s="168">
        <f>IF($C71-V$1&lt;År1,0,U70*(1-VLOOKUP($A71,[1]Hugst!$R$5:$W$9,MATCH(ROUNDUP((V$1)/10,0)*10,[1]Hugst!$R$4:$W$4,0))))</f>
        <v>0</v>
      </c>
      <c r="W71" s="168">
        <f>IF($C71-W$1&lt;År1,0,V70*(1-VLOOKUP($A71,[1]Hugst!$R$5:$W$9,MATCH(ROUNDUP((W$1)/10,0)*10,[1]Hugst!$R$4:$W$4,0))))</f>
        <v>0</v>
      </c>
      <c r="X71" s="168">
        <f>IF($C71-X$1&lt;År1,0,W70*(1-VLOOKUP($A71,[1]Hugst!$R$5:$W$9,MATCH(ROUNDUP((X$1)/10,0)*10,[1]Hugst!$R$4:$W$4,0))))</f>
        <v>0</v>
      </c>
      <c r="Y71" s="168">
        <f>IF($C71-Y$1&lt;År1,0,X70*(1-VLOOKUP($A71,[1]Hugst!$R$5:$W$9,MATCH(ROUNDUP((Y$1)/10,0)*10,[1]Hugst!$R$4:$W$4,0))))</f>
        <v>0</v>
      </c>
      <c r="Z71" s="168">
        <f>IF($C71-Z$1&lt;År1,0,Y70*(1-VLOOKUP($A71,[1]Hugst!$R$5:$W$9,MATCH(ROUNDUP((Z$1)/10,0)*10,[1]Hugst!$R$4:$W$4,0))))</f>
        <v>0</v>
      </c>
      <c r="AA71" s="168">
        <f>IF($C71-AA$1&lt;År1,0,Z70*(1-VLOOKUP($A71,[1]Hugst!$R$5:$W$9,MATCH(ROUNDUP((AA$1)/10,0)*10,[1]Hugst!$R$4:$W$4,0))))</f>
        <v>0</v>
      </c>
      <c r="AB71" s="168">
        <f>IF($C71-AB$1&lt;År1,0,AA70*(1-VLOOKUP($A71,[1]Hugst!$R$5:$W$9,MATCH(ROUNDUP((AB$1)/10,0)*10,[1]Hugst!$R$4:$W$4,0))))</f>
        <v>0</v>
      </c>
      <c r="AC71" s="168">
        <f>IF($C71-AC$1&lt;År1,0,AB70*(1-VLOOKUP($A71,[1]Hugst!$R$5:$W$9,MATCH(ROUNDUP((AC$1)/10,0)*10,[1]Hugst!$R$4:$W$4,0))))</f>
        <v>0</v>
      </c>
      <c r="AD71" s="168">
        <f>IF($C71-AD$1&lt;År1,0,AC70*(1-VLOOKUP($A71,[1]Hugst!$R$5:$W$9,MATCH(ROUNDUP((AD$1)/10,0)*10,[1]Hugst!$R$4:$W$4,0))))</f>
        <v>0</v>
      </c>
      <c r="AE71" s="168">
        <f>IF($C71-AE$1&lt;År1,0,AD70*(1-VLOOKUP($A71,[1]Hugst!$R$5:$W$9,MATCH(ROUNDUP((AE$1)/10,0)*10,[1]Hugst!$R$4:$W$4,0))))</f>
        <v>0</v>
      </c>
      <c r="AF71" s="168">
        <f>IF($C71-AF$1&lt;År1,0,AE70*(1-VLOOKUP($A71,[1]Hugst!$R$5:$W$9,MATCH(ROUNDUP((AF$1)/10,0)*10,[1]Hugst!$R$4:$W$4,0))))</f>
        <v>0</v>
      </c>
      <c r="AG71" s="168">
        <f>IF($C71-AG$1&lt;År1,0,AF70*(1-VLOOKUP($A71,[1]Hugst!$R$5:$W$9,MATCH(ROUNDUP((AG$1)/10,0)*10,[1]Hugst!$R$4:$W$4,0))))</f>
        <v>0</v>
      </c>
      <c r="AH71" s="168">
        <f>IF($C71-AH$1&lt;År1,0,AG70*(1-VLOOKUP($A71,[1]Hugst!$R$5:$W$9,MATCH(ROUNDUP((AH$1)/10,0)*10,[1]Hugst!$R$4:$W$4,0))))</f>
        <v>0</v>
      </c>
      <c r="AI71" s="168">
        <f>IF($C71-AI$1&lt;År1,0,AH70*(1-VLOOKUP($A71,[1]Hugst!$R$5:$W$9,MATCH(ROUNDUP((AI$1)/10,0)*10,[1]Hugst!$R$4:$W$4,0))))</f>
        <v>0</v>
      </c>
      <c r="AJ71" s="168">
        <f>IF($C71-AJ$1&lt;År1,0,AI70*(1-VLOOKUP($A71,[1]Hugst!$R$5:$W$9,MATCH(ROUNDUP((AJ$1)/10,0)*10,[1]Hugst!$R$4:$W$4,0))))</f>
        <v>0</v>
      </c>
      <c r="AK71" s="168"/>
      <c r="AL71" s="168"/>
      <c r="AM71" s="168"/>
    </row>
    <row r="72" spans="1:39" x14ac:dyDescent="0.25">
      <c r="A72" s="168" t="s">
        <v>177</v>
      </c>
      <c r="B72" s="168" t="s">
        <v>23</v>
      </c>
      <c r="C72" s="168">
        <v>2028</v>
      </c>
      <c r="D72" s="168" cm="1">
        <f t="array" ref="D72">(IF(B72="Vestdanmark",Skovbrug!$C$22-(Skovbrug!$C$22)*(1-Skovbrug!$C$9)^(C72-Skovbrug!$B$12),Skovbrug!$F$22-(Skovbrug!$F$22)*(1-Skovbrug!$C$9)^(C72-Skovbrug!$B$12))*VLOOKUP(A72,Skovbrug!$A$13:$D$17,IF('Skovbrug-alder'!C72&lt;=År2,3,4),FALSE)-IF(C72&gt;2020,SUM(INDEX($C$1:$D$311,MATCH(1,(2020=$C$1:$C$311)*(B72=$B$1:$B$311)*(A72=$A$1:$A$311),0),2):D71),0))</f>
        <v>0</v>
      </c>
      <c r="E72" s="168">
        <f t="shared" ca="1" si="1"/>
        <v>0</v>
      </c>
      <c r="F72" s="168">
        <f ca="1">IF(C72&lt;=År2,IF(B72="Vestdanmark",(Arealanvendelse!$M$27-Arealanvendelse!$J$27),(Arealanvendelse!$M$37-Arealanvendelse!$J$37))/(Arealanvendelse!$M$3-Arealanvendelse!$J$3),IF(B72="Vestdanmark",(Arealanvendelse!$P$27-Arealanvendelse!$M$27),(Arealanvendelse!$P$37-Arealanvendelse!$M$37))/(Arealanvendelse!$P$3-Arealanvendelse!$M$3))*VLOOKUP(A72,Skovbrug!$A$13:$D$17,IF('Skovbrug-alder'!C72&lt;=År2,3,4),FALSE)+D72+E72</f>
        <v>0</v>
      </c>
      <c r="G72" s="168">
        <f ca="1">IF($C72-G$1&lt;År1,0,F71*(1-VLOOKUP($A72,[1]Hugst!$R$5:$W$9,MATCH(ROUNDUP((G$1)/10,0)*10,[1]Hugst!$R$4:$W$4,0))))</f>
        <v>0</v>
      </c>
      <c r="H72" s="168">
        <f ca="1">IF($C72-H$1&lt;År1,0,G71*(1-VLOOKUP($A72,[1]Hugst!$R$5:$W$9,MATCH(ROUNDUP((H$1)/10,0)*10,[1]Hugst!$R$4:$W$4,0))))</f>
        <v>0</v>
      </c>
      <c r="I72" s="168">
        <f ca="1">IF($C72-I$1&lt;År1,0,H71*(1-VLOOKUP($A72,[1]Hugst!$R$5:$W$9,MATCH(ROUNDUP((I$1)/10,0)*10,[1]Hugst!$R$4:$W$4,0))))</f>
        <v>0</v>
      </c>
      <c r="J72" s="168">
        <f ca="1">IF($C72-J$1&lt;År1,0,I71*(1-VLOOKUP($A72,[1]Hugst!$R$5:$W$9,MATCH(ROUNDUP((J$1)/10,0)*10,[1]Hugst!$R$4:$W$4,0))))</f>
        <v>0</v>
      </c>
      <c r="K72" s="168">
        <f ca="1">IF($C72-K$1&lt;År1,0,J71*(1-VLOOKUP($A72,[1]Hugst!$R$5:$W$9,MATCH(ROUNDUP((K$1)/10,0)*10,[1]Hugst!$R$4:$W$4,0))))</f>
        <v>0</v>
      </c>
      <c r="L72" s="168">
        <f ca="1">IF($C72-L$1&lt;År1,0,K71*(1-VLOOKUP($A72,[1]Hugst!$R$5:$W$9,MATCH(ROUNDUP((L$1)/10,0)*10,[1]Hugst!$R$4:$W$4,0))))</f>
        <v>0</v>
      </c>
      <c r="M72" s="168">
        <f ca="1">IF($C72-M$1&lt;År1,0,L71*(1-VLOOKUP($A72,[1]Hugst!$R$5:$W$9,MATCH(ROUNDUP((M$1)/10,0)*10,[1]Hugst!$R$4:$W$4,0))))</f>
        <v>0</v>
      </c>
      <c r="N72" s="168">
        <f ca="1">IF($C72-N$1&lt;År1,0,M71*(1-VLOOKUP($A72,[1]Hugst!$R$5:$W$9,MATCH(ROUNDUP((N$1)/10,0)*10,[1]Hugst!$R$4:$W$4,0))))</f>
        <v>0</v>
      </c>
      <c r="O72" s="168">
        <f>IF($C72-O$1&lt;År1,0,N71*(1-VLOOKUP($A72,[1]Hugst!$R$5:$W$9,MATCH(ROUNDUP((O$1)/10,0)*10,[1]Hugst!$R$4:$W$4,0))))</f>
        <v>0</v>
      </c>
      <c r="P72" s="168">
        <f>IF($C72-P$1&lt;År1,0,O71*(1-VLOOKUP($A72,[1]Hugst!$R$5:$W$9,MATCH(ROUNDUP((P$1)/10,0)*10,[1]Hugst!$R$4:$W$4,0))))</f>
        <v>0</v>
      </c>
      <c r="Q72" s="168">
        <f>IF($C72-Q$1&lt;År1,0,P71*(1-VLOOKUP($A72,[1]Hugst!$R$5:$W$9,MATCH(ROUNDUP((Q$1)/10,0)*10,[1]Hugst!$R$4:$W$4,0))))</f>
        <v>0</v>
      </c>
      <c r="R72" s="168">
        <f>IF($C72-R$1&lt;År1,0,Q71*(1-VLOOKUP($A72,[1]Hugst!$R$5:$W$9,MATCH(ROUNDUP((R$1)/10,0)*10,[1]Hugst!$R$4:$W$4,0))))</f>
        <v>0</v>
      </c>
      <c r="S72" s="168">
        <f>IF($C72-S$1&lt;År1,0,R71*(1-VLOOKUP($A72,[1]Hugst!$R$5:$W$9,MATCH(ROUNDUP((S$1)/10,0)*10,[1]Hugst!$R$4:$W$4,0))))</f>
        <v>0</v>
      </c>
      <c r="T72" s="168">
        <f>IF($C72-T$1&lt;År1,0,S71*(1-VLOOKUP($A72,[1]Hugst!$R$5:$W$9,MATCH(ROUNDUP((T$1)/10,0)*10,[1]Hugst!$R$4:$W$4,0))))</f>
        <v>0</v>
      </c>
      <c r="U72" s="168">
        <f>IF($C72-U$1&lt;År1,0,T71*(1-VLOOKUP($A72,[1]Hugst!$R$5:$W$9,MATCH(ROUNDUP((U$1)/10,0)*10,[1]Hugst!$R$4:$W$4,0))))</f>
        <v>0</v>
      </c>
      <c r="V72" s="168">
        <f>IF($C72-V$1&lt;År1,0,U71*(1-VLOOKUP($A72,[1]Hugst!$R$5:$W$9,MATCH(ROUNDUP((V$1)/10,0)*10,[1]Hugst!$R$4:$W$4,0))))</f>
        <v>0</v>
      </c>
      <c r="W72" s="168">
        <f>IF($C72-W$1&lt;År1,0,V71*(1-VLOOKUP($A72,[1]Hugst!$R$5:$W$9,MATCH(ROUNDUP((W$1)/10,0)*10,[1]Hugst!$R$4:$W$4,0))))</f>
        <v>0</v>
      </c>
      <c r="X72" s="168">
        <f>IF($C72-X$1&lt;År1,0,W71*(1-VLOOKUP($A72,[1]Hugst!$R$5:$W$9,MATCH(ROUNDUP((X$1)/10,0)*10,[1]Hugst!$R$4:$W$4,0))))</f>
        <v>0</v>
      </c>
      <c r="Y72" s="168">
        <f>IF($C72-Y$1&lt;År1,0,X71*(1-VLOOKUP($A72,[1]Hugst!$R$5:$W$9,MATCH(ROUNDUP((Y$1)/10,0)*10,[1]Hugst!$R$4:$W$4,0))))</f>
        <v>0</v>
      </c>
      <c r="Z72" s="168">
        <f>IF($C72-Z$1&lt;År1,0,Y71*(1-VLOOKUP($A72,[1]Hugst!$R$5:$W$9,MATCH(ROUNDUP((Z$1)/10,0)*10,[1]Hugst!$R$4:$W$4,0))))</f>
        <v>0</v>
      </c>
      <c r="AA72" s="168">
        <f>IF($C72-AA$1&lt;År1,0,Z71*(1-VLOOKUP($A72,[1]Hugst!$R$5:$W$9,MATCH(ROUNDUP((AA$1)/10,0)*10,[1]Hugst!$R$4:$W$4,0))))</f>
        <v>0</v>
      </c>
      <c r="AB72" s="168">
        <f>IF($C72-AB$1&lt;År1,0,AA71*(1-VLOOKUP($A72,[1]Hugst!$R$5:$W$9,MATCH(ROUNDUP((AB$1)/10,0)*10,[1]Hugst!$R$4:$W$4,0))))</f>
        <v>0</v>
      </c>
      <c r="AC72" s="168">
        <f>IF($C72-AC$1&lt;År1,0,AB71*(1-VLOOKUP($A72,[1]Hugst!$R$5:$W$9,MATCH(ROUNDUP((AC$1)/10,0)*10,[1]Hugst!$R$4:$W$4,0))))</f>
        <v>0</v>
      </c>
      <c r="AD72" s="168">
        <f>IF($C72-AD$1&lt;År1,0,AC71*(1-VLOOKUP($A72,[1]Hugst!$R$5:$W$9,MATCH(ROUNDUP((AD$1)/10,0)*10,[1]Hugst!$R$4:$W$4,0))))</f>
        <v>0</v>
      </c>
      <c r="AE72" s="168">
        <f>IF($C72-AE$1&lt;År1,0,AD71*(1-VLOOKUP($A72,[1]Hugst!$R$5:$W$9,MATCH(ROUNDUP((AE$1)/10,0)*10,[1]Hugst!$R$4:$W$4,0))))</f>
        <v>0</v>
      </c>
      <c r="AF72" s="168">
        <f>IF($C72-AF$1&lt;År1,0,AE71*(1-VLOOKUP($A72,[1]Hugst!$R$5:$W$9,MATCH(ROUNDUP((AF$1)/10,0)*10,[1]Hugst!$R$4:$W$4,0))))</f>
        <v>0</v>
      </c>
      <c r="AG72" s="168">
        <f>IF($C72-AG$1&lt;År1,0,AF71*(1-VLOOKUP($A72,[1]Hugst!$R$5:$W$9,MATCH(ROUNDUP((AG$1)/10,0)*10,[1]Hugst!$R$4:$W$4,0))))</f>
        <v>0</v>
      </c>
      <c r="AH72" s="168">
        <f>IF($C72-AH$1&lt;År1,0,AG71*(1-VLOOKUP($A72,[1]Hugst!$R$5:$W$9,MATCH(ROUNDUP((AH$1)/10,0)*10,[1]Hugst!$R$4:$W$4,0))))</f>
        <v>0</v>
      </c>
      <c r="AI72" s="168">
        <f>IF($C72-AI$1&lt;År1,0,AH71*(1-VLOOKUP($A72,[1]Hugst!$R$5:$W$9,MATCH(ROUNDUP((AI$1)/10,0)*10,[1]Hugst!$R$4:$W$4,0))))</f>
        <v>0</v>
      </c>
      <c r="AJ72" s="168">
        <f>IF($C72-AJ$1&lt;År1,0,AI71*(1-VLOOKUP($A72,[1]Hugst!$R$5:$W$9,MATCH(ROUNDUP((AJ$1)/10,0)*10,[1]Hugst!$R$4:$W$4,0))))</f>
        <v>0</v>
      </c>
      <c r="AK72" s="168"/>
      <c r="AL72" s="168"/>
      <c r="AM72" s="168"/>
    </row>
    <row r="73" spans="1:39" x14ac:dyDescent="0.25">
      <c r="A73" s="168" t="s">
        <v>177</v>
      </c>
      <c r="B73" s="168" t="s">
        <v>23</v>
      </c>
      <c r="C73" s="168">
        <v>2029</v>
      </c>
      <c r="D73" s="168" cm="1">
        <f t="array" ref="D73">(IF(B73="Vestdanmark",Skovbrug!$C$22-(Skovbrug!$C$22)*(1-Skovbrug!$C$9)^(C73-Skovbrug!$B$12),Skovbrug!$F$22-(Skovbrug!$F$22)*(1-Skovbrug!$C$9)^(C73-Skovbrug!$B$12))*VLOOKUP(A73,Skovbrug!$A$13:$D$17,IF('Skovbrug-alder'!C73&lt;=År2,3,4),FALSE)-IF(C73&gt;2020,SUM(INDEX($C$1:$D$311,MATCH(1,(2020=$C$1:$C$311)*(B73=$B$1:$B$311)*(A73=$A$1:$A$311),0),2):D72),0))</f>
        <v>0</v>
      </c>
      <c r="E73" s="168">
        <f t="shared" ca="1" si="1"/>
        <v>0</v>
      </c>
      <c r="F73" s="168">
        <f ca="1">IF(C73&lt;=År2,IF(B73="Vestdanmark",(Arealanvendelse!$M$27-Arealanvendelse!$J$27),(Arealanvendelse!$M$37-Arealanvendelse!$J$37))/(Arealanvendelse!$M$3-Arealanvendelse!$J$3),IF(B73="Vestdanmark",(Arealanvendelse!$P$27-Arealanvendelse!$M$27),(Arealanvendelse!$P$37-Arealanvendelse!$M$37))/(Arealanvendelse!$P$3-Arealanvendelse!$M$3))*VLOOKUP(A73,Skovbrug!$A$13:$D$17,IF('Skovbrug-alder'!C73&lt;=År2,3,4),FALSE)+D73+E73</f>
        <v>0</v>
      </c>
      <c r="G73" s="168">
        <f ca="1">IF($C73-G$1&lt;År1,0,F72*(1-VLOOKUP($A73,[1]Hugst!$R$5:$W$9,MATCH(ROUNDUP((G$1)/10,0)*10,[1]Hugst!$R$4:$W$4,0))))</f>
        <v>0</v>
      </c>
      <c r="H73" s="168">
        <f ca="1">IF($C73-H$1&lt;År1,0,G72*(1-VLOOKUP($A73,[1]Hugst!$R$5:$W$9,MATCH(ROUNDUP((H$1)/10,0)*10,[1]Hugst!$R$4:$W$4,0))))</f>
        <v>0</v>
      </c>
      <c r="I73" s="168">
        <f ca="1">IF($C73-I$1&lt;År1,0,H72*(1-VLOOKUP($A73,[1]Hugst!$R$5:$W$9,MATCH(ROUNDUP((I$1)/10,0)*10,[1]Hugst!$R$4:$W$4,0))))</f>
        <v>0</v>
      </c>
      <c r="J73" s="168">
        <f ca="1">IF($C73-J$1&lt;År1,0,I72*(1-VLOOKUP($A73,[1]Hugst!$R$5:$W$9,MATCH(ROUNDUP((J$1)/10,0)*10,[1]Hugst!$R$4:$W$4,0))))</f>
        <v>0</v>
      </c>
      <c r="K73" s="168">
        <f ca="1">IF($C73-K$1&lt;År1,0,J72*(1-VLOOKUP($A73,[1]Hugst!$R$5:$W$9,MATCH(ROUNDUP((K$1)/10,0)*10,[1]Hugst!$R$4:$W$4,0))))</f>
        <v>0</v>
      </c>
      <c r="L73" s="168">
        <f ca="1">IF($C73-L$1&lt;År1,0,K72*(1-VLOOKUP($A73,[1]Hugst!$R$5:$W$9,MATCH(ROUNDUP((L$1)/10,0)*10,[1]Hugst!$R$4:$W$4,0))))</f>
        <v>0</v>
      </c>
      <c r="M73" s="168">
        <f ca="1">IF($C73-M$1&lt;År1,0,L72*(1-VLOOKUP($A73,[1]Hugst!$R$5:$W$9,MATCH(ROUNDUP((M$1)/10,0)*10,[1]Hugst!$R$4:$W$4,0))))</f>
        <v>0</v>
      </c>
      <c r="N73" s="168">
        <f ca="1">IF($C73-N$1&lt;År1,0,M72*(1-VLOOKUP($A73,[1]Hugst!$R$5:$W$9,MATCH(ROUNDUP((N$1)/10,0)*10,[1]Hugst!$R$4:$W$4,0))))</f>
        <v>0</v>
      </c>
      <c r="O73" s="168">
        <f ca="1">IF($C73-O$1&lt;År1,0,N72*(1-VLOOKUP($A73,[1]Hugst!$R$5:$W$9,MATCH(ROUNDUP((O$1)/10,0)*10,[1]Hugst!$R$4:$W$4,0))))</f>
        <v>0</v>
      </c>
      <c r="P73" s="168">
        <f>IF($C73-P$1&lt;År1,0,O72*(1-VLOOKUP($A73,[1]Hugst!$R$5:$W$9,MATCH(ROUNDUP((P$1)/10,0)*10,[1]Hugst!$R$4:$W$4,0))))</f>
        <v>0</v>
      </c>
      <c r="Q73" s="168">
        <f>IF($C73-Q$1&lt;År1,0,P72*(1-VLOOKUP($A73,[1]Hugst!$R$5:$W$9,MATCH(ROUNDUP((Q$1)/10,0)*10,[1]Hugst!$R$4:$W$4,0))))</f>
        <v>0</v>
      </c>
      <c r="R73" s="168">
        <f>IF($C73-R$1&lt;År1,0,Q72*(1-VLOOKUP($A73,[1]Hugst!$R$5:$W$9,MATCH(ROUNDUP((R$1)/10,0)*10,[1]Hugst!$R$4:$W$4,0))))</f>
        <v>0</v>
      </c>
      <c r="S73" s="168">
        <f>IF($C73-S$1&lt;År1,0,R72*(1-VLOOKUP($A73,[1]Hugst!$R$5:$W$9,MATCH(ROUNDUP((S$1)/10,0)*10,[1]Hugst!$R$4:$W$4,0))))</f>
        <v>0</v>
      </c>
      <c r="T73" s="168">
        <f>IF($C73-T$1&lt;År1,0,S72*(1-VLOOKUP($A73,[1]Hugst!$R$5:$W$9,MATCH(ROUNDUP((T$1)/10,0)*10,[1]Hugst!$R$4:$W$4,0))))</f>
        <v>0</v>
      </c>
      <c r="U73" s="168">
        <f>IF($C73-U$1&lt;År1,0,T72*(1-VLOOKUP($A73,[1]Hugst!$R$5:$W$9,MATCH(ROUNDUP((U$1)/10,0)*10,[1]Hugst!$R$4:$W$4,0))))</f>
        <v>0</v>
      </c>
      <c r="V73" s="168">
        <f>IF($C73-V$1&lt;År1,0,U72*(1-VLOOKUP($A73,[1]Hugst!$R$5:$W$9,MATCH(ROUNDUP((V$1)/10,0)*10,[1]Hugst!$R$4:$W$4,0))))</f>
        <v>0</v>
      </c>
      <c r="W73" s="168">
        <f>IF($C73-W$1&lt;År1,0,V72*(1-VLOOKUP($A73,[1]Hugst!$R$5:$W$9,MATCH(ROUNDUP((W$1)/10,0)*10,[1]Hugst!$R$4:$W$4,0))))</f>
        <v>0</v>
      </c>
      <c r="X73" s="168">
        <f>IF($C73-X$1&lt;År1,0,W72*(1-VLOOKUP($A73,[1]Hugst!$R$5:$W$9,MATCH(ROUNDUP((X$1)/10,0)*10,[1]Hugst!$R$4:$W$4,0))))</f>
        <v>0</v>
      </c>
      <c r="Y73" s="168">
        <f>IF($C73-Y$1&lt;År1,0,X72*(1-VLOOKUP($A73,[1]Hugst!$R$5:$W$9,MATCH(ROUNDUP((Y$1)/10,0)*10,[1]Hugst!$R$4:$W$4,0))))</f>
        <v>0</v>
      </c>
      <c r="Z73" s="168">
        <f>IF($C73-Z$1&lt;År1,0,Y72*(1-VLOOKUP($A73,[1]Hugst!$R$5:$W$9,MATCH(ROUNDUP((Z$1)/10,0)*10,[1]Hugst!$R$4:$W$4,0))))</f>
        <v>0</v>
      </c>
      <c r="AA73" s="168">
        <f>IF($C73-AA$1&lt;År1,0,Z72*(1-VLOOKUP($A73,[1]Hugst!$R$5:$W$9,MATCH(ROUNDUP((AA$1)/10,0)*10,[1]Hugst!$R$4:$W$4,0))))</f>
        <v>0</v>
      </c>
      <c r="AB73" s="168">
        <f>IF($C73-AB$1&lt;År1,0,AA72*(1-VLOOKUP($A73,[1]Hugst!$R$5:$W$9,MATCH(ROUNDUP((AB$1)/10,0)*10,[1]Hugst!$R$4:$W$4,0))))</f>
        <v>0</v>
      </c>
      <c r="AC73" s="168">
        <f>IF($C73-AC$1&lt;År1,0,AB72*(1-VLOOKUP($A73,[1]Hugst!$R$5:$W$9,MATCH(ROUNDUP((AC$1)/10,0)*10,[1]Hugst!$R$4:$W$4,0))))</f>
        <v>0</v>
      </c>
      <c r="AD73" s="168">
        <f>IF($C73-AD$1&lt;År1,0,AC72*(1-VLOOKUP($A73,[1]Hugst!$R$5:$W$9,MATCH(ROUNDUP((AD$1)/10,0)*10,[1]Hugst!$R$4:$W$4,0))))</f>
        <v>0</v>
      </c>
      <c r="AE73" s="168">
        <f>IF($C73-AE$1&lt;År1,0,AD72*(1-VLOOKUP($A73,[1]Hugst!$R$5:$W$9,MATCH(ROUNDUP((AE$1)/10,0)*10,[1]Hugst!$R$4:$W$4,0))))</f>
        <v>0</v>
      </c>
      <c r="AF73" s="168">
        <f>IF($C73-AF$1&lt;År1,0,AE72*(1-VLOOKUP($A73,[1]Hugst!$R$5:$W$9,MATCH(ROUNDUP((AF$1)/10,0)*10,[1]Hugst!$R$4:$W$4,0))))</f>
        <v>0</v>
      </c>
      <c r="AG73" s="168">
        <f>IF($C73-AG$1&lt;År1,0,AF72*(1-VLOOKUP($A73,[1]Hugst!$R$5:$W$9,MATCH(ROUNDUP((AG$1)/10,0)*10,[1]Hugst!$R$4:$W$4,0))))</f>
        <v>0</v>
      </c>
      <c r="AH73" s="168">
        <f>IF($C73-AH$1&lt;År1,0,AG72*(1-VLOOKUP($A73,[1]Hugst!$R$5:$W$9,MATCH(ROUNDUP((AH$1)/10,0)*10,[1]Hugst!$R$4:$W$4,0))))</f>
        <v>0</v>
      </c>
      <c r="AI73" s="168">
        <f>IF($C73-AI$1&lt;År1,0,AH72*(1-VLOOKUP($A73,[1]Hugst!$R$5:$W$9,MATCH(ROUNDUP((AI$1)/10,0)*10,[1]Hugst!$R$4:$W$4,0))))</f>
        <v>0</v>
      </c>
      <c r="AJ73" s="168">
        <f>IF($C73-AJ$1&lt;År1,0,AI72*(1-VLOOKUP($A73,[1]Hugst!$R$5:$W$9,MATCH(ROUNDUP((AJ$1)/10,0)*10,[1]Hugst!$R$4:$W$4,0))))</f>
        <v>0</v>
      </c>
      <c r="AK73" s="168"/>
      <c r="AL73" s="168"/>
      <c r="AM73" s="168"/>
    </row>
    <row r="74" spans="1:39" x14ac:dyDescent="0.25">
      <c r="A74" s="168" t="s">
        <v>177</v>
      </c>
      <c r="B74" s="168" t="s">
        <v>23</v>
      </c>
      <c r="C74" s="168">
        <v>2030</v>
      </c>
      <c r="D74" s="168" cm="1">
        <f t="array" ref="D74">(IF(B74="Vestdanmark",Skovbrug!$C$22-(Skovbrug!$C$22)*(1-Skovbrug!$C$9)^(C74-Skovbrug!$B$12),Skovbrug!$F$22-(Skovbrug!$F$22)*(1-Skovbrug!$C$9)^(C74-Skovbrug!$B$12))*VLOOKUP(A74,Skovbrug!$A$13:$D$17,IF('Skovbrug-alder'!C74&lt;=År2,3,4),FALSE)-IF(C74&gt;2020,SUM(INDEX($C$1:$D$311,MATCH(1,(2020=$C$1:$C$311)*(B74=$B$1:$B$311)*(A74=$A$1:$A$311),0),2):D73),0))</f>
        <v>0</v>
      </c>
      <c r="E74" s="168">
        <f t="shared" ca="1" si="1"/>
        <v>0</v>
      </c>
      <c r="F74" s="168">
        <f ca="1">IF(C74&lt;=År2,IF(B74="Vestdanmark",(Arealanvendelse!$M$27-Arealanvendelse!$J$27),(Arealanvendelse!$M$37-Arealanvendelse!$J$37))/(Arealanvendelse!$M$3-Arealanvendelse!$J$3),IF(B74="Vestdanmark",(Arealanvendelse!$P$27-Arealanvendelse!$M$27),(Arealanvendelse!$P$37-Arealanvendelse!$M$37))/(Arealanvendelse!$P$3-Arealanvendelse!$M$3))*VLOOKUP(A74,Skovbrug!$A$13:$D$17,IF('Skovbrug-alder'!C74&lt;=År2,3,4),FALSE)+D74+E74</f>
        <v>0</v>
      </c>
      <c r="G74" s="168">
        <f ca="1">IF($C74-G$1&lt;År1,0,F73*(1-VLOOKUP($A74,[1]Hugst!$R$5:$W$9,MATCH(ROUNDUP((G$1)/10,0)*10,[1]Hugst!$R$4:$W$4,0))))</f>
        <v>0</v>
      </c>
      <c r="H74" s="168">
        <f ca="1">IF($C74-H$1&lt;År1,0,G73*(1-VLOOKUP($A74,[1]Hugst!$R$5:$W$9,MATCH(ROUNDUP((H$1)/10,0)*10,[1]Hugst!$R$4:$W$4,0))))</f>
        <v>0</v>
      </c>
      <c r="I74" s="168">
        <f ca="1">IF($C74-I$1&lt;År1,0,H73*(1-VLOOKUP($A74,[1]Hugst!$R$5:$W$9,MATCH(ROUNDUP((I$1)/10,0)*10,[1]Hugst!$R$4:$W$4,0))))</f>
        <v>0</v>
      </c>
      <c r="J74" s="168">
        <f ca="1">IF($C74-J$1&lt;År1,0,I73*(1-VLOOKUP($A74,[1]Hugst!$R$5:$W$9,MATCH(ROUNDUP((J$1)/10,0)*10,[1]Hugst!$R$4:$W$4,0))))</f>
        <v>0</v>
      </c>
      <c r="K74" s="168">
        <f ca="1">IF($C74-K$1&lt;År1,0,J73*(1-VLOOKUP($A74,[1]Hugst!$R$5:$W$9,MATCH(ROUNDUP((K$1)/10,0)*10,[1]Hugst!$R$4:$W$4,0))))</f>
        <v>0</v>
      </c>
      <c r="L74" s="168">
        <f ca="1">IF($C74-L$1&lt;År1,0,K73*(1-VLOOKUP($A74,[1]Hugst!$R$5:$W$9,MATCH(ROUNDUP((L$1)/10,0)*10,[1]Hugst!$R$4:$W$4,0))))</f>
        <v>0</v>
      </c>
      <c r="M74" s="168">
        <f ca="1">IF($C74-M$1&lt;År1,0,L73*(1-VLOOKUP($A74,[1]Hugst!$R$5:$W$9,MATCH(ROUNDUP((M$1)/10,0)*10,[1]Hugst!$R$4:$W$4,0))))</f>
        <v>0</v>
      </c>
      <c r="N74" s="168">
        <f ca="1">IF($C74-N$1&lt;År1,0,M73*(1-VLOOKUP($A74,[1]Hugst!$R$5:$W$9,MATCH(ROUNDUP((N$1)/10,0)*10,[1]Hugst!$R$4:$W$4,0))))</f>
        <v>0</v>
      </c>
      <c r="O74" s="168">
        <f ca="1">IF($C74-O$1&lt;År1,0,N73*(1-VLOOKUP($A74,[1]Hugst!$R$5:$W$9,MATCH(ROUNDUP((O$1)/10,0)*10,[1]Hugst!$R$4:$W$4,0))))</f>
        <v>0</v>
      </c>
      <c r="P74" s="168">
        <f ca="1">IF($C74-P$1&lt;År1,0,O73*(1-VLOOKUP($A74,[1]Hugst!$R$5:$W$9,MATCH(ROUNDUP((P$1)/10,0)*10,[1]Hugst!$R$4:$W$4,0))))</f>
        <v>0</v>
      </c>
      <c r="Q74" s="168">
        <f>IF($C74-Q$1&lt;År1,0,P73*(1-VLOOKUP($A74,[1]Hugst!$R$5:$W$9,MATCH(ROUNDUP((Q$1)/10,0)*10,[1]Hugst!$R$4:$W$4,0))))</f>
        <v>0</v>
      </c>
      <c r="R74" s="168">
        <f>IF($C74-R$1&lt;År1,0,Q73*(1-VLOOKUP($A74,[1]Hugst!$R$5:$W$9,MATCH(ROUNDUP((R$1)/10,0)*10,[1]Hugst!$R$4:$W$4,0))))</f>
        <v>0</v>
      </c>
      <c r="S74" s="168">
        <f>IF($C74-S$1&lt;År1,0,R73*(1-VLOOKUP($A74,[1]Hugst!$R$5:$W$9,MATCH(ROUNDUP((S$1)/10,0)*10,[1]Hugst!$R$4:$W$4,0))))</f>
        <v>0</v>
      </c>
      <c r="T74" s="168">
        <f>IF($C74-T$1&lt;År1,0,S73*(1-VLOOKUP($A74,[1]Hugst!$R$5:$W$9,MATCH(ROUNDUP((T$1)/10,0)*10,[1]Hugst!$R$4:$W$4,0))))</f>
        <v>0</v>
      </c>
      <c r="U74" s="168">
        <f>IF($C74-U$1&lt;År1,0,T73*(1-VLOOKUP($A74,[1]Hugst!$R$5:$W$9,MATCH(ROUNDUP((U$1)/10,0)*10,[1]Hugst!$R$4:$W$4,0))))</f>
        <v>0</v>
      </c>
      <c r="V74" s="168">
        <f>IF($C74-V$1&lt;År1,0,U73*(1-VLOOKUP($A74,[1]Hugst!$R$5:$W$9,MATCH(ROUNDUP((V$1)/10,0)*10,[1]Hugst!$R$4:$W$4,0))))</f>
        <v>0</v>
      </c>
      <c r="W74" s="168">
        <f>IF($C74-W$1&lt;År1,0,V73*(1-VLOOKUP($A74,[1]Hugst!$R$5:$W$9,MATCH(ROUNDUP((W$1)/10,0)*10,[1]Hugst!$R$4:$W$4,0))))</f>
        <v>0</v>
      </c>
      <c r="X74" s="168">
        <f>IF($C74-X$1&lt;År1,0,W73*(1-VLOOKUP($A74,[1]Hugst!$R$5:$W$9,MATCH(ROUNDUP((X$1)/10,0)*10,[1]Hugst!$R$4:$W$4,0))))</f>
        <v>0</v>
      </c>
      <c r="Y74" s="168">
        <f>IF($C74-Y$1&lt;År1,0,X73*(1-VLOOKUP($A74,[1]Hugst!$R$5:$W$9,MATCH(ROUNDUP((Y$1)/10,0)*10,[1]Hugst!$R$4:$W$4,0))))</f>
        <v>0</v>
      </c>
      <c r="Z74" s="168">
        <f>IF($C74-Z$1&lt;År1,0,Y73*(1-VLOOKUP($A74,[1]Hugst!$R$5:$W$9,MATCH(ROUNDUP((Z$1)/10,0)*10,[1]Hugst!$R$4:$W$4,0))))</f>
        <v>0</v>
      </c>
      <c r="AA74" s="168">
        <f>IF($C74-AA$1&lt;År1,0,Z73*(1-VLOOKUP($A74,[1]Hugst!$R$5:$W$9,MATCH(ROUNDUP((AA$1)/10,0)*10,[1]Hugst!$R$4:$W$4,0))))</f>
        <v>0</v>
      </c>
      <c r="AB74" s="168">
        <f>IF($C74-AB$1&lt;År1,0,AA73*(1-VLOOKUP($A74,[1]Hugst!$R$5:$W$9,MATCH(ROUNDUP((AB$1)/10,0)*10,[1]Hugst!$R$4:$W$4,0))))</f>
        <v>0</v>
      </c>
      <c r="AC74" s="168">
        <f>IF($C74-AC$1&lt;År1,0,AB73*(1-VLOOKUP($A74,[1]Hugst!$R$5:$W$9,MATCH(ROUNDUP((AC$1)/10,0)*10,[1]Hugst!$R$4:$W$4,0))))</f>
        <v>0</v>
      </c>
      <c r="AD74" s="168">
        <f>IF($C74-AD$1&lt;År1,0,AC73*(1-VLOOKUP($A74,[1]Hugst!$R$5:$W$9,MATCH(ROUNDUP((AD$1)/10,0)*10,[1]Hugst!$R$4:$W$4,0))))</f>
        <v>0</v>
      </c>
      <c r="AE74" s="168">
        <f>IF($C74-AE$1&lt;År1,0,AD73*(1-VLOOKUP($A74,[1]Hugst!$R$5:$W$9,MATCH(ROUNDUP((AE$1)/10,0)*10,[1]Hugst!$R$4:$W$4,0))))</f>
        <v>0</v>
      </c>
      <c r="AF74" s="168">
        <f>IF($C74-AF$1&lt;År1,0,AE73*(1-VLOOKUP($A74,[1]Hugst!$R$5:$W$9,MATCH(ROUNDUP((AF$1)/10,0)*10,[1]Hugst!$R$4:$W$4,0))))</f>
        <v>0</v>
      </c>
      <c r="AG74" s="168">
        <f>IF($C74-AG$1&lt;År1,0,AF73*(1-VLOOKUP($A74,[1]Hugst!$R$5:$W$9,MATCH(ROUNDUP((AG$1)/10,0)*10,[1]Hugst!$R$4:$W$4,0))))</f>
        <v>0</v>
      </c>
      <c r="AH74" s="168">
        <f>IF($C74-AH$1&lt;År1,0,AG73*(1-VLOOKUP($A74,[1]Hugst!$R$5:$W$9,MATCH(ROUNDUP((AH$1)/10,0)*10,[1]Hugst!$R$4:$W$4,0))))</f>
        <v>0</v>
      </c>
      <c r="AI74" s="168">
        <f>IF($C74-AI$1&lt;År1,0,AH73*(1-VLOOKUP($A74,[1]Hugst!$R$5:$W$9,MATCH(ROUNDUP((AI$1)/10,0)*10,[1]Hugst!$R$4:$W$4,0))))</f>
        <v>0</v>
      </c>
      <c r="AJ74" s="168">
        <f>IF($C74-AJ$1&lt;År1,0,AI73*(1-VLOOKUP($A74,[1]Hugst!$R$5:$W$9,MATCH(ROUNDUP((AJ$1)/10,0)*10,[1]Hugst!$R$4:$W$4,0))))</f>
        <v>0</v>
      </c>
      <c r="AK74" s="168"/>
      <c r="AL74" s="168"/>
      <c r="AM74" s="168"/>
    </row>
    <row r="75" spans="1:39" x14ac:dyDescent="0.25">
      <c r="A75" s="168" t="s">
        <v>177</v>
      </c>
      <c r="B75" s="168" t="s">
        <v>23</v>
      </c>
      <c r="C75" s="168">
        <v>2031</v>
      </c>
      <c r="D75" s="168" cm="1">
        <f t="array" ref="D75">(IF(B75="Vestdanmark",Skovbrug!$C$22-(Skovbrug!$C$22)*(1-Skovbrug!$C$9)^(C75-Skovbrug!$B$12),Skovbrug!$F$22-(Skovbrug!$F$22)*(1-Skovbrug!$C$9)^(C75-Skovbrug!$B$12))*VLOOKUP(A75,Skovbrug!$A$13:$D$17,IF('Skovbrug-alder'!C75&lt;=År2,3,4),FALSE)-IF(C75&gt;2020,SUM(INDEX($C$1:$D$311,MATCH(1,(2020=$C$1:$C$311)*(B75=$B$1:$B$311)*(A75=$A$1:$A$311),0),2):D74),0))</f>
        <v>0</v>
      </c>
      <c r="E75" s="168">
        <f t="shared" ca="1" si="1"/>
        <v>0</v>
      </c>
      <c r="F75" s="168">
        <f ca="1">IF(C75&lt;=År2,IF(B75="Vestdanmark",(Arealanvendelse!$M$27-Arealanvendelse!$J$27),(Arealanvendelse!$M$37-Arealanvendelse!$J$37))/(Arealanvendelse!$M$3-Arealanvendelse!$J$3),IF(B75="Vestdanmark",(Arealanvendelse!$P$27-Arealanvendelse!$M$27),(Arealanvendelse!$P$37-Arealanvendelse!$M$37))/(Arealanvendelse!$P$3-Arealanvendelse!$M$3))*VLOOKUP(A75,Skovbrug!$A$13:$D$17,IF('Skovbrug-alder'!C75&lt;=År2,3,4),FALSE)+D75+E75</f>
        <v>0</v>
      </c>
      <c r="G75" s="168">
        <f ca="1">IF($C75-G$1&lt;År1,0,F74*(1-VLOOKUP($A75,[1]Hugst!$R$5:$W$9,MATCH(ROUNDUP((G$1)/10,0)*10,[1]Hugst!$R$4:$W$4,0))))</f>
        <v>0</v>
      </c>
      <c r="H75" s="168">
        <f ca="1">IF($C75-H$1&lt;År1,0,G74*(1-VLOOKUP($A75,[1]Hugst!$R$5:$W$9,MATCH(ROUNDUP((H$1)/10,0)*10,[1]Hugst!$R$4:$W$4,0))))</f>
        <v>0</v>
      </c>
      <c r="I75" s="168">
        <f ca="1">IF($C75-I$1&lt;År1,0,H74*(1-VLOOKUP($A75,[1]Hugst!$R$5:$W$9,MATCH(ROUNDUP((I$1)/10,0)*10,[1]Hugst!$R$4:$W$4,0))))</f>
        <v>0</v>
      </c>
      <c r="J75" s="168">
        <f ca="1">IF($C75-J$1&lt;År1,0,I74*(1-VLOOKUP($A75,[1]Hugst!$R$5:$W$9,MATCH(ROUNDUP((J$1)/10,0)*10,[1]Hugst!$R$4:$W$4,0))))</f>
        <v>0</v>
      </c>
      <c r="K75" s="168">
        <f ca="1">IF($C75-K$1&lt;År1,0,J74*(1-VLOOKUP($A75,[1]Hugst!$R$5:$W$9,MATCH(ROUNDUP((K$1)/10,0)*10,[1]Hugst!$R$4:$W$4,0))))</f>
        <v>0</v>
      </c>
      <c r="L75" s="168">
        <f ca="1">IF($C75-L$1&lt;År1,0,K74*(1-VLOOKUP($A75,[1]Hugst!$R$5:$W$9,MATCH(ROUNDUP((L$1)/10,0)*10,[1]Hugst!$R$4:$W$4,0))))</f>
        <v>0</v>
      </c>
      <c r="M75" s="168">
        <f ca="1">IF($C75-M$1&lt;År1,0,L74*(1-VLOOKUP($A75,[1]Hugst!$R$5:$W$9,MATCH(ROUNDUP((M$1)/10,0)*10,[1]Hugst!$R$4:$W$4,0))))</f>
        <v>0</v>
      </c>
      <c r="N75" s="168">
        <f ca="1">IF($C75-N$1&lt;År1,0,M74*(1-VLOOKUP($A75,[1]Hugst!$R$5:$W$9,MATCH(ROUNDUP((N$1)/10,0)*10,[1]Hugst!$R$4:$W$4,0))))</f>
        <v>0</v>
      </c>
      <c r="O75" s="168">
        <f ca="1">IF($C75-O$1&lt;År1,0,N74*(1-VLOOKUP($A75,[1]Hugst!$R$5:$W$9,MATCH(ROUNDUP((O$1)/10,0)*10,[1]Hugst!$R$4:$W$4,0))))</f>
        <v>0</v>
      </c>
      <c r="P75" s="168">
        <f ca="1">IF($C75-P$1&lt;År1,0,O74*(1-VLOOKUP($A75,[1]Hugst!$R$5:$W$9,MATCH(ROUNDUP((P$1)/10,0)*10,[1]Hugst!$R$4:$W$4,0))))</f>
        <v>0</v>
      </c>
      <c r="Q75" s="168">
        <f ca="1">IF($C75-Q$1&lt;År1,0,P74*(1-VLOOKUP($A75,[1]Hugst!$R$5:$W$9,MATCH(ROUNDUP((Q$1)/10,0)*10,[1]Hugst!$R$4:$W$4,0))))</f>
        <v>0</v>
      </c>
      <c r="R75" s="168">
        <f>IF($C75-R$1&lt;År1,0,Q74*(1-VLOOKUP($A75,[1]Hugst!$R$5:$W$9,MATCH(ROUNDUP((R$1)/10,0)*10,[1]Hugst!$R$4:$W$4,0))))</f>
        <v>0</v>
      </c>
      <c r="S75" s="168">
        <f>IF($C75-S$1&lt;År1,0,R74*(1-VLOOKUP($A75,[1]Hugst!$R$5:$W$9,MATCH(ROUNDUP((S$1)/10,0)*10,[1]Hugst!$R$4:$W$4,0))))</f>
        <v>0</v>
      </c>
      <c r="T75" s="168">
        <f>IF($C75-T$1&lt;År1,0,S74*(1-VLOOKUP($A75,[1]Hugst!$R$5:$W$9,MATCH(ROUNDUP((T$1)/10,0)*10,[1]Hugst!$R$4:$W$4,0))))</f>
        <v>0</v>
      </c>
      <c r="U75" s="168">
        <f>IF($C75-U$1&lt;År1,0,T74*(1-VLOOKUP($A75,[1]Hugst!$R$5:$W$9,MATCH(ROUNDUP((U$1)/10,0)*10,[1]Hugst!$R$4:$W$4,0))))</f>
        <v>0</v>
      </c>
      <c r="V75" s="168">
        <f>IF($C75-V$1&lt;År1,0,U74*(1-VLOOKUP($A75,[1]Hugst!$R$5:$W$9,MATCH(ROUNDUP((V$1)/10,0)*10,[1]Hugst!$R$4:$W$4,0))))</f>
        <v>0</v>
      </c>
      <c r="W75" s="168">
        <f>IF($C75-W$1&lt;År1,0,V74*(1-VLOOKUP($A75,[1]Hugst!$R$5:$W$9,MATCH(ROUNDUP((W$1)/10,0)*10,[1]Hugst!$R$4:$W$4,0))))</f>
        <v>0</v>
      </c>
      <c r="X75" s="168">
        <f>IF($C75-X$1&lt;År1,0,W74*(1-VLOOKUP($A75,[1]Hugst!$R$5:$W$9,MATCH(ROUNDUP((X$1)/10,0)*10,[1]Hugst!$R$4:$W$4,0))))</f>
        <v>0</v>
      </c>
      <c r="Y75" s="168">
        <f>IF($C75-Y$1&lt;År1,0,X74*(1-VLOOKUP($A75,[1]Hugst!$R$5:$W$9,MATCH(ROUNDUP((Y$1)/10,0)*10,[1]Hugst!$R$4:$W$4,0))))</f>
        <v>0</v>
      </c>
      <c r="Z75" s="168">
        <f>IF($C75-Z$1&lt;År1,0,Y74*(1-VLOOKUP($A75,[1]Hugst!$R$5:$W$9,MATCH(ROUNDUP((Z$1)/10,0)*10,[1]Hugst!$R$4:$W$4,0))))</f>
        <v>0</v>
      </c>
      <c r="AA75" s="168">
        <f>IF($C75-AA$1&lt;År1,0,Z74*(1-VLOOKUP($A75,[1]Hugst!$R$5:$W$9,MATCH(ROUNDUP((AA$1)/10,0)*10,[1]Hugst!$R$4:$W$4,0))))</f>
        <v>0</v>
      </c>
      <c r="AB75" s="168">
        <f>IF($C75-AB$1&lt;År1,0,AA74*(1-VLOOKUP($A75,[1]Hugst!$R$5:$W$9,MATCH(ROUNDUP((AB$1)/10,0)*10,[1]Hugst!$R$4:$W$4,0))))</f>
        <v>0</v>
      </c>
      <c r="AC75" s="168">
        <f>IF($C75-AC$1&lt;År1,0,AB74*(1-VLOOKUP($A75,[1]Hugst!$R$5:$W$9,MATCH(ROUNDUP((AC$1)/10,0)*10,[1]Hugst!$R$4:$W$4,0))))</f>
        <v>0</v>
      </c>
      <c r="AD75" s="168">
        <f>IF($C75-AD$1&lt;År1,0,AC74*(1-VLOOKUP($A75,[1]Hugst!$R$5:$W$9,MATCH(ROUNDUP((AD$1)/10,0)*10,[1]Hugst!$R$4:$W$4,0))))</f>
        <v>0</v>
      </c>
      <c r="AE75" s="168">
        <f>IF($C75-AE$1&lt;År1,0,AD74*(1-VLOOKUP($A75,[1]Hugst!$R$5:$W$9,MATCH(ROUNDUP((AE$1)/10,0)*10,[1]Hugst!$R$4:$W$4,0))))</f>
        <v>0</v>
      </c>
      <c r="AF75" s="168">
        <f>IF($C75-AF$1&lt;År1,0,AE74*(1-VLOOKUP($A75,[1]Hugst!$R$5:$W$9,MATCH(ROUNDUP((AF$1)/10,0)*10,[1]Hugst!$R$4:$W$4,0))))</f>
        <v>0</v>
      </c>
      <c r="AG75" s="168">
        <f>IF($C75-AG$1&lt;År1,0,AF74*(1-VLOOKUP($A75,[1]Hugst!$R$5:$W$9,MATCH(ROUNDUP((AG$1)/10,0)*10,[1]Hugst!$R$4:$W$4,0))))</f>
        <v>0</v>
      </c>
      <c r="AH75" s="168">
        <f>IF($C75-AH$1&lt;År1,0,AG74*(1-VLOOKUP($A75,[1]Hugst!$R$5:$W$9,MATCH(ROUNDUP((AH$1)/10,0)*10,[1]Hugst!$R$4:$W$4,0))))</f>
        <v>0</v>
      </c>
      <c r="AI75" s="168">
        <f>IF($C75-AI$1&lt;År1,0,AH74*(1-VLOOKUP($A75,[1]Hugst!$R$5:$W$9,MATCH(ROUNDUP((AI$1)/10,0)*10,[1]Hugst!$R$4:$W$4,0))))</f>
        <v>0</v>
      </c>
      <c r="AJ75" s="168">
        <f>IF($C75-AJ$1&lt;År1,0,AI74*(1-VLOOKUP($A75,[1]Hugst!$R$5:$W$9,MATCH(ROUNDUP((AJ$1)/10,0)*10,[1]Hugst!$R$4:$W$4,0))))</f>
        <v>0</v>
      </c>
      <c r="AK75" s="168"/>
      <c r="AL75" s="168"/>
      <c r="AM75" s="168"/>
    </row>
    <row r="76" spans="1:39" x14ac:dyDescent="0.25">
      <c r="A76" s="168" t="s">
        <v>177</v>
      </c>
      <c r="B76" s="168" t="s">
        <v>23</v>
      </c>
      <c r="C76" s="168">
        <v>2032</v>
      </c>
      <c r="D76" s="168" cm="1">
        <f t="array" ref="D76">(IF(B76="Vestdanmark",Skovbrug!$C$22-(Skovbrug!$C$22)*(1-Skovbrug!$C$9)^(C76-Skovbrug!$B$12),Skovbrug!$F$22-(Skovbrug!$F$22)*(1-Skovbrug!$C$9)^(C76-Skovbrug!$B$12))*VLOOKUP(A76,Skovbrug!$A$13:$D$17,IF('Skovbrug-alder'!C76&lt;=År2,3,4),FALSE)-IF(C76&gt;2020,SUM(INDEX($C$1:$D$311,MATCH(1,(2020=$C$1:$C$311)*(B76=$B$1:$B$311)*(A76=$A$1:$A$311),0),2):D75),0))</f>
        <v>0</v>
      </c>
      <c r="E76" s="168">
        <f t="shared" ca="1" si="1"/>
        <v>0</v>
      </c>
      <c r="F76" s="168">
        <f ca="1">IF(C76&lt;=År2,IF(B76="Vestdanmark",(Arealanvendelse!$M$27-Arealanvendelse!$J$27),(Arealanvendelse!$M$37-Arealanvendelse!$J$37))/(Arealanvendelse!$M$3-Arealanvendelse!$J$3),IF(B76="Vestdanmark",(Arealanvendelse!$P$27-Arealanvendelse!$M$27),(Arealanvendelse!$P$37-Arealanvendelse!$M$37))/(Arealanvendelse!$P$3-Arealanvendelse!$M$3))*VLOOKUP(A76,Skovbrug!$A$13:$D$17,IF('Skovbrug-alder'!C76&lt;=År2,3,4),FALSE)+D76+E76</f>
        <v>0</v>
      </c>
      <c r="G76" s="168">
        <f ca="1">IF($C76-G$1&lt;År1,0,F75*(1-VLOOKUP($A76,[1]Hugst!$R$5:$W$9,MATCH(ROUNDUP((G$1)/10,0)*10,[1]Hugst!$R$4:$W$4,0))))</f>
        <v>0</v>
      </c>
      <c r="H76" s="168">
        <f ca="1">IF($C76-H$1&lt;År1,0,G75*(1-VLOOKUP($A76,[1]Hugst!$R$5:$W$9,MATCH(ROUNDUP((H$1)/10,0)*10,[1]Hugst!$R$4:$W$4,0))))</f>
        <v>0</v>
      </c>
      <c r="I76" s="168">
        <f ca="1">IF($C76-I$1&lt;År1,0,H75*(1-VLOOKUP($A76,[1]Hugst!$R$5:$W$9,MATCH(ROUNDUP((I$1)/10,0)*10,[1]Hugst!$R$4:$W$4,0))))</f>
        <v>0</v>
      </c>
      <c r="J76" s="168">
        <f ca="1">IF($C76-J$1&lt;År1,0,I75*(1-VLOOKUP($A76,[1]Hugst!$R$5:$W$9,MATCH(ROUNDUP((J$1)/10,0)*10,[1]Hugst!$R$4:$W$4,0))))</f>
        <v>0</v>
      </c>
      <c r="K76" s="168">
        <f ca="1">IF($C76-K$1&lt;År1,0,J75*(1-VLOOKUP($A76,[1]Hugst!$R$5:$W$9,MATCH(ROUNDUP((K$1)/10,0)*10,[1]Hugst!$R$4:$W$4,0))))</f>
        <v>0</v>
      </c>
      <c r="L76" s="168">
        <f ca="1">IF($C76-L$1&lt;År1,0,K75*(1-VLOOKUP($A76,[1]Hugst!$R$5:$W$9,MATCH(ROUNDUP((L$1)/10,0)*10,[1]Hugst!$R$4:$W$4,0))))</f>
        <v>0</v>
      </c>
      <c r="M76" s="168">
        <f ca="1">IF($C76-M$1&lt;År1,0,L75*(1-VLOOKUP($A76,[1]Hugst!$R$5:$W$9,MATCH(ROUNDUP((M$1)/10,0)*10,[1]Hugst!$R$4:$W$4,0))))</f>
        <v>0</v>
      </c>
      <c r="N76" s="168">
        <f ca="1">IF($C76-N$1&lt;År1,0,M75*(1-VLOOKUP($A76,[1]Hugst!$R$5:$W$9,MATCH(ROUNDUP((N$1)/10,0)*10,[1]Hugst!$R$4:$W$4,0))))</f>
        <v>0</v>
      </c>
      <c r="O76" s="168">
        <f ca="1">IF($C76-O$1&lt;År1,0,N75*(1-VLOOKUP($A76,[1]Hugst!$R$5:$W$9,MATCH(ROUNDUP((O$1)/10,0)*10,[1]Hugst!$R$4:$W$4,0))))</f>
        <v>0</v>
      </c>
      <c r="P76" s="168">
        <f ca="1">IF($C76-P$1&lt;År1,0,O75*(1-VLOOKUP($A76,[1]Hugst!$R$5:$W$9,MATCH(ROUNDUP((P$1)/10,0)*10,[1]Hugst!$R$4:$W$4,0))))</f>
        <v>0</v>
      </c>
      <c r="Q76" s="168">
        <f ca="1">IF($C76-Q$1&lt;År1,0,P75*(1-VLOOKUP($A76,[1]Hugst!$R$5:$W$9,MATCH(ROUNDUP((Q$1)/10,0)*10,[1]Hugst!$R$4:$W$4,0))))</f>
        <v>0</v>
      </c>
      <c r="R76" s="168">
        <f ca="1">IF($C76-R$1&lt;År1,0,Q75*(1-VLOOKUP($A76,[1]Hugst!$R$5:$W$9,MATCH(ROUNDUP((R$1)/10,0)*10,[1]Hugst!$R$4:$W$4,0))))</f>
        <v>0</v>
      </c>
      <c r="S76" s="168">
        <f>IF($C76-S$1&lt;År1,0,R75*(1-VLOOKUP($A76,[1]Hugst!$R$5:$W$9,MATCH(ROUNDUP((S$1)/10,0)*10,[1]Hugst!$R$4:$W$4,0))))</f>
        <v>0</v>
      </c>
      <c r="T76" s="168">
        <f>IF($C76-T$1&lt;År1,0,S75*(1-VLOOKUP($A76,[1]Hugst!$R$5:$W$9,MATCH(ROUNDUP((T$1)/10,0)*10,[1]Hugst!$R$4:$W$4,0))))</f>
        <v>0</v>
      </c>
      <c r="U76" s="168">
        <f>IF($C76-U$1&lt;År1,0,T75*(1-VLOOKUP($A76,[1]Hugst!$R$5:$W$9,MATCH(ROUNDUP((U$1)/10,0)*10,[1]Hugst!$R$4:$W$4,0))))</f>
        <v>0</v>
      </c>
      <c r="V76" s="168">
        <f>IF($C76-V$1&lt;År1,0,U75*(1-VLOOKUP($A76,[1]Hugst!$R$5:$W$9,MATCH(ROUNDUP((V$1)/10,0)*10,[1]Hugst!$R$4:$W$4,0))))</f>
        <v>0</v>
      </c>
      <c r="W76" s="168">
        <f>IF($C76-W$1&lt;År1,0,V75*(1-VLOOKUP($A76,[1]Hugst!$R$5:$W$9,MATCH(ROUNDUP((W$1)/10,0)*10,[1]Hugst!$R$4:$W$4,0))))</f>
        <v>0</v>
      </c>
      <c r="X76" s="168">
        <f>IF($C76-X$1&lt;År1,0,W75*(1-VLOOKUP($A76,[1]Hugst!$R$5:$W$9,MATCH(ROUNDUP((X$1)/10,0)*10,[1]Hugst!$R$4:$W$4,0))))</f>
        <v>0</v>
      </c>
      <c r="Y76" s="168">
        <f>IF($C76-Y$1&lt;År1,0,X75*(1-VLOOKUP($A76,[1]Hugst!$R$5:$W$9,MATCH(ROUNDUP((Y$1)/10,0)*10,[1]Hugst!$R$4:$W$4,0))))</f>
        <v>0</v>
      </c>
      <c r="Z76" s="168">
        <f>IF($C76-Z$1&lt;År1,0,Y75*(1-VLOOKUP($A76,[1]Hugst!$R$5:$W$9,MATCH(ROUNDUP((Z$1)/10,0)*10,[1]Hugst!$R$4:$W$4,0))))</f>
        <v>0</v>
      </c>
      <c r="AA76" s="168">
        <f>IF($C76-AA$1&lt;År1,0,Z75*(1-VLOOKUP($A76,[1]Hugst!$R$5:$W$9,MATCH(ROUNDUP((AA$1)/10,0)*10,[1]Hugst!$R$4:$W$4,0))))</f>
        <v>0</v>
      </c>
      <c r="AB76" s="168">
        <f>IF($C76-AB$1&lt;År1,0,AA75*(1-VLOOKUP($A76,[1]Hugst!$R$5:$W$9,MATCH(ROUNDUP((AB$1)/10,0)*10,[1]Hugst!$R$4:$W$4,0))))</f>
        <v>0</v>
      </c>
      <c r="AC76" s="168">
        <f>IF($C76-AC$1&lt;År1,0,AB75*(1-VLOOKUP($A76,[1]Hugst!$R$5:$W$9,MATCH(ROUNDUP((AC$1)/10,0)*10,[1]Hugst!$R$4:$W$4,0))))</f>
        <v>0</v>
      </c>
      <c r="AD76" s="168">
        <f>IF($C76-AD$1&lt;År1,0,AC75*(1-VLOOKUP($A76,[1]Hugst!$R$5:$W$9,MATCH(ROUNDUP((AD$1)/10,0)*10,[1]Hugst!$R$4:$W$4,0))))</f>
        <v>0</v>
      </c>
      <c r="AE76" s="168">
        <f>IF($C76-AE$1&lt;År1,0,AD75*(1-VLOOKUP($A76,[1]Hugst!$R$5:$W$9,MATCH(ROUNDUP((AE$1)/10,0)*10,[1]Hugst!$R$4:$W$4,0))))</f>
        <v>0</v>
      </c>
      <c r="AF76" s="168">
        <f>IF($C76-AF$1&lt;År1,0,AE75*(1-VLOOKUP($A76,[1]Hugst!$R$5:$W$9,MATCH(ROUNDUP((AF$1)/10,0)*10,[1]Hugst!$R$4:$W$4,0))))</f>
        <v>0</v>
      </c>
      <c r="AG76" s="168">
        <f>IF($C76-AG$1&lt;År1,0,AF75*(1-VLOOKUP($A76,[1]Hugst!$R$5:$W$9,MATCH(ROUNDUP((AG$1)/10,0)*10,[1]Hugst!$R$4:$W$4,0))))</f>
        <v>0</v>
      </c>
      <c r="AH76" s="168">
        <f>IF($C76-AH$1&lt;År1,0,AG75*(1-VLOOKUP($A76,[1]Hugst!$R$5:$W$9,MATCH(ROUNDUP((AH$1)/10,0)*10,[1]Hugst!$R$4:$W$4,0))))</f>
        <v>0</v>
      </c>
      <c r="AI76" s="168">
        <f>IF($C76-AI$1&lt;År1,0,AH75*(1-VLOOKUP($A76,[1]Hugst!$R$5:$W$9,MATCH(ROUNDUP((AI$1)/10,0)*10,[1]Hugst!$R$4:$W$4,0))))</f>
        <v>0</v>
      </c>
      <c r="AJ76" s="168">
        <f>IF($C76-AJ$1&lt;År1,0,AI75*(1-VLOOKUP($A76,[1]Hugst!$R$5:$W$9,MATCH(ROUNDUP((AJ$1)/10,0)*10,[1]Hugst!$R$4:$W$4,0))))</f>
        <v>0</v>
      </c>
      <c r="AK76" s="168"/>
      <c r="AL76" s="168"/>
      <c r="AM76" s="168"/>
    </row>
    <row r="77" spans="1:39" x14ac:dyDescent="0.25">
      <c r="A77" s="168" t="s">
        <v>177</v>
      </c>
      <c r="B77" s="168" t="s">
        <v>23</v>
      </c>
      <c r="C77" s="168">
        <v>2033</v>
      </c>
      <c r="D77" s="168" cm="1">
        <f t="array" ref="D77">(IF(B77="Vestdanmark",Skovbrug!$C$22-(Skovbrug!$C$22)*(1-Skovbrug!$C$9)^(C77-Skovbrug!$B$12),Skovbrug!$F$22-(Skovbrug!$F$22)*(1-Skovbrug!$C$9)^(C77-Skovbrug!$B$12))*VLOOKUP(A77,Skovbrug!$A$13:$D$17,IF('Skovbrug-alder'!C77&lt;=År2,3,4),FALSE)-IF(C77&gt;2020,SUM(INDEX($C$1:$D$311,MATCH(1,(2020=$C$1:$C$311)*(B77=$B$1:$B$311)*(A77=$A$1:$A$311),0),2):D76),0))</f>
        <v>0</v>
      </c>
      <c r="E77" s="168">
        <f t="shared" ca="1" si="1"/>
        <v>0</v>
      </c>
      <c r="F77" s="168">
        <f ca="1">IF(C77&lt;=År2,IF(B77="Vestdanmark",(Arealanvendelse!$M$27-Arealanvendelse!$J$27),(Arealanvendelse!$M$37-Arealanvendelse!$J$37))/(Arealanvendelse!$M$3-Arealanvendelse!$J$3),IF(B77="Vestdanmark",(Arealanvendelse!$P$27-Arealanvendelse!$M$27),(Arealanvendelse!$P$37-Arealanvendelse!$M$37))/(Arealanvendelse!$P$3-Arealanvendelse!$M$3))*VLOOKUP(A77,Skovbrug!$A$13:$D$17,IF('Skovbrug-alder'!C77&lt;=År2,3,4),FALSE)+D77+E77</f>
        <v>0</v>
      </c>
      <c r="G77" s="168">
        <f ca="1">IF($C77-G$1&lt;År1,0,F76*(1-VLOOKUP($A77,[1]Hugst!$R$5:$W$9,MATCH(ROUNDUP((G$1)/10,0)*10,[1]Hugst!$R$4:$W$4,0))))</f>
        <v>0</v>
      </c>
      <c r="H77" s="168">
        <f ca="1">IF($C77-H$1&lt;År1,0,G76*(1-VLOOKUP($A77,[1]Hugst!$R$5:$W$9,MATCH(ROUNDUP((H$1)/10,0)*10,[1]Hugst!$R$4:$W$4,0))))</f>
        <v>0</v>
      </c>
      <c r="I77" s="168">
        <f ca="1">IF($C77-I$1&lt;År1,0,H76*(1-VLOOKUP($A77,[1]Hugst!$R$5:$W$9,MATCH(ROUNDUP((I$1)/10,0)*10,[1]Hugst!$R$4:$W$4,0))))</f>
        <v>0</v>
      </c>
      <c r="J77" s="168">
        <f ca="1">IF($C77-J$1&lt;År1,0,I76*(1-VLOOKUP($A77,[1]Hugst!$R$5:$W$9,MATCH(ROUNDUP((J$1)/10,0)*10,[1]Hugst!$R$4:$W$4,0))))</f>
        <v>0</v>
      </c>
      <c r="K77" s="168">
        <f ca="1">IF($C77-K$1&lt;År1,0,J76*(1-VLOOKUP($A77,[1]Hugst!$R$5:$W$9,MATCH(ROUNDUP((K$1)/10,0)*10,[1]Hugst!$R$4:$W$4,0))))</f>
        <v>0</v>
      </c>
      <c r="L77" s="168">
        <f ca="1">IF($C77-L$1&lt;År1,0,K76*(1-VLOOKUP($A77,[1]Hugst!$R$5:$W$9,MATCH(ROUNDUP((L$1)/10,0)*10,[1]Hugst!$R$4:$W$4,0))))</f>
        <v>0</v>
      </c>
      <c r="M77" s="168">
        <f ca="1">IF($C77-M$1&lt;År1,0,L76*(1-VLOOKUP($A77,[1]Hugst!$R$5:$W$9,MATCH(ROUNDUP((M$1)/10,0)*10,[1]Hugst!$R$4:$W$4,0))))</f>
        <v>0</v>
      </c>
      <c r="N77" s="168">
        <f ca="1">IF($C77-N$1&lt;År1,0,M76*(1-VLOOKUP($A77,[1]Hugst!$R$5:$W$9,MATCH(ROUNDUP((N$1)/10,0)*10,[1]Hugst!$R$4:$W$4,0))))</f>
        <v>0</v>
      </c>
      <c r="O77" s="168">
        <f ca="1">IF($C77-O$1&lt;År1,0,N76*(1-VLOOKUP($A77,[1]Hugst!$R$5:$W$9,MATCH(ROUNDUP((O$1)/10,0)*10,[1]Hugst!$R$4:$W$4,0))))</f>
        <v>0</v>
      </c>
      <c r="P77" s="168">
        <f ca="1">IF($C77-P$1&lt;År1,0,O76*(1-VLOOKUP($A77,[1]Hugst!$R$5:$W$9,MATCH(ROUNDUP((P$1)/10,0)*10,[1]Hugst!$R$4:$W$4,0))))</f>
        <v>0</v>
      </c>
      <c r="Q77" s="168">
        <f ca="1">IF($C77-Q$1&lt;År1,0,P76*(1-VLOOKUP($A77,[1]Hugst!$R$5:$W$9,MATCH(ROUNDUP((Q$1)/10,0)*10,[1]Hugst!$R$4:$W$4,0))))</f>
        <v>0</v>
      </c>
      <c r="R77" s="168">
        <f ca="1">IF($C77-R$1&lt;År1,0,Q76*(1-VLOOKUP($A77,[1]Hugst!$R$5:$W$9,MATCH(ROUNDUP((R$1)/10,0)*10,[1]Hugst!$R$4:$W$4,0))))</f>
        <v>0</v>
      </c>
      <c r="S77" s="168">
        <f ca="1">IF($C77-S$1&lt;År1,0,R76*(1-VLOOKUP($A77,[1]Hugst!$R$5:$W$9,MATCH(ROUNDUP((S$1)/10,0)*10,[1]Hugst!$R$4:$W$4,0))))</f>
        <v>0</v>
      </c>
      <c r="T77" s="168">
        <f>IF($C77-T$1&lt;År1,0,S76*(1-VLOOKUP($A77,[1]Hugst!$R$5:$W$9,MATCH(ROUNDUP((T$1)/10,0)*10,[1]Hugst!$R$4:$W$4,0))))</f>
        <v>0</v>
      </c>
      <c r="U77" s="168">
        <f>IF($C77-U$1&lt;År1,0,T76*(1-VLOOKUP($A77,[1]Hugst!$R$5:$W$9,MATCH(ROUNDUP((U$1)/10,0)*10,[1]Hugst!$R$4:$W$4,0))))</f>
        <v>0</v>
      </c>
      <c r="V77" s="168">
        <f>IF($C77-V$1&lt;År1,0,U76*(1-VLOOKUP($A77,[1]Hugst!$R$5:$W$9,MATCH(ROUNDUP((V$1)/10,0)*10,[1]Hugst!$R$4:$W$4,0))))</f>
        <v>0</v>
      </c>
      <c r="W77" s="168">
        <f>IF($C77-W$1&lt;År1,0,V76*(1-VLOOKUP($A77,[1]Hugst!$R$5:$W$9,MATCH(ROUNDUP((W$1)/10,0)*10,[1]Hugst!$R$4:$W$4,0))))</f>
        <v>0</v>
      </c>
      <c r="X77" s="168">
        <f>IF($C77-X$1&lt;År1,0,W76*(1-VLOOKUP($A77,[1]Hugst!$R$5:$W$9,MATCH(ROUNDUP((X$1)/10,0)*10,[1]Hugst!$R$4:$W$4,0))))</f>
        <v>0</v>
      </c>
      <c r="Y77" s="168">
        <f>IF($C77-Y$1&lt;År1,0,X76*(1-VLOOKUP($A77,[1]Hugst!$R$5:$W$9,MATCH(ROUNDUP((Y$1)/10,0)*10,[1]Hugst!$R$4:$W$4,0))))</f>
        <v>0</v>
      </c>
      <c r="Z77" s="168">
        <f>IF($C77-Z$1&lt;År1,0,Y76*(1-VLOOKUP($A77,[1]Hugst!$R$5:$W$9,MATCH(ROUNDUP((Z$1)/10,0)*10,[1]Hugst!$R$4:$W$4,0))))</f>
        <v>0</v>
      </c>
      <c r="AA77" s="168">
        <f>IF($C77-AA$1&lt;År1,0,Z76*(1-VLOOKUP($A77,[1]Hugst!$R$5:$W$9,MATCH(ROUNDUP((AA$1)/10,0)*10,[1]Hugst!$R$4:$W$4,0))))</f>
        <v>0</v>
      </c>
      <c r="AB77" s="168">
        <f>IF($C77-AB$1&lt;År1,0,AA76*(1-VLOOKUP($A77,[1]Hugst!$R$5:$W$9,MATCH(ROUNDUP((AB$1)/10,0)*10,[1]Hugst!$R$4:$W$4,0))))</f>
        <v>0</v>
      </c>
      <c r="AC77" s="168">
        <f>IF($C77-AC$1&lt;År1,0,AB76*(1-VLOOKUP($A77,[1]Hugst!$R$5:$W$9,MATCH(ROUNDUP((AC$1)/10,0)*10,[1]Hugst!$R$4:$W$4,0))))</f>
        <v>0</v>
      </c>
      <c r="AD77" s="168">
        <f>IF($C77-AD$1&lt;År1,0,AC76*(1-VLOOKUP($A77,[1]Hugst!$R$5:$W$9,MATCH(ROUNDUP((AD$1)/10,0)*10,[1]Hugst!$R$4:$W$4,0))))</f>
        <v>0</v>
      </c>
      <c r="AE77" s="168">
        <f>IF($C77-AE$1&lt;År1,0,AD76*(1-VLOOKUP($A77,[1]Hugst!$R$5:$W$9,MATCH(ROUNDUP((AE$1)/10,0)*10,[1]Hugst!$R$4:$W$4,0))))</f>
        <v>0</v>
      </c>
      <c r="AF77" s="168">
        <f>IF($C77-AF$1&lt;År1,0,AE76*(1-VLOOKUP($A77,[1]Hugst!$R$5:$W$9,MATCH(ROUNDUP((AF$1)/10,0)*10,[1]Hugst!$R$4:$W$4,0))))</f>
        <v>0</v>
      </c>
      <c r="AG77" s="168">
        <f>IF($C77-AG$1&lt;År1,0,AF76*(1-VLOOKUP($A77,[1]Hugst!$R$5:$W$9,MATCH(ROUNDUP((AG$1)/10,0)*10,[1]Hugst!$R$4:$W$4,0))))</f>
        <v>0</v>
      </c>
      <c r="AH77" s="168">
        <f>IF($C77-AH$1&lt;År1,0,AG76*(1-VLOOKUP($A77,[1]Hugst!$R$5:$W$9,MATCH(ROUNDUP((AH$1)/10,0)*10,[1]Hugst!$R$4:$W$4,0))))</f>
        <v>0</v>
      </c>
      <c r="AI77" s="168">
        <f>IF($C77-AI$1&lt;År1,0,AH76*(1-VLOOKUP($A77,[1]Hugst!$R$5:$W$9,MATCH(ROUNDUP((AI$1)/10,0)*10,[1]Hugst!$R$4:$W$4,0))))</f>
        <v>0</v>
      </c>
      <c r="AJ77" s="168">
        <f>IF($C77-AJ$1&lt;År1,0,AI76*(1-VLOOKUP($A77,[1]Hugst!$R$5:$W$9,MATCH(ROUNDUP((AJ$1)/10,0)*10,[1]Hugst!$R$4:$W$4,0))))</f>
        <v>0</v>
      </c>
      <c r="AK77" s="168"/>
      <c r="AL77" s="168"/>
      <c r="AM77" s="168"/>
    </row>
    <row r="78" spans="1:39" x14ac:dyDescent="0.25">
      <c r="A78" s="168" t="s">
        <v>177</v>
      </c>
      <c r="B78" s="168" t="s">
        <v>23</v>
      </c>
      <c r="C78" s="168">
        <v>2034</v>
      </c>
      <c r="D78" s="168" cm="1">
        <f t="array" ref="D78">(IF(B78="Vestdanmark",Skovbrug!$C$22-(Skovbrug!$C$22)*(1-Skovbrug!$C$9)^(C78-Skovbrug!$B$12),Skovbrug!$F$22-(Skovbrug!$F$22)*(1-Skovbrug!$C$9)^(C78-Skovbrug!$B$12))*VLOOKUP(A78,Skovbrug!$A$13:$D$17,IF('Skovbrug-alder'!C78&lt;=År2,3,4),FALSE)-IF(C78&gt;2020,SUM(INDEX($C$1:$D$311,MATCH(1,(2020=$C$1:$C$311)*(B78=$B$1:$B$311)*(A78=$A$1:$A$311),0),2):D77),0))</f>
        <v>0</v>
      </c>
      <c r="E78" s="168">
        <f t="shared" ca="1" si="1"/>
        <v>0</v>
      </c>
      <c r="F78" s="168">
        <f ca="1">IF(C78&lt;=År2,IF(B78="Vestdanmark",(Arealanvendelse!$M$27-Arealanvendelse!$J$27),(Arealanvendelse!$M$37-Arealanvendelse!$J$37))/(Arealanvendelse!$M$3-Arealanvendelse!$J$3),IF(B78="Vestdanmark",(Arealanvendelse!$P$27-Arealanvendelse!$M$27),(Arealanvendelse!$P$37-Arealanvendelse!$M$37))/(Arealanvendelse!$P$3-Arealanvendelse!$M$3))*VLOOKUP(A78,Skovbrug!$A$13:$D$17,IF('Skovbrug-alder'!C78&lt;=År2,3,4),FALSE)+D78+E78</f>
        <v>0</v>
      </c>
      <c r="G78" s="168">
        <f ca="1">IF($C78-G$1&lt;År1,0,F77*(1-VLOOKUP($A78,[1]Hugst!$R$5:$W$9,MATCH(ROUNDUP((G$1)/10,0)*10,[1]Hugst!$R$4:$W$4,0))))</f>
        <v>0</v>
      </c>
      <c r="H78" s="168">
        <f ca="1">IF($C78-H$1&lt;År1,0,G77*(1-VLOOKUP($A78,[1]Hugst!$R$5:$W$9,MATCH(ROUNDUP((H$1)/10,0)*10,[1]Hugst!$R$4:$W$4,0))))</f>
        <v>0</v>
      </c>
      <c r="I78" s="168">
        <f ca="1">IF($C78-I$1&lt;År1,0,H77*(1-VLOOKUP($A78,[1]Hugst!$R$5:$W$9,MATCH(ROUNDUP((I$1)/10,0)*10,[1]Hugst!$R$4:$W$4,0))))</f>
        <v>0</v>
      </c>
      <c r="J78" s="168">
        <f ca="1">IF($C78-J$1&lt;År1,0,I77*(1-VLOOKUP($A78,[1]Hugst!$R$5:$W$9,MATCH(ROUNDUP((J$1)/10,0)*10,[1]Hugst!$R$4:$W$4,0))))</f>
        <v>0</v>
      </c>
      <c r="K78" s="168">
        <f ca="1">IF($C78-K$1&lt;År1,0,J77*(1-VLOOKUP($A78,[1]Hugst!$R$5:$W$9,MATCH(ROUNDUP((K$1)/10,0)*10,[1]Hugst!$R$4:$W$4,0))))</f>
        <v>0</v>
      </c>
      <c r="L78" s="168">
        <f ca="1">IF($C78-L$1&lt;År1,0,K77*(1-VLOOKUP($A78,[1]Hugst!$R$5:$W$9,MATCH(ROUNDUP((L$1)/10,0)*10,[1]Hugst!$R$4:$W$4,0))))</f>
        <v>0</v>
      </c>
      <c r="M78" s="168">
        <f ca="1">IF($C78-M$1&lt;År1,0,L77*(1-VLOOKUP($A78,[1]Hugst!$R$5:$W$9,MATCH(ROUNDUP((M$1)/10,0)*10,[1]Hugst!$R$4:$W$4,0))))</f>
        <v>0</v>
      </c>
      <c r="N78" s="168">
        <f ca="1">IF($C78-N$1&lt;År1,0,M77*(1-VLOOKUP($A78,[1]Hugst!$R$5:$W$9,MATCH(ROUNDUP((N$1)/10,0)*10,[1]Hugst!$R$4:$W$4,0))))</f>
        <v>0</v>
      </c>
      <c r="O78" s="168">
        <f ca="1">IF($C78-O$1&lt;År1,0,N77*(1-VLOOKUP($A78,[1]Hugst!$R$5:$W$9,MATCH(ROUNDUP((O$1)/10,0)*10,[1]Hugst!$R$4:$W$4,0))))</f>
        <v>0</v>
      </c>
      <c r="P78" s="168">
        <f ca="1">IF($C78-P$1&lt;År1,0,O77*(1-VLOOKUP($A78,[1]Hugst!$R$5:$W$9,MATCH(ROUNDUP((P$1)/10,0)*10,[1]Hugst!$R$4:$W$4,0))))</f>
        <v>0</v>
      </c>
      <c r="Q78" s="168">
        <f ca="1">IF($C78-Q$1&lt;År1,0,P77*(1-VLOOKUP($A78,[1]Hugst!$R$5:$W$9,MATCH(ROUNDUP((Q$1)/10,0)*10,[1]Hugst!$R$4:$W$4,0))))</f>
        <v>0</v>
      </c>
      <c r="R78" s="168">
        <f ca="1">IF($C78-R$1&lt;År1,0,Q77*(1-VLOOKUP($A78,[1]Hugst!$R$5:$W$9,MATCH(ROUNDUP((R$1)/10,0)*10,[1]Hugst!$R$4:$W$4,0))))</f>
        <v>0</v>
      </c>
      <c r="S78" s="168">
        <f ca="1">IF($C78-S$1&lt;År1,0,R77*(1-VLOOKUP($A78,[1]Hugst!$R$5:$W$9,MATCH(ROUNDUP((S$1)/10,0)*10,[1]Hugst!$R$4:$W$4,0))))</f>
        <v>0</v>
      </c>
      <c r="T78" s="168">
        <f ca="1">IF($C78-T$1&lt;År1,0,S77*(1-VLOOKUP($A78,[1]Hugst!$R$5:$W$9,MATCH(ROUNDUP((T$1)/10,0)*10,[1]Hugst!$R$4:$W$4,0))))</f>
        <v>0</v>
      </c>
      <c r="U78" s="168">
        <f>IF($C78-U$1&lt;År1,0,T77*(1-VLOOKUP($A78,[1]Hugst!$R$5:$W$9,MATCH(ROUNDUP((U$1)/10,0)*10,[1]Hugst!$R$4:$W$4,0))))</f>
        <v>0</v>
      </c>
      <c r="V78" s="168">
        <f>IF($C78-V$1&lt;År1,0,U77*(1-VLOOKUP($A78,[1]Hugst!$R$5:$W$9,MATCH(ROUNDUP((V$1)/10,0)*10,[1]Hugst!$R$4:$W$4,0))))</f>
        <v>0</v>
      </c>
      <c r="W78" s="168">
        <f>IF($C78-W$1&lt;År1,0,V77*(1-VLOOKUP($A78,[1]Hugst!$R$5:$W$9,MATCH(ROUNDUP((W$1)/10,0)*10,[1]Hugst!$R$4:$W$4,0))))</f>
        <v>0</v>
      </c>
      <c r="X78" s="168">
        <f>IF($C78-X$1&lt;År1,0,W77*(1-VLOOKUP($A78,[1]Hugst!$R$5:$W$9,MATCH(ROUNDUP((X$1)/10,0)*10,[1]Hugst!$R$4:$W$4,0))))</f>
        <v>0</v>
      </c>
      <c r="Y78" s="168">
        <f>IF($C78-Y$1&lt;År1,0,X77*(1-VLOOKUP($A78,[1]Hugst!$R$5:$W$9,MATCH(ROUNDUP((Y$1)/10,0)*10,[1]Hugst!$R$4:$W$4,0))))</f>
        <v>0</v>
      </c>
      <c r="Z78" s="168">
        <f>IF($C78-Z$1&lt;År1,0,Y77*(1-VLOOKUP($A78,[1]Hugst!$R$5:$W$9,MATCH(ROUNDUP((Z$1)/10,0)*10,[1]Hugst!$R$4:$W$4,0))))</f>
        <v>0</v>
      </c>
      <c r="AA78" s="168">
        <f>IF($C78-AA$1&lt;År1,0,Z77*(1-VLOOKUP($A78,[1]Hugst!$R$5:$W$9,MATCH(ROUNDUP((AA$1)/10,0)*10,[1]Hugst!$R$4:$W$4,0))))</f>
        <v>0</v>
      </c>
      <c r="AB78" s="168">
        <f>IF($C78-AB$1&lt;År1,0,AA77*(1-VLOOKUP($A78,[1]Hugst!$R$5:$W$9,MATCH(ROUNDUP((AB$1)/10,0)*10,[1]Hugst!$R$4:$W$4,0))))</f>
        <v>0</v>
      </c>
      <c r="AC78" s="168">
        <f>IF($C78-AC$1&lt;År1,0,AB77*(1-VLOOKUP($A78,[1]Hugst!$R$5:$W$9,MATCH(ROUNDUP((AC$1)/10,0)*10,[1]Hugst!$R$4:$W$4,0))))</f>
        <v>0</v>
      </c>
      <c r="AD78" s="168">
        <f>IF($C78-AD$1&lt;År1,0,AC77*(1-VLOOKUP($A78,[1]Hugst!$R$5:$W$9,MATCH(ROUNDUP((AD$1)/10,0)*10,[1]Hugst!$R$4:$W$4,0))))</f>
        <v>0</v>
      </c>
      <c r="AE78" s="168">
        <f>IF($C78-AE$1&lt;År1,0,AD77*(1-VLOOKUP($A78,[1]Hugst!$R$5:$W$9,MATCH(ROUNDUP((AE$1)/10,0)*10,[1]Hugst!$R$4:$W$4,0))))</f>
        <v>0</v>
      </c>
      <c r="AF78" s="168">
        <f>IF($C78-AF$1&lt;År1,0,AE77*(1-VLOOKUP($A78,[1]Hugst!$R$5:$W$9,MATCH(ROUNDUP((AF$1)/10,0)*10,[1]Hugst!$R$4:$W$4,0))))</f>
        <v>0</v>
      </c>
      <c r="AG78" s="168">
        <f>IF($C78-AG$1&lt;År1,0,AF77*(1-VLOOKUP($A78,[1]Hugst!$R$5:$W$9,MATCH(ROUNDUP((AG$1)/10,0)*10,[1]Hugst!$R$4:$W$4,0))))</f>
        <v>0</v>
      </c>
      <c r="AH78" s="168">
        <f>IF($C78-AH$1&lt;År1,0,AG77*(1-VLOOKUP($A78,[1]Hugst!$R$5:$W$9,MATCH(ROUNDUP((AH$1)/10,0)*10,[1]Hugst!$R$4:$W$4,0))))</f>
        <v>0</v>
      </c>
      <c r="AI78" s="168">
        <f>IF($C78-AI$1&lt;År1,0,AH77*(1-VLOOKUP($A78,[1]Hugst!$R$5:$W$9,MATCH(ROUNDUP((AI$1)/10,0)*10,[1]Hugst!$R$4:$W$4,0))))</f>
        <v>0</v>
      </c>
      <c r="AJ78" s="168">
        <f>IF($C78-AJ$1&lt;År1,0,AI77*(1-VLOOKUP($A78,[1]Hugst!$R$5:$W$9,MATCH(ROUNDUP((AJ$1)/10,0)*10,[1]Hugst!$R$4:$W$4,0))))</f>
        <v>0</v>
      </c>
      <c r="AK78" s="168"/>
      <c r="AL78" s="168"/>
      <c r="AM78" s="168"/>
    </row>
    <row r="79" spans="1:39" x14ac:dyDescent="0.25">
      <c r="A79" s="168" t="s">
        <v>177</v>
      </c>
      <c r="B79" s="168" t="s">
        <v>23</v>
      </c>
      <c r="C79" s="168">
        <v>2035</v>
      </c>
      <c r="D79" s="168" cm="1">
        <f t="array" ref="D79">(IF(B79="Vestdanmark",Skovbrug!$C$22-(Skovbrug!$C$22)*(1-Skovbrug!$C$9)^(C79-Skovbrug!$B$12),Skovbrug!$F$22-(Skovbrug!$F$22)*(1-Skovbrug!$C$9)^(C79-Skovbrug!$B$12))*VLOOKUP(A79,Skovbrug!$A$13:$D$17,IF('Skovbrug-alder'!C79&lt;=År2,3,4),FALSE)-IF(C79&gt;2020,SUM(INDEX($C$1:$D$311,MATCH(1,(2020=$C$1:$C$311)*(B79=$B$1:$B$311)*(A79=$A$1:$A$311),0),2):D78),0))</f>
        <v>0</v>
      </c>
      <c r="E79" s="168">
        <f t="shared" ca="1" si="1"/>
        <v>0</v>
      </c>
      <c r="F79" s="168">
        <f ca="1">IF(C79&lt;=År2,IF(B79="Vestdanmark",(Arealanvendelse!$M$27-Arealanvendelse!$J$27),(Arealanvendelse!$M$37-Arealanvendelse!$J$37))/(Arealanvendelse!$M$3-Arealanvendelse!$J$3),IF(B79="Vestdanmark",(Arealanvendelse!$P$27-Arealanvendelse!$M$27),(Arealanvendelse!$P$37-Arealanvendelse!$M$37))/(Arealanvendelse!$P$3-Arealanvendelse!$M$3))*VLOOKUP(A79,Skovbrug!$A$13:$D$17,IF('Skovbrug-alder'!C79&lt;=År2,3,4),FALSE)+D79+E79</f>
        <v>0</v>
      </c>
      <c r="G79" s="168">
        <f ca="1">IF($C79-G$1&lt;År1,0,F78*(1-VLOOKUP($A79,[1]Hugst!$R$5:$W$9,MATCH(ROUNDUP((G$1)/10,0)*10,[1]Hugst!$R$4:$W$4,0))))</f>
        <v>0</v>
      </c>
      <c r="H79" s="168">
        <f ca="1">IF($C79-H$1&lt;År1,0,G78*(1-VLOOKUP($A79,[1]Hugst!$R$5:$W$9,MATCH(ROUNDUP((H$1)/10,0)*10,[1]Hugst!$R$4:$W$4,0))))</f>
        <v>0</v>
      </c>
      <c r="I79" s="168">
        <f ca="1">IF($C79-I$1&lt;År1,0,H78*(1-VLOOKUP($A79,[1]Hugst!$R$5:$W$9,MATCH(ROUNDUP((I$1)/10,0)*10,[1]Hugst!$R$4:$W$4,0))))</f>
        <v>0</v>
      </c>
      <c r="J79" s="168">
        <f ca="1">IF($C79-J$1&lt;År1,0,I78*(1-VLOOKUP($A79,[1]Hugst!$R$5:$W$9,MATCH(ROUNDUP((J$1)/10,0)*10,[1]Hugst!$R$4:$W$4,0))))</f>
        <v>0</v>
      </c>
      <c r="K79" s="168">
        <f ca="1">IF($C79-K$1&lt;År1,0,J78*(1-VLOOKUP($A79,[1]Hugst!$R$5:$W$9,MATCH(ROUNDUP((K$1)/10,0)*10,[1]Hugst!$R$4:$W$4,0))))</f>
        <v>0</v>
      </c>
      <c r="L79" s="168">
        <f ca="1">IF($C79-L$1&lt;År1,0,K78*(1-VLOOKUP($A79,[1]Hugst!$R$5:$W$9,MATCH(ROUNDUP((L$1)/10,0)*10,[1]Hugst!$R$4:$W$4,0))))</f>
        <v>0</v>
      </c>
      <c r="M79" s="168">
        <f ca="1">IF($C79-M$1&lt;År1,0,L78*(1-VLOOKUP($A79,[1]Hugst!$R$5:$W$9,MATCH(ROUNDUP((M$1)/10,0)*10,[1]Hugst!$R$4:$W$4,0))))</f>
        <v>0</v>
      </c>
      <c r="N79" s="168">
        <f ca="1">IF($C79-N$1&lt;År1,0,M78*(1-VLOOKUP($A79,[1]Hugst!$R$5:$W$9,MATCH(ROUNDUP((N$1)/10,0)*10,[1]Hugst!$R$4:$W$4,0))))</f>
        <v>0</v>
      </c>
      <c r="O79" s="168">
        <f ca="1">IF($C79-O$1&lt;År1,0,N78*(1-VLOOKUP($A79,[1]Hugst!$R$5:$W$9,MATCH(ROUNDUP((O$1)/10,0)*10,[1]Hugst!$R$4:$W$4,0))))</f>
        <v>0</v>
      </c>
      <c r="P79" s="168">
        <f ca="1">IF($C79-P$1&lt;År1,0,O78*(1-VLOOKUP($A79,[1]Hugst!$R$5:$W$9,MATCH(ROUNDUP((P$1)/10,0)*10,[1]Hugst!$R$4:$W$4,0))))</f>
        <v>0</v>
      </c>
      <c r="Q79" s="168">
        <f ca="1">IF($C79-Q$1&lt;År1,0,P78*(1-VLOOKUP($A79,[1]Hugst!$R$5:$W$9,MATCH(ROUNDUP((Q$1)/10,0)*10,[1]Hugst!$R$4:$W$4,0))))</f>
        <v>0</v>
      </c>
      <c r="R79" s="168">
        <f ca="1">IF($C79-R$1&lt;År1,0,Q78*(1-VLOOKUP($A79,[1]Hugst!$R$5:$W$9,MATCH(ROUNDUP((R$1)/10,0)*10,[1]Hugst!$R$4:$W$4,0))))</f>
        <v>0</v>
      </c>
      <c r="S79" s="168">
        <f ca="1">IF($C79-S$1&lt;År1,0,R78*(1-VLOOKUP($A79,[1]Hugst!$R$5:$W$9,MATCH(ROUNDUP((S$1)/10,0)*10,[1]Hugst!$R$4:$W$4,0))))</f>
        <v>0</v>
      </c>
      <c r="T79" s="168">
        <f ca="1">IF($C79-T$1&lt;År1,0,S78*(1-VLOOKUP($A79,[1]Hugst!$R$5:$W$9,MATCH(ROUNDUP((T$1)/10,0)*10,[1]Hugst!$R$4:$W$4,0))))</f>
        <v>0</v>
      </c>
      <c r="U79" s="168">
        <f ca="1">IF($C79-U$1&lt;År1,0,T78*(1-VLOOKUP($A79,[1]Hugst!$R$5:$W$9,MATCH(ROUNDUP((U$1)/10,0)*10,[1]Hugst!$R$4:$W$4,0))))</f>
        <v>0</v>
      </c>
      <c r="V79" s="168">
        <f>IF($C79-V$1&lt;År1,0,U78*(1-VLOOKUP($A79,[1]Hugst!$R$5:$W$9,MATCH(ROUNDUP((V$1)/10,0)*10,[1]Hugst!$R$4:$W$4,0))))</f>
        <v>0</v>
      </c>
      <c r="W79" s="168">
        <f>IF($C79-W$1&lt;År1,0,V78*(1-VLOOKUP($A79,[1]Hugst!$R$5:$W$9,MATCH(ROUNDUP((W$1)/10,0)*10,[1]Hugst!$R$4:$W$4,0))))</f>
        <v>0</v>
      </c>
      <c r="X79" s="168">
        <f>IF($C79-X$1&lt;År1,0,W78*(1-VLOOKUP($A79,[1]Hugst!$R$5:$W$9,MATCH(ROUNDUP((X$1)/10,0)*10,[1]Hugst!$R$4:$W$4,0))))</f>
        <v>0</v>
      </c>
      <c r="Y79" s="168">
        <f>IF($C79-Y$1&lt;År1,0,X78*(1-VLOOKUP($A79,[1]Hugst!$R$5:$W$9,MATCH(ROUNDUP((Y$1)/10,0)*10,[1]Hugst!$R$4:$W$4,0))))</f>
        <v>0</v>
      </c>
      <c r="Z79" s="168">
        <f>IF($C79-Z$1&lt;År1,0,Y78*(1-VLOOKUP($A79,[1]Hugst!$R$5:$W$9,MATCH(ROUNDUP((Z$1)/10,0)*10,[1]Hugst!$R$4:$W$4,0))))</f>
        <v>0</v>
      </c>
      <c r="AA79" s="168">
        <f>IF($C79-AA$1&lt;År1,0,Z78*(1-VLOOKUP($A79,[1]Hugst!$R$5:$W$9,MATCH(ROUNDUP((AA$1)/10,0)*10,[1]Hugst!$R$4:$W$4,0))))</f>
        <v>0</v>
      </c>
      <c r="AB79" s="168">
        <f>IF($C79-AB$1&lt;År1,0,AA78*(1-VLOOKUP($A79,[1]Hugst!$R$5:$W$9,MATCH(ROUNDUP((AB$1)/10,0)*10,[1]Hugst!$R$4:$W$4,0))))</f>
        <v>0</v>
      </c>
      <c r="AC79" s="168">
        <f>IF($C79-AC$1&lt;År1,0,AB78*(1-VLOOKUP($A79,[1]Hugst!$R$5:$W$9,MATCH(ROUNDUP((AC$1)/10,0)*10,[1]Hugst!$R$4:$W$4,0))))</f>
        <v>0</v>
      </c>
      <c r="AD79" s="168">
        <f>IF($C79-AD$1&lt;År1,0,AC78*(1-VLOOKUP($A79,[1]Hugst!$R$5:$W$9,MATCH(ROUNDUP((AD$1)/10,0)*10,[1]Hugst!$R$4:$W$4,0))))</f>
        <v>0</v>
      </c>
      <c r="AE79" s="168">
        <f>IF($C79-AE$1&lt;År1,0,AD78*(1-VLOOKUP($A79,[1]Hugst!$R$5:$W$9,MATCH(ROUNDUP((AE$1)/10,0)*10,[1]Hugst!$R$4:$W$4,0))))</f>
        <v>0</v>
      </c>
      <c r="AF79" s="168">
        <f>IF($C79-AF$1&lt;År1,0,AE78*(1-VLOOKUP($A79,[1]Hugst!$R$5:$W$9,MATCH(ROUNDUP((AF$1)/10,0)*10,[1]Hugst!$R$4:$W$4,0))))</f>
        <v>0</v>
      </c>
      <c r="AG79" s="168">
        <f>IF($C79-AG$1&lt;År1,0,AF78*(1-VLOOKUP($A79,[1]Hugst!$R$5:$W$9,MATCH(ROUNDUP((AG$1)/10,0)*10,[1]Hugst!$R$4:$W$4,0))))</f>
        <v>0</v>
      </c>
      <c r="AH79" s="168">
        <f>IF($C79-AH$1&lt;År1,0,AG78*(1-VLOOKUP($A79,[1]Hugst!$R$5:$W$9,MATCH(ROUNDUP((AH$1)/10,0)*10,[1]Hugst!$R$4:$W$4,0))))</f>
        <v>0</v>
      </c>
      <c r="AI79" s="168">
        <f>IF($C79-AI$1&lt;År1,0,AH78*(1-VLOOKUP($A79,[1]Hugst!$R$5:$W$9,MATCH(ROUNDUP((AI$1)/10,0)*10,[1]Hugst!$R$4:$W$4,0))))</f>
        <v>0</v>
      </c>
      <c r="AJ79" s="168">
        <f>IF($C79-AJ$1&lt;År1,0,AI78*(1-VLOOKUP($A79,[1]Hugst!$R$5:$W$9,MATCH(ROUNDUP((AJ$1)/10,0)*10,[1]Hugst!$R$4:$W$4,0))))</f>
        <v>0</v>
      </c>
      <c r="AK79" s="168"/>
      <c r="AL79" s="168"/>
      <c r="AM79" s="168"/>
    </row>
    <row r="80" spans="1:39" x14ac:dyDescent="0.25">
      <c r="A80" s="168" t="s">
        <v>177</v>
      </c>
      <c r="B80" s="168" t="s">
        <v>23</v>
      </c>
      <c r="C80" s="168">
        <v>2036</v>
      </c>
      <c r="D80" s="168" cm="1">
        <f t="array" ref="D80">(IF(B80="Vestdanmark",Skovbrug!$C$22-(Skovbrug!$C$22)*(1-Skovbrug!$C$9)^(C80-Skovbrug!$B$12),Skovbrug!$F$22-(Skovbrug!$F$22)*(1-Skovbrug!$C$9)^(C80-Skovbrug!$B$12))*VLOOKUP(A80,Skovbrug!$A$13:$D$17,IF('Skovbrug-alder'!C80&lt;=År2,3,4),FALSE)-IF(C80&gt;2020,SUM(INDEX($C$1:$D$311,MATCH(1,(2020=$C$1:$C$311)*(B80=$B$1:$B$311)*(A80=$A$1:$A$311),0),2):D79),0))</f>
        <v>0</v>
      </c>
      <c r="E80" s="168">
        <f t="shared" ca="1" si="1"/>
        <v>0</v>
      </c>
      <c r="F80" s="168">
        <f ca="1">IF(C80&lt;=År2,IF(B80="Vestdanmark",(Arealanvendelse!$M$27-Arealanvendelse!$J$27),(Arealanvendelse!$M$37-Arealanvendelse!$J$37))/(Arealanvendelse!$M$3-Arealanvendelse!$J$3),IF(B80="Vestdanmark",(Arealanvendelse!$P$27-Arealanvendelse!$M$27),(Arealanvendelse!$P$37-Arealanvendelse!$M$37))/(Arealanvendelse!$P$3-Arealanvendelse!$M$3))*VLOOKUP(A80,Skovbrug!$A$13:$D$17,IF('Skovbrug-alder'!C80&lt;=År2,3,4),FALSE)+D80+E80</f>
        <v>0</v>
      </c>
      <c r="G80" s="168">
        <f ca="1">IF($C80-G$1&lt;År1,0,F79*(1-VLOOKUP($A80,[1]Hugst!$R$5:$W$9,MATCH(ROUNDUP((G$1)/10,0)*10,[1]Hugst!$R$4:$W$4,0))))</f>
        <v>0</v>
      </c>
      <c r="H80" s="168">
        <f ca="1">IF($C80-H$1&lt;År1,0,G79*(1-VLOOKUP($A80,[1]Hugst!$R$5:$W$9,MATCH(ROUNDUP((H$1)/10,0)*10,[1]Hugst!$R$4:$W$4,0))))</f>
        <v>0</v>
      </c>
      <c r="I80" s="168">
        <f ca="1">IF($C80-I$1&lt;År1,0,H79*(1-VLOOKUP($A80,[1]Hugst!$R$5:$W$9,MATCH(ROUNDUP((I$1)/10,0)*10,[1]Hugst!$R$4:$W$4,0))))</f>
        <v>0</v>
      </c>
      <c r="J80" s="168">
        <f ca="1">IF($C80-J$1&lt;År1,0,I79*(1-VLOOKUP($A80,[1]Hugst!$R$5:$W$9,MATCH(ROUNDUP((J$1)/10,0)*10,[1]Hugst!$R$4:$W$4,0))))</f>
        <v>0</v>
      </c>
      <c r="K80" s="168">
        <f ca="1">IF($C80-K$1&lt;År1,0,J79*(1-VLOOKUP($A80,[1]Hugst!$R$5:$W$9,MATCH(ROUNDUP((K$1)/10,0)*10,[1]Hugst!$R$4:$W$4,0))))</f>
        <v>0</v>
      </c>
      <c r="L80" s="168">
        <f ca="1">IF($C80-L$1&lt;År1,0,K79*(1-VLOOKUP($A80,[1]Hugst!$R$5:$W$9,MATCH(ROUNDUP((L$1)/10,0)*10,[1]Hugst!$R$4:$W$4,0))))</f>
        <v>0</v>
      </c>
      <c r="M80" s="168">
        <f ca="1">IF($C80-M$1&lt;År1,0,L79*(1-VLOOKUP($A80,[1]Hugst!$R$5:$W$9,MATCH(ROUNDUP((M$1)/10,0)*10,[1]Hugst!$R$4:$W$4,0))))</f>
        <v>0</v>
      </c>
      <c r="N80" s="168">
        <f ca="1">IF($C80-N$1&lt;År1,0,M79*(1-VLOOKUP($A80,[1]Hugst!$R$5:$W$9,MATCH(ROUNDUP((N$1)/10,0)*10,[1]Hugst!$R$4:$W$4,0))))</f>
        <v>0</v>
      </c>
      <c r="O80" s="168">
        <f ca="1">IF($C80-O$1&lt;År1,0,N79*(1-VLOOKUP($A80,[1]Hugst!$R$5:$W$9,MATCH(ROUNDUP((O$1)/10,0)*10,[1]Hugst!$R$4:$W$4,0))))</f>
        <v>0</v>
      </c>
      <c r="P80" s="168">
        <f ca="1">IF($C80-P$1&lt;År1,0,O79*(1-VLOOKUP($A80,[1]Hugst!$R$5:$W$9,MATCH(ROUNDUP((P$1)/10,0)*10,[1]Hugst!$R$4:$W$4,0))))</f>
        <v>0</v>
      </c>
      <c r="Q80" s="168">
        <f ca="1">IF($C80-Q$1&lt;År1,0,P79*(1-VLOOKUP($A80,[1]Hugst!$R$5:$W$9,MATCH(ROUNDUP((Q$1)/10,0)*10,[1]Hugst!$R$4:$W$4,0))))</f>
        <v>0</v>
      </c>
      <c r="R80" s="168">
        <f ca="1">IF($C80-R$1&lt;År1,0,Q79*(1-VLOOKUP($A80,[1]Hugst!$R$5:$W$9,MATCH(ROUNDUP((R$1)/10,0)*10,[1]Hugst!$R$4:$W$4,0))))</f>
        <v>0</v>
      </c>
      <c r="S80" s="168">
        <f ca="1">IF($C80-S$1&lt;År1,0,R79*(1-VLOOKUP($A80,[1]Hugst!$R$5:$W$9,MATCH(ROUNDUP((S$1)/10,0)*10,[1]Hugst!$R$4:$W$4,0))))</f>
        <v>0</v>
      </c>
      <c r="T80" s="168">
        <f ca="1">IF($C80-T$1&lt;År1,0,S79*(1-VLOOKUP($A80,[1]Hugst!$R$5:$W$9,MATCH(ROUNDUP((T$1)/10,0)*10,[1]Hugst!$R$4:$W$4,0))))</f>
        <v>0</v>
      </c>
      <c r="U80" s="168">
        <f ca="1">IF($C80-U$1&lt;År1,0,T79*(1-VLOOKUP($A80,[1]Hugst!$R$5:$W$9,MATCH(ROUNDUP((U$1)/10,0)*10,[1]Hugst!$R$4:$W$4,0))))</f>
        <v>0</v>
      </c>
      <c r="V80" s="168">
        <f ca="1">IF($C80-V$1&lt;År1,0,U79*(1-VLOOKUP($A80,[1]Hugst!$R$5:$W$9,MATCH(ROUNDUP((V$1)/10,0)*10,[1]Hugst!$R$4:$W$4,0))))</f>
        <v>0</v>
      </c>
      <c r="W80" s="168">
        <f>IF($C80-W$1&lt;År1,0,V79*(1-VLOOKUP($A80,[1]Hugst!$R$5:$W$9,MATCH(ROUNDUP((W$1)/10,0)*10,[1]Hugst!$R$4:$W$4,0))))</f>
        <v>0</v>
      </c>
      <c r="X80" s="168">
        <f>IF($C80-X$1&lt;År1,0,W79*(1-VLOOKUP($A80,[1]Hugst!$R$5:$W$9,MATCH(ROUNDUP((X$1)/10,0)*10,[1]Hugst!$R$4:$W$4,0))))</f>
        <v>0</v>
      </c>
      <c r="Y80" s="168">
        <f>IF($C80-Y$1&lt;År1,0,X79*(1-VLOOKUP($A80,[1]Hugst!$R$5:$W$9,MATCH(ROUNDUP((Y$1)/10,0)*10,[1]Hugst!$R$4:$W$4,0))))</f>
        <v>0</v>
      </c>
      <c r="Z80" s="168">
        <f>IF($C80-Z$1&lt;År1,0,Y79*(1-VLOOKUP($A80,[1]Hugst!$R$5:$W$9,MATCH(ROUNDUP((Z$1)/10,0)*10,[1]Hugst!$R$4:$W$4,0))))</f>
        <v>0</v>
      </c>
      <c r="AA80" s="168">
        <f>IF($C80-AA$1&lt;År1,0,Z79*(1-VLOOKUP($A80,[1]Hugst!$R$5:$W$9,MATCH(ROUNDUP((AA$1)/10,0)*10,[1]Hugst!$R$4:$W$4,0))))</f>
        <v>0</v>
      </c>
      <c r="AB80" s="168">
        <f>IF($C80-AB$1&lt;År1,0,AA79*(1-VLOOKUP($A80,[1]Hugst!$R$5:$W$9,MATCH(ROUNDUP((AB$1)/10,0)*10,[1]Hugst!$R$4:$W$4,0))))</f>
        <v>0</v>
      </c>
      <c r="AC80" s="168">
        <f>IF($C80-AC$1&lt;År1,0,AB79*(1-VLOOKUP($A80,[1]Hugst!$R$5:$W$9,MATCH(ROUNDUP((AC$1)/10,0)*10,[1]Hugst!$R$4:$W$4,0))))</f>
        <v>0</v>
      </c>
      <c r="AD80" s="168">
        <f>IF($C80-AD$1&lt;År1,0,AC79*(1-VLOOKUP($A80,[1]Hugst!$R$5:$W$9,MATCH(ROUNDUP((AD$1)/10,0)*10,[1]Hugst!$R$4:$W$4,0))))</f>
        <v>0</v>
      </c>
      <c r="AE80" s="168">
        <f>IF($C80-AE$1&lt;År1,0,AD79*(1-VLOOKUP($A80,[1]Hugst!$R$5:$W$9,MATCH(ROUNDUP((AE$1)/10,0)*10,[1]Hugst!$R$4:$W$4,0))))</f>
        <v>0</v>
      </c>
      <c r="AF80" s="168">
        <f>IF($C80-AF$1&lt;År1,0,AE79*(1-VLOOKUP($A80,[1]Hugst!$R$5:$W$9,MATCH(ROUNDUP((AF$1)/10,0)*10,[1]Hugst!$R$4:$W$4,0))))</f>
        <v>0</v>
      </c>
      <c r="AG80" s="168">
        <f>IF($C80-AG$1&lt;År1,0,AF79*(1-VLOOKUP($A80,[1]Hugst!$R$5:$W$9,MATCH(ROUNDUP((AG$1)/10,0)*10,[1]Hugst!$R$4:$W$4,0))))</f>
        <v>0</v>
      </c>
      <c r="AH80" s="168">
        <f>IF($C80-AH$1&lt;År1,0,AG79*(1-VLOOKUP($A80,[1]Hugst!$R$5:$W$9,MATCH(ROUNDUP((AH$1)/10,0)*10,[1]Hugst!$R$4:$W$4,0))))</f>
        <v>0</v>
      </c>
      <c r="AI80" s="168">
        <f>IF($C80-AI$1&lt;År1,0,AH79*(1-VLOOKUP($A80,[1]Hugst!$R$5:$W$9,MATCH(ROUNDUP((AI$1)/10,0)*10,[1]Hugst!$R$4:$W$4,0))))</f>
        <v>0</v>
      </c>
      <c r="AJ80" s="168">
        <f>IF($C80-AJ$1&lt;År1,0,AI79*(1-VLOOKUP($A80,[1]Hugst!$R$5:$W$9,MATCH(ROUNDUP((AJ$1)/10,0)*10,[1]Hugst!$R$4:$W$4,0))))</f>
        <v>0</v>
      </c>
      <c r="AK80" s="168"/>
      <c r="AL80" s="168"/>
      <c r="AM80" s="168"/>
    </row>
    <row r="81" spans="1:39" x14ac:dyDescent="0.25">
      <c r="A81" s="168" t="s">
        <v>177</v>
      </c>
      <c r="B81" s="168" t="s">
        <v>23</v>
      </c>
      <c r="C81" s="168">
        <v>2037</v>
      </c>
      <c r="D81" s="168" cm="1">
        <f t="array" ref="D81">(IF(B81="Vestdanmark",Skovbrug!$C$22-(Skovbrug!$C$22)*(1-Skovbrug!$C$9)^(C81-Skovbrug!$B$12),Skovbrug!$F$22-(Skovbrug!$F$22)*(1-Skovbrug!$C$9)^(C81-Skovbrug!$B$12))*VLOOKUP(A81,Skovbrug!$A$13:$D$17,IF('Skovbrug-alder'!C81&lt;=År2,3,4),FALSE)-IF(C81&gt;2020,SUM(INDEX($C$1:$D$311,MATCH(1,(2020=$C$1:$C$311)*(B81=$B$1:$B$311)*(A81=$A$1:$A$311),0),2):D80),0))</f>
        <v>0</v>
      </c>
      <c r="E81" s="168">
        <f t="shared" ca="1" si="1"/>
        <v>0</v>
      </c>
      <c r="F81" s="168">
        <f ca="1">IF(C81&lt;=År2,IF(B81="Vestdanmark",(Arealanvendelse!$M$27-Arealanvendelse!$J$27),(Arealanvendelse!$M$37-Arealanvendelse!$J$37))/(Arealanvendelse!$M$3-Arealanvendelse!$J$3),IF(B81="Vestdanmark",(Arealanvendelse!$P$27-Arealanvendelse!$M$27),(Arealanvendelse!$P$37-Arealanvendelse!$M$37))/(Arealanvendelse!$P$3-Arealanvendelse!$M$3))*VLOOKUP(A81,Skovbrug!$A$13:$D$17,IF('Skovbrug-alder'!C81&lt;=År2,3,4),FALSE)+D81+E81</f>
        <v>0</v>
      </c>
      <c r="G81" s="168">
        <f ca="1">IF($C81-G$1&lt;År1,0,F80*(1-VLOOKUP($A81,[1]Hugst!$R$5:$W$9,MATCH(ROUNDUP((G$1)/10,0)*10,[1]Hugst!$R$4:$W$4,0))))</f>
        <v>0</v>
      </c>
      <c r="H81" s="168">
        <f ca="1">IF($C81-H$1&lt;År1,0,G80*(1-VLOOKUP($A81,[1]Hugst!$R$5:$W$9,MATCH(ROUNDUP((H$1)/10,0)*10,[1]Hugst!$R$4:$W$4,0))))</f>
        <v>0</v>
      </c>
      <c r="I81" s="168">
        <f ca="1">IF($C81-I$1&lt;År1,0,H80*(1-VLOOKUP($A81,[1]Hugst!$R$5:$W$9,MATCH(ROUNDUP((I$1)/10,0)*10,[1]Hugst!$R$4:$W$4,0))))</f>
        <v>0</v>
      </c>
      <c r="J81" s="168">
        <f ca="1">IF($C81-J$1&lt;År1,0,I80*(1-VLOOKUP($A81,[1]Hugst!$R$5:$W$9,MATCH(ROUNDUP((J$1)/10,0)*10,[1]Hugst!$R$4:$W$4,0))))</f>
        <v>0</v>
      </c>
      <c r="K81" s="168">
        <f ca="1">IF($C81-K$1&lt;År1,0,J80*(1-VLOOKUP($A81,[1]Hugst!$R$5:$W$9,MATCH(ROUNDUP((K$1)/10,0)*10,[1]Hugst!$R$4:$W$4,0))))</f>
        <v>0</v>
      </c>
      <c r="L81" s="168">
        <f ca="1">IF($C81-L$1&lt;År1,0,K80*(1-VLOOKUP($A81,[1]Hugst!$R$5:$W$9,MATCH(ROUNDUP((L$1)/10,0)*10,[1]Hugst!$R$4:$W$4,0))))</f>
        <v>0</v>
      </c>
      <c r="M81" s="168">
        <f ca="1">IF($C81-M$1&lt;År1,0,L80*(1-VLOOKUP($A81,[1]Hugst!$R$5:$W$9,MATCH(ROUNDUP((M$1)/10,0)*10,[1]Hugst!$R$4:$W$4,0))))</f>
        <v>0</v>
      </c>
      <c r="N81" s="168">
        <f ca="1">IF($C81-N$1&lt;År1,0,M80*(1-VLOOKUP($A81,[1]Hugst!$R$5:$W$9,MATCH(ROUNDUP((N$1)/10,0)*10,[1]Hugst!$R$4:$W$4,0))))</f>
        <v>0</v>
      </c>
      <c r="O81" s="168">
        <f ca="1">IF($C81-O$1&lt;År1,0,N80*(1-VLOOKUP($A81,[1]Hugst!$R$5:$W$9,MATCH(ROUNDUP((O$1)/10,0)*10,[1]Hugst!$R$4:$W$4,0))))</f>
        <v>0</v>
      </c>
      <c r="P81" s="168">
        <f ca="1">IF($C81-P$1&lt;År1,0,O80*(1-VLOOKUP($A81,[1]Hugst!$R$5:$W$9,MATCH(ROUNDUP((P$1)/10,0)*10,[1]Hugst!$R$4:$W$4,0))))</f>
        <v>0</v>
      </c>
      <c r="Q81" s="168">
        <f ca="1">IF($C81-Q$1&lt;År1,0,P80*(1-VLOOKUP($A81,[1]Hugst!$R$5:$W$9,MATCH(ROUNDUP((Q$1)/10,0)*10,[1]Hugst!$R$4:$W$4,0))))</f>
        <v>0</v>
      </c>
      <c r="R81" s="168">
        <f ca="1">IF($C81-R$1&lt;År1,0,Q80*(1-VLOOKUP($A81,[1]Hugst!$R$5:$W$9,MATCH(ROUNDUP((R$1)/10,0)*10,[1]Hugst!$R$4:$W$4,0))))</f>
        <v>0</v>
      </c>
      <c r="S81" s="168">
        <f ca="1">IF($C81-S$1&lt;År1,0,R80*(1-VLOOKUP($A81,[1]Hugst!$R$5:$W$9,MATCH(ROUNDUP((S$1)/10,0)*10,[1]Hugst!$R$4:$W$4,0))))</f>
        <v>0</v>
      </c>
      <c r="T81" s="168">
        <f ca="1">IF($C81-T$1&lt;År1,0,S80*(1-VLOOKUP($A81,[1]Hugst!$R$5:$W$9,MATCH(ROUNDUP((T$1)/10,0)*10,[1]Hugst!$R$4:$W$4,0))))</f>
        <v>0</v>
      </c>
      <c r="U81" s="168">
        <f ca="1">IF($C81-U$1&lt;År1,0,T80*(1-VLOOKUP($A81,[1]Hugst!$R$5:$W$9,MATCH(ROUNDUP((U$1)/10,0)*10,[1]Hugst!$R$4:$W$4,0))))</f>
        <v>0</v>
      </c>
      <c r="V81" s="168">
        <f ca="1">IF($C81-V$1&lt;År1,0,U80*(1-VLOOKUP($A81,[1]Hugst!$R$5:$W$9,MATCH(ROUNDUP((V$1)/10,0)*10,[1]Hugst!$R$4:$W$4,0))))</f>
        <v>0</v>
      </c>
      <c r="W81" s="168">
        <f ca="1">IF($C81-W$1&lt;År1,0,V80*(1-VLOOKUP($A81,[1]Hugst!$R$5:$W$9,MATCH(ROUNDUP((W$1)/10,0)*10,[1]Hugst!$R$4:$W$4,0))))</f>
        <v>0</v>
      </c>
      <c r="X81" s="168">
        <f>IF($C81-X$1&lt;År1,0,W80*(1-VLOOKUP($A81,[1]Hugst!$R$5:$W$9,MATCH(ROUNDUP((X$1)/10,0)*10,[1]Hugst!$R$4:$W$4,0))))</f>
        <v>0</v>
      </c>
      <c r="Y81" s="168">
        <f>IF($C81-Y$1&lt;År1,0,X80*(1-VLOOKUP($A81,[1]Hugst!$R$5:$W$9,MATCH(ROUNDUP((Y$1)/10,0)*10,[1]Hugst!$R$4:$W$4,0))))</f>
        <v>0</v>
      </c>
      <c r="Z81" s="168">
        <f>IF($C81-Z$1&lt;År1,0,Y80*(1-VLOOKUP($A81,[1]Hugst!$R$5:$W$9,MATCH(ROUNDUP((Z$1)/10,0)*10,[1]Hugst!$R$4:$W$4,0))))</f>
        <v>0</v>
      </c>
      <c r="AA81" s="168">
        <f>IF($C81-AA$1&lt;År1,0,Z80*(1-VLOOKUP($A81,[1]Hugst!$R$5:$W$9,MATCH(ROUNDUP((AA$1)/10,0)*10,[1]Hugst!$R$4:$W$4,0))))</f>
        <v>0</v>
      </c>
      <c r="AB81" s="168">
        <f>IF($C81-AB$1&lt;År1,0,AA80*(1-VLOOKUP($A81,[1]Hugst!$R$5:$W$9,MATCH(ROUNDUP((AB$1)/10,0)*10,[1]Hugst!$R$4:$W$4,0))))</f>
        <v>0</v>
      </c>
      <c r="AC81" s="168">
        <f>IF($C81-AC$1&lt;År1,0,AB80*(1-VLOOKUP($A81,[1]Hugst!$R$5:$W$9,MATCH(ROUNDUP((AC$1)/10,0)*10,[1]Hugst!$R$4:$W$4,0))))</f>
        <v>0</v>
      </c>
      <c r="AD81" s="168">
        <f>IF($C81-AD$1&lt;År1,0,AC80*(1-VLOOKUP($A81,[1]Hugst!$R$5:$W$9,MATCH(ROUNDUP((AD$1)/10,0)*10,[1]Hugst!$R$4:$W$4,0))))</f>
        <v>0</v>
      </c>
      <c r="AE81" s="168">
        <f>IF($C81-AE$1&lt;År1,0,AD80*(1-VLOOKUP($A81,[1]Hugst!$R$5:$W$9,MATCH(ROUNDUP((AE$1)/10,0)*10,[1]Hugst!$R$4:$W$4,0))))</f>
        <v>0</v>
      </c>
      <c r="AF81" s="168">
        <f>IF($C81-AF$1&lt;År1,0,AE80*(1-VLOOKUP($A81,[1]Hugst!$R$5:$W$9,MATCH(ROUNDUP((AF$1)/10,0)*10,[1]Hugst!$R$4:$W$4,0))))</f>
        <v>0</v>
      </c>
      <c r="AG81" s="168">
        <f>IF($C81-AG$1&lt;År1,0,AF80*(1-VLOOKUP($A81,[1]Hugst!$R$5:$W$9,MATCH(ROUNDUP((AG$1)/10,0)*10,[1]Hugst!$R$4:$W$4,0))))</f>
        <v>0</v>
      </c>
      <c r="AH81" s="168">
        <f>IF($C81-AH$1&lt;År1,0,AG80*(1-VLOOKUP($A81,[1]Hugst!$R$5:$W$9,MATCH(ROUNDUP((AH$1)/10,0)*10,[1]Hugst!$R$4:$W$4,0))))</f>
        <v>0</v>
      </c>
      <c r="AI81" s="168">
        <f>IF($C81-AI$1&lt;År1,0,AH80*(1-VLOOKUP($A81,[1]Hugst!$R$5:$W$9,MATCH(ROUNDUP((AI$1)/10,0)*10,[1]Hugst!$R$4:$W$4,0))))</f>
        <v>0</v>
      </c>
      <c r="AJ81" s="168">
        <f>IF($C81-AJ$1&lt;År1,0,AI80*(1-VLOOKUP($A81,[1]Hugst!$R$5:$W$9,MATCH(ROUNDUP((AJ$1)/10,0)*10,[1]Hugst!$R$4:$W$4,0))))</f>
        <v>0</v>
      </c>
      <c r="AK81" s="168"/>
      <c r="AL81" s="168"/>
      <c r="AM81" s="168"/>
    </row>
    <row r="82" spans="1:39" x14ac:dyDescent="0.25">
      <c r="A82" s="168" t="s">
        <v>177</v>
      </c>
      <c r="B82" s="168" t="s">
        <v>23</v>
      </c>
      <c r="C82" s="168">
        <v>2038</v>
      </c>
      <c r="D82" s="168" cm="1">
        <f t="array" ref="D82">(IF(B82="Vestdanmark",Skovbrug!$C$22-(Skovbrug!$C$22)*(1-Skovbrug!$C$9)^(C82-Skovbrug!$B$12),Skovbrug!$F$22-(Skovbrug!$F$22)*(1-Skovbrug!$C$9)^(C82-Skovbrug!$B$12))*VLOOKUP(A82,Skovbrug!$A$13:$D$17,IF('Skovbrug-alder'!C82&lt;=År2,3,4),FALSE)-IF(C82&gt;2020,SUM(INDEX($C$1:$D$311,MATCH(1,(2020=$C$1:$C$311)*(B82=$B$1:$B$311)*(A82=$A$1:$A$311),0),2):D81),0))</f>
        <v>0</v>
      </c>
      <c r="E82" s="168">
        <f t="shared" ca="1" si="1"/>
        <v>0</v>
      </c>
      <c r="F82" s="168">
        <f ca="1">IF(C82&lt;=År2,IF(B82="Vestdanmark",(Arealanvendelse!$M$27-Arealanvendelse!$J$27),(Arealanvendelse!$M$37-Arealanvendelse!$J$37))/(Arealanvendelse!$M$3-Arealanvendelse!$J$3),IF(B82="Vestdanmark",(Arealanvendelse!$P$27-Arealanvendelse!$M$27),(Arealanvendelse!$P$37-Arealanvendelse!$M$37))/(Arealanvendelse!$P$3-Arealanvendelse!$M$3))*VLOOKUP(A82,Skovbrug!$A$13:$D$17,IF('Skovbrug-alder'!C82&lt;=År2,3,4),FALSE)+D82+E82</f>
        <v>0</v>
      </c>
      <c r="G82" s="168">
        <f ca="1">IF($C82-G$1&lt;År1,0,F81*(1-VLOOKUP($A82,[1]Hugst!$R$5:$W$9,MATCH(ROUNDUP((G$1)/10,0)*10,[1]Hugst!$R$4:$W$4,0))))</f>
        <v>0</v>
      </c>
      <c r="H82" s="168">
        <f ca="1">IF($C82-H$1&lt;År1,0,G81*(1-VLOOKUP($A82,[1]Hugst!$R$5:$W$9,MATCH(ROUNDUP((H$1)/10,0)*10,[1]Hugst!$R$4:$W$4,0))))</f>
        <v>0</v>
      </c>
      <c r="I82" s="168">
        <f ca="1">IF($C82-I$1&lt;År1,0,H81*(1-VLOOKUP($A82,[1]Hugst!$R$5:$W$9,MATCH(ROUNDUP((I$1)/10,0)*10,[1]Hugst!$R$4:$W$4,0))))</f>
        <v>0</v>
      </c>
      <c r="J82" s="168">
        <f ca="1">IF($C82-J$1&lt;År1,0,I81*(1-VLOOKUP($A82,[1]Hugst!$R$5:$W$9,MATCH(ROUNDUP((J$1)/10,0)*10,[1]Hugst!$R$4:$W$4,0))))</f>
        <v>0</v>
      </c>
      <c r="K82" s="168">
        <f ca="1">IF($C82-K$1&lt;År1,0,J81*(1-VLOOKUP($A82,[1]Hugst!$R$5:$W$9,MATCH(ROUNDUP((K$1)/10,0)*10,[1]Hugst!$R$4:$W$4,0))))</f>
        <v>0</v>
      </c>
      <c r="L82" s="168">
        <f ca="1">IF($C82-L$1&lt;År1,0,K81*(1-VLOOKUP($A82,[1]Hugst!$R$5:$W$9,MATCH(ROUNDUP((L$1)/10,0)*10,[1]Hugst!$R$4:$W$4,0))))</f>
        <v>0</v>
      </c>
      <c r="M82" s="168">
        <f ca="1">IF($C82-M$1&lt;År1,0,L81*(1-VLOOKUP($A82,[1]Hugst!$R$5:$W$9,MATCH(ROUNDUP((M$1)/10,0)*10,[1]Hugst!$R$4:$W$4,0))))</f>
        <v>0</v>
      </c>
      <c r="N82" s="168">
        <f ca="1">IF($C82-N$1&lt;År1,0,M81*(1-VLOOKUP($A82,[1]Hugst!$R$5:$W$9,MATCH(ROUNDUP((N$1)/10,0)*10,[1]Hugst!$R$4:$W$4,0))))</f>
        <v>0</v>
      </c>
      <c r="O82" s="168">
        <f ca="1">IF($C82-O$1&lt;År1,0,N81*(1-VLOOKUP($A82,[1]Hugst!$R$5:$W$9,MATCH(ROUNDUP((O$1)/10,0)*10,[1]Hugst!$R$4:$W$4,0))))</f>
        <v>0</v>
      </c>
      <c r="P82" s="168">
        <f ca="1">IF($C82-P$1&lt;År1,0,O81*(1-VLOOKUP($A82,[1]Hugst!$R$5:$W$9,MATCH(ROUNDUP((P$1)/10,0)*10,[1]Hugst!$R$4:$W$4,0))))</f>
        <v>0</v>
      </c>
      <c r="Q82" s="168">
        <f ca="1">IF($C82-Q$1&lt;År1,0,P81*(1-VLOOKUP($A82,[1]Hugst!$R$5:$W$9,MATCH(ROUNDUP((Q$1)/10,0)*10,[1]Hugst!$R$4:$W$4,0))))</f>
        <v>0</v>
      </c>
      <c r="R82" s="168">
        <f ca="1">IF($C82-R$1&lt;År1,0,Q81*(1-VLOOKUP($A82,[1]Hugst!$R$5:$W$9,MATCH(ROUNDUP((R$1)/10,0)*10,[1]Hugst!$R$4:$W$4,0))))</f>
        <v>0</v>
      </c>
      <c r="S82" s="168">
        <f ca="1">IF($C82-S$1&lt;År1,0,R81*(1-VLOOKUP($A82,[1]Hugst!$R$5:$W$9,MATCH(ROUNDUP((S$1)/10,0)*10,[1]Hugst!$R$4:$W$4,0))))</f>
        <v>0</v>
      </c>
      <c r="T82" s="168">
        <f ca="1">IF($C82-T$1&lt;År1,0,S81*(1-VLOOKUP($A82,[1]Hugst!$R$5:$W$9,MATCH(ROUNDUP((T$1)/10,0)*10,[1]Hugst!$R$4:$W$4,0))))</f>
        <v>0</v>
      </c>
      <c r="U82" s="168">
        <f ca="1">IF($C82-U$1&lt;År1,0,T81*(1-VLOOKUP($A82,[1]Hugst!$R$5:$W$9,MATCH(ROUNDUP((U$1)/10,0)*10,[1]Hugst!$R$4:$W$4,0))))</f>
        <v>0</v>
      </c>
      <c r="V82" s="168">
        <f ca="1">IF($C82-V$1&lt;År1,0,U81*(1-VLOOKUP($A82,[1]Hugst!$R$5:$W$9,MATCH(ROUNDUP((V$1)/10,0)*10,[1]Hugst!$R$4:$W$4,0))))</f>
        <v>0</v>
      </c>
      <c r="W82" s="168">
        <f ca="1">IF($C82-W$1&lt;År1,0,V81*(1-VLOOKUP($A82,[1]Hugst!$R$5:$W$9,MATCH(ROUNDUP((W$1)/10,0)*10,[1]Hugst!$R$4:$W$4,0))))</f>
        <v>0</v>
      </c>
      <c r="X82" s="168">
        <f ca="1">IF($C82-X$1&lt;År1,0,W81*(1-VLOOKUP($A82,[1]Hugst!$R$5:$W$9,MATCH(ROUNDUP((X$1)/10,0)*10,[1]Hugst!$R$4:$W$4,0))))</f>
        <v>0</v>
      </c>
      <c r="Y82" s="168">
        <f>IF($C82-Y$1&lt;År1,0,X81*(1-VLOOKUP($A82,[1]Hugst!$R$5:$W$9,MATCH(ROUNDUP((Y$1)/10,0)*10,[1]Hugst!$R$4:$W$4,0))))</f>
        <v>0</v>
      </c>
      <c r="Z82" s="168">
        <f>IF($C82-Z$1&lt;År1,0,Y81*(1-VLOOKUP($A82,[1]Hugst!$R$5:$W$9,MATCH(ROUNDUP((Z$1)/10,0)*10,[1]Hugst!$R$4:$W$4,0))))</f>
        <v>0</v>
      </c>
      <c r="AA82" s="168">
        <f>IF($C82-AA$1&lt;År1,0,Z81*(1-VLOOKUP($A82,[1]Hugst!$R$5:$W$9,MATCH(ROUNDUP((AA$1)/10,0)*10,[1]Hugst!$R$4:$W$4,0))))</f>
        <v>0</v>
      </c>
      <c r="AB82" s="168">
        <f>IF($C82-AB$1&lt;År1,0,AA81*(1-VLOOKUP($A82,[1]Hugst!$R$5:$W$9,MATCH(ROUNDUP((AB$1)/10,0)*10,[1]Hugst!$R$4:$W$4,0))))</f>
        <v>0</v>
      </c>
      <c r="AC82" s="168">
        <f>IF($C82-AC$1&lt;År1,0,AB81*(1-VLOOKUP($A82,[1]Hugst!$R$5:$W$9,MATCH(ROUNDUP((AC$1)/10,0)*10,[1]Hugst!$R$4:$W$4,0))))</f>
        <v>0</v>
      </c>
      <c r="AD82" s="168">
        <f>IF($C82-AD$1&lt;År1,0,AC81*(1-VLOOKUP($A82,[1]Hugst!$R$5:$W$9,MATCH(ROUNDUP((AD$1)/10,0)*10,[1]Hugst!$R$4:$W$4,0))))</f>
        <v>0</v>
      </c>
      <c r="AE82" s="168">
        <f>IF($C82-AE$1&lt;År1,0,AD81*(1-VLOOKUP($A82,[1]Hugst!$R$5:$W$9,MATCH(ROUNDUP((AE$1)/10,0)*10,[1]Hugst!$R$4:$W$4,0))))</f>
        <v>0</v>
      </c>
      <c r="AF82" s="168">
        <f>IF($C82-AF$1&lt;År1,0,AE81*(1-VLOOKUP($A82,[1]Hugst!$R$5:$W$9,MATCH(ROUNDUP((AF$1)/10,0)*10,[1]Hugst!$R$4:$W$4,0))))</f>
        <v>0</v>
      </c>
      <c r="AG82" s="168">
        <f>IF($C82-AG$1&lt;År1,0,AF81*(1-VLOOKUP($A82,[1]Hugst!$R$5:$W$9,MATCH(ROUNDUP((AG$1)/10,0)*10,[1]Hugst!$R$4:$W$4,0))))</f>
        <v>0</v>
      </c>
      <c r="AH82" s="168">
        <f>IF($C82-AH$1&lt;År1,0,AG81*(1-VLOOKUP($A82,[1]Hugst!$R$5:$W$9,MATCH(ROUNDUP((AH$1)/10,0)*10,[1]Hugst!$R$4:$W$4,0))))</f>
        <v>0</v>
      </c>
      <c r="AI82" s="168">
        <f>IF($C82-AI$1&lt;År1,0,AH81*(1-VLOOKUP($A82,[1]Hugst!$R$5:$W$9,MATCH(ROUNDUP((AI$1)/10,0)*10,[1]Hugst!$R$4:$W$4,0))))</f>
        <v>0</v>
      </c>
      <c r="AJ82" s="168">
        <f>IF($C82-AJ$1&lt;År1,0,AI81*(1-VLOOKUP($A82,[1]Hugst!$R$5:$W$9,MATCH(ROUNDUP((AJ$1)/10,0)*10,[1]Hugst!$R$4:$W$4,0))))</f>
        <v>0</v>
      </c>
      <c r="AK82" s="168"/>
      <c r="AL82" s="168"/>
      <c r="AM82" s="168"/>
    </row>
    <row r="83" spans="1:39" x14ac:dyDescent="0.25">
      <c r="A83" s="168" t="s">
        <v>177</v>
      </c>
      <c r="B83" s="168" t="s">
        <v>23</v>
      </c>
      <c r="C83" s="168">
        <v>2039</v>
      </c>
      <c r="D83" s="168" cm="1">
        <f t="array" ref="D83">(IF(B83="Vestdanmark",Skovbrug!$C$22-(Skovbrug!$C$22)*(1-Skovbrug!$C$9)^(C83-Skovbrug!$B$12),Skovbrug!$F$22-(Skovbrug!$F$22)*(1-Skovbrug!$C$9)^(C83-Skovbrug!$B$12))*VLOOKUP(A83,Skovbrug!$A$13:$D$17,IF('Skovbrug-alder'!C83&lt;=År2,3,4),FALSE)-IF(C83&gt;2020,SUM(INDEX($C$1:$D$311,MATCH(1,(2020=$C$1:$C$311)*(B83=$B$1:$B$311)*(A83=$A$1:$A$311),0),2):D82),0))</f>
        <v>0</v>
      </c>
      <c r="E83" s="168">
        <f t="shared" ca="1" si="1"/>
        <v>0</v>
      </c>
      <c r="F83" s="168">
        <f ca="1">IF(C83&lt;=År2,IF(B83="Vestdanmark",(Arealanvendelse!$M$27-Arealanvendelse!$J$27),(Arealanvendelse!$M$37-Arealanvendelse!$J$37))/(Arealanvendelse!$M$3-Arealanvendelse!$J$3),IF(B83="Vestdanmark",(Arealanvendelse!$P$27-Arealanvendelse!$M$27),(Arealanvendelse!$P$37-Arealanvendelse!$M$37))/(Arealanvendelse!$P$3-Arealanvendelse!$M$3))*VLOOKUP(A83,Skovbrug!$A$13:$D$17,IF('Skovbrug-alder'!C83&lt;=År2,3,4),FALSE)+D83+E83</f>
        <v>0</v>
      </c>
      <c r="G83" s="168">
        <f ca="1">IF($C83-G$1&lt;År1,0,F82*(1-VLOOKUP($A83,[1]Hugst!$R$5:$W$9,MATCH(ROUNDUP((G$1)/10,0)*10,[1]Hugst!$R$4:$W$4,0))))</f>
        <v>0</v>
      </c>
      <c r="H83" s="168">
        <f ca="1">IF($C83-H$1&lt;År1,0,G82*(1-VLOOKUP($A83,[1]Hugst!$R$5:$W$9,MATCH(ROUNDUP((H$1)/10,0)*10,[1]Hugst!$R$4:$W$4,0))))</f>
        <v>0</v>
      </c>
      <c r="I83" s="168">
        <f ca="1">IF($C83-I$1&lt;År1,0,H82*(1-VLOOKUP($A83,[1]Hugst!$R$5:$W$9,MATCH(ROUNDUP((I$1)/10,0)*10,[1]Hugst!$R$4:$W$4,0))))</f>
        <v>0</v>
      </c>
      <c r="J83" s="168">
        <f ca="1">IF($C83-J$1&lt;År1,0,I82*(1-VLOOKUP($A83,[1]Hugst!$R$5:$W$9,MATCH(ROUNDUP((J$1)/10,0)*10,[1]Hugst!$R$4:$W$4,0))))</f>
        <v>0</v>
      </c>
      <c r="K83" s="168">
        <f ca="1">IF($C83-K$1&lt;År1,0,J82*(1-VLOOKUP($A83,[1]Hugst!$R$5:$W$9,MATCH(ROUNDUP((K$1)/10,0)*10,[1]Hugst!$R$4:$W$4,0))))</f>
        <v>0</v>
      </c>
      <c r="L83" s="168">
        <f ca="1">IF($C83-L$1&lt;År1,0,K82*(1-VLOOKUP($A83,[1]Hugst!$R$5:$W$9,MATCH(ROUNDUP((L$1)/10,0)*10,[1]Hugst!$R$4:$W$4,0))))</f>
        <v>0</v>
      </c>
      <c r="M83" s="168">
        <f ca="1">IF($C83-M$1&lt;År1,0,L82*(1-VLOOKUP($A83,[1]Hugst!$R$5:$W$9,MATCH(ROUNDUP((M$1)/10,0)*10,[1]Hugst!$R$4:$W$4,0))))</f>
        <v>0</v>
      </c>
      <c r="N83" s="168">
        <f ca="1">IF($C83-N$1&lt;År1,0,M82*(1-VLOOKUP($A83,[1]Hugst!$R$5:$W$9,MATCH(ROUNDUP((N$1)/10,0)*10,[1]Hugst!$R$4:$W$4,0))))</f>
        <v>0</v>
      </c>
      <c r="O83" s="168">
        <f ca="1">IF($C83-O$1&lt;År1,0,N82*(1-VLOOKUP($A83,[1]Hugst!$R$5:$W$9,MATCH(ROUNDUP((O$1)/10,0)*10,[1]Hugst!$R$4:$W$4,0))))</f>
        <v>0</v>
      </c>
      <c r="P83" s="168">
        <f ca="1">IF($C83-P$1&lt;År1,0,O82*(1-VLOOKUP($A83,[1]Hugst!$R$5:$W$9,MATCH(ROUNDUP((P$1)/10,0)*10,[1]Hugst!$R$4:$W$4,0))))</f>
        <v>0</v>
      </c>
      <c r="Q83" s="168">
        <f ca="1">IF($C83-Q$1&lt;År1,0,P82*(1-VLOOKUP($A83,[1]Hugst!$R$5:$W$9,MATCH(ROUNDUP((Q$1)/10,0)*10,[1]Hugst!$R$4:$W$4,0))))</f>
        <v>0</v>
      </c>
      <c r="R83" s="168">
        <f ca="1">IF($C83-R$1&lt;År1,0,Q82*(1-VLOOKUP($A83,[1]Hugst!$R$5:$W$9,MATCH(ROUNDUP((R$1)/10,0)*10,[1]Hugst!$R$4:$W$4,0))))</f>
        <v>0</v>
      </c>
      <c r="S83" s="168">
        <f ca="1">IF($C83-S$1&lt;År1,0,R82*(1-VLOOKUP($A83,[1]Hugst!$R$5:$W$9,MATCH(ROUNDUP((S$1)/10,0)*10,[1]Hugst!$R$4:$W$4,0))))</f>
        <v>0</v>
      </c>
      <c r="T83" s="168">
        <f ca="1">IF($C83-T$1&lt;År1,0,S82*(1-VLOOKUP($A83,[1]Hugst!$R$5:$W$9,MATCH(ROUNDUP((T$1)/10,0)*10,[1]Hugst!$R$4:$W$4,0))))</f>
        <v>0</v>
      </c>
      <c r="U83" s="168">
        <f ca="1">IF($C83-U$1&lt;År1,0,T82*(1-VLOOKUP($A83,[1]Hugst!$R$5:$W$9,MATCH(ROUNDUP((U$1)/10,0)*10,[1]Hugst!$R$4:$W$4,0))))</f>
        <v>0</v>
      </c>
      <c r="V83" s="168">
        <f ca="1">IF($C83-V$1&lt;År1,0,U82*(1-VLOOKUP($A83,[1]Hugst!$R$5:$W$9,MATCH(ROUNDUP((V$1)/10,0)*10,[1]Hugst!$R$4:$W$4,0))))</f>
        <v>0</v>
      </c>
      <c r="W83" s="168">
        <f ca="1">IF($C83-W$1&lt;År1,0,V82*(1-VLOOKUP($A83,[1]Hugst!$R$5:$W$9,MATCH(ROUNDUP((W$1)/10,0)*10,[1]Hugst!$R$4:$W$4,0))))</f>
        <v>0</v>
      </c>
      <c r="X83" s="168">
        <f ca="1">IF($C83-X$1&lt;År1,0,W82*(1-VLOOKUP($A83,[1]Hugst!$R$5:$W$9,MATCH(ROUNDUP((X$1)/10,0)*10,[1]Hugst!$R$4:$W$4,0))))</f>
        <v>0</v>
      </c>
      <c r="Y83" s="168">
        <f ca="1">IF($C83-Y$1&lt;År1,0,X82*(1-VLOOKUP($A83,[1]Hugst!$R$5:$W$9,MATCH(ROUNDUP((Y$1)/10,0)*10,[1]Hugst!$R$4:$W$4,0))))</f>
        <v>0</v>
      </c>
      <c r="Z83" s="168">
        <f>IF($C83-Z$1&lt;År1,0,Y82*(1-VLOOKUP($A83,[1]Hugst!$R$5:$W$9,MATCH(ROUNDUP((Z$1)/10,0)*10,[1]Hugst!$R$4:$W$4,0))))</f>
        <v>0</v>
      </c>
      <c r="AA83" s="168">
        <f>IF($C83-AA$1&lt;År1,0,Z82*(1-VLOOKUP($A83,[1]Hugst!$R$5:$W$9,MATCH(ROUNDUP((AA$1)/10,0)*10,[1]Hugst!$R$4:$W$4,0))))</f>
        <v>0</v>
      </c>
      <c r="AB83" s="168">
        <f>IF($C83-AB$1&lt;År1,0,AA82*(1-VLOOKUP($A83,[1]Hugst!$R$5:$W$9,MATCH(ROUNDUP((AB$1)/10,0)*10,[1]Hugst!$R$4:$W$4,0))))</f>
        <v>0</v>
      </c>
      <c r="AC83" s="168">
        <f>IF($C83-AC$1&lt;År1,0,AB82*(1-VLOOKUP($A83,[1]Hugst!$R$5:$W$9,MATCH(ROUNDUP((AC$1)/10,0)*10,[1]Hugst!$R$4:$W$4,0))))</f>
        <v>0</v>
      </c>
      <c r="AD83" s="168">
        <f>IF($C83-AD$1&lt;År1,0,AC82*(1-VLOOKUP($A83,[1]Hugst!$R$5:$W$9,MATCH(ROUNDUP((AD$1)/10,0)*10,[1]Hugst!$R$4:$W$4,0))))</f>
        <v>0</v>
      </c>
      <c r="AE83" s="168">
        <f>IF($C83-AE$1&lt;År1,0,AD82*(1-VLOOKUP($A83,[1]Hugst!$R$5:$W$9,MATCH(ROUNDUP((AE$1)/10,0)*10,[1]Hugst!$R$4:$W$4,0))))</f>
        <v>0</v>
      </c>
      <c r="AF83" s="168">
        <f>IF($C83-AF$1&lt;År1,0,AE82*(1-VLOOKUP($A83,[1]Hugst!$R$5:$W$9,MATCH(ROUNDUP((AF$1)/10,0)*10,[1]Hugst!$R$4:$W$4,0))))</f>
        <v>0</v>
      </c>
      <c r="AG83" s="168">
        <f>IF($C83-AG$1&lt;År1,0,AF82*(1-VLOOKUP($A83,[1]Hugst!$R$5:$W$9,MATCH(ROUNDUP((AG$1)/10,0)*10,[1]Hugst!$R$4:$W$4,0))))</f>
        <v>0</v>
      </c>
      <c r="AH83" s="168">
        <f>IF($C83-AH$1&lt;År1,0,AG82*(1-VLOOKUP($A83,[1]Hugst!$R$5:$W$9,MATCH(ROUNDUP((AH$1)/10,0)*10,[1]Hugst!$R$4:$W$4,0))))</f>
        <v>0</v>
      </c>
      <c r="AI83" s="168">
        <f>IF($C83-AI$1&lt;År1,0,AH82*(1-VLOOKUP($A83,[1]Hugst!$R$5:$W$9,MATCH(ROUNDUP((AI$1)/10,0)*10,[1]Hugst!$R$4:$W$4,0))))</f>
        <v>0</v>
      </c>
      <c r="AJ83" s="168">
        <f>IF($C83-AJ$1&lt;År1,0,AI82*(1-VLOOKUP($A83,[1]Hugst!$R$5:$W$9,MATCH(ROUNDUP((AJ$1)/10,0)*10,[1]Hugst!$R$4:$W$4,0))))</f>
        <v>0</v>
      </c>
      <c r="AK83" s="168"/>
      <c r="AL83" s="168"/>
      <c r="AM83" s="168"/>
    </row>
    <row r="84" spans="1:39" x14ac:dyDescent="0.25">
      <c r="A84" s="168" t="s">
        <v>177</v>
      </c>
      <c r="B84" s="168" t="s">
        <v>23</v>
      </c>
      <c r="C84" s="168">
        <v>2040</v>
      </c>
      <c r="D84" s="168" cm="1">
        <f t="array" ref="D84">(IF(B84="Vestdanmark",Skovbrug!$C$22-(Skovbrug!$C$22)*(1-Skovbrug!$C$9)^(C84-Skovbrug!$B$12),Skovbrug!$F$22-(Skovbrug!$F$22)*(1-Skovbrug!$C$9)^(C84-Skovbrug!$B$12))*VLOOKUP(A84,Skovbrug!$A$13:$D$17,IF('Skovbrug-alder'!C84&lt;=År2,3,4),FALSE)-IF(C84&gt;2020,SUM(INDEX($C$1:$D$311,MATCH(1,(2020=$C$1:$C$311)*(B84=$B$1:$B$311)*(A84=$A$1:$A$311),0),2):D83),0))</f>
        <v>0</v>
      </c>
      <c r="E84" s="168">
        <f t="shared" ca="1" si="1"/>
        <v>0</v>
      </c>
      <c r="F84" s="168">
        <f ca="1">IF(C84&lt;=År2,IF(B84="Vestdanmark",(Arealanvendelse!$M$27-Arealanvendelse!$J$27),(Arealanvendelse!$M$37-Arealanvendelse!$J$37))/(Arealanvendelse!$M$3-Arealanvendelse!$J$3),IF(B84="Vestdanmark",(Arealanvendelse!$P$27-Arealanvendelse!$M$27),(Arealanvendelse!$P$37-Arealanvendelse!$M$37))/(Arealanvendelse!$P$3-Arealanvendelse!$M$3))*VLOOKUP(A84,Skovbrug!$A$13:$D$17,IF('Skovbrug-alder'!C84&lt;=År2,3,4),FALSE)+D84+E84</f>
        <v>0</v>
      </c>
      <c r="G84" s="168">
        <f ca="1">IF($C84-G$1&lt;År1,0,F83*(1-VLOOKUP($A84,[1]Hugst!$R$5:$W$9,MATCH(ROUNDUP((G$1)/10,0)*10,[1]Hugst!$R$4:$W$4,0))))</f>
        <v>0</v>
      </c>
      <c r="H84" s="168">
        <f ca="1">IF($C84-H$1&lt;År1,0,G83*(1-VLOOKUP($A84,[1]Hugst!$R$5:$W$9,MATCH(ROUNDUP((H$1)/10,0)*10,[1]Hugst!$R$4:$W$4,0))))</f>
        <v>0</v>
      </c>
      <c r="I84" s="168">
        <f ca="1">IF($C84-I$1&lt;År1,0,H83*(1-VLOOKUP($A84,[1]Hugst!$R$5:$W$9,MATCH(ROUNDUP((I$1)/10,0)*10,[1]Hugst!$R$4:$W$4,0))))</f>
        <v>0</v>
      </c>
      <c r="J84" s="168">
        <f ca="1">IF($C84-J$1&lt;År1,0,I83*(1-VLOOKUP($A84,[1]Hugst!$R$5:$W$9,MATCH(ROUNDUP((J$1)/10,0)*10,[1]Hugst!$R$4:$W$4,0))))</f>
        <v>0</v>
      </c>
      <c r="K84" s="168">
        <f ca="1">IF($C84-K$1&lt;År1,0,J83*(1-VLOOKUP($A84,[1]Hugst!$R$5:$W$9,MATCH(ROUNDUP((K$1)/10,0)*10,[1]Hugst!$R$4:$W$4,0))))</f>
        <v>0</v>
      </c>
      <c r="L84" s="168">
        <f ca="1">IF($C84-L$1&lt;År1,0,K83*(1-VLOOKUP($A84,[1]Hugst!$R$5:$W$9,MATCH(ROUNDUP((L$1)/10,0)*10,[1]Hugst!$R$4:$W$4,0))))</f>
        <v>0</v>
      </c>
      <c r="M84" s="168">
        <f ca="1">IF($C84-M$1&lt;År1,0,L83*(1-VLOOKUP($A84,[1]Hugst!$R$5:$W$9,MATCH(ROUNDUP((M$1)/10,0)*10,[1]Hugst!$R$4:$W$4,0))))</f>
        <v>0</v>
      </c>
      <c r="N84" s="168">
        <f ca="1">IF($C84-N$1&lt;År1,0,M83*(1-VLOOKUP($A84,[1]Hugst!$R$5:$W$9,MATCH(ROUNDUP((N$1)/10,0)*10,[1]Hugst!$R$4:$W$4,0))))</f>
        <v>0</v>
      </c>
      <c r="O84" s="168">
        <f ca="1">IF($C84-O$1&lt;År1,0,N83*(1-VLOOKUP($A84,[1]Hugst!$R$5:$W$9,MATCH(ROUNDUP((O$1)/10,0)*10,[1]Hugst!$R$4:$W$4,0))))</f>
        <v>0</v>
      </c>
      <c r="P84" s="168">
        <f ca="1">IF($C84-P$1&lt;År1,0,O83*(1-VLOOKUP($A84,[1]Hugst!$R$5:$W$9,MATCH(ROUNDUP((P$1)/10,0)*10,[1]Hugst!$R$4:$W$4,0))))</f>
        <v>0</v>
      </c>
      <c r="Q84" s="168">
        <f ca="1">IF($C84-Q$1&lt;År1,0,P83*(1-VLOOKUP($A84,[1]Hugst!$R$5:$W$9,MATCH(ROUNDUP((Q$1)/10,0)*10,[1]Hugst!$R$4:$W$4,0))))</f>
        <v>0</v>
      </c>
      <c r="R84" s="168">
        <f ca="1">IF($C84-R$1&lt;År1,0,Q83*(1-VLOOKUP($A84,[1]Hugst!$R$5:$W$9,MATCH(ROUNDUP((R$1)/10,0)*10,[1]Hugst!$R$4:$W$4,0))))</f>
        <v>0</v>
      </c>
      <c r="S84" s="168">
        <f ca="1">IF($C84-S$1&lt;År1,0,R83*(1-VLOOKUP($A84,[1]Hugst!$R$5:$W$9,MATCH(ROUNDUP((S$1)/10,0)*10,[1]Hugst!$R$4:$W$4,0))))</f>
        <v>0</v>
      </c>
      <c r="T84" s="168">
        <f ca="1">IF($C84-T$1&lt;År1,0,S83*(1-VLOOKUP($A84,[1]Hugst!$R$5:$W$9,MATCH(ROUNDUP((T$1)/10,0)*10,[1]Hugst!$R$4:$W$4,0))))</f>
        <v>0</v>
      </c>
      <c r="U84" s="168">
        <f ca="1">IF($C84-U$1&lt;År1,0,T83*(1-VLOOKUP($A84,[1]Hugst!$R$5:$W$9,MATCH(ROUNDUP((U$1)/10,0)*10,[1]Hugst!$R$4:$W$4,0))))</f>
        <v>0</v>
      </c>
      <c r="V84" s="168">
        <f ca="1">IF($C84-V$1&lt;År1,0,U83*(1-VLOOKUP($A84,[1]Hugst!$R$5:$W$9,MATCH(ROUNDUP((V$1)/10,0)*10,[1]Hugst!$R$4:$W$4,0))))</f>
        <v>0</v>
      </c>
      <c r="W84" s="168">
        <f ca="1">IF($C84-W$1&lt;År1,0,V83*(1-VLOOKUP($A84,[1]Hugst!$R$5:$W$9,MATCH(ROUNDUP((W$1)/10,0)*10,[1]Hugst!$R$4:$W$4,0))))</f>
        <v>0</v>
      </c>
      <c r="X84" s="168">
        <f ca="1">IF($C84-X$1&lt;År1,0,W83*(1-VLOOKUP($A84,[1]Hugst!$R$5:$W$9,MATCH(ROUNDUP((X$1)/10,0)*10,[1]Hugst!$R$4:$W$4,0))))</f>
        <v>0</v>
      </c>
      <c r="Y84" s="168">
        <f ca="1">IF($C84-Y$1&lt;År1,0,X83*(1-VLOOKUP($A84,[1]Hugst!$R$5:$W$9,MATCH(ROUNDUP((Y$1)/10,0)*10,[1]Hugst!$R$4:$W$4,0))))</f>
        <v>0</v>
      </c>
      <c r="Z84" s="168">
        <f ca="1">IF($C84-Z$1&lt;År1,0,Y83*(1-VLOOKUP($A84,[1]Hugst!$R$5:$W$9,MATCH(ROUNDUP((Z$1)/10,0)*10,[1]Hugst!$R$4:$W$4,0))))</f>
        <v>0</v>
      </c>
      <c r="AA84" s="168">
        <f>IF($C84-AA$1&lt;År1,0,Z83*(1-VLOOKUP($A84,[1]Hugst!$R$5:$W$9,MATCH(ROUNDUP((AA$1)/10,0)*10,[1]Hugst!$R$4:$W$4,0))))</f>
        <v>0</v>
      </c>
      <c r="AB84" s="168">
        <f>IF($C84-AB$1&lt;År1,0,AA83*(1-VLOOKUP($A84,[1]Hugst!$R$5:$W$9,MATCH(ROUNDUP((AB$1)/10,0)*10,[1]Hugst!$R$4:$W$4,0))))</f>
        <v>0</v>
      </c>
      <c r="AC84" s="168">
        <f>IF($C84-AC$1&lt;År1,0,AB83*(1-VLOOKUP($A84,[1]Hugst!$R$5:$W$9,MATCH(ROUNDUP((AC$1)/10,0)*10,[1]Hugst!$R$4:$W$4,0))))</f>
        <v>0</v>
      </c>
      <c r="AD84" s="168">
        <f>IF($C84-AD$1&lt;År1,0,AC83*(1-VLOOKUP($A84,[1]Hugst!$R$5:$W$9,MATCH(ROUNDUP((AD$1)/10,0)*10,[1]Hugst!$R$4:$W$4,0))))</f>
        <v>0</v>
      </c>
      <c r="AE84" s="168">
        <f>IF($C84-AE$1&lt;År1,0,AD83*(1-VLOOKUP($A84,[1]Hugst!$R$5:$W$9,MATCH(ROUNDUP((AE$1)/10,0)*10,[1]Hugst!$R$4:$W$4,0))))</f>
        <v>0</v>
      </c>
      <c r="AF84" s="168">
        <f>IF($C84-AF$1&lt;År1,0,AE83*(1-VLOOKUP($A84,[1]Hugst!$R$5:$W$9,MATCH(ROUNDUP((AF$1)/10,0)*10,[1]Hugst!$R$4:$W$4,0))))</f>
        <v>0</v>
      </c>
      <c r="AG84" s="168">
        <f>IF($C84-AG$1&lt;År1,0,AF83*(1-VLOOKUP($A84,[1]Hugst!$R$5:$W$9,MATCH(ROUNDUP((AG$1)/10,0)*10,[1]Hugst!$R$4:$W$4,0))))</f>
        <v>0</v>
      </c>
      <c r="AH84" s="168">
        <f>IF($C84-AH$1&lt;År1,0,AG83*(1-VLOOKUP($A84,[1]Hugst!$R$5:$W$9,MATCH(ROUNDUP((AH$1)/10,0)*10,[1]Hugst!$R$4:$W$4,0))))</f>
        <v>0</v>
      </c>
      <c r="AI84" s="168">
        <f>IF($C84-AI$1&lt;År1,0,AH83*(1-VLOOKUP($A84,[1]Hugst!$R$5:$W$9,MATCH(ROUNDUP((AI$1)/10,0)*10,[1]Hugst!$R$4:$W$4,0))))</f>
        <v>0</v>
      </c>
      <c r="AJ84" s="168">
        <f>IF($C84-AJ$1&lt;År1,0,AI83*(1-VLOOKUP($A84,[1]Hugst!$R$5:$W$9,MATCH(ROUNDUP((AJ$1)/10,0)*10,[1]Hugst!$R$4:$W$4,0))))</f>
        <v>0</v>
      </c>
      <c r="AK84" s="168"/>
      <c r="AL84" s="168"/>
      <c r="AM84" s="168"/>
    </row>
    <row r="85" spans="1:39" x14ac:dyDescent="0.25">
      <c r="A85" s="168" t="s">
        <v>177</v>
      </c>
      <c r="B85" s="168" t="s">
        <v>23</v>
      </c>
      <c r="C85" s="168">
        <v>2041</v>
      </c>
      <c r="D85" s="168" cm="1">
        <f t="array" ref="D85">(IF(B85="Vestdanmark",Skovbrug!$C$22-(Skovbrug!$C$22)*(1-Skovbrug!$C$9)^(C85-Skovbrug!$B$12),Skovbrug!$F$22-(Skovbrug!$F$22)*(1-Skovbrug!$C$9)^(C85-Skovbrug!$B$12))*VLOOKUP(A85,Skovbrug!$A$13:$D$17,IF('Skovbrug-alder'!C85&lt;=År2,3,4),FALSE)-IF(C85&gt;2020,SUM(INDEX($C$1:$D$311,MATCH(1,(2020=$C$1:$C$311)*(B85=$B$1:$B$311)*(A85=$A$1:$A$311),0),2):D84),0))</f>
        <v>0</v>
      </c>
      <c r="E85" s="168">
        <f t="shared" ca="1" si="1"/>
        <v>0</v>
      </c>
      <c r="F85" s="168">
        <f ca="1">IF(C85&lt;=År2,IF(B85="Vestdanmark",(Arealanvendelse!$M$27-Arealanvendelse!$J$27),(Arealanvendelse!$M$37-Arealanvendelse!$J$37))/(Arealanvendelse!$M$3-Arealanvendelse!$J$3),IF(B85="Vestdanmark",(Arealanvendelse!$P$27-Arealanvendelse!$M$27),(Arealanvendelse!$P$37-Arealanvendelse!$M$37))/(Arealanvendelse!$P$3-Arealanvendelse!$M$3))*VLOOKUP(A85,Skovbrug!$A$13:$D$17,IF('Skovbrug-alder'!C85&lt;=År2,3,4),FALSE)+D85+E85</f>
        <v>0</v>
      </c>
      <c r="G85" s="168">
        <f ca="1">IF($C85-G$1&lt;År1,0,F84*(1-VLOOKUP($A85,[1]Hugst!$R$5:$W$9,MATCH(ROUNDUP((G$1)/10,0)*10,[1]Hugst!$R$4:$W$4,0))))</f>
        <v>0</v>
      </c>
      <c r="H85" s="168">
        <f ca="1">IF($C85-H$1&lt;År1,0,G84*(1-VLOOKUP($A85,[1]Hugst!$R$5:$W$9,MATCH(ROUNDUP((H$1)/10,0)*10,[1]Hugst!$R$4:$W$4,0))))</f>
        <v>0</v>
      </c>
      <c r="I85" s="168">
        <f ca="1">IF($C85-I$1&lt;År1,0,H84*(1-VLOOKUP($A85,[1]Hugst!$R$5:$W$9,MATCH(ROUNDUP((I$1)/10,0)*10,[1]Hugst!$R$4:$W$4,0))))</f>
        <v>0</v>
      </c>
      <c r="J85" s="168">
        <f ca="1">IF($C85-J$1&lt;År1,0,I84*(1-VLOOKUP($A85,[1]Hugst!$R$5:$W$9,MATCH(ROUNDUP((J$1)/10,0)*10,[1]Hugst!$R$4:$W$4,0))))</f>
        <v>0</v>
      </c>
      <c r="K85" s="168">
        <f ca="1">IF($C85-K$1&lt;År1,0,J84*(1-VLOOKUP($A85,[1]Hugst!$R$5:$W$9,MATCH(ROUNDUP((K$1)/10,0)*10,[1]Hugst!$R$4:$W$4,0))))</f>
        <v>0</v>
      </c>
      <c r="L85" s="168">
        <f ca="1">IF($C85-L$1&lt;År1,0,K84*(1-VLOOKUP($A85,[1]Hugst!$R$5:$W$9,MATCH(ROUNDUP((L$1)/10,0)*10,[1]Hugst!$R$4:$W$4,0))))</f>
        <v>0</v>
      </c>
      <c r="M85" s="168">
        <f ca="1">IF($C85-M$1&lt;År1,0,L84*(1-VLOOKUP($A85,[1]Hugst!$R$5:$W$9,MATCH(ROUNDUP((M$1)/10,0)*10,[1]Hugst!$R$4:$W$4,0))))</f>
        <v>0</v>
      </c>
      <c r="N85" s="168">
        <f ca="1">IF($C85-N$1&lt;År1,0,M84*(1-VLOOKUP($A85,[1]Hugst!$R$5:$W$9,MATCH(ROUNDUP((N$1)/10,0)*10,[1]Hugst!$R$4:$W$4,0))))</f>
        <v>0</v>
      </c>
      <c r="O85" s="168">
        <f ca="1">IF($C85-O$1&lt;År1,0,N84*(1-VLOOKUP($A85,[1]Hugst!$R$5:$W$9,MATCH(ROUNDUP((O$1)/10,0)*10,[1]Hugst!$R$4:$W$4,0))))</f>
        <v>0</v>
      </c>
      <c r="P85" s="168">
        <f ca="1">IF($C85-P$1&lt;År1,0,O84*(1-VLOOKUP($A85,[1]Hugst!$R$5:$W$9,MATCH(ROUNDUP((P$1)/10,0)*10,[1]Hugst!$R$4:$W$4,0))))</f>
        <v>0</v>
      </c>
      <c r="Q85" s="168">
        <f ca="1">IF($C85-Q$1&lt;År1,0,P84*(1-VLOOKUP($A85,[1]Hugst!$R$5:$W$9,MATCH(ROUNDUP((Q$1)/10,0)*10,[1]Hugst!$R$4:$W$4,0))))</f>
        <v>0</v>
      </c>
      <c r="R85" s="168">
        <f ca="1">IF($C85-R$1&lt;År1,0,Q84*(1-VLOOKUP($A85,[1]Hugst!$R$5:$W$9,MATCH(ROUNDUP((R$1)/10,0)*10,[1]Hugst!$R$4:$W$4,0))))</f>
        <v>0</v>
      </c>
      <c r="S85" s="168">
        <f ca="1">IF($C85-S$1&lt;År1,0,R84*(1-VLOOKUP($A85,[1]Hugst!$R$5:$W$9,MATCH(ROUNDUP((S$1)/10,0)*10,[1]Hugst!$R$4:$W$4,0))))</f>
        <v>0</v>
      </c>
      <c r="T85" s="168">
        <f ca="1">IF($C85-T$1&lt;År1,0,S84*(1-VLOOKUP($A85,[1]Hugst!$R$5:$W$9,MATCH(ROUNDUP((T$1)/10,0)*10,[1]Hugst!$R$4:$W$4,0))))</f>
        <v>0</v>
      </c>
      <c r="U85" s="168">
        <f ca="1">IF($C85-U$1&lt;År1,0,T84*(1-VLOOKUP($A85,[1]Hugst!$R$5:$W$9,MATCH(ROUNDUP((U$1)/10,0)*10,[1]Hugst!$R$4:$W$4,0))))</f>
        <v>0</v>
      </c>
      <c r="V85" s="168">
        <f ca="1">IF($C85-V$1&lt;År1,0,U84*(1-VLOOKUP($A85,[1]Hugst!$R$5:$W$9,MATCH(ROUNDUP((V$1)/10,0)*10,[1]Hugst!$R$4:$W$4,0))))</f>
        <v>0</v>
      </c>
      <c r="W85" s="168">
        <f ca="1">IF($C85-W$1&lt;År1,0,V84*(1-VLOOKUP($A85,[1]Hugst!$R$5:$W$9,MATCH(ROUNDUP((W$1)/10,0)*10,[1]Hugst!$R$4:$W$4,0))))</f>
        <v>0</v>
      </c>
      <c r="X85" s="168">
        <f ca="1">IF($C85-X$1&lt;År1,0,W84*(1-VLOOKUP($A85,[1]Hugst!$R$5:$W$9,MATCH(ROUNDUP((X$1)/10,0)*10,[1]Hugst!$R$4:$W$4,0))))</f>
        <v>0</v>
      </c>
      <c r="Y85" s="168">
        <f ca="1">IF($C85-Y$1&lt;År1,0,X84*(1-VLOOKUP($A85,[1]Hugst!$R$5:$W$9,MATCH(ROUNDUP((Y$1)/10,0)*10,[1]Hugst!$R$4:$W$4,0))))</f>
        <v>0</v>
      </c>
      <c r="Z85" s="168">
        <f ca="1">IF($C85-Z$1&lt;År1,0,Y84*(1-VLOOKUP($A85,[1]Hugst!$R$5:$W$9,MATCH(ROUNDUP((Z$1)/10,0)*10,[1]Hugst!$R$4:$W$4,0))))</f>
        <v>0</v>
      </c>
      <c r="AA85" s="168">
        <f ca="1">IF($C85-AA$1&lt;År1,0,Z84*(1-VLOOKUP($A85,[1]Hugst!$R$5:$W$9,MATCH(ROUNDUP((AA$1)/10,0)*10,[1]Hugst!$R$4:$W$4,0))))</f>
        <v>0</v>
      </c>
      <c r="AB85" s="168">
        <f>IF($C85-AB$1&lt;År1,0,AA84*(1-VLOOKUP($A85,[1]Hugst!$R$5:$W$9,MATCH(ROUNDUP((AB$1)/10,0)*10,[1]Hugst!$R$4:$W$4,0))))</f>
        <v>0</v>
      </c>
      <c r="AC85" s="168">
        <f>IF($C85-AC$1&lt;År1,0,AB84*(1-VLOOKUP($A85,[1]Hugst!$R$5:$W$9,MATCH(ROUNDUP((AC$1)/10,0)*10,[1]Hugst!$R$4:$W$4,0))))</f>
        <v>0</v>
      </c>
      <c r="AD85" s="168">
        <f>IF($C85-AD$1&lt;År1,0,AC84*(1-VLOOKUP($A85,[1]Hugst!$R$5:$W$9,MATCH(ROUNDUP((AD$1)/10,0)*10,[1]Hugst!$R$4:$W$4,0))))</f>
        <v>0</v>
      </c>
      <c r="AE85" s="168">
        <f>IF($C85-AE$1&lt;År1,0,AD84*(1-VLOOKUP($A85,[1]Hugst!$R$5:$W$9,MATCH(ROUNDUP((AE$1)/10,0)*10,[1]Hugst!$R$4:$W$4,0))))</f>
        <v>0</v>
      </c>
      <c r="AF85" s="168">
        <f>IF($C85-AF$1&lt;År1,0,AE84*(1-VLOOKUP($A85,[1]Hugst!$R$5:$W$9,MATCH(ROUNDUP((AF$1)/10,0)*10,[1]Hugst!$R$4:$W$4,0))))</f>
        <v>0</v>
      </c>
      <c r="AG85" s="168">
        <f>IF($C85-AG$1&lt;År1,0,AF84*(1-VLOOKUP($A85,[1]Hugst!$R$5:$W$9,MATCH(ROUNDUP((AG$1)/10,0)*10,[1]Hugst!$R$4:$W$4,0))))</f>
        <v>0</v>
      </c>
      <c r="AH85" s="168">
        <f>IF($C85-AH$1&lt;År1,0,AG84*(1-VLOOKUP($A85,[1]Hugst!$R$5:$W$9,MATCH(ROUNDUP((AH$1)/10,0)*10,[1]Hugst!$R$4:$W$4,0))))</f>
        <v>0</v>
      </c>
      <c r="AI85" s="168">
        <f>IF($C85-AI$1&lt;År1,0,AH84*(1-VLOOKUP($A85,[1]Hugst!$R$5:$W$9,MATCH(ROUNDUP((AI$1)/10,0)*10,[1]Hugst!$R$4:$W$4,0))))</f>
        <v>0</v>
      </c>
      <c r="AJ85" s="168">
        <f>IF($C85-AJ$1&lt;År1,0,AI84*(1-VLOOKUP($A85,[1]Hugst!$R$5:$W$9,MATCH(ROUNDUP((AJ$1)/10,0)*10,[1]Hugst!$R$4:$W$4,0))))</f>
        <v>0</v>
      </c>
      <c r="AK85" s="168"/>
      <c r="AL85" s="168"/>
      <c r="AM85" s="168"/>
    </row>
    <row r="86" spans="1:39" x14ac:dyDescent="0.25">
      <c r="A86" s="168" t="s">
        <v>177</v>
      </c>
      <c r="B86" s="168" t="s">
        <v>23</v>
      </c>
      <c r="C86" s="168">
        <v>2042</v>
      </c>
      <c r="D86" s="168" cm="1">
        <f t="array" ref="D86">(IF(B86="Vestdanmark",Skovbrug!$C$22-(Skovbrug!$C$22)*(1-Skovbrug!$C$9)^(C86-Skovbrug!$B$12),Skovbrug!$F$22-(Skovbrug!$F$22)*(1-Skovbrug!$C$9)^(C86-Skovbrug!$B$12))*VLOOKUP(A86,Skovbrug!$A$13:$D$17,IF('Skovbrug-alder'!C86&lt;=År2,3,4),FALSE)-IF(C86&gt;2020,SUM(INDEX($C$1:$D$311,MATCH(1,(2020=$C$1:$C$311)*(B86=$B$1:$B$311)*(A86=$A$1:$A$311),0),2):D85),0))</f>
        <v>0</v>
      </c>
      <c r="E86" s="168">
        <f t="shared" ca="1" si="1"/>
        <v>0</v>
      </c>
      <c r="F86" s="168">
        <f ca="1">IF(C86&lt;=År2,IF(B86="Vestdanmark",(Arealanvendelse!$M$27-Arealanvendelse!$J$27),(Arealanvendelse!$M$37-Arealanvendelse!$J$37))/(Arealanvendelse!$M$3-Arealanvendelse!$J$3),IF(B86="Vestdanmark",(Arealanvendelse!$P$27-Arealanvendelse!$M$27),(Arealanvendelse!$P$37-Arealanvendelse!$M$37))/(Arealanvendelse!$P$3-Arealanvendelse!$M$3))*VLOOKUP(A86,Skovbrug!$A$13:$D$17,IF('Skovbrug-alder'!C86&lt;=År2,3,4),FALSE)+D86+E86</f>
        <v>0</v>
      </c>
      <c r="G86" s="168">
        <f ca="1">IF($C86-G$1&lt;År1,0,F85*(1-VLOOKUP($A86,[1]Hugst!$R$5:$W$9,MATCH(ROUNDUP((G$1)/10,0)*10,[1]Hugst!$R$4:$W$4,0))))</f>
        <v>0</v>
      </c>
      <c r="H86" s="168">
        <f ca="1">IF($C86-H$1&lt;År1,0,G85*(1-VLOOKUP($A86,[1]Hugst!$R$5:$W$9,MATCH(ROUNDUP((H$1)/10,0)*10,[1]Hugst!$R$4:$W$4,0))))</f>
        <v>0</v>
      </c>
      <c r="I86" s="168">
        <f ca="1">IF($C86-I$1&lt;År1,0,H85*(1-VLOOKUP($A86,[1]Hugst!$R$5:$W$9,MATCH(ROUNDUP((I$1)/10,0)*10,[1]Hugst!$R$4:$W$4,0))))</f>
        <v>0</v>
      </c>
      <c r="J86" s="168">
        <f ca="1">IF($C86-J$1&lt;År1,0,I85*(1-VLOOKUP($A86,[1]Hugst!$R$5:$W$9,MATCH(ROUNDUP((J$1)/10,0)*10,[1]Hugst!$R$4:$W$4,0))))</f>
        <v>0</v>
      </c>
      <c r="K86" s="168">
        <f ca="1">IF($C86-K$1&lt;År1,0,J85*(1-VLOOKUP($A86,[1]Hugst!$R$5:$W$9,MATCH(ROUNDUP((K$1)/10,0)*10,[1]Hugst!$R$4:$W$4,0))))</f>
        <v>0</v>
      </c>
      <c r="L86" s="168">
        <f ca="1">IF($C86-L$1&lt;År1,0,K85*(1-VLOOKUP($A86,[1]Hugst!$R$5:$W$9,MATCH(ROUNDUP((L$1)/10,0)*10,[1]Hugst!$R$4:$W$4,0))))</f>
        <v>0</v>
      </c>
      <c r="M86" s="168">
        <f ca="1">IF($C86-M$1&lt;År1,0,L85*(1-VLOOKUP($A86,[1]Hugst!$R$5:$W$9,MATCH(ROUNDUP((M$1)/10,0)*10,[1]Hugst!$R$4:$W$4,0))))</f>
        <v>0</v>
      </c>
      <c r="N86" s="168">
        <f ca="1">IF($C86-N$1&lt;År1,0,M85*(1-VLOOKUP($A86,[1]Hugst!$R$5:$W$9,MATCH(ROUNDUP((N$1)/10,0)*10,[1]Hugst!$R$4:$W$4,0))))</f>
        <v>0</v>
      </c>
      <c r="O86" s="168">
        <f ca="1">IF($C86-O$1&lt;År1,0,N85*(1-VLOOKUP($A86,[1]Hugst!$R$5:$W$9,MATCH(ROUNDUP((O$1)/10,0)*10,[1]Hugst!$R$4:$W$4,0))))</f>
        <v>0</v>
      </c>
      <c r="P86" s="168">
        <f ca="1">IF($C86-P$1&lt;År1,0,O85*(1-VLOOKUP($A86,[1]Hugst!$R$5:$W$9,MATCH(ROUNDUP((P$1)/10,0)*10,[1]Hugst!$R$4:$W$4,0))))</f>
        <v>0</v>
      </c>
      <c r="Q86" s="168">
        <f ca="1">IF($C86-Q$1&lt;År1,0,P85*(1-VLOOKUP($A86,[1]Hugst!$R$5:$W$9,MATCH(ROUNDUP((Q$1)/10,0)*10,[1]Hugst!$R$4:$W$4,0))))</f>
        <v>0</v>
      </c>
      <c r="R86" s="168">
        <f ca="1">IF($C86-R$1&lt;År1,0,Q85*(1-VLOOKUP($A86,[1]Hugst!$R$5:$W$9,MATCH(ROUNDUP((R$1)/10,0)*10,[1]Hugst!$R$4:$W$4,0))))</f>
        <v>0</v>
      </c>
      <c r="S86" s="168">
        <f ca="1">IF($C86-S$1&lt;År1,0,R85*(1-VLOOKUP($A86,[1]Hugst!$R$5:$W$9,MATCH(ROUNDUP((S$1)/10,0)*10,[1]Hugst!$R$4:$W$4,0))))</f>
        <v>0</v>
      </c>
      <c r="T86" s="168">
        <f ca="1">IF($C86-T$1&lt;År1,0,S85*(1-VLOOKUP($A86,[1]Hugst!$R$5:$W$9,MATCH(ROUNDUP((T$1)/10,0)*10,[1]Hugst!$R$4:$W$4,0))))</f>
        <v>0</v>
      </c>
      <c r="U86" s="168">
        <f ca="1">IF($C86-U$1&lt;År1,0,T85*(1-VLOOKUP($A86,[1]Hugst!$R$5:$W$9,MATCH(ROUNDUP((U$1)/10,0)*10,[1]Hugst!$R$4:$W$4,0))))</f>
        <v>0</v>
      </c>
      <c r="V86" s="168">
        <f ca="1">IF($C86-V$1&lt;År1,0,U85*(1-VLOOKUP($A86,[1]Hugst!$R$5:$W$9,MATCH(ROUNDUP((V$1)/10,0)*10,[1]Hugst!$R$4:$W$4,0))))</f>
        <v>0</v>
      </c>
      <c r="W86" s="168">
        <f ca="1">IF($C86-W$1&lt;År1,0,V85*(1-VLOOKUP($A86,[1]Hugst!$R$5:$W$9,MATCH(ROUNDUP((W$1)/10,0)*10,[1]Hugst!$R$4:$W$4,0))))</f>
        <v>0</v>
      </c>
      <c r="X86" s="168">
        <f ca="1">IF($C86-X$1&lt;År1,0,W85*(1-VLOOKUP($A86,[1]Hugst!$R$5:$W$9,MATCH(ROUNDUP((X$1)/10,0)*10,[1]Hugst!$R$4:$W$4,0))))</f>
        <v>0</v>
      </c>
      <c r="Y86" s="168">
        <f ca="1">IF($C86-Y$1&lt;År1,0,X85*(1-VLOOKUP($A86,[1]Hugst!$R$5:$W$9,MATCH(ROUNDUP((Y$1)/10,0)*10,[1]Hugst!$R$4:$W$4,0))))</f>
        <v>0</v>
      </c>
      <c r="Z86" s="168">
        <f ca="1">IF($C86-Z$1&lt;År1,0,Y85*(1-VLOOKUP($A86,[1]Hugst!$R$5:$W$9,MATCH(ROUNDUP((Z$1)/10,0)*10,[1]Hugst!$R$4:$W$4,0))))</f>
        <v>0</v>
      </c>
      <c r="AA86" s="168">
        <f ca="1">IF($C86-AA$1&lt;År1,0,Z85*(1-VLOOKUP($A86,[1]Hugst!$R$5:$W$9,MATCH(ROUNDUP((AA$1)/10,0)*10,[1]Hugst!$R$4:$W$4,0))))</f>
        <v>0</v>
      </c>
      <c r="AB86" s="168">
        <f ca="1">IF($C86-AB$1&lt;År1,0,AA85*(1-VLOOKUP($A86,[1]Hugst!$R$5:$W$9,MATCH(ROUNDUP((AB$1)/10,0)*10,[1]Hugst!$R$4:$W$4,0))))</f>
        <v>0</v>
      </c>
      <c r="AC86" s="168">
        <f>IF($C86-AC$1&lt;År1,0,AB85*(1-VLOOKUP($A86,[1]Hugst!$R$5:$W$9,MATCH(ROUNDUP((AC$1)/10,0)*10,[1]Hugst!$R$4:$W$4,0))))</f>
        <v>0</v>
      </c>
      <c r="AD86" s="168">
        <f>IF($C86-AD$1&lt;År1,0,AC85*(1-VLOOKUP($A86,[1]Hugst!$R$5:$W$9,MATCH(ROUNDUP((AD$1)/10,0)*10,[1]Hugst!$R$4:$W$4,0))))</f>
        <v>0</v>
      </c>
      <c r="AE86" s="168">
        <f>IF($C86-AE$1&lt;År1,0,AD85*(1-VLOOKUP($A86,[1]Hugst!$R$5:$W$9,MATCH(ROUNDUP((AE$1)/10,0)*10,[1]Hugst!$R$4:$W$4,0))))</f>
        <v>0</v>
      </c>
      <c r="AF86" s="168">
        <f>IF($C86-AF$1&lt;År1,0,AE85*(1-VLOOKUP($A86,[1]Hugst!$R$5:$W$9,MATCH(ROUNDUP((AF$1)/10,0)*10,[1]Hugst!$R$4:$W$4,0))))</f>
        <v>0</v>
      </c>
      <c r="AG86" s="168">
        <f>IF($C86-AG$1&lt;År1,0,AF85*(1-VLOOKUP($A86,[1]Hugst!$R$5:$W$9,MATCH(ROUNDUP((AG$1)/10,0)*10,[1]Hugst!$R$4:$W$4,0))))</f>
        <v>0</v>
      </c>
      <c r="AH86" s="168">
        <f>IF($C86-AH$1&lt;År1,0,AG85*(1-VLOOKUP($A86,[1]Hugst!$R$5:$W$9,MATCH(ROUNDUP((AH$1)/10,0)*10,[1]Hugst!$R$4:$W$4,0))))</f>
        <v>0</v>
      </c>
      <c r="AI86" s="168">
        <f>IF($C86-AI$1&lt;År1,0,AH85*(1-VLOOKUP($A86,[1]Hugst!$R$5:$W$9,MATCH(ROUNDUP((AI$1)/10,0)*10,[1]Hugst!$R$4:$W$4,0))))</f>
        <v>0</v>
      </c>
      <c r="AJ86" s="168">
        <f>IF($C86-AJ$1&lt;År1,0,AI85*(1-VLOOKUP($A86,[1]Hugst!$R$5:$W$9,MATCH(ROUNDUP((AJ$1)/10,0)*10,[1]Hugst!$R$4:$W$4,0))))</f>
        <v>0</v>
      </c>
      <c r="AK86" s="168"/>
      <c r="AL86" s="168"/>
      <c r="AM86" s="168"/>
    </row>
    <row r="87" spans="1:39" x14ac:dyDescent="0.25">
      <c r="A87" s="168" t="s">
        <v>177</v>
      </c>
      <c r="B87" s="168" t="s">
        <v>23</v>
      </c>
      <c r="C87" s="168">
        <v>2043</v>
      </c>
      <c r="D87" s="168" cm="1">
        <f t="array" ref="D87">(IF(B87="Vestdanmark",Skovbrug!$C$22-(Skovbrug!$C$22)*(1-Skovbrug!$C$9)^(C87-Skovbrug!$B$12),Skovbrug!$F$22-(Skovbrug!$F$22)*(1-Skovbrug!$C$9)^(C87-Skovbrug!$B$12))*VLOOKUP(A87,Skovbrug!$A$13:$D$17,IF('Skovbrug-alder'!C87&lt;=År2,3,4),FALSE)-IF(C87&gt;2020,SUM(INDEX($C$1:$D$311,MATCH(1,(2020=$C$1:$C$311)*(B87=$B$1:$B$311)*(A87=$A$1:$A$311),0),2):D86),0))</f>
        <v>0</v>
      </c>
      <c r="E87" s="168">
        <f t="shared" ca="1" si="1"/>
        <v>0</v>
      </c>
      <c r="F87" s="168">
        <f ca="1">IF(C87&lt;=År2,IF(B87="Vestdanmark",(Arealanvendelse!$M$27-Arealanvendelse!$J$27),(Arealanvendelse!$M$37-Arealanvendelse!$J$37))/(Arealanvendelse!$M$3-Arealanvendelse!$J$3),IF(B87="Vestdanmark",(Arealanvendelse!$P$27-Arealanvendelse!$M$27),(Arealanvendelse!$P$37-Arealanvendelse!$M$37))/(Arealanvendelse!$P$3-Arealanvendelse!$M$3))*VLOOKUP(A87,Skovbrug!$A$13:$D$17,IF('Skovbrug-alder'!C87&lt;=År2,3,4),FALSE)+D87+E87</f>
        <v>0</v>
      </c>
      <c r="G87" s="168">
        <f ca="1">IF($C87-G$1&lt;År1,0,F86*(1-VLOOKUP($A87,[1]Hugst!$R$5:$W$9,MATCH(ROUNDUP((G$1)/10,0)*10,[1]Hugst!$R$4:$W$4,0))))</f>
        <v>0</v>
      </c>
      <c r="H87" s="168">
        <f ca="1">IF($C87-H$1&lt;År1,0,G86*(1-VLOOKUP($A87,[1]Hugst!$R$5:$W$9,MATCH(ROUNDUP((H$1)/10,0)*10,[1]Hugst!$R$4:$W$4,0))))</f>
        <v>0</v>
      </c>
      <c r="I87" s="168">
        <f ca="1">IF($C87-I$1&lt;År1,0,H86*(1-VLOOKUP($A87,[1]Hugst!$R$5:$W$9,MATCH(ROUNDUP((I$1)/10,0)*10,[1]Hugst!$R$4:$W$4,0))))</f>
        <v>0</v>
      </c>
      <c r="J87" s="168">
        <f ca="1">IF($C87-J$1&lt;År1,0,I86*(1-VLOOKUP($A87,[1]Hugst!$R$5:$W$9,MATCH(ROUNDUP((J$1)/10,0)*10,[1]Hugst!$R$4:$W$4,0))))</f>
        <v>0</v>
      </c>
      <c r="K87" s="168">
        <f ca="1">IF($C87-K$1&lt;År1,0,J86*(1-VLOOKUP($A87,[1]Hugst!$R$5:$W$9,MATCH(ROUNDUP((K$1)/10,0)*10,[1]Hugst!$R$4:$W$4,0))))</f>
        <v>0</v>
      </c>
      <c r="L87" s="168">
        <f ca="1">IF($C87-L$1&lt;År1,0,K86*(1-VLOOKUP($A87,[1]Hugst!$R$5:$W$9,MATCH(ROUNDUP((L$1)/10,0)*10,[1]Hugst!$R$4:$W$4,0))))</f>
        <v>0</v>
      </c>
      <c r="M87" s="168">
        <f ca="1">IF($C87-M$1&lt;År1,0,L86*(1-VLOOKUP($A87,[1]Hugst!$R$5:$W$9,MATCH(ROUNDUP((M$1)/10,0)*10,[1]Hugst!$R$4:$W$4,0))))</f>
        <v>0</v>
      </c>
      <c r="N87" s="168">
        <f ca="1">IF($C87-N$1&lt;År1,0,M86*(1-VLOOKUP($A87,[1]Hugst!$R$5:$W$9,MATCH(ROUNDUP((N$1)/10,0)*10,[1]Hugst!$R$4:$W$4,0))))</f>
        <v>0</v>
      </c>
      <c r="O87" s="168">
        <f ca="1">IF($C87-O$1&lt;År1,0,N86*(1-VLOOKUP($A87,[1]Hugst!$R$5:$W$9,MATCH(ROUNDUP((O$1)/10,0)*10,[1]Hugst!$R$4:$W$4,0))))</f>
        <v>0</v>
      </c>
      <c r="P87" s="168">
        <f ca="1">IF($C87-P$1&lt;År1,0,O86*(1-VLOOKUP($A87,[1]Hugst!$R$5:$W$9,MATCH(ROUNDUP((P$1)/10,0)*10,[1]Hugst!$R$4:$W$4,0))))</f>
        <v>0</v>
      </c>
      <c r="Q87" s="168">
        <f ca="1">IF($C87-Q$1&lt;År1,0,P86*(1-VLOOKUP($A87,[1]Hugst!$R$5:$W$9,MATCH(ROUNDUP((Q$1)/10,0)*10,[1]Hugst!$R$4:$W$4,0))))</f>
        <v>0</v>
      </c>
      <c r="R87" s="168">
        <f ca="1">IF($C87-R$1&lt;År1,0,Q86*(1-VLOOKUP($A87,[1]Hugst!$R$5:$W$9,MATCH(ROUNDUP((R$1)/10,0)*10,[1]Hugst!$R$4:$W$4,0))))</f>
        <v>0</v>
      </c>
      <c r="S87" s="168">
        <f ca="1">IF($C87-S$1&lt;År1,0,R86*(1-VLOOKUP($A87,[1]Hugst!$R$5:$W$9,MATCH(ROUNDUP((S$1)/10,0)*10,[1]Hugst!$R$4:$W$4,0))))</f>
        <v>0</v>
      </c>
      <c r="T87" s="168">
        <f ca="1">IF($C87-T$1&lt;År1,0,S86*(1-VLOOKUP($A87,[1]Hugst!$R$5:$W$9,MATCH(ROUNDUP((T$1)/10,0)*10,[1]Hugst!$R$4:$W$4,0))))</f>
        <v>0</v>
      </c>
      <c r="U87" s="168">
        <f ca="1">IF($C87-U$1&lt;År1,0,T86*(1-VLOOKUP($A87,[1]Hugst!$R$5:$W$9,MATCH(ROUNDUP((U$1)/10,0)*10,[1]Hugst!$R$4:$W$4,0))))</f>
        <v>0</v>
      </c>
      <c r="V87" s="168">
        <f ca="1">IF($C87-V$1&lt;År1,0,U86*(1-VLOOKUP($A87,[1]Hugst!$R$5:$W$9,MATCH(ROUNDUP((V$1)/10,0)*10,[1]Hugst!$R$4:$W$4,0))))</f>
        <v>0</v>
      </c>
      <c r="W87" s="168">
        <f ca="1">IF($C87-W$1&lt;År1,0,V86*(1-VLOOKUP($A87,[1]Hugst!$R$5:$W$9,MATCH(ROUNDUP((W$1)/10,0)*10,[1]Hugst!$R$4:$W$4,0))))</f>
        <v>0</v>
      </c>
      <c r="X87" s="168">
        <f ca="1">IF($C87-X$1&lt;År1,0,W86*(1-VLOOKUP($A87,[1]Hugst!$R$5:$W$9,MATCH(ROUNDUP((X$1)/10,0)*10,[1]Hugst!$R$4:$W$4,0))))</f>
        <v>0</v>
      </c>
      <c r="Y87" s="168">
        <f ca="1">IF($C87-Y$1&lt;År1,0,X86*(1-VLOOKUP($A87,[1]Hugst!$R$5:$W$9,MATCH(ROUNDUP((Y$1)/10,0)*10,[1]Hugst!$R$4:$W$4,0))))</f>
        <v>0</v>
      </c>
      <c r="Z87" s="168">
        <f ca="1">IF($C87-Z$1&lt;År1,0,Y86*(1-VLOOKUP($A87,[1]Hugst!$R$5:$W$9,MATCH(ROUNDUP((Z$1)/10,0)*10,[1]Hugst!$R$4:$W$4,0))))</f>
        <v>0</v>
      </c>
      <c r="AA87" s="168">
        <f ca="1">IF($C87-AA$1&lt;År1,0,Z86*(1-VLOOKUP($A87,[1]Hugst!$R$5:$W$9,MATCH(ROUNDUP((AA$1)/10,0)*10,[1]Hugst!$R$4:$W$4,0))))</f>
        <v>0</v>
      </c>
      <c r="AB87" s="168">
        <f ca="1">IF($C87-AB$1&lt;År1,0,AA86*(1-VLOOKUP($A87,[1]Hugst!$R$5:$W$9,MATCH(ROUNDUP((AB$1)/10,0)*10,[1]Hugst!$R$4:$W$4,0))))</f>
        <v>0</v>
      </c>
      <c r="AC87" s="168">
        <f ca="1">IF($C87-AC$1&lt;År1,0,AB86*(1-VLOOKUP($A87,[1]Hugst!$R$5:$W$9,MATCH(ROUNDUP((AC$1)/10,0)*10,[1]Hugst!$R$4:$W$4,0))))</f>
        <v>0</v>
      </c>
      <c r="AD87" s="168">
        <f>IF($C87-AD$1&lt;År1,0,AC86*(1-VLOOKUP($A87,[1]Hugst!$R$5:$W$9,MATCH(ROUNDUP((AD$1)/10,0)*10,[1]Hugst!$R$4:$W$4,0))))</f>
        <v>0</v>
      </c>
      <c r="AE87" s="168">
        <f>IF($C87-AE$1&lt;År1,0,AD86*(1-VLOOKUP($A87,[1]Hugst!$R$5:$W$9,MATCH(ROUNDUP((AE$1)/10,0)*10,[1]Hugst!$R$4:$W$4,0))))</f>
        <v>0</v>
      </c>
      <c r="AF87" s="168">
        <f>IF($C87-AF$1&lt;År1,0,AE86*(1-VLOOKUP($A87,[1]Hugst!$R$5:$W$9,MATCH(ROUNDUP((AF$1)/10,0)*10,[1]Hugst!$R$4:$W$4,0))))</f>
        <v>0</v>
      </c>
      <c r="AG87" s="168">
        <f>IF($C87-AG$1&lt;År1,0,AF86*(1-VLOOKUP($A87,[1]Hugst!$R$5:$W$9,MATCH(ROUNDUP((AG$1)/10,0)*10,[1]Hugst!$R$4:$W$4,0))))</f>
        <v>0</v>
      </c>
      <c r="AH87" s="168">
        <f>IF($C87-AH$1&lt;År1,0,AG86*(1-VLOOKUP($A87,[1]Hugst!$R$5:$W$9,MATCH(ROUNDUP((AH$1)/10,0)*10,[1]Hugst!$R$4:$W$4,0))))</f>
        <v>0</v>
      </c>
      <c r="AI87" s="168">
        <f>IF($C87-AI$1&lt;År1,0,AH86*(1-VLOOKUP($A87,[1]Hugst!$R$5:$W$9,MATCH(ROUNDUP((AI$1)/10,0)*10,[1]Hugst!$R$4:$W$4,0))))</f>
        <v>0</v>
      </c>
      <c r="AJ87" s="168">
        <f>IF($C87-AJ$1&lt;År1,0,AI86*(1-VLOOKUP($A87,[1]Hugst!$R$5:$W$9,MATCH(ROUNDUP((AJ$1)/10,0)*10,[1]Hugst!$R$4:$W$4,0))))</f>
        <v>0</v>
      </c>
      <c r="AK87" s="168"/>
      <c r="AL87" s="168"/>
      <c r="AM87" s="168"/>
    </row>
    <row r="88" spans="1:39" x14ac:dyDescent="0.25">
      <c r="A88" s="168" t="s">
        <v>177</v>
      </c>
      <c r="B88" s="168" t="s">
        <v>23</v>
      </c>
      <c r="C88" s="168">
        <v>2044</v>
      </c>
      <c r="D88" s="168" cm="1">
        <f t="array" ref="D88">(IF(B88="Vestdanmark",Skovbrug!$C$22-(Skovbrug!$C$22)*(1-Skovbrug!$C$9)^(C88-Skovbrug!$B$12),Skovbrug!$F$22-(Skovbrug!$F$22)*(1-Skovbrug!$C$9)^(C88-Skovbrug!$B$12))*VLOOKUP(A88,Skovbrug!$A$13:$D$17,IF('Skovbrug-alder'!C88&lt;=År2,3,4),FALSE)-IF(C88&gt;2020,SUM(INDEX($C$1:$D$311,MATCH(1,(2020=$C$1:$C$311)*(B88=$B$1:$B$311)*(A88=$A$1:$A$311),0),2):D87),0))</f>
        <v>0</v>
      </c>
      <c r="E88" s="168">
        <f t="shared" ca="1" si="1"/>
        <v>0</v>
      </c>
      <c r="F88" s="168">
        <f ca="1">IF(C88&lt;=År2,IF(B88="Vestdanmark",(Arealanvendelse!$M$27-Arealanvendelse!$J$27),(Arealanvendelse!$M$37-Arealanvendelse!$J$37))/(Arealanvendelse!$M$3-Arealanvendelse!$J$3),IF(B88="Vestdanmark",(Arealanvendelse!$P$27-Arealanvendelse!$M$27),(Arealanvendelse!$P$37-Arealanvendelse!$M$37))/(Arealanvendelse!$P$3-Arealanvendelse!$M$3))*VLOOKUP(A88,Skovbrug!$A$13:$D$17,IF('Skovbrug-alder'!C88&lt;=År2,3,4),FALSE)+D88+E88</f>
        <v>0</v>
      </c>
      <c r="G88" s="168">
        <f ca="1">IF($C88-G$1&lt;År1,0,F87*(1-VLOOKUP($A88,[1]Hugst!$R$5:$W$9,MATCH(ROUNDUP((G$1)/10,0)*10,[1]Hugst!$R$4:$W$4,0))))</f>
        <v>0</v>
      </c>
      <c r="H88" s="168">
        <f ca="1">IF($C88-H$1&lt;År1,0,G87*(1-VLOOKUP($A88,[1]Hugst!$R$5:$W$9,MATCH(ROUNDUP((H$1)/10,0)*10,[1]Hugst!$R$4:$W$4,0))))</f>
        <v>0</v>
      </c>
      <c r="I88" s="168">
        <f ca="1">IF($C88-I$1&lt;År1,0,H87*(1-VLOOKUP($A88,[1]Hugst!$R$5:$W$9,MATCH(ROUNDUP((I$1)/10,0)*10,[1]Hugst!$R$4:$W$4,0))))</f>
        <v>0</v>
      </c>
      <c r="J88" s="168">
        <f ca="1">IF($C88-J$1&lt;År1,0,I87*(1-VLOOKUP($A88,[1]Hugst!$R$5:$W$9,MATCH(ROUNDUP((J$1)/10,0)*10,[1]Hugst!$R$4:$W$4,0))))</f>
        <v>0</v>
      </c>
      <c r="K88" s="168">
        <f ca="1">IF($C88-K$1&lt;År1,0,J87*(1-VLOOKUP($A88,[1]Hugst!$R$5:$W$9,MATCH(ROUNDUP((K$1)/10,0)*10,[1]Hugst!$R$4:$W$4,0))))</f>
        <v>0</v>
      </c>
      <c r="L88" s="168">
        <f ca="1">IF($C88-L$1&lt;År1,0,K87*(1-VLOOKUP($A88,[1]Hugst!$R$5:$W$9,MATCH(ROUNDUP((L$1)/10,0)*10,[1]Hugst!$R$4:$W$4,0))))</f>
        <v>0</v>
      </c>
      <c r="M88" s="168">
        <f ca="1">IF($C88-M$1&lt;År1,0,L87*(1-VLOOKUP($A88,[1]Hugst!$R$5:$W$9,MATCH(ROUNDUP((M$1)/10,0)*10,[1]Hugst!$R$4:$W$4,0))))</f>
        <v>0</v>
      </c>
      <c r="N88" s="168">
        <f ca="1">IF($C88-N$1&lt;År1,0,M87*(1-VLOOKUP($A88,[1]Hugst!$R$5:$W$9,MATCH(ROUNDUP((N$1)/10,0)*10,[1]Hugst!$R$4:$W$4,0))))</f>
        <v>0</v>
      </c>
      <c r="O88" s="168">
        <f ca="1">IF($C88-O$1&lt;År1,0,N87*(1-VLOOKUP($A88,[1]Hugst!$R$5:$W$9,MATCH(ROUNDUP((O$1)/10,0)*10,[1]Hugst!$R$4:$W$4,0))))</f>
        <v>0</v>
      </c>
      <c r="P88" s="168">
        <f ca="1">IF($C88-P$1&lt;År1,0,O87*(1-VLOOKUP($A88,[1]Hugst!$R$5:$W$9,MATCH(ROUNDUP((P$1)/10,0)*10,[1]Hugst!$R$4:$W$4,0))))</f>
        <v>0</v>
      </c>
      <c r="Q88" s="168">
        <f ca="1">IF($C88-Q$1&lt;År1,0,P87*(1-VLOOKUP($A88,[1]Hugst!$R$5:$W$9,MATCH(ROUNDUP((Q$1)/10,0)*10,[1]Hugst!$R$4:$W$4,0))))</f>
        <v>0</v>
      </c>
      <c r="R88" s="168">
        <f ca="1">IF($C88-R$1&lt;År1,0,Q87*(1-VLOOKUP($A88,[1]Hugst!$R$5:$W$9,MATCH(ROUNDUP((R$1)/10,0)*10,[1]Hugst!$R$4:$W$4,0))))</f>
        <v>0</v>
      </c>
      <c r="S88" s="168">
        <f ca="1">IF($C88-S$1&lt;År1,0,R87*(1-VLOOKUP($A88,[1]Hugst!$R$5:$W$9,MATCH(ROUNDUP((S$1)/10,0)*10,[1]Hugst!$R$4:$W$4,0))))</f>
        <v>0</v>
      </c>
      <c r="T88" s="168">
        <f ca="1">IF($C88-T$1&lt;År1,0,S87*(1-VLOOKUP($A88,[1]Hugst!$R$5:$W$9,MATCH(ROUNDUP((T$1)/10,0)*10,[1]Hugst!$R$4:$W$4,0))))</f>
        <v>0</v>
      </c>
      <c r="U88" s="168">
        <f ca="1">IF($C88-U$1&lt;År1,0,T87*(1-VLOOKUP($A88,[1]Hugst!$R$5:$W$9,MATCH(ROUNDUP((U$1)/10,0)*10,[1]Hugst!$R$4:$W$4,0))))</f>
        <v>0</v>
      </c>
      <c r="V88" s="168">
        <f ca="1">IF($C88-V$1&lt;År1,0,U87*(1-VLOOKUP($A88,[1]Hugst!$R$5:$W$9,MATCH(ROUNDUP((V$1)/10,0)*10,[1]Hugst!$R$4:$W$4,0))))</f>
        <v>0</v>
      </c>
      <c r="W88" s="168">
        <f ca="1">IF($C88-W$1&lt;År1,0,V87*(1-VLOOKUP($A88,[1]Hugst!$R$5:$W$9,MATCH(ROUNDUP((W$1)/10,0)*10,[1]Hugst!$R$4:$W$4,0))))</f>
        <v>0</v>
      </c>
      <c r="X88" s="168">
        <f ca="1">IF($C88-X$1&lt;År1,0,W87*(1-VLOOKUP($A88,[1]Hugst!$R$5:$W$9,MATCH(ROUNDUP((X$1)/10,0)*10,[1]Hugst!$R$4:$W$4,0))))</f>
        <v>0</v>
      </c>
      <c r="Y88" s="168">
        <f ca="1">IF($C88-Y$1&lt;År1,0,X87*(1-VLOOKUP($A88,[1]Hugst!$R$5:$W$9,MATCH(ROUNDUP((Y$1)/10,0)*10,[1]Hugst!$R$4:$W$4,0))))</f>
        <v>0</v>
      </c>
      <c r="Z88" s="168">
        <f ca="1">IF($C88-Z$1&lt;År1,0,Y87*(1-VLOOKUP($A88,[1]Hugst!$R$5:$W$9,MATCH(ROUNDUP((Z$1)/10,0)*10,[1]Hugst!$R$4:$W$4,0))))</f>
        <v>0</v>
      </c>
      <c r="AA88" s="168">
        <f ca="1">IF($C88-AA$1&lt;År1,0,Z87*(1-VLOOKUP($A88,[1]Hugst!$R$5:$W$9,MATCH(ROUNDUP((AA$1)/10,0)*10,[1]Hugst!$R$4:$W$4,0))))</f>
        <v>0</v>
      </c>
      <c r="AB88" s="168">
        <f ca="1">IF($C88-AB$1&lt;År1,0,AA87*(1-VLOOKUP($A88,[1]Hugst!$R$5:$W$9,MATCH(ROUNDUP((AB$1)/10,0)*10,[1]Hugst!$R$4:$W$4,0))))</f>
        <v>0</v>
      </c>
      <c r="AC88" s="168">
        <f ca="1">IF($C88-AC$1&lt;År1,0,AB87*(1-VLOOKUP($A88,[1]Hugst!$R$5:$W$9,MATCH(ROUNDUP((AC$1)/10,0)*10,[1]Hugst!$R$4:$W$4,0))))</f>
        <v>0</v>
      </c>
      <c r="AD88" s="168">
        <f ca="1">IF($C88-AD$1&lt;År1,0,AC87*(1-VLOOKUP($A88,[1]Hugst!$R$5:$W$9,MATCH(ROUNDUP((AD$1)/10,0)*10,[1]Hugst!$R$4:$W$4,0))))</f>
        <v>0</v>
      </c>
      <c r="AE88" s="168">
        <f>IF($C88-AE$1&lt;År1,0,AD87*(1-VLOOKUP($A88,[1]Hugst!$R$5:$W$9,MATCH(ROUNDUP((AE$1)/10,0)*10,[1]Hugst!$R$4:$W$4,0))))</f>
        <v>0</v>
      </c>
      <c r="AF88" s="168">
        <f>IF($C88-AF$1&lt;År1,0,AE87*(1-VLOOKUP($A88,[1]Hugst!$R$5:$W$9,MATCH(ROUNDUP((AF$1)/10,0)*10,[1]Hugst!$R$4:$W$4,0))))</f>
        <v>0</v>
      </c>
      <c r="AG88" s="168">
        <f>IF($C88-AG$1&lt;År1,0,AF87*(1-VLOOKUP($A88,[1]Hugst!$R$5:$W$9,MATCH(ROUNDUP((AG$1)/10,0)*10,[1]Hugst!$R$4:$W$4,0))))</f>
        <v>0</v>
      </c>
      <c r="AH88" s="168">
        <f>IF($C88-AH$1&lt;År1,0,AG87*(1-VLOOKUP($A88,[1]Hugst!$R$5:$W$9,MATCH(ROUNDUP((AH$1)/10,0)*10,[1]Hugst!$R$4:$W$4,0))))</f>
        <v>0</v>
      </c>
      <c r="AI88" s="168">
        <f>IF($C88-AI$1&lt;År1,0,AH87*(1-VLOOKUP($A88,[1]Hugst!$R$5:$W$9,MATCH(ROUNDUP((AI$1)/10,0)*10,[1]Hugst!$R$4:$W$4,0))))</f>
        <v>0</v>
      </c>
      <c r="AJ88" s="168">
        <f>IF($C88-AJ$1&lt;År1,0,AI87*(1-VLOOKUP($A88,[1]Hugst!$R$5:$W$9,MATCH(ROUNDUP((AJ$1)/10,0)*10,[1]Hugst!$R$4:$W$4,0))))</f>
        <v>0</v>
      </c>
      <c r="AK88" s="168"/>
      <c r="AL88" s="168"/>
      <c r="AM88" s="168"/>
    </row>
    <row r="89" spans="1:39" x14ac:dyDescent="0.25">
      <c r="A89" s="168" t="s">
        <v>177</v>
      </c>
      <c r="B89" s="168" t="s">
        <v>23</v>
      </c>
      <c r="C89" s="168">
        <v>2045</v>
      </c>
      <c r="D89" s="168" cm="1">
        <f t="array" ref="D89">(IF(B89="Vestdanmark",Skovbrug!$C$22-(Skovbrug!$C$22)*(1-Skovbrug!$C$9)^(C89-Skovbrug!$B$12),Skovbrug!$F$22-(Skovbrug!$F$22)*(1-Skovbrug!$C$9)^(C89-Skovbrug!$B$12))*VLOOKUP(A89,Skovbrug!$A$13:$D$17,IF('Skovbrug-alder'!C89&lt;=År2,3,4),FALSE)-IF(C89&gt;2020,SUM(INDEX($C$1:$D$311,MATCH(1,(2020=$C$1:$C$311)*(B89=$B$1:$B$311)*(A89=$A$1:$A$311),0),2):D88),0))</f>
        <v>0</v>
      </c>
      <c r="E89" s="168">
        <f t="shared" ca="1" si="1"/>
        <v>0</v>
      </c>
      <c r="F89" s="168">
        <f ca="1">IF(C89&lt;=År2,IF(B89="Vestdanmark",(Arealanvendelse!$M$27-Arealanvendelse!$J$27),(Arealanvendelse!$M$37-Arealanvendelse!$J$37))/(Arealanvendelse!$M$3-Arealanvendelse!$J$3),IF(B89="Vestdanmark",(Arealanvendelse!$P$27-Arealanvendelse!$M$27),(Arealanvendelse!$P$37-Arealanvendelse!$M$37))/(Arealanvendelse!$P$3-Arealanvendelse!$M$3))*VLOOKUP(A89,Skovbrug!$A$13:$D$17,IF('Skovbrug-alder'!C89&lt;=År2,3,4),FALSE)+D89+E89</f>
        <v>0</v>
      </c>
      <c r="G89" s="168">
        <f ca="1">IF($C89-G$1&lt;År1,0,F88*(1-VLOOKUP($A89,[1]Hugst!$R$5:$W$9,MATCH(ROUNDUP((G$1)/10,0)*10,[1]Hugst!$R$4:$W$4,0))))</f>
        <v>0</v>
      </c>
      <c r="H89" s="168">
        <f ca="1">IF($C89-H$1&lt;År1,0,G88*(1-VLOOKUP($A89,[1]Hugst!$R$5:$W$9,MATCH(ROUNDUP((H$1)/10,0)*10,[1]Hugst!$R$4:$W$4,0))))</f>
        <v>0</v>
      </c>
      <c r="I89" s="168">
        <f ca="1">IF($C89-I$1&lt;År1,0,H88*(1-VLOOKUP($A89,[1]Hugst!$R$5:$W$9,MATCH(ROUNDUP((I$1)/10,0)*10,[1]Hugst!$R$4:$W$4,0))))</f>
        <v>0</v>
      </c>
      <c r="J89" s="168">
        <f ca="1">IF($C89-J$1&lt;År1,0,I88*(1-VLOOKUP($A89,[1]Hugst!$R$5:$W$9,MATCH(ROUNDUP((J$1)/10,0)*10,[1]Hugst!$R$4:$W$4,0))))</f>
        <v>0</v>
      </c>
      <c r="K89" s="168">
        <f ca="1">IF($C89-K$1&lt;År1,0,J88*(1-VLOOKUP($A89,[1]Hugst!$R$5:$W$9,MATCH(ROUNDUP((K$1)/10,0)*10,[1]Hugst!$R$4:$W$4,0))))</f>
        <v>0</v>
      </c>
      <c r="L89" s="168">
        <f ca="1">IF($C89-L$1&lt;År1,0,K88*(1-VLOOKUP($A89,[1]Hugst!$R$5:$W$9,MATCH(ROUNDUP((L$1)/10,0)*10,[1]Hugst!$R$4:$W$4,0))))</f>
        <v>0</v>
      </c>
      <c r="M89" s="168">
        <f ca="1">IF($C89-M$1&lt;År1,0,L88*(1-VLOOKUP($A89,[1]Hugst!$R$5:$W$9,MATCH(ROUNDUP((M$1)/10,0)*10,[1]Hugst!$R$4:$W$4,0))))</f>
        <v>0</v>
      </c>
      <c r="N89" s="168">
        <f ca="1">IF($C89-N$1&lt;År1,0,M88*(1-VLOOKUP($A89,[1]Hugst!$R$5:$W$9,MATCH(ROUNDUP((N$1)/10,0)*10,[1]Hugst!$R$4:$W$4,0))))</f>
        <v>0</v>
      </c>
      <c r="O89" s="168">
        <f ca="1">IF($C89-O$1&lt;År1,0,N88*(1-VLOOKUP($A89,[1]Hugst!$R$5:$W$9,MATCH(ROUNDUP((O$1)/10,0)*10,[1]Hugst!$R$4:$W$4,0))))</f>
        <v>0</v>
      </c>
      <c r="P89" s="168">
        <f ca="1">IF($C89-P$1&lt;År1,0,O88*(1-VLOOKUP($A89,[1]Hugst!$R$5:$W$9,MATCH(ROUNDUP((P$1)/10,0)*10,[1]Hugst!$R$4:$W$4,0))))</f>
        <v>0</v>
      </c>
      <c r="Q89" s="168">
        <f ca="1">IF($C89-Q$1&lt;År1,0,P88*(1-VLOOKUP($A89,[1]Hugst!$R$5:$W$9,MATCH(ROUNDUP((Q$1)/10,0)*10,[1]Hugst!$R$4:$W$4,0))))</f>
        <v>0</v>
      </c>
      <c r="R89" s="168">
        <f ca="1">IF($C89-R$1&lt;År1,0,Q88*(1-VLOOKUP($A89,[1]Hugst!$R$5:$W$9,MATCH(ROUNDUP((R$1)/10,0)*10,[1]Hugst!$R$4:$W$4,0))))</f>
        <v>0</v>
      </c>
      <c r="S89" s="168">
        <f ca="1">IF($C89-S$1&lt;År1,0,R88*(1-VLOOKUP($A89,[1]Hugst!$R$5:$W$9,MATCH(ROUNDUP((S$1)/10,0)*10,[1]Hugst!$R$4:$W$4,0))))</f>
        <v>0</v>
      </c>
      <c r="T89" s="168">
        <f ca="1">IF($C89-T$1&lt;År1,0,S88*(1-VLOOKUP($A89,[1]Hugst!$R$5:$W$9,MATCH(ROUNDUP((T$1)/10,0)*10,[1]Hugst!$R$4:$W$4,0))))</f>
        <v>0</v>
      </c>
      <c r="U89" s="168">
        <f ca="1">IF($C89-U$1&lt;År1,0,T88*(1-VLOOKUP($A89,[1]Hugst!$R$5:$W$9,MATCH(ROUNDUP((U$1)/10,0)*10,[1]Hugst!$R$4:$W$4,0))))</f>
        <v>0</v>
      </c>
      <c r="V89" s="168">
        <f ca="1">IF($C89-V$1&lt;År1,0,U88*(1-VLOOKUP($A89,[1]Hugst!$R$5:$W$9,MATCH(ROUNDUP((V$1)/10,0)*10,[1]Hugst!$R$4:$W$4,0))))</f>
        <v>0</v>
      </c>
      <c r="W89" s="168">
        <f ca="1">IF($C89-W$1&lt;År1,0,V88*(1-VLOOKUP($A89,[1]Hugst!$R$5:$W$9,MATCH(ROUNDUP((W$1)/10,0)*10,[1]Hugst!$R$4:$W$4,0))))</f>
        <v>0</v>
      </c>
      <c r="X89" s="168">
        <f ca="1">IF($C89-X$1&lt;År1,0,W88*(1-VLOOKUP($A89,[1]Hugst!$R$5:$W$9,MATCH(ROUNDUP((X$1)/10,0)*10,[1]Hugst!$R$4:$W$4,0))))</f>
        <v>0</v>
      </c>
      <c r="Y89" s="168">
        <f ca="1">IF($C89-Y$1&lt;År1,0,X88*(1-VLOOKUP($A89,[1]Hugst!$R$5:$W$9,MATCH(ROUNDUP((Y$1)/10,0)*10,[1]Hugst!$R$4:$W$4,0))))</f>
        <v>0</v>
      </c>
      <c r="Z89" s="168">
        <f ca="1">IF($C89-Z$1&lt;År1,0,Y88*(1-VLOOKUP($A89,[1]Hugst!$R$5:$W$9,MATCH(ROUNDUP((Z$1)/10,0)*10,[1]Hugst!$R$4:$W$4,0))))</f>
        <v>0</v>
      </c>
      <c r="AA89" s="168">
        <f ca="1">IF($C89-AA$1&lt;År1,0,Z88*(1-VLOOKUP($A89,[1]Hugst!$R$5:$W$9,MATCH(ROUNDUP((AA$1)/10,0)*10,[1]Hugst!$R$4:$W$4,0))))</f>
        <v>0</v>
      </c>
      <c r="AB89" s="168">
        <f ca="1">IF($C89-AB$1&lt;År1,0,AA88*(1-VLOOKUP($A89,[1]Hugst!$R$5:$W$9,MATCH(ROUNDUP((AB$1)/10,0)*10,[1]Hugst!$R$4:$W$4,0))))</f>
        <v>0</v>
      </c>
      <c r="AC89" s="168">
        <f ca="1">IF($C89-AC$1&lt;År1,0,AB88*(1-VLOOKUP($A89,[1]Hugst!$R$5:$W$9,MATCH(ROUNDUP((AC$1)/10,0)*10,[1]Hugst!$R$4:$W$4,0))))</f>
        <v>0</v>
      </c>
      <c r="AD89" s="168">
        <f ca="1">IF($C89-AD$1&lt;År1,0,AC88*(1-VLOOKUP($A89,[1]Hugst!$R$5:$W$9,MATCH(ROUNDUP((AD$1)/10,0)*10,[1]Hugst!$R$4:$W$4,0))))</f>
        <v>0</v>
      </c>
      <c r="AE89" s="168">
        <f ca="1">IF($C89-AE$1&lt;År1,0,AD88*(1-VLOOKUP($A89,[1]Hugst!$R$5:$W$9,MATCH(ROUNDUP((AE$1)/10,0)*10,[1]Hugst!$R$4:$W$4,0))))</f>
        <v>0</v>
      </c>
      <c r="AF89" s="168">
        <f>IF($C89-AF$1&lt;År1,0,AE88*(1-VLOOKUP($A89,[1]Hugst!$R$5:$W$9,MATCH(ROUNDUP((AF$1)/10,0)*10,[1]Hugst!$R$4:$W$4,0))))</f>
        <v>0</v>
      </c>
      <c r="AG89" s="168">
        <f>IF($C89-AG$1&lt;År1,0,AF88*(1-VLOOKUP($A89,[1]Hugst!$R$5:$W$9,MATCH(ROUNDUP((AG$1)/10,0)*10,[1]Hugst!$R$4:$W$4,0))))</f>
        <v>0</v>
      </c>
      <c r="AH89" s="168">
        <f>IF($C89-AH$1&lt;År1,0,AG88*(1-VLOOKUP($A89,[1]Hugst!$R$5:$W$9,MATCH(ROUNDUP((AH$1)/10,0)*10,[1]Hugst!$R$4:$W$4,0))))</f>
        <v>0</v>
      </c>
      <c r="AI89" s="168">
        <f>IF($C89-AI$1&lt;År1,0,AH88*(1-VLOOKUP($A89,[1]Hugst!$R$5:$W$9,MATCH(ROUNDUP((AI$1)/10,0)*10,[1]Hugst!$R$4:$W$4,0))))</f>
        <v>0</v>
      </c>
      <c r="AJ89" s="168">
        <f>IF($C89-AJ$1&lt;År1,0,AI88*(1-VLOOKUP($A89,[1]Hugst!$R$5:$W$9,MATCH(ROUNDUP((AJ$1)/10,0)*10,[1]Hugst!$R$4:$W$4,0))))</f>
        <v>0</v>
      </c>
      <c r="AK89" s="168"/>
      <c r="AL89" s="168"/>
      <c r="AM89" s="168"/>
    </row>
    <row r="90" spans="1:39" x14ac:dyDescent="0.25">
      <c r="A90" s="168" t="s">
        <v>177</v>
      </c>
      <c r="B90" s="168" t="s">
        <v>23</v>
      </c>
      <c r="C90" s="168">
        <v>2046</v>
      </c>
      <c r="D90" s="168" cm="1">
        <f t="array" ref="D90">(IF(B90="Vestdanmark",Skovbrug!$C$22-(Skovbrug!$C$22)*(1-Skovbrug!$C$9)^(C90-Skovbrug!$B$12),Skovbrug!$F$22-(Skovbrug!$F$22)*(1-Skovbrug!$C$9)^(C90-Skovbrug!$B$12))*VLOOKUP(A90,Skovbrug!$A$13:$D$17,IF('Skovbrug-alder'!C90&lt;=År2,3,4),FALSE)-IF(C90&gt;2020,SUM(INDEX($C$1:$D$311,MATCH(1,(2020=$C$1:$C$311)*(B90=$B$1:$B$311)*(A90=$A$1:$A$311),0),2):D89),0))</f>
        <v>0</v>
      </c>
      <c r="E90" s="168">
        <f t="shared" ca="1" si="1"/>
        <v>0</v>
      </c>
      <c r="F90" s="168">
        <f ca="1">IF(C90&lt;=År2,IF(B90="Vestdanmark",(Arealanvendelse!$M$27-Arealanvendelse!$J$27),(Arealanvendelse!$M$37-Arealanvendelse!$J$37))/(Arealanvendelse!$M$3-Arealanvendelse!$J$3),IF(B90="Vestdanmark",(Arealanvendelse!$P$27-Arealanvendelse!$M$27),(Arealanvendelse!$P$37-Arealanvendelse!$M$37))/(Arealanvendelse!$P$3-Arealanvendelse!$M$3))*VLOOKUP(A90,Skovbrug!$A$13:$D$17,IF('Skovbrug-alder'!C90&lt;=År2,3,4),FALSE)+D90+E90</f>
        <v>0</v>
      </c>
      <c r="G90" s="168">
        <f ca="1">IF($C90-G$1&lt;År1,0,F89*(1-VLOOKUP($A90,[1]Hugst!$R$5:$W$9,MATCH(ROUNDUP((G$1)/10,0)*10,[1]Hugst!$R$4:$W$4,0))))</f>
        <v>0</v>
      </c>
      <c r="H90" s="168">
        <f ca="1">IF($C90-H$1&lt;År1,0,G89*(1-VLOOKUP($A90,[1]Hugst!$R$5:$W$9,MATCH(ROUNDUP((H$1)/10,0)*10,[1]Hugst!$R$4:$W$4,0))))</f>
        <v>0</v>
      </c>
      <c r="I90" s="168">
        <f ca="1">IF($C90-I$1&lt;År1,0,H89*(1-VLOOKUP($A90,[1]Hugst!$R$5:$W$9,MATCH(ROUNDUP((I$1)/10,0)*10,[1]Hugst!$R$4:$W$4,0))))</f>
        <v>0</v>
      </c>
      <c r="J90" s="168">
        <f ca="1">IF($C90-J$1&lt;År1,0,I89*(1-VLOOKUP($A90,[1]Hugst!$R$5:$W$9,MATCH(ROUNDUP((J$1)/10,0)*10,[1]Hugst!$R$4:$W$4,0))))</f>
        <v>0</v>
      </c>
      <c r="K90" s="168">
        <f ca="1">IF($C90-K$1&lt;År1,0,J89*(1-VLOOKUP($A90,[1]Hugst!$R$5:$W$9,MATCH(ROUNDUP((K$1)/10,0)*10,[1]Hugst!$R$4:$W$4,0))))</f>
        <v>0</v>
      </c>
      <c r="L90" s="168">
        <f ca="1">IF($C90-L$1&lt;År1,0,K89*(1-VLOOKUP($A90,[1]Hugst!$R$5:$W$9,MATCH(ROUNDUP((L$1)/10,0)*10,[1]Hugst!$R$4:$W$4,0))))</f>
        <v>0</v>
      </c>
      <c r="M90" s="168">
        <f ca="1">IF($C90-M$1&lt;År1,0,L89*(1-VLOOKUP($A90,[1]Hugst!$R$5:$W$9,MATCH(ROUNDUP((M$1)/10,0)*10,[1]Hugst!$R$4:$W$4,0))))</f>
        <v>0</v>
      </c>
      <c r="N90" s="168">
        <f ca="1">IF($C90-N$1&lt;År1,0,M89*(1-VLOOKUP($A90,[1]Hugst!$R$5:$W$9,MATCH(ROUNDUP((N$1)/10,0)*10,[1]Hugst!$R$4:$W$4,0))))</f>
        <v>0</v>
      </c>
      <c r="O90" s="168">
        <f ca="1">IF($C90-O$1&lt;År1,0,N89*(1-VLOOKUP($A90,[1]Hugst!$R$5:$W$9,MATCH(ROUNDUP((O$1)/10,0)*10,[1]Hugst!$R$4:$W$4,0))))</f>
        <v>0</v>
      </c>
      <c r="P90" s="168">
        <f ca="1">IF($C90-P$1&lt;År1,0,O89*(1-VLOOKUP($A90,[1]Hugst!$R$5:$W$9,MATCH(ROUNDUP((P$1)/10,0)*10,[1]Hugst!$R$4:$W$4,0))))</f>
        <v>0</v>
      </c>
      <c r="Q90" s="168">
        <f ca="1">IF($C90-Q$1&lt;År1,0,P89*(1-VLOOKUP($A90,[1]Hugst!$R$5:$W$9,MATCH(ROUNDUP((Q$1)/10,0)*10,[1]Hugst!$R$4:$W$4,0))))</f>
        <v>0</v>
      </c>
      <c r="R90" s="168">
        <f ca="1">IF($C90-R$1&lt;År1,0,Q89*(1-VLOOKUP($A90,[1]Hugst!$R$5:$W$9,MATCH(ROUNDUP((R$1)/10,0)*10,[1]Hugst!$R$4:$W$4,0))))</f>
        <v>0</v>
      </c>
      <c r="S90" s="168">
        <f ca="1">IF($C90-S$1&lt;År1,0,R89*(1-VLOOKUP($A90,[1]Hugst!$R$5:$W$9,MATCH(ROUNDUP((S$1)/10,0)*10,[1]Hugst!$R$4:$W$4,0))))</f>
        <v>0</v>
      </c>
      <c r="T90" s="168">
        <f ca="1">IF($C90-T$1&lt;År1,0,S89*(1-VLOOKUP($A90,[1]Hugst!$R$5:$W$9,MATCH(ROUNDUP((T$1)/10,0)*10,[1]Hugst!$R$4:$W$4,0))))</f>
        <v>0</v>
      </c>
      <c r="U90" s="168">
        <f ca="1">IF($C90-U$1&lt;År1,0,T89*(1-VLOOKUP($A90,[1]Hugst!$R$5:$W$9,MATCH(ROUNDUP((U$1)/10,0)*10,[1]Hugst!$R$4:$W$4,0))))</f>
        <v>0</v>
      </c>
      <c r="V90" s="168">
        <f ca="1">IF($C90-V$1&lt;År1,0,U89*(1-VLOOKUP($A90,[1]Hugst!$R$5:$W$9,MATCH(ROUNDUP((V$1)/10,0)*10,[1]Hugst!$R$4:$W$4,0))))</f>
        <v>0</v>
      </c>
      <c r="W90" s="168">
        <f ca="1">IF($C90-W$1&lt;År1,0,V89*(1-VLOOKUP($A90,[1]Hugst!$R$5:$W$9,MATCH(ROUNDUP((W$1)/10,0)*10,[1]Hugst!$R$4:$W$4,0))))</f>
        <v>0</v>
      </c>
      <c r="X90" s="168">
        <f ca="1">IF($C90-X$1&lt;År1,0,W89*(1-VLOOKUP($A90,[1]Hugst!$R$5:$W$9,MATCH(ROUNDUP((X$1)/10,0)*10,[1]Hugst!$R$4:$W$4,0))))</f>
        <v>0</v>
      </c>
      <c r="Y90" s="168">
        <f ca="1">IF($C90-Y$1&lt;År1,0,X89*(1-VLOOKUP($A90,[1]Hugst!$R$5:$W$9,MATCH(ROUNDUP((Y$1)/10,0)*10,[1]Hugst!$R$4:$W$4,0))))</f>
        <v>0</v>
      </c>
      <c r="Z90" s="168">
        <f ca="1">IF($C90-Z$1&lt;År1,0,Y89*(1-VLOOKUP($A90,[1]Hugst!$R$5:$W$9,MATCH(ROUNDUP((Z$1)/10,0)*10,[1]Hugst!$R$4:$W$4,0))))</f>
        <v>0</v>
      </c>
      <c r="AA90" s="168">
        <f ca="1">IF($C90-AA$1&lt;År1,0,Z89*(1-VLOOKUP($A90,[1]Hugst!$R$5:$W$9,MATCH(ROUNDUP((AA$1)/10,0)*10,[1]Hugst!$R$4:$W$4,0))))</f>
        <v>0</v>
      </c>
      <c r="AB90" s="168">
        <f ca="1">IF($C90-AB$1&lt;År1,0,AA89*(1-VLOOKUP($A90,[1]Hugst!$R$5:$W$9,MATCH(ROUNDUP((AB$1)/10,0)*10,[1]Hugst!$R$4:$W$4,0))))</f>
        <v>0</v>
      </c>
      <c r="AC90" s="168">
        <f ca="1">IF($C90-AC$1&lt;År1,0,AB89*(1-VLOOKUP($A90,[1]Hugst!$R$5:$W$9,MATCH(ROUNDUP((AC$1)/10,0)*10,[1]Hugst!$R$4:$W$4,0))))</f>
        <v>0</v>
      </c>
      <c r="AD90" s="168">
        <f ca="1">IF($C90-AD$1&lt;År1,0,AC89*(1-VLOOKUP($A90,[1]Hugst!$R$5:$W$9,MATCH(ROUNDUP((AD$1)/10,0)*10,[1]Hugst!$R$4:$W$4,0))))</f>
        <v>0</v>
      </c>
      <c r="AE90" s="168">
        <f ca="1">IF($C90-AE$1&lt;År1,0,AD89*(1-VLOOKUP($A90,[1]Hugst!$R$5:$W$9,MATCH(ROUNDUP((AE$1)/10,0)*10,[1]Hugst!$R$4:$W$4,0))))</f>
        <v>0</v>
      </c>
      <c r="AF90" s="168">
        <f ca="1">IF($C90-AF$1&lt;År1,0,AE89*(1-VLOOKUP($A90,[1]Hugst!$R$5:$W$9,MATCH(ROUNDUP((AF$1)/10,0)*10,[1]Hugst!$R$4:$W$4,0))))</f>
        <v>0</v>
      </c>
      <c r="AG90" s="168">
        <f>IF($C90-AG$1&lt;År1,0,AF89*(1-VLOOKUP($A90,[1]Hugst!$R$5:$W$9,MATCH(ROUNDUP((AG$1)/10,0)*10,[1]Hugst!$R$4:$W$4,0))))</f>
        <v>0</v>
      </c>
      <c r="AH90" s="168">
        <f>IF($C90-AH$1&lt;År1,0,AG89*(1-VLOOKUP($A90,[1]Hugst!$R$5:$W$9,MATCH(ROUNDUP((AH$1)/10,0)*10,[1]Hugst!$R$4:$W$4,0))))</f>
        <v>0</v>
      </c>
      <c r="AI90" s="168">
        <f>IF($C90-AI$1&lt;År1,0,AH89*(1-VLOOKUP($A90,[1]Hugst!$R$5:$W$9,MATCH(ROUNDUP((AI$1)/10,0)*10,[1]Hugst!$R$4:$W$4,0))))</f>
        <v>0</v>
      </c>
      <c r="AJ90" s="168">
        <f>IF($C90-AJ$1&lt;År1,0,AI89*(1-VLOOKUP($A90,[1]Hugst!$R$5:$W$9,MATCH(ROUNDUP((AJ$1)/10,0)*10,[1]Hugst!$R$4:$W$4,0))))</f>
        <v>0</v>
      </c>
      <c r="AK90" s="168"/>
      <c r="AL90" s="168"/>
      <c r="AM90" s="168"/>
    </row>
    <row r="91" spans="1:39" x14ac:dyDescent="0.25">
      <c r="A91" s="168" t="s">
        <v>177</v>
      </c>
      <c r="B91" s="168" t="s">
        <v>23</v>
      </c>
      <c r="C91" s="168">
        <v>2047</v>
      </c>
      <c r="D91" s="168" cm="1">
        <f t="array" ref="D91">(IF(B91="Vestdanmark",Skovbrug!$C$22-(Skovbrug!$C$22)*(1-Skovbrug!$C$9)^(C91-Skovbrug!$B$12),Skovbrug!$F$22-(Skovbrug!$F$22)*(1-Skovbrug!$C$9)^(C91-Skovbrug!$B$12))*VLOOKUP(A91,Skovbrug!$A$13:$D$17,IF('Skovbrug-alder'!C91&lt;=År2,3,4),FALSE)-IF(C91&gt;2020,SUM(INDEX($C$1:$D$311,MATCH(1,(2020=$C$1:$C$311)*(B91=$B$1:$B$311)*(A91=$A$1:$A$311),0),2):D90),0))</f>
        <v>0</v>
      </c>
      <c r="E91" s="168">
        <f t="shared" ca="1" si="1"/>
        <v>0</v>
      </c>
      <c r="F91" s="168">
        <f ca="1">IF(C91&lt;=År2,IF(B91="Vestdanmark",(Arealanvendelse!$M$27-Arealanvendelse!$J$27),(Arealanvendelse!$M$37-Arealanvendelse!$J$37))/(Arealanvendelse!$M$3-Arealanvendelse!$J$3),IF(B91="Vestdanmark",(Arealanvendelse!$P$27-Arealanvendelse!$M$27),(Arealanvendelse!$P$37-Arealanvendelse!$M$37))/(Arealanvendelse!$P$3-Arealanvendelse!$M$3))*VLOOKUP(A91,Skovbrug!$A$13:$D$17,IF('Skovbrug-alder'!C91&lt;=År2,3,4),FALSE)+D91+E91</f>
        <v>0</v>
      </c>
      <c r="G91" s="168">
        <f ca="1">IF($C91-G$1&lt;År1,0,F90*(1-VLOOKUP($A91,[1]Hugst!$R$5:$W$9,MATCH(ROUNDUP((G$1)/10,0)*10,[1]Hugst!$R$4:$W$4,0))))</f>
        <v>0</v>
      </c>
      <c r="H91" s="168">
        <f ca="1">IF($C91-H$1&lt;År1,0,G90*(1-VLOOKUP($A91,[1]Hugst!$R$5:$W$9,MATCH(ROUNDUP((H$1)/10,0)*10,[1]Hugst!$R$4:$W$4,0))))</f>
        <v>0</v>
      </c>
      <c r="I91" s="168">
        <f ca="1">IF($C91-I$1&lt;År1,0,H90*(1-VLOOKUP($A91,[1]Hugst!$R$5:$W$9,MATCH(ROUNDUP((I$1)/10,0)*10,[1]Hugst!$R$4:$W$4,0))))</f>
        <v>0</v>
      </c>
      <c r="J91" s="168">
        <f ca="1">IF($C91-J$1&lt;År1,0,I90*(1-VLOOKUP($A91,[1]Hugst!$R$5:$W$9,MATCH(ROUNDUP((J$1)/10,0)*10,[1]Hugst!$R$4:$W$4,0))))</f>
        <v>0</v>
      </c>
      <c r="K91" s="168">
        <f ca="1">IF($C91-K$1&lt;År1,0,J90*(1-VLOOKUP($A91,[1]Hugst!$R$5:$W$9,MATCH(ROUNDUP((K$1)/10,0)*10,[1]Hugst!$R$4:$W$4,0))))</f>
        <v>0</v>
      </c>
      <c r="L91" s="168">
        <f ca="1">IF($C91-L$1&lt;År1,0,K90*(1-VLOOKUP($A91,[1]Hugst!$R$5:$W$9,MATCH(ROUNDUP((L$1)/10,0)*10,[1]Hugst!$R$4:$W$4,0))))</f>
        <v>0</v>
      </c>
      <c r="M91" s="168">
        <f ca="1">IF($C91-M$1&lt;År1,0,L90*(1-VLOOKUP($A91,[1]Hugst!$R$5:$W$9,MATCH(ROUNDUP((M$1)/10,0)*10,[1]Hugst!$R$4:$W$4,0))))</f>
        <v>0</v>
      </c>
      <c r="N91" s="168">
        <f ca="1">IF($C91-N$1&lt;År1,0,M90*(1-VLOOKUP($A91,[1]Hugst!$R$5:$W$9,MATCH(ROUNDUP((N$1)/10,0)*10,[1]Hugst!$R$4:$W$4,0))))</f>
        <v>0</v>
      </c>
      <c r="O91" s="168">
        <f ca="1">IF($C91-O$1&lt;År1,0,N90*(1-VLOOKUP($A91,[1]Hugst!$R$5:$W$9,MATCH(ROUNDUP((O$1)/10,0)*10,[1]Hugst!$R$4:$W$4,0))))</f>
        <v>0</v>
      </c>
      <c r="P91" s="168">
        <f ca="1">IF($C91-P$1&lt;År1,0,O90*(1-VLOOKUP($A91,[1]Hugst!$R$5:$W$9,MATCH(ROUNDUP((P$1)/10,0)*10,[1]Hugst!$R$4:$W$4,0))))</f>
        <v>0</v>
      </c>
      <c r="Q91" s="168">
        <f ca="1">IF($C91-Q$1&lt;År1,0,P90*(1-VLOOKUP($A91,[1]Hugst!$R$5:$W$9,MATCH(ROUNDUP((Q$1)/10,0)*10,[1]Hugst!$R$4:$W$4,0))))</f>
        <v>0</v>
      </c>
      <c r="R91" s="168">
        <f ca="1">IF($C91-R$1&lt;År1,0,Q90*(1-VLOOKUP($A91,[1]Hugst!$R$5:$W$9,MATCH(ROUNDUP((R$1)/10,0)*10,[1]Hugst!$R$4:$W$4,0))))</f>
        <v>0</v>
      </c>
      <c r="S91" s="168">
        <f ca="1">IF($C91-S$1&lt;År1,0,R90*(1-VLOOKUP($A91,[1]Hugst!$R$5:$W$9,MATCH(ROUNDUP((S$1)/10,0)*10,[1]Hugst!$R$4:$W$4,0))))</f>
        <v>0</v>
      </c>
      <c r="T91" s="168">
        <f ca="1">IF($C91-T$1&lt;År1,0,S90*(1-VLOOKUP($A91,[1]Hugst!$R$5:$W$9,MATCH(ROUNDUP((T$1)/10,0)*10,[1]Hugst!$R$4:$W$4,0))))</f>
        <v>0</v>
      </c>
      <c r="U91" s="168">
        <f ca="1">IF($C91-U$1&lt;År1,0,T90*(1-VLOOKUP($A91,[1]Hugst!$R$5:$W$9,MATCH(ROUNDUP((U$1)/10,0)*10,[1]Hugst!$R$4:$W$4,0))))</f>
        <v>0</v>
      </c>
      <c r="V91" s="168">
        <f ca="1">IF($C91-V$1&lt;År1,0,U90*(1-VLOOKUP($A91,[1]Hugst!$R$5:$W$9,MATCH(ROUNDUP((V$1)/10,0)*10,[1]Hugst!$R$4:$W$4,0))))</f>
        <v>0</v>
      </c>
      <c r="W91" s="168">
        <f ca="1">IF($C91-W$1&lt;År1,0,V90*(1-VLOOKUP($A91,[1]Hugst!$R$5:$W$9,MATCH(ROUNDUP((W$1)/10,0)*10,[1]Hugst!$R$4:$W$4,0))))</f>
        <v>0</v>
      </c>
      <c r="X91" s="168">
        <f ca="1">IF($C91-X$1&lt;År1,0,W90*(1-VLOOKUP($A91,[1]Hugst!$R$5:$W$9,MATCH(ROUNDUP((X$1)/10,0)*10,[1]Hugst!$R$4:$W$4,0))))</f>
        <v>0</v>
      </c>
      <c r="Y91" s="168">
        <f ca="1">IF($C91-Y$1&lt;År1,0,X90*(1-VLOOKUP($A91,[1]Hugst!$R$5:$W$9,MATCH(ROUNDUP((Y$1)/10,0)*10,[1]Hugst!$R$4:$W$4,0))))</f>
        <v>0</v>
      </c>
      <c r="Z91" s="168">
        <f ca="1">IF($C91-Z$1&lt;År1,0,Y90*(1-VLOOKUP($A91,[1]Hugst!$R$5:$W$9,MATCH(ROUNDUP((Z$1)/10,0)*10,[1]Hugst!$R$4:$W$4,0))))</f>
        <v>0</v>
      </c>
      <c r="AA91" s="168">
        <f ca="1">IF($C91-AA$1&lt;År1,0,Z90*(1-VLOOKUP($A91,[1]Hugst!$R$5:$W$9,MATCH(ROUNDUP((AA$1)/10,0)*10,[1]Hugst!$R$4:$W$4,0))))</f>
        <v>0</v>
      </c>
      <c r="AB91" s="168">
        <f ca="1">IF($C91-AB$1&lt;År1,0,AA90*(1-VLOOKUP($A91,[1]Hugst!$R$5:$W$9,MATCH(ROUNDUP((AB$1)/10,0)*10,[1]Hugst!$R$4:$W$4,0))))</f>
        <v>0</v>
      </c>
      <c r="AC91" s="168">
        <f ca="1">IF($C91-AC$1&lt;År1,0,AB90*(1-VLOOKUP($A91,[1]Hugst!$R$5:$W$9,MATCH(ROUNDUP((AC$1)/10,0)*10,[1]Hugst!$R$4:$W$4,0))))</f>
        <v>0</v>
      </c>
      <c r="AD91" s="168">
        <f ca="1">IF($C91-AD$1&lt;År1,0,AC90*(1-VLOOKUP($A91,[1]Hugst!$R$5:$W$9,MATCH(ROUNDUP((AD$1)/10,0)*10,[1]Hugst!$R$4:$W$4,0))))</f>
        <v>0</v>
      </c>
      <c r="AE91" s="168">
        <f ca="1">IF($C91-AE$1&lt;År1,0,AD90*(1-VLOOKUP($A91,[1]Hugst!$R$5:$W$9,MATCH(ROUNDUP((AE$1)/10,0)*10,[1]Hugst!$R$4:$W$4,0))))</f>
        <v>0</v>
      </c>
      <c r="AF91" s="168">
        <f ca="1">IF($C91-AF$1&lt;År1,0,AE90*(1-VLOOKUP($A91,[1]Hugst!$R$5:$W$9,MATCH(ROUNDUP((AF$1)/10,0)*10,[1]Hugst!$R$4:$W$4,0))))</f>
        <v>0</v>
      </c>
      <c r="AG91" s="168">
        <f ca="1">IF($C91-AG$1&lt;År1,0,AF90*(1-VLOOKUP($A91,[1]Hugst!$R$5:$W$9,MATCH(ROUNDUP((AG$1)/10,0)*10,[1]Hugst!$R$4:$W$4,0))))</f>
        <v>0</v>
      </c>
      <c r="AH91" s="168">
        <f>IF($C91-AH$1&lt;År1,0,AG90*(1-VLOOKUP($A91,[1]Hugst!$R$5:$W$9,MATCH(ROUNDUP((AH$1)/10,0)*10,[1]Hugst!$R$4:$W$4,0))))</f>
        <v>0</v>
      </c>
      <c r="AI91" s="168">
        <f>IF($C91-AI$1&lt;År1,0,AH90*(1-VLOOKUP($A91,[1]Hugst!$R$5:$W$9,MATCH(ROUNDUP((AI$1)/10,0)*10,[1]Hugst!$R$4:$W$4,0))))</f>
        <v>0</v>
      </c>
      <c r="AJ91" s="168">
        <f>IF($C91-AJ$1&lt;År1,0,AI90*(1-VLOOKUP($A91,[1]Hugst!$R$5:$W$9,MATCH(ROUNDUP((AJ$1)/10,0)*10,[1]Hugst!$R$4:$W$4,0))))</f>
        <v>0</v>
      </c>
      <c r="AK91" s="168"/>
      <c r="AL91" s="168"/>
      <c r="AM91" s="168"/>
    </row>
    <row r="92" spans="1:39" x14ac:dyDescent="0.25">
      <c r="A92" s="168" t="s">
        <v>177</v>
      </c>
      <c r="B92" s="168" t="s">
        <v>23</v>
      </c>
      <c r="C92" s="168">
        <v>2048</v>
      </c>
      <c r="D92" s="168" cm="1">
        <f t="array" ref="D92">(IF(B92="Vestdanmark",Skovbrug!$C$22-(Skovbrug!$C$22)*(1-Skovbrug!$C$9)^(C92-Skovbrug!$B$12),Skovbrug!$F$22-(Skovbrug!$F$22)*(1-Skovbrug!$C$9)^(C92-Skovbrug!$B$12))*VLOOKUP(A92,Skovbrug!$A$13:$D$17,IF('Skovbrug-alder'!C92&lt;=År2,3,4),FALSE)-IF(C92&gt;2020,SUM(INDEX($C$1:$D$311,MATCH(1,(2020=$C$1:$C$311)*(B92=$B$1:$B$311)*(A92=$A$1:$A$311),0),2):D91),0))</f>
        <v>0</v>
      </c>
      <c r="E92" s="168">
        <f t="shared" ca="1" si="1"/>
        <v>0</v>
      </c>
      <c r="F92" s="168">
        <f ca="1">IF(C92&lt;=År2,IF(B92="Vestdanmark",(Arealanvendelse!$M$27-Arealanvendelse!$J$27),(Arealanvendelse!$M$37-Arealanvendelse!$J$37))/(Arealanvendelse!$M$3-Arealanvendelse!$J$3),IF(B92="Vestdanmark",(Arealanvendelse!$P$27-Arealanvendelse!$M$27),(Arealanvendelse!$P$37-Arealanvendelse!$M$37))/(Arealanvendelse!$P$3-Arealanvendelse!$M$3))*VLOOKUP(A92,Skovbrug!$A$13:$D$17,IF('Skovbrug-alder'!C92&lt;=År2,3,4),FALSE)+D92+E92</f>
        <v>0</v>
      </c>
      <c r="G92" s="168">
        <f ca="1">IF($C92-G$1&lt;År1,0,F91*(1-VLOOKUP($A92,[1]Hugst!$R$5:$W$9,MATCH(ROUNDUP((G$1)/10,0)*10,[1]Hugst!$R$4:$W$4,0))))</f>
        <v>0</v>
      </c>
      <c r="H92" s="168">
        <f ca="1">IF($C92-H$1&lt;År1,0,G91*(1-VLOOKUP($A92,[1]Hugst!$R$5:$W$9,MATCH(ROUNDUP((H$1)/10,0)*10,[1]Hugst!$R$4:$W$4,0))))</f>
        <v>0</v>
      </c>
      <c r="I92" s="168">
        <f ca="1">IF($C92-I$1&lt;År1,0,H91*(1-VLOOKUP($A92,[1]Hugst!$R$5:$W$9,MATCH(ROUNDUP((I$1)/10,0)*10,[1]Hugst!$R$4:$W$4,0))))</f>
        <v>0</v>
      </c>
      <c r="J92" s="168">
        <f ca="1">IF($C92-J$1&lt;År1,0,I91*(1-VLOOKUP($A92,[1]Hugst!$R$5:$W$9,MATCH(ROUNDUP((J$1)/10,0)*10,[1]Hugst!$R$4:$W$4,0))))</f>
        <v>0</v>
      </c>
      <c r="K92" s="168">
        <f ca="1">IF($C92-K$1&lt;År1,0,J91*(1-VLOOKUP($A92,[1]Hugst!$R$5:$W$9,MATCH(ROUNDUP((K$1)/10,0)*10,[1]Hugst!$R$4:$W$4,0))))</f>
        <v>0</v>
      </c>
      <c r="L92" s="168">
        <f ca="1">IF($C92-L$1&lt;År1,0,K91*(1-VLOOKUP($A92,[1]Hugst!$R$5:$W$9,MATCH(ROUNDUP((L$1)/10,0)*10,[1]Hugst!$R$4:$W$4,0))))</f>
        <v>0</v>
      </c>
      <c r="M92" s="168">
        <f ca="1">IF($C92-M$1&lt;År1,0,L91*(1-VLOOKUP($A92,[1]Hugst!$R$5:$W$9,MATCH(ROUNDUP((M$1)/10,0)*10,[1]Hugst!$R$4:$W$4,0))))</f>
        <v>0</v>
      </c>
      <c r="N92" s="168">
        <f ca="1">IF($C92-N$1&lt;År1,0,M91*(1-VLOOKUP($A92,[1]Hugst!$R$5:$W$9,MATCH(ROUNDUP((N$1)/10,0)*10,[1]Hugst!$R$4:$W$4,0))))</f>
        <v>0</v>
      </c>
      <c r="O92" s="168">
        <f ca="1">IF($C92-O$1&lt;År1,0,N91*(1-VLOOKUP($A92,[1]Hugst!$R$5:$W$9,MATCH(ROUNDUP((O$1)/10,0)*10,[1]Hugst!$R$4:$W$4,0))))</f>
        <v>0</v>
      </c>
      <c r="P92" s="168">
        <f ca="1">IF($C92-P$1&lt;År1,0,O91*(1-VLOOKUP($A92,[1]Hugst!$R$5:$W$9,MATCH(ROUNDUP((P$1)/10,0)*10,[1]Hugst!$R$4:$W$4,0))))</f>
        <v>0</v>
      </c>
      <c r="Q92" s="168">
        <f ca="1">IF($C92-Q$1&lt;År1,0,P91*(1-VLOOKUP($A92,[1]Hugst!$R$5:$W$9,MATCH(ROUNDUP((Q$1)/10,0)*10,[1]Hugst!$R$4:$W$4,0))))</f>
        <v>0</v>
      </c>
      <c r="R92" s="168">
        <f ca="1">IF($C92-R$1&lt;År1,0,Q91*(1-VLOOKUP($A92,[1]Hugst!$R$5:$W$9,MATCH(ROUNDUP((R$1)/10,0)*10,[1]Hugst!$R$4:$W$4,0))))</f>
        <v>0</v>
      </c>
      <c r="S92" s="168">
        <f ca="1">IF($C92-S$1&lt;År1,0,R91*(1-VLOOKUP($A92,[1]Hugst!$R$5:$W$9,MATCH(ROUNDUP((S$1)/10,0)*10,[1]Hugst!$R$4:$W$4,0))))</f>
        <v>0</v>
      </c>
      <c r="T92" s="168">
        <f ca="1">IF($C92-T$1&lt;År1,0,S91*(1-VLOOKUP($A92,[1]Hugst!$R$5:$W$9,MATCH(ROUNDUP((T$1)/10,0)*10,[1]Hugst!$R$4:$W$4,0))))</f>
        <v>0</v>
      </c>
      <c r="U92" s="168">
        <f ca="1">IF($C92-U$1&lt;År1,0,T91*(1-VLOOKUP($A92,[1]Hugst!$R$5:$W$9,MATCH(ROUNDUP((U$1)/10,0)*10,[1]Hugst!$R$4:$W$4,0))))</f>
        <v>0</v>
      </c>
      <c r="V92" s="168">
        <f ca="1">IF($C92-V$1&lt;År1,0,U91*(1-VLOOKUP($A92,[1]Hugst!$R$5:$W$9,MATCH(ROUNDUP((V$1)/10,0)*10,[1]Hugst!$R$4:$W$4,0))))</f>
        <v>0</v>
      </c>
      <c r="W92" s="168">
        <f ca="1">IF($C92-W$1&lt;År1,0,V91*(1-VLOOKUP($A92,[1]Hugst!$R$5:$W$9,MATCH(ROUNDUP((W$1)/10,0)*10,[1]Hugst!$R$4:$W$4,0))))</f>
        <v>0</v>
      </c>
      <c r="X92" s="168">
        <f ca="1">IF($C92-X$1&lt;År1,0,W91*(1-VLOOKUP($A92,[1]Hugst!$R$5:$W$9,MATCH(ROUNDUP((X$1)/10,0)*10,[1]Hugst!$R$4:$W$4,0))))</f>
        <v>0</v>
      </c>
      <c r="Y92" s="168">
        <f ca="1">IF($C92-Y$1&lt;År1,0,X91*(1-VLOOKUP($A92,[1]Hugst!$R$5:$W$9,MATCH(ROUNDUP((Y$1)/10,0)*10,[1]Hugst!$R$4:$W$4,0))))</f>
        <v>0</v>
      </c>
      <c r="Z92" s="168">
        <f ca="1">IF($C92-Z$1&lt;År1,0,Y91*(1-VLOOKUP($A92,[1]Hugst!$R$5:$W$9,MATCH(ROUNDUP((Z$1)/10,0)*10,[1]Hugst!$R$4:$W$4,0))))</f>
        <v>0</v>
      </c>
      <c r="AA92" s="168">
        <f ca="1">IF($C92-AA$1&lt;År1,0,Z91*(1-VLOOKUP($A92,[1]Hugst!$R$5:$W$9,MATCH(ROUNDUP((AA$1)/10,0)*10,[1]Hugst!$R$4:$W$4,0))))</f>
        <v>0</v>
      </c>
      <c r="AB92" s="168">
        <f ca="1">IF($C92-AB$1&lt;År1,0,AA91*(1-VLOOKUP($A92,[1]Hugst!$R$5:$W$9,MATCH(ROUNDUP((AB$1)/10,0)*10,[1]Hugst!$R$4:$W$4,0))))</f>
        <v>0</v>
      </c>
      <c r="AC92" s="168">
        <f ca="1">IF($C92-AC$1&lt;År1,0,AB91*(1-VLOOKUP($A92,[1]Hugst!$R$5:$W$9,MATCH(ROUNDUP((AC$1)/10,0)*10,[1]Hugst!$R$4:$W$4,0))))</f>
        <v>0</v>
      </c>
      <c r="AD92" s="168">
        <f ca="1">IF($C92-AD$1&lt;År1,0,AC91*(1-VLOOKUP($A92,[1]Hugst!$R$5:$W$9,MATCH(ROUNDUP((AD$1)/10,0)*10,[1]Hugst!$R$4:$W$4,0))))</f>
        <v>0</v>
      </c>
      <c r="AE92" s="168">
        <f ca="1">IF($C92-AE$1&lt;År1,0,AD91*(1-VLOOKUP($A92,[1]Hugst!$R$5:$W$9,MATCH(ROUNDUP((AE$1)/10,0)*10,[1]Hugst!$R$4:$W$4,0))))</f>
        <v>0</v>
      </c>
      <c r="AF92" s="168">
        <f ca="1">IF($C92-AF$1&lt;År1,0,AE91*(1-VLOOKUP($A92,[1]Hugst!$R$5:$W$9,MATCH(ROUNDUP((AF$1)/10,0)*10,[1]Hugst!$R$4:$W$4,0))))</f>
        <v>0</v>
      </c>
      <c r="AG92" s="168">
        <f ca="1">IF($C92-AG$1&lt;År1,0,AF91*(1-VLOOKUP($A92,[1]Hugst!$R$5:$W$9,MATCH(ROUNDUP((AG$1)/10,0)*10,[1]Hugst!$R$4:$W$4,0))))</f>
        <v>0</v>
      </c>
      <c r="AH92" s="168">
        <f ca="1">IF($C92-AH$1&lt;År1,0,AG91*(1-VLOOKUP($A92,[1]Hugst!$R$5:$W$9,MATCH(ROUNDUP((AH$1)/10,0)*10,[1]Hugst!$R$4:$W$4,0))))</f>
        <v>0</v>
      </c>
      <c r="AI92" s="168">
        <f>IF($C92-AI$1&lt;År1,0,AH91*(1-VLOOKUP($A92,[1]Hugst!$R$5:$W$9,MATCH(ROUNDUP((AI$1)/10,0)*10,[1]Hugst!$R$4:$W$4,0))))</f>
        <v>0</v>
      </c>
      <c r="AJ92" s="168">
        <f>IF($C92-AJ$1&lt;År1,0,AI91*(1-VLOOKUP($A92,[1]Hugst!$R$5:$W$9,MATCH(ROUNDUP((AJ$1)/10,0)*10,[1]Hugst!$R$4:$W$4,0))))</f>
        <v>0</v>
      </c>
      <c r="AK92" s="168"/>
      <c r="AL92" s="168"/>
      <c r="AM92" s="168"/>
    </row>
    <row r="93" spans="1:39" x14ac:dyDescent="0.25">
      <c r="A93" s="168" t="s">
        <v>177</v>
      </c>
      <c r="B93" s="168" t="s">
        <v>23</v>
      </c>
      <c r="C93" s="168">
        <v>2049</v>
      </c>
      <c r="D93" s="168" cm="1">
        <f t="array" ref="D93">(IF(B93="Vestdanmark",Skovbrug!$C$22-(Skovbrug!$C$22)*(1-Skovbrug!$C$9)^(C93-Skovbrug!$B$12),Skovbrug!$F$22-(Skovbrug!$F$22)*(1-Skovbrug!$C$9)^(C93-Skovbrug!$B$12))*VLOOKUP(A93,Skovbrug!$A$13:$D$17,IF('Skovbrug-alder'!C93&lt;=År2,3,4),FALSE)-IF(C93&gt;2020,SUM(INDEX($C$1:$D$311,MATCH(1,(2020=$C$1:$C$311)*(B93=$B$1:$B$311)*(A93=$A$1:$A$311),0),2):D92),0))</f>
        <v>0</v>
      </c>
      <c r="E93" s="168">
        <f t="shared" ca="1" si="1"/>
        <v>0</v>
      </c>
      <c r="F93" s="168">
        <f ca="1">IF(C93&lt;=År2,IF(B93="Vestdanmark",(Arealanvendelse!$M$27-Arealanvendelse!$J$27),(Arealanvendelse!$M$37-Arealanvendelse!$J$37))/(Arealanvendelse!$M$3-Arealanvendelse!$J$3),IF(B93="Vestdanmark",(Arealanvendelse!$P$27-Arealanvendelse!$M$27),(Arealanvendelse!$P$37-Arealanvendelse!$M$37))/(Arealanvendelse!$P$3-Arealanvendelse!$M$3))*VLOOKUP(A93,Skovbrug!$A$13:$D$17,IF('Skovbrug-alder'!C93&lt;=År2,3,4),FALSE)+D93+E93</f>
        <v>0</v>
      </c>
      <c r="G93" s="168">
        <f ca="1">IF($C93-G$1&lt;År1,0,F92*(1-VLOOKUP($A93,[1]Hugst!$R$5:$W$9,MATCH(ROUNDUP((G$1)/10,0)*10,[1]Hugst!$R$4:$W$4,0))))</f>
        <v>0</v>
      </c>
      <c r="H93" s="168">
        <f ca="1">IF($C93-H$1&lt;År1,0,G92*(1-VLOOKUP($A93,[1]Hugst!$R$5:$W$9,MATCH(ROUNDUP((H$1)/10,0)*10,[1]Hugst!$R$4:$W$4,0))))</f>
        <v>0</v>
      </c>
      <c r="I93" s="168">
        <f ca="1">IF($C93-I$1&lt;År1,0,H92*(1-VLOOKUP($A93,[1]Hugst!$R$5:$W$9,MATCH(ROUNDUP((I$1)/10,0)*10,[1]Hugst!$R$4:$W$4,0))))</f>
        <v>0</v>
      </c>
      <c r="J93" s="168">
        <f ca="1">IF($C93-J$1&lt;År1,0,I92*(1-VLOOKUP($A93,[1]Hugst!$R$5:$W$9,MATCH(ROUNDUP((J$1)/10,0)*10,[1]Hugst!$R$4:$W$4,0))))</f>
        <v>0</v>
      </c>
      <c r="K93" s="168">
        <f ca="1">IF($C93-K$1&lt;År1,0,J92*(1-VLOOKUP($A93,[1]Hugst!$R$5:$W$9,MATCH(ROUNDUP((K$1)/10,0)*10,[1]Hugst!$R$4:$W$4,0))))</f>
        <v>0</v>
      </c>
      <c r="L93" s="168">
        <f ca="1">IF($C93-L$1&lt;År1,0,K92*(1-VLOOKUP($A93,[1]Hugst!$R$5:$W$9,MATCH(ROUNDUP((L$1)/10,0)*10,[1]Hugst!$R$4:$W$4,0))))</f>
        <v>0</v>
      </c>
      <c r="M93" s="168">
        <f ca="1">IF($C93-M$1&lt;År1,0,L92*(1-VLOOKUP($A93,[1]Hugst!$R$5:$W$9,MATCH(ROUNDUP((M$1)/10,0)*10,[1]Hugst!$R$4:$W$4,0))))</f>
        <v>0</v>
      </c>
      <c r="N93" s="168">
        <f ca="1">IF($C93-N$1&lt;År1,0,M92*(1-VLOOKUP($A93,[1]Hugst!$R$5:$W$9,MATCH(ROUNDUP((N$1)/10,0)*10,[1]Hugst!$R$4:$W$4,0))))</f>
        <v>0</v>
      </c>
      <c r="O93" s="168">
        <f ca="1">IF($C93-O$1&lt;År1,0,N92*(1-VLOOKUP($A93,[1]Hugst!$R$5:$W$9,MATCH(ROUNDUP((O$1)/10,0)*10,[1]Hugst!$R$4:$W$4,0))))</f>
        <v>0</v>
      </c>
      <c r="P93" s="168">
        <f ca="1">IF($C93-P$1&lt;År1,0,O92*(1-VLOOKUP($A93,[1]Hugst!$R$5:$W$9,MATCH(ROUNDUP((P$1)/10,0)*10,[1]Hugst!$R$4:$W$4,0))))</f>
        <v>0</v>
      </c>
      <c r="Q93" s="168">
        <f ca="1">IF($C93-Q$1&lt;År1,0,P92*(1-VLOOKUP($A93,[1]Hugst!$R$5:$W$9,MATCH(ROUNDUP((Q$1)/10,0)*10,[1]Hugst!$R$4:$W$4,0))))</f>
        <v>0</v>
      </c>
      <c r="R93" s="168">
        <f ca="1">IF($C93-R$1&lt;År1,0,Q92*(1-VLOOKUP($A93,[1]Hugst!$R$5:$W$9,MATCH(ROUNDUP((R$1)/10,0)*10,[1]Hugst!$R$4:$W$4,0))))</f>
        <v>0</v>
      </c>
      <c r="S93" s="168">
        <f ca="1">IF($C93-S$1&lt;År1,0,R92*(1-VLOOKUP($A93,[1]Hugst!$R$5:$W$9,MATCH(ROUNDUP((S$1)/10,0)*10,[1]Hugst!$R$4:$W$4,0))))</f>
        <v>0</v>
      </c>
      <c r="T93" s="168">
        <f ca="1">IF($C93-T$1&lt;År1,0,S92*(1-VLOOKUP($A93,[1]Hugst!$R$5:$W$9,MATCH(ROUNDUP((T$1)/10,0)*10,[1]Hugst!$R$4:$W$4,0))))</f>
        <v>0</v>
      </c>
      <c r="U93" s="168">
        <f ca="1">IF($C93-U$1&lt;År1,0,T92*(1-VLOOKUP($A93,[1]Hugst!$R$5:$W$9,MATCH(ROUNDUP((U$1)/10,0)*10,[1]Hugst!$R$4:$W$4,0))))</f>
        <v>0</v>
      </c>
      <c r="V93" s="168">
        <f ca="1">IF($C93-V$1&lt;År1,0,U92*(1-VLOOKUP($A93,[1]Hugst!$R$5:$W$9,MATCH(ROUNDUP((V$1)/10,0)*10,[1]Hugst!$R$4:$W$4,0))))</f>
        <v>0</v>
      </c>
      <c r="W93" s="168">
        <f ca="1">IF($C93-W$1&lt;År1,0,V92*(1-VLOOKUP($A93,[1]Hugst!$R$5:$W$9,MATCH(ROUNDUP((W$1)/10,0)*10,[1]Hugst!$R$4:$W$4,0))))</f>
        <v>0</v>
      </c>
      <c r="X93" s="168">
        <f ca="1">IF($C93-X$1&lt;År1,0,W92*(1-VLOOKUP($A93,[1]Hugst!$R$5:$W$9,MATCH(ROUNDUP((X$1)/10,0)*10,[1]Hugst!$R$4:$W$4,0))))</f>
        <v>0</v>
      </c>
      <c r="Y93" s="168">
        <f ca="1">IF($C93-Y$1&lt;År1,0,X92*(1-VLOOKUP($A93,[1]Hugst!$R$5:$W$9,MATCH(ROUNDUP((Y$1)/10,0)*10,[1]Hugst!$R$4:$W$4,0))))</f>
        <v>0</v>
      </c>
      <c r="Z93" s="168">
        <f ca="1">IF($C93-Z$1&lt;År1,0,Y92*(1-VLOOKUP($A93,[1]Hugst!$R$5:$W$9,MATCH(ROUNDUP((Z$1)/10,0)*10,[1]Hugst!$R$4:$W$4,0))))</f>
        <v>0</v>
      </c>
      <c r="AA93" s="168">
        <f ca="1">IF($C93-AA$1&lt;År1,0,Z92*(1-VLOOKUP($A93,[1]Hugst!$R$5:$W$9,MATCH(ROUNDUP((AA$1)/10,0)*10,[1]Hugst!$R$4:$W$4,0))))</f>
        <v>0</v>
      </c>
      <c r="AB93" s="168">
        <f ca="1">IF($C93-AB$1&lt;År1,0,AA92*(1-VLOOKUP($A93,[1]Hugst!$R$5:$W$9,MATCH(ROUNDUP((AB$1)/10,0)*10,[1]Hugst!$R$4:$W$4,0))))</f>
        <v>0</v>
      </c>
      <c r="AC93" s="168">
        <f ca="1">IF($C93-AC$1&lt;År1,0,AB92*(1-VLOOKUP($A93,[1]Hugst!$R$5:$W$9,MATCH(ROUNDUP((AC$1)/10,0)*10,[1]Hugst!$R$4:$W$4,0))))</f>
        <v>0</v>
      </c>
      <c r="AD93" s="168">
        <f ca="1">IF($C93-AD$1&lt;År1,0,AC92*(1-VLOOKUP($A93,[1]Hugst!$R$5:$W$9,MATCH(ROUNDUP((AD$1)/10,0)*10,[1]Hugst!$R$4:$W$4,0))))</f>
        <v>0</v>
      </c>
      <c r="AE93" s="168">
        <f ca="1">IF($C93-AE$1&lt;År1,0,AD92*(1-VLOOKUP($A93,[1]Hugst!$R$5:$W$9,MATCH(ROUNDUP((AE$1)/10,0)*10,[1]Hugst!$R$4:$W$4,0))))</f>
        <v>0</v>
      </c>
      <c r="AF93" s="168">
        <f ca="1">IF($C93-AF$1&lt;År1,0,AE92*(1-VLOOKUP($A93,[1]Hugst!$R$5:$W$9,MATCH(ROUNDUP((AF$1)/10,0)*10,[1]Hugst!$R$4:$W$4,0))))</f>
        <v>0</v>
      </c>
      <c r="AG93" s="168">
        <f ca="1">IF($C93-AG$1&lt;År1,0,AF92*(1-VLOOKUP($A93,[1]Hugst!$R$5:$W$9,MATCH(ROUNDUP((AG$1)/10,0)*10,[1]Hugst!$R$4:$W$4,0))))</f>
        <v>0</v>
      </c>
      <c r="AH93" s="168">
        <f ca="1">IF($C93-AH$1&lt;År1,0,AG92*(1-VLOOKUP($A93,[1]Hugst!$R$5:$W$9,MATCH(ROUNDUP((AH$1)/10,0)*10,[1]Hugst!$R$4:$W$4,0))))</f>
        <v>0</v>
      </c>
      <c r="AI93" s="168">
        <f ca="1">IF($C93-AI$1&lt;År1,0,AH92*(1-VLOOKUP($A93,[1]Hugst!$R$5:$W$9,MATCH(ROUNDUP((AI$1)/10,0)*10,[1]Hugst!$R$4:$W$4,0))))</f>
        <v>0</v>
      </c>
      <c r="AJ93" s="168">
        <f>IF($C93-AJ$1&lt;År1,0,AI92*(1-VLOOKUP($A93,[1]Hugst!$R$5:$W$9,MATCH(ROUNDUP((AJ$1)/10,0)*10,[1]Hugst!$R$4:$W$4,0))))</f>
        <v>0</v>
      </c>
      <c r="AK93" s="168"/>
      <c r="AL93" s="168"/>
      <c r="AM93" s="168"/>
    </row>
    <row r="94" spans="1:39" x14ac:dyDescent="0.25">
      <c r="A94" s="168" t="s">
        <v>177</v>
      </c>
      <c r="B94" s="168" t="s">
        <v>23</v>
      </c>
      <c r="C94" s="168">
        <v>2050</v>
      </c>
      <c r="D94" s="168" cm="1">
        <f t="array" ref="D94">(IF(B94="Vestdanmark",Skovbrug!$C$22-(Skovbrug!$C$22)*(1-Skovbrug!$C$9)^(C94-Skovbrug!$B$12),Skovbrug!$F$22-(Skovbrug!$F$22)*(1-Skovbrug!$C$9)^(C94-Skovbrug!$B$12))*VLOOKUP(A94,Skovbrug!$A$13:$D$17,IF('Skovbrug-alder'!C94&lt;=År2,3,4),FALSE)-IF(C94&gt;2020,SUM(INDEX($C$1:$D$311,MATCH(1,(2020=$C$1:$C$311)*(B94=$B$1:$B$311)*(A94=$A$1:$A$311),0),2):D93),0))</f>
        <v>0</v>
      </c>
      <c r="E94" s="168">
        <f t="shared" ca="1" si="1"/>
        <v>0</v>
      </c>
      <c r="F94" s="168">
        <f ca="1">IF(C94&lt;=År2,IF(B94="Vestdanmark",(Arealanvendelse!$M$27-Arealanvendelse!$J$27),(Arealanvendelse!$M$37-Arealanvendelse!$J$37))/(Arealanvendelse!$M$3-Arealanvendelse!$J$3),IF(B94="Vestdanmark",(Arealanvendelse!$P$27-Arealanvendelse!$M$27),(Arealanvendelse!$P$37-Arealanvendelse!$M$37))/(Arealanvendelse!$P$3-Arealanvendelse!$M$3))*VLOOKUP(A94,Skovbrug!$A$13:$D$17,IF('Skovbrug-alder'!C94&lt;=År2,3,4),FALSE)+D94+E94</f>
        <v>0</v>
      </c>
      <c r="G94" s="168">
        <f ca="1">IF($C94-G$1&lt;År1,0,F93*(1-VLOOKUP($A94,[1]Hugst!$R$5:$W$9,MATCH(ROUNDUP((G$1)/10,0)*10,[1]Hugst!$R$4:$W$4,0))))</f>
        <v>0</v>
      </c>
      <c r="H94" s="168">
        <f ca="1">IF($C94-H$1&lt;År1,0,G93*(1-VLOOKUP($A94,[1]Hugst!$R$5:$W$9,MATCH(ROUNDUP((H$1)/10,0)*10,[1]Hugst!$R$4:$W$4,0))))</f>
        <v>0</v>
      </c>
      <c r="I94" s="168">
        <f ca="1">IF($C94-I$1&lt;År1,0,H93*(1-VLOOKUP($A94,[1]Hugst!$R$5:$W$9,MATCH(ROUNDUP((I$1)/10,0)*10,[1]Hugst!$R$4:$W$4,0))))</f>
        <v>0</v>
      </c>
      <c r="J94" s="168">
        <f ca="1">IF($C94-J$1&lt;År1,0,I93*(1-VLOOKUP($A94,[1]Hugst!$R$5:$W$9,MATCH(ROUNDUP((J$1)/10,0)*10,[1]Hugst!$R$4:$W$4,0))))</f>
        <v>0</v>
      </c>
      <c r="K94" s="168">
        <f ca="1">IF($C94-K$1&lt;År1,0,J93*(1-VLOOKUP($A94,[1]Hugst!$R$5:$W$9,MATCH(ROUNDUP((K$1)/10,0)*10,[1]Hugst!$R$4:$W$4,0))))</f>
        <v>0</v>
      </c>
      <c r="L94" s="168">
        <f ca="1">IF($C94-L$1&lt;År1,0,K93*(1-VLOOKUP($A94,[1]Hugst!$R$5:$W$9,MATCH(ROUNDUP((L$1)/10,0)*10,[1]Hugst!$R$4:$W$4,0))))</f>
        <v>0</v>
      </c>
      <c r="M94" s="168">
        <f ca="1">IF($C94-M$1&lt;År1,0,L93*(1-VLOOKUP($A94,[1]Hugst!$R$5:$W$9,MATCH(ROUNDUP((M$1)/10,0)*10,[1]Hugst!$R$4:$W$4,0))))</f>
        <v>0</v>
      </c>
      <c r="N94" s="168">
        <f ca="1">IF($C94-N$1&lt;År1,0,M93*(1-VLOOKUP($A94,[1]Hugst!$R$5:$W$9,MATCH(ROUNDUP((N$1)/10,0)*10,[1]Hugst!$R$4:$W$4,0))))</f>
        <v>0</v>
      </c>
      <c r="O94" s="168">
        <f ca="1">IF($C94-O$1&lt;År1,0,N93*(1-VLOOKUP($A94,[1]Hugst!$R$5:$W$9,MATCH(ROUNDUP((O$1)/10,0)*10,[1]Hugst!$R$4:$W$4,0))))</f>
        <v>0</v>
      </c>
      <c r="P94" s="168">
        <f ca="1">IF($C94-P$1&lt;År1,0,O93*(1-VLOOKUP($A94,[1]Hugst!$R$5:$W$9,MATCH(ROUNDUP((P$1)/10,0)*10,[1]Hugst!$R$4:$W$4,0))))</f>
        <v>0</v>
      </c>
      <c r="Q94" s="168">
        <f ca="1">IF($C94-Q$1&lt;År1,0,P93*(1-VLOOKUP($A94,[1]Hugst!$R$5:$W$9,MATCH(ROUNDUP((Q$1)/10,0)*10,[1]Hugst!$R$4:$W$4,0))))</f>
        <v>0</v>
      </c>
      <c r="R94" s="168">
        <f ca="1">IF($C94-R$1&lt;År1,0,Q93*(1-VLOOKUP($A94,[1]Hugst!$R$5:$W$9,MATCH(ROUNDUP((R$1)/10,0)*10,[1]Hugst!$R$4:$W$4,0))))</f>
        <v>0</v>
      </c>
      <c r="S94" s="168">
        <f ca="1">IF($C94-S$1&lt;År1,0,R93*(1-VLOOKUP($A94,[1]Hugst!$R$5:$W$9,MATCH(ROUNDUP((S$1)/10,0)*10,[1]Hugst!$R$4:$W$4,0))))</f>
        <v>0</v>
      </c>
      <c r="T94" s="168">
        <f ca="1">IF($C94-T$1&lt;År1,0,S93*(1-VLOOKUP($A94,[1]Hugst!$R$5:$W$9,MATCH(ROUNDUP((T$1)/10,0)*10,[1]Hugst!$R$4:$W$4,0))))</f>
        <v>0</v>
      </c>
      <c r="U94" s="168">
        <f ca="1">IF($C94-U$1&lt;År1,0,T93*(1-VLOOKUP($A94,[1]Hugst!$R$5:$W$9,MATCH(ROUNDUP((U$1)/10,0)*10,[1]Hugst!$R$4:$W$4,0))))</f>
        <v>0</v>
      </c>
      <c r="V94" s="168">
        <f ca="1">IF($C94-V$1&lt;År1,0,U93*(1-VLOOKUP($A94,[1]Hugst!$R$5:$W$9,MATCH(ROUNDUP((V$1)/10,0)*10,[1]Hugst!$R$4:$W$4,0))))</f>
        <v>0</v>
      </c>
      <c r="W94" s="168">
        <f ca="1">IF($C94-W$1&lt;År1,0,V93*(1-VLOOKUP($A94,[1]Hugst!$R$5:$W$9,MATCH(ROUNDUP((W$1)/10,0)*10,[1]Hugst!$R$4:$W$4,0))))</f>
        <v>0</v>
      </c>
      <c r="X94" s="168">
        <f ca="1">IF($C94-X$1&lt;År1,0,W93*(1-VLOOKUP($A94,[1]Hugst!$R$5:$W$9,MATCH(ROUNDUP((X$1)/10,0)*10,[1]Hugst!$R$4:$W$4,0))))</f>
        <v>0</v>
      </c>
      <c r="Y94" s="168">
        <f ca="1">IF($C94-Y$1&lt;År1,0,X93*(1-VLOOKUP($A94,[1]Hugst!$R$5:$W$9,MATCH(ROUNDUP((Y$1)/10,0)*10,[1]Hugst!$R$4:$W$4,0))))</f>
        <v>0</v>
      </c>
      <c r="Z94" s="168">
        <f ca="1">IF($C94-Z$1&lt;År1,0,Y93*(1-VLOOKUP($A94,[1]Hugst!$R$5:$W$9,MATCH(ROUNDUP((Z$1)/10,0)*10,[1]Hugst!$R$4:$W$4,0))))</f>
        <v>0</v>
      </c>
      <c r="AA94" s="168">
        <f ca="1">IF($C94-AA$1&lt;År1,0,Z93*(1-VLOOKUP($A94,[1]Hugst!$R$5:$W$9,MATCH(ROUNDUP((AA$1)/10,0)*10,[1]Hugst!$R$4:$W$4,0))))</f>
        <v>0</v>
      </c>
      <c r="AB94" s="168">
        <f ca="1">IF($C94-AB$1&lt;År1,0,AA93*(1-VLOOKUP($A94,[1]Hugst!$R$5:$W$9,MATCH(ROUNDUP((AB$1)/10,0)*10,[1]Hugst!$R$4:$W$4,0))))</f>
        <v>0</v>
      </c>
      <c r="AC94" s="168">
        <f ca="1">IF($C94-AC$1&lt;År1,0,AB93*(1-VLOOKUP($A94,[1]Hugst!$R$5:$W$9,MATCH(ROUNDUP((AC$1)/10,0)*10,[1]Hugst!$R$4:$W$4,0))))</f>
        <v>0</v>
      </c>
      <c r="AD94" s="168">
        <f ca="1">IF($C94-AD$1&lt;År1,0,AC93*(1-VLOOKUP($A94,[1]Hugst!$R$5:$W$9,MATCH(ROUNDUP((AD$1)/10,0)*10,[1]Hugst!$R$4:$W$4,0))))</f>
        <v>0</v>
      </c>
      <c r="AE94" s="168">
        <f ca="1">IF($C94-AE$1&lt;År1,0,AD93*(1-VLOOKUP($A94,[1]Hugst!$R$5:$W$9,MATCH(ROUNDUP((AE$1)/10,0)*10,[1]Hugst!$R$4:$W$4,0))))</f>
        <v>0</v>
      </c>
      <c r="AF94" s="168">
        <f ca="1">IF($C94-AF$1&lt;År1,0,AE93*(1-VLOOKUP($A94,[1]Hugst!$R$5:$W$9,MATCH(ROUNDUP((AF$1)/10,0)*10,[1]Hugst!$R$4:$W$4,0))))</f>
        <v>0</v>
      </c>
      <c r="AG94" s="168">
        <f ca="1">IF($C94-AG$1&lt;År1,0,AF93*(1-VLOOKUP($A94,[1]Hugst!$R$5:$W$9,MATCH(ROUNDUP((AG$1)/10,0)*10,[1]Hugst!$R$4:$W$4,0))))</f>
        <v>0</v>
      </c>
      <c r="AH94" s="168">
        <f ca="1">IF($C94-AH$1&lt;År1,0,AG93*(1-VLOOKUP($A94,[1]Hugst!$R$5:$W$9,MATCH(ROUNDUP((AH$1)/10,0)*10,[1]Hugst!$R$4:$W$4,0))))</f>
        <v>0</v>
      </c>
      <c r="AI94" s="168">
        <f ca="1">IF($C94-AI$1&lt;År1,0,AH93*(1-VLOOKUP($A94,[1]Hugst!$R$5:$W$9,MATCH(ROUNDUP((AI$1)/10,0)*10,[1]Hugst!$R$4:$W$4,0))))</f>
        <v>0</v>
      </c>
      <c r="AJ94" s="168">
        <f ca="1">IF($C94-AJ$1&lt;År1,0,AI93*(1-VLOOKUP($A94,[1]Hugst!$R$5:$W$9,MATCH(ROUNDUP((AJ$1)/10,0)*10,[1]Hugst!$R$4:$W$4,0))))</f>
        <v>0</v>
      </c>
      <c r="AK94" s="168"/>
      <c r="AL94" s="168">
        <f ca="1">SUM(F94:AJ94)</f>
        <v>0</v>
      </c>
      <c r="AM94" s="168"/>
    </row>
    <row r="95" spans="1:39" s="168" customFormat="1" x14ac:dyDescent="0.25">
      <c r="A95" s="168" t="s">
        <v>177</v>
      </c>
      <c r="B95" s="168" t="s">
        <v>24</v>
      </c>
      <c r="C95" s="168">
        <v>2020</v>
      </c>
      <c r="D95" s="168" cm="1">
        <f t="array" ref="D95">(IF(B95="Vestdanmark",Skovbrug!$C$22-(Skovbrug!$C$22)*(1-Skovbrug!$C$9)^(C95-Skovbrug!$B$12),Skovbrug!$F$22-(Skovbrug!$F$22)*(1-Skovbrug!$C$9)^(C95-Skovbrug!$B$12))*VLOOKUP(A95,Skovbrug!$A$13:$D$17,IF('Skovbrug-alder'!C95&lt;=År2,3,4),FALSE)-IF(C95&gt;2020,SUM(INDEX($C$1:$D$311,MATCH(1,(2020=$C$1:$C$311)*(B95=$B$1:$B$311)*(A95=$A$1:$A$311),0),2):D94),0))</f>
        <v>0</v>
      </c>
      <c r="E95" s="168">
        <f>IF(C95=2020,SUM(G95:AJ95),SUM(F94:AJ94)-SUM(G95:AJ95))</f>
        <v>0</v>
      </c>
      <c r="F95" s="168">
        <f>IF(C95&lt;=År2,IF(B95="Vestdanmark",(Arealanvendelse!$M$27-Arealanvendelse!$J$27),(Arealanvendelse!$M$37-Arealanvendelse!$J$37))/(Arealanvendelse!$M$3-Arealanvendelse!$J$3),IF(B95="Vestdanmark",(Arealanvendelse!$P$27-Arealanvendelse!$M$27),(Arealanvendelse!$P$37-Arealanvendelse!$M$37))/(Arealanvendelse!$P$3-Arealanvendelse!$M$3))*VLOOKUP(A95,Skovbrug!$A$13:$D$17,IF('Skovbrug-alder'!C95&lt;=År2,3,4),FALSE)+D95+E95</f>
        <v>0</v>
      </c>
      <c r="G95" s="168">
        <f>IF($C95-G$1&lt;År1,0,F94*(1-VLOOKUP($A95,[1]Hugst!$R$5:$W$9,MATCH(ROUNDUP((G$1)/10,0)*10,[1]Hugst!$R$4:$W$4,0))))</f>
        <v>0</v>
      </c>
      <c r="H95" s="168">
        <f>IF($C95-H$1&lt;År1,0,G94*(1-VLOOKUP($A95,[1]Hugst!$R$5:$W$9,MATCH(ROUNDUP((H$1)/10,0)*10,[1]Hugst!$R$4:$W$4,0))))</f>
        <v>0</v>
      </c>
      <c r="I95" s="168">
        <f>IF($C95-I$1&lt;År1,0,H94*(1-VLOOKUP($A95,[1]Hugst!$R$5:$W$9,MATCH(ROUNDUP((I$1)/10,0)*10,[1]Hugst!$R$4:$W$4,0))))</f>
        <v>0</v>
      </c>
      <c r="J95" s="168">
        <f>IF($C95-J$1&lt;År1,0,I94*(1-VLOOKUP($A95,[1]Hugst!$R$5:$W$9,MATCH(ROUNDUP((J$1)/10,0)*10,[1]Hugst!$R$4:$W$4,0))))</f>
        <v>0</v>
      </c>
      <c r="K95" s="168">
        <f>IF($C95-K$1&lt;År1,0,J94*(1-VLOOKUP($A95,[1]Hugst!$R$5:$W$9,MATCH(ROUNDUP((K$1)/10,0)*10,[1]Hugst!$R$4:$W$4,0))))</f>
        <v>0</v>
      </c>
      <c r="L95" s="168">
        <f>IF($C95-L$1&lt;År1,0,K94*(1-VLOOKUP($A95,[1]Hugst!$R$5:$W$9,MATCH(ROUNDUP((L$1)/10,0)*10,[1]Hugst!$R$4:$W$4,0))))</f>
        <v>0</v>
      </c>
      <c r="M95" s="168">
        <f>IF($C95-M$1&lt;År1,0,L94*(1-VLOOKUP($A95,[1]Hugst!$R$5:$W$9,MATCH(ROUNDUP((M$1)/10,0)*10,[1]Hugst!$R$4:$W$4,0))))</f>
        <v>0</v>
      </c>
      <c r="N95" s="168">
        <f>IF($C95-N$1&lt;År1,0,M94*(1-VLOOKUP($A95,[1]Hugst!$R$5:$W$9,MATCH(ROUNDUP((N$1)/10,0)*10,[1]Hugst!$R$4:$W$4,0))))</f>
        <v>0</v>
      </c>
      <c r="O95" s="168">
        <f>IF($C95-O$1&lt;År1,0,N94*(1-VLOOKUP($A95,[1]Hugst!$R$5:$W$9,MATCH(ROUNDUP((O$1)/10,0)*10,[1]Hugst!$R$4:$W$4,0))))</f>
        <v>0</v>
      </c>
      <c r="P95" s="168">
        <f>IF($C95-P$1&lt;År1,0,O94*(1-VLOOKUP($A95,[1]Hugst!$R$5:$W$9,MATCH(ROUNDUP((P$1)/10,0)*10,[1]Hugst!$R$4:$W$4,0))))</f>
        <v>0</v>
      </c>
      <c r="Q95" s="168">
        <f>IF($C95-Q$1&lt;År1,0,P94*(1-VLOOKUP($A95,[1]Hugst!$R$5:$W$9,MATCH(ROUNDUP((Q$1)/10,0)*10,[1]Hugst!$R$4:$W$4,0))))</f>
        <v>0</v>
      </c>
      <c r="R95" s="168">
        <f>IF($C95-R$1&lt;År1,0,Q94*(1-VLOOKUP($A95,[1]Hugst!$R$5:$W$9,MATCH(ROUNDUP((R$1)/10,0)*10,[1]Hugst!$R$4:$W$4,0))))</f>
        <v>0</v>
      </c>
      <c r="S95" s="168">
        <f>IF($C95-S$1&lt;År1,0,R94*(1-VLOOKUP($A95,[1]Hugst!$R$5:$W$9,MATCH(ROUNDUP((S$1)/10,0)*10,[1]Hugst!$R$4:$W$4,0))))</f>
        <v>0</v>
      </c>
      <c r="T95" s="168">
        <f>IF($C95-T$1&lt;År1,0,S94*(1-VLOOKUP($A95,[1]Hugst!$R$5:$W$9,MATCH(ROUNDUP((T$1)/10,0)*10,[1]Hugst!$R$4:$W$4,0))))</f>
        <v>0</v>
      </c>
      <c r="U95" s="168">
        <f>IF($C95-U$1&lt;År1,0,T94*(1-VLOOKUP($A95,[1]Hugst!$R$5:$W$9,MATCH(ROUNDUP((U$1)/10,0)*10,[1]Hugst!$R$4:$W$4,0))))</f>
        <v>0</v>
      </c>
      <c r="V95" s="168">
        <f>IF($C95-V$1&lt;År1,0,U94*(1-VLOOKUP($A95,[1]Hugst!$R$5:$W$9,MATCH(ROUNDUP((V$1)/10,0)*10,[1]Hugst!$R$4:$W$4,0))))</f>
        <v>0</v>
      </c>
      <c r="W95" s="168">
        <f>IF($C95-W$1&lt;År1,0,V94*(1-VLOOKUP($A95,[1]Hugst!$R$5:$W$9,MATCH(ROUNDUP((W$1)/10,0)*10,[1]Hugst!$R$4:$W$4,0))))</f>
        <v>0</v>
      </c>
      <c r="X95" s="168">
        <f>IF($C95-X$1&lt;År1,0,W94*(1-VLOOKUP($A95,[1]Hugst!$R$5:$W$9,MATCH(ROUNDUP((X$1)/10,0)*10,[1]Hugst!$R$4:$W$4,0))))</f>
        <v>0</v>
      </c>
      <c r="Y95" s="168">
        <f>IF($C95-Y$1&lt;År1,0,X94*(1-VLOOKUP($A95,[1]Hugst!$R$5:$W$9,MATCH(ROUNDUP((Y$1)/10,0)*10,[1]Hugst!$R$4:$W$4,0))))</f>
        <v>0</v>
      </c>
      <c r="Z95" s="168">
        <f>IF($C95-Z$1&lt;År1,0,Y94*(1-VLOOKUP($A95,[1]Hugst!$R$5:$W$9,MATCH(ROUNDUP((Z$1)/10,0)*10,[1]Hugst!$R$4:$W$4,0))))</f>
        <v>0</v>
      </c>
      <c r="AA95" s="168">
        <f>IF($C95-AA$1&lt;År1,0,Z94*(1-VLOOKUP($A95,[1]Hugst!$R$5:$W$9,MATCH(ROUNDUP((AA$1)/10,0)*10,[1]Hugst!$R$4:$W$4,0))))</f>
        <v>0</v>
      </c>
      <c r="AB95" s="168">
        <f>IF($C95-AB$1&lt;År1,0,AA94*(1-VLOOKUP($A95,[1]Hugst!$R$5:$W$9,MATCH(ROUNDUP((AB$1)/10,0)*10,[1]Hugst!$R$4:$W$4,0))))</f>
        <v>0</v>
      </c>
      <c r="AC95" s="168">
        <f>IF($C95-AC$1&lt;År1,0,AB94*(1-VLOOKUP($A95,[1]Hugst!$R$5:$W$9,MATCH(ROUNDUP((AC$1)/10,0)*10,[1]Hugst!$R$4:$W$4,0))))</f>
        <v>0</v>
      </c>
      <c r="AD95" s="168">
        <f>IF($C95-AD$1&lt;År1,0,AC94*(1-VLOOKUP($A95,[1]Hugst!$R$5:$W$9,MATCH(ROUNDUP((AD$1)/10,0)*10,[1]Hugst!$R$4:$W$4,0))))</f>
        <v>0</v>
      </c>
      <c r="AE95" s="168">
        <f>IF($C95-AE$1&lt;År1,0,AD94*(1-VLOOKUP($A95,[1]Hugst!$R$5:$W$9,MATCH(ROUNDUP((AE$1)/10,0)*10,[1]Hugst!$R$4:$W$4,0))))</f>
        <v>0</v>
      </c>
      <c r="AF95" s="168">
        <f>IF($C95-AF$1&lt;År1,0,AE94*(1-VLOOKUP($A95,[1]Hugst!$R$5:$W$9,MATCH(ROUNDUP((AF$1)/10,0)*10,[1]Hugst!$R$4:$W$4,0))))</f>
        <v>0</v>
      </c>
      <c r="AG95" s="168">
        <f>IF($C95-AG$1&lt;År1,0,AF94*(1-VLOOKUP($A95,[1]Hugst!$R$5:$W$9,MATCH(ROUNDUP((AG$1)/10,0)*10,[1]Hugst!$R$4:$W$4,0))))</f>
        <v>0</v>
      </c>
      <c r="AH95" s="168">
        <f>IF($C95-AH$1&lt;År1,0,AG94*(1-VLOOKUP($A95,[1]Hugst!$R$5:$W$9,MATCH(ROUNDUP((AH$1)/10,0)*10,[1]Hugst!$R$4:$W$4,0))))</f>
        <v>0</v>
      </c>
      <c r="AI95" s="168">
        <f>IF($C95-AI$1&lt;År1,0,AH94*(1-VLOOKUP($A95,[1]Hugst!$R$5:$W$9,MATCH(ROUNDUP((AI$1)/10,0)*10,[1]Hugst!$R$4:$W$4,0))))</f>
        <v>0</v>
      </c>
      <c r="AJ95" s="168">
        <f>IF($C95-AJ$1&lt;År1,0,AI94*(1-VLOOKUP($A95,[1]Hugst!$R$5:$W$9,MATCH(ROUNDUP((AJ$1)/10,0)*10,[1]Hugst!$R$4:$W$4,0))))</f>
        <v>0</v>
      </c>
    </row>
    <row r="96" spans="1:39" s="168" customFormat="1" x14ac:dyDescent="0.25">
      <c r="A96" s="168" t="s">
        <v>177</v>
      </c>
      <c r="B96" s="168" t="s">
        <v>24</v>
      </c>
      <c r="C96" s="168">
        <v>2021</v>
      </c>
      <c r="D96" s="168" cm="1">
        <f t="array" ref="D96">(IF(B96="Vestdanmark",Skovbrug!$C$22-(Skovbrug!$C$22)*(1-Skovbrug!$C$9)^(C96-Skovbrug!$B$12),Skovbrug!$F$22-(Skovbrug!$F$22)*(1-Skovbrug!$C$9)^(C96-Skovbrug!$B$12))*VLOOKUP(A96,Skovbrug!$A$13:$D$17,IF('Skovbrug-alder'!C96&lt;=År2,3,4),FALSE)-IF(C96&gt;2020,SUM(INDEX($C$1:$D$311,MATCH(1,(2020=$C$1:$C$311)*(B96=$B$1:$B$311)*(A96=$A$1:$A$311),0),2):D95),0))</f>
        <v>0</v>
      </c>
      <c r="E96" s="168">
        <f t="shared" ref="E96:E124" ca="1" si="2">IF(C96=2020,SUM(G96:AJ96),SUM(F95:AJ95)-SUM(G96:AJ96))</f>
        <v>0</v>
      </c>
      <c r="F96" s="168">
        <f ca="1">IF(C96&lt;=År2,IF(B96="Vestdanmark",(Arealanvendelse!$M$27-Arealanvendelse!$J$27),(Arealanvendelse!$M$37-Arealanvendelse!$J$37))/(Arealanvendelse!$M$3-Arealanvendelse!$J$3),IF(B96="Vestdanmark",(Arealanvendelse!$P$27-Arealanvendelse!$M$27),(Arealanvendelse!$P$37-Arealanvendelse!$M$37))/(Arealanvendelse!$P$3-Arealanvendelse!$M$3))*VLOOKUP(A96,Skovbrug!$A$13:$D$17,IF('Skovbrug-alder'!C96&lt;=År2,3,4),FALSE)+D96+E96</f>
        <v>0</v>
      </c>
      <c r="G96" s="168">
        <f ca="1">IF($C96-G$1&lt;År1,0,F95*(1-VLOOKUP($A96,[1]Hugst!$R$5:$W$9,MATCH(ROUNDUP((G$1)/10,0)*10,[1]Hugst!$R$4:$W$4,0))))</f>
        <v>0</v>
      </c>
      <c r="H96" s="168">
        <f>IF($C96-H$1&lt;År1,0,G95*(1-VLOOKUP($A96,[1]Hugst!$R$5:$W$9,MATCH(ROUNDUP((H$1)/10,0)*10,[1]Hugst!$R$4:$W$4,0))))</f>
        <v>0</v>
      </c>
      <c r="I96" s="168">
        <f>IF($C96-I$1&lt;År1,0,H95*(1-VLOOKUP($A96,[1]Hugst!$R$5:$W$9,MATCH(ROUNDUP((I$1)/10,0)*10,[1]Hugst!$R$4:$W$4,0))))</f>
        <v>0</v>
      </c>
      <c r="J96" s="168">
        <f>IF($C96-J$1&lt;År1,0,I95*(1-VLOOKUP($A96,[1]Hugst!$R$5:$W$9,MATCH(ROUNDUP((J$1)/10,0)*10,[1]Hugst!$R$4:$W$4,0))))</f>
        <v>0</v>
      </c>
      <c r="K96" s="168">
        <f>IF($C96-K$1&lt;År1,0,J95*(1-VLOOKUP($A96,[1]Hugst!$R$5:$W$9,MATCH(ROUNDUP((K$1)/10,0)*10,[1]Hugst!$R$4:$W$4,0))))</f>
        <v>0</v>
      </c>
      <c r="L96" s="168">
        <f>IF($C96-L$1&lt;År1,0,K95*(1-VLOOKUP($A96,[1]Hugst!$R$5:$W$9,MATCH(ROUNDUP((L$1)/10,0)*10,[1]Hugst!$R$4:$W$4,0))))</f>
        <v>0</v>
      </c>
      <c r="M96" s="168">
        <f>IF($C96-M$1&lt;År1,0,L95*(1-VLOOKUP($A96,[1]Hugst!$R$5:$W$9,MATCH(ROUNDUP((M$1)/10,0)*10,[1]Hugst!$R$4:$W$4,0))))</f>
        <v>0</v>
      </c>
      <c r="N96" s="168">
        <f>IF($C96-N$1&lt;År1,0,M95*(1-VLOOKUP($A96,[1]Hugst!$R$5:$W$9,MATCH(ROUNDUP((N$1)/10,0)*10,[1]Hugst!$R$4:$W$4,0))))</f>
        <v>0</v>
      </c>
      <c r="O96" s="168">
        <f>IF($C96-O$1&lt;År1,0,N95*(1-VLOOKUP($A96,[1]Hugst!$R$5:$W$9,MATCH(ROUNDUP((O$1)/10,0)*10,[1]Hugst!$R$4:$W$4,0))))</f>
        <v>0</v>
      </c>
      <c r="P96" s="168">
        <f>IF($C96-P$1&lt;År1,0,O95*(1-VLOOKUP($A96,[1]Hugst!$R$5:$W$9,MATCH(ROUNDUP((P$1)/10,0)*10,[1]Hugst!$R$4:$W$4,0))))</f>
        <v>0</v>
      </c>
      <c r="Q96" s="168">
        <f>IF($C96-Q$1&lt;År1,0,P95*(1-VLOOKUP($A96,[1]Hugst!$R$5:$W$9,MATCH(ROUNDUP((Q$1)/10,0)*10,[1]Hugst!$R$4:$W$4,0))))</f>
        <v>0</v>
      </c>
      <c r="R96" s="168">
        <f>IF($C96-R$1&lt;År1,0,Q95*(1-VLOOKUP($A96,[1]Hugst!$R$5:$W$9,MATCH(ROUNDUP((R$1)/10,0)*10,[1]Hugst!$R$4:$W$4,0))))</f>
        <v>0</v>
      </c>
      <c r="S96" s="168">
        <f>IF($C96-S$1&lt;År1,0,R95*(1-VLOOKUP($A96,[1]Hugst!$R$5:$W$9,MATCH(ROUNDUP((S$1)/10,0)*10,[1]Hugst!$R$4:$W$4,0))))</f>
        <v>0</v>
      </c>
      <c r="T96" s="168">
        <f>IF($C96-T$1&lt;År1,0,S95*(1-VLOOKUP($A96,[1]Hugst!$R$5:$W$9,MATCH(ROUNDUP((T$1)/10,0)*10,[1]Hugst!$R$4:$W$4,0))))</f>
        <v>0</v>
      </c>
      <c r="U96" s="168">
        <f>IF($C96-U$1&lt;År1,0,T95*(1-VLOOKUP($A96,[1]Hugst!$R$5:$W$9,MATCH(ROUNDUP((U$1)/10,0)*10,[1]Hugst!$R$4:$W$4,0))))</f>
        <v>0</v>
      </c>
      <c r="V96" s="168">
        <f>IF($C96-V$1&lt;År1,0,U95*(1-VLOOKUP($A96,[1]Hugst!$R$5:$W$9,MATCH(ROUNDUP((V$1)/10,0)*10,[1]Hugst!$R$4:$W$4,0))))</f>
        <v>0</v>
      </c>
      <c r="W96" s="168">
        <f>IF($C96-W$1&lt;År1,0,V95*(1-VLOOKUP($A96,[1]Hugst!$R$5:$W$9,MATCH(ROUNDUP((W$1)/10,0)*10,[1]Hugst!$R$4:$W$4,0))))</f>
        <v>0</v>
      </c>
      <c r="X96" s="168">
        <f>IF($C96-X$1&lt;År1,0,W95*(1-VLOOKUP($A96,[1]Hugst!$R$5:$W$9,MATCH(ROUNDUP((X$1)/10,0)*10,[1]Hugst!$R$4:$W$4,0))))</f>
        <v>0</v>
      </c>
      <c r="Y96" s="168">
        <f>IF($C96-Y$1&lt;År1,0,X95*(1-VLOOKUP($A96,[1]Hugst!$R$5:$W$9,MATCH(ROUNDUP((Y$1)/10,0)*10,[1]Hugst!$R$4:$W$4,0))))</f>
        <v>0</v>
      </c>
      <c r="Z96" s="168">
        <f>IF($C96-Z$1&lt;År1,0,Y95*(1-VLOOKUP($A96,[1]Hugst!$R$5:$W$9,MATCH(ROUNDUP((Z$1)/10,0)*10,[1]Hugst!$R$4:$W$4,0))))</f>
        <v>0</v>
      </c>
      <c r="AA96" s="168">
        <f>IF($C96-AA$1&lt;År1,0,Z95*(1-VLOOKUP($A96,[1]Hugst!$R$5:$W$9,MATCH(ROUNDUP((AA$1)/10,0)*10,[1]Hugst!$R$4:$W$4,0))))</f>
        <v>0</v>
      </c>
      <c r="AB96" s="168">
        <f>IF($C96-AB$1&lt;År1,0,AA95*(1-VLOOKUP($A96,[1]Hugst!$R$5:$W$9,MATCH(ROUNDUP((AB$1)/10,0)*10,[1]Hugst!$R$4:$W$4,0))))</f>
        <v>0</v>
      </c>
      <c r="AC96" s="168">
        <f>IF($C96-AC$1&lt;År1,0,AB95*(1-VLOOKUP($A96,[1]Hugst!$R$5:$W$9,MATCH(ROUNDUP((AC$1)/10,0)*10,[1]Hugst!$R$4:$W$4,0))))</f>
        <v>0</v>
      </c>
      <c r="AD96" s="168">
        <f>IF($C96-AD$1&lt;År1,0,AC95*(1-VLOOKUP($A96,[1]Hugst!$R$5:$W$9,MATCH(ROUNDUP((AD$1)/10,0)*10,[1]Hugst!$R$4:$W$4,0))))</f>
        <v>0</v>
      </c>
      <c r="AE96" s="168">
        <f>IF($C96-AE$1&lt;År1,0,AD95*(1-VLOOKUP($A96,[1]Hugst!$R$5:$W$9,MATCH(ROUNDUP((AE$1)/10,0)*10,[1]Hugst!$R$4:$W$4,0))))</f>
        <v>0</v>
      </c>
      <c r="AF96" s="168">
        <f>IF($C96-AF$1&lt;År1,0,AE95*(1-VLOOKUP($A96,[1]Hugst!$R$5:$W$9,MATCH(ROUNDUP((AF$1)/10,0)*10,[1]Hugst!$R$4:$W$4,0))))</f>
        <v>0</v>
      </c>
      <c r="AG96" s="168">
        <f>IF($C96-AG$1&lt;År1,0,AF95*(1-VLOOKUP($A96,[1]Hugst!$R$5:$W$9,MATCH(ROUNDUP((AG$1)/10,0)*10,[1]Hugst!$R$4:$W$4,0))))</f>
        <v>0</v>
      </c>
      <c r="AH96" s="168">
        <f>IF($C96-AH$1&lt;År1,0,AG95*(1-VLOOKUP($A96,[1]Hugst!$R$5:$W$9,MATCH(ROUNDUP((AH$1)/10,0)*10,[1]Hugst!$R$4:$W$4,0))))</f>
        <v>0</v>
      </c>
      <c r="AI96" s="168">
        <f>IF($C96-AI$1&lt;År1,0,AH95*(1-VLOOKUP($A96,[1]Hugst!$R$5:$W$9,MATCH(ROUNDUP((AI$1)/10,0)*10,[1]Hugst!$R$4:$W$4,0))))</f>
        <v>0</v>
      </c>
      <c r="AJ96" s="168">
        <f>IF($C96-AJ$1&lt;År1,0,AI95*(1-VLOOKUP($A96,[1]Hugst!$R$5:$W$9,MATCH(ROUNDUP((AJ$1)/10,0)*10,[1]Hugst!$R$4:$W$4,0))))</f>
        <v>0</v>
      </c>
    </row>
    <row r="97" spans="1:36" s="168" customFormat="1" x14ac:dyDescent="0.25">
      <c r="A97" s="168" t="s">
        <v>177</v>
      </c>
      <c r="B97" s="168" t="s">
        <v>24</v>
      </c>
      <c r="C97" s="168">
        <v>2022</v>
      </c>
      <c r="D97" s="168" cm="1">
        <f t="array" ref="D97">(IF(B97="Vestdanmark",Skovbrug!$C$22-(Skovbrug!$C$22)*(1-Skovbrug!$C$9)^(C97-Skovbrug!$B$12),Skovbrug!$F$22-(Skovbrug!$F$22)*(1-Skovbrug!$C$9)^(C97-Skovbrug!$B$12))*VLOOKUP(A97,Skovbrug!$A$13:$D$17,IF('Skovbrug-alder'!C97&lt;=År2,3,4),FALSE)-IF(C97&gt;2020,SUM(INDEX($C$1:$D$311,MATCH(1,(2020=$C$1:$C$311)*(B97=$B$1:$B$311)*(A97=$A$1:$A$311),0),2):D96),0))</f>
        <v>0</v>
      </c>
      <c r="E97" s="168">
        <f t="shared" ca="1" si="2"/>
        <v>0</v>
      </c>
      <c r="F97" s="168">
        <f ca="1">IF(C97&lt;=År2,IF(B97="Vestdanmark",(Arealanvendelse!$M$27-Arealanvendelse!$J$27),(Arealanvendelse!$M$37-Arealanvendelse!$J$37))/(Arealanvendelse!$M$3-Arealanvendelse!$J$3),IF(B97="Vestdanmark",(Arealanvendelse!$P$27-Arealanvendelse!$M$27),(Arealanvendelse!$P$37-Arealanvendelse!$M$37))/(Arealanvendelse!$P$3-Arealanvendelse!$M$3))*VLOOKUP(A97,Skovbrug!$A$13:$D$17,IF('Skovbrug-alder'!C97&lt;=År2,3,4),FALSE)+D97+E97</f>
        <v>0</v>
      </c>
      <c r="G97" s="168">
        <f ca="1">IF($C97-G$1&lt;År1,0,F96*(1-VLOOKUP($A97,[1]Hugst!$R$5:$W$9,MATCH(ROUNDUP((G$1)/10,0)*10,[1]Hugst!$R$4:$W$4,0))))</f>
        <v>0</v>
      </c>
      <c r="H97" s="168">
        <f ca="1">IF($C97-H$1&lt;År1,0,G96*(1-VLOOKUP($A97,[1]Hugst!$R$5:$W$9,MATCH(ROUNDUP((H$1)/10,0)*10,[1]Hugst!$R$4:$W$4,0))))</f>
        <v>0</v>
      </c>
      <c r="I97" s="168">
        <f>IF($C97-I$1&lt;År1,0,H96*(1-VLOOKUP($A97,[1]Hugst!$R$5:$W$9,MATCH(ROUNDUP((I$1)/10,0)*10,[1]Hugst!$R$4:$W$4,0))))</f>
        <v>0</v>
      </c>
      <c r="J97" s="168">
        <f>IF($C97-J$1&lt;År1,0,I96*(1-VLOOKUP($A97,[1]Hugst!$R$5:$W$9,MATCH(ROUNDUP((J$1)/10,0)*10,[1]Hugst!$R$4:$W$4,0))))</f>
        <v>0</v>
      </c>
      <c r="K97" s="168">
        <f>IF($C97-K$1&lt;År1,0,J96*(1-VLOOKUP($A97,[1]Hugst!$R$5:$W$9,MATCH(ROUNDUP((K$1)/10,0)*10,[1]Hugst!$R$4:$W$4,0))))</f>
        <v>0</v>
      </c>
      <c r="L97" s="168">
        <f>IF($C97-L$1&lt;År1,0,K96*(1-VLOOKUP($A97,[1]Hugst!$R$5:$W$9,MATCH(ROUNDUP((L$1)/10,0)*10,[1]Hugst!$R$4:$W$4,0))))</f>
        <v>0</v>
      </c>
      <c r="M97" s="168">
        <f>IF($C97-M$1&lt;År1,0,L96*(1-VLOOKUP($A97,[1]Hugst!$R$5:$W$9,MATCH(ROUNDUP((M$1)/10,0)*10,[1]Hugst!$R$4:$W$4,0))))</f>
        <v>0</v>
      </c>
      <c r="N97" s="168">
        <f>IF($C97-N$1&lt;År1,0,M96*(1-VLOOKUP($A97,[1]Hugst!$R$5:$W$9,MATCH(ROUNDUP((N$1)/10,0)*10,[1]Hugst!$R$4:$W$4,0))))</f>
        <v>0</v>
      </c>
      <c r="O97" s="168">
        <f>IF($C97-O$1&lt;År1,0,N96*(1-VLOOKUP($A97,[1]Hugst!$R$5:$W$9,MATCH(ROUNDUP((O$1)/10,0)*10,[1]Hugst!$R$4:$W$4,0))))</f>
        <v>0</v>
      </c>
      <c r="P97" s="168">
        <f>IF($C97-P$1&lt;År1,0,O96*(1-VLOOKUP($A97,[1]Hugst!$R$5:$W$9,MATCH(ROUNDUP((P$1)/10,0)*10,[1]Hugst!$R$4:$W$4,0))))</f>
        <v>0</v>
      </c>
      <c r="Q97" s="168">
        <f>IF($C97-Q$1&lt;År1,0,P96*(1-VLOOKUP($A97,[1]Hugst!$R$5:$W$9,MATCH(ROUNDUP((Q$1)/10,0)*10,[1]Hugst!$R$4:$W$4,0))))</f>
        <v>0</v>
      </c>
      <c r="R97" s="168">
        <f>IF($C97-R$1&lt;År1,0,Q96*(1-VLOOKUP($A97,[1]Hugst!$R$5:$W$9,MATCH(ROUNDUP((R$1)/10,0)*10,[1]Hugst!$R$4:$W$4,0))))</f>
        <v>0</v>
      </c>
      <c r="S97" s="168">
        <f>IF($C97-S$1&lt;År1,0,R96*(1-VLOOKUP($A97,[1]Hugst!$R$5:$W$9,MATCH(ROUNDUP((S$1)/10,0)*10,[1]Hugst!$R$4:$W$4,0))))</f>
        <v>0</v>
      </c>
      <c r="T97" s="168">
        <f>IF($C97-T$1&lt;År1,0,S96*(1-VLOOKUP($A97,[1]Hugst!$R$5:$W$9,MATCH(ROUNDUP((T$1)/10,0)*10,[1]Hugst!$R$4:$W$4,0))))</f>
        <v>0</v>
      </c>
      <c r="U97" s="168">
        <f>IF($C97-U$1&lt;År1,0,T96*(1-VLOOKUP($A97,[1]Hugst!$R$5:$W$9,MATCH(ROUNDUP((U$1)/10,0)*10,[1]Hugst!$R$4:$W$4,0))))</f>
        <v>0</v>
      </c>
      <c r="V97" s="168">
        <f>IF($C97-V$1&lt;År1,0,U96*(1-VLOOKUP($A97,[1]Hugst!$R$5:$W$9,MATCH(ROUNDUP((V$1)/10,0)*10,[1]Hugst!$R$4:$W$4,0))))</f>
        <v>0</v>
      </c>
      <c r="W97" s="168">
        <f>IF($C97-W$1&lt;År1,0,V96*(1-VLOOKUP($A97,[1]Hugst!$R$5:$W$9,MATCH(ROUNDUP((W$1)/10,0)*10,[1]Hugst!$R$4:$W$4,0))))</f>
        <v>0</v>
      </c>
      <c r="X97" s="168">
        <f>IF($C97-X$1&lt;År1,0,W96*(1-VLOOKUP($A97,[1]Hugst!$R$5:$W$9,MATCH(ROUNDUP((X$1)/10,0)*10,[1]Hugst!$R$4:$W$4,0))))</f>
        <v>0</v>
      </c>
      <c r="Y97" s="168">
        <f>IF($C97-Y$1&lt;År1,0,X96*(1-VLOOKUP($A97,[1]Hugst!$R$5:$W$9,MATCH(ROUNDUP((Y$1)/10,0)*10,[1]Hugst!$R$4:$W$4,0))))</f>
        <v>0</v>
      </c>
      <c r="Z97" s="168">
        <f>IF($C97-Z$1&lt;År1,0,Y96*(1-VLOOKUP($A97,[1]Hugst!$R$5:$W$9,MATCH(ROUNDUP((Z$1)/10,0)*10,[1]Hugst!$R$4:$W$4,0))))</f>
        <v>0</v>
      </c>
      <c r="AA97" s="168">
        <f>IF($C97-AA$1&lt;År1,0,Z96*(1-VLOOKUP($A97,[1]Hugst!$R$5:$W$9,MATCH(ROUNDUP((AA$1)/10,0)*10,[1]Hugst!$R$4:$W$4,0))))</f>
        <v>0</v>
      </c>
      <c r="AB97" s="168">
        <f>IF($C97-AB$1&lt;År1,0,AA96*(1-VLOOKUP($A97,[1]Hugst!$R$5:$W$9,MATCH(ROUNDUP((AB$1)/10,0)*10,[1]Hugst!$R$4:$W$4,0))))</f>
        <v>0</v>
      </c>
      <c r="AC97" s="168">
        <f>IF($C97-AC$1&lt;År1,0,AB96*(1-VLOOKUP($A97,[1]Hugst!$R$5:$W$9,MATCH(ROUNDUP((AC$1)/10,0)*10,[1]Hugst!$R$4:$W$4,0))))</f>
        <v>0</v>
      </c>
      <c r="AD97" s="168">
        <f>IF($C97-AD$1&lt;År1,0,AC96*(1-VLOOKUP($A97,[1]Hugst!$R$5:$W$9,MATCH(ROUNDUP((AD$1)/10,0)*10,[1]Hugst!$R$4:$W$4,0))))</f>
        <v>0</v>
      </c>
      <c r="AE97" s="168">
        <f>IF($C97-AE$1&lt;År1,0,AD96*(1-VLOOKUP($A97,[1]Hugst!$R$5:$W$9,MATCH(ROUNDUP((AE$1)/10,0)*10,[1]Hugst!$R$4:$W$4,0))))</f>
        <v>0</v>
      </c>
      <c r="AF97" s="168">
        <f>IF($C97-AF$1&lt;År1,0,AE96*(1-VLOOKUP($A97,[1]Hugst!$R$5:$W$9,MATCH(ROUNDUP((AF$1)/10,0)*10,[1]Hugst!$R$4:$W$4,0))))</f>
        <v>0</v>
      </c>
      <c r="AG97" s="168">
        <f>IF($C97-AG$1&lt;År1,0,AF96*(1-VLOOKUP($A97,[1]Hugst!$R$5:$W$9,MATCH(ROUNDUP((AG$1)/10,0)*10,[1]Hugst!$R$4:$W$4,0))))</f>
        <v>0</v>
      </c>
      <c r="AH97" s="168">
        <f>IF($C97-AH$1&lt;År1,0,AG96*(1-VLOOKUP($A97,[1]Hugst!$R$5:$W$9,MATCH(ROUNDUP((AH$1)/10,0)*10,[1]Hugst!$R$4:$W$4,0))))</f>
        <v>0</v>
      </c>
      <c r="AI97" s="168">
        <f>IF($C97-AI$1&lt;År1,0,AH96*(1-VLOOKUP($A97,[1]Hugst!$R$5:$W$9,MATCH(ROUNDUP((AI$1)/10,0)*10,[1]Hugst!$R$4:$W$4,0))))</f>
        <v>0</v>
      </c>
      <c r="AJ97" s="168">
        <f>IF($C97-AJ$1&lt;År1,0,AI96*(1-VLOOKUP($A97,[1]Hugst!$R$5:$W$9,MATCH(ROUNDUP((AJ$1)/10,0)*10,[1]Hugst!$R$4:$W$4,0))))</f>
        <v>0</v>
      </c>
    </row>
    <row r="98" spans="1:36" s="168" customFormat="1" x14ac:dyDescent="0.25">
      <c r="A98" s="168" t="s">
        <v>177</v>
      </c>
      <c r="B98" s="168" t="s">
        <v>24</v>
      </c>
      <c r="C98" s="168">
        <v>2023</v>
      </c>
      <c r="D98" s="168" cm="1">
        <f t="array" ref="D98">(IF(B98="Vestdanmark",Skovbrug!$C$22-(Skovbrug!$C$22)*(1-Skovbrug!$C$9)^(C98-Skovbrug!$B$12),Skovbrug!$F$22-(Skovbrug!$F$22)*(1-Skovbrug!$C$9)^(C98-Skovbrug!$B$12))*VLOOKUP(A98,Skovbrug!$A$13:$D$17,IF('Skovbrug-alder'!C98&lt;=År2,3,4),FALSE)-IF(C98&gt;2020,SUM(INDEX($C$1:$D$311,MATCH(1,(2020=$C$1:$C$311)*(B98=$B$1:$B$311)*(A98=$A$1:$A$311),0),2):D97),0))</f>
        <v>0</v>
      </c>
      <c r="E98" s="168">
        <f t="shared" ca="1" si="2"/>
        <v>0</v>
      </c>
      <c r="F98" s="168">
        <f ca="1">IF(C98&lt;=År2,IF(B98="Vestdanmark",(Arealanvendelse!$M$27-Arealanvendelse!$J$27),(Arealanvendelse!$M$37-Arealanvendelse!$J$37))/(Arealanvendelse!$M$3-Arealanvendelse!$J$3),IF(B98="Vestdanmark",(Arealanvendelse!$P$27-Arealanvendelse!$M$27),(Arealanvendelse!$P$37-Arealanvendelse!$M$37))/(Arealanvendelse!$P$3-Arealanvendelse!$M$3))*VLOOKUP(A98,Skovbrug!$A$13:$D$17,IF('Skovbrug-alder'!C98&lt;=År2,3,4),FALSE)+D98+E98</f>
        <v>0</v>
      </c>
      <c r="G98" s="168">
        <f ca="1">IF($C98-G$1&lt;År1,0,F97*(1-VLOOKUP($A98,[1]Hugst!$R$5:$W$9,MATCH(ROUNDUP((G$1)/10,0)*10,[1]Hugst!$R$4:$W$4,0))))</f>
        <v>0</v>
      </c>
      <c r="H98" s="168">
        <f ca="1">IF($C98-H$1&lt;År1,0,G97*(1-VLOOKUP($A98,[1]Hugst!$R$5:$W$9,MATCH(ROUNDUP((H$1)/10,0)*10,[1]Hugst!$R$4:$W$4,0))))</f>
        <v>0</v>
      </c>
      <c r="I98" s="168">
        <f ca="1">IF($C98-I$1&lt;År1,0,H97*(1-VLOOKUP($A98,[1]Hugst!$R$5:$W$9,MATCH(ROUNDUP((I$1)/10,0)*10,[1]Hugst!$R$4:$W$4,0))))</f>
        <v>0</v>
      </c>
      <c r="J98" s="168">
        <f>IF($C98-J$1&lt;År1,0,I97*(1-VLOOKUP($A98,[1]Hugst!$R$5:$W$9,MATCH(ROUNDUP((J$1)/10,0)*10,[1]Hugst!$R$4:$W$4,0))))</f>
        <v>0</v>
      </c>
      <c r="K98" s="168">
        <f>IF($C98-K$1&lt;År1,0,J97*(1-VLOOKUP($A98,[1]Hugst!$R$5:$W$9,MATCH(ROUNDUP((K$1)/10,0)*10,[1]Hugst!$R$4:$W$4,0))))</f>
        <v>0</v>
      </c>
      <c r="L98" s="168">
        <f>IF($C98-L$1&lt;År1,0,K97*(1-VLOOKUP($A98,[1]Hugst!$R$5:$W$9,MATCH(ROUNDUP((L$1)/10,0)*10,[1]Hugst!$R$4:$W$4,0))))</f>
        <v>0</v>
      </c>
      <c r="M98" s="168">
        <f>IF($C98-M$1&lt;År1,0,L97*(1-VLOOKUP($A98,[1]Hugst!$R$5:$W$9,MATCH(ROUNDUP((M$1)/10,0)*10,[1]Hugst!$R$4:$W$4,0))))</f>
        <v>0</v>
      </c>
      <c r="N98" s="168">
        <f>IF($C98-N$1&lt;År1,0,M97*(1-VLOOKUP($A98,[1]Hugst!$R$5:$W$9,MATCH(ROUNDUP((N$1)/10,0)*10,[1]Hugst!$R$4:$W$4,0))))</f>
        <v>0</v>
      </c>
      <c r="O98" s="168">
        <f>IF($C98-O$1&lt;År1,0,N97*(1-VLOOKUP($A98,[1]Hugst!$R$5:$W$9,MATCH(ROUNDUP((O$1)/10,0)*10,[1]Hugst!$R$4:$W$4,0))))</f>
        <v>0</v>
      </c>
      <c r="P98" s="168">
        <f>IF($C98-P$1&lt;År1,0,O97*(1-VLOOKUP($A98,[1]Hugst!$R$5:$W$9,MATCH(ROUNDUP((P$1)/10,0)*10,[1]Hugst!$R$4:$W$4,0))))</f>
        <v>0</v>
      </c>
      <c r="Q98" s="168">
        <f>IF($C98-Q$1&lt;År1,0,P97*(1-VLOOKUP($A98,[1]Hugst!$R$5:$W$9,MATCH(ROUNDUP((Q$1)/10,0)*10,[1]Hugst!$R$4:$W$4,0))))</f>
        <v>0</v>
      </c>
      <c r="R98" s="168">
        <f>IF($C98-R$1&lt;År1,0,Q97*(1-VLOOKUP($A98,[1]Hugst!$R$5:$W$9,MATCH(ROUNDUP((R$1)/10,0)*10,[1]Hugst!$R$4:$W$4,0))))</f>
        <v>0</v>
      </c>
      <c r="S98" s="168">
        <f>IF($C98-S$1&lt;År1,0,R97*(1-VLOOKUP($A98,[1]Hugst!$R$5:$W$9,MATCH(ROUNDUP((S$1)/10,0)*10,[1]Hugst!$R$4:$W$4,0))))</f>
        <v>0</v>
      </c>
      <c r="T98" s="168">
        <f>IF($C98-T$1&lt;År1,0,S97*(1-VLOOKUP($A98,[1]Hugst!$R$5:$W$9,MATCH(ROUNDUP((T$1)/10,0)*10,[1]Hugst!$R$4:$W$4,0))))</f>
        <v>0</v>
      </c>
      <c r="U98" s="168">
        <f>IF($C98-U$1&lt;År1,0,T97*(1-VLOOKUP($A98,[1]Hugst!$R$5:$W$9,MATCH(ROUNDUP((U$1)/10,0)*10,[1]Hugst!$R$4:$W$4,0))))</f>
        <v>0</v>
      </c>
      <c r="V98" s="168">
        <f>IF($C98-V$1&lt;År1,0,U97*(1-VLOOKUP($A98,[1]Hugst!$R$5:$W$9,MATCH(ROUNDUP((V$1)/10,0)*10,[1]Hugst!$R$4:$W$4,0))))</f>
        <v>0</v>
      </c>
      <c r="W98" s="168">
        <f>IF($C98-W$1&lt;År1,0,V97*(1-VLOOKUP($A98,[1]Hugst!$R$5:$W$9,MATCH(ROUNDUP((W$1)/10,0)*10,[1]Hugst!$R$4:$W$4,0))))</f>
        <v>0</v>
      </c>
      <c r="X98" s="168">
        <f>IF($C98-X$1&lt;År1,0,W97*(1-VLOOKUP($A98,[1]Hugst!$R$5:$W$9,MATCH(ROUNDUP((X$1)/10,0)*10,[1]Hugst!$R$4:$W$4,0))))</f>
        <v>0</v>
      </c>
      <c r="Y98" s="168">
        <f>IF($C98-Y$1&lt;År1,0,X97*(1-VLOOKUP($A98,[1]Hugst!$R$5:$W$9,MATCH(ROUNDUP((Y$1)/10,0)*10,[1]Hugst!$R$4:$W$4,0))))</f>
        <v>0</v>
      </c>
      <c r="Z98" s="168">
        <f>IF($C98-Z$1&lt;År1,0,Y97*(1-VLOOKUP($A98,[1]Hugst!$R$5:$W$9,MATCH(ROUNDUP((Z$1)/10,0)*10,[1]Hugst!$R$4:$W$4,0))))</f>
        <v>0</v>
      </c>
      <c r="AA98" s="168">
        <f>IF($C98-AA$1&lt;År1,0,Z97*(1-VLOOKUP($A98,[1]Hugst!$R$5:$W$9,MATCH(ROUNDUP((AA$1)/10,0)*10,[1]Hugst!$R$4:$W$4,0))))</f>
        <v>0</v>
      </c>
      <c r="AB98" s="168">
        <f>IF($C98-AB$1&lt;År1,0,AA97*(1-VLOOKUP($A98,[1]Hugst!$R$5:$W$9,MATCH(ROUNDUP((AB$1)/10,0)*10,[1]Hugst!$R$4:$W$4,0))))</f>
        <v>0</v>
      </c>
      <c r="AC98" s="168">
        <f>IF($C98-AC$1&lt;År1,0,AB97*(1-VLOOKUP($A98,[1]Hugst!$R$5:$W$9,MATCH(ROUNDUP((AC$1)/10,0)*10,[1]Hugst!$R$4:$W$4,0))))</f>
        <v>0</v>
      </c>
      <c r="AD98" s="168">
        <f>IF($C98-AD$1&lt;År1,0,AC97*(1-VLOOKUP($A98,[1]Hugst!$R$5:$W$9,MATCH(ROUNDUP((AD$1)/10,0)*10,[1]Hugst!$R$4:$W$4,0))))</f>
        <v>0</v>
      </c>
      <c r="AE98" s="168">
        <f>IF($C98-AE$1&lt;År1,0,AD97*(1-VLOOKUP($A98,[1]Hugst!$R$5:$W$9,MATCH(ROUNDUP((AE$1)/10,0)*10,[1]Hugst!$R$4:$W$4,0))))</f>
        <v>0</v>
      </c>
      <c r="AF98" s="168">
        <f>IF($C98-AF$1&lt;År1,0,AE97*(1-VLOOKUP($A98,[1]Hugst!$R$5:$W$9,MATCH(ROUNDUP((AF$1)/10,0)*10,[1]Hugst!$R$4:$W$4,0))))</f>
        <v>0</v>
      </c>
      <c r="AG98" s="168">
        <f>IF($C98-AG$1&lt;År1,0,AF97*(1-VLOOKUP($A98,[1]Hugst!$R$5:$W$9,MATCH(ROUNDUP((AG$1)/10,0)*10,[1]Hugst!$R$4:$W$4,0))))</f>
        <v>0</v>
      </c>
      <c r="AH98" s="168">
        <f>IF($C98-AH$1&lt;År1,0,AG97*(1-VLOOKUP($A98,[1]Hugst!$R$5:$W$9,MATCH(ROUNDUP((AH$1)/10,0)*10,[1]Hugst!$R$4:$W$4,0))))</f>
        <v>0</v>
      </c>
      <c r="AI98" s="168">
        <f>IF($C98-AI$1&lt;År1,0,AH97*(1-VLOOKUP($A98,[1]Hugst!$R$5:$W$9,MATCH(ROUNDUP((AI$1)/10,0)*10,[1]Hugst!$R$4:$W$4,0))))</f>
        <v>0</v>
      </c>
      <c r="AJ98" s="168">
        <f>IF($C98-AJ$1&lt;År1,0,AI97*(1-VLOOKUP($A98,[1]Hugst!$R$5:$W$9,MATCH(ROUNDUP((AJ$1)/10,0)*10,[1]Hugst!$R$4:$W$4,0))))</f>
        <v>0</v>
      </c>
    </row>
    <row r="99" spans="1:36" s="168" customFormat="1" x14ac:dyDescent="0.25">
      <c r="A99" s="168" t="s">
        <v>177</v>
      </c>
      <c r="B99" s="168" t="s">
        <v>24</v>
      </c>
      <c r="C99" s="168">
        <v>2024</v>
      </c>
      <c r="D99" s="168" cm="1">
        <f t="array" ref="D99">(IF(B99="Vestdanmark",Skovbrug!$C$22-(Skovbrug!$C$22)*(1-Skovbrug!$C$9)^(C99-Skovbrug!$B$12),Skovbrug!$F$22-(Skovbrug!$F$22)*(1-Skovbrug!$C$9)^(C99-Skovbrug!$B$12))*VLOOKUP(A99,Skovbrug!$A$13:$D$17,IF('Skovbrug-alder'!C99&lt;=År2,3,4),FALSE)-IF(C99&gt;2020,SUM(INDEX($C$1:$D$311,MATCH(1,(2020=$C$1:$C$311)*(B99=$B$1:$B$311)*(A99=$A$1:$A$311),0),2):D98),0))</f>
        <v>0</v>
      </c>
      <c r="E99" s="168">
        <f t="shared" ca="1" si="2"/>
        <v>0</v>
      </c>
      <c r="F99" s="168">
        <f ca="1">IF(C99&lt;=År2,IF(B99="Vestdanmark",(Arealanvendelse!$M$27-Arealanvendelse!$J$27),(Arealanvendelse!$M$37-Arealanvendelse!$J$37))/(Arealanvendelse!$M$3-Arealanvendelse!$J$3),IF(B99="Vestdanmark",(Arealanvendelse!$P$27-Arealanvendelse!$M$27),(Arealanvendelse!$P$37-Arealanvendelse!$M$37))/(Arealanvendelse!$P$3-Arealanvendelse!$M$3))*VLOOKUP(A99,Skovbrug!$A$13:$D$17,IF('Skovbrug-alder'!C99&lt;=År2,3,4),FALSE)+D99+E99</f>
        <v>0</v>
      </c>
      <c r="G99" s="168">
        <f ca="1">IF($C99-G$1&lt;År1,0,F98*(1-VLOOKUP($A99,[1]Hugst!$R$5:$W$9,MATCH(ROUNDUP((G$1)/10,0)*10,[1]Hugst!$R$4:$W$4,0))))</f>
        <v>0</v>
      </c>
      <c r="H99" s="168">
        <f ca="1">IF($C99-H$1&lt;År1,0,G98*(1-VLOOKUP($A99,[1]Hugst!$R$5:$W$9,MATCH(ROUNDUP((H$1)/10,0)*10,[1]Hugst!$R$4:$W$4,0))))</f>
        <v>0</v>
      </c>
      <c r="I99" s="168">
        <f ca="1">IF($C99-I$1&lt;År1,0,H98*(1-VLOOKUP($A99,[1]Hugst!$R$5:$W$9,MATCH(ROUNDUP((I$1)/10,0)*10,[1]Hugst!$R$4:$W$4,0))))</f>
        <v>0</v>
      </c>
      <c r="J99" s="168">
        <f ca="1">IF($C99-J$1&lt;År1,0,I98*(1-VLOOKUP($A99,[1]Hugst!$R$5:$W$9,MATCH(ROUNDUP((J$1)/10,0)*10,[1]Hugst!$R$4:$W$4,0))))</f>
        <v>0</v>
      </c>
      <c r="K99" s="168">
        <f>IF($C99-K$1&lt;År1,0,J98*(1-VLOOKUP($A99,[1]Hugst!$R$5:$W$9,MATCH(ROUNDUP((K$1)/10,0)*10,[1]Hugst!$R$4:$W$4,0))))</f>
        <v>0</v>
      </c>
      <c r="L99" s="168">
        <f>IF($C99-L$1&lt;År1,0,K98*(1-VLOOKUP($A99,[1]Hugst!$R$5:$W$9,MATCH(ROUNDUP((L$1)/10,0)*10,[1]Hugst!$R$4:$W$4,0))))</f>
        <v>0</v>
      </c>
      <c r="M99" s="168">
        <f>IF($C99-M$1&lt;År1,0,L98*(1-VLOOKUP($A99,[1]Hugst!$R$5:$W$9,MATCH(ROUNDUP((M$1)/10,0)*10,[1]Hugst!$R$4:$W$4,0))))</f>
        <v>0</v>
      </c>
      <c r="N99" s="168">
        <f>IF($C99-N$1&lt;År1,0,M98*(1-VLOOKUP($A99,[1]Hugst!$R$5:$W$9,MATCH(ROUNDUP((N$1)/10,0)*10,[1]Hugst!$R$4:$W$4,0))))</f>
        <v>0</v>
      </c>
      <c r="O99" s="168">
        <f>IF($C99-O$1&lt;År1,0,N98*(1-VLOOKUP($A99,[1]Hugst!$R$5:$W$9,MATCH(ROUNDUP((O$1)/10,0)*10,[1]Hugst!$R$4:$W$4,0))))</f>
        <v>0</v>
      </c>
      <c r="P99" s="168">
        <f>IF($C99-P$1&lt;År1,0,O98*(1-VLOOKUP($A99,[1]Hugst!$R$5:$W$9,MATCH(ROUNDUP((P$1)/10,0)*10,[1]Hugst!$R$4:$W$4,0))))</f>
        <v>0</v>
      </c>
      <c r="Q99" s="168">
        <f>IF($C99-Q$1&lt;År1,0,P98*(1-VLOOKUP($A99,[1]Hugst!$R$5:$W$9,MATCH(ROUNDUP((Q$1)/10,0)*10,[1]Hugst!$R$4:$W$4,0))))</f>
        <v>0</v>
      </c>
      <c r="R99" s="168">
        <f>IF($C99-R$1&lt;År1,0,Q98*(1-VLOOKUP($A99,[1]Hugst!$R$5:$W$9,MATCH(ROUNDUP((R$1)/10,0)*10,[1]Hugst!$R$4:$W$4,0))))</f>
        <v>0</v>
      </c>
      <c r="S99" s="168">
        <f>IF($C99-S$1&lt;År1,0,R98*(1-VLOOKUP($A99,[1]Hugst!$R$5:$W$9,MATCH(ROUNDUP((S$1)/10,0)*10,[1]Hugst!$R$4:$W$4,0))))</f>
        <v>0</v>
      </c>
      <c r="T99" s="168">
        <f>IF($C99-T$1&lt;År1,0,S98*(1-VLOOKUP($A99,[1]Hugst!$R$5:$W$9,MATCH(ROUNDUP((T$1)/10,0)*10,[1]Hugst!$R$4:$W$4,0))))</f>
        <v>0</v>
      </c>
      <c r="U99" s="168">
        <f>IF($C99-U$1&lt;År1,0,T98*(1-VLOOKUP($A99,[1]Hugst!$R$5:$W$9,MATCH(ROUNDUP((U$1)/10,0)*10,[1]Hugst!$R$4:$W$4,0))))</f>
        <v>0</v>
      </c>
      <c r="V99" s="168">
        <f>IF($C99-V$1&lt;År1,0,U98*(1-VLOOKUP($A99,[1]Hugst!$R$5:$W$9,MATCH(ROUNDUP((V$1)/10,0)*10,[1]Hugst!$R$4:$W$4,0))))</f>
        <v>0</v>
      </c>
      <c r="W99" s="168">
        <f>IF($C99-W$1&lt;År1,0,V98*(1-VLOOKUP($A99,[1]Hugst!$R$5:$W$9,MATCH(ROUNDUP((W$1)/10,0)*10,[1]Hugst!$R$4:$W$4,0))))</f>
        <v>0</v>
      </c>
      <c r="X99" s="168">
        <f>IF($C99-X$1&lt;År1,0,W98*(1-VLOOKUP($A99,[1]Hugst!$R$5:$W$9,MATCH(ROUNDUP((X$1)/10,0)*10,[1]Hugst!$R$4:$W$4,0))))</f>
        <v>0</v>
      </c>
      <c r="Y99" s="168">
        <f>IF($C99-Y$1&lt;År1,0,X98*(1-VLOOKUP($A99,[1]Hugst!$R$5:$W$9,MATCH(ROUNDUP((Y$1)/10,0)*10,[1]Hugst!$R$4:$W$4,0))))</f>
        <v>0</v>
      </c>
      <c r="Z99" s="168">
        <f>IF($C99-Z$1&lt;År1,0,Y98*(1-VLOOKUP($A99,[1]Hugst!$R$5:$W$9,MATCH(ROUNDUP((Z$1)/10,0)*10,[1]Hugst!$R$4:$W$4,0))))</f>
        <v>0</v>
      </c>
      <c r="AA99" s="168">
        <f>IF($C99-AA$1&lt;År1,0,Z98*(1-VLOOKUP($A99,[1]Hugst!$R$5:$W$9,MATCH(ROUNDUP((AA$1)/10,0)*10,[1]Hugst!$R$4:$W$4,0))))</f>
        <v>0</v>
      </c>
      <c r="AB99" s="168">
        <f>IF($C99-AB$1&lt;År1,0,AA98*(1-VLOOKUP($A99,[1]Hugst!$R$5:$W$9,MATCH(ROUNDUP((AB$1)/10,0)*10,[1]Hugst!$R$4:$W$4,0))))</f>
        <v>0</v>
      </c>
      <c r="AC99" s="168">
        <f>IF($C99-AC$1&lt;År1,0,AB98*(1-VLOOKUP($A99,[1]Hugst!$R$5:$W$9,MATCH(ROUNDUP((AC$1)/10,0)*10,[1]Hugst!$R$4:$W$4,0))))</f>
        <v>0</v>
      </c>
      <c r="AD99" s="168">
        <f>IF($C99-AD$1&lt;År1,0,AC98*(1-VLOOKUP($A99,[1]Hugst!$R$5:$W$9,MATCH(ROUNDUP((AD$1)/10,0)*10,[1]Hugst!$R$4:$W$4,0))))</f>
        <v>0</v>
      </c>
      <c r="AE99" s="168">
        <f>IF($C99-AE$1&lt;År1,0,AD98*(1-VLOOKUP($A99,[1]Hugst!$R$5:$W$9,MATCH(ROUNDUP((AE$1)/10,0)*10,[1]Hugst!$R$4:$W$4,0))))</f>
        <v>0</v>
      </c>
      <c r="AF99" s="168">
        <f>IF($C99-AF$1&lt;År1,0,AE98*(1-VLOOKUP($A99,[1]Hugst!$R$5:$W$9,MATCH(ROUNDUP((AF$1)/10,0)*10,[1]Hugst!$R$4:$W$4,0))))</f>
        <v>0</v>
      </c>
      <c r="AG99" s="168">
        <f>IF($C99-AG$1&lt;År1,0,AF98*(1-VLOOKUP($A99,[1]Hugst!$R$5:$W$9,MATCH(ROUNDUP((AG$1)/10,0)*10,[1]Hugst!$R$4:$W$4,0))))</f>
        <v>0</v>
      </c>
      <c r="AH99" s="168">
        <f>IF($C99-AH$1&lt;År1,0,AG98*(1-VLOOKUP($A99,[1]Hugst!$R$5:$W$9,MATCH(ROUNDUP((AH$1)/10,0)*10,[1]Hugst!$R$4:$W$4,0))))</f>
        <v>0</v>
      </c>
      <c r="AI99" s="168">
        <f>IF($C99-AI$1&lt;År1,0,AH98*(1-VLOOKUP($A99,[1]Hugst!$R$5:$W$9,MATCH(ROUNDUP((AI$1)/10,0)*10,[1]Hugst!$R$4:$W$4,0))))</f>
        <v>0</v>
      </c>
      <c r="AJ99" s="168">
        <f>IF($C99-AJ$1&lt;År1,0,AI98*(1-VLOOKUP($A99,[1]Hugst!$R$5:$W$9,MATCH(ROUNDUP((AJ$1)/10,0)*10,[1]Hugst!$R$4:$W$4,0))))</f>
        <v>0</v>
      </c>
    </row>
    <row r="100" spans="1:36" s="168" customFormat="1" x14ac:dyDescent="0.25">
      <c r="A100" s="168" t="s">
        <v>177</v>
      </c>
      <c r="B100" s="168" t="s">
        <v>24</v>
      </c>
      <c r="C100" s="168">
        <v>2025</v>
      </c>
      <c r="D100" s="168" cm="1">
        <f t="array" ref="D100">(IF(B100="Vestdanmark",Skovbrug!$C$22-(Skovbrug!$C$22)*(1-Skovbrug!$C$9)^(C100-Skovbrug!$B$12),Skovbrug!$F$22-(Skovbrug!$F$22)*(1-Skovbrug!$C$9)^(C100-Skovbrug!$B$12))*VLOOKUP(A100,Skovbrug!$A$13:$D$17,IF('Skovbrug-alder'!C100&lt;=År2,3,4),FALSE)-IF(C100&gt;2020,SUM(INDEX($C$1:$D$311,MATCH(1,(2020=$C$1:$C$311)*(B100=$B$1:$B$311)*(A100=$A$1:$A$311),0),2):D99),0))</f>
        <v>0</v>
      </c>
      <c r="E100" s="168">
        <f t="shared" ca="1" si="2"/>
        <v>0</v>
      </c>
      <c r="F100" s="168">
        <f ca="1">IF(C100&lt;=År2,IF(B100="Vestdanmark",(Arealanvendelse!$M$27-Arealanvendelse!$J$27),(Arealanvendelse!$M$37-Arealanvendelse!$J$37))/(Arealanvendelse!$M$3-Arealanvendelse!$J$3),IF(B100="Vestdanmark",(Arealanvendelse!$P$27-Arealanvendelse!$M$27),(Arealanvendelse!$P$37-Arealanvendelse!$M$37))/(Arealanvendelse!$P$3-Arealanvendelse!$M$3))*VLOOKUP(A100,Skovbrug!$A$13:$D$17,IF('Skovbrug-alder'!C100&lt;=År2,3,4),FALSE)+D100+E100</f>
        <v>0</v>
      </c>
      <c r="G100" s="168">
        <f ca="1">IF($C100-G$1&lt;År1,0,F99*(1-VLOOKUP($A100,[1]Hugst!$R$5:$W$9,MATCH(ROUNDUP((G$1)/10,0)*10,[1]Hugst!$R$4:$W$4,0))))</f>
        <v>0</v>
      </c>
      <c r="H100" s="168">
        <f ca="1">IF($C100-H$1&lt;År1,0,G99*(1-VLOOKUP($A100,[1]Hugst!$R$5:$W$9,MATCH(ROUNDUP((H$1)/10,0)*10,[1]Hugst!$R$4:$W$4,0))))</f>
        <v>0</v>
      </c>
      <c r="I100" s="168">
        <f ca="1">IF($C100-I$1&lt;År1,0,H99*(1-VLOOKUP($A100,[1]Hugst!$R$5:$W$9,MATCH(ROUNDUP((I$1)/10,0)*10,[1]Hugst!$R$4:$W$4,0))))</f>
        <v>0</v>
      </c>
      <c r="J100" s="168">
        <f ca="1">IF($C100-J$1&lt;År1,0,I99*(1-VLOOKUP($A100,[1]Hugst!$R$5:$W$9,MATCH(ROUNDUP((J$1)/10,0)*10,[1]Hugst!$R$4:$W$4,0))))</f>
        <v>0</v>
      </c>
      <c r="K100" s="168">
        <f ca="1">IF($C100-K$1&lt;År1,0,J99*(1-VLOOKUP($A100,[1]Hugst!$R$5:$W$9,MATCH(ROUNDUP((K$1)/10,0)*10,[1]Hugst!$R$4:$W$4,0))))</f>
        <v>0</v>
      </c>
      <c r="L100" s="168">
        <f>IF($C100-L$1&lt;År1,0,K99*(1-VLOOKUP($A100,[1]Hugst!$R$5:$W$9,MATCH(ROUNDUP((L$1)/10,0)*10,[1]Hugst!$R$4:$W$4,0))))</f>
        <v>0</v>
      </c>
      <c r="M100" s="168">
        <f>IF($C100-M$1&lt;År1,0,L99*(1-VLOOKUP($A100,[1]Hugst!$R$5:$W$9,MATCH(ROUNDUP((M$1)/10,0)*10,[1]Hugst!$R$4:$W$4,0))))</f>
        <v>0</v>
      </c>
      <c r="N100" s="168">
        <f>IF($C100-N$1&lt;År1,0,M99*(1-VLOOKUP($A100,[1]Hugst!$R$5:$W$9,MATCH(ROUNDUP((N$1)/10,0)*10,[1]Hugst!$R$4:$W$4,0))))</f>
        <v>0</v>
      </c>
      <c r="O100" s="168">
        <f>IF($C100-O$1&lt;År1,0,N99*(1-VLOOKUP($A100,[1]Hugst!$R$5:$W$9,MATCH(ROUNDUP((O$1)/10,0)*10,[1]Hugst!$R$4:$W$4,0))))</f>
        <v>0</v>
      </c>
      <c r="P100" s="168">
        <f>IF($C100-P$1&lt;År1,0,O99*(1-VLOOKUP($A100,[1]Hugst!$R$5:$W$9,MATCH(ROUNDUP((P$1)/10,0)*10,[1]Hugst!$R$4:$W$4,0))))</f>
        <v>0</v>
      </c>
      <c r="Q100" s="168">
        <f>IF($C100-Q$1&lt;År1,0,P99*(1-VLOOKUP($A100,[1]Hugst!$R$5:$W$9,MATCH(ROUNDUP((Q$1)/10,0)*10,[1]Hugst!$R$4:$W$4,0))))</f>
        <v>0</v>
      </c>
      <c r="R100" s="168">
        <f>IF($C100-R$1&lt;År1,0,Q99*(1-VLOOKUP($A100,[1]Hugst!$R$5:$W$9,MATCH(ROUNDUP((R$1)/10,0)*10,[1]Hugst!$R$4:$W$4,0))))</f>
        <v>0</v>
      </c>
      <c r="S100" s="168">
        <f>IF($C100-S$1&lt;År1,0,R99*(1-VLOOKUP($A100,[1]Hugst!$R$5:$W$9,MATCH(ROUNDUP((S$1)/10,0)*10,[1]Hugst!$R$4:$W$4,0))))</f>
        <v>0</v>
      </c>
      <c r="T100" s="168">
        <f>IF($C100-T$1&lt;År1,0,S99*(1-VLOOKUP($A100,[1]Hugst!$R$5:$W$9,MATCH(ROUNDUP((T$1)/10,0)*10,[1]Hugst!$R$4:$W$4,0))))</f>
        <v>0</v>
      </c>
      <c r="U100" s="168">
        <f>IF($C100-U$1&lt;År1,0,T99*(1-VLOOKUP($A100,[1]Hugst!$R$5:$W$9,MATCH(ROUNDUP((U$1)/10,0)*10,[1]Hugst!$R$4:$W$4,0))))</f>
        <v>0</v>
      </c>
      <c r="V100" s="168">
        <f>IF($C100-V$1&lt;År1,0,U99*(1-VLOOKUP($A100,[1]Hugst!$R$5:$W$9,MATCH(ROUNDUP((V$1)/10,0)*10,[1]Hugst!$R$4:$W$4,0))))</f>
        <v>0</v>
      </c>
      <c r="W100" s="168">
        <f>IF($C100-W$1&lt;År1,0,V99*(1-VLOOKUP($A100,[1]Hugst!$R$5:$W$9,MATCH(ROUNDUP((W$1)/10,0)*10,[1]Hugst!$R$4:$W$4,0))))</f>
        <v>0</v>
      </c>
      <c r="X100" s="168">
        <f>IF($C100-X$1&lt;År1,0,W99*(1-VLOOKUP($A100,[1]Hugst!$R$5:$W$9,MATCH(ROUNDUP((X$1)/10,0)*10,[1]Hugst!$R$4:$W$4,0))))</f>
        <v>0</v>
      </c>
      <c r="Y100" s="168">
        <f>IF($C100-Y$1&lt;År1,0,X99*(1-VLOOKUP($A100,[1]Hugst!$R$5:$W$9,MATCH(ROUNDUP((Y$1)/10,0)*10,[1]Hugst!$R$4:$W$4,0))))</f>
        <v>0</v>
      </c>
      <c r="Z100" s="168">
        <f>IF($C100-Z$1&lt;År1,0,Y99*(1-VLOOKUP($A100,[1]Hugst!$R$5:$W$9,MATCH(ROUNDUP((Z$1)/10,0)*10,[1]Hugst!$R$4:$W$4,0))))</f>
        <v>0</v>
      </c>
      <c r="AA100" s="168">
        <f>IF($C100-AA$1&lt;År1,0,Z99*(1-VLOOKUP($A100,[1]Hugst!$R$5:$W$9,MATCH(ROUNDUP((AA$1)/10,0)*10,[1]Hugst!$R$4:$W$4,0))))</f>
        <v>0</v>
      </c>
      <c r="AB100" s="168">
        <f>IF($C100-AB$1&lt;År1,0,AA99*(1-VLOOKUP($A100,[1]Hugst!$R$5:$W$9,MATCH(ROUNDUP((AB$1)/10,0)*10,[1]Hugst!$R$4:$W$4,0))))</f>
        <v>0</v>
      </c>
      <c r="AC100" s="168">
        <f>IF($C100-AC$1&lt;År1,0,AB99*(1-VLOOKUP($A100,[1]Hugst!$R$5:$W$9,MATCH(ROUNDUP((AC$1)/10,0)*10,[1]Hugst!$R$4:$W$4,0))))</f>
        <v>0</v>
      </c>
      <c r="AD100" s="168">
        <f>IF($C100-AD$1&lt;År1,0,AC99*(1-VLOOKUP($A100,[1]Hugst!$R$5:$W$9,MATCH(ROUNDUP((AD$1)/10,0)*10,[1]Hugst!$R$4:$W$4,0))))</f>
        <v>0</v>
      </c>
      <c r="AE100" s="168">
        <f>IF($C100-AE$1&lt;År1,0,AD99*(1-VLOOKUP($A100,[1]Hugst!$R$5:$W$9,MATCH(ROUNDUP((AE$1)/10,0)*10,[1]Hugst!$R$4:$W$4,0))))</f>
        <v>0</v>
      </c>
      <c r="AF100" s="168">
        <f>IF($C100-AF$1&lt;År1,0,AE99*(1-VLOOKUP($A100,[1]Hugst!$R$5:$W$9,MATCH(ROUNDUP((AF$1)/10,0)*10,[1]Hugst!$R$4:$W$4,0))))</f>
        <v>0</v>
      </c>
      <c r="AG100" s="168">
        <f>IF($C100-AG$1&lt;År1,0,AF99*(1-VLOOKUP($A100,[1]Hugst!$R$5:$W$9,MATCH(ROUNDUP((AG$1)/10,0)*10,[1]Hugst!$R$4:$W$4,0))))</f>
        <v>0</v>
      </c>
      <c r="AH100" s="168">
        <f>IF($C100-AH$1&lt;År1,0,AG99*(1-VLOOKUP($A100,[1]Hugst!$R$5:$W$9,MATCH(ROUNDUP((AH$1)/10,0)*10,[1]Hugst!$R$4:$W$4,0))))</f>
        <v>0</v>
      </c>
      <c r="AI100" s="168">
        <f>IF($C100-AI$1&lt;År1,0,AH99*(1-VLOOKUP($A100,[1]Hugst!$R$5:$W$9,MATCH(ROUNDUP((AI$1)/10,0)*10,[1]Hugst!$R$4:$W$4,0))))</f>
        <v>0</v>
      </c>
      <c r="AJ100" s="168">
        <f>IF($C100-AJ$1&lt;År1,0,AI99*(1-VLOOKUP($A100,[1]Hugst!$R$5:$W$9,MATCH(ROUNDUP((AJ$1)/10,0)*10,[1]Hugst!$R$4:$W$4,0))))</f>
        <v>0</v>
      </c>
    </row>
    <row r="101" spans="1:36" s="168" customFormat="1" x14ac:dyDescent="0.25">
      <c r="A101" s="168" t="s">
        <v>177</v>
      </c>
      <c r="B101" s="168" t="s">
        <v>24</v>
      </c>
      <c r="C101" s="168">
        <v>2026</v>
      </c>
      <c r="D101" s="168" cm="1">
        <f t="array" ref="D101">(IF(B101="Vestdanmark",Skovbrug!$C$22-(Skovbrug!$C$22)*(1-Skovbrug!$C$9)^(C101-Skovbrug!$B$12),Skovbrug!$F$22-(Skovbrug!$F$22)*(1-Skovbrug!$C$9)^(C101-Skovbrug!$B$12))*VLOOKUP(A101,Skovbrug!$A$13:$D$17,IF('Skovbrug-alder'!C101&lt;=År2,3,4),FALSE)-IF(C101&gt;2020,SUM(INDEX($C$1:$D$311,MATCH(1,(2020=$C$1:$C$311)*(B101=$B$1:$B$311)*(A101=$A$1:$A$311),0),2):D100),0))</f>
        <v>0</v>
      </c>
      <c r="E101" s="168">
        <f t="shared" ca="1" si="2"/>
        <v>0</v>
      </c>
      <c r="F101" s="168">
        <f ca="1">IF(C101&lt;=År2,IF(B101="Vestdanmark",(Arealanvendelse!$M$27-Arealanvendelse!$J$27),(Arealanvendelse!$M$37-Arealanvendelse!$J$37))/(Arealanvendelse!$M$3-Arealanvendelse!$J$3),IF(B101="Vestdanmark",(Arealanvendelse!$P$27-Arealanvendelse!$M$27),(Arealanvendelse!$P$37-Arealanvendelse!$M$37))/(Arealanvendelse!$P$3-Arealanvendelse!$M$3))*VLOOKUP(A101,Skovbrug!$A$13:$D$17,IF('Skovbrug-alder'!C101&lt;=År2,3,4),FALSE)+D101+E101</f>
        <v>0</v>
      </c>
      <c r="G101" s="168">
        <f ca="1">IF($C101-G$1&lt;År1,0,F100*(1-VLOOKUP($A101,[1]Hugst!$R$5:$W$9,MATCH(ROUNDUP((G$1)/10,0)*10,[1]Hugst!$R$4:$W$4,0))))</f>
        <v>0</v>
      </c>
      <c r="H101" s="168">
        <f ca="1">IF($C101-H$1&lt;År1,0,G100*(1-VLOOKUP($A101,[1]Hugst!$R$5:$W$9,MATCH(ROUNDUP((H$1)/10,0)*10,[1]Hugst!$R$4:$W$4,0))))</f>
        <v>0</v>
      </c>
      <c r="I101" s="168">
        <f ca="1">IF($C101-I$1&lt;År1,0,H100*(1-VLOOKUP($A101,[1]Hugst!$R$5:$W$9,MATCH(ROUNDUP((I$1)/10,0)*10,[1]Hugst!$R$4:$W$4,0))))</f>
        <v>0</v>
      </c>
      <c r="J101" s="168">
        <f ca="1">IF($C101-J$1&lt;År1,0,I100*(1-VLOOKUP($A101,[1]Hugst!$R$5:$W$9,MATCH(ROUNDUP((J$1)/10,0)*10,[1]Hugst!$R$4:$W$4,0))))</f>
        <v>0</v>
      </c>
      <c r="K101" s="168">
        <f ca="1">IF($C101-K$1&lt;År1,0,J100*(1-VLOOKUP($A101,[1]Hugst!$R$5:$W$9,MATCH(ROUNDUP((K$1)/10,0)*10,[1]Hugst!$R$4:$W$4,0))))</f>
        <v>0</v>
      </c>
      <c r="L101" s="168">
        <f ca="1">IF($C101-L$1&lt;År1,0,K100*(1-VLOOKUP($A101,[1]Hugst!$R$5:$W$9,MATCH(ROUNDUP((L$1)/10,0)*10,[1]Hugst!$R$4:$W$4,0))))</f>
        <v>0</v>
      </c>
      <c r="M101" s="168">
        <f>IF($C101-M$1&lt;År1,0,L100*(1-VLOOKUP($A101,[1]Hugst!$R$5:$W$9,MATCH(ROUNDUP((M$1)/10,0)*10,[1]Hugst!$R$4:$W$4,0))))</f>
        <v>0</v>
      </c>
      <c r="N101" s="168">
        <f>IF($C101-N$1&lt;År1,0,M100*(1-VLOOKUP($A101,[1]Hugst!$R$5:$W$9,MATCH(ROUNDUP((N$1)/10,0)*10,[1]Hugst!$R$4:$W$4,0))))</f>
        <v>0</v>
      </c>
      <c r="O101" s="168">
        <f>IF($C101-O$1&lt;År1,0,N100*(1-VLOOKUP($A101,[1]Hugst!$R$5:$W$9,MATCH(ROUNDUP((O$1)/10,0)*10,[1]Hugst!$R$4:$W$4,0))))</f>
        <v>0</v>
      </c>
      <c r="P101" s="168">
        <f>IF($C101-P$1&lt;År1,0,O100*(1-VLOOKUP($A101,[1]Hugst!$R$5:$W$9,MATCH(ROUNDUP((P$1)/10,0)*10,[1]Hugst!$R$4:$W$4,0))))</f>
        <v>0</v>
      </c>
      <c r="Q101" s="168">
        <f>IF($C101-Q$1&lt;År1,0,P100*(1-VLOOKUP($A101,[1]Hugst!$R$5:$W$9,MATCH(ROUNDUP((Q$1)/10,0)*10,[1]Hugst!$R$4:$W$4,0))))</f>
        <v>0</v>
      </c>
      <c r="R101" s="168">
        <f>IF($C101-R$1&lt;År1,0,Q100*(1-VLOOKUP($A101,[1]Hugst!$R$5:$W$9,MATCH(ROUNDUP((R$1)/10,0)*10,[1]Hugst!$R$4:$W$4,0))))</f>
        <v>0</v>
      </c>
      <c r="S101" s="168">
        <f>IF($C101-S$1&lt;År1,0,R100*(1-VLOOKUP($A101,[1]Hugst!$R$5:$W$9,MATCH(ROUNDUP((S$1)/10,0)*10,[1]Hugst!$R$4:$W$4,0))))</f>
        <v>0</v>
      </c>
      <c r="T101" s="168">
        <f>IF($C101-T$1&lt;År1,0,S100*(1-VLOOKUP($A101,[1]Hugst!$R$5:$W$9,MATCH(ROUNDUP((T$1)/10,0)*10,[1]Hugst!$R$4:$W$4,0))))</f>
        <v>0</v>
      </c>
      <c r="U101" s="168">
        <f>IF($C101-U$1&lt;År1,0,T100*(1-VLOOKUP($A101,[1]Hugst!$R$5:$W$9,MATCH(ROUNDUP((U$1)/10,0)*10,[1]Hugst!$R$4:$W$4,0))))</f>
        <v>0</v>
      </c>
      <c r="V101" s="168">
        <f>IF($C101-V$1&lt;År1,0,U100*(1-VLOOKUP($A101,[1]Hugst!$R$5:$W$9,MATCH(ROUNDUP((V$1)/10,0)*10,[1]Hugst!$R$4:$W$4,0))))</f>
        <v>0</v>
      </c>
      <c r="W101" s="168">
        <f>IF($C101-W$1&lt;År1,0,V100*(1-VLOOKUP($A101,[1]Hugst!$R$5:$W$9,MATCH(ROUNDUP((W$1)/10,0)*10,[1]Hugst!$R$4:$W$4,0))))</f>
        <v>0</v>
      </c>
      <c r="X101" s="168">
        <f>IF($C101-X$1&lt;År1,0,W100*(1-VLOOKUP($A101,[1]Hugst!$R$5:$W$9,MATCH(ROUNDUP((X$1)/10,0)*10,[1]Hugst!$R$4:$W$4,0))))</f>
        <v>0</v>
      </c>
      <c r="Y101" s="168">
        <f>IF($C101-Y$1&lt;År1,0,X100*(1-VLOOKUP($A101,[1]Hugst!$R$5:$W$9,MATCH(ROUNDUP((Y$1)/10,0)*10,[1]Hugst!$R$4:$W$4,0))))</f>
        <v>0</v>
      </c>
      <c r="Z101" s="168">
        <f>IF($C101-Z$1&lt;År1,0,Y100*(1-VLOOKUP($A101,[1]Hugst!$R$5:$W$9,MATCH(ROUNDUP((Z$1)/10,0)*10,[1]Hugst!$R$4:$W$4,0))))</f>
        <v>0</v>
      </c>
      <c r="AA101" s="168">
        <f>IF($C101-AA$1&lt;År1,0,Z100*(1-VLOOKUP($A101,[1]Hugst!$R$5:$W$9,MATCH(ROUNDUP((AA$1)/10,0)*10,[1]Hugst!$R$4:$W$4,0))))</f>
        <v>0</v>
      </c>
      <c r="AB101" s="168">
        <f>IF($C101-AB$1&lt;År1,0,AA100*(1-VLOOKUP($A101,[1]Hugst!$R$5:$W$9,MATCH(ROUNDUP((AB$1)/10,0)*10,[1]Hugst!$R$4:$W$4,0))))</f>
        <v>0</v>
      </c>
      <c r="AC101" s="168">
        <f>IF($C101-AC$1&lt;År1,0,AB100*(1-VLOOKUP($A101,[1]Hugst!$R$5:$W$9,MATCH(ROUNDUP((AC$1)/10,0)*10,[1]Hugst!$R$4:$W$4,0))))</f>
        <v>0</v>
      </c>
      <c r="AD101" s="168">
        <f>IF($C101-AD$1&lt;År1,0,AC100*(1-VLOOKUP($A101,[1]Hugst!$R$5:$W$9,MATCH(ROUNDUP((AD$1)/10,0)*10,[1]Hugst!$R$4:$W$4,0))))</f>
        <v>0</v>
      </c>
      <c r="AE101" s="168">
        <f>IF($C101-AE$1&lt;År1,0,AD100*(1-VLOOKUP($A101,[1]Hugst!$R$5:$W$9,MATCH(ROUNDUP((AE$1)/10,0)*10,[1]Hugst!$R$4:$W$4,0))))</f>
        <v>0</v>
      </c>
      <c r="AF101" s="168">
        <f>IF($C101-AF$1&lt;År1,0,AE100*(1-VLOOKUP($A101,[1]Hugst!$R$5:$W$9,MATCH(ROUNDUP((AF$1)/10,0)*10,[1]Hugst!$R$4:$W$4,0))))</f>
        <v>0</v>
      </c>
      <c r="AG101" s="168">
        <f>IF($C101-AG$1&lt;År1,0,AF100*(1-VLOOKUP($A101,[1]Hugst!$R$5:$W$9,MATCH(ROUNDUP((AG$1)/10,0)*10,[1]Hugst!$R$4:$W$4,0))))</f>
        <v>0</v>
      </c>
      <c r="AH101" s="168">
        <f>IF($C101-AH$1&lt;År1,0,AG100*(1-VLOOKUP($A101,[1]Hugst!$R$5:$W$9,MATCH(ROUNDUP((AH$1)/10,0)*10,[1]Hugst!$R$4:$W$4,0))))</f>
        <v>0</v>
      </c>
      <c r="AI101" s="168">
        <f>IF($C101-AI$1&lt;År1,0,AH100*(1-VLOOKUP($A101,[1]Hugst!$R$5:$W$9,MATCH(ROUNDUP((AI$1)/10,0)*10,[1]Hugst!$R$4:$W$4,0))))</f>
        <v>0</v>
      </c>
      <c r="AJ101" s="168">
        <f>IF($C101-AJ$1&lt;År1,0,AI100*(1-VLOOKUP($A101,[1]Hugst!$R$5:$W$9,MATCH(ROUNDUP((AJ$1)/10,0)*10,[1]Hugst!$R$4:$W$4,0))))</f>
        <v>0</v>
      </c>
    </row>
    <row r="102" spans="1:36" s="168" customFormat="1" x14ac:dyDescent="0.25">
      <c r="A102" s="168" t="s">
        <v>177</v>
      </c>
      <c r="B102" s="168" t="s">
        <v>24</v>
      </c>
      <c r="C102" s="168">
        <v>2027</v>
      </c>
      <c r="D102" s="168" cm="1">
        <f t="array" ref="D102">(IF(B102="Vestdanmark",Skovbrug!$C$22-(Skovbrug!$C$22)*(1-Skovbrug!$C$9)^(C102-Skovbrug!$B$12),Skovbrug!$F$22-(Skovbrug!$F$22)*(1-Skovbrug!$C$9)^(C102-Skovbrug!$B$12))*VLOOKUP(A102,Skovbrug!$A$13:$D$17,IF('Skovbrug-alder'!C102&lt;=År2,3,4),FALSE)-IF(C102&gt;2020,SUM(INDEX($C$1:$D$311,MATCH(1,(2020=$C$1:$C$311)*(B102=$B$1:$B$311)*(A102=$A$1:$A$311),0),2):D101),0))</f>
        <v>0</v>
      </c>
      <c r="E102" s="168">
        <f t="shared" ca="1" si="2"/>
        <v>0</v>
      </c>
      <c r="F102" s="168">
        <f ca="1">IF(C102&lt;=År2,IF(B102="Vestdanmark",(Arealanvendelse!$M$27-Arealanvendelse!$J$27),(Arealanvendelse!$M$37-Arealanvendelse!$J$37))/(Arealanvendelse!$M$3-Arealanvendelse!$J$3),IF(B102="Vestdanmark",(Arealanvendelse!$P$27-Arealanvendelse!$M$27),(Arealanvendelse!$P$37-Arealanvendelse!$M$37))/(Arealanvendelse!$P$3-Arealanvendelse!$M$3))*VLOOKUP(A102,Skovbrug!$A$13:$D$17,IF('Skovbrug-alder'!C102&lt;=År2,3,4),FALSE)+D102+E102</f>
        <v>0</v>
      </c>
      <c r="G102" s="168">
        <f ca="1">IF($C102-G$1&lt;År1,0,F101*(1-VLOOKUP($A102,[1]Hugst!$R$5:$W$9,MATCH(ROUNDUP((G$1)/10,0)*10,[1]Hugst!$R$4:$W$4,0))))</f>
        <v>0</v>
      </c>
      <c r="H102" s="168">
        <f ca="1">IF($C102-H$1&lt;År1,0,G101*(1-VLOOKUP($A102,[1]Hugst!$R$5:$W$9,MATCH(ROUNDUP((H$1)/10,0)*10,[1]Hugst!$R$4:$W$4,0))))</f>
        <v>0</v>
      </c>
      <c r="I102" s="168">
        <f ca="1">IF($C102-I$1&lt;År1,0,H101*(1-VLOOKUP($A102,[1]Hugst!$R$5:$W$9,MATCH(ROUNDUP((I$1)/10,0)*10,[1]Hugst!$R$4:$W$4,0))))</f>
        <v>0</v>
      </c>
      <c r="J102" s="168">
        <f ca="1">IF($C102-J$1&lt;År1,0,I101*(1-VLOOKUP($A102,[1]Hugst!$R$5:$W$9,MATCH(ROUNDUP((J$1)/10,0)*10,[1]Hugst!$R$4:$W$4,0))))</f>
        <v>0</v>
      </c>
      <c r="K102" s="168">
        <f ca="1">IF($C102-K$1&lt;År1,0,J101*(1-VLOOKUP($A102,[1]Hugst!$R$5:$W$9,MATCH(ROUNDUP((K$1)/10,0)*10,[1]Hugst!$R$4:$W$4,0))))</f>
        <v>0</v>
      </c>
      <c r="L102" s="168">
        <f ca="1">IF($C102-L$1&lt;År1,0,K101*(1-VLOOKUP($A102,[1]Hugst!$R$5:$W$9,MATCH(ROUNDUP((L$1)/10,0)*10,[1]Hugst!$R$4:$W$4,0))))</f>
        <v>0</v>
      </c>
      <c r="M102" s="168">
        <f ca="1">IF($C102-M$1&lt;År1,0,L101*(1-VLOOKUP($A102,[1]Hugst!$R$5:$W$9,MATCH(ROUNDUP((M$1)/10,0)*10,[1]Hugst!$R$4:$W$4,0))))</f>
        <v>0</v>
      </c>
      <c r="N102" s="168">
        <f>IF($C102-N$1&lt;År1,0,M101*(1-VLOOKUP($A102,[1]Hugst!$R$5:$W$9,MATCH(ROUNDUP((N$1)/10,0)*10,[1]Hugst!$R$4:$W$4,0))))</f>
        <v>0</v>
      </c>
      <c r="O102" s="168">
        <f>IF($C102-O$1&lt;År1,0,N101*(1-VLOOKUP($A102,[1]Hugst!$R$5:$W$9,MATCH(ROUNDUP((O$1)/10,0)*10,[1]Hugst!$R$4:$W$4,0))))</f>
        <v>0</v>
      </c>
      <c r="P102" s="168">
        <f>IF($C102-P$1&lt;År1,0,O101*(1-VLOOKUP($A102,[1]Hugst!$R$5:$W$9,MATCH(ROUNDUP((P$1)/10,0)*10,[1]Hugst!$R$4:$W$4,0))))</f>
        <v>0</v>
      </c>
      <c r="Q102" s="168">
        <f>IF($C102-Q$1&lt;År1,0,P101*(1-VLOOKUP($A102,[1]Hugst!$R$5:$W$9,MATCH(ROUNDUP((Q$1)/10,0)*10,[1]Hugst!$R$4:$W$4,0))))</f>
        <v>0</v>
      </c>
      <c r="R102" s="168">
        <f>IF($C102-R$1&lt;År1,0,Q101*(1-VLOOKUP($A102,[1]Hugst!$R$5:$W$9,MATCH(ROUNDUP((R$1)/10,0)*10,[1]Hugst!$R$4:$W$4,0))))</f>
        <v>0</v>
      </c>
      <c r="S102" s="168">
        <f>IF($C102-S$1&lt;År1,0,R101*(1-VLOOKUP($A102,[1]Hugst!$R$5:$W$9,MATCH(ROUNDUP((S$1)/10,0)*10,[1]Hugst!$R$4:$W$4,0))))</f>
        <v>0</v>
      </c>
      <c r="T102" s="168">
        <f>IF($C102-T$1&lt;År1,0,S101*(1-VLOOKUP($A102,[1]Hugst!$R$5:$W$9,MATCH(ROUNDUP((T$1)/10,0)*10,[1]Hugst!$R$4:$W$4,0))))</f>
        <v>0</v>
      </c>
      <c r="U102" s="168">
        <f>IF($C102-U$1&lt;År1,0,T101*(1-VLOOKUP($A102,[1]Hugst!$R$5:$W$9,MATCH(ROUNDUP((U$1)/10,0)*10,[1]Hugst!$R$4:$W$4,0))))</f>
        <v>0</v>
      </c>
      <c r="V102" s="168">
        <f>IF($C102-V$1&lt;År1,0,U101*(1-VLOOKUP($A102,[1]Hugst!$R$5:$W$9,MATCH(ROUNDUP((V$1)/10,0)*10,[1]Hugst!$R$4:$W$4,0))))</f>
        <v>0</v>
      </c>
      <c r="W102" s="168">
        <f>IF($C102-W$1&lt;År1,0,V101*(1-VLOOKUP($A102,[1]Hugst!$R$5:$W$9,MATCH(ROUNDUP((W$1)/10,0)*10,[1]Hugst!$R$4:$W$4,0))))</f>
        <v>0</v>
      </c>
      <c r="X102" s="168">
        <f>IF($C102-X$1&lt;År1,0,W101*(1-VLOOKUP($A102,[1]Hugst!$R$5:$W$9,MATCH(ROUNDUP((X$1)/10,0)*10,[1]Hugst!$R$4:$W$4,0))))</f>
        <v>0</v>
      </c>
      <c r="Y102" s="168">
        <f>IF($C102-Y$1&lt;År1,0,X101*(1-VLOOKUP($A102,[1]Hugst!$R$5:$W$9,MATCH(ROUNDUP((Y$1)/10,0)*10,[1]Hugst!$R$4:$W$4,0))))</f>
        <v>0</v>
      </c>
      <c r="Z102" s="168">
        <f>IF($C102-Z$1&lt;År1,0,Y101*(1-VLOOKUP($A102,[1]Hugst!$R$5:$W$9,MATCH(ROUNDUP((Z$1)/10,0)*10,[1]Hugst!$R$4:$W$4,0))))</f>
        <v>0</v>
      </c>
      <c r="AA102" s="168">
        <f>IF($C102-AA$1&lt;År1,0,Z101*(1-VLOOKUP($A102,[1]Hugst!$R$5:$W$9,MATCH(ROUNDUP((AA$1)/10,0)*10,[1]Hugst!$R$4:$W$4,0))))</f>
        <v>0</v>
      </c>
      <c r="AB102" s="168">
        <f>IF($C102-AB$1&lt;År1,0,AA101*(1-VLOOKUP($A102,[1]Hugst!$R$5:$W$9,MATCH(ROUNDUP((AB$1)/10,0)*10,[1]Hugst!$R$4:$W$4,0))))</f>
        <v>0</v>
      </c>
      <c r="AC102" s="168">
        <f>IF($C102-AC$1&lt;År1,0,AB101*(1-VLOOKUP($A102,[1]Hugst!$R$5:$W$9,MATCH(ROUNDUP((AC$1)/10,0)*10,[1]Hugst!$R$4:$W$4,0))))</f>
        <v>0</v>
      </c>
      <c r="AD102" s="168">
        <f>IF($C102-AD$1&lt;År1,0,AC101*(1-VLOOKUP($A102,[1]Hugst!$R$5:$W$9,MATCH(ROUNDUP((AD$1)/10,0)*10,[1]Hugst!$R$4:$W$4,0))))</f>
        <v>0</v>
      </c>
      <c r="AE102" s="168">
        <f>IF($C102-AE$1&lt;År1,0,AD101*(1-VLOOKUP($A102,[1]Hugst!$R$5:$W$9,MATCH(ROUNDUP((AE$1)/10,0)*10,[1]Hugst!$R$4:$W$4,0))))</f>
        <v>0</v>
      </c>
      <c r="AF102" s="168">
        <f>IF($C102-AF$1&lt;År1,0,AE101*(1-VLOOKUP($A102,[1]Hugst!$R$5:$W$9,MATCH(ROUNDUP((AF$1)/10,0)*10,[1]Hugst!$R$4:$W$4,0))))</f>
        <v>0</v>
      </c>
      <c r="AG102" s="168">
        <f>IF($C102-AG$1&lt;År1,0,AF101*(1-VLOOKUP($A102,[1]Hugst!$R$5:$W$9,MATCH(ROUNDUP((AG$1)/10,0)*10,[1]Hugst!$R$4:$W$4,0))))</f>
        <v>0</v>
      </c>
      <c r="AH102" s="168">
        <f>IF($C102-AH$1&lt;År1,0,AG101*(1-VLOOKUP($A102,[1]Hugst!$R$5:$W$9,MATCH(ROUNDUP((AH$1)/10,0)*10,[1]Hugst!$R$4:$W$4,0))))</f>
        <v>0</v>
      </c>
      <c r="AI102" s="168">
        <f>IF($C102-AI$1&lt;År1,0,AH101*(1-VLOOKUP($A102,[1]Hugst!$R$5:$W$9,MATCH(ROUNDUP((AI$1)/10,0)*10,[1]Hugst!$R$4:$W$4,0))))</f>
        <v>0</v>
      </c>
      <c r="AJ102" s="168">
        <f>IF($C102-AJ$1&lt;År1,0,AI101*(1-VLOOKUP($A102,[1]Hugst!$R$5:$W$9,MATCH(ROUNDUP((AJ$1)/10,0)*10,[1]Hugst!$R$4:$W$4,0))))</f>
        <v>0</v>
      </c>
    </row>
    <row r="103" spans="1:36" s="168" customFormat="1" x14ac:dyDescent="0.25">
      <c r="A103" s="168" t="s">
        <v>177</v>
      </c>
      <c r="B103" s="168" t="s">
        <v>24</v>
      </c>
      <c r="C103" s="168">
        <v>2028</v>
      </c>
      <c r="D103" s="168" cm="1">
        <f t="array" ref="D103">(IF(B103="Vestdanmark",Skovbrug!$C$22-(Skovbrug!$C$22)*(1-Skovbrug!$C$9)^(C103-Skovbrug!$B$12),Skovbrug!$F$22-(Skovbrug!$F$22)*(1-Skovbrug!$C$9)^(C103-Skovbrug!$B$12))*VLOOKUP(A103,Skovbrug!$A$13:$D$17,IF('Skovbrug-alder'!C103&lt;=År2,3,4),FALSE)-IF(C103&gt;2020,SUM(INDEX($C$1:$D$311,MATCH(1,(2020=$C$1:$C$311)*(B103=$B$1:$B$311)*(A103=$A$1:$A$311),0),2):D102),0))</f>
        <v>0</v>
      </c>
      <c r="E103" s="168">
        <f t="shared" ca="1" si="2"/>
        <v>0</v>
      </c>
      <c r="F103" s="168">
        <f ca="1">IF(C103&lt;=År2,IF(B103="Vestdanmark",(Arealanvendelse!$M$27-Arealanvendelse!$J$27),(Arealanvendelse!$M$37-Arealanvendelse!$J$37))/(Arealanvendelse!$M$3-Arealanvendelse!$J$3),IF(B103="Vestdanmark",(Arealanvendelse!$P$27-Arealanvendelse!$M$27),(Arealanvendelse!$P$37-Arealanvendelse!$M$37))/(Arealanvendelse!$P$3-Arealanvendelse!$M$3))*VLOOKUP(A103,Skovbrug!$A$13:$D$17,IF('Skovbrug-alder'!C103&lt;=År2,3,4),FALSE)+D103+E103</f>
        <v>0</v>
      </c>
      <c r="G103" s="168">
        <f ca="1">IF($C103-G$1&lt;År1,0,F102*(1-VLOOKUP($A103,[1]Hugst!$R$5:$W$9,MATCH(ROUNDUP((G$1)/10,0)*10,[1]Hugst!$R$4:$W$4,0))))</f>
        <v>0</v>
      </c>
      <c r="H103" s="168">
        <f ca="1">IF($C103-H$1&lt;År1,0,G102*(1-VLOOKUP($A103,[1]Hugst!$R$5:$W$9,MATCH(ROUNDUP((H$1)/10,0)*10,[1]Hugst!$R$4:$W$4,0))))</f>
        <v>0</v>
      </c>
      <c r="I103" s="168">
        <f ca="1">IF($C103-I$1&lt;År1,0,H102*(1-VLOOKUP($A103,[1]Hugst!$R$5:$W$9,MATCH(ROUNDUP((I$1)/10,0)*10,[1]Hugst!$R$4:$W$4,0))))</f>
        <v>0</v>
      </c>
      <c r="J103" s="168">
        <f ca="1">IF($C103-J$1&lt;År1,0,I102*(1-VLOOKUP($A103,[1]Hugst!$R$5:$W$9,MATCH(ROUNDUP((J$1)/10,0)*10,[1]Hugst!$R$4:$W$4,0))))</f>
        <v>0</v>
      </c>
      <c r="K103" s="168">
        <f ca="1">IF($C103-K$1&lt;År1,0,J102*(1-VLOOKUP($A103,[1]Hugst!$R$5:$W$9,MATCH(ROUNDUP((K$1)/10,0)*10,[1]Hugst!$R$4:$W$4,0))))</f>
        <v>0</v>
      </c>
      <c r="L103" s="168">
        <f ca="1">IF($C103-L$1&lt;År1,0,K102*(1-VLOOKUP($A103,[1]Hugst!$R$5:$W$9,MATCH(ROUNDUP((L$1)/10,0)*10,[1]Hugst!$R$4:$W$4,0))))</f>
        <v>0</v>
      </c>
      <c r="M103" s="168">
        <f ca="1">IF($C103-M$1&lt;År1,0,L102*(1-VLOOKUP($A103,[1]Hugst!$R$5:$W$9,MATCH(ROUNDUP((M$1)/10,0)*10,[1]Hugst!$R$4:$W$4,0))))</f>
        <v>0</v>
      </c>
      <c r="N103" s="168">
        <f ca="1">IF($C103-N$1&lt;År1,0,M102*(1-VLOOKUP($A103,[1]Hugst!$R$5:$W$9,MATCH(ROUNDUP((N$1)/10,0)*10,[1]Hugst!$R$4:$W$4,0))))</f>
        <v>0</v>
      </c>
      <c r="O103" s="168">
        <f>IF($C103-O$1&lt;År1,0,N102*(1-VLOOKUP($A103,[1]Hugst!$R$5:$W$9,MATCH(ROUNDUP((O$1)/10,0)*10,[1]Hugst!$R$4:$W$4,0))))</f>
        <v>0</v>
      </c>
      <c r="P103" s="168">
        <f>IF($C103-P$1&lt;År1,0,O102*(1-VLOOKUP($A103,[1]Hugst!$R$5:$W$9,MATCH(ROUNDUP((P$1)/10,0)*10,[1]Hugst!$R$4:$W$4,0))))</f>
        <v>0</v>
      </c>
      <c r="Q103" s="168">
        <f>IF($C103-Q$1&lt;År1,0,P102*(1-VLOOKUP($A103,[1]Hugst!$R$5:$W$9,MATCH(ROUNDUP((Q$1)/10,0)*10,[1]Hugst!$R$4:$W$4,0))))</f>
        <v>0</v>
      </c>
      <c r="R103" s="168">
        <f>IF($C103-R$1&lt;År1,0,Q102*(1-VLOOKUP($A103,[1]Hugst!$R$5:$W$9,MATCH(ROUNDUP((R$1)/10,0)*10,[1]Hugst!$R$4:$W$4,0))))</f>
        <v>0</v>
      </c>
      <c r="S103" s="168">
        <f>IF($C103-S$1&lt;År1,0,R102*(1-VLOOKUP($A103,[1]Hugst!$R$5:$W$9,MATCH(ROUNDUP((S$1)/10,0)*10,[1]Hugst!$R$4:$W$4,0))))</f>
        <v>0</v>
      </c>
      <c r="T103" s="168">
        <f>IF($C103-T$1&lt;År1,0,S102*(1-VLOOKUP($A103,[1]Hugst!$R$5:$W$9,MATCH(ROUNDUP((T$1)/10,0)*10,[1]Hugst!$R$4:$W$4,0))))</f>
        <v>0</v>
      </c>
      <c r="U103" s="168">
        <f>IF($C103-U$1&lt;År1,0,T102*(1-VLOOKUP($A103,[1]Hugst!$R$5:$W$9,MATCH(ROUNDUP((U$1)/10,0)*10,[1]Hugst!$R$4:$W$4,0))))</f>
        <v>0</v>
      </c>
      <c r="V103" s="168">
        <f>IF($C103-V$1&lt;År1,0,U102*(1-VLOOKUP($A103,[1]Hugst!$R$5:$W$9,MATCH(ROUNDUP((V$1)/10,0)*10,[1]Hugst!$R$4:$W$4,0))))</f>
        <v>0</v>
      </c>
      <c r="W103" s="168">
        <f>IF($C103-W$1&lt;År1,0,V102*(1-VLOOKUP($A103,[1]Hugst!$R$5:$W$9,MATCH(ROUNDUP((W$1)/10,0)*10,[1]Hugst!$R$4:$W$4,0))))</f>
        <v>0</v>
      </c>
      <c r="X103" s="168">
        <f>IF($C103-X$1&lt;År1,0,W102*(1-VLOOKUP($A103,[1]Hugst!$R$5:$W$9,MATCH(ROUNDUP((X$1)/10,0)*10,[1]Hugst!$R$4:$W$4,0))))</f>
        <v>0</v>
      </c>
      <c r="Y103" s="168">
        <f>IF($C103-Y$1&lt;År1,0,X102*(1-VLOOKUP($A103,[1]Hugst!$R$5:$W$9,MATCH(ROUNDUP((Y$1)/10,0)*10,[1]Hugst!$R$4:$W$4,0))))</f>
        <v>0</v>
      </c>
      <c r="Z103" s="168">
        <f>IF($C103-Z$1&lt;År1,0,Y102*(1-VLOOKUP($A103,[1]Hugst!$R$5:$W$9,MATCH(ROUNDUP((Z$1)/10,0)*10,[1]Hugst!$R$4:$W$4,0))))</f>
        <v>0</v>
      </c>
      <c r="AA103" s="168">
        <f>IF($C103-AA$1&lt;År1,0,Z102*(1-VLOOKUP($A103,[1]Hugst!$R$5:$W$9,MATCH(ROUNDUP((AA$1)/10,0)*10,[1]Hugst!$R$4:$W$4,0))))</f>
        <v>0</v>
      </c>
      <c r="AB103" s="168">
        <f>IF($C103-AB$1&lt;År1,0,AA102*(1-VLOOKUP($A103,[1]Hugst!$R$5:$W$9,MATCH(ROUNDUP((AB$1)/10,0)*10,[1]Hugst!$R$4:$W$4,0))))</f>
        <v>0</v>
      </c>
      <c r="AC103" s="168">
        <f>IF($C103-AC$1&lt;År1,0,AB102*(1-VLOOKUP($A103,[1]Hugst!$R$5:$W$9,MATCH(ROUNDUP((AC$1)/10,0)*10,[1]Hugst!$R$4:$W$4,0))))</f>
        <v>0</v>
      </c>
      <c r="AD103" s="168">
        <f>IF($C103-AD$1&lt;År1,0,AC102*(1-VLOOKUP($A103,[1]Hugst!$R$5:$W$9,MATCH(ROUNDUP((AD$1)/10,0)*10,[1]Hugst!$R$4:$W$4,0))))</f>
        <v>0</v>
      </c>
      <c r="AE103" s="168">
        <f>IF($C103-AE$1&lt;År1,0,AD102*(1-VLOOKUP($A103,[1]Hugst!$R$5:$W$9,MATCH(ROUNDUP((AE$1)/10,0)*10,[1]Hugst!$R$4:$W$4,0))))</f>
        <v>0</v>
      </c>
      <c r="AF103" s="168">
        <f>IF($C103-AF$1&lt;År1,0,AE102*(1-VLOOKUP($A103,[1]Hugst!$R$5:$W$9,MATCH(ROUNDUP((AF$1)/10,0)*10,[1]Hugst!$R$4:$W$4,0))))</f>
        <v>0</v>
      </c>
      <c r="AG103" s="168">
        <f>IF($C103-AG$1&lt;År1,0,AF102*(1-VLOOKUP($A103,[1]Hugst!$R$5:$W$9,MATCH(ROUNDUP((AG$1)/10,0)*10,[1]Hugst!$R$4:$W$4,0))))</f>
        <v>0</v>
      </c>
      <c r="AH103" s="168">
        <f>IF($C103-AH$1&lt;År1,0,AG102*(1-VLOOKUP($A103,[1]Hugst!$R$5:$W$9,MATCH(ROUNDUP((AH$1)/10,0)*10,[1]Hugst!$R$4:$W$4,0))))</f>
        <v>0</v>
      </c>
      <c r="AI103" s="168">
        <f>IF($C103-AI$1&lt;År1,0,AH102*(1-VLOOKUP($A103,[1]Hugst!$R$5:$W$9,MATCH(ROUNDUP((AI$1)/10,0)*10,[1]Hugst!$R$4:$W$4,0))))</f>
        <v>0</v>
      </c>
      <c r="AJ103" s="168">
        <f>IF($C103-AJ$1&lt;År1,0,AI102*(1-VLOOKUP($A103,[1]Hugst!$R$5:$W$9,MATCH(ROUNDUP((AJ$1)/10,0)*10,[1]Hugst!$R$4:$W$4,0))))</f>
        <v>0</v>
      </c>
    </row>
    <row r="104" spans="1:36" s="168" customFormat="1" x14ac:dyDescent="0.25">
      <c r="A104" s="168" t="s">
        <v>177</v>
      </c>
      <c r="B104" s="168" t="s">
        <v>24</v>
      </c>
      <c r="C104" s="168">
        <v>2029</v>
      </c>
      <c r="D104" s="168" cm="1">
        <f t="array" ref="D104">(IF(B104="Vestdanmark",Skovbrug!$C$22-(Skovbrug!$C$22)*(1-Skovbrug!$C$9)^(C104-Skovbrug!$B$12),Skovbrug!$F$22-(Skovbrug!$F$22)*(1-Skovbrug!$C$9)^(C104-Skovbrug!$B$12))*VLOOKUP(A104,Skovbrug!$A$13:$D$17,IF('Skovbrug-alder'!C104&lt;=År2,3,4),FALSE)-IF(C104&gt;2020,SUM(INDEX($C$1:$D$311,MATCH(1,(2020=$C$1:$C$311)*(B104=$B$1:$B$311)*(A104=$A$1:$A$311),0),2):D103),0))</f>
        <v>0</v>
      </c>
      <c r="E104" s="168">
        <f ca="1">IF(C104=2020,SUM(G104:AJ104),SUM(F103:AJ103)-SUM(G104:AJ104))</f>
        <v>0</v>
      </c>
      <c r="F104" s="168">
        <f ca="1">IF(C104&lt;=År2,IF(B104="Vestdanmark",(Arealanvendelse!$M$27-Arealanvendelse!$J$27),(Arealanvendelse!$M$37-Arealanvendelse!$J$37))/(Arealanvendelse!$M$3-Arealanvendelse!$J$3),IF(B104="Vestdanmark",(Arealanvendelse!$P$27-Arealanvendelse!$M$27),(Arealanvendelse!$P$37-Arealanvendelse!$M$37))/(Arealanvendelse!$P$3-Arealanvendelse!$M$3))*VLOOKUP(A104,Skovbrug!$A$13:$D$17,IF('Skovbrug-alder'!C104&lt;=År2,3,4),FALSE)+D104+E104</f>
        <v>0</v>
      </c>
      <c r="G104" s="168">
        <f ca="1">IF($C104-G$1&lt;År1,0,F103*(1-VLOOKUP($A104,[1]Hugst!$R$5:$W$9,MATCH(ROUNDUP((G$1)/10,0)*10,[1]Hugst!$R$4:$W$4,0))))</f>
        <v>0</v>
      </c>
      <c r="H104" s="168">
        <f ca="1">IF($C104-H$1&lt;År1,0,G103*(1-VLOOKUP($A104,[1]Hugst!$R$5:$W$9,MATCH(ROUNDUP((H$1)/10,0)*10,[1]Hugst!$R$4:$W$4,0))))</f>
        <v>0</v>
      </c>
      <c r="I104" s="168">
        <f ca="1">IF($C104-I$1&lt;År1,0,H103*(1-VLOOKUP($A104,[1]Hugst!$R$5:$W$9,MATCH(ROUNDUP((I$1)/10,0)*10,[1]Hugst!$R$4:$W$4,0))))</f>
        <v>0</v>
      </c>
      <c r="J104" s="168">
        <f ca="1">IF($C104-J$1&lt;År1,0,I103*(1-VLOOKUP($A104,[1]Hugst!$R$5:$W$9,MATCH(ROUNDUP((J$1)/10,0)*10,[1]Hugst!$R$4:$W$4,0))))</f>
        <v>0</v>
      </c>
      <c r="K104" s="168">
        <f ca="1">IF($C104-K$1&lt;År1,0,J103*(1-VLOOKUP($A104,[1]Hugst!$R$5:$W$9,MATCH(ROUNDUP((K$1)/10,0)*10,[1]Hugst!$R$4:$W$4,0))))</f>
        <v>0</v>
      </c>
      <c r="L104" s="168">
        <f ca="1">IF($C104-L$1&lt;År1,0,K103*(1-VLOOKUP($A104,[1]Hugst!$R$5:$W$9,MATCH(ROUNDUP((L$1)/10,0)*10,[1]Hugst!$R$4:$W$4,0))))</f>
        <v>0</v>
      </c>
      <c r="M104" s="168">
        <f ca="1">IF($C104-M$1&lt;År1,0,L103*(1-VLOOKUP($A104,[1]Hugst!$R$5:$W$9,MATCH(ROUNDUP((M$1)/10,0)*10,[1]Hugst!$R$4:$W$4,0))))</f>
        <v>0</v>
      </c>
      <c r="N104" s="168">
        <f ca="1">IF($C104-N$1&lt;År1,0,M103*(1-VLOOKUP($A104,[1]Hugst!$R$5:$W$9,MATCH(ROUNDUP((N$1)/10,0)*10,[1]Hugst!$R$4:$W$4,0))))</f>
        <v>0</v>
      </c>
      <c r="O104" s="168">
        <f ca="1">IF($C104-O$1&lt;År1,0,N103*(1-VLOOKUP($A104,[1]Hugst!$R$5:$W$9,MATCH(ROUNDUP((O$1)/10,0)*10,[1]Hugst!$R$4:$W$4,0))))</f>
        <v>0</v>
      </c>
      <c r="P104" s="168">
        <f>IF($C104-P$1&lt;År1,0,O103*(1-VLOOKUP($A104,[1]Hugst!$R$5:$W$9,MATCH(ROUNDUP((P$1)/10,0)*10,[1]Hugst!$R$4:$W$4,0))))</f>
        <v>0</v>
      </c>
      <c r="Q104" s="168">
        <f>IF($C104-Q$1&lt;År1,0,P103*(1-VLOOKUP($A104,[1]Hugst!$R$5:$W$9,MATCH(ROUNDUP((Q$1)/10,0)*10,[1]Hugst!$R$4:$W$4,0))))</f>
        <v>0</v>
      </c>
      <c r="R104" s="168">
        <f>IF($C104-R$1&lt;År1,0,Q103*(1-VLOOKUP($A104,[1]Hugst!$R$5:$W$9,MATCH(ROUNDUP((R$1)/10,0)*10,[1]Hugst!$R$4:$W$4,0))))</f>
        <v>0</v>
      </c>
      <c r="S104" s="168">
        <f>IF($C104-S$1&lt;År1,0,R103*(1-VLOOKUP($A104,[1]Hugst!$R$5:$W$9,MATCH(ROUNDUP((S$1)/10,0)*10,[1]Hugst!$R$4:$W$4,0))))</f>
        <v>0</v>
      </c>
      <c r="T104" s="168">
        <f>IF($C104-T$1&lt;År1,0,S103*(1-VLOOKUP($A104,[1]Hugst!$R$5:$W$9,MATCH(ROUNDUP((T$1)/10,0)*10,[1]Hugst!$R$4:$W$4,0))))</f>
        <v>0</v>
      </c>
      <c r="U104" s="168">
        <f>IF($C104-U$1&lt;År1,0,T103*(1-VLOOKUP($A104,[1]Hugst!$R$5:$W$9,MATCH(ROUNDUP((U$1)/10,0)*10,[1]Hugst!$R$4:$W$4,0))))</f>
        <v>0</v>
      </c>
      <c r="V104" s="168">
        <f>IF($C104-V$1&lt;År1,0,U103*(1-VLOOKUP($A104,[1]Hugst!$R$5:$W$9,MATCH(ROUNDUP((V$1)/10,0)*10,[1]Hugst!$R$4:$W$4,0))))</f>
        <v>0</v>
      </c>
      <c r="W104" s="168">
        <f>IF($C104-W$1&lt;År1,0,V103*(1-VLOOKUP($A104,[1]Hugst!$R$5:$W$9,MATCH(ROUNDUP((W$1)/10,0)*10,[1]Hugst!$R$4:$W$4,0))))</f>
        <v>0</v>
      </c>
      <c r="X104" s="168">
        <f>IF($C104-X$1&lt;År1,0,W103*(1-VLOOKUP($A104,[1]Hugst!$R$5:$W$9,MATCH(ROUNDUP((X$1)/10,0)*10,[1]Hugst!$R$4:$W$4,0))))</f>
        <v>0</v>
      </c>
      <c r="Y104" s="168">
        <f>IF($C104-Y$1&lt;År1,0,X103*(1-VLOOKUP($A104,[1]Hugst!$R$5:$W$9,MATCH(ROUNDUP((Y$1)/10,0)*10,[1]Hugst!$R$4:$W$4,0))))</f>
        <v>0</v>
      </c>
      <c r="Z104" s="168">
        <f>IF($C104-Z$1&lt;År1,0,Y103*(1-VLOOKUP($A104,[1]Hugst!$R$5:$W$9,MATCH(ROUNDUP((Z$1)/10,0)*10,[1]Hugst!$R$4:$W$4,0))))</f>
        <v>0</v>
      </c>
      <c r="AA104" s="168">
        <f>IF($C104-AA$1&lt;År1,0,Z103*(1-VLOOKUP($A104,[1]Hugst!$R$5:$W$9,MATCH(ROUNDUP((AA$1)/10,0)*10,[1]Hugst!$R$4:$W$4,0))))</f>
        <v>0</v>
      </c>
      <c r="AB104" s="168">
        <f>IF($C104-AB$1&lt;År1,0,AA103*(1-VLOOKUP($A104,[1]Hugst!$R$5:$W$9,MATCH(ROUNDUP((AB$1)/10,0)*10,[1]Hugst!$R$4:$W$4,0))))</f>
        <v>0</v>
      </c>
      <c r="AC104" s="168">
        <f>IF($C104-AC$1&lt;År1,0,AB103*(1-VLOOKUP($A104,[1]Hugst!$R$5:$W$9,MATCH(ROUNDUP((AC$1)/10,0)*10,[1]Hugst!$R$4:$W$4,0))))</f>
        <v>0</v>
      </c>
      <c r="AD104" s="168">
        <f>IF($C104-AD$1&lt;År1,0,AC103*(1-VLOOKUP($A104,[1]Hugst!$R$5:$W$9,MATCH(ROUNDUP((AD$1)/10,0)*10,[1]Hugst!$R$4:$W$4,0))))</f>
        <v>0</v>
      </c>
      <c r="AE104" s="168">
        <f>IF($C104-AE$1&lt;År1,0,AD103*(1-VLOOKUP($A104,[1]Hugst!$R$5:$W$9,MATCH(ROUNDUP((AE$1)/10,0)*10,[1]Hugst!$R$4:$W$4,0))))</f>
        <v>0</v>
      </c>
      <c r="AF104" s="168">
        <f>IF($C104-AF$1&lt;År1,0,AE103*(1-VLOOKUP($A104,[1]Hugst!$R$5:$W$9,MATCH(ROUNDUP((AF$1)/10,0)*10,[1]Hugst!$R$4:$W$4,0))))</f>
        <v>0</v>
      </c>
      <c r="AG104" s="168">
        <f>IF($C104-AG$1&lt;År1,0,AF103*(1-VLOOKUP($A104,[1]Hugst!$R$5:$W$9,MATCH(ROUNDUP((AG$1)/10,0)*10,[1]Hugst!$R$4:$W$4,0))))</f>
        <v>0</v>
      </c>
      <c r="AH104" s="168">
        <f>IF($C104-AH$1&lt;År1,0,AG103*(1-VLOOKUP($A104,[1]Hugst!$R$5:$W$9,MATCH(ROUNDUP((AH$1)/10,0)*10,[1]Hugst!$R$4:$W$4,0))))</f>
        <v>0</v>
      </c>
      <c r="AI104" s="168">
        <f>IF($C104-AI$1&lt;År1,0,AH103*(1-VLOOKUP($A104,[1]Hugst!$R$5:$W$9,MATCH(ROUNDUP((AI$1)/10,0)*10,[1]Hugst!$R$4:$W$4,0))))</f>
        <v>0</v>
      </c>
      <c r="AJ104" s="168">
        <f>IF($C104-AJ$1&lt;År1,0,AI103*(1-VLOOKUP($A104,[1]Hugst!$R$5:$W$9,MATCH(ROUNDUP((AJ$1)/10,0)*10,[1]Hugst!$R$4:$W$4,0))))</f>
        <v>0</v>
      </c>
    </row>
    <row r="105" spans="1:36" s="168" customFormat="1" x14ac:dyDescent="0.25">
      <c r="A105" s="168" t="s">
        <v>177</v>
      </c>
      <c r="B105" s="168" t="s">
        <v>24</v>
      </c>
      <c r="C105" s="168">
        <v>2030</v>
      </c>
      <c r="D105" s="168" cm="1">
        <f t="array" ref="D105">(IF(B105="Vestdanmark",Skovbrug!$C$22-(Skovbrug!$C$22)*(1-Skovbrug!$C$9)^(C105-Skovbrug!$B$12),Skovbrug!$F$22-(Skovbrug!$F$22)*(1-Skovbrug!$C$9)^(C105-Skovbrug!$B$12))*VLOOKUP(A105,Skovbrug!$A$13:$D$17,IF('Skovbrug-alder'!C105&lt;=År2,3,4),FALSE)-IF(C105&gt;2020,SUM(INDEX($C$1:$D$311,MATCH(1,(2020=$C$1:$C$311)*(B105=$B$1:$B$311)*(A105=$A$1:$A$311),0),2):D104),0))</f>
        <v>0</v>
      </c>
      <c r="E105" s="168">
        <f t="shared" ca="1" si="2"/>
        <v>0</v>
      </c>
      <c r="F105" s="168">
        <f ca="1">IF(C105&lt;=År2,IF(B105="Vestdanmark",(Arealanvendelse!$M$27-Arealanvendelse!$J$27),(Arealanvendelse!$M$37-Arealanvendelse!$J$37))/(Arealanvendelse!$M$3-Arealanvendelse!$J$3),IF(B105="Vestdanmark",(Arealanvendelse!$P$27-Arealanvendelse!$M$27),(Arealanvendelse!$P$37-Arealanvendelse!$M$37))/(Arealanvendelse!$P$3-Arealanvendelse!$M$3))*VLOOKUP(A105,Skovbrug!$A$13:$D$17,IF('Skovbrug-alder'!C105&lt;=År2,3,4),FALSE)+D105+E105</f>
        <v>0</v>
      </c>
      <c r="G105" s="168">
        <f ca="1">IF($C105-G$1&lt;År1,0,F104*(1-VLOOKUP($A105,[1]Hugst!$R$5:$W$9,MATCH(ROUNDUP((G$1)/10,0)*10,[1]Hugst!$R$4:$W$4,0))))</f>
        <v>0</v>
      </c>
      <c r="H105" s="168">
        <f ca="1">IF($C105-H$1&lt;År1,0,G104*(1-VLOOKUP($A105,[1]Hugst!$R$5:$W$9,MATCH(ROUNDUP((H$1)/10,0)*10,[1]Hugst!$R$4:$W$4,0))))</f>
        <v>0</v>
      </c>
      <c r="I105" s="168">
        <f ca="1">IF($C105-I$1&lt;År1,0,H104*(1-VLOOKUP($A105,[1]Hugst!$R$5:$W$9,MATCH(ROUNDUP((I$1)/10,0)*10,[1]Hugst!$R$4:$W$4,0))))</f>
        <v>0</v>
      </c>
      <c r="J105" s="168">
        <f ca="1">IF($C105-J$1&lt;År1,0,I104*(1-VLOOKUP($A105,[1]Hugst!$R$5:$W$9,MATCH(ROUNDUP((J$1)/10,0)*10,[1]Hugst!$R$4:$W$4,0))))</f>
        <v>0</v>
      </c>
      <c r="K105" s="168">
        <f ca="1">IF($C105-K$1&lt;År1,0,J104*(1-VLOOKUP($A105,[1]Hugst!$R$5:$W$9,MATCH(ROUNDUP((K$1)/10,0)*10,[1]Hugst!$R$4:$W$4,0))))</f>
        <v>0</v>
      </c>
      <c r="L105" s="168">
        <f ca="1">IF($C105-L$1&lt;År1,0,K104*(1-VLOOKUP($A105,[1]Hugst!$R$5:$W$9,MATCH(ROUNDUP((L$1)/10,0)*10,[1]Hugst!$R$4:$W$4,0))))</f>
        <v>0</v>
      </c>
      <c r="M105" s="168">
        <f ca="1">IF($C105-M$1&lt;År1,0,L104*(1-VLOOKUP($A105,[1]Hugst!$R$5:$W$9,MATCH(ROUNDUP((M$1)/10,0)*10,[1]Hugst!$R$4:$W$4,0))))</f>
        <v>0</v>
      </c>
      <c r="N105" s="168">
        <f ca="1">IF($C105-N$1&lt;År1,0,M104*(1-VLOOKUP($A105,[1]Hugst!$R$5:$W$9,MATCH(ROUNDUP((N$1)/10,0)*10,[1]Hugst!$R$4:$W$4,0))))</f>
        <v>0</v>
      </c>
      <c r="O105" s="168">
        <f ca="1">IF($C105-O$1&lt;År1,0,N104*(1-VLOOKUP($A105,[1]Hugst!$R$5:$W$9,MATCH(ROUNDUP((O$1)/10,0)*10,[1]Hugst!$R$4:$W$4,0))))</f>
        <v>0</v>
      </c>
      <c r="P105" s="168">
        <f ca="1">IF($C105-P$1&lt;År1,0,O104*(1-VLOOKUP($A105,[1]Hugst!$R$5:$W$9,MATCH(ROUNDUP((P$1)/10,0)*10,[1]Hugst!$R$4:$W$4,0))))</f>
        <v>0</v>
      </c>
      <c r="Q105" s="168">
        <f>IF($C105-Q$1&lt;År1,0,P104*(1-VLOOKUP($A105,[1]Hugst!$R$5:$W$9,MATCH(ROUNDUP((Q$1)/10,0)*10,[1]Hugst!$R$4:$W$4,0))))</f>
        <v>0</v>
      </c>
      <c r="R105" s="168">
        <f>IF($C105-R$1&lt;År1,0,Q104*(1-VLOOKUP($A105,[1]Hugst!$R$5:$W$9,MATCH(ROUNDUP((R$1)/10,0)*10,[1]Hugst!$R$4:$W$4,0))))</f>
        <v>0</v>
      </c>
      <c r="S105" s="168">
        <f>IF($C105-S$1&lt;År1,0,R104*(1-VLOOKUP($A105,[1]Hugst!$R$5:$W$9,MATCH(ROUNDUP((S$1)/10,0)*10,[1]Hugst!$R$4:$W$4,0))))</f>
        <v>0</v>
      </c>
      <c r="T105" s="168">
        <f>IF($C105-T$1&lt;År1,0,S104*(1-VLOOKUP($A105,[1]Hugst!$R$5:$W$9,MATCH(ROUNDUP((T$1)/10,0)*10,[1]Hugst!$R$4:$W$4,0))))</f>
        <v>0</v>
      </c>
      <c r="U105" s="168">
        <f>IF($C105-U$1&lt;År1,0,T104*(1-VLOOKUP($A105,[1]Hugst!$R$5:$W$9,MATCH(ROUNDUP((U$1)/10,0)*10,[1]Hugst!$R$4:$W$4,0))))</f>
        <v>0</v>
      </c>
      <c r="V105" s="168">
        <f>IF($C105-V$1&lt;År1,0,U104*(1-VLOOKUP($A105,[1]Hugst!$R$5:$W$9,MATCH(ROUNDUP((V$1)/10,0)*10,[1]Hugst!$R$4:$W$4,0))))</f>
        <v>0</v>
      </c>
      <c r="W105" s="168">
        <f>IF($C105-W$1&lt;År1,0,V104*(1-VLOOKUP($A105,[1]Hugst!$R$5:$W$9,MATCH(ROUNDUP((W$1)/10,0)*10,[1]Hugst!$R$4:$W$4,0))))</f>
        <v>0</v>
      </c>
      <c r="X105" s="168">
        <f>IF($C105-X$1&lt;År1,0,W104*(1-VLOOKUP($A105,[1]Hugst!$R$5:$W$9,MATCH(ROUNDUP((X$1)/10,0)*10,[1]Hugst!$R$4:$W$4,0))))</f>
        <v>0</v>
      </c>
      <c r="Y105" s="168">
        <f>IF($C105-Y$1&lt;År1,0,X104*(1-VLOOKUP($A105,[1]Hugst!$R$5:$W$9,MATCH(ROUNDUP((Y$1)/10,0)*10,[1]Hugst!$R$4:$W$4,0))))</f>
        <v>0</v>
      </c>
      <c r="Z105" s="168">
        <f>IF($C105-Z$1&lt;År1,0,Y104*(1-VLOOKUP($A105,[1]Hugst!$R$5:$W$9,MATCH(ROUNDUP((Z$1)/10,0)*10,[1]Hugst!$R$4:$W$4,0))))</f>
        <v>0</v>
      </c>
      <c r="AA105" s="168">
        <f>IF($C105-AA$1&lt;År1,0,Z104*(1-VLOOKUP($A105,[1]Hugst!$R$5:$W$9,MATCH(ROUNDUP((AA$1)/10,0)*10,[1]Hugst!$R$4:$W$4,0))))</f>
        <v>0</v>
      </c>
      <c r="AB105" s="168">
        <f>IF($C105-AB$1&lt;År1,0,AA104*(1-VLOOKUP($A105,[1]Hugst!$R$5:$W$9,MATCH(ROUNDUP((AB$1)/10,0)*10,[1]Hugst!$R$4:$W$4,0))))</f>
        <v>0</v>
      </c>
      <c r="AC105" s="168">
        <f>IF($C105-AC$1&lt;År1,0,AB104*(1-VLOOKUP($A105,[1]Hugst!$R$5:$W$9,MATCH(ROUNDUP((AC$1)/10,0)*10,[1]Hugst!$R$4:$W$4,0))))</f>
        <v>0</v>
      </c>
      <c r="AD105" s="168">
        <f>IF($C105-AD$1&lt;År1,0,AC104*(1-VLOOKUP($A105,[1]Hugst!$R$5:$W$9,MATCH(ROUNDUP((AD$1)/10,0)*10,[1]Hugst!$R$4:$W$4,0))))</f>
        <v>0</v>
      </c>
      <c r="AE105" s="168">
        <f>IF($C105-AE$1&lt;År1,0,AD104*(1-VLOOKUP($A105,[1]Hugst!$R$5:$W$9,MATCH(ROUNDUP((AE$1)/10,0)*10,[1]Hugst!$R$4:$W$4,0))))</f>
        <v>0</v>
      </c>
      <c r="AF105" s="168">
        <f>IF($C105-AF$1&lt;År1,0,AE104*(1-VLOOKUP($A105,[1]Hugst!$R$5:$W$9,MATCH(ROUNDUP((AF$1)/10,0)*10,[1]Hugst!$R$4:$W$4,0))))</f>
        <v>0</v>
      </c>
      <c r="AG105" s="168">
        <f>IF($C105-AG$1&lt;År1,0,AF104*(1-VLOOKUP($A105,[1]Hugst!$R$5:$W$9,MATCH(ROUNDUP((AG$1)/10,0)*10,[1]Hugst!$R$4:$W$4,0))))</f>
        <v>0</v>
      </c>
      <c r="AH105" s="168">
        <f>IF($C105-AH$1&lt;År1,0,AG104*(1-VLOOKUP($A105,[1]Hugst!$R$5:$W$9,MATCH(ROUNDUP((AH$1)/10,0)*10,[1]Hugst!$R$4:$W$4,0))))</f>
        <v>0</v>
      </c>
      <c r="AI105" s="168">
        <f>IF($C105-AI$1&lt;År1,0,AH104*(1-VLOOKUP($A105,[1]Hugst!$R$5:$W$9,MATCH(ROUNDUP((AI$1)/10,0)*10,[1]Hugst!$R$4:$W$4,0))))</f>
        <v>0</v>
      </c>
      <c r="AJ105" s="168">
        <f>IF($C105-AJ$1&lt;År1,0,AI104*(1-VLOOKUP($A105,[1]Hugst!$R$5:$W$9,MATCH(ROUNDUP((AJ$1)/10,0)*10,[1]Hugst!$R$4:$W$4,0))))</f>
        <v>0</v>
      </c>
    </row>
    <row r="106" spans="1:36" s="168" customFormat="1" x14ac:dyDescent="0.25">
      <c r="A106" s="168" t="s">
        <v>177</v>
      </c>
      <c r="B106" s="168" t="s">
        <v>24</v>
      </c>
      <c r="C106" s="168">
        <v>2031</v>
      </c>
      <c r="D106" s="168" cm="1">
        <f t="array" ref="D106">(IF(B106="Vestdanmark",Skovbrug!$C$22-(Skovbrug!$C$22)*(1-Skovbrug!$C$9)^(C106-Skovbrug!$B$12),Skovbrug!$F$22-(Skovbrug!$F$22)*(1-Skovbrug!$C$9)^(C106-Skovbrug!$B$12))*VLOOKUP(A106,Skovbrug!$A$13:$D$17,IF('Skovbrug-alder'!C106&lt;=År2,3,4),FALSE)-IF(C106&gt;2020,SUM(INDEX($C$1:$D$311,MATCH(1,(2020=$C$1:$C$311)*(B106=$B$1:$B$311)*(A106=$A$1:$A$311),0),2):D105),0))</f>
        <v>0</v>
      </c>
      <c r="E106" s="168">
        <f t="shared" ca="1" si="2"/>
        <v>0</v>
      </c>
      <c r="F106" s="168">
        <f ca="1">IF(C106&lt;=År2,IF(B106="Vestdanmark",(Arealanvendelse!$M$27-Arealanvendelse!$J$27),(Arealanvendelse!$M$37-Arealanvendelse!$J$37))/(Arealanvendelse!$M$3-Arealanvendelse!$J$3),IF(B106="Vestdanmark",(Arealanvendelse!$P$27-Arealanvendelse!$M$27),(Arealanvendelse!$P$37-Arealanvendelse!$M$37))/(Arealanvendelse!$P$3-Arealanvendelse!$M$3))*VLOOKUP(A106,Skovbrug!$A$13:$D$17,IF('Skovbrug-alder'!C106&lt;=År2,3,4),FALSE)+D106+E106</f>
        <v>0</v>
      </c>
      <c r="G106" s="168">
        <f ca="1">IF($C106-G$1&lt;År1,0,F105*(1-VLOOKUP($A106,[1]Hugst!$R$5:$W$9,MATCH(ROUNDUP((G$1)/10,0)*10,[1]Hugst!$R$4:$W$4,0))))</f>
        <v>0</v>
      </c>
      <c r="H106" s="168">
        <f ca="1">IF($C106-H$1&lt;År1,0,G105*(1-VLOOKUP($A106,[1]Hugst!$R$5:$W$9,MATCH(ROUNDUP((H$1)/10,0)*10,[1]Hugst!$R$4:$W$4,0))))</f>
        <v>0</v>
      </c>
      <c r="I106" s="168">
        <f ca="1">IF($C106-I$1&lt;År1,0,H105*(1-VLOOKUP($A106,[1]Hugst!$R$5:$W$9,MATCH(ROUNDUP((I$1)/10,0)*10,[1]Hugst!$R$4:$W$4,0))))</f>
        <v>0</v>
      </c>
      <c r="J106" s="168">
        <f ca="1">IF($C106-J$1&lt;År1,0,I105*(1-VLOOKUP($A106,[1]Hugst!$R$5:$W$9,MATCH(ROUNDUP((J$1)/10,0)*10,[1]Hugst!$R$4:$W$4,0))))</f>
        <v>0</v>
      </c>
      <c r="K106" s="168">
        <f ca="1">IF($C106-K$1&lt;År1,0,J105*(1-VLOOKUP($A106,[1]Hugst!$R$5:$W$9,MATCH(ROUNDUP((K$1)/10,0)*10,[1]Hugst!$R$4:$W$4,0))))</f>
        <v>0</v>
      </c>
      <c r="L106" s="168">
        <f ca="1">IF($C106-L$1&lt;År1,0,K105*(1-VLOOKUP($A106,[1]Hugst!$R$5:$W$9,MATCH(ROUNDUP((L$1)/10,0)*10,[1]Hugst!$R$4:$W$4,0))))</f>
        <v>0</v>
      </c>
      <c r="M106" s="168">
        <f ca="1">IF($C106-M$1&lt;År1,0,L105*(1-VLOOKUP($A106,[1]Hugst!$R$5:$W$9,MATCH(ROUNDUP((M$1)/10,0)*10,[1]Hugst!$R$4:$W$4,0))))</f>
        <v>0</v>
      </c>
      <c r="N106" s="168">
        <f ca="1">IF($C106-N$1&lt;År1,0,M105*(1-VLOOKUP($A106,[1]Hugst!$R$5:$W$9,MATCH(ROUNDUP((N$1)/10,0)*10,[1]Hugst!$R$4:$W$4,0))))</f>
        <v>0</v>
      </c>
      <c r="O106" s="168">
        <f ca="1">IF($C106-O$1&lt;År1,0,N105*(1-VLOOKUP($A106,[1]Hugst!$R$5:$W$9,MATCH(ROUNDUP((O$1)/10,0)*10,[1]Hugst!$R$4:$W$4,0))))</f>
        <v>0</v>
      </c>
      <c r="P106" s="168">
        <f ca="1">IF($C106-P$1&lt;År1,0,O105*(1-VLOOKUP($A106,[1]Hugst!$R$5:$W$9,MATCH(ROUNDUP((P$1)/10,0)*10,[1]Hugst!$R$4:$W$4,0))))</f>
        <v>0</v>
      </c>
      <c r="Q106" s="168">
        <f ca="1">IF($C106-Q$1&lt;År1,0,P105*(1-VLOOKUP($A106,[1]Hugst!$R$5:$W$9,MATCH(ROUNDUP((Q$1)/10,0)*10,[1]Hugst!$R$4:$W$4,0))))</f>
        <v>0</v>
      </c>
      <c r="R106" s="168">
        <f>IF($C106-R$1&lt;År1,0,Q105*(1-VLOOKUP($A106,[1]Hugst!$R$5:$W$9,MATCH(ROUNDUP((R$1)/10,0)*10,[1]Hugst!$R$4:$W$4,0))))</f>
        <v>0</v>
      </c>
      <c r="S106" s="168">
        <f>IF($C106-S$1&lt;År1,0,R105*(1-VLOOKUP($A106,[1]Hugst!$R$5:$W$9,MATCH(ROUNDUP((S$1)/10,0)*10,[1]Hugst!$R$4:$W$4,0))))</f>
        <v>0</v>
      </c>
      <c r="T106" s="168">
        <f>IF($C106-T$1&lt;År1,0,S105*(1-VLOOKUP($A106,[1]Hugst!$R$5:$W$9,MATCH(ROUNDUP((T$1)/10,0)*10,[1]Hugst!$R$4:$W$4,0))))</f>
        <v>0</v>
      </c>
      <c r="U106" s="168">
        <f>IF($C106-U$1&lt;År1,0,T105*(1-VLOOKUP($A106,[1]Hugst!$R$5:$W$9,MATCH(ROUNDUP((U$1)/10,0)*10,[1]Hugst!$R$4:$W$4,0))))</f>
        <v>0</v>
      </c>
      <c r="V106" s="168">
        <f>IF($C106-V$1&lt;År1,0,U105*(1-VLOOKUP($A106,[1]Hugst!$R$5:$W$9,MATCH(ROUNDUP((V$1)/10,0)*10,[1]Hugst!$R$4:$W$4,0))))</f>
        <v>0</v>
      </c>
      <c r="W106" s="168">
        <f>IF($C106-W$1&lt;År1,0,V105*(1-VLOOKUP($A106,[1]Hugst!$R$5:$W$9,MATCH(ROUNDUP((W$1)/10,0)*10,[1]Hugst!$R$4:$W$4,0))))</f>
        <v>0</v>
      </c>
      <c r="X106" s="168">
        <f>IF($C106-X$1&lt;År1,0,W105*(1-VLOOKUP($A106,[1]Hugst!$R$5:$W$9,MATCH(ROUNDUP((X$1)/10,0)*10,[1]Hugst!$R$4:$W$4,0))))</f>
        <v>0</v>
      </c>
      <c r="Y106" s="168">
        <f>IF($C106-Y$1&lt;År1,0,X105*(1-VLOOKUP($A106,[1]Hugst!$R$5:$W$9,MATCH(ROUNDUP((Y$1)/10,0)*10,[1]Hugst!$R$4:$W$4,0))))</f>
        <v>0</v>
      </c>
      <c r="Z106" s="168">
        <f>IF($C106-Z$1&lt;År1,0,Y105*(1-VLOOKUP($A106,[1]Hugst!$R$5:$W$9,MATCH(ROUNDUP((Z$1)/10,0)*10,[1]Hugst!$R$4:$W$4,0))))</f>
        <v>0</v>
      </c>
      <c r="AA106" s="168">
        <f>IF($C106-AA$1&lt;År1,0,Z105*(1-VLOOKUP($A106,[1]Hugst!$R$5:$W$9,MATCH(ROUNDUP((AA$1)/10,0)*10,[1]Hugst!$R$4:$W$4,0))))</f>
        <v>0</v>
      </c>
      <c r="AB106" s="168">
        <f>IF($C106-AB$1&lt;År1,0,AA105*(1-VLOOKUP($A106,[1]Hugst!$R$5:$W$9,MATCH(ROUNDUP((AB$1)/10,0)*10,[1]Hugst!$R$4:$W$4,0))))</f>
        <v>0</v>
      </c>
      <c r="AC106" s="168">
        <f>IF($C106-AC$1&lt;År1,0,AB105*(1-VLOOKUP($A106,[1]Hugst!$R$5:$W$9,MATCH(ROUNDUP((AC$1)/10,0)*10,[1]Hugst!$R$4:$W$4,0))))</f>
        <v>0</v>
      </c>
      <c r="AD106" s="168">
        <f>IF($C106-AD$1&lt;År1,0,AC105*(1-VLOOKUP($A106,[1]Hugst!$R$5:$W$9,MATCH(ROUNDUP((AD$1)/10,0)*10,[1]Hugst!$R$4:$W$4,0))))</f>
        <v>0</v>
      </c>
      <c r="AE106" s="168">
        <f>IF($C106-AE$1&lt;År1,0,AD105*(1-VLOOKUP($A106,[1]Hugst!$R$5:$W$9,MATCH(ROUNDUP((AE$1)/10,0)*10,[1]Hugst!$R$4:$W$4,0))))</f>
        <v>0</v>
      </c>
      <c r="AF106" s="168">
        <f>IF($C106-AF$1&lt;År1,0,AE105*(1-VLOOKUP($A106,[1]Hugst!$R$5:$W$9,MATCH(ROUNDUP((AF$1)/10,0)*10,[1]Hugst!$R$4:$W$4,0))))</f>
        <v>0</v>
      </c>
      <c r="AG106" s="168">
        <f>IF($C106-AG$1&lt;År1,0,AF105*(1-VLOOKUP($A106,[1]Hugst!$R$5:$W$9,MATCH(ROUNDUP((AG$1)/10,0)*10,[1]Hugst!$R$4:$W$4,0))))</f>
        <v>0</v>
      </c>
      <c r="AH106" s="168">
        <f>IF($C106-AH$1&lt;År1,0,AG105*(1-VLOOKUP($A106,[1]Hugst!$R$5:$W$9,MATCH(ROUNDUP((AH$1)/10,0)*10,[1]Hugst!$R$4:$W$4,0))))</f>
        <v>0</v>
      </c>
      <c r="AI106" s="168">
        <f>IF($C106-AI$1&lt;År1,0,AH105*(1-VLOOKUP($A106,[1]Hugst!$R$5:$W$9,MATCH(ROUNDUP((AI$1)/10,0)*10,[1]Hugst!$R$4:$W$4,0))))</f>
        <v>0</v>
      </c>
      <c r="AJ106" s="168">
        <f>IF($C106-AJ$1&lt;År1,0,AI105*(1-VLOOKUP($A106,[1]Hugst!$R$5:$W$9,MATCH(ROUNDUP((AJ$1)/10,0)*10,[1]Hugst!$R$4:$W$4,0))))</f>
        <v>0</v>
      </c>
    </row>
    <row r="107" spans="1:36" s="168" customFormat="1" x14ac:dyDescent="0.25">
      <c r="A107" s="168" t="s">
        <v>177</v>
      </c>
      <c r="B107" s="168" t="s">
        <v>24</v>
      </c>
      <c r="C107" s="168">
        <v>2032</v>
      </c>
      <c r="D107" s="168" cm="1">
        <f t="array" ref="D107">(IF(B107="Vestdanmark",Skovbrug!$C$22-(Skovbrug!$C$22)*(1-Skovbrug!$C$9)^(C107-Skovbrug!$B$12),Skovbrug!$F$22-(Skovbrug!$F$22)*(1-Skovbrug!$C$9)^(C107-Skovbrug!$B$12))*VLOOKUP(A107,Skovbrug!$A$13:$D$17,IF('Skovbrug-alder'!C107&lt;=År2,3,4),FALSE)-IF(C107&gt;2020,SUM(INDEX($C$1:$D$311,MATCH(1,(2020=$C$1:$C$311)*(B107=$B$1:$B$311)*(A107=$A$1:$A$311),0),2):D106),0))</f>
        <v>0</v>
      </c>
      <c r="E107" s="168">
        <f t="shared" ca="1" si="2"/>
        <v>0</v>
      </c>
      <c r="F107" s="168">
        <f ca="1">IF(C107&lt;=År2,IF(B107="Vestdanmark",(Arealanvendelse!$M$27-Arealanvendelse!$J$27),(Arealanvendelse!$M$37-Arealanvendelse!$J$37))/(Arealanvendelse!$M$3-Arealanvendelse!$J$3),IF(B107="Vestdanmark",(Arealanvendelse!$P$27-Arealanvendelse!$M$27),(Arealanvendelse!$P$37-Arealanvendelse!$M$37))/(Arealanvendelse!$P$3-Arealanvendelse!$M$3))*VLOOKUP(A107,Skovbrug!$A$13:$D$17,IF('Skovbrug-alder'!C107&lt;=År2,3,4),FALSE)+D107+E107</f>
        <v>0</v>
      </c>
      <c r="G107" s="168">
        <f ca="1">IF($C107-G$1&lt;År1,0,F106*(1-VLOOKUP($A107,[1]Hugst!$R$5:$W$9,MATCH(ROUNDUP((G$1)/10,0)*10,[1]Hugst!$R$4:$W$4,0))))</f>
        <v>0</v>
      </c>
      <c r="H107" s="168">
        <f ca="1">IF($C107-H$1&lt;År1,0,G106*(1-VLOOKUP($A107,[1]Hugst!$R$5:$W$9,MATCH(ROUNDUP((H$1)/10,0)*10,[1]Hugst!$R$4:$W$4,0))))</f>
        <v>0</v>
      </c>
      <c r="I107" s="168">
        <f ca="1">IF($C107-I$1&lt;År1,0,H106*(1-VLOOKUP($A107,[1]Hugst!$R$5:$W$9,MATCH(ROUNDUP((I$1)/10,0)*10,[1]Hugst!$R$4:$W$4,0))))</f>
        <v>0</v>
      </c>
      <c r="J107" s="168">
        <f ca="1">IF($C107-J$1&lt;År1,0,I106*(1-VLOOKUP($A107,[1]Hugst!$R$5:$W$9,MATCH(ROUNDUP((J$1)/10,0)*10,[1]Hugst!$R$4:$W$4,0))))</f>
        <v>0</v>
      </c>
      <c r="K107" s="168">
        <f ca="1">IF($C107-K$1&lt;År1,0,J106*(1-VLOOKUP($A107,[1]Hugst!$R$5:$W$9,MATCH(ROUNDUP((K$1)/10,0)*10,[1]Hugst!$R$4:$W$4,0))))</f>
        <v>0</v>
      </c>
      <c r="L107" s="168">
        <f ca="1">IF($C107-L$1&lt;År1,0,K106*(1-VLOOKUP($A107,[1]Hugst!$R$5:$W$9,MATCH(ROUNDUP((L$1)/10,0)*10,[1]Hugst!$R$4:$W$4,0))))</f>
        <v>0</v>
      </c>
      <c r="M107" s="168">
        <f ca="1">IF($C107-M$1&lt;År1,0,L106*(1-VLOOKUP($A107,[1]Hugst!$R$5:$W$9,MATCH(ROUNDUP((M$1)/10,0)*10,[1]Hugst!$R$4:$W$4,0))))</f>
        <v>0</v>
      </c>
      <c r="N107" s="168">
        <f ca="1">IF($C107-N$1&lt;År1,0,M106*(1-VLOOKUP($A107,[1]Hugst!$R$5:$W$9,MATCH(ROUNDUP((N$1)/10,0)*10,[1]Hugst!$R$4:$W$4,0))))</f>
        <v>0</v>
      </c>
      <c r="O107" s="168">
        <f ca="1">IF($C107-O$1&lt;År1,0,N106*(1-VLOOKUP($A107,[1]Hugst!$R$5:$W$9,MATCH(ROUNDUP((O$1)/10,0)*10,[1]Hugst!$R$4:$W$4,0))))</f>
        <v>0</v>
      </c>
      <c r="P107" s="168">
        <f ca="1">IF($C107-P$1&lt;År1,0,O106*(1-VLOOKUP($A107,[1]Hugst!$R$5:$W$9,MATCH(ROUNDUP((P$1)/10,0)*10,[1]Hugst!$R$4:$W$4,0))))</f>
        <v>0</v>
      </c>
      <c r="Q107" s="168">
        <f ca="1">IF($C107-Q$1&lt;År1,0,P106*(1-VLOOKUP($A107,[1]Hugst!$R$5:$W$9,MATCH(ROUNDUP((Q$1)/10,0)*10,[1]Hugst!$R$4:$W$4,0))))</f>
        <v>0</v>
      </c>
      <c r="R107" s="168">
        <f ca="1">IF($C107-R$1&lt;År1,0,Q106*(1-VLOOKUP($A107,[1]Hugst!$R$5:$W$9,MATCH(ROUNDUP((R$1)/10,0)*10,[1]Hugst!$R$4:$W$4,0))))</f>
        <v>0</v>
      </c>
      <c r="S107" s="168">
        <f>IF($C107-S$1&lt;År1,0,R106*(1-VLOOKUP($A107,[1]Hugst!$R$5:$W$9,MATCH(ROUNDUP((S$1)/10,0)*10,[1]Hugst!$R$4:$W$4,0))))</f>
        <v>0</v>
      </c>
      <c r="T107" s="168">
        <f>IF($C107-T$1&lt;År1,0,S106*(1-VLOOKUP($A107,[1]Hugst!$R$5:$W$9,MATCH(ROUNDUP((T$1)/10,0)*10,[1]Hugst!$R$4:$W$4,0))))</f>
        <v>0</v>
      </c>
      <c r="U107" s="168">
        <f>IF($C107-U$1&lt;År1,0,T106*(1-VLOOKUP($A107,[1]Hugst!$R$5:$W$9,MATCH(ROUNDUP((U$1)/10,0)*10,[1]Hugst!$R$4:$W$4,0))))</f>
        <v>0</v>
      </c>
      <c r="V107" s="168">
        <f>IF($C107-V$1&lt;År1,0,U106*(1-VLOOKUP($A107,[1]Hugst!$R$5:$W$9,MATCH(ROUNDUP((V$1)/10,0)*10,[1]Hugst!$R$4:$W$4,0))))</f>
        <v>0</v>
      </c>
      <c r="W107" s="168">
        <f>IF($C107-W$1&lt;År1,0,V106*(1-VLOOKUP($A107,[1]Hugst!$R$5:$W$9,MATCH(ROUNDUP((W$1)/10,0)*10,[1]Hugst!$R$4:$W$4,0))))</f>
        <v>0</v>
      </c>
      <c r="X107" s="168">
        <f>IF($C107-X$1&lt;År1,0,W106*(1-VLOOKUP($A107,[1]Hugst!$R$5:$W$9,MATCH(ROUNDUP((X$1)/10,0)*10,[1]Hugst!$R$4:$W$4,0))))</f>
        <v>0</v>
      </c>
      <c r="Y107" s="168">
        <f>IF($C107-Y$1&lt;År1,0,X106*(1-VLOOKUP($A107,[1]Hugst!$R$5:$W$9,MATCH(ROUNDUP((Y$1)/10,0)*10,[1]Hugst!$R$4:$W$4,0))))</f>
        <v>0</v>
      </c>
      <c r="Z107" s="168">
        <f>IF($C107-Z$1&lt;År1,0,Y106*(1-VLOOKUP($A107,[1]Hugst!$R$5:$W$9,MATCH(ROUNDUP((Z$1)/10,0)*10,[1]Hugst!$R$4:$W$4,0))))</f>
        <v>0</v>
      </c>
      <c r="AA107" s="168">
        <f>IF($C107-AA$1&lt;År1,0,Z106*(1-VLOOKUP($A107,[1]Hugst!$R$5:$W$9,MATCH(ROUNDUP((AA$1)/10,0)*10,[1]Hugst!$R$4:$W$4,0))))</f>
        <v>0</v>
      </c>
      <c r="AB107" s="168">
        <f>IF($C107-AB$1&lt;År1,0,AA106*(1-VLOOKUP($A107,[1]Hugst!$R$5:$W$9,MATCH(ROUNDUP((AB$1)/10,0)*10,[1]Hugst!$R$4:$W$4,0))))</f>
        <v>0</v>
      </c>
      <c r="AC107" s="168">
        <f>IF($C107-AC$1&lt;År1,0,AB106*(1-VLOOKUP($A107,[1]Hugst!$R$5:$W$9,MATCH(ROUNDUP((AC$1)/10,0)*10,[1]Hugst!$R$4:$W$4,0))))</f>
        <v>0</v>
      </c>
      <c r="AD107" s="168">
        <f>IF($C107-AD$1&lt;År1,0,AC106*(1-VLOOKUP($A107,[1]Hugst!$R$5:$W$9,MATCH(ROUNDUP((AD$1)/10,0)*10,[1]Hugst!$R$4:$W$4,0))))</f>
        <v>0</v>
      </c>
      <c r="AE107" s="168">
        <f>IF($C107-AE$1&lt;År1,0,AD106*(1-VLOOKUP($A107,[1]Hugst!$R$5:$W$9,MATCH(ROUNDUP((AE$1)/10,0)*10,[1]Hugst!$R$4:$W$4,0))))</f>
        <v>0</v>
      </c>
      <c r="AF107" s="168">
        <f>IF($C107-AF$1&lt;År1,0,AE106*(1-VLOOKUP($A107,[1]Hugst!$R$5:$W$9,MATCH(ROUNDUP((AF$1)/10,0)*10,[1]Hugst!$R$4:$W$4,0))))</f>
        <v>0</v>
      </c>
      <c r="AG107" s="168">
        <f>IF($C107-AG$1&lt;År1,0,AF106*(1-VLOOKUP($A107,[1]Hugst!$R$5:$W$9,MATCH(ROUNDUP((AG$1)/10,0)*10,[1]Hugst!$R$4:$W$4,0))))</f>
        <v>0</v>
      </c>
      <c r="AH107" s="168">
        <f>IF($C107-AH$1&lt;År1,0,AG106*(1-VLOOKUP($A107,[1]Hugst!$R$5:$W$9,MATCH(ROUNDUP((AH$1)/10,0)*10,[1]Hugst!$R$4:$W$4,0))))</f>
        <v>0</v>
      </c>
      <c r="AI107" s="168">
        <f>IF($C107-AI$1&lt;År1,0,AH106*(1-VLOOKUP($A107,[1]Hugst!$R$5:$W$9,MATCH(ROUNDUP((AI$1)/10,0)*10,[1]Hugst!$R$4:$W$4,0))))</f>
        <v>0</v>
      </c>
      <c r="AJ107" s="168">
        <f>IF($C107-AJ$1&lt;År1,0,AI106*(1-VLOOKUP($A107,[1]Hugst!$R$5:$W$9,MATCH(ROUNDUP((AJ$1)/10,0)*10,[1]Hugst!$R$4:$W$4,0))))</f>
        <v>0</v>
      </c>
    </row>
    <row r="108" spans="1:36" s="168" customFormat="1" x14ac:dyDescent="0.25">
      <c r="A108" s="168" t="s">
        <v>177</v>
      </c>
      <c r="B108" s="168" t="s">
        <v>24</v>
      </c>
      <c r="C108" s="168">
        <v>2033</v>
      </c>
      <c r="D108" s="168" cm="1">
        <f t="array" ref="D108">(IF(B108="Vestdanmark",Skovbrug!$C$22-(Skovbrug!$C$22)*(1-Skovbrug!$C$9)^(C108-Skovbrug!$B$12),Skovbrug!$F$22-(Skovbrug!$F$22)*(1-Skovbrug!$C$9)^(C108-Skovbrug!$B$12))*VLOOKUP(A108,Skovbrug!$A$13:$D$17,IF('Skovbrug-alder'!C108&lt;=År2,3,4),FALSE)-IF(C108&gt;2020,SUM(INDEX($C$1:$D$311,MATCH(1,(2020=$C$1:$C$311)*(B108=$B$1:$B$311)*(A108=$A$1:$A$311),0),2):D107),0))</f>
        <v>0</v>
      </c>
      <c r="E108" s="168">
        <f t="shared" ca="1" si="2"/>
        <v>0</v>
      </c>
      <c r="F108" s="168">
        <f ca="1">IF(C108&lt;=År2,IF(B108="Vestdanmark",(Arealanvendelse!$M$27-Arealanvendelse!$J$27),(Arealanvendelse!$M$37-Arealanvendelse!$J$37))/(Arealanvendelse!$M$3-Arealanvendelse!$J$3),IF(B108="Vestdanmark",(Arealanvendelse!$P$27-Arealanvendelse!$M$27),(Arealanvendelse!$P$37-Arealanvendelse!$M$37))/(Arealanvendelse!$P$3-Arealanvendelse!$M$3))*VLOOKUP(A108,Skovbrug!$A$13:$D$17,IF('Skovbrug-alder'!C108&lt;=År2,3,4),FALSE)+D108+E108</f>
        <v>0</v>
      </c>
      <c r="G108" s="168">
        <f ca="1">IF($C108-G$1&lt;År1,0,F107*(1-VLOOKUP($A108,[1]Hugst!$R$5:$W$9,MATCH(ROUNDUP((G$1)/10,0)*10,[1]Hugst!$R$4:$W$4,0))))</f>
        <v>0</v>
      </c>
      <c r="H108" s="168">
        <f ca="1">IF($C108-H$1&lt;År1,0,G107*(1-VLOOKUP($A108,[1]Hugst!$R$5:$W$9,MATCH(ROUNDUP((H$1)/10,0)*10,[1]Hugst!$R$4:$W$4,0))))</f>
        <v>0</v>
      </c>
      <c r="I108" s="168">
        <f ca="1">IF($C108-I$1&lt;År1,0,H107*(1-VLOOKUP($A108,[1]Hugst!$R$5:$W$9,MATCH(ROUNDUP((I$1)/10,0)*10,[1]Hugst!$R$4:$W$4,0))))</f>
        <v>0</v>
      </c>
      <c r="J108" s="168">
        <f ca="1">IF($C108-J$1&lt;År1,0,I107*(1-VLOOKUP($A108,[1]Hugst!$R$5:$W$9,MATCH(ROUNDUP((J$1)/10,0)*10,[1]Hugst!$R$4:$W$4,0))))</f>
        <v>0</v>
      </c>
      <c r="K108" s="168">
        <f ca="1">IF($C108-K$1&lt;År1,0,J107*(1-VLOOKUP($A108,[1]Hugst!$R$5:$W$9,MATCH(ROUNDUP((K$1)/10,0)*10,[1]Hugst!$R$4:$W$4,0))))</f>
        <v>0</v>
      </c>
      <c r="L108" s="168">
        <f ca="1">IF($C108-L$1&lt;År1,0,K107*(1-VLOOKUP($A108,[1]Hugst!$R$5:$W$9,MATCH(ROUNDUP((L$1)/10,0)*10,[1]Hugst!$R$4:$W$4,0))))</f>
        <v>0</v>
      </c>
      <c r="M108" s="168">
        <f ca="1">IF($C108-M$1&lt;År1,0,L107*(1-VLOOKUP($A108,[1]Hugst!$R$5:$W$9,MATCH(ROUNDUP((M$1)/10,0)*10,[1]Hugst!$R$4:$W$4,0))))</f>
        <v>0</v>
      </c>
      <c r="N108" s="168">
        <f ca="1">IF($C108-N$1&lt;År1,0,M107*(1-VLOOKUP($A108,[1]Hugst!$R$5:$W$9,MATCH(ROUNDUP((N$1)/10,0)*10,[1]Hugst!$R$4:$W$4,0))))</f>
        <v>0</v>
      </c>
      <c r="O108" s="168">
        <f ca="1">IF($C108-O$1&lt;År1,0,N107*(1-VLOOKUP($A108,[1]Hugst!$R$5:$W$9,MATCH(ROUNDUP((O$1)/10,0)*10,[1]Hugst!$R$4:$W$4,0))))</f>
        <v>0</v>
      </c>
      <c r="P108" s="168">
        <f ca="1">IF($C108-P$1&lt;År1,0,O107*(1-VLOOKUP($A108,[1]Hugst!$R$5:$W$9,MATCH(ROUNDUP((P$1)/10,0)*10,[1]Hugst!$R$4:$W$4,0))))</f>
        <v>0</v>
      </c>
      <c r="Q108" s="168">
        <f ca="1">IF($C108-Q$1&lt;År1,0,P107*(1-VLOOKUP($A108,[1]Hugst!$R$5:$W$9,MATCH(ROUNDUP((Q$1)/10,0)*10,[1]Hugst!$R$4:$W$4,0))))</f>
        <v>0</v>
      </c>
      <c r="R108" s="168">
        <f ca="1">IF($C108-R$1&lt;År1,0,Q107*(1-VLOOKUP($A108,[1]Hugst!$R$5:$W$9,MATCH(ROUNDUP((R$1)/10,0)*10,[1]Hugst!$R$4:$W$4,0))))</f>
        <v>0</v>
      </c>
      <c r="S108" s="168">
        <f ca="1">IF($C108-S$1&lt;År1,0,R107*(1-VLOOKUP($A108,[1]Hugst!$R$5:$W$9,MATCH(ROUNDUP((S$1)/10,0)*10,[1]Hugst!$R$4:$W$4,0))))</f>
        <v>0</v>
      </c>
      <c r="T108" s="168">
        <f>IF($C108-T$1&lt;År1,0,S107*(1-VLOOKUP($A108,[1]Hugst!$R$5:$W$9,MATCH(ROUNDUP((T$1)/10,0)*10,[1]Hugst!$R$4:$W$4,0))))</f>
        <v>0</v>
      </c>
      <c r="U108" s="168">
        <f>IF($C108-U$1&lt;År1,0,T107*(1-VLOOKUP($A108,[1]Hugst!$R$5:$W$9,MATCH(ROUNDUP((U$1)/10,0)*10,[1]Hugst!$R$4:$W$4,0))))</f>
        <v>0</v>
      </c>
      <c r="V108" s="168">
        <f>IF($C108-V$1&lt;År1,0,U107*(1-VLOOKUP($A108,[1]Hugst!$R$5:$W$9,MATCH(ROUNDUP((V$1)/10,0)*10,[1]Hugst!$R$4:$W$4,0))))</f>
        <v>0</v>
      </c>
      <c r="W108" s="168">
        <f>IF($C108-W$1&lt;År1,0,V107*(1-VLOOKUP($A108,[1]Hugst!$R$5:$W$9,MATCH(ROUNDUP((W$1)/10,0)*10,[1]Hugst!$R$4:$W$4,0))))</f>
        <v>0</v>
      </c>
      <c r="X108" s="168">
        <f>IF($C108-X$1&lt;År1,0,W107*(1-VLOOKUP($A108,[1]Hugst!$R$5:$W$9,MATCH(ROUNDUP((X$1)/10,0)*10,[1]Hugst!$R$4:$W$4,0))))</f>
        <v>0</v>
      </c>
      <c r="Y108" s="168">
        <f>IF($C108-Y$1&lt;År1,0,X107*(1-VLOOKUP($A108,[1]Hugst!$R$5:$W$9,MATCH(ROUNDUP((Y$1)/10,0)*10,[1]Hugst!$R$4:$W$4,0))))</f>
        <v>0</v>
      </c>
      <c r="Z108" s="168">
        <f>IF($C108-Z$1&lt;År1,0,Y107*(1-VLOOKUP($A108,[1]Hugst!$R$5:$W$9,MATCH(ROUNDUP((Z$1)/10,0)*10,[1]Hugst!$R$4:$W$4,0))))</f>
        <v>0</v>
      </c>
      <c r="AA108" s="168">
        <f>IF($C108-AA$1&lt;År1,0,Z107*(1-VLOOKUP($A108,[1]Hugst!$R$5:$W$9,MATCH(ROUNDUP((AA$1)/10,0)*10,[1]Hugst!$R$4:$W$4,0))))</f>
        <v>0</v>
      </c>
      <c r="AB108" s="168">
        <f>IF($C108-AB$1&lt;År1,0,AA107*(1-VLOOKUP($A108,[1]Hugst!$R$5:$W$9,MATCH(ROUNDUP((AB$1)/10,0)*10,[1]Hugst!$R$4:$W$4,0))))</f>
        <v>0</v>
      </c>
      <c r="AC108" s="168">
        <f>IF($C108-AC$1&lt;År1,0,AB107*(1-VLOOKUP($A108,[1]Hugst!$R$5:$W$9,MATCH(ROUNDUP((AC$1)/10,0)*10,[1]Hugst!$R$4:$W$4,0))))</f>
        <v>0</v>
      </c>
      <c r="AD108" s="168">
        <f>IF($C108-AD$1&lt;År1,0,AC107*(1-VLOOKUP($A108,[1]Hugst!$R$5:$W$9,MATCH(ROUNDUP((AD$1)/10,0)*10,[1]Hugst!$R$4:$W$4,0))))</f>
        <v>0</v>
      </c>
      <c r="AE108" s="168">
        <f>IF($C108-AE$1&lt;År1,0,AD107*(1-VLOOKUP($A108,[1]Hugst!$R$5:$W$9,MATCH(ROUNDUP((AE$1)/10,0)*10,[1]Hugst!$R$4:$W$4,0))))</f>
        <v>0</v>
      </c>
      <c r="AF108" s="168">
        <f>IF($C108-AF$1&lt;År1,0,AE107*(1-VLOOKUP($A108,[1]Hugst!$R$5:$W$9,MATCH(ROUNDUP((AF$1)/10,0)*10,[1]Hugst!$R$4:$W$4,0))))</f>
        <v>0</v>
      </c>
      <c r="AG108" s="168">
        <f>IF($C108-AG$1&lt;År1,0,AF107*(1-VLOOKUP($A108,[1]Hugst!$R$5:$W$9,MATCH(ROUNDUP((AG$1)/10,0)*10,[1]Hugst!$R$4:$W$4,0))))</f>
        <v>0</v>
      </c>
      <c r="AH108" s="168">
        <f>IF($C108-AH$1&lt;År1,0,AG107*(1-VLOOKUP($A108,[1]Hugst!$R$5:$W$9,MATCH(ROUNDUP((AH$1)/10,0)*10,[1]Hugst!$R$4:$W$4,0))))</f>
        <v>0</v>
      </c>
      <c r="AI108" s="168">
        <f>IF($C108-AI$1&lt;År1,0,AH107*(1-VLOOKUP($A108,[1]Hugst!$R$5:$W$9,MATCH(ROUNDUP((AI$1)/10,0)*10,[1]Hugst!$R$4:$W$4,0))))</f>
        <v>0</v>
      </c>
      <c r="AJ108" s="168">
        <f>IF($C108-AJ$1&lt;År1,0,AI107*(1-VLOOKUP($A108,[1]Hugst!$R$5:$W$9,MATCH(ROUNDUP((AJ$1)/10,0)*10,[1]Hugst!$R$4:$W$4,0))))</f>
        <v>0</v>
      </c>
    </row>
    <row r="109" spans="1:36" s="168" customFormat="1" x14ac:dyDescent="0.25">
      <c r="A109" s="168" t="s">
        <v>177</v>
      </c>
      <c r="B109" s="168" t="s">
        <v>24</v>
      </c>
      <c r="C109" s="168">
        <v>2034</v>
      </c>
      <c r="D109" s="168" cm="1">
        <f t="array" ref="D109">(IF(B109="Vestdanmark",Skovbrug!$C$22-(Skovbrug!$C$22)*(1-Skovbrug!$C$9)^(C109-Skovbrug!$B$12),Skovbrug!$F$22-(Skovbrug!$F$22)*(1-Skovbrug!$C$9)^(C109-Skovbrug!$B$12))*VLOOKUP(A109,Skovbrug!$A$13:$D$17,IF('Skovbrug-alder'!C109&lt;=År2,3,4),FALSE)-IF(C109&gt;2020,SUM(INDEX($C$1:$D$311,MATCH(1,(2020=$C$1:$C$311)*(B109=$B$1:$B$311)*(A109=$A$1:$A$311),0),2):D108),0))</f>
        <v>0</v>
      </c>
      <c r="E109" s="168">
        <f t="shared" ca="1" si="2"/>
        <v>0</v>
      </c>
      <c r="F109" s="168">
        <f ca="1">IF(C109&lt;=År2,IF(B109="Vestdanmark",(Arealanvendelse!$M$27-Arealanvendelse!$J$27),(Arealanvendelse!$M$37-Arealanvendelse!$J$37))/(Arealanvendelse!$M$3-Arealanvendelse!$J$3),IF(B109="Vestdanmark",(Arealanvendelse!$P$27-Arealanvendelse!$M$27),(Arealanvendelse!$P$37-Arealanvendelse!$M$37))/(Arealanvendelse!$P$3-Arealanvendelse!$M$3))*VLOOKUP(A109,Skovbrug!$A$13:$D$17,IF('Skovbrug-alder'!C109&lt;=År2,3,4),FALSE)+D109+E109</f>
        <v>0</v>
      </c>
      <c r="G109" s="168">
        <f ca="1">IF($C109-G$1&lt;År1,0,F108*(1-VLOOKUP($A109,[1]Hugst!$R$5:$W$9,MATCH(ROUNDUP((G$1)/10,0)*10,[1]Hugst!$R$4:$W$4,0))))</f>
        <v>0</v>
      </c>
      <c r="H109" s="168">
        <f ca="1">IF($C109-H$1&lt;År1,0,G108*(1-VLOOKUP($A109,[1]Hugst!$R$5:$W$9,MATCH(ROUNDUP((H$1)/10,0)*10,[1]Hugst!$R$4:$W$4,0))))</f>
        <v>0</v>
      </c>
      <c r="I109" s="168">
        <f ca="1">IF($C109-I$1&lt;År1,0,H108*(1-VLOOKUP($A109,[1]Hugst!$R$5:$W$9,MATCH(ROUNDUP((I$1)/10,0)*10,[1]Hugst!$R$4:$W$4,0))))</f>
        <v>0</v>
      </c>
      <c r="J109" s="168">
        <f ca="1">IF($C109-J$1&lt;År1,0,I108*(1-VLOOKUP($A109,[1]Hugst!$R$5:$W$9,MATCH(ROUNDUP((J$1)/10,0)*10,[1]Hugst!$R$4:$W$4,0))))</f>
        <v>0</v>
      </c>
      <c r="K109" s="168">
        <f ca="1">IF($C109-K$1&lt;År1,0,J108*(1-VLOOKUP($A109,[1]Hugst!$R$5:$W$9,MATCH(ROUNDUP((K$1)/10,0)*10,[1]Hugst!$R$4:$W$4,0))))</f>
        <v>0</v>
      </c>
      <c r="L109" s="168">
        <f ca="1">IF($C109-L$1&lt;År1,0,K108*(1-VLOOKUP($A109,[1]Hugst!$R$5:$W$9,MATCH(ROUNDUP((L$1)/10,0)*10,[1]Hugst!$R$4:$W$4,0))))</f>
        <v>0</v>
      </c>
      <c r="M109" s="168">
        <f ca="1">IF($C109-M$1&lt;År1,0,L108*(1-VLOOKUP($A109,[1]Hugst!$R$5:$W$9,MATCH(ROUNDUP((M$1)/10,0)*10,[1]Hugst!$R$4:$W$4,0))))</f>
        <v>0</v>
      </c>
      <c r="N109" s="168">
        <f ca="1">IF($C109-N$1&lt;År1,0,M108*(1-VLOOKUP($A109,[1]Hugst!$R$5:$W$9,MATCH(ROUNDUP((N$1)/10,0)*10,[1]Hugst!$R$4:$W$4,0))))</f>
        <v>0</v>
      </c>
      <c r="O109" s="168">
        <f ca="1">IF($C109-O$1&lt;År1,0,N108*(1-VLOOKUP($A109,[1]Hugst!$R$5:$W$9,MATCH(ROUNDUP((O$1)/10,0)*10,[1]Hugst!$R$4:$W$4,0))))</f>
        <v>0</v>
      </c>
      <c r="P109" s="168">
        <f ca="1">IF($C109-P$1&lt;År1,0,O108*(1-VLOOKUP($A109,[1]Hugst!$R$5:$W$9,MATCH(ROUNDUP((P$1)/10,0)*10,[1]Hugst!$R$4:$W$4,0))))</f>
        <v>0</v>
      </c>
      <c r="Q109" s="168">
        <f ca="1">IF($C109-Q$1&lt;År1,0,P108*(1-VLOOKUP($A109,[1]Hugst!$R$5:$W$9,MATCH(ROUNDUP((Q$1)/10,0)*10,[1]Hugst!$R$4:$W$4,0))))</f>
        <v>0</v>
      </c>
      <c r="R109" s="168">
        <f ca="1">IF($C109-R$1&lt;År1,0,Q108*(1-VLOOKUP($A109,[1]Hugst!$R$5:$W$9,MATCH(ROUNDUP((R$1)/10,0)*10,[1]Hugst!$R$4:$W$4,0))))</f>
        <v>0</v>
      </c>
      <c r="S109" s="168">
        <f ca="1">IF($C109-S$1&lt;År1,0,R108*(1-VLOOKUP($A109,[1]Hugst!$R$5:$W$9,MATCH(ROUNDUP((S$1)/10,0)*10,[1]Hugst!$R$4:$W$4,0))))</f>
        <v>0</v>
      </c>
      <c r="T109" s="168">
        <f ca="1">IF($C109-T$1&lt;År1,0,S108*(1-VLOOKUP($A109,[1]Hugst!$R$5:$W$9,MATCH(ROUNDUP((T$1)/10,0)*10,[1]Hugst!$R$4:$W$4,0))))</f>
        <v>0</v>
      </c>
      <c r="U109" s="168">
        <f>IF($C109-U$1&lt;År1,0,T108*(1-VLOOKUP($A109,[1]Hugst!$R$5:$W$9,MATCH(ROUNDUP((U$1)/10,0)*10,[1]Hugst!$R$4:$W$4,0))))</f>
        <v>0</v>
      </c>
      <c r="V109" s="168">
        <f>IF($C109-V$1&lt;År1,0,U108*(1-VLOOKUP($A109,[1]Hugst!$R$5:$W$9,MATCH(ROUNDUP((V$1)/10,0)*10,[1]Hugst!$R$4:$W$4,0))))</f>
        <v>0</v>
      </c>
      <c r="W109" s="168">
        <f>IF($C109-W$1&lt;År1,0,V108*(1-VLOOKUP($A109,[1]Hugst!$R$5:$W$9,MATCH(ROUNDUP((W$1)/10,0)*10,[1]Hugst!$R$4:$W$4,0))))</f>
        <v>0</v>
      </c>
      <c r="X109" s="168">
        <f>IF($C109-X$1&lt;År1,0,W108*(1-VLOOKUP($A109,[1]Hugst!$R$5:$W$9,MATCH(ROUNDUP((X$1)/10,0)*10,[1]Hugst!$R$4:$W$4,0))))</f>
        <v>0</v>
      </c>
      <c r="Y109" s="168">
        <f>IF($C109-Y$1&lt;År1,0,X108*(1-VLOOKUP($A109,[1]Hugst!$R$5:$W$9,MATCH(ROUNDUP((Y$1)/10,0)*10,[1]Hugst!$R$4:$W$4,0))))</f>
        <v>0</v>
      </c>
      <c r="Z109" s="168">
        <f>IF($C109-Z$1&lt;År1,0,Y108*(1-VLOOKUP($A109,[1]Hugst!$R$5:$W$9,MATCH(ROUNDUP((Z$1)/10,0)*10,[1]Hugst!$R$4:$W$4,0))))</f>
        <v>0</v>
      </c>
      <c r="AA109" s="168">
        <f>IF($C109-AA$1&lt;År1,0,Z108*(1-VLOOKUP($A109,[1]Hugst!$R$5:$W$9,MATCH(ROUNDUP((AA$1)/10,0)*10,[1]Hugst!$R$4:$W$4,0))))</f>
        <v>0</v>
      </c>
      <c r="AB109" s="168">
        <f>IF($C109-AB$1&lt;År1,0,AA108*(1-VLOOKUP($A109,[1]Hugst!$R$5:$W$9,MATCH(ROUNDUP((AB$1)/10,0)*10,[1]Hugst!$R$4:$W$4,0))))</f>
        <v>0</v>
      </c>
      <c r="AC109" s="168">
        <f>IF($C109-AC$1&lt;År1,0,AB108*(1-VLOOKUP($A109,[1]Hugst!$R$5:$W$9,MATCH(ROUNDUP((AC$1)/10,0)*10,[1]Hugst!$R$4:$W$4,0))))</f>
        <v>0</v>
      </c>
      <c r="AD109" s="168">
        <f>IF($C109-AD$1&lt;År1,0,AC108*(1-VLOOKUP($A109,[1]Hugst!$R$5:$W$9,MATCH(ROUNDUP((AD$1)/10,0)*10,[1]Hugst!$R$4:$W$4,0))))</f>
        <v>0</v>
      </c>
      <c r="AE109" s="168">
        <f>IF($C109-AE$1&lt;År1,0,AD108*(1-VLOOKUP($A109,[1]Hugst!$R$5:$W$9,MATCH(ROUNDUP((AE$1)/10,0)*10,[1]Hugst!$R$4:$W$4,0))))</f>
        <v>0</v>
      </c>
      <c r="AF109" s="168">
        <f>IF($C109-AF$1&lt;År1,0,AE108*(1-VLOOKUP($A109,[1]Hugst!$R$5:$W$9,MATCH(ROUNDUP((AF$1)/10,0)*10,[1]Hugst!$R$4:$W$4,0))))</f>
        <v>0</v>
      </c>
      <c r="AG109" s="168">
        <f>IF($C109-AG$1&lt;År1,0,AF108*(1-VLOOKUP($A109,[1]Hugst!$R$5:$W$9,MATCH(ROUNDUP((AG$1)/10,0)*10,[1]Hugst!$R$4:$W$4,0))))</f>
        <v>0</v>
      </c>
      <c r="AH109" s="168">
        <f>IF($C109-AH$1&lt;År1,0,AG108*(1-VLOOKUP($A109,[1]Hugst!$R$5:$W$9,MATCH(ROUNDUP((AH$1)/10,0)*10,[1]Hugst!$R$4:$W$4,0))))</f>
        <v>0</v>
      </c>
      <c r="AI109" s="168">
        <f>IF($C109-AI$1&lt;År1,0,AH108*(1-VLOOKUP($A109,[1]Hugst!$R$5:$W$9,MATCH(ROUNDUP((AI$1)/10,0)*10,[1]Hugst!$R$4:$W$4,0))))</f>
        <v>0</v>
      </c>
      <c r="AJ109" s="168">
        <f>IF($C109-AJ$1&lt;År1,0,AI108*(1-VLOOKUP($A109,[1]Hugst!$R$5:$W$9,MATCH(ROUNDUP((AJ$1)/10,0)*10,[1]Hugst!$R$4:$W$4,0))))</f>
        <v>0</v>
      </c>
    </row>
    <row r="110" spans="1:36" s="168" customFormat="1" x14ac:dyDescent="0.25">
      <c r="A110" s="168" t="s">
        <v>177</v>
      </c>
      <c r="B110" s="168" t="s">
        <v>24</v>
      </c>
      <c r="C110" s="168">
        <v>2035</v>
      </c>
      <c r="D110" s="168" cm="1">
        <f t="array" ref="D110">(IF(B110="Vestdanmark",Skovbrug!$C$22-(Skovbrug!$C$22)*(1-Skovbrug!$C$9)^(C110-Skovbrug!$B$12),Skovbrug!$F$22-(Skovbrug!$F$22)*(1-Skovbrug!$C$9)^(C110-Skovbrug!$B$12))*VLOOKUP(A110,Skovbrug!$A$13:$D$17,IF('Skovbrug-alder'!C110&lt;=År2,3,4),FALSE)-IF(C110&gt;2020,SUM(INDEX($C$1:$D$311,MATCH(1,(2020=$C$1:$C$311)*(B110=$B$1:$B$311)*(A110=$A$1:$A$311),0),2):D109),0))</f>
        <v>0</v>
      </c>
      <c r="E110" s="168">
        <f t="shared" ca="1" si="2"/>
        <v>0</v>
      </c>
      <c r="F110" s="168">
        <f ca="1">IF(C110&lt;=År2,IF(B110="Vestdanmark",(Arealanvendelse!$M$27-Arealanvendelse!$J$27),(Arealanvendelse!$M$37-Arealanvendelse!$J$37))/(Arealanvendelse!$M$3-Arealanvendelse!$J$3),IF(B110="Vestdanmark",(Arealanvendelse!$P$27-Arealanvendelse!$M$27),(Arealanvendelse!$P$37-Arealanvendelse!$M$37))/(Arealanvendelse!$P$3-Arealanvendelse!$M$3))*VLOOKUP(A110,Skovbrug!$A$13:$D$17,IF('Skovbrug-alder'!C110&lt;=År2,3,4),FALSE)+D110+E110</f>
        <v>0</v>
      </c>
      <c r="G110" s="168">
        <f ca="1">IF($C110-G$1&lt;År1,0,F109*(1-VLOOKUP($A110,[1]Hugst!$R$5:$W$9,MATCH(ROUNDUP((G$1)/10,0)*10,[1]Hugst!$R$4:$W$4,0))))</f>
        <v>0</v>
      </c>
      <c r="H110" s="168">
        <f ca="1">IF($C110-H$1&lt;År1,0,G109*(1-VLOOKUP($A110,[1]Hugst!$R$5:$W$9,MATCH(ROUNDUP((H$1)/10,0)*10,[1]Hugst!$R$4:$W$4,0))))</f>
        <v>0</v>
      </c>
      <c r="I110" s="168">
        <f ca="1">IF($C110-I$1&lt;År1,0,H109*(1-VLOOKUP($A110,[1]Hugst!$R$5:$W$9,MATCH(ROUNDUP((I$1)/10,0)*10,[1]Hugst!$R$4:$W$4,0))))</f>
        <v>0</v>
      </c>
      <c r="J110" s="168">
        <f ca="1">IF($C110-J$1&lt;År1,0,I109*(1-VLOOKUP($A110,[1]Hugst!$R$5:$W$9,MATCH(ROUNDUP((J$1)/10,0)*10,[1]Hugst!$R$4:$W$4,0))))</f>
        <v>0</v>
      </c>
      <c r="K110" s="168">
        <f ca="1">IF($C110-K$1&lt;År1,0,J109*(1-VLOOKUP($A110,[1]Hugst!$R$5:$W$9,MATCH(ROUNDUP((K$1)/10,0)*10,[1]Hugst!$R$4:$W$4,0))))</f>
        <v>0</v>
      </c>
      <c r="L110" s="168">
        <f ca="1">IF($C110-L$1&lt;År1,0,K109*(1-VLOOKUP($A110,[1]Hugst!$R$5:$W$9,MATCH(ROUNDUP((L$1)/10,0)*10,[1]Hugst!$R$4:$W$4,0))))</f>
        <v>0</v>
      </c>
      <c r="M110" s="168">
        <f ca="1">IF($C110-M$1&lt;År1,0,L109*(1-VLOOKUP($A110,[1]Hugst!$R$5:$W$9,MATCH(ROUNDUP((M$1)/10,0)*10,[1]Hugst!$R$4:$W$4,0))))</f>
        <v>0</v>
      </c>
      <c r="N110" s="168">
        <f ca="1">IF($C110-N$1&lt;År1,0,M109*(1-VLOOKUP($A110,[1]Hugst!$R$5:$W$9,MATCH(ROUNDUP((N$1)/10,0)*10,[1]Hugst!$R$4:$W$4,0))))</f>
        <v>0</v>
      </c>
      <c r="O110" s="168">
        <f ca="1">IF($C110-O$1&lt;År1,0,N109*(1-VLOOKUP($A110,[1]Hugst!$R$5:$W$9,MATCH(ROUNDUP((O$1)/10,0)*10,[1]Hugst!$R$4:$W$4,0))))</f>
        <v>0</v>
      </c>
      <c r="P110" s="168">
        <f ca="1">IF($C110-P$1&lt;År1,0,O109*(1-VLOOKUP($A110,[1]Hugst!$R$5:$W$9,MATCH(ROUNDUP((P$1)/10,0)*10,[1]Hugst!$R$4:$W$4,0))))</f>
        <v>0</v>
      </c>
      <c r="Q110" s="168">
        <f ca="1">IF($C110-Q$1&lt;År1,0,P109*(1-VLOOKUP($A110,[1]Hugst!$R$5:$W$9,MATCH(ROUNDUP((Q$1)/10,0)*10,[1]Hugst!$R$4:$W$4,0))))</f>
        <v>0</v>
      </c>
      <c r="R110" s="168">
        <f ca="1">IF($C110-R$1&lt;År1,0,Q109*(1-VLOOKUP($A110,[1]Hugst!$R$5:$W$9,MATCH(ROUNDUP((R$1)/10,0)*10,[1]Hugst!$R$4:$W$4,0))))</f>
        <v>0</v>
      </c>
      <c r="S110" s="168">
        <f ca="1">IF($C110-S$1&lt;År1,0,R109*(1-VLOOKUP($A110,[1]Hugst!$R$5:$W$9,MATCH(ROUNDUP((S$1)/10,0)*10,[1]Hugst!$R$4:$W$4,0))))</f>
        <v>0</v>
      </c>
      <c r="T110" s="168">
        <f ca="1">IF($C110-T$1&lt;År1,0,S109*(1-VLOOKUP($A110,[1]Hugst!$R$5:$W$9,MATCH(ROUNDUP((T$1)/10,0)*10,[1]Hugst!$R$4:$W$4,0))))</f>
        <v>0</v>
      </c>
      <c r="U110" s="168">
        <f ca="1">IF($C110-U$1&lt;År1,0,T109*(1-VLOOKUP($A110,[1]Hugst!$R$5:$W$9,MATCH(ROUNDUP((U$1)/10,0)*10,[1]Hugst!$R$4:$W$4,0))))</f>
        <v>0</v>
      </c>
      <c r="V110" s="168">
        <f>IF($C110-V$1&lt;År1,0,U109*(1-VLOOKUP($A110,[1]Hugst!$R$5:$W$9,MATCH(ROUNDUP((V$1)/10,0)*10,[1]Hugst!$R$4:$W$4,0))))</f>
        <v>0</v>
      </c>
      <c r="W110" s="168">
        <f>IF($C110-W$1&lt;År1,0,V109*(1-VLOOKUP($A110,[1]Hugst!$R$5:$W$9,MATCH(ROUNDUP((W$1)/10,0)*10,[1]Hugst!$R$4:$W$4,0))))</f>
        <v>0</v>
      </c>
      <c r="X110" s="168">
        <f>IF($C110-X$1&lt;År1,0,W109*(1-VLOOKUP($A110,[1]Hugst!$R$5:$W$9,MATCH(ROUNDUP((X$1)/10,0)*10,[1]Hugst!$R$4:$W$4,0))))</f>
        <v>0</v>
      </c>
      <c r="Y110" s="168">
        <f>IF($C110-Y$1&lt;År1,0,X109*(1-VLOOKUP($A110,[1]Hugst!$R$5:$W$9,MATCH(ROUNDUP((Y$1)/10,0)*10,[1]Hugst!$R$4:$W$4,0))))</f>
        <v>0</v>
      </c>
      <c r="Z110" s="168">
        <f>IF($C110-Z$1&lt;År1,0,Y109*(1-VLOOKUP($A110,[1]Hugst!$R$5:$W$9,MATCH(ROUNDUP((Z$1)/10,0)*10,[1]Hugst!$R$4:$W$4,0))))</f>
        <v>0</v>
      </c>
      <c r="AA110" s="168">
        <f>IF($C110-AA$1&lt;År1,0,Z109*(1-VLOOKUP($A110,[1]Hugst!$R$5:$W$9,MATCH(ROUNDUP((AA$1)/10,0)*10,[1]Hugst!$R$4:$W$4,0))))</f>
        <v>0</v>
      </c>
      <c r="AB110" s="168">
        <f>IF($C110-AB$1&lt;År1,0,AA109*(1-VLOOKUP($A110,[1]Hugst!$R$5:$W$9,MATCH(ROUNDUP((AB$1)/10,0)*10,[1]Hugst!$R$4:$W$4,0))))</f>
        <v>0</v>
      </c>
      <c r="AC110" s="168">
        <f>IF($C110-AC$1&lt;År1,0,AB109*(1-VLOOKUP($A110,[1]Hugst!$R$5:$W$9,MATCH(ROUNDUP((AC$1)/10,0)*10,[1]Hugst!$R$4:$W$4,0))))</f>
        <v>0</v>
      </c>
      <c r="AD110" s="168">
        <f>IF($C110-AD$1&lt;År1,0,AC109*(1-VLOOKUP($A110,[1]Hugst!$R$5:$W$9,MATCH(ROUNDUP((AD$1)/10,0)*10,[1]Hugst!$R$4:$W$4,0))))</f>
        <v>0</v>
      </c>
      <c r="AE110" s="168">
        <f>IF($C110-AE$1&lt;År1,0,AD109*(1-VLOOKUP($A110,[1]Hugst!$R$5:$W$9,MATCH(ROUNDUP((AE$1)/10,0)*10,[1]Hugst!$R$4:$W$4,0))))</f>
        <v>0</v>
      </c>
      <c r="AF110" s="168">
        <f>IF($C110-AF$1&lt;År1,0,AE109*(1-VLOOKUP($A110,[1]Hugst!$R$5:$W$9,MATCH(ROUNDUP((AF$1)/10,0)*10,[1]Hugst!$R$4:$W$4,0))))</f>
        <v>0</v>
      </c>
      <c r="AG110" s="168">
        <f>IF($C110-AG$1&lt;År1,0,AF109*(1-VLOOKUP($A110,[1]Hugst!$R$5:$W$9,MATCH(ROUNDUP((AG$1)/10,0)*10,[1]Hugst!$R$4:$W$4,0))))</f>
        <v>0</v>
      </c>
      <c r="AH110" s="168">
        <f>IF($C110-AH$1&lt;År1,0,AG109*(1-VLOOKUP($A110,[1]Hugst!$R$5:$W$9,MATCH(ROUNDUP((AH$1)/10,0)*10,[1]Hugst!$R$4:$W$4,0))))</f>
        <v>0</v>
      </c>
      <c r="AI110" s="168">
        <f>IF($C110-AI$1&lt;År1,0,AH109*(1-VLOOKUP($A110,[1]Hugst!$R$5:$W$9,MATCH(ROUNDUP((AI$1)/10,0)*10,[1]Hugst!$R$4:$W$4,0))))</f>
        <v>0</v>
      </c>
      <c r="AJ110" s="168">
        <f>IF($C110-AJ$1&lt;År1,0,AI109*(1-VLOOKUP($A110,[1]Hugst!$R$5:$W$9,MATCH(ROUNDUP((AJ$1)/10,0)*10,[1]Hugst!$R$4:$W$4,0))))</f>
        <v>0</v>
      </c>
    </row>
    <row r="111" spans="1:36" s="168" customFormat="1" x14ac:dyDescent="0.25">
      <c r="A111" s="168" t="s">
        <v>177</v>
      </c>
      <c r="B111" s="168" t="s">
        <v>24</v>
      </c>
      <c r="C111" s="168">
        <v>2036</v>
      </c>
      <c r="D111" s="168" cm="1">
        <f t="array" ref="D111">(IF(B111="Vestdanmark",Skovbrug!$C$22-(Skovbrug!$C$22)*(1-Skovbrug!$C$9)^(C111-Skovbrug!$B$12),Skovbrug!$F$22-(Skovbrug!$F$22)*(1-Skovbrug!$C$9)^(C111-Skovbrug!$B$12))*VLOOKUP(A111,Skovbrug!$A$13:$D$17,IF('Skovbrug-alder'!C111&lt;=År2,3,4),FALSE)-IF(C111&gt;2020,SUM(INDEX($C$1:$D$311,MATCH(1,(2020=$C$1:$C$311)*(B111=$B$1:$B$311)*(A111=$A$1:$A$311),0),2):D110),0))</f>
        <v>0</v>
      </c>
      <c r="E111" s="168">
        <f t="shared" ca="1" si="2"/>
        <v>0</v>
      </c>
      <c r="F111" s="168">
        <f ca="1">IF(C111&lt;=År2,IF(B111="Vestdanmark",(Arealanvendelse!$M$27-Arealanvendelse!$J$27),(Arealanvendelse!$M$37-Arealanvendelse!$J$37))/(Arealanvendelse!$M$3-Arealanvendelse!$J$3),IF(B111="Vestdanmark",(Arealanvendelse!$P$27-Arealanvendelse!$M$27),(Arealanvendelse!$P$37-Arealanvendelse!$M$37))/(Arealanvendelse!$P$3-Arealanvendelse!$M$3))*VLOOKUP(A111,Skovbrug!$A$13:$D$17,IF('Skovbrug-alder'!C111&lt;=År2,3,4),FALSE)+D111+E111</f>
        <v>0</v>
      </c>
      <c r="G111" s="168">
        <f ca="1">IF($C111-G$1&lt;År1,0,F110*(1-VLOOKUP($A111,[1]Hugst!$R$5:$W$9,MATCH(ROUNDUP((G$1)/10,0)*10,[1]Hugst!$R$4:$W$4,0))))</f>
        <v>0</v>
      </c>
      <c r="H111" s="168">
        <f ca="1">IF($C111-H$1&lt;År1,0,G110*(1-VLOOKUP($A111,[1]Hugst!$R$5:$W$9,MATCH(ROUNDUP((H$1)/10,0)*10,[1]Hugst!$R$4:$W$4,0))))</f>
        <v>0</v>
      </c>
      <c r="I111" s="168">
        <f ca="1">IF($C111-I$1&lt;År1,0,H110*(1-VLOOKUP($A111,[1]Hugst!$R$5:$W$9,MATCH(ROUNDUP((I$1)/10,0)*10,[1]Hugst!$R$4:$W$4,0))))</f>
        <v>0</v>
      </c>
      <c r="J111" s="168">
        <f ca="1">IF($C111-J$1&lt;År1,0,I110*(1-VLOOKUP($A111,[1]Hugst!$R$5:$W$9,MATCH(ROUNDUP((J$1)/10,0)*10,[1]Hugst!$R$4:$W$4,0))))</f>
        <v>0</v>
      </c>
      <c r="K111" s="168">
        <f ca="1">IF($C111-K$1&lt;År1,0,J110*(1-VLOOKUP($A111,[1]Hugst!$R$5:$W$9,MATCH(ROUNDUP((K$1)/10,0)*10,[1]Hugst!$R$4:$W$4,0))))</f>
        <v>0</v>
      </c>
      <c r="L111" s="168">
        <f ca="1">IF($C111-L$1&lt;År1,0,K110*(1-VLOOKUP($A111,[1]Hugst!$R$5:$W$9,MATCH(ROUNDUP((L$1)/10,0)*10,[1]Hugst!$R$4:$W$4,0))))</f>
        <v>0</v>
      </c>
      <c r="M111" s="168">
        <f ca="1">IF($C111-M$1&lt;År1,0,L110*(1-VLOOKUP($A111,[1]Hugst!$R$5:$W$9,MATCH(ROUNDUP((M$1)/10,0)*10,[1]Hugst!$R$4:$W$4,0))))</f>
        <v>0</v>
      </c>
      <c r="N111" s="168">
        <f ca="1">IF($C111-N$1&lt;År1,0,M110*(1-VLOOKUP($A111,[1]Hugst!$R$5:$W$9,MATCH(ROUNDUP((N$1)/10,0)*10,[1]Hugst!$R$4:$W$4,0))))</f>
        <v>0</v>
      </c>
      <c r="O111" s="168">
        <f ca="1">IF($C111-O$1&lt;År1,0,N110*(1-VLOOKUP($A111,[1]Hugst!$R$5:$W$9,MATCH(ROUNDUP((O$1)/10,0)*10,[1]Hugst!$R$4:$W$4,0))))</f>
        <v>0</v>
      </c>
      <c r="P111" s="168">
        <f ca="1">IF($C111-P$1&lt;År1,0,O110*(1-VLOOKUP($A111,[1]Hugst!$R$5:$W$9,MATCH(ROUNDUP((P$1)/10,0)*10,[1]Hugst!$R$4:$W$4,0))))</f>
        <v>0</v>
      </c>
      <c r="Q111" s="168">
        <f ca="1">IF($C111-Q$1&lt;År1,0,P110*(1-VLOOKUP($A111,[1]Hugst!$R$5:$W$9,MATCH(ROUNDUP((Q$1)/10,0)*10,[1]Hugst!$R$4:$W$4,0))))</f>
        <v>0</v>
      </c>
      <c r="R111" s="168">
        <f ca="1">IF($C111-R$1&lt;År1,0,Q110*(1-VLOOKUP($A111,[1]Hugst!$R$5:$W$9,MATCH(ROUNDUP((R$1)/10,0)*10,[1]Hugst!$R$4:$W$4,0))))</f>
        <v>0</v>
      </c>
      <c r="S111" s="168">
        <f ca="1">IF($C111-S$1&lt;År1,0,R110*(1-VLOOKUP($A111,[1]Hugst!$R$5:$W$9,MATCH(ROUNDUP((S$1)/10,0)*10,[1]Hugst!$R$4:$W$4,0))))</f>
        <v>0</v>
      </c>
      <c r="T111" s="168">
        <f ca="1">IF($C111-T$1&lt;År1,0,S110*(1-VLOOKUP($A111,[1]Hugst!$R$5:$W$9,MATCH(ROUNDUP((T$1)/10,0)*10,[1]Hugst!$R$4:$W$4,0))))</f>
        <v>0</v>
      </c>
      <c r="U111" s="168">
        <f ca="1">IF($C111-U$1&lt;År1,0,T110*(1-VLOOKUP($A111,[1]Hugst!$R$5:$W$9,MATCH(ROUNDUP((U$1)/10,0)*10,[1]Hugst!$R$4:$W$4,0))))</f>
        <v>0</v>
      </c>
      <c r="V111" s="168">
        <f ca="1">IF($C111-V$1&lt;År1,0,U110*(1-VLOOKUP($A111,[1]Hugst!$R$5:$W$9,MATCH(ROUNDUP((V$1)/10,0)*10,[1]Hugst!$R$4:$W$4,0))))</f>
        <v>0</v>
      </c>
      <c r="W111" s="168">
        <f>IF($C111-W$1&lt;År1,0,V110*(1-VLOOKUP($A111,[1]Hugst!$R$5:$W$9,MATCH(ROUNDUP((W$1)/10,0)*10,[1]Hugst!$R$4:$W$4,0))))</f>
        <v>0</v>
      </c>
      <c r="X111" s="168">
        <f>IF($C111-X$1&lt;År1,0,W110*(1-VLOOKUP($A111,[1]Hugst!$R$5:$W$9,MATCH(ROUNDUP((X$1)/10,0)*10,[1]Hugst!$R$4:$W$4,0))))</f>
        <v>0</v>
      </c>
      <c r="Y111" s="168">
        <f>IF($C111-Y$1&lt;År1,0,X110*(1-VLOOKUP($A111,[1]Hugst!$R$5:$W$9,MATCH(ROUNDUP((Y$1)/10,0)*10,[1]Hugst!$R$4:$W$4,0))))</f>
        <v>0</v>
      </c>
      <c r="Z111" s="168">
        <f>IF($C111-Z$1&lt;År1,0,Y110*(1-VLOOKUP($A111,[1]Hugst!$R$5:$W$9,MATCH(ROUNDUP((Z$1)/10,0)*10,[1]Hugst!$R$4:$W$4,0))))</f>
        <v>0</v>
      </c>
      <c r="AA111" s="168">
        <f>IF($C111-AA$1&lt;År1,0,Z110*(1-VLOOKUP($A111,[1]Hugst!$R$5:$W$9,MATCH(ROUNDUP((AA$1)/10,0)*10,[1]Hugst!$R$4:$W$4,0))))</f>
        <v>0</v>
      </c>
      <c r="AB111" s="168">
        <f>IF($C111-AB$1&lt;År1,0,AA110*(1-VLOOKUP($A111,[1]Hugst!$R$5:$W$9,MATCH(ROUNDUP((AB$1)/10,0)*10,[1]Hugst!$R$4:$W$4,0))))</f>
        <v>0</v>
      </c>
      <c r="AC111" s="168">
        <f>IF($C111-AC$1&lt;År1,0,AB110*(1-VLOOKUP($A111,[1]Hugst!$R$5:$W$9,MATCH(ROUNDUP((AC$1)/10,0)*10,[1]Hugst!$R$4:$W$4,0))))</f>
        <v>0</v>
      </c>
      <c r="AD111" s="168">
        <f>IF($C111-AD$1&lt;År1,0,AC110*(1-VLOOKUP($A111,[1]Hugst!$R$5:$W$9,MATCH(ROUNDUP((AD$1)/10,0)*10,[1]Hugst!$R$4:$W$4,0))))</f>
        <v>0</v>
      </c>
      <c r="AE111" s="168">
        <f>IF($C111-AE$1&lt;År1,0,AD110*(1-VLOOKUP($A111,[1]Hugst!$R$5:$W$9,MATCH(ROUNDUP((AE$1)/10,0)*10,[1]Hugst!$R$4:$W$4,0))))</f>
        <v>0</v>
      </c>
      <c r="AF111" s="168">
        <f>IF($C111-AF$1&lt;År1,0,AE110*(1-VLOOKUP($A111,[1]Hugst!$R$5:$W$9,MATCH(ROUNDUP((AF$1)/10,0)*10,[1]Hugst!$R$4:$W$4,0))))</f>
        <v>0</v>
      </c>
      <c r="AG111" s="168">
        <f>IF($C111-AG$1&lt;År1,0,AF110*(1-VLOOKUP($A111,[1]Hugst!$R$5:$W$9,MATCH(ROUNDUP((AG$1)/10,0)*10,[1]Hugst!$R$4:$W$4,0))))</f>
        <v>0</v>
      </c>
      <c r="AH111" s="168">
        <f>IF($C111-AH$1&lt;År1,0,AG110*(1-VLOOKUP($A111,[1]Hugst!$R$5:$W$9,MATCH(ROUNDUP((AH$1)/10,0)*10,[1]Hugst!$R$4:$W$4,0))))</f>
        <v>0</v>
      </c>
      <c r="AI111" s="168">
        <f>IF($C111-AI$1&lt;År1,0,AH110*(1-VLOOKUP($A111,[1]Hugst!$R$5:$W$9,MATCH(ROUNDUP((AI$1)/10,0)*10,[1]Hugst!$R$4:$W$4,0))))</f>
        <v>0</v>
      </c>
      <c r="AJ111" s="168">
        <f>IF($C111-AJ$1&lt;År1,0,AI110*(1-VLOOKUP($A111,[1]Hugst!$R$5:$W$9,MATCH(ROUNDUP((AJ$1)/10,0)*10,[1]Hugst!$R$4:$W$4,0))))</f>
        <v>0</v>
      </c>
    </row>
    <row r="112" spans="1:36" s="168" customFormat="1" x14ac:dyDescent="0.25">
      <c r="A112" s="168" t="s">
        <v>177</v>
      </c>
      <c r="B112" s="168" t="s">
        <v>24</v>
      </c>
      <c r="C112" s="168">
        <v>2037</v>
      </c>
      <c r="D112" s="168" cm="1">
        <f t="array" ref="D112">(IF(B112="Vestdanmark",Skovbrug!$C$22-(Skovbrug!$C$22)*(1-Skovbrug!$C$9)^(C112-Skovbrug!$B$12),Skovbrug!$F$22-(Skovbrug!$F$22)*(1-Skovbrug!$C$9)^(C112-Skovbrug!$B$12))*VLOOKUP(A112,Skovbrug!$A$13:$D$17,IF('Skovbrug-alder'!C112&lt;=År2,3,4),FALSE)-IF(C112&gt;2020,SUM(INDEX($C$1:$D$311,MATCH(1,(2020=$C$1:$C$311)*(B112=$B$1:$B$311)*(A112=$A$1:$A$311),0),2):D111),0))</f>
        <v>0</v>
      </c>
      <c r="E112" s="168">
        <f t="shared" ca="1" si="2"/>
        <v>0</v>
      </c>
      <c r="F112" s="168">
        <f ca="1">IF(C112&lt;=År2,IF(B112="Vestdanmark",(Arealanvendelse!$M$27-Arealanvendelse!$J$27),(Arealanvendelse!$M$37-Arealanvendelse!$J$37))/(Arealanvendelse!$M$3-Arealanvendelse!$J$3),IF(B112="Vestdanmark",(Arealanvendelse!$P$27-Arealanvendelse!$M$27),(Arealanvendelse!$P$37-Arealanvendelse!$M$37))/(Arealanvendelse!$P$3-Arealanvendelse!$M$3))*VLOOKUP(A112,Skovbrug!$A$13:$D$17,IF('Skovbrug-alder'!C112&lt;=År2,3,4),FALSE)+D112+E112</f>
        <v>0</v>
      </c>
      <c r="G112" s="168">
        <f ca="1">IF($C112-G$1&lt;År1,0,F111*(1-VLOOKUP($A112,[1]Hugst!$R$5:$W$9,MATCH(ROUNDUP((G$1)/10,0)*10,[1]Hugst!$R$4:$W$4,0))))</f>
        <v>0</v>
      </c>
      <c r="H112" s="168">
        <f ca="1">IF($C112-H$1&lt;År1,0,G111*(1-VLOOKUP($A112,[1]Hugst!$R$5:$W$9,MATCH(ROUNDUP((H$1)/10,0)*10,[1]Hugst!$R$4:$W$4,0))))</f>
        <v>0</v>
      </c>
      <c r="I112" s="168">
        <f ca="1">IF($C112-I$1&lt;År1,0,H111*(1-VLOOKUP($A112,[1]Hugst!$R$5:$W$9,MATCH(ROUNDUP((I$1)/10,0)*10,[1]Hugst!$R$4:$W$4,0))))</f>
        <v>0</v>
      </c>
      <c r="J112" s="168">
        <f ca="1">IF($C112-J$1&lt;År1,0,I111*(1-VLOOKUP($A112,[1]Hugst!$R$5:$W$9,MATCH(ROUNDUP((J$1)/10,0)*10,[1]Hugst!$R$4:$W$4,0))))</f>
        <v>0</v>
      </c>
      <c r="K112" s="168">
        <f ca="1">IF($C112-K$1&lt;År1,0,J111*(1-VLOOKUP($A112,[1]Hugst!$R$5:$W$9,MATCH(ROUNDUP((K$1)/10,0)*10,[1]Hugst!$R$4:$W$4,0))))</f>
        <v>0</v>
      </c>
      <c r="L112" s="168">
        <f ca="1">IF($C112-L$1&lt;År1,0,K111*(1-VLOOKUP($A112,[1]Hugst!$R$5:$W$9,MATCH(ROUNDUP((L$1)/10,0)*10,[1]Hugst!$R$4:$W$4,0))))</f>
        <v>0</v>
      </c>
      <c r="M112" s="168">
        <f ca="1">IF($C112-M$1&lt;År1,0,L111*(1-VLOOKUP($A112,[1]Hugst!$R$5:$W$9,MATCH(ROUNDUP((M$1)/10,0)*10,[1]Hugst!$R$4:$W$4,0))))</f>
        <v>0</v>
      </c>
      <c r="N112" s="168">
        <f ca="1">IF($C112-N$1&lt;År1,0,M111*(1-VLOOKUP($A112,[1]Hugst!$R$5:$W$9,MATCH(ROUNDUP((N$1)/10,0)*10,[1]Hugst!$R$4:$W$4,0))))</f>
        <v>0</v>
      </c>
      <c r="O112" s="168">
        <f ca="1">IF($C112-O$1&lt;År1,0,N111*(1-VLOOKUP($A112,[1]Hugst!$R$5:$W$9,MATCH(ROUNDUP((O$1)/10,0)*10,[1]Hugst!$R$4:$W$4,0))))</f>
        <v>0</v>
      </c>
      <c r="P112" s="168">
        <f ca="1">IF($C112-P$1&lt;År1,0,O111*(1-VLOOKUP($A112,[1]Hugst!$R$5:$W$9,MATCH(ROUNDUP((P$1)/10,0)*10,[1]Hugst!$R$4:$W$4,0))))</f>
        <v>0</v>
      </c>
      <c r="Q112" s="168">
        <f ca="1">IF($C112-Q$1&lt;År1,0,P111*(1-VLOOKUP($A112,[1]Hugst!$R$5:$W$9,MATCH(ROUNDUP((Q$1)/10,0)*10,[1]Hugst!$R$4:$W$4,0))))</f>
        <v>0</v>
      </c>
      <c r="R112" s="168">
        <f ca="1">IF($C112-R$1&lt;År1,0,Q111*(1-VLOOKUP($A112,[1]Hugst!$R$5:$W$9,MATCH(ROUNDUP((R$1)/10,0)*10,[1]Hugst!$R$4:$W$4,0))))</f>
        <v>0</v>
      </c>
      <c r="S112" s="168">
        <f ca="1">IF($C112-S$1&lt;År1,0,R111*(1-VLOOKUP($A112,[1]Hugst!$R$5:$W$9,MATCH(ROUNDUP((S$1)/10,0)*10,[1]Hugst!$R$4:$W$4,0))))</f>
        <v>0</v>
      </c>
      <c r="T112" s="168">
        <f ca="1">IF($C112-T$1&lt;År1,0,S111*(1-VLOOKUP($A112,[1]Hugst!$R$5:$W$9,MATCH(ROUNDUP((T$1)/10,0)*10,[1]Hugst!$R$4:$W$4,0))))</f>
        <v>0</v>
      </c>
      <c r="U112" s="168">
        <f ca="1">IF($C112-U$1&lt;År1,0,T111*(1-VLOOKUP($A112,[1]Hugst!$R$5:$W$9,MATCH(ROUNDUP((U$1)/10,0)*10,[1]Hugst!$R$4:$W$4,0))))</f>
        <v>0</v>
      </c>
      <c r="V112" s="168">
        <f ca="1">IF($C112-V$1&lt;År1,0,U111*(1-VLOOKUP($A112,[1]Hugst!$R$5:$W$9,MATCH(ROUNDUP((V$1)/10,0)*10,[1]Hugst!$R$4:$W$4,0))))</f>
        <v>0</v>
      </c>
      <c r="W112" s="168">
        <f ca="1">IF($C112-W$1&lt;År1,0,V111*(1-VLOOKUP($A112,[1]Hugst!$R$5:$W$9,MATCH(ROUNDUP((W$1)/10,0)*10,[1]Hugst!$R$4:$W$4,0))))</f>
        <v>0</v>
      </c>
      <c r="X112" s="168">
        <f>IF($C112-X$1&lt;År1,0,W111*(1-VLOOKUP($A112,[1]Hugst!$R$5:$W$9,MATCH(ROUNDUP((X$1)/10,0)*10,[1]Hugst!$R$4:$W$4,0))))</f>
        <v>0</v>
      </c>
      <c r="Y112" s="168">
        <f>IF($C112-Y$1&lt;År1,0,X111*(1-VLOOKUP($A112,[1]Hugst!$R$5:$W$9,MATCH(ROUNDUP((Y$1)/10,0)*10,[1]Hugst!$R$4:$W$4,0))))</f>
        <v>0</v>
      </c>
      <c r="Z112" s="168">
        <f>IF($C112-Z$1&lt;År1,0,Y111*(1-VLOOKUP($A112,[1]Hugst!$R$5:$W$9,MATCH(ROUNDUP((Z$1)/10,0)*10,[1]Hugst!$R$4:$W$4,0))))</f>
        <v>0</v>
      </c>
      <c r="AA112" s="168">
        <f>IF($C112-AA$1&lt;År1,0,Z111*(1-VLOOKUP($A112,[1]Hugst!$R$5:$W$9,MATCH(ROUNDUP((AA$1)/10,0)*10,[1]Hugst!$R$4:$W$4,0))))</f>
        <v>0</v>
      </c>
      <c r="AB112" s="168">
        <f>IF($C112-AB$1&lt;År1,0,AA111*(1-VLOOKUP($A112,[1]Hugst!$R$5:$W$9,MATCH(ROUNDUP((AB$1)/10,0)*10,[1]Hugst!$R$4:$W$4,0))))</f>
        <v>0</v>
      </c>
      <c r="AC112" s="168">
        <f>IF($C112-AC$1&lt;År1,0,AB111*(1-VLOOKUP($A112,[1]Hugst!$R$5:$W$9,MATCH(ROUNDUP((AC$1)/10,0)*10,[1]Hugst!$R$4:$W$4,0))))</f>
        <v>0</v>
      </c>
      <c r="AD112" s="168">
        <f>IF($C112-AD$1&lt;År1,0,AC111*(1-VLOOKUP($A112,[1]Hugst!$R$5:$W$9,MATCH(ROUNDUP((AD$1)/10,0)*10,[1]Hugst!$R$4:$W$4,0))))</f>
        <v>0</v>
      </c>
      <c r="AE112" s="168">
        <f>IF($C112-AE$1&lt;År1,0,AD111*(1-VLOOKUP($A112,[1]Hugst!$R$5:$W$9,MATCH(ROUNDUP((AE$1)/10,0)*10,[1]Hugst!$R$4:$W$4,0))))</f>
        <v>0</v>
      </c>
      <c r="AF112" s="168">
        <f>IF($C112-AF$1&lt;År1,0,AE111*(1-VLOOKUP($A112,[1]Hugst!$R$5:$W$9,MATCH(ROUNDUP((AF$1)/10,0)*10,[1]Hugst!$R$4:$W$4,0))))</f>
        <v>0</v>
      </c>
      <c r="AG112" s="168">
        <f>IF($C112-AG$1&lt;År1,0,AF111*(1-VLOOKUP($A112,[1]Hugst!$R$5:$W$9,MATCH(ROUNDUP((AG$1)/10,0)*10,[1]Hugst!$R$4:$W$4,0))))</f>
        <v>0</v>
      </c>
      <c r="AH112" s="168">
        <f>IF($C112-AH$1&lt;År1,0,AG111*(1-VLOOKUP($A112,[1]Hugst!$R$5:$W$9,MATCH(ROUNDUP((AH$1)/10,0)*10,[1]Hugst!$R$4:$W$4,0))))</f>
        <v>0</v>
      </c>
      <c r="AI112" s="168">
        <f>IF($C112-AI$1&lt;År1,0,AH111*(1-VLOOKUP($A112,[1]Hugst!$R$5:$W$9,MATCH(ROUNDUP((AI$1)/10,0)*10,[1]Hugst!$R$4:$W$4,0))))</f>
        <v>0</v>
      </c>
      <c r="AJ112" s="168">
        <f>IF($C112-AJ$1&lt;År1,0,AI111*(1-VLOOKUP($A112,[1]Hugst!$R$5:$W$9,MATCH(ROUNDUP((AJ$1)/10,0)*10,[1]Hugst!$R$4:$W$4,0))))</f>
        <v>0</v>
      </c>
    </row>
    <row r="113" spans="1:38" s="168" customFormat="1" x14ac:dyDescent="0.25">
      <c r="A113" s="168" t="s">
        <v>177</v>
      </c>
      <c r="B113" s="168" t="s">
        <v>24</v>
      </c>
      <c r="C113" s="168">
        <v>2038</v>
      </c>
      <c r="D113" s="168" cm="1">
        <f t="array" ref="D113">(IF(B113="Vestdanmark",Skovbrug!$C$22-(Skovbrug!$C$22)*(1-Skovbrug!$C$9)^(C113-Skovbrug!$B$12),Skovbrug!$F$22-(Skovbrug!$F$22)*(1-Skovbrug!$C$9)^(C113-Skovbrug!$B$12))*VLOOKUP(A113,Skovbrug!$A$13:$D$17,IF('Skovbrug-alder'!C113&lt;=År2,3,4),FALSE)-IF(C113&gt;2020,SUM(INDEX($C$1:$D$311,MATCH(1,(2020=$C$1:$C$311)*(B113=$B$1:$B$311)*(A113=$A$1:$A$311),0),2):D112),0))</f>
        <v>0</v>
      </c>
      <c r="E113" s="168">
        <f t="shared" ca="1" si="2"/>
        <v>0</v>
      </c>
      <c r="F113" s="168">
        <f ca="1">IF(C113&lt;=År2,IF(B113="Vestdanmark",(Arealanvendelse!$M$27-Arealanvendelse!$J$27),(Arealanvendelse!$M$37-Arealanvendelse!$J$37))/(Arealanvendelse!$M$3-Arealanvendelse!$J$3),IF(B113="Vestdanmark",(Arealanvendelse!$P$27-Arealanvendelse!$M$27),(Arealanvendelse!$P$37-Arealanvendelse!$M$37))/(Arealanvendelse!$P$3-Arealanvendelse!$M$3))*VLOOKUP(A113,Skovbrug!$A$13:$D$17,IF('Skovbrug-alder'!C113&lt;=År2,3,4),FALSE)+D113+E113</f>
        <v>0</v>
      </c>
      <c r="G113" s="168">
        <f ca="1">IF($C113-G$1&lt;År1,0,F112*(1-VLOOKUP($A113,[1]Hugst!$R$5:$W$9,MATCH(ROUNDUP((G$1)/10,0)*10,[1]Hugst!$R$4:$W$4,0))))</f>
        <v>0</v>
      </c>
      <c r="H113" s="168">
        <f ca="1">IF($C113-H$1&lt;År1,0,G112*(1-VLOOKUP($A113,[1]Hugst!$R$5:$W$9,MATCH(ROUNDUP((H$1)/10,0)*10,[1]Hugst!$R$4:$W$4,0))))</f>
        <v>0</v>
      </c>
      <c r="I113" s="168">
        <f ca="1">IF($C113-I$1&lt;År1,0,H112*(1-VLOOKUP($A113,[1]Hugst!$R$5:$W$9,MATCH(ROUNDUP((I$1)/10,0)*10,[1]Hugst!$R$4:$W$4,0))))</f>
        <v>0</v>
      </c>
      <c r="J113" s="168">
        <f ca="1">IF($C113-J$1&lt;År1,0,I112*(1-VLOOKUP($A113,[1]Hugst!$R$5:$W$9,MATCH(ROUNDUP((J$1)/10,0)*10,[1]Hugst!$R$4:$W$4,0))))</f>
        <v>0</v>
      </c>
      <c r="K113" s="168">
        <f ca="1">IF($C113-K$1&lt;År1,0,J112*(1-VLOOKUP($A113,[1]Hugst!$R$5:$W$9,MATCH(ROUNDUP((K$1)/10,0)*10,[1]Hugst!$R$4:$W$4,0))))</f>
        <v>0</v>
      </c>
      <c r="L113" s="168">
        <f ca="1">IF($C113-L$1&lt;År1,0,K112*(1-VLOOKUP($A113,[1]Hugst!$R$5:$W$9,MATCH(ROUNDUP((L$1)/10,0)*10,[1]Hugst!$R$4:$W$4,0))))</f>
        <v>0</v>
      </c>
      <c r="M113" s="168">
        <f ca="1">IF($C113-M$1&lt;År1,0,L112*(1-VLOOKUP($A113,[1]Hugst!$R$5:$W$9,MATCH(ROUNDUP((M$1)/10,0)*10,[1]Hugst!$R$4:$W$4,0))))</f>
        <v>0</v>
      </c>
      <c r="N113" s="168">
        <f ca="1">IF($C113-N$1&lt;År1,0,M112*(1-VLOOKUP($A113,[1]Hugst!$R$5:$W$9,MATCH(ROUNDUP((N$1)/10,0)*10,[1]Hugst!$R$4:$W$4,0))))</f>
        <v>0</v>
      </c>
      <c r="O113" s="168">
        <f ca="1">IF($C113-O$1&lt;År1,0,N112*(1-VLOOKUP($A113,[1]Hugst!$R$5:$W$9,MATCH(ROUNDUP((O$1)/10,0)*10,[1]Hugst!$R$4:$W$4,0))))</f>
        <v>0</v>
      </c>
      <c r="P113" s="168">
        <f ca="1">IF($C113-P$1&lt;År1,0,O112*(1-VLOOKUP($A113,[1]Hugst!$R$5:$W$9,MATCH(ROUNDUP((P$1)/10,0)*10,[1]Hugst!$R$4:$W$4,0))))</f>
        <v>0</v>
      </c>
      <c r="Q113" s="168">
        <f ca="1">IF($C113-Q$1&lt;År1,0,P112*(1-VLOOKUP($A113,[1]Hugst!$R$5:$W$9,MATCH(ROUNDUP((Q$1)/10,0)*10,[1]Hugst!$R$4:$W$4,0))))</f>
        <v>0</v>
      </c>
      <c r="R113" s="168">
        <f ca="1">IF($C113-R$1&lt;År1,0,Q112*(1-VLOOKUP($A113,[1]Hugst!$R$5:$W$9,MATCH(ROUNDUP((R$1)/10,0)*10,[1]Hugst!$R$4:$W$4,0))))</f>
        <v>0</v>
      </c>
      <c r="S113" s="168">
        <f ca="1">IF($C113-S$1&lt;År1,0,R112*(1-VLOOKUP($A113,[1]Hugst!$R$5:$W$9,MATCH(ROUNDUP((S$1)/10,0)*10,[1]Hugst!$R$4:$W$4,0))))</f>
        <v>0</v>
      </c>
      <c r="T113" s="168">
        <f ca="1">IF($C113-T$1&lt;År1,0,S112*(1-VLOOKUP($A113,[1]Hugst!$R$5:$W$9,MATCH(ROUNDUP((T$1)/10,0)*10,[1]Hugst!$R$4:$W$4,0))))</f>
        <v>0</v>
      </c>
      <c r="U113" s="168">
        <f ca="1">IF($C113-U$1&lt;År1,0,T112*(1-VLOOKUP($A113,[1]Hugst!$R$5:$W$9,MATCH(ROUNDUP((U$1)/10,0)*10,[1]Hugst!$R$4:$W$4,0))))</f>
        <v>0</v>
      </c>
      <c r="V113" s="168">
        <f ca="1">IF($C113-V$1&lt;År1,0,U112*(1-VLOOKUP($A113,[1]Hugst!$R$5:$W$9,MATCH(ROUNDUP((V$1)/10,0)*10,[1]Hugst!$R$4:$W$4,0))))</f>
        <v>0</v>
      </c>
      <c r="W113" s="168">
        <f ca="1">IF($C113-W$1&lt;År1,0,V112*(1-VLOOKUP($A113,[1]Hugst!$R$5:$W$9,MATCH(ROUNDUP((W$1)/10,0)*10,[1]Hugst!$R$4:$W$4,0))))</f>
        <v>0</v>
      </c>
      <c r="X113" s="168">
        <f ca="1">IF($C113-X$1&lt;År1,0,W112*(1-VLOOKUP($A113,[1]Hugst!$R$5:$W$9,MATCH(ROUNDUP((X$1)/10,0)*10,[1]Hugst!$R$4:$W$4,0))))</f>
        <v>0</v>
      </c>
      <c r="Y113" s="168">
        <f>IF($C113-Y$1&lt;År1,0,X112*(1-VLOOKUP($A113,[1]Hugst!$R$5:$W$9,MATCH(ROUNDUP((Y$1)/10,0)*10,[1]Hugst!$R$4:$W$4,0))))</f>
        <v>0</v>
      </c>
      <c r="Z113" s="168">
        <f>IF($C113-Z$1&lt;År1,0,Y112*(1-VLOOKUP($A113,[1]Hugst!$R$5:$W$9,MATCH(ROUNDUP((Z$1)/10,0)*10,[1]Hugst!$R$4:$W$4,0))))</f>
        <v>0</v>
      </c>
      <c r="AA113" s="168">
        <f>IF($C113-AA$1&lt;År1,0,Z112*(1-VLOOKUP($A113,[1]Hugst!$R$5:$W$9,MATCH(ROUNDUP((AA$1)/10,0)*10,[1]Hugst!$R$4:$W$4,0))))</f>
        <v>0</v>
      </c>
      <c r="AB113" s="168">
        <f>IF($C113-AB$1&lt;År1,0,AA112*(1-VLOOKUP($A113,[1]Hugst!$R$5:$W$9,MATCH(ROUNDUP((AB$1)/10,0)*10,[1]Hugst!$R$4:$W$4,0))))</f>
        <v>0</v>
      </c>
      <c r="AC113" s="168">
        <f>IF($C113-AC$1&lt;År1,0,AB112*(1-VLOOKUP($A113,[1]Hugst!$R$5:$W$9,MATCH(ROUNDUP((AC$1)/10,0)*10,[1]Hugst!$R$4:$W$4,0))))</f>
        <v>0</v>
      </c>
      <c r="AD113" s="168">
        <f>IF($C113-AD$1&lt;År1,0,AC112*(1-VLOOKUP($A113,[1]Hugst!$R$5:$W$9,MATCH(ROUNDUP((AD$1)/10,0)*10,[1]Hugst!$R$4:$W$4,0))))</f>
        <v>0</v>
      </c>
      <c r="AE113" s="168">
        <f>IF($C113-AE$1&lt;År1,0,AD112*(1-VLOOKUP($A113,[1]Hugst!$R$5:$W$9,MATCH(ROUNDUP((AE$1)/10,0)*10,[1]Hugst!$R$4:$W$4,0))))</f>
        <v>0</v>
      </c>
      <c r="AF113" s="168">
        <f>IF($C113-AF$1&lt;År1,0,AE112*(1-VLOOKUP($A113,[1]Hugst!$R$5:$W$9,MATCH(ROUNDUP((AF$1)/10,0)*10,[1]Hugst!$R$4:$W$4,0))))</f>
        <v>0</v>
      </c>
      <c r="AG113" s="168">
        <f>IF($C113-AG$1&lt;År1,0,AF112*(1-VLOOKUP($A113,[1]Hugst!$R$5:$W$9,MATCH(ROUNDUP((AG$1)/10,0)*10,[1]Hugst!$R$4:$W$4,0))))</f>
        <v>0</v>
      </c>
      <c r="AH113" s="168">
        <f>IF($C113-AH$1&lt;År1,0,AG112*(1-VLOOKUP($A113,[1]Hugst!$R$5:$W$9,MATCH(ROUNDUP((AH$1)/10,0)*10,[1]Hugst!$R$4:$W$4,0))))</f>
        <v>0</v>
      </c>
      <c r="AI113" s="168">
        <f>IF($C113-AI$1&lt;År1,0,AH112*(1-VLOOKUP($A113,[1]Hugst!$R$5:$W$9,MATCH(ROUNDUP((AI$1)/10,0)*10,[1]Hugst!$R$4:$W$4,0))))</f>
        <v>0</v>
      </c>
      <c r="AJ113" s="168">
        <f>IF($C113-AJ$1&lt;År1,0,AI112*(1-VLOOKUP($A113,[1]Hugst!$R$5:$W$9,MATCH(ROUNDUP((AJ$1)/10,0)*10,[1]Hugst!$R$4:$W$4,0))))</f>
        <v>0</v>
      </c>
    </row>
    <row r="114" spans="1:38" s="168" customFormat="1" x14ac:dyDescent="0.25">
      <c r="A114" s="168" t="s">
        <v>177</v>
      </c>
      <c r="B114" s="168" t="s">
        <v>24</v>
      </c>
      <c r="C114" s="168">
        <v>2039</v>
      </c>
      <c r="D114" s="168" cm="1">
        <f t="array" ref="D114">(IF(B114="Vestdanmark",Skovbrug!$C$22-(Skovbrug!$C$22)*(1-Skovbrug!$C$9)^(C114-Skovbrug!$B$12),Skovbrug!$F$22-(Skovbrug!$F$22)*(1-Skovbrug!$C$9)^(C114-Skovbrug!$B$12))*VLOOKUP(A114,Skovbrug!$A$13:$D$17,IF('Skovbrug-alder'!C114&lt;=År2,3,4),FALSE)-IF(C114&gt;2020,SUM(INDEX($C$1:$D$311,MATCH(1,(2020=$C$1:$C$311)*(B114=$B$1:$B$311)*(A114=$A$1:$A$311),0),2):D113),0))</f>
        <v>0</v>
      </c>
      <c r="E114" s="168">
        <f t="shared" ca="1" si="2"/>
        <v>0</v>
      </c>
      <c r="F114" s="168">
        <f ca="1">IF(C114&lt;=År2,IF(B114="Vestdanmark",(Arealanvendelse!$M$27-Arealanvendelse!$J$27),(Arealanvendelse!$M$37-Arealanvendelse!$J$37))/(Arealanvendelse!$M$3-Arealanvendelse!$J$3),IF(B114="Vestdanmark",(Arealanvendelse!$P$27-Arealanvendelse!$M$27),(Arealanvendelse!$P$37-Arealanvendelse!$M$37))/(Arealanvendelse!$P$3-Arealanvendelse!$M$3))*VLOOKUP(A114,Skovbrug!$A$13:$D$17,IF('Skovbrug-alder'!C114&lt;=År2,3,4),FALSE)+D114+E114</f>
        <v>0</v>
      </c>
      <c r="G114" s="168">
        <f ca="1">IF($C114-G$1&lt;År1,0,F113*(1-VLOOKUP($A114,[1]Hugst!$R$5:$W$9,MATCH(ROUNDUP((G$1)/10,0)*10,[1]Hugst!$R$4:$W$4,0))))</f>
        <v>0</v>
      </c>
      <c r="H114" s="168">
        <f ca="1">IF($C114-H$1&lt;År1,0,G113*(1-VLOOKUP($A114,[1]Hugst!$R$5:$W$9,MATCH(ROUNDUP((H$1)/10,0)*10,[1]Hugst!$R$4:$W$4,0))))</f>
        <v>0</v>
      </c>
      <c r="I114" s="168">
        <f ca="1">IF($C114-I$1&lt;År1,0,H113*(1-VLOOKUP($A114,[1]Hugst!$R$5:$W$9,MATCH(ROUNDUP((I$1)/10,0)*10,[1]Hugst!$R$4:$W$4,0))))</f>
        <v>0</v>
      </c>
      <c r="J114" s="168">
        <f ca="1">IF($C114-J$1&lt;År1,0,I113*(1-VLOOKUP($A114,[1]Hugst!$R$5:$W$9,MATCH(ROUNDUP((J$1)/10,0)*10,[1]Hugst!$R$4:$W$4,0))))</f>
        <v>0</v>
      </c>
      <c r="K114" s="168">
        <f ca="1">IF($C114-K$1&lt;År1,0,J113*(1-VLOOKUP($A114,[1]Hugst!$R$5:$W$9,MATCH(ROUNDUP((K$1)/10,0)*10,[1]Hugst!$R$4:$W$4,0))))</f>
        <v>0</v>
      </c>
      <c r="L114" s="168">
        <f ca="1">IF($C114-L$1&lt;År1,0,K113*(1-VLOOKUP($A114,[1]Hugst!$R$5:$W$9,MATCH(ROUNDUP((L$1)/10,0)*10,[1]Hugst!$R$4:$W$4,0))))</f>
        <v>0</v>
      </c>
      <c r="M114" s="168">
        <f ca="1">IF($C114-M$1&lt;År1,0,L113*(1-VLOOKUP($A114,[1]Hugst!$R$5:$W$9,MATCH(ROUNDUP((M$1)/10,0)*10,[1]Hugst!$R$4:$W$4,0))))</f>
        <v>0</v>
      </c>
      <c r="N114" s="168">
        <f ca="1">IF($C114-N$1&lt;År1,0,M113*(1-VLOOKUP($A114,[1]Hugst!$R$5:$W$9,MATCH(ROUNDUP((N$1)/10,0)*10,[1]Hugst!$R$4:$W$4,0))))</f>
        <v>0</v>
      </c>
      <c r="O114" s="168">
        <f ca="1">IF($C114-O$1&lt;År1,0,N113*(1-VLOOKUP($A114,[1]Hugst!$R$5:$W$9,MATCH(ROUNDUP((O$1)/10,0)*10,[1]Hugst!$R$4:$W$4,0))))</f>
        <v>0</v>
      </c>
      <c r="P114" s="168">
        <f ca="1">IF($C114-P$1&lt;År1,0,O113*(1-VLOOKUP($A114,[1]Hugst!$R$5:$W$9,MATCH(ROUNDUP((P$1)/10,0)*10,[1]Hugst!$R$4:$W$4,0))))</f>
        <v>0</v>
      </c>
      <c r="Q114" s="168">
        <f ca="1">IF($C114-Q$1&lt;År1,0,P113*(1-VLOOKUP($A114,[1]Hugst!$R$5:$W$9,MATCH(ROUNDUP((Q$1)/10,0)*10,[1]Hugst!$R$4:$W$4,0))))</f>
        <v>0</v>
      </c>
      <c r="R114" s="168">
        <f ca="1">IF($C114-R$1&lt;År1,0,Q113*(1-VLOOKUP($A114,[1]Hugst!$R$5:$W$9,MATCH(ROUNDUP((R$1)/10,0)*10,[1]Hugst!$R$4:$W$4,0))))</f>
        <v>0</v>
      </c>
      <c r="S114" s="168">
        <f ca="1">IF($C114-S$1&lt;År1,0,R113*(1-VLOOKUP($A114,[1]Hugst!$R$5:$W$9,MATCH(ROUNDUP((S$1)/10,0)*10,[1]Hugst!$R$4:$W$4,0))))</f>
        <v>0</v>
      </c>
      <c r="T114" s="168">
        <f ca="1">IF($C114-T$1&lt;År1,0,S113*(1-VLOOKUP($A114,[1]Hugst!$R$5:$W$9,MATCH(ROUNDUP((T$1)/10,0)*10,[1]Hugst!$R$4:$W$4,0))))</f>
        <v>0</v>
      </c>
      <c r="U114" s="168">
        <f ca="1">IF($C114-U$1&lt;År1,0,T113*(1-VLOOKUP($A114,[1]Hugst!$R$5:$W$9,MATCH(ROUNDUP((U$1)/10,0)*10,[1]Hugst!$R$4:$W$4,0))))</f>
        <v>0</v>
      </c>
      <c r="V114" s="168">
        <f ca="1">IF($C114-V$1&lt;År1,0,U113*(1-VLOOKUP($A114,[1]Hugst!$R$5:$W$9,MATCH(ROUNDUP((V$1)/10,0)*10,[1]Hugst!$R$4:$W$4,0))))</f>
        <v>0</v>
      </c>
      <c r="W114" s="168">
        <f ca="1">IF($C114-W$1&lt;År1,0,V113*(1-VLOOKUP($A114,[1]Hugst!$R$5:$W$9,MATCH(ROUNDUP((W$1)/10,0)*10,[1]Hugst!$R$4:$W$4,0))))</f>
        <v>0</v>
      </c>
      <c r="X114" s="168">
        <f ca="1">IF($C114-X$1&lt;År1,0,W113*(1-VLOOKUP($A114,[1]Hugst!$R$5:$W$9,MATCH(ROUNDUP((X$1)/10,0)*10,[1]Hugst!$R$4:$W$4,0))))</f>
        <v>0</v>
      </c>
      <c r="Y114" s="168">
        <f ca="1">IF($C114-Y$1&lt;År1,0,X113*(1-VLOOKUP($A114,[1]Hugst!$R$5:$W$9,MATCH(ROUNDUP((Y$1)/10,0)*10,[1]Hugst!$R$4:$W$4,0))))</f>
        <v>0</v>
      </c>
      <c r="Z114" s="168">
        <f>IF($C114-Z$1&lt;År1,0,Y113*(1-VLOOKUP($A114,[1]Hugst!$R$5:$W$9,MATCH(ROUNDUP((Z$1)/10,0)*10,[1]Hugst!$R$4:$W$4,0))))</f>
        <v>0</v>
      </c>
      <c r="AA114" s="168">
        <f>IF($C114-AA$1&lt;År1,0,Z113*(1-VLOOKUP($A114,[1]Hugst!$R$5:$W$9,MATCH(ROUNDUP((AA$1)/10,0)*10,[1]Hugst!$R$4:$W$4,0))))</f>
        <v>0</v>
      </c>
      <c r="AB114" s="168">
        <f>IF($C114-AB$1&lt;År1,0,AA113*(1-VLOOKUP($A114,[1]Hugst!$R$5:$W$9,MATCH(ROUNDUP((AB$1)/10,0)*10,[1]Hugst!$R$4:$W$4,0))))</f>
        <v>0</v>
      </c>
      <c r="AC114" s="168">
        <f>IF($C114-AC$1&lt;År1,0,AB113*(1-VLOOKUP($A114,[1]Hugst!$R$5:$W$9,MATCH(ROUNDUP((AC$1)/10,0)*10,[1]Hugst!$R$4:$W$4,0))))</f>
        <v>0</v>
      </c>
      <c r="AD114" s="168">
        <f>IF($C114-AD$1&lt;År1,0,AC113*(1-VLOOKUP($A114,[1]Hugst!$R$5:$W$9,MATCH(ROUNDUP((AD$1)/10,0)*10,[1]Hugst!$R$4:$W$4,0))))</f>
        <v>0</v>
      </c>
      <c r="AE114" s="168">
        <f>IF($C114-AE$1&lt;År1,0,AD113*(1-VLOOKUP($A114,[1]Hugst!$R$5:$W$9,MATCH(ROUNDUP((AE$1)/10,0)*10,[1]Hugst!$R$4:$W$4,0))))</f>
        <v>0</v>
      </c>
      <c r="AF114" s="168">
        <f>IF($C114-AF$1&lt;År1,0,AE113*(1-VLOOKUP($A114,[1]Hugst!$R$5:$W$9,MATCH(ROUNDUP((AF$1)/10,0)*10,[1]Hugst!$R$4:$W$4,0))))</f>
        <v>0</v>
      </c>
      <c r="AG114" s="168">
        <f>IF($C114-AG$1&lt;År1,0,AF113*(1-VLOOKUP($A114,[1]Hugst!$R$5:$W$9,MATCH(ROUNDUP((AG$1)/10,0)*10,[1]Hugst!$R$4:$W$4,0))))</f>
        <v>0</v>
      </c>
      <c r="AH114" s="168">
        <f>IF($C114-AH$1&lt;År1,0,AG113*(1-VLOOKUP($A114,[1]Hugst!$R$5:$W$9,MATCH(ROUNDUP((AH$1)/10,0)*10,[1]Hugst!$R$4:$W$4,0))))</f>
        <v>0</v>
      </c>
      <c r="AI114" s="168">
        <f>IF($C114-AI$1&lt;År1,0,AH113*(1-VLOOKUP($A114,[1]Hugst!$R$5:$W$9,MATCH(ROUNDUP((AI$1)/10,0)*10,[1]Hugst!$R$4:$W$4,0))))</f>
        <v>0</v>
      </c>
      <c r="AJ114" s="168">
        <f>IF($C114-AJ$1&lt;År1,0,AI113*(1-VLOOKUP($A114,[1]Hugst!$R$5:$W$9,MATCH(ROUNDUP((AJ$1)/10,0)*10,[1]Hugst!$R$4:$W$4,0))))</f>
        <v>0</v>
      </c>
    </row>
    <row r="115" spans="1:38" s="168" customFormat="1" x14ac:dyDescent="0.25">
      <c r="A115" s="168" t="s">
        <v>177</v>
      </c>
      <c r="B115" s="168" t="s">
        <v>24</v>
      </c>
      <c r="C115" s="168">
        <v>2040</v>
      </c>
      <c r="D115" s="168" cm="1">
        <f t="array" ref="D115">(IF(B115="Vestdanmark",Skovbrug!$C$22-(Skovbrug!$C$22)*(1-Skovbrug!$C$9)^(C115-Skovbrug!$B$12),Skovbrug!$F$22-(Skovbrug!$F$22)*(1-Skovbrug!$C$9)^(C115-Skovbrug!$B$12))*VLOOKUP(A115,Skovbrug!$A$13:$D$17,IF('Skovbrug-alder'!C115&lt;=År2,3,4),FALSE)-IF(C115&gt;2020,SUM(INDEX($C$1:$D$311,MATCH(1,(2020=$C$1:$C$311)*(B115=$B$1:$B$311)*(A115=$A$1:$A$311),0),2):D114),0))</f>
        <v>0</v>
      </c>
      <c r="E115" s="168">
        <f t="shared" ca="1" si="2"/>
        <v>0</v>
      </c>
      <c r="F115" s="168">
        <f ca="1">IF(C115&lt;=År2,IF(B115="Vestdanmark",(Arealanvendelse!$M$27-Arealanvendelse!$J$27),(Arealanvendelse!$M$37-Arealanvendelse!$J$37))/(Arealanvendelse!$M$3-Arealanvendelse!$J$3),IF(B115="Vestdanmark",(Arealanvendelse!$P$27-Arealanvendelse!$M$27),(Arealanvendelse!$P$37-Arealanvendelse!$M$37))/(Arealanvendelse!$P$3-Arealanvendelse!$M$3))*VLOOKUP(A115,Skovbrug!$A$13:$D$17,IF('Skovbrug-alder'!C115&lt;=År2,3,4),FALSE)+D115+E115</f>
        <v>0</v>
      </c>
      <c r="G115" s="168">
        <f ca="1">IF($C115-G$1&lt;År1,0,F114*(1-VLOOKUP($A115,[1]Hugst!$R$5:$W$9,MATCH(ROUNDUP((G$1)/10,0)*10,[1]Hugst!$R$4:$W$4,0))))</f>
        <v>0</v>
      </c>
      <c r="H115" s="168">
        <f ca="1">IF($C115-H$1&lt;År1,0,G114*(1-VLOOKUP($A115,[1]Hugst!$R$5:$W$9,MATCH(ROUNDUP((H$1)/10,0)*10,[1]Hugst!$R$4:$W$4,0))))</f>
        <v>0</v>
      </c>
      <c r="I115" s="168">
        <f ca="1">IF($C115-I$1&lt;År1,0,H114*(1-VLOOKUP($A115,[1]Hugst!$R$5:$W$9,MATCH(ROUNDUP((I$1)/10,0)*10,[1]Hugst!$R$4:$W$4,0))))</f>
        <v>0</v>
      </c>
      <c r="J115" s="168">
        <f ca="1">IF($C115-J$1&lt;År1,0,I114*(1-VLOOKUP($A115,[1]Hugst!$R$5:$W$9,MATCH(ROUNDUP((J$1)/10,0)*10,[1]Hugst!$R$4:$W$4,0))))</f>
        <v>0</v>
      </c>
      <c r="K115" s="168">
        <f ca="1">IF($C115-K$1&lt;År1,0,J114*(1-VLOOKUP($A115,[1]Hugst!$R$5:$W$9,MATCH(ROUNDUP((K$1)/10,0)*10,[1]Hugst!$R$4:$W$4,0))))</f>
        <v>0</v>
      </c>
      <c r="L115" s="168">
        <f ca="1">IF($C115-L$1&lt;År1,0,K114*(1-VLOOKUP($A115,[1]Hugst!$R$5:$W$9,MATCH(ROUNDUP((L$1)/10,0)*10,[1]Hugst!$R$4:$W$4,0))))</f>
        <v>0</v>
      </c>
      <c r="M115" s="168">
        <f ca="1">IF($C115-M$1&lt;År1,0,L114*(1-VLOOKUP($A115,[1]Hugst!$R$5:$W$9,MATCH(ROUNDUP((M$1)/10,0)*10,[1]Hugst!$R$4:$W$4,0))))</f>
        <v>0</v>
      </c>
      <c r="N115" s="168">
        <f ca="1">IF($C115-N$1&lt;År1,0,M114*(1-VLOOKUP($A115,[1]Hugst!$R$5:$W$9,MATCH(ROUNDUP((N$1)/10,0)*10,[1]Hugst!$R$4:$W$4,0))))</f>
        <v>0</v>
      </c>
      <c r="O115" s="168">
        <f ca="1">IF($C115-O$1&lt;År1,0,N114*(1-VLOOKUP($A115,[1]Hugst!$R$5:$W$9,MATCH(ROUNDUP((O$1)/10,0)*10,[1]Hugst!$R$4:$W$4,0))))</f>
        <v>0</v>
      </c>
      <c r="P115" s="168">
        <f ca="1">IF($C115-P$1&lt;År1,0,O114*(1-VLOOKUP($A115,[1]Hugst!$R$5:$W$9,MATCH(ROUNDUP((P$1)/10,0)*10,[1]Hugst!$R$4:$W$4,0))))</f>
        <v>0</v>
      </c>
      <c r="Q115" s="168">
        <f ca="1">IF($C115-Q$1&lt;År1,0,P114*(1-VLOOKUP($A115,[1]Hugst!$R$5:$W$9,MATCH(ROUNDUP((Q$1)/10,0)*10,[1]Hugst!$R$4:$W$4,0))))</f>
        <v>0</v>
      </c>
      <c r="R115" s="168">
        <f ca="1">IF($C115-R$1&lt;År1,0,Q114*(1-VLOOKUP($A115,[1]Hugst!$R$5:$W$9,MATCH(ROUNDUP((R$1)/10,0)*10,[1]Hugst!$R$4:$W$4,0))))</f>
        <v>0</v>
      </c>
      <c r="S115" s="168">
        <f ca="1">IF($C115-S$1&lt;År1,0,R114*(1-VLOOKUP($A115,[1]Hugst!$R$5:$W$9,MATCH(ROUNDUP((S$1)/10,0)*10,[1]Hugst!$R$4:$W$4,0))))</f>
        <v>0</v>
      </c>
      <c r="T115" s="168">
        <f ca="1">IF($C115-T$1&lt;År1,0,S114*(1-VLOOKUP($A115,[1]Hugst!$R$5:$W$9,MATCH(ROUNDUP((T$1)/10,0)*10,[1]Hugst!$R$4:$W$4,0))))</f>
        <v>0</v>
      </c>
      <c r="U115" s="168">
        <f ca="1">IF($C115-U$1&lt;År1,0,T114*(1-VLOOKUP($A115,[1]Hugst!$R$5:$W$9,MATCH(ROUNDUP((U$1)/10,0)*10,[1]Hugst!$R$4:$W$4,0))))</f>
        <v>0</v>
      </c>
      <c r="V115" s="168">
        <f ca="1">IF($C115-V$1&lt;År1,0,U114*(1-VLOOKUP($A115,[1]Hugst!$R$5:$W$9,MATCH(ROUNDUP((V$1)/10,0)*10,[1]Hugst!$R$4:$W$4,0))))</f>
        <v>0</v>
      </c>
      <c r="W115" s="168">
        <f ca="1">IF($C115-W$1&lt;År1,0,V114*(1-VLOOKUP($A115,[1]Hugst!$R$5:$W$9,MATCH(ROUNDUP((W$1)/10,0)*10,[1]Hugst!$R$4:$W$4,0))))</f>
        <v>0</v>
      </c>
      <c r="X115" s="168">
        <f ca="1">IF($C115-X$1&lt;År1,0,W114*(1-VLOOKUP($A115,[1]Hugst!$R$5:$W$9,MATCH(ROUNDUP((X$1)/10,0)*10,[1]Hugst!$R$4:$W$4,0))))</f>
        <v>0</v>
      </c>
      <c r="Y115" s="168">
        <f ca="1">IF($C115-Y$1&lt;År1,0,X114*(1-VLOOKUP($A115,[1]Hugst!$R$5:$W$9,MATCH(ROUNDUP((Y$1)/10,0)*10,[1]Hugst!$R$4:$W$4,0))))</f>
        <v>0</v>
      </c>
      <c r="Z115" s="168">
        <f ca="1">IF($C115-Z$1&lt;År1,0,Y114*(1-VLOOKUP($A115,[1]Hugst!$R$5:$W$9,MATCH(ROUNDUP((Z$1)/10,0)*10,[1]Hugst!$R$4:$W$4,0))))</f>
        <v>0</v>
      </c>
      <c r="AA115" s="168">
        <f>IF($C115-AA$1&lt;År1,0,Z114*(1-VLOOKUP($A115,[1]Hugst!$R$5:$W$9,MATCH(ROUNDUP((AA$1)/10,0)*10,[1]Hugst!$R$4:$W$4,0))))</f>
        <v>0</v>
      </c>
      <c r="AB115" s="168">
        <f>IF($C115-AB$1&lt;År1,0,AA114*(1-VLOOKUP($A115,[1]Hugst!$R$5:$W$9,MATCH(ROUNDUP((AB$1)/10,0)*10,[1]Hugst!$R$4:$W$4,0))))</f>
        <v>0</v>
      </c>
      <c r="AC115" s="168">
        <f>IF($C115-AC$1&lt;År1,0,AB114*(1-VLOOKUP($A115,[1]Hugst!$R$5:$W$9,MATCH(ROUNDUP((AC$1)/10,0)*10,[1]Hugst!$R$4:$W$4,0))))</f>
        <v>0</v>
      </c>
      <c r="AD115" s="168">
        <f>IF($C115-AD$1&lt;År1,0,AC114*(1-VLOOKUP($A115,[1]Hugst!$R$5:$W$9,MATCH(ROUNDUP((AD$1)/10,0)*10,[1]Hugst!$R$4:$W$4,0))))</f>
        <v>0</v>
      </c>
      <c r="AE115" s="168">
        <f>IF($C115-AE$1&lt;År1,0,AD114*(1-VLOOKUP($A115,[1]Hugst!$R$5:$W$9,MATCH(ROUNDUP((AE$1)/10,0)*10,[1]Hugst!$R$4:$W$4,0))))</f>
        <v>0</v>
      </c>
      <c r="AF115" s="168">
        <f>IF($C115-AF$1&lt;År1,0,AE114*(1-VLOOKUP($A115,[1]Hugst!$R$5:$W$9,MATCH(ROUNDUP((AF$1)/10,0)*10,[1]Hugst!$R$4:$W$4,0))))</f>
        <v>0</v>
      </c>
      <c r="AG115" s="168">
        <f>IF($C115-AG$1&lt;År1,0,AF114*(1-VLOOKUP($A115,[1]Hugst!$R$5:$W$9,MATCH(ROUNDUP((AG$1)/10,0)*10,[1]Hugst!$R$4:$W$4,0))))</f>
        <v>0</v>
      </c>
      <c r="AH115" s="168">
        <f>IF($C115-AH$1&lt;År1,0,AG114*(1-VLOOKUP($A115,[1]Hugst!$R$5:$W$9,MATCH(ROUNDUP((AH$1)/10,0)*10,[1]Hugst!$R$4:$W$4,0))))</f>
        <v>0</v>
      </c>
      <c r="AI115" s="168">
        <f>IF($C115-AI$1&lt;År1,0,AH114*(1-VLOOKUP($A115,[1]Hugst!$R$5:$W$9,MATCH(ROUNDUP((AI$1)/10,0)*10,[1]Hugst!$R$4:$W$4,0))))</f>
        <v>0</v>
      </c>
      <c r="AJ115" s="168">
        <f>IF($C115-AJ$1&lt;År1,0,AI114*(1-VLOOKUP($A115,[1]Hugst!$R$5:$W$9,MATCH(ROUNDUP((AJ$1)/10,0)*10,[1]Hugst!$R$4:$W$4,0))))</f>
        <v>0</v>
      </c>
    </row>
    <row r="116" spans="1:38" s="168" customFormat="1" x14ac:dyDescent="0.25">
      <c r="A116" s="168" t="s">
        <v>177</v>
      </c>
      <c r="B116" s="168" t="s">
        <v>24</v>
      </c>
      <c r="C116" s="168">
        <v>2041</v>
      </c>
      <c r="D116" s="168" cm="1">
        <f t="array" ref="D116">(IF(B116="Vestdanmark",Skovbrug!$C$22-(Skovbrug!$C$22)*(1-Skovbrug!$C$9)^(C116-Skovbrug!$B$12),Skovbrug!$F$22-(Skovbrug!$F$22)*(1-Skovbrug!$C$9)^(C116-Skovbrug!$B$12))*VLOOKUP(A116,Skovbrug!$A$13:$D$17,IF('Skovbrug-alder'!C116&lt;=År2,3,4),FALSE)-IF(C116&gt;2020,SUM(INDEX($C$1:$D$311,MATCH(1,(2020=$C$1:$C$311)*(B116=$B$1:$B$311)*(A116=$A$1:$A$311),0),2):D115),0))</f>
        <v>0</v>
      </c>
      <c r="E116" s="168">
        <f t="shared" ca="1" si="2"/>
        <v>0</v>
      </c>
      <c r="F116" s="168">
        <f ca="1">IF(C116&lt;=År2,IF(B116="Vestdanmark",(Arealanvendelse!$M$27-Arealanvendelse!$J$27),(Arealanvendelse!$M$37-Arealanvendelse!$J$37))/(Arealanvendelse!$M$3-Arealanvendelse!$J$3),IF(B116="Vestdanmark",(Arealanvendelse!$P$27-Arealanvendelse!$M$27),(Arealanvendelse!$P$37-Arealanvendelse!$M$37))/(Arealanvendelse!$P$3-Arealanvendelse!$M$3))*VLOOKUP(A116,Skovbrug!$A$13:$D$17,IF('Skovbrug-alder'!C116&lt;=År2,3,4),FALSE)+D116+E116</f>
        <v>0</v>
      </c>
      <c r="G116" s="168">
        <f ca="1">IF($C116-G$1&lt;År1,0,F115*(1-VLOOKUP($A116,[1]Hugst!$R$5:$W$9,MATCH(ROUNDUP((G$1)/10,0)*10,[1]Hugst!$R$4:$W$4,0))))</f>
        <v>0</v>
      </c>
      <c r="H116" s="168">
        <f ca="1">IF($C116-H$1&lt;År1,0,G115*(1-VLOOKUP($A116,[1]Hugst!$R$5:$W$9,MATCH(ROUNDUP((H$1)/10,0)*10,[1]Hugst!$R$4:$W$4,0))))</f>
        <v>0</v>
      </c>
      <c r="I116" s="168">
        <f ca="1">IF($C116-I$1&lt;År1,0,H115*(1-VLOOKUP($A116,[1]Hugst!$R$5:$W$9,MATCH(ROUNDUP((I$1)/10,0)*10,[1]Hugst!$R$4:$W$4,0))))</f>
        <v>0</v>
      </c>
      <c r="J116" s="168">
        <f ca="1">IF($C116-J$1&lt;År1,0,I115*(1-VLOOKUP($A116,[1]Hugst!$R$5:$W$9,MATCH(ROUNDUP((J$1)/10,0)*10,[1]Hugst!$R$4:$W$4,0))))</f>
        <v>0</v>
      </c>
      <c r="K116" s="168">
        <f ca="1">IF($C116-K$1&lt;År1,0,J115*(1-VLOOKUP($A116,[1]Hugst!$R$5:$W$9,MATCH(ROUNDUP((K$1)/10,0)*10,[1]Hugst!$R$4:$W$4,0))))</f>
        <v>0</v>
      </c>
      <c r="L116" s="168">
        <f ca="1">IF($C116-L$1&lt;År1,0,K115*(1-VLOOKUP($A116,[1]Hugst!$R$5:$W$9,MATCH(ROUNDUP((L$1)/10,0)*10,[1]Hugst!$R$4:$W$4,0))))</f>
        <v>0</v>
      </c>
      <c r="M116" s="168">
        <f ca="1">IF($C116-M$1&lt;År1,0,L115*(1-VLOOKUP($A116,[1]Hugst!$R$5:$W$9,MATCH(ROUNDUP((M$1)/10,0)*10,[1]Hugst!$R$4:$W$4,0))))</f>
        <v>0</v>
      </c>
      <c r="N116" s="168">
        <f ca="1">IF($C116-N$1&lt;År1,0,M115*(1-VLOOKUP($A116,[1]Hugst!$R$5:$W$9,MATCH(ROUNDUP((N$1)/10,0)*10,[1]Hugst!$R$4:$W$4,0))))</f>
        <v>0</v>
      </c>
      <c r="O116" s="168">
        <f ca="1">IF($C116-O$1&lt;År1,0,N115*(1-VLOOKUP($A116,[1]Hugst!$R$5:$W$9,MATCH(ROUNDUP((O$1)/10,0)*10,[1]Hugst!$R$4:$W$4,0))))</f>
        <v>0</v>
      </c>
      <c r="P116" s="168">
        <f ca="1">IF($C116-P$1&lt;År1,0,O115*(1-VLOOKUP($A116,[1]Hugst!$R$5:$W$9,MATCH(ROUNDUP((P$1)/10,0)*10,[1]Hugst!$R$4:$W$4,0))))</f>
        <v>0</v>
      </c>
      <c r="Q116" s="168">
        <f ca="1">IF($C116-Q$1&lt;År1,0,P115*(1-VLOOKUP($A116,[1]Hugst!$R$5:$W$9,MATCH(ROUNDUP((Q$1)/10,0)*10,[1]Hugst!$R$4:$W$4,0))))</f>
        <v>0</v>
      </c>
      <c r="R116" s="168">
        <f ca="1">IF($C116-R$1&lt;År1,0,Q115*(1-VLOOKUP($A116,[1]Hugst!$R$5:$W$9,MATCH(ROUNDUP((R$1)/10,0)*10,[1]Hugst!$R$4:$W$4,0))))</f>
        <v>0</v>
      </c>
      <c r="S116" s="168">
        <f ca="1">IF($C116-S$1&lt;År1,0,R115*(1-VLOOKUP($A116,[1]Hugst!$R$5:$W$9,MATCH(ROUNDUP((S$1)/10,0)*10,[1]Hugst!$R$4:$W$4,0))))</f>
        <v>0</v>
      </c>
      <c r="T116" s="168">
        <f ca="1">IF($C116-T$1&lt;År1,0,S115*(1-VLOOKUP($A116,[1]Hugst!$R$5:$W$9,MATCH(ROUNDUP((T$1)/10,0)*10,[1]Hugst!$R$4:$W$4,0))))</f>
        <v>0</v>
      </c>
      <c r="U116" s="168">
        <f ca="1">IF($C116-U$1&lt;År1,0,T115*(1-VLOOKUP($A116,[1]Hugst!$R$5:$W$9,MATCH(ROUNDUP((U$1)/10,0)*10,[1]Hugst!$R$4:$W$4,0))))</f>
        <v>0</v>
      </c>
      <c r="V116" s="168">
        <f ca="1">IF($C116-V$1&lt;År1,0,U115*(1-VLOOKUP($A116,[1]Hugst!$R$5:$W$9,MATCH(ROUNDUP((V$1)/10,0)*10,[1]Hugst!$R$4:$W$4,0))))</f>
        <v>0</v>
      </c>
      <c r="W116" s="168">
        <f ca="1">IF($C116-W$1&lt;År1,0,V115*(1-VLOOKUP($A116,[1]Hugst!$R$5:$W$9,MATCH(ROUNDUP((W$1)/10,0)*10,[1]Hugst!$R$4:$W$4,0))))</f>
        <v>0</v>
      </c>
      <c r="X116" s="168">
        <f ca="1">IF($C116-X$1&lt;År1,0,W115*(1-VLOOKUP($A116,[1]Hugst!$R$5:$W$9,MATCH(ROUNDUP((X$1)/10,0)*10,[1]Hugst!$R$4:$W$4,0))))</f>
        <v>0</v>
      </c>
      <c r="Y116" s="168">
        <f ca="1">IF($C116-Y$1&lt;År1,0,X115*(1-VLOOKUP($A116,[1]Hugst!$R$5:$W$9,MATCH(ROUNDUP((Y$1)/10,0)*10,[1]Hugst!$R$4:$W$4,0))))</f>
        <v>0</v>
      </c>
      <c r="Z116" s="168">
        <f ca="1">IF($C116-Z$1&lt;År1,0,Y115*(1-VLOOKUP($A116,[1]Hugst!$R$5:$W$9,MATCH(ROUNDUP((Z$1)/10,0)*10,[1]Hugst!$R$4:$W$4,0))))</f>
        <v>0</v>
      </c>
      <c r="AA116" s="168">
        <f ca="1">IF($C116-AA$1&lt;År1,0,Z115*(1-VLOOKUP($A116,[1]Hugst!$R$5:$W$9,MATCH(ROUNDUP((AA$1)/10,0)*10,[1]Hugst!$R$4:$W$4,0))))</f>
        <v>0</v>
      </c>
      <c r="AB116" s="168">
        <f>IF($C116-AB$1&lt;År1,0,AA115*(1-VLOOKUP($A116,[1]Hugst!$R$5:$W$9,MATCH(ROUNDUP((AB$1)/10,0)*10,[1]Hugst!$R$4:$W$4,0))))</f>
        <v>0</v>
      </c>
      <c r="AC116" s="168">
        <f>IF($C116-AC$1&lt;År1,0,AB115*(1-VLOOKUP($A116,[1]Hugst!$R$5:$W$9,MATCH(ROUNDUP((AC$1)/10,0)*10,[1]Hugst!$R$4:$W$4,0))))</f>
        <v>0</v>
      </c>
      <c r="AD116" s="168">
        <f>IF($C116-AD$1&lt;År1,0,AC115*(1-VLOOKUP($A116,[1]Hugst!$R$5:$W$9,MATCH(ROUNDUP((AD$1)/10,0)*10,[1]Hugst!$R$4:$W$4,0))))</f>
        <v>0</v>
      </c>
      <c r="AE116" s="168">
        <f>IF($C116-AE$1&lt;År1,0,AD115*(1-VLOOKUP($A116,[1]Hugst!$R$5:$W$9,MATCH(ROUNDUP((AE$1)/10,0)*10,[1]Hugst!$R$4:$W$4,0))))</f>
        <v>0</v>
      </c>
      <c r="AF116" s="168">
        <f>IF($C116-AF$1&lt;År1,0,AE115*(1-VLOOKUP($A116,[1]Hugst!$R$5:$W$9,MATCH(ROUNDUP((AF$1)/10,0)*10,[1]Hugst!$R$4:$W$4,0))))</f>
        <v>0</v>
      </c>
      <c r="AG116" s="168">
        <f>IF($C116-AG$1&lt;År1,0,AF115*(1-VLOOKUP($A116,[1]Hugst!$R$5:$W$9,MATCH(ROUNDUP((AG$1)/10,0)*10,[1]Hugst!$R$4:$W$4,0))))</f>
        <v>0</v>
      </c>
      <c r="AH116" s="168">
        <f>IF($C116-AH$1&lt;År1,0,AG115*(1-VLOOKUP($A116,[1]Hugst!$R$5:$W$9,MATCH(ROUNDUP((AH$1)/10,0)*10,[1]Hugst!$R$4:$W$4,0))))</f>
        <v>0</v>
      </c>
      <c r="AI116" s="168">
        <f>IF($C116-AI$1&lt;År1,0,AH115*(1-VLOOKUP($A116,[1]Hugst!$R$5:$W$9,MATCH(ROUNDUP((AI$1)/10,0)*10,[1]Hugst!$R$4:$W$4,0))))</f>
        <v>0</v>
      </c>
      <c r="AJ116" s="168">
        <f>IF($C116-AJ$1&lt;År1,0,AI115*(1-VLOOKUP($A116,[1]Hugst!$R$5:$W$9,MATCH(ROUNDUP((AJ$1)/10,0)*10,[1]Hugst!$R$4:$W$4,0))))</f>
        <v>0</v>
      </c>
    </row>
    <row r="117" spans="1:38" s="168" customFormat="1" x14ac:dyDescent="0.25">
      <c r="A117" s="168" t="s">
        <v>177</v>
      </c>
      <c r="B117" s="168" t="s">
        <v>24</v>
      </c>
      <c r="C117" s="168">
        <v>2042</v>
      </c>
      <c r="D117" s="168" cm="1">
        <f t="array" ref="D117">(IF(B117="Vestdanmark",Skovbrug!$C$22-(Skovbrug!$C$22)*(1-Skovbrug!$C$9)^(C117-Skovbrug!$B$12),Skovbrug!$F$22-(Skovbrug!$F$22)*(1-Skovbrug!$C$9)^(C117-Skovbrug!$B$12))*VLOOKUP(A117,Skovbrug!$A$13:$D$17,IF('Skovbrug-alder'!C117&lt;=År2,3,4),FALSE)-IF(C117&gt;2020,SUM(INDEX($C$1:$D$311,MATCH(1,(2020=$C$1:$C$311)*(B117=$B$1:$B$311)*(A117=$A$1:$A$311),0),2):D116),0))</f>
        <v>0</v>
      </c>
      <c r="E117" s="168">
        <f t="shared" ca="1" si="2"/>
        <v>0</v>
      </c>
      <c r="F117" s="168">
        <f ca="1">IF(C117&lt;=År2,IF(B117="Vestdanmark",(Arealanvendelse!$M$27-Arealanvendelse!$J$27),(Arealanvendelse!$M$37-Arealanvendelse!$J$37))/(Arealanvendelse!$M$3-Arealanvendelse!$J$3),IF(B117="Vestdanmark",(Arealanvendelse!$P$27-Arealanvendelse!$M$27),(Arealanvendelse!$P$37-Arealanvendelse!$M$37))/(Arealanvendelse!$P$3-Arealanvendelse!$M$3))*VLOOKUP(A117,Skovbrug!$A$13:$D$17,IF('Skovbrug-alder'!C117&lt;=År2,3,4),FALSE)+D117+E117</f>
        <v>0</v>
      </c>
      <c r="G117" s="168">
        <f ca="1">IF($C117-G$1&lt;År1,0,F116*(1-VLOOKUP($A117,[1]Hugst!$R$5:$W$9,MATCH(ROUNDUP((G$1)/10,0)*10,[1]Hugst!$R$4:$W$4,0))))</f>
        <v>0</v>
      </c>
      <c r="H117" s="168">
        <f ca="1">IF($C117-H$1&lt;År1,0,G116*(1-VLOOKUP($A117,[1]Hugst!$R$5:$W$9,MATCH(ROUNDUP((H$1)/10,0)*10,[1]Hugst!$R$4:$W$4,0))))</f>
        <v>0</v>
      </c>
      <c r="I117" s="168">
        <f ca="1">IF($C117-I$1&lt;År1,0,H116*(1-VLOOKUP($A117,[1]Hugst!$R$5:$W$9,MATCH(ROUNDUP((I$1)/10,0)*10,[1]Hugst!$R$4:$W$4,0))))</f>
        <v>0</v>
      </c>
      <c r="J117" s="168">
        <f ca="1">IF($C117-J$1&lt;År1,0,I116*(1-VLOOKUP($A117,[1]Hugst!$R$5:$W$9,MATCH(ROUNDUP((J$1)/10,0)*10,[1]Hugst!$R$4:$W$4,0))))</f>
        <v>0</v>
      </c>
      <c r="K117" s="168">
        <f ca="1">IF($C117-K$1&lt;År1,0,J116*(1-VLOOKUP($A117,[1]Hugst!$R$5:$W$9,MATCH(ROUNDUP((K$1)/10,0)*10,[1]Hugst!$R$4:$W$4,0))))</f>
        <v>0</v>
      </c>
      <c r="L117" s="168">
        <f ca="1">IF($C117-L$1&lt;År1,0,K116*(1-VLOOKUP($A117,[1]Hugst!$R$5:$W$9,MATCH(ROUNDUP((L$1)/10,0)*10,[1]Hugst!$R$4:$W$4,0))))</f>
        <v>0</v>
      </c>
      <c r="M117" s="168">
        <f ca="1">IF($C117-M$1&lt;År1,0,L116*(1-VLOOKUP($A117,[1]Hugst!$R$5:$W$9,MATCH(ROUNDUP((M$1)/10,0)*10,[1]Hugst!$R$4:$W$4,0))))</f>
        <v>0</v>
      </c>
      <c r="N117" s="168">
        <f ca="1">IF($C117-N$1&lt;År1,0,M116*(1-VLOOKUP($A117,[1]Hugst!$R$5:$W$9,MATCH(ROUNDUP((N$1)/10,0)*10,[1]Hugst!$R$4:$W$4,0))))</f>
        <v>0</v>
      </c>
      <c r="O117" s="168">
        <f ca="1">IF($C117-O$1&lt;År1,0,N116*(1-VLOOKUP($A117,[1]Hugst!$R$5:$W$9,MATCH(ROUNDUP((O$1)/10,0)*10,[1]Hugst!$R$4:$W$4,0))))</f>
        <v>0</v>
      </c>
      <c r="P117" s="168">
        <f ca="1">IF($C117-P$1&lt;År1,0,O116*(1-VLOOKUP($A117,[1]Hugst!$R$5:$W$9,MATCH(ROUNDUP((P$1)/10,0)*10,[1]Hugst!$R$4:$W$4,0))))</f>
        <v>0</v>
      </c>
      <c r="Q117" s="168">
        <f ca="1">IF($C117-Q$1&lt;År1,0,P116*(1-VLOOKUP($A117,[1]Hugst!$R$5:$W$9,MATCH(ROUNDUP((Q$1)/10,0)*10,[1]Hugst!$R$4:$W$4,0))))</f>
        <v>0</v>
      </c>
      <c r="R117" s="168">
        <f ca="1">IF($C117-R$1&lt;År1,0,Q116*(1-VLOOKUP($A117,[1]Hugst!$R$5:$W$9,MATCH(ROUNDUP((R$1)/10,0)*10,[1]Hugst!$R$4:$W$4,0))))</f>
        <v>0</v>
      </c>
      <c r="S117" s="168">
        <f ca="1">IF($C117-S$1&lt;År1,0,R116*(1-VLOOKUP($A117,[1]Hugst!$R$5:$W$9,MATCH(ROUNDUP((S$1)/10,0)*10,[1]Hugst!$R$4:$W$4,0))))</f>
        <v>0</v>
      </c>
      <c r="T117" s="168">
        <f ca="1">IF($C117-T$1&lt;År1,0,S116*(1-VLOOKUP($A117,[1]Hugst!$R$5:$W$9,MATCH(ROUNDUP((T$1)/10,0)*10,[1]Hugst!$R$4:$W$4,0))))</f>
        <v>0</v>
      </c>
      <c r="U117" s="168">
        <f ca="1">IF($C117-U$1&lt;År1,0,T116*(1-VLOOKUP($A117,[1]Hugst!$R$5:$W$9,MATCH(ROUNDUP((U$1)/10,0)*10,[1]Hugst!$R$4:$W$4,0))))</f>
        <v>0</v>
      </c>
      <c r="V117" s="168">
        <f ca="1">IF($C117-V$1&lt;År1,0,U116*(1-VLOOKUP($A117,[1]Hugst!$R$5:$W$9,MATCH(ROUNDUP((V$1)/10,0)*10,[1]Hugst!$R$4:$W$4,0))))</f>
        <v>0</v>
      </c>
      <c r="W117" s="168">
        <f ca="1">IF($C117-W$1&lt;År1,0,V116*(1-VLOOKUP($A117,[1]Hugst!$R$5:$W$9,MATCH(ROUNDUP((W$1)/10,0)*10,[1]Hugst!$R$4:$W$4,0))))</f>
        <v>0</v>
      </c>
      <c r="X117" s="168">
        <f ca="1">IF($C117-X$1&lt;År1,0,W116*(1-VLOOKUP($A117,[1]Hugst!$R$5:$W$9,MATCH(ROUNDUP((X$1)/10,0)*10,[1]Hugst!$R$4:$W$4,0))))</f>
        <v>0</v>
      </c>
      <c r="Y117" s="168">
        <f ca="1">IF($C117-Y$1&lt;År1,0,X116*(1-VLOOKUP($A117,[1]Hugst!$R$5:$W$9,MATCH(ROUNDUP((Y$1)/10,0)*10,[1]Hugst!$R$4:$W$4,0))))</f>
        <v>0</v>
      </c>
      <c r="Z117" s="168">
        <f ca="1">IF($C117-Z$1&lt;År1,0,Y116*(1-VLOOKUP($A117,[1]Hugst!$R$5:$W$9,MATCH(ROUNDUP((Z$1)/10,0)*10,[1]Hugst!$R$4:$W$4,0))))</f>
        <v>0</v>
      </c>
      <c r="AA117" s="168">
        <f ca="1">IF($C117-AA$1&lt;År1,0,Z116*(1-VLOOKUP($A117,[1]Hugst!$R$5:$W$9,MATCH(ROUNDUP((AA$1)/10,0)*10,[1]Hugst!$R$4:$W$4,0))))</f>
        <v>0</v>
      </c>
      <c r="AB117" s="168">
        <f ca="1">IF($C117-AB$1&lt;År1,0,AA116*(1-VLOOKUP($A117,[1]Hugst!$R$5:$W$9,MATCH(ROUNDUP((AB$1)/10,0)*10,[1]Hugst!$R$4:$W$4,0))))</f>
        <v>0</v>
      </c>
      <c r="AC117" s="168">
        <f>IF($C117-AC$1&lt;År1,0,AB116*(1-VLOOKUP($A117,[1]Hugst!$R$5:$W$9,MATCH(ROUNDUP((AC$1)/10,0)*10,[1]Hugst!$R$4:$W$4,0))))</f>
        <v>0</v>
      </c>
      <c r="AD117" s="168">
        <f>IF($C117-AD$1&lt;År1,0,AC116*(1-VLOOKUP($A117,[1]Hugst!$R$5:$W$9,MATCH(ROUNDUP((AD$1)/10,0)*10,[1]Hugst!$R$4:$W$4,0))))</f>
        <v>0</v>
      </c>
      <c r="AE117" s="168">
        <f>IF($C117-AE$1&lt;År1,0,AD116*(1-VLOOKUP($A117,[1]Hugst!$R$5:$W$9,MATCH(ROUNDUP((AE$1)/10,0)*10,[1]Hugst!$R$4:$W$4,0))))</f>
        <v>0</v>
      </c>
      <c r="AF117" s="168">
        <f>IF($C117-AF$1&lt;År1,0,AE116*(1-VLOOKUP($A117,[1]Hugst!$R$5:$W$9,MATCH(ROUNDUP((AF$1)/10,0)*10,[1]Hugst!$R$4:$W$4,0))))</f>
        <v>0</v>
      </c>
      <c r="AG117" s="168">
        <f>IF($C117-AG$1&lt;År1,0,AF116*(1-VLOOKUP($A117,[1]Hugst!$R$5:$W$9,MATCH(ROUNDUP((AG$1)/10,0)*10,[1]Hugst!$R$4:$W$4,0))))</f>
        <v>0</v>
      </c>
      <c r="AH117" s="168">
        <f>IF($C117-AH$1&lt;År1,0,AG116*(1-VLOOKUP($A117,[1]Hugst!$R$5:$W$9,MATCH(ROUNDUP((AH$1)/10,0)*10,[1]Hugst!$R$4:$W$4,0))))</f>
        <v>0</v>
      </c>
      <c r="AI117" s="168">
        <f>IF($C117-AI$1&lt;År1,0,AH116*(1-VLOOKUP($A117,[1]Hugst!$R$5:$W$9,MATCH(ROUNDUP((AI$1)/10,0)*10,[1]Hugst!$R$4:$W$4,0))))</f>
        <v>0</v>
      </c>
      <c r="AJ117" s="168">
        <f>IF($C117-AJ$1&lt;År1,0,AI116*(1-VLOOKUP($A117,[1]Hugst!$R$5:$W$9,MATCH(ROUNDUP((AJ$1)/10,0)*10,[1]Hugst!$R$4:$W$4,0))))</f>
        <v>0</v>
      </c>
    </row>
    <row r="118" spans="1:38" s="168" customFormat="1" x14ac:dyDescent="0.25">
      <c r="A118" s="168" t="s">
        <v>177</v>
      </c>
      <c r="B118" s="168" t="s">
        <v>24</v>
      </c>
      <c r="C118" s="168">
        <v>2043</v>
      </c>
      <c r="D118" s="168" cm="1">
        <f t="array" ref="D118">(IF(B118="Vestdanmark",Skovbrug!$C$22-(Skovbrug!$C$22)*(1-Skovbrug!$C$9)^(C118-Skovbrug!$B$12),Skovbrug!$F$22-(Skovbrug!$F$22)*(1-Skovbrug!$C$9)^(C118-Skovbrug!$B$12))*VLOOKUP(A118,Skovbrug!$A$13:$D$17,IF('Skovbrug-alder'!C118&lt;=År2,3,4),FALSE)-IF(C118&gt;2020,SUM(INDEX($C$1:$D$311,MATCH(1,(2020=$C$1:$C$311)*(B118=$B$1:$B$311)*(A118=$A$1:$A$311),0),2):D117),0))</f>
        <v>0</v>
      </c>
      <c r="E118" s="168">
        <f t="shared" ca="1" si="2"/>
        <v>0</v>
      </c>
      <c r="F118" s="168">
        <f ca="1">IF(C118&lt;=År2,IF(B118="Vestdanmark",(Arealanvendelse!$M$27-Arealanvendelse!$J$27),(Arealanvendelse!$M$37-Arealanvendelse!$J$37))/(Arealanvendelse!$M$3-Arealanvendelse!$J$3),IF(B118="Vestdanmark",(Arealanvendelse!$P$27-Arealanvendelse!$M$27),(Arealanvendelse!$P$37-Arealanvendelse!$M$37))/(Arealanvendelse!$P$3-Arealanvendelse!$M$3))*VLOOKUP(A118,Skovbrug!$A$13:$D$17,IF('Skovbrug-alder'!C118&lt;=År2,3,4),FALSE)+D118+E118</f>
        <v>0</v>
      </c>
      <c r="G118" s="168">
        <f ca="1">IF($C118-G$1&lt;År1,0,F117*(1-VLOOKUP($A118,[1]Hugst!$R$5:$W$9,MATCH(ROUNDUP((G$1)/10,0)*10,[1]Hugst!$R$4:$W$4,0))))</f>
        <v>0</v>
      </c>
      <c r="H118" s="168">
        <f ca="1">IF($C118-H$1&lt;År1,0,G117*(1-VLOOKUP($A118,[1]Hugst!$R$5:$W$9,MATCH(ROUNDUP((H$1)/10,0)*10,[1]Hugst!$R$4:$W$4,0))))</f>
        <v>0</v>
      </c>
      <c r="I118" s="168">
        <f ca="1">IF($C118-I$1&lt;År1,0,H117*(1-VLOOKUP($A118,[1]Hugst!$R$5:$W$9,MATCH(ROUNDUP((I$1)/10,0)*10,[1]Hugst!$R$4:$W$4,0))))</f>
        <v>0</v>
      </c>
      <c r="J118" s="168">
        <f ca="1">IF($C118-J$1&lt;År1,0,I117*(1-VLOOKUP($A118,[1]Hugst!$R$5:$W$9,MATCH(ROUNDUP((J$1)/10,0)*10,[1]Hugst!$R$4:$W$4,0))))</f>
        <v>0</v>
      </c>
      <c r="K118" s="168">
        <f ca="1">IF($C118-K$1&lt;År1,0,J117*(1-VLOOKUP($A118,[1]Hugst!$R$5:$W$9,MATCH(ROUNDUP((K$1)/10,0)*10,[1]Hugst!$R$4:$W$4,0))))</f>
        <v>0</v>
      </c>
      <c r="L118" s="168">
        <f ca="1">IF($C118-L$1&lt;År1,0,K117*(1-VLOOKUP($A118,[1]Hugst!$R$5:$W$9,MATCH(ROUNDUP((L$1)/10,0)*10,[1]Hugst!$R$4:$W$4,0))))</f>
        <v>0</v>
      </c>
      <c r="M118" s="168">
        <f ca="1">IF($C118-M$1&lt;År1,0,L117*(1-VLOOKUP($A118,[1]Hugst!$R$5:$W$9,MATCH(ROUNDUP((M$1)/10,0)*10,[1]Hugst!$R$4:$W$4,0))))</f>
        <v>0</v>
      </c>
      <c r="N118" s="168">
        <f ca="1">IF($C118-N$1&lt;År1,0,M117*(1-VLOOKUP($A118,[1]Hugst!$R$5:$W$9,MATCH(ROUNDUP((N$1)/10,0)*10,[1]Hugst!$R$4:$W$4,0))))</f>
        <v>0</v>
      </c>
      <c r="O118" s="168">
        <f ca="1">IF($C118-O$1&lt;År1,0,N117*(1-VLOOKUP($A118,[1]Hugst!$R$5:$W$9,MATCH(ROUNDUP((O$1)/10,0)*10,[1]Hugst!$R$4:$W$4,0))))</f>
        <v>0</v>
      </c>
      <c r="P118" s="168">
        <f ca="1">IF($C118-P$1&lt;År1,0,O117*(1-VLOOKUP($A118,[1]Hugst!$R$5:$W$9,MATCH(ROUNDUP((P$1)/10,0)*10,[1]Hugst!$R$4:$W$4,0))))</f>
        <v>0</v>
      </c>
      <c r="Q118" s="168">
        <f ca="1">IF($C118-Q$1&lt;År1,0,P117*(1-VLOOKUP($A118,[1]Hugst!$R$5:$W$9,MATCH(ROUNDUP((Q$1)/10,0)*10,[1]Hugst!$R$4:$W$4,0))))</f>
        <v>0</v>
      </c>
      <c r="R118" s="168">
        <f ca="1">IF($C118-R$1&lt;År1,0,Q117*(1-VLOOKUP($A118,[1]Hugst!$R$5:$W$9,MATCH(ROUNDUP((R$1)/10,0)*10,[1]Hugst!$R$4:$W$4,0))))</f>
        <v>0</v>
      </c>
      <c r="S118" s="168">
        <f ca="1">IF($C118-S$1&lt;År1,0,R117*(1-VLOOKUP($A118,[1]Hugst!$R$5:$W$9,MATCH(ROUNDUP((S$1)/10,0)*10,[1]Hugst!$R$4:$W$4,0))))</f>
        <v>0</v>
      </c>
      <c r="T118" s="168">
        <f ca="1">IF($C118-T$1&lt;År1,0,S117*(1-VLOOKUP($A118,[1]Hugst!$R$5:$W$9,MATCH(ROUNDUP((T$1)/10,0)*10,[1]Hugst!$R$4:$W$4,0))))</f>
        <v>0</v>
      </c>
      <c r="U118" s="168">
        <f ca="1">IF($C118-U$1&lt;År1,0,T117*(1-VLOOKUP($A118,[1]Hugst!$R$5:$W$9,MATCH(ROUNDUP((U$1)/10,0)*10,[1]Hugst!$R$4:$W$4,0))))</f>
        <v>0</v>
      </c>
      <c r="V118" s="168">
        <f ca="1">IF($C118-V$1&lt;År1,0,U117*(1-VLOOKUP($A118,[1]Hugst!$R$5:$W$9,MATCH(ROUNDUP((V$1)/10,0)*10,[1]Hugst!$R$4:$W$4,0))))</f>
        <v>0</v>
      </c>
      <c r="W118" s="168">
        <f ca="1">IF($C118-W$1&lt;År1,0,V117*(1-VLOOKUP($A118,[1]Hugst!$R$5:$W$9,MATCH(ROUNDUP((W$1)/10,0)*10,[1]Hugst!$R$4:$W$4,0))))</f>
        <v>0</v>
      </c>
      <c r="X118" s="168">
        <f ca="1">IF($C118-X$1&lt;År1,0,W117*(1-VLOOKUP($A118,[1]Hugst!$R$5:$W$9,MATCH(ROUNDUP((X$1)/10,0)*10,[1]Hugst!$R$4:$W$4,0))))</f>
        <v>0</v>
      </c>
      <c r="Y118" s="168">
        <f ca="1">IF($C118-Y$1&lt;År1,0,X117*(1-VLOOKUP($A118,[1]Hugst!$R$5:$W$9,MATCH(ROUNDUP((Y$1)/10,0)*10,[1]Hugst!$R$4:$W$4,0))))</f>
        <v>0</v>
      </c>
      <c r="Z118" s="168">
        <f ca="1">IF($C118-Z$1&lt;År1,0,Y117*(1-VLOOKUP($A118,[1]Hugst!$R$5:$W$9,MATCH(ROUNDUP((Z$1)/10,0)*10,[1]Hugst!$R$4:$W$4,0))))</f>
        <v>0</v>
      </c>
      <c r="AA118" s="168">
        <f ca="1">IF($C118-AA$1&lt;År1,0,Z117*(1-VLOOKUP($A118,[1]Hugst!$R$5:$W$9,MATCH(ROUNDUP((AA$1)/10,0)*10,[1]Hugst!$R$4:$W$4,0))))</f>
        <v>0</v>
      </c>
      <c r="AB118" s="168">
        <f ca="1">IF($C118-AB$1&lt;År1,0,AA117*(1-VLOOKUP($A118,[1]Hugst!$R$5:$W$9,MATCH(ROUNDUP((AB$1)/10,0)*10,[1]Hugst!$R$4:$W$4,0))))</f>
        <v>0</v>
      </c>
      <c r="AC118" s="168">
        <f ca="1">IF($C118-AC$1&lt;År1,0,AB117*(1-VLOOKUP($A118,[1]Hugst!$R$5:$W$9,MATCH(ROUNDUP((AC$1)/10,0)*10,[1]Hugst!$R$4:$W$4,0))))</f>
        <v>0</v>
      </c>
      <c r="AD118" s="168">
        <f>IF($C118-AD$1&lt;År1,0,AC117*(1-VLOOKUP($A118,[1]Hugst!$R$5:$W$9,MATCH(ROUNDUP((AD$1)/10,0)*10,[1]Hugst!$R$4:$W$4,0))))</f>
        <v>0</v>
      </c>
      <c r="AE118" s="168">
        <f>IF($C118-AE$1&lt;År1,0,AD117*(1-VLOOKUP($A118,[1]Hugst!$R$5:$W$9,MATCH(ROUNDUP((AE$1)/10,0)*10,[1]Hugst!$R$4:$W$4,0))))</f>
        <v>0</v>
      </c>
      <c r="AF118" s="168">
        <f>IF($C118-AF$1&lt;År1,0,AE117*(1-VLOOKUP($A118,[1]Hugst!$R$5:$W$9,MATCH(ROUNDUP((AF$1)/10,0)*10,[1]Hugst!$R$4:$W$4,0))))</f>
        <v>0</v>
      </c>
      <c r="AG118" s="168">
        <f>IF($C118-AG$1&lt;År1,0,AF117*(1-VLOOKUP($A118,[1]Hugst!$R$5:$W$9,MATCH(ROUNDUP((AG$1)/10,0)*10,[1]Hugst!$R$4:$W$4,0))))</f>
        <v>0</v>
      </c>
      <c r="AH118" s="168">
        <f>IF($C118-AH$1&lt;År1,0,AG117*(1-VLOOKUP($A118,[1]Hugst!$R$5:$W$9,MATCH(ROUNDUP((AH$1)/10,0)*10,[1]Hugst!$R$4:$W$4,0))))</f>
        <v>0</v>
      </c>
      <c r="AI118" s="168">
        <f>IF($C118-AI$1&lt;År1,0,AH117*(1-VLOOKUP($A118,[1]Hugst!$R$5:$W$9,MATCH(ROUNDUP((AI$1)/10,0)*10,[1]Hugst!$R$4:$W$4,0))))</f>
        <v>0</v>
      </c>
      <c r="AJ118" s="168">
        <f>IF($C118-AJ$1&lt;År1,0,AI117*(1-VLOOKUP($A118,[1]Hugst!$R$5:$W$9,MATCH(ROUNDUP((AJ$1)/10,0)*10,[1]Hugst!$R$4:$W$4,0))))</f>
        <v>0</v>
      </c>
    </row>
    <row r="119" spans="1:38" s="168" customFormat="1" x14ac:dyDescent="0.25">
      <c r="A119" s="168" t="s">
        <v>177</v>
      </c>
      <c r="B119" s="168" t="s">
        <v>24</v>
      </c>
      <c r="C119" s="168">
        <v>2044</v>
      </c>
      <c r="D119" s="168" cm="1">
        <f t="array" ref="D119">(IF(B119="Vestdanmark",Skovbrug!$C$22-(Skovbrug!$C$22)*(1-Skovbrug!$C$9)^(C119-Skovbrug!$B$12),Skovbrug!$F$22-(Skovbrug!$F$22)*(1-Skovbrug!$C$9)^(C119-Skovbrug!$B$12))*VLOOKUP(A119,Skovbrug!$A$13:$D$17,IF('Skovbrug-alder'!C119&lt;=År2,3,4),FALSE)-IF(C119&gt;2020,SUM(INDEX($C$1:$D$311,MATCH(1,(2020=$C$1:$C$311)*(B119=$B$1:$B$311)*(A119=$A$1:$A$311),0),2):D118),0))</f>
        <v>0</v>
      </c>
      <c r="E119" s="168">
        <f t="shared" ca="1" si="2"/>
        <v>0</v>
      </c>
      <c r="F119" s="168">
        <f ca="1">IF(C119&lt;=År2,IF(B119="Vestdanmark",(Arealanvendelse!$M$27-Arealanvendelse!$J$27),(Arealanvendelse!$M$37-Arealanvendelse!$J$37))/(Arealanvendelse!$M$3-Arealanvendelse!$J$3),IF(B119="Vestdanmark",(Arealanvendelse!$P$27-Arealanvendelse!$M$27),(Arealanvendelse!$P$37-Arealanvendelse!$M$37))/(Arealanvendelse!$P$3-Arealanvendelse!$M$3))*VLOOKUP(A119,Skovbrug!$A$13:$D$17,IF('Skovbrug-alder'!C119&lt;=År2,3,4),FALSE)+D119+E119</f>
        <v>0</v>
      </c>
      <c r="G119" s="168">
        <f ca="1">IF($C119-G$1&lt;År1,0,F118*(1-VLOOKUP($A119,[1]Hugst!$R$5:$W$9,MATCH(ROUNDUP((G$1)/10,0)*10,[1]Hugst!$R$4:$W$4,0))))</f>
        <v>0</v>
      </c>
      <c r="H119" s="168">
        <f ca="1">IF($C119-H$1&lt;År1,0,G118*(1-VLOOKUP($A119,[1]Hugst!$R$5:$W$9,MATCH(ROUNDUP((H$1)/10,0)*10,[1]Hugst!$R$4:$W$4,0))))</f>
        <v>0</v>
      </c>
      <c r="I119" s="168">
        <f ca="1">IF($C119-I$1&lt;År1,0,H118*(1-VLOOKUP($A119,[1]Hugst!$R$5:$W$9,MATCH(ROUNDUP((I$1)/10,0)*10,[1]Hugst!$R$4:$W$4,0))))</f>
        <v>0</v>
      </c>
      <c r="J119" s="168">
        <f ca="1">IF($C119-J$1&lt;År1,0,I118*(1-VLOOKUP($A119,[1]Hugst!$R$5:$W$9,MATCH(ROUNDUP((J$1)/10,0)*10,[1]Hugst!$R$4:$W$4,0))))</f>
        <v>0</v>
      </c>
      <c r="K119" s="168">
        <f ca="1">IF($C119-K$1&lt;År1,0,J118*(1-VLOOKUP($A119,[1]Hugst!$R$5:$W$9,MATCH(ROUNDUP((K$1)/10,0)*10,[1]Hugst!$R$4:$W$4,0))))</f>
        <v>0</v>
      </c>
      <c r="L119" s="168">
        <f ca="1">IF($C119-L$1&lt;År1,0,K118*(1-VLOOKUP($A119,[1]Hugst!$R$5:$W$9,MATCH(ROUNDUP((L$1)/10,0)*10,[1]Hugst!$R$4:$W$4,0))))</f>
        <v>0</v>
      </c>
      <c r="M119" s="168">
        <f ca="1">IF($C119-M$1&lt;År1,0,L118*(1-VLOOKUP($A119,[1]Hugst!$R$5:$W$9,MATCH(ROUNDUP((M$1)/10,0)*10,[1]Hugst!$R$4:$W$4,0))))</f>
        <v>0</v>
      </c>
      <c r="N119" s="168">
        <f ca="1">IF($C119-N$1&lt;År1,0,M118*(1-VLOOKUP($A119,[1]Hugst!$R$5:$W$9,MATCH(ROUNDUP((N$1)/10,0)*10,[1]Hugst!$R$4:$W$4,0))))</f>
        <v>0</v>
      </c>
      <c r="O119" s="168">
        <f ca="1">IF($C119-O$1&lt;År1,0,N118*(1-VLOOKUP($A119,[1]Hugst!$R$5:$W$9,MATCH(ROUNDUP((O$1)/10,0)*10,[1]Hugst!$R$4:$W$4,0))))</f>
        <v>0</v>
      </c>
      <c r="P119" s="168">
        <f ca="1">IF($C119-P$1&lt;År1,0,O118*(1-VLOOKUP($A119,[1]Hugst!$R$5:$W$9,MATCH(ROUNDUP((P$1)/10,0)*10,[1]Hugst!$R$4:$W$4,0))))</f>
        <v>0</v>
      </c>
      <c r="Q119" s="168">
        <f ca="1">IF($C119-Q$1&lt;År1,0,P118*(1-VLOOKUP($A119,[1]Hugst!$R$5:$W$9,MATCH(ROUNDUP((Q$1)/10,0)*10,[1]Hugst!$R$4:$W$4,0))))</f>
        <v>0</v>
      </c>
      <c r="R119" s="168">
        <f ca="1">IF($C119-R$1&lt;År1,0,Q118*(1-VLOOKUP($A119,[1]Hugst!$R$5:$W$9,MATCH(ROUNDUP((R$1)/10,0)*10,[1]Hugst!$R$4:$W$4,0))))</f>
        <v>0</v>
      </c>
      <c r="S119" s="168">
        <f ca="1">IF($C119-S$1&lt;År1,0,R118*(1-VLOOKUP($A119,[1]Hugst!$R$5:$W$9,MATCH(ROUNDUP((S$1)/10,0)*10,[1]Hugst!$R$4:$W$4,0))))</f>
        <v>0</v>
      </c>
      <c r="T119" s="168">
        <f ca="1">IF($C119-T$1&lt;År1,0,S118*(1-VLOOKUP($A119,[1]Hugst!$R$5:$W$9,MATCH(ROUNDUP((T$1)/10,0)*10,[1]Hugst!$R$4:$W$4,0))))</f>
        <v>0</v>
      </c>
      <c r="U119" s="168">
        <f ca="1">IF($C119-U$1&lt;År1,0,T118*(1-VLOOKUP($A119,[1]Hugst!$R$5:$W$9,MATCH(ROUNDUP((U$1)/10,0)*10,[1]Hugst!$R$4:$W$4,0))))</f>
        <v>0</v>
      </c>
      <c r="V119" s="168">
        <f ca="1">IF($C119-V$1&lt;År1,0,U118*(1-VLOOKUP($A119,[1]Hugst!$R$5:$W$9,MATCH(ROUNDUP((V$1)/10,0)*10,[1]Hugst!$R$4:$W$4,0))))</f>
        <v>0</v>
      </c>
      <c r="W119" s="168">
        <f ca="1">IF($C119-W$1&lt;År1,0,V118*(1-VLOOKUP($A119,[1]Hugst!$R$5:$W$9,MATCH(ROUNDUP((W$1)/10,0)*10,[1]Hugst!$R$4:$W$4,0))))</f>
        <v>0</v>
      </c>
      <c r="X119" s="168">
        <f ca="1">IF($C119-X$1&lt;År1,0,W118*(1-VLOOKUP($A119,[1]Hugst!$R$5:$W$9,MATCH(ROUNDUP((X$1)/10,0)*10,[1]Hugst!$R$4:$W$4,0))))</f>
        <v>0</v>
      </c>
      <c r="Y119" s="168">
        <f ca="1">IF($C119-Y$1&lt;År1,0,X118*(1-VLOOKUP($A119,[1]Hugst!$R$5:$W$9,MATCH(ROUNDUP((Y$1)/10,0)*10,[1]Hugst!$R$4:$W$4,0))))</f>
        <v>0</v>
      </c>
      <c r="Z119" s="168">
        <f ca="1">IF($C119-Z$1&lt;År1,0,Y118*(1-VLOOKUP($A119,[1]Hugst!$R$5:$W$9,MATCH(ROUNDUP((Z$1)/10,0)*10,[1]Hugst!$R$4:$W$4,0))))</f>
        <v>0</v>
      </c>
      <c r="AA119" s="168">
        <f ca="1">IF($C119-AA$1&lt;År1,0,Z118*(1-VLOOKUP($A119,[1]Hugst!$R$5:$W$9,MATCH(ROUNDUP((AA$1)/10,0)*10,[1]Hugst!$R$4:$W$4,0))))</f>
        <v>0</v>
      </c>
      <c r="AB119" s="168">
        <f ca="1">IF($C119-AB$1&lt;År1,0,AA118*(1-VLOOKUP($A119,[1]Hugst!$R$5:$W$9,MATCH(ROUNDUP((AB$1)/10,0)*10,[1]Hugst!$R$4:$W$4,0))))</f>
        <v>0</v>
      </c>
      <c r="AC119" s="168">
        <f ca="1">IF($C119-AC$1&lt;År1,0,AB118*(1-VLOOKUP($A119,[1]Hugst!$R$5:$W$9,MATCH(ROUNDUP((AC$1)/10,0)*10,[1]Hugst!$R$4:$W$4,0))))</f>
        <v>0</v>
      </c>
      <c r="AD119" s="168">
        <f ca="1">IF($C119-AD$1&lt;År1,0,AC118*(1-VLOOKUP($A119,[1]Hugst!$R$5:$W$9,MATCH(ROUNDUP((AD$1)/10,0)*10,[1]Hugst!$R$4:$W$4,0))))</f>
        <v>0</v>
      </c>
      <c r="AE119" s="168">
        <f>IF($C119-AE$1&lt;År1,0,AD118*(1-VLOOKUP($A119,[1]Hugst!$R$5:$W$9,MATCH(ROUNDUP((AE$1)/10,0)*10,[1]Hugst!$R$4:$W$4,0))))</f>
        <v>0</v>
      </c>
      <c r="AF119" s="168">
        <f>IF($C119-AF$1&lt;År1,0,AE118*(1-VLOOKUP($A119,[1]Hugst!$R$5:$W$9,MATCH(ROUNDUP((AF$1)/10,0)*10,[1]Hugst!$R$4:$W$4,0))))</f>
        <v>0</v>
      </c>
      <c r="AG119" s="168">
        <f>IF($C119-AG$1&lt;År1,0,AF118*(1-VLOOKUP($A119,[1]Hugst!$R$5:$W$9,MATCH(ROUNDUP((AG$1)/10,0)*10,[1]Hugst!$R$4:$W$4,0))))</f>
        <v>0</v>
      </c>
      <c r="AH119" s="168">
        <f>IF($C119-AH$1&lt;År1,0,AG118*(1-VLOOKUP($A119,[1]Hugst!$R$5:$W$9,MATCH(ROUNDUP((AH$1)/10,0)*10,[1]Hugst!$R$4:$W$4,0))))</f>
        <v>0</v>
      </c>
      <c r="AI119" s="168">
        <f>IF($C119-AI$1&lt;År1,0,AH118*(1-VLOOKUP($A119,[1]Hugst!$R$5:$W$9,MATCH(ROUNDUP((AI$1)/10,0)*10,[1]Hugst!$R$4:$W$4,0))))</f>
        <v>0</v>
      </c>
      <c r="AJ119" s="168">
        <f>IF($C119-AJ$1&lt;År1,0,AI118*(1-VLOOKUP($A119,[1]Hugst!$R$5:$W$9,MATCH(ROUNDUP((AJ$1)/10,0)*10,[1]Hugst!$R$4:$W$4,0))))</f>
        <v>0</v>
      </c>
    </row>
    <row r="120" spans="1:38" s="168" customFormat="1" x14ac:dyDescent="0.25">
      <c r="A120" s="168" t="s">
        <v>177</v>
      </c>
      <c r="B120" s="168" t="s">
        <v>24</v>
      </c>
      <c r="C120" s="168">
        <v>2045</v>
      </c>
      <c r="D120" s="168" cm="1">
        <f t="array" ref="D120">(IF(B120="Vestdanmark",Skovbrug!$C$22-(Skovbrug!$C$22)*(1-Skovbrug!$C$9)^(C120-Skovbrug!$B$12),Skovbrug!$F$22-(Skovbrug!$F$22)*(1-Skovbrug!$C$9)^(C120-Skovbrug!$B$12))*VLOOKUP(A120,Skovbrug!$A$13:$D$17,IF('Skovbrug-alder'!C120&lt;=År2,3,4),FALSE)-IF(C120&gt;2020,SUM(INDEX($C$1:$D$311,MATCH(1,(2020=$C$1:$C$311)*(B120=$B$1:$B$311)*(A120=$A$1:$A$311),0),2):D119),0))</f>
        <v>0</v>
      </c>
      <c r="E120" s="168">
        <f t="shared" ca="1" si="2"/>
        <v>0</v>
      </c>
      <c r="F120" s="168">
        <f ca="1">IF(C120&lt;=År2,IF(B120="Vestdanmark",(Arealanvendelse!$M$27-Arealanvendelse!$J$27),(Arealanvendelse!$M$37-Arealanvendelse!$J$37))/(Arealanvendelse!$M$3-Arealanvendelse!$J$3),IF(B120="Vestdanmark",(Arealanvendelse!$P$27-Arealanvendelse!$M$27),(Arealanvendelse!$P$37-Arealanvendelse!$M$37))/(Arealanvendelse!$P$3-Arealanvendelse!$M$3))*VLOOKUP(A120,Skovbrug!$A$13:$D$17,IF('Skovbrug-alder'!C120&lt;=År2,3,4),FALSE)+D120+E120</f>
        <v>0</v>
      </c>
      <c r="G120" s="168">
        <f ca="1">IF($C120-G$1&lt;År1,0,F119*(1-VLOOKUP($A120,[1]Hugst!$R$5:$W$9,MATCH(ROUNDUP((G$1)/10,0)*10,[1]Hugst!$R$4:$W$4,0))))</f>
        <v>0</v>
      </c>
      <c r="H120" s="168">
        <f ca="1">IF($C120-H$1&lt;År1,0,G119*(1-VLOOKUP($A120,[1]Hugst!$R$5:$W$9,MATCH(ROUNDUP((H$1)/10,0)*10,[1]Hugst!$R$4:$W$4,0))))</f>
        <v>0</v>
      </c>
      <c r="I120" s="168">
        <f ca="1">IF($C120-I$1&lt;År1,0,H119*(1-VLOOKUP($A120,[1]Hugst!$R$5:$W$9,MATCH(ROUNDUP((I$1)/10,0)*10,[1]Hugst!$R$4:$W$4,0))))</f>
        <v>0</v>
      </c>
      <c r="J120" s="168">
        <f ca="1">IF($C120-J$1&lt;År1,0,I119*(1-VLOOKUP($A120,[1]Hugst!$R$5:$W$9,MATCH(ROUNDUP((J$1)/10,0)*10,[1]Hugst!$R$4:$W$4,0))))</f>
        <v>0</v>
      </c>
      <c r="K120" s="168">
        <f ca="1">IF($C120-K$1&lt;År1,0,J119*(1-VLOOKUP($A120,[1]Hugst!$R$5:$W$9,MATCH(ROUNDUP((K$1)/10,0)*10,[1]Hugst!$R$4:$W$4,0))))</f>
        <v>0</v>
      </c>
      <c r="L120" s="168">
        <f ca="1">IF($C120-L$1&lt;År1,0,K119*(1-VLOOKUP($A120,[1]Hugst!$R$5:$W$9,MATCH(ROUNDUP((L$1)/10,0)*10,[1]Hugst!$R$4:$W$4,0))))</f>
        <v>0</v>
      </c>
      <c r="M120" s="168">
        <f ca="1">IF($C120-M$1&lt;År1,0,L119*(1-VLOOKUP($A120,[1]Hugst!$R$5:$W$9,MATCH(ROUNDUP((M$1)/10,0)*10,[1]Hugst!$R$4:$W$4,0))))</f>
        <v>0</v>
      </c>
      <c r="N120" s="168">
        <f ca="1">IF($C120-N$1&lt;År1,0,M119*(1-VLOOKUP($A120,[1]Hugst!$R$5:$W$9,MATCH(ROUNDUP((N$1)/10,0)*10,[1]Hugst!$R$4:$W$4,0))))</f>
        <v>0</v>
      </c>
      <c r="O120" s="168">
        <f ca="1">IF($C120-O$1&lt;År1,0,N119*(1-VLOOKUP($A120,[1]Hugst!$R$5:$W$9,MATCH(ROUNDUP((O$1)/10,0)*10,[1]Hugst!$R$4:$W$4,0))))</f>
        <v>0</v>
      </c>
      <c r="P120" s="168">
        <f ca="1">IF($C120-P$1&lt;År1,0,O119*(1-VLOOKUP($A120,[1]Hugst!$R$5:$W$9,MATCH(ROUNDUP((P$1)/10,0)*10,[1]Hugst!$R$4:$W$4,0))))</f>
        <v>0</v>
      </c>
      <c r="Q120" s="168">
        <f ca="1">IF($C120-Q$1&lt;År1,0,P119*(1-VLOOKUP($A120,[1]Hugst!$R$5:$W$9,MATCH(ROUNDUP((Q$1)/10,0)*10,[1]Hugst!$R$4:$W$4,0))))</f>
        <v>0</v>
      </c>
      <c r="R120" s="168">
        <f ca="1">IF($C120-R$1&lt;År1,0,Q119*(1-VLOOKUP($A120,[1]Hugst!$R$5:$W$9,MATCH(ROUNDUP((R$1)/10,0)*10,[1]Hugst!$R$4:$W$4,0))))</f>
        <v>0</v>
      </c>
      <c r="S120" s="168">
        <f ca="1">IF($C120-S$1&lt;År1,0,R119*(1-VLOOKUP($A120,[1]Hugst!$R$5:$W$9,MATCH(ROUNDUP((S$1)/10,0)*10,[1]Hugst!$R$4:$W$4,0))))</f>
        <v>0</v>
      </c>
      <c r="T120" s="168">
        <f ca="1">IF($C120-T$1&lt;År1,0,S119*(1-VLOOKUP($A120,[1]Hugst!$R$5:$W$9,MATCH(ROUNDUP((T$1)/10,0)*10,[1]Hugst!$R$4:$W$4,0))))</f>
        <v>0</v>
      </c>
      <c r="U120" s="168">
        <f ca="1">IF($C120-U$1&lt;År1,0,T119*(1-VLOOKUP($A120,[1]Hugst!$R$5:$W$9,MATCH(ROUNDUP((U$1)/10,0)*10,[1]Hugst!$R$4:$W$4,0))))</f>
        <v>0</v>
      </c>
      <c r="V120" s="168">
        <f ca="1">IF($C120-V$1&lt;År1,0,U119*(1-VLOOKUP($A120,[1]Hugst!$R$5:$W$9,MATCH(ROUNDUP((V$1)/10,0)*10,[1]Hugst!$R$4:$W$4,0))))</f>
        <v>0</v>
      </c>
      <c r="W120" s="168">
        <f ca="1">IF($C120-W$1&lt;År1,0,V119*(1-VLOOKUP($A120,[1]Hugst!$R$5:$W$9,MATCH(ROUNDUP((W$1)/10,0)*10,[1]Hugst!$R$4:$W$4,0))))</f>
        <v>0</v>
      </c>
      <c r="X120" s="168">
        <f ca="1">IF($C120-X$1&lt;År1,0,W119*(1-VLOOKUP($A120,[1]Hugst!$R$5:$W$9,MATCH(ROUNDUP((X$1)/10,0)*10,[1]Hugst!$R$4:$W$4,0))))</f>
        <v>0</v>
      </c>
      <c r="Y120" s="168">
        <f ca="1">IF($C120-Y$1&lt;År1,0,X119*(1-VLOOKUP($A120,[1]Hugst!$R$5:$W$9,MATCH(ROUNDUP((Y$1)/10,0)*10,[1]Hugst!$R$4:$W$4,0))))</f>
        <v>0</v>
      </c>
      <c r="Z120" s="168">
        <f ca="1">IF($C120-Z$1&lt;År1,0,Y119*(1-VLOOKUP($A120,[1]Hugst!$R$5:$W$9,MATCH(ROUNDUP((Z$1)/10,0)*10,[1]Hugst!$R$4:$W$4,0))))</f>
        <v>0</v>
      </c>
      <c r="AA120" s="168">
        <f ca="1">IF($C120-AA$1&lt;År1,0,Z119*(1-VLOOKUP($A120,[1]Hugst!$R$5:$W$9,MATCH(ROUNDUP((AA$1)/10,0)*10,[1]Hugst!$R$4:$W$4,0))))</f>
        <v>0</v>
      </c>
      <c r="AB120" s="168">
        <f ca="1">IF($C120-AB$1&lt;År1,0,AA119*(1-VLOOKUP($A120,[1]Hugst!$R$5:$W$9,MATCH(ROUNDUP((AB$1)/10,0)*10,[1]Hugst!$R$4:$W$4,0))))</f>
        <v>0</v>
      </c>
      <c r="AC120" s="168">
        <f ca="1">IF($C120-AC$1&lt;År1,0,AB119*(1-VLOOKUP($A120,[1]Hugst!$R$5:$W$9,MATCH(ROUNDUP((AC$1)/10,0)*10,[1]Hugst!$R$4:$W$4,0))))</f>
        <v>0</v>
      </c>
      <c r="AD120" s="168">
        <f ca="1">IF($C120-AD$1&lt;År1,0,AC119*(1-VLOOKUP($A120,[1]Hugst!$R$5:$W$9,MATCH(ROUNDUP((AD$1)/10,0)*10,[1]Hugst!$R$4:$W$4,0))))</f>
        <v>0</v>
      </c>
      <c r="AE120" s="168">
        <f ca="1">IF($C120-AE$1&lt;År1,0,AD119*(1-VLOOKUP($A120,[1]Hugst!$R$5:$W$9,MATCH(ROUNDUP((AE$1)/10,0)*10,[1]Hugst!$R$4:$W$4,0))))</f>
        <v>0</v>
      </c>
      <c r="AF120" s="168">
        <f>IF($C120-AF$1&lt;År1,0,AE119*(1-VLOOKUP($A120,[1]Hugst!$R$5:$W$9,MATCH(ROUNDUP((AF$1)/10,0)*10,[1]Hugst!$R$4:$W$4,0))))</f>
        <v>0</v>
      </c>
      <c r="AG120" s="168">
        <f>IF($C120-AG$1&lt;År1,0,AF119*(1-VLOOKUP($A120,[1]Hugst!$R$5:$W$9,MATCH(ROUNDUP((AG$1)/10,0)*10,[1]Hugst!$R$4:$W$4,0))))</f>
        <v>0</v>
      </c>
      <c r="AH120" s="168">
        <f>IF($C120-AH$1&lt;År1,0,AG119*(1-VLOOKUP($A120,[1]Hugst!$R$5:$W$9,MATCH(ROUNDUP((AH$1)/10,0)*10,[1]Hugst!$R$4:$W$4,0))))</f>
        <v>0</v>
      </c>
      <c r="AI120" s="168">
        <f>IF($C120-AI$1&lt;År1,0,AH119*(1-VLOOKUP($A120,[1]Hugst!$R$5:$W$9,MATCH(ROUNDUP((AI$1)/10,0)*10,[1]Hugst!$R$4:$W$4,0))))</f>
        <v>0</v>
      </c>
      <c r="AJ120" s="168">
        <f>IF($C120-AJ$1&lt;År1,0,AI119*(1-VLOOKUP($A120,[1]Hugst!$R$5:$W$9,MATCH(ROUNDUP((AJ$1)/10,0)*10,[1]Hugst!$R$4:$W$4,0))))</f>
        <v>0</v>
      </c>
    </row>
    <row r="121" spans="1:38" s="168" customFormat="1" x14ac:dyDescent="0.25">
      <c r="A121" s="168" t="s">
        <v>177</v>
      </c>
      <c r="B121" s="168" t="s">
        <v>24</v>
      </c>
      <c r="C121" s="168">
        <v>2046</v>
      </c>
      <c r="D121" s="168" cm="1">
        <f t="array" ref="D121">(IF(B121="Vestdanmark",Skovbrug!$C$22-(Skovbrug!$C$22)*(1-Skovbrug!$C$9)^(C121-Skovbrug!$B$12),Skovbrug!$F$22-(Skovbrug!$F$22)*(1-Skovbrug!$C$9)^(C121-Skovbrug!$B$12))*VLOOKUP(A121,Skovbrug!$A$13:$D$17,IF('Skovbrug-alder'!C121&lt;=År2,3,4),FALSE)-IF(C121&gt;2020,SUM(INDEX($C$1:$D$311,MATCH(1,(2020=$C$1:$C$311)*(B121=$B$1:$B$311)*(A121=$A$1:$A$311),0),2):D120),0))</f>
        <v>0</v>
      </c>
      <c r="E121" s="168">
        <f t="shared" ca="1" si="2"/>
        <v>0</v>
      </c>
      <c r="F121" s="168">
        <f ca="1">IF(C121&lt;=År2,IF(B121="Vestdanmark",(Arealanvendelse!$M$27-Arealanvendelse!$J$27),(Arealanvendelse!$M$37-Arealanvendelse!$J$37))/(Arealanvendelse!$M$3-Arealanvendelse!$J$3),IF(B121="Vestdanmark",(Arealanvendelse!$P$27-Arealanvendelse!$M$27),(Arealanvendelse!$P$37-Arealanvendelse!$M$37))/(Arealanvendelse!$P$3-Arealanvendelse!$M$3))*VLOOKUP(A121,Skovbrug!$A$13:$D$17,IF('Skovbrug-alder'!C121&lt;=År2,3,4),FALSE)+D121+E121</f>
        <v>0</v>
      </c>
      <c r="G121" s="168">
        <f ca="1">IF($C121-G$1&lt;År1,0,F120*(1-VLOOKUP($A121,[1]Hugst!$R$5:$W$9,MATCH(ROUNDUP((G$1)/10,0)*10,[1]Hugst!$R$4:$W$4,0))))</f>
        <v>0</v>
      </c>
      <c r="H121" s="168">
        <f ca="1">IF($C121-H$1&lt;År1,0,G120*(1-VLOOKUP($A121,[1]Hugst!$R$5:$W$9,MATCH(ROUNDUP((H$1)/10,0)*10,[1]Hugst!$R$4:$W$4,0))))</f>
        <v>0</v>
      </c>
      <c r="I121" s="168">
        <f ca="1">IF($C121-I$1&lt;År1,0,H120*(1-VLOOKUP($A121,[1]Hugst!$R$5:$W$9,MATCH(ROUNDUP((I$1)/10,0)*10,[1]Hugst!$R$4:$W$4,0))))</f>
        <v>0</v>
      </c>
      <c r="J121" s="168">
        <f ca="1">IF($C121-J$1&lt;År1,0,I120*(1-VLOOKUP($A121,[1]Hugst!$R$5:$W$9,MATCH(ROUNDUP((J$1)/10,0)*10,[1]Hugst!$R$4:$W$4,0))))</f>
        <v>0</v>
      </c>
      <c r="K121" s="168">
        <f ca="1">IF($C121-K$1&lt;År1,0,J120*(1-VLOOKUP($A121,[1]Hugst!$R$5:$W$9,MATCH(ROUNDUP((K$1)/10,0)*10,[1]Hugst!$R$4:$W$4,0))))</f>
        <v>0</v>
      </c>
      <c r="L121" s="168">
        <f ca="1">IF($C121-L$1&lt;År1,0,K120*(1-VLOOKUP($A121,[1]Hugst!$R$5:$W$9,MATCH(ROUNDUP((L$1)/10,0)*10,[1]Hugst!$R$4:$W$4,0))))</f>
        <v>0</v>
      </c>
      <c r="M121" s="168">
        <f ca="1">IF($C121-M$1&lt;År1,0,L120*(1-VLOOKUP($A121,[1]Hugst!$R$5:$W$9,MATCH(ROUNDUP((M$1)/10,0)*10,[1]Hugst!$R$4:$W$4,0))))</f>
        <v>0</v>
      </c>
      <c r="N121" s="168">
        <f ca="1">IF($C121-N$1&lt;År1,0,M120*(1-VLOOKUP($A121,[1]Hugst!$R$5:$W$9,MATCH(ROUNDUP((N$1)/10,0)*10,[1]Hugst!$R$4:$W$4,0))))</f>
        <v>0</v>
      </c>
      <c r="O121" s="168">
        <f ca="1">IF($C121-O$1&lt;År1,0,N120*(1-VLOOKUP($A121,[1]Hugst!$R$5:$W$9,MATCH(ROUNDUP((O$1)/10,0)*10,[1]Hugst!$R$4:$W$4,0))))</f>
        <v>0</v>
      </c>
      <c r="P121" s="168">
        <f ca="1">IF($C121-P$1&lt;År1,0,O120*(1-VLOOKUP($A121,[1]Hugst!$R$5:$W$9,MATCH(ROUNDUP((P$1)/10,0)*10,[1]Hugst!$R$4:$W$4,0))))</f>
        <v>0</v>
      </c>
      <c r="Q121" s="168">
        <f ca="1">IF($C121-Q$1&lt;År1,0,P120*(1-VLOOKUP($A121,[1]Hugst!$R$5:$W$9,MATCH(ROUNDUP((Q$1)/10,0)*10,[1]Hugst!$R$4:$W$4,0))))</f>
        <v>0</v>
      </c>
      <c r="R121" s="168">
        <f ca="1">IF($C121-R$1&lt;År1,0,Q120*(1-VLOOKUP($A121,[1]Hugst!$R$5:$W$9,MATCH(ROUNDUP((R$1)/10,0)*10,[1]Hugst!$R$4:$W$4,0))))</f>
        <v>0</v>
      </c>
      <c r="S121" s="168">
        <f ca="1">IF($C121-S$1&lt;År1,0,R120*(1-VLOOKUP($A121,[1]Hugst!$R$5:$W$9,MATCH(ROUNDUP((S$1)/10,0)*10,[1]Hugst!$R$4:$W$4,0))))</f>
        <v>0</v>
      </c>
      <c r="T121" s="168">
        <f ca="1">IF($C121-T$1&lt;År1,0,S120*(1-VLOOKUP($A121,[1]Hugst!$R$5:$W$9,MATCH(ROUNDUP((T$1)/10,0)*10,[1]Hugst!$R$4:$W$4,0))))</f>
        <v>0</v>
      </c>
      <c r="U121" s="168">
        <f ca="1">IF($C121-U$1&lt;År1,0,T120*(1-VLOOKUP($A121,[1]Hugst!$R$5:$W$9,MATCH(ROUNDUP((U$1)/10,0)*10,[1]Hugst!$R$4:$W$4,0))))</f>
        <v>0</v>
      </c>
      <c r="V121" s="168">
        <f ca="1">IF($C121-V$1&lt;År1,0,U120*(1-VLOOKUP($A121,[1]Hugst!$R$5:$W$9,MATCH(ROUNDUP((V$1)/10,0)*10,[1]Hugst!$R$4:$W$4,0))))</f>
        <v>0</v>
      </c>
      <c r="W121" s="168">
        <f ca="1">IF($C121-W$1&lt;År1,0,V120*(1-VLOOKUP($A121,[1]Hugst!$R$5:$W$9,MATCH(ROUNDUP((W$1)/10,0)*10,[1]Hugst!$R$4:$W$4,0))))</f>
        <v>0</v>
      </c>
      <c r="X121" s="168">
        <f ca="1">IF($C121-X$1&lt;År1,0,W120*(1-VLOOKUP($A121,[1]Hugst!$R$5:$W$9,MATCH(ROUNDUP((X$1)/10,0)*10,[1]Hugst!$R$4:$W$4,0))))</f>
        <v>0</v>
      </c>
      <c r="Y121" s="168">
        <f ca="1">IF($C121-Y$1&lt;År1,0,X120*(1-VLOOKUP($A121,[1]Hugst!$R$5:$W$9,MATCH(ROUNDUP((Y$1)/10,0)*10,[1]Hugst!$R$4:$W$4,0))))</f>
        <v>0</v>
      </c>
      <c r="Z121" s="168">
        <f ca="1">IF($C121-Z$1&lt;År1,0,Y120*(1-VLOOKUP($A121,[1]Hugst!$R$5:$W$9,MATCH(ROUNDUP((Z$1)/10,0)*10,[1]Hugst!$R$4:$W$4,0))))</f>
        <v>0</v>
      </c>
      <c r="AA121" s="168">
        <f ca="1">IF($C121-AA$1&lt;År1,0,Z120*(1-VLOOKUP($A121,[1]Hugst!$R$5:$W$9,MATCH(ROUNDUP((AA$1)/10,0)*10,[1]Hugst!$R$4:$W$4,0))))</f>
        <v>0</v>
      </c>
      <c r="AB121" s="168">
        <f ca="1">IF($C121-AB$1&lt;År1,0,AA120*(1-VLOOKUP($A121,[1]Hugst!$R$5:$W$9,MATCH(ROUNDUP((AB$1)/10,0)*10,[1]Hugst!$R$4:$W$4,0))))</f>
        <v>0</v>
      </c>
      <c r="AC121" s="168">
        <f ca="1">IF($C121-AC$1&lt;År1,0,AB120*(1-VLOOKUP($A121,[1]Hugst!$R$5:$W$9,MATCH(ROUNDUP((AC$1)/10,0)*10,[1]Hugst!$R$4:$W$4,0))))</f>
        <v>0</v>
      </c>
      <c r="AD121" s="168">
        <f ca="1">IF($C121-AD$1&lt;År1,0,AC120*(1-VLOOKUP($A121,[1]Hugst!$R$5:$W$9,MATCH(ROUNDUP((AD$1)/10,0)*10,[1]Hugst!$R$4:$W$4,0))))</f>
        <v>0</v>
      </c>
      <c r="AE121" s="168">
        <f ca="1">IF($C121-AE$1&lt;År1,0,AD120*(1-VLOOKUP($A121,[1]Hugst!$R$5:$W$9,MATCH(ROUNDUP((AE$1)/10,0)*10,[1]Hugst!$R$4:$W$4,0))))</f>
        <v>0</v>
      </c>
      <c r="AF121" s="168">
        <f ca="1">IF($C121-AF$1&lt;År1,0,AE120*(1-VLOOKUP($A121,[1]Hugst!$R$5:$W$9,MATCH(ROUNDUP((AF$1)/10,0)*10,[1]Hugst!$R$4:$W$4,0))))</f>
        <v>0</v>
      </c>
      <c r="AG121" s="168">
        <f>IF($C121-AG$1&lt;År1,0,AF120*(1-VLOOKUP($A121,[1]Hugst!$R$5:$W$9,MATCH(ROUNDUP((AG$1)/10,0)*10,[1]Hugst!$R$4:$W$4,0))))</f>
        <v>0</v>
      </c>
      <c r="AH121" s="168">
        <f>IF($C121-AH$1&lt;År1,0,AG120*(1-VLOOKUP($A121,[1]Hugst!$R$5:$W$9,MATCH(ROUNDUP((AH$1)/10,0)*10,[1]Hugst!$R$4:$W$4,0))))</f>
        <v>0</v>
      </c>
      <c r="AI121" s="168">
        <f>IF($C121-AI$1&lt;År1,0,AH120*(1-VLOOKUP($A121,[1]Hugst!$R$5:$W$9,MATCH(ROUNDUP((AI$1)/10,0)*10,[1]Hugst!$R$4:$W$4,0))))</f>
        <v>0</v>
      </c>
      <c r="AJ121" s="168">
        <f>IF($C121-AJ$1&lt;År1,0,AI120*(1-VLOOKUP($A121,[1]Hugst!$R$5:$W$9,MATCH(ROUNDUP((AJ$1)/10,0)*10,[1]Hugst!$R$4:$W$4,0))))</f>
        <v>0</v>
      </c>
    </row>
    <row r="122" spans="1:38" s="168" customFormat="1" x14ac:dyDescent="0.25">
      <c r="A122" s="168" t="s">
        <v>177</v>
      </c>
      <c r="B122" s="168" t="s">
        <v>24</v>
      </c>
      <c r="C122" s="168">
        <v>2047</v>
      </c>
      <c r="D122" s="168" cm="1">
        <f t="array" ref="D122">(IF(B122="Vestdanmark",Skovbrug!$C$22-(Skovbrug!$C$22)*(1-Skovbrug!$C$9)^(C122-Skovbrug!$B$12),Skovbrug!$F$22-(Skovbrug!$F$22)*(1-Skovbrug!$C$9)^(C122-Skovbrug!$B$12))*VLOOKUP(A122,Skovbrug!$A$13:$D$17,IF('Skovbrug-alder'!C122&lt;=År2,3,4),FALSE)-IF(C122&gt;2020,SUM(INDEX($C$1:$D$311,MATCH(1,(2020=$C$1:$C$311)*(B122=$B$1:$B$311)*(A122=$A$1:$A$311),0),2):D121),0))</f>
        <v>0</v>
      </c>
      <c r="E122" s="168">
        <f t="shared" ca="1" si="2"/>
        <v>0</v>
      </c>
      <c r="F122" s="168">
        <f ca="1">IF(C122&lt;=År2,IF(B122="Vestdanmark",(Arealanvendelse!$M$27-Arealanvendelse!$J$27),(Arealanvendelse!$M$37-Arealanvendelse!$J$37))/(Arealanvendelse!$M$3-Arealanvendelse!$J$3),IF(B122="Vestdanmark",(Arealanvendelse!$P$27-Arealanvendelse!$M$27),(Arealanvendelse!$P$37-Arealanvendelse!$M$37))/(Arealanvendelse!$P$3-Arealanvendelse!$M$3))*VLOOKUP(A122,Skovbrug!$A$13:$D$17,IF('Skovbrug-alder'!C122&lt;=År2,3,4),FALSE)+D122+E122</f>
        <v>0</v>
      </c>
      <c r="G122" s="168">
        <f ca="1">IF($C122-G$1&lt;År1,0,F121*(1-VLOOKUP($A122,[1]Hugst!$R$5:$W$9,MATCH(ROUNDUP((G$1)/10,0)*10,[1]Hugst!$R$4:$W$4,0))))</f>
        <v>0</v>
      </c>
      <c r="H122" s="168">
        <f ca="1">IF($C122-H$1&lt;År1,0,G121*(1-VLOOKUP($A122,[1]Hugst!$R$5:$W$9,MATCH(ROUNDUP((H$1)/10,0)*10,[1]Hugst!$R$4:$W$4,0))))</f>
        <v>0</v>
      </c>
      <c r="I122" s="168">
        <f ca="1">IF($C122-I$1&lt;År1,0,H121*(1-VLOOKUP($A122,[1]Hugst!$R$5:$W$9,MATCH(ROUNDUP((I$1)/10,0)*10,[1]Hugst!$R$4:$W$4,0))))</f>
        <v>0</v>
      </c>
      <c r="J122" s="168">
        <f ca="1">IF($C122-J$1&lt;År1,0,I121*(1-VLOOKUP($A122,[1]Hugst!$R$5:$W$9,MATCH(ROUNDUP((J$1)/10,0)*10,[1]Hugst!$R$4:$W$4,0))))</f>
        <v>0</v>
      </c>
      <c r="K122" s="168">
        <f ca="1">IF($C122-K$1&lt;År1,0,J121*(1-VLOOKUP($A122,[1]Hugst!$R$5:$W$9,MATCH(ROUNDUP((K$1)/10,0)*10,[1]Hugst!$R$4:$W$4,0))))</f>
        <v>0</v>
      </c>
      <c r="L122" s="168">
        <f ca="1">IF($C122-L$1&lt;År1,0,K121*(1-VLOOKUP($A122,[1]Hugst!$R$5:$W$9,MATCH(ROUNDUP((L$1)/10,0)*10,[1]Hugst!$R$4:$W$4,0))))</f>
        <v>0</v>
      </c>
      <c r="M122" s="168">
        <f ca="1">IF($C122-M$1&lt;År1,0,L121*(1-VLOOKUP($A122,[1]Hugst!$R$5:$W$9,MATCH(ROUNDUP((M$1)/10,0)*10,[1]Hugst!$R$4:$W$4,0))))</f>
        <v>0</v>
      </c>
      <c r="N122" s="168">
        <f ca="1">IF($C122-N$1&lt;År1,0,M121*(1-VLOOKUP($A122,[1]Hugst!$R$5:$W$9,MATCH(ROUNDUP((N$1)/10,0)*10,[1]Hugst!$R$4:$W$4,0))))</f>
        <v>0</v>
      </c>
      <c r="O122" s="168">
        <f ca="1">IF($C122-O$1&lt;År1,0,N121*(1-VLOOKUP($A122,[1]Hugst!$R$5:$W$9,MATCH(ROUNDUP((O$1)/10,0)*10,[1]Hugst!$R$4:$W$4,0))))</f>
        <v>0</v>
      </c>
      <c r="P122" s="168">
        <f ca="1">IF($C122-P$1&lt;År1,0,O121*(1-VLOOKUP($A122,[1]Hugst!$R$5:$W$9,MATCH(ROUNDUP((P$1)/10,0)*10,[1]Hugst!$R$4:$W$4,0))))</f>
        <v>0</v>
      </c>
      <c r="Q122" s="168">
        <f ca="1">IF($C122-Q$1&lt;År1,0,P121*(1-VLOOKUP($A122,[1]Hugst!$R$5:$W$9,MATCH(ROUNDUP((Q$1)/10,0)*10,[1]Hugst!$R$4:$W$4,0))))</f>
        <v>0</v>
      </c>
      <c r="R122" s="168">
        <f ca="1">IF($C122-R$1&lt;År1,0,Q121*(1-VLOOKUP($A122,[1]Hugst!$R$5:$W$9,MATCH(ROUNDUP((R$1)/10,0)*10,[1]Hugst!$R$4:$W$4,0))))</f>
        <v>0</v>
      </c>
      <c r="S122" s="168">
        <f ca="1">IF($C122-S$1&lt;År1,0,R121*(1-VLOOKUP($A122,[1]Hugst!$R$5:$W$9,MATCH(ROUNDUP((S$1)/10,0)*10,[1]Hugst!$R$4:$W$4,0))))</f>
        <v>0</v>
      </c>
      <c r="T122" s="168">
        <f ca="1">IF($C122-T$1&lt;År1,0,S121*(1-VLOOKUP($A122,[1]Hugst!$R$5:$W$9,MATCH(ROUNDUP((T$1)/10,0)*10,[1]Hugst!$R$4:$W$4,0))))</f>
        <v>0</v>
      </c>
      <c r="U122" s="168">
        <f ca="1">IF($C122-U$1&lt;År1,0,T121*(1-VLOOKUP($A122,[1]Hugst!$R$5:$W$9,MATCH(ROUNDUP((U$1)/10,0)*10,[1]Hugst!$R$4:$W$4,0))))</f>
        <v>0</v>
      </c>
      <c r="V122" s="168">
        <f ca="1">IF($C122-V$1&lt;År1,0,U121*(1-VLOOKUP($A122,[1]Hugst!$R$5:$W$9,MATCH(ROUNDUP((V$1)/10,0)*10,[1]Hugst!$R$4:$W$4,0))))</f>
        <v>0</v>
      </c>
      <c r="W122" s="168">
        <f ca="1">IF($C122-W$1&lt;År1,0,V121*(1-VLOOKUP($A122,[1]Hugst!$R$5:$W$9,MATCH(ROUNDUP((W$1)/10,0)*10,[1]Hugst!$R$4:$W$4,0))))</f>
        <v>0</v>
      </c>
      <c r="X122" s="168">
        <f ca="1">IF($C122-X$1&lt;År1,0,W121*(1-VLOOKUP($A122,[1]Hugst!$R$5:$W$9,MATCH(ROUNDUP((X$1)/10,0)*10,[1]Hugst!$R$4:$W$4,0))))</f>
        <v>0</v>
      </c>
      <c r="Y122" s="168">
        <f ca="1">IF($C122-Y$1&lt;År1,0,X121*(1-VLOOKUP($A122,[1]Hugst!$R$5:$W$9,MATCH(ROUNDUP((Y$1)/10,0)*10,[1]Hugst!$R$4:$W$4,0))))</f>
        <v>0</v>
      </c>
      <c r="Z122" s="168">
        <f ca="1">IF($C122-Z$1&lt;År1,0,Y121*(1-VLOOKUP($A122,[1]Hugst!$R$5:$W$9,MATCH(ROUNDUP((Z$1)/10,0)*10,[1]Hugst!$R$4:$W$4,0))))</f>
        <v>0</v>
      </c>
      <c r="AA122" s="168">
        <f ca="1">IF($C122-AA$1&lt;År1,0,Z121*(1-VLOOKUP($A122,[1]Hugst!$R$5:$W$9,MATCH(ROUNDUP((AA$1)/10,0)*10,[1]Hugst!$R$4:$W$4,0))))</f>
        <v>0</v>
      </c>
      <c r="AB122" s="168">
        <f ca="1">IF($C122-AB$1&lt;År1,0,AA121*(1-VLOOKUP($A122,[1]Hugst!$R$5:$W$9,MATCH(ROUNDUP((AB$1)/10,0)*10,[1]Hugst!$R$4:$W$4,0))))</f>
        <v>0</v>
      </c>
      <c r="AC122" s="168">
        <f ca="1">IF($C122-AC$1&lt;År1,0,AB121*(1-VLOOKUP($A122,[1]Hugst!$R$5:$W$9,MATCH(ROUNDUP((AC$1)/10,0)*10,[1]Hugst!$R$4:$W$4,0))))</f>
        <v>0</v>
      </c>
      <c r="AD122" s="168">
        <f ca="1">IF($C122-AD$1&lt;År1,0,AC121*(1-VLOOKUP($A122,[1]Hugst!$R$5:$W$9,MATCH(ROUNDUP((AD$1)/10,0)*10,[1]Hugst!$R$4:$W$4,0))))</f>
        <v>0</v>
      </c>
      <c r="AE122" s="168">
        <f ca="1">IF($C122-AE$1&lt;År1,0,AD121*(1-VLOOKUP($A122,[1]Hugst!$R$5:$W$9,MATCH(ROUNDUP((AE$1)/10,0)*10,[1]Hugst!$R$4:$W$4,0))))</f>
        <v>0</v>
      </c>
      <c r="AF122" s="168">
        <f ca="1">IF($C122-AF$1&lt;År1,0,AE121*(1-VLOOKUP($A122,[1]Hugst!$R$5:$W$9,MATCH(ROUNDUP((AF$1)/10,0)*10,[1]Hugst!$R$4:$W$4,0))))</f>
        <v>0</v>
      </c>
      <c r="AG122" s="168">
        <f ca="1">IF($C122-AG$1&lt;År1,0,AF121*(1-VLOOKUP($A122,[1]Hugst!$R$5:$W$9,MATCH(ROUNDUP((AG$1)/10,0)*10,[1]Hugst!$R$4:$W$4,0))))</f>
        <v>0</v>
      </c>
      <c r="AH122" s="168">
        <f>IF($C122-AH$1&lt;År1,0,AG121*(1-VLOOKUP($A122,[1]Hugst!$R$5:$W$9,MATCH(ROUNDUP((AH$1)/10,0)*10,[1]Hugst!$R$4:$W$4,0))))</f>
        <v>0</v>
      </c>
      <c r="AI122" s="168">
        <f>IF($C122-AI$1&lt;År1,0,AH121*(1-VLOOKUP($A122,[1]Hugst!$R$5:$W$9,MATCH(ROUNDUP((AI$1)/10,0)*10,[1]Hugst!$R$4:$W$4,0))))</f>
        <v>0</v>
      </c>
      <c r="AJ122" s="168">
        <f>IF($C122-AJ$1&lt;År1,0,AI121*(1-VLOOKUP($A122,[1]Hugst!$R$5:$W$9,MATCH(ROUNDUP((AJ$1)/10,0)*10,[1]Hugst!$R$4:$W$4,0))))</f>
        <v>0</v>
      </c>
    </row>
    <row r="123" spans="1:38" s="168" customFormat="1" x14ac:dyDescent="0.25">
      <c r="A123" s="168" t="s">
        <v>177</v>
      </c>
      <c r="B123" s="168" t="s">
        <v>24</v>
      </c>
      <c r="C123" s="168">
        <v>2048</v>
      </c>
      <c r="D123" s="168" cm="1">
        <f t="array" ref="D123">(IF(B123="Vestdanmark",Skovbrug!$C$22-(Skovbrug!$C$22)*(1-Skovbrug!$C$9)^(C123-Skovbrug!$B$12),Skovbrug!$F$22-(Skovbrug!$F$22)*(1-Skovbrug!$C$9)^(C123-Skovbrug!$B$12))*VLOOKUP(A123,Skovbrug!$A$13:$D$17,IF('Skovbrug-alder'!C123&lt;=År2,3,4),FALSE)-IF(C123&gt;2020,SUM(INDEX($C$1:$D$311,MATCH(1,(2020=$C$1:$C$311)*(B123=$B$1:$B$311)*(A123=$A$1:$A$311),0),2):D122),0))</f>
        <v>0</v>
      </c>
      <c r="E123" s="168">
        <f t="shared" ca="1" si="2"/>
        <v>0</v>
      </c>
      <c r="F123" s="168">
        <f ca="1">IF(C123&lt;=År2,IF(B123="Vestdanmark",(Arealanvendelse!$M$27-Arealanvendelse!$J$27),(Arealanvendelse!$M$37-Arealanvendelse!$J$37))/(Arealanvendelse!$M$3-Arealanvendelse!$J$3),IF(B123="Vestdanmark",(Arealanvendelse!$P$27-Arealanvendelse!$M$27),(Arealanvendelse!$P$37-Arealanvendelse!$M$37))/(Arealanvendelse!$P$3-Arealanvendelse!$M$3))*VLOOKUP(A123,Skovbrug!$A$13:$D$17,IF('Skovbrug-alder'!C123&lt;=År2,3,4),FALSE)+D123+E123</f>
        <v>0</v>
      </c>
      <c r="G123" s="168">
        <f ca="1">IF($C123-G$1&lt;År1,0,F122*(1-VLOOKUP($A123,[1]Hugst!$R$5:$W$9,MATCH(ROUNDUP((G$1)/10,0)*10,[1]Hugst!$R$4:$W$4,0))))</f>
        <v>0</v>
      </c>
      <c r="H123" s="168">
        <f ca="1">IF($C123-H$1&lt;År1,0,G122*(1-VLOOKUP($A123,[1]Hugst!$R$5:$W$9,MATCH(ROUNDUP((H$1)/10,0)*10,[1]Hugst!$R$4:$W$4,0))))</f>
        <v>0</v>
      </c>
      <c r="I123" s="168">
        <f ca="1">IF($C123-I$1&lt;År1,0,H122*(1-VLOOKUP($A123,[1]Hugst!$R$5:$W$9,MATCH(ROUNDUP((I$1)/10,0)*10,[1]Hugst!$R$4:$W$4,0))))</f>
        <v>0</v>
      </c>
      <c r="J123" s="168">
        <f ca="1">IF($C123-J$1&lt;År1,0,I122*(1-VLOOKUP($A123,[1]Hugst!$R$5:$W$9,MATCH(ROUNDUP((J$1)/10,0)*10,[1]Hugst!$R$4:$W$4,0))))</f>
        <v>0</v>
      </c>
      <c r="K123" s="168">
        <f ca="1">IF($C123-K$1&lt;År1,0,J122*(1-VLOOKUP($A123,[1]Hugst!$R$5:$W$9,MATCH(ROUNDUP((K$1)/10,0)*10,[1]Hugst!$R$4:$W$4,0))))</f>
        <v>0</v>
      </c>
      <c r="L123" s="168">
        <f ca="1">IF($C123-L$1&lt;År1,0,K122*(1-VLOOKUP($A123,[1]Hugst!$R$5:$W$9,MATCH(ROUNDUP((L$1)/10,0)*10,[1]Hugst!$R$4:$W$4,0))))</f>
        <v>0</v>
      </c>
      <c r="M123" s="168">
        <f ca="1">IF($C123-M$1&lt;År1,0,L122*(1-VLOOKUP($A123,[1]Hugst!$R$5:$W$9,MATCH(ROUNDUP((M$1)/10,0)*10,[1]Hugst!$R$4:$W$4,0))))</f>
        <v>0</v>
      </c>
      <c r="N123" s="168">
        <f ca="1">IF($C123-N$1&lt;År1,0,M122*(1-VLOOKUP($A123,[1]Hugst!$R$5:$W$9,MATCH(ROUNDUP((N$1)/10,0)*10,[1]Hugst!$R$4:$W$4,0))))</f>
        <v>0</v>
      </c>
      <c r="O123" s="168">
        <f ca="1">IF($C123-O$1&lt;År1,0,N122*(1-VLOOKUP($A123,[1]Hugst!$R$5:$W$9,MATCH(ROUNDUP((O$1)/10,0)*10,[1]Hugst!$R$4:$W$4,0))))</f>
        <v>0</v>
      </c>
      <c r="P123" s="168">
        <f ca="1">IF($C123-P$1&lt;År1,0,O122*(1-VLOOKUP($A123,[1]Hugst!$R$5:$W$9,MATCH(ROUNDUP((P$1)/10,0)*10,[1]Hugst!$R$4:$W$4,0))))</f>
        <v>0</v>
      </c>
      <c r="Q123" s="168">
        <f ca="1">IF($C123-Q$1&lt;År1,0,P122*(1-VLOOKUP($A123,[1]Hugst!$R$5:$W$9,MATCH(ROUNDUP((Q$1)/10,0)*10,[1]Hugst!$R$4:$W$4,0))))</f>
        <v>0</v>
      </c>
      <c r="R123" s="168">
        <f ca="1">IF($C123-R$1&lt;År1,0,Q122*(1-VLOOKUP($A123,[1]Hugst!$R$5:$W$9,MATCH(ROUNDUP((R$1)/10,0)*10,[1]Hugst!$R$4:$W$4,0))))</f>
        <v>0</v>
      </c>
      <c r="S123" s="168">
        <f ca="1">IF($C123-S$1&lt;År1,0,R122*(1-VLOOKUP($A123,[1]Hugst!$R$5:$W$9,MATCH(ROUNDUP((S$1)/10,0)*10,[1]Hugst!$R$4:$W$4,0))))</f>
        <v>0</v>
      </c>
      <c r="T123" s="168">
        <f ca="1">IF($C123-T$1&lt;År1,0,S122*(1-VLOOKUP($A123,[1]Hugst!$R$5:$W$9,MATCH(ROUNDUP((T$1)/10,0)*10,[1]Hugst!$R$4:$W$4,0))))</f>
        <v>0</v>
      </c>
      <c r="U123" s="168">
        <f ca="1">IF($C123-U$1&lt;År1,0,T122*(1-VLOOKUP($A123,[1]Hugst!$R$5:$W$9,MATCH(ROUNDUP((U$1)/10,0)*10,[1]Hugst!$R$4:$W$4,0))))</f>
        <v>0</v>
      </c>
      <c r="V123" s="168">
        <f ca="1">IF($C123-V$1&lt;År1,0,U122*(1-VLOOKUP($A123,[1]Hugst!$R$5:$W$9,MATCH(ROUNDUP((V$1)/10,0)*10,[1]Hugst!$R$4:$W$4,0))))</f>
        <v>0</v>
      </c>
      <c r="W123" s="168">
        <f ca="1">IF($C123-W$1&lt;År1,0,V122*(1-VLOOKUP($A123,[1]Hugst!$R$5:$W$9,MATCH(ROUNDUP((W$1)/10,0)*10,[1]Hugst!$R$4:$W$4,0))))</f>
        <v>0</v>
      </c>
      <c r="X123" s="168">
        <f ca="1">IF($C123-X$1&lt;År1,0,W122*(1-VLOOKUP($A123,[1]Hugst!$R$5:$W$9,MATCH(ROUNDUP((X$1)/10,0)*10,[1]Hugst!$R$4:$W$4,0))))</f>
        <v>0</v>
      </c>
      <c r="Y123" s="168">
        <f ca="1">IF($C123-Y$1&lt;År1,0,X122*(1-VLOOKUP($A123,[1]Hugst!$R$5:$W$9,MATCH(ROUNDUP((Y$1)/10,0)*10,[1]Hugst!$R$4:$W$4,0))))</f>
        <v>0</v>
      </c>
      <c r="Z123" s="168">
        <f ca="1">IF($C123-Z$1&lt;År1,0,Y122*(1-VLOOKUP($A123,[1]Hugst!$R$5:$W$9,MATCH(ROUNDUP((Z$1)/10,0)*10,[1]Hugst!$R$4:$W$4,0))))</f>
        <v>0</v>
      </c>
      <c r="AA123" s="168">
        <f ca="1">IF($C123-AA$1&lt;År1,0,Z122*(1-VLOOKUP($A123,[1]Hugst!$R$5:$W$9,MATCH(ROUNDUP((AA$1)/10,0)*10,[1]Hugst!$R$4:$W$4,0))))</f>
        <v>0</v>
      </c>
      <c r="AB123" s="168">
        <f ca="1">IF($C123-AB$1&lt;År1,0,AA122*(1-VLOOKUP($A123,[1]Hugst!$R$5:$W$9,MATCH(ROUNDUP((AB$1)/10,0)*10,[1]Hugst!$R$4:$W$4,0))))</f>
        <v>0</v>
      </c>
      <c r="AC123" s="168">
        <f ca="1">IF($C123-AC$1&lt;År1,0,AB122*(1-VLOOKUP($A123,[1]Hugst!$R$5:$W$9,MATCH(ROUNDUP((AC$1)/10,0)*10,[1]Hugst!$R$4:$W$4,0))))</f>
        <v>0</v>
      </c>
      <c r="AD123" s="168">
        <f ca="1">IF($C123-AD$1&lt;År1,0,AC122*(1-VLOOKUP($A123,[1]Hugst!$R$5:$W$9,MATCH(ROUNDUP((AD$1)/10,0)*10,[1]Hugst!$R$4:$W$4,0))))</f>
        <v>0</v>
      </c>
      <c r="AE123" s="168">
        <f ca="1">IF($C123-AE$1&lt;År1,0,AD122*(1-VLOOKUP($A123,[1]Hugst!$R$5:$W$9,MATCH(ROUNDUP((AE$1)/10,0)*10,[1]Hugst!$R$4:$W$4,0))))</f>
        <v>0</v>
      </c>
      <c r="AF123" s="168">
        <f ca="1">IF($C123-AF$1&lt;År1,0,AE122*(1-VLOOKUP($A123,[1]Hugst!$R$5:$W$9,MATCH(ROUNDUP((AF$1)/10,0)*10,[1]Hugst!$R$4:$W$4,0))))</f>
        <v>0</v>
      </c>
      <c r="AG123" s="168">
        <f ca="1">IF($C123-AG$1&lt;År1,0,AF122*(1-VLOOKUP($A123,[1]Hugst!$R$5:$W$9,MATCH(ROUNDUP((AG$1)/10,0)*10,[1]Hugst!$R$4:$W$4,0))))</f>
        <v>0</v>
      </c>
      <c r="AH123" s="168">
        <f ca="1">IF($C123-AH$1&lt;År1,0,AG122*(1-VLOOKUP($A123,[1]Hugst!$R$5:$W$9,MATCH(ROUNDUP((AH$1)/10,0)*10,[1]Hugst!$R$4:$W$4,0))))</f>
        <v>0</v>
      </c>
      <c r="AI123" s="168">
        <f>IF($C123-AI$1&lt;År1,0,AH122*(1-VLOOKUP($A123,[1]Hugst!$R$5:$W$9,MATCH(ROUNDUP((AI$1)/10,0)*10,[1]Hugst!$R$4:$W$4,0))))</f>
        <v>0</v>
      </c>
      <c r="AJ123" s="168">
        <f>IF($C123-AJ$1&lt;År1,0,AI122*(1-VLOOKUP($A123,[1]Hugst!$R$5:$W$9,MATCH(ROUNDUP((AJ$1)/10,0)*10,[1]Hugst!$R$4:$W$4,0))))</f>
        <v>0</v>
      </c>
    </row>
    <row r="124" spans="1:38" s="168" customFormat="1" x14ac:dyDescent="0.25">
      <c r="A124" s="168" t="s">
        <v>177</v>
      </c>
      <c r="B124" s="168" t="s">
        <v>24</v>
      </c>
      <c r="C124" s="168">
        <v>2049</v>
      </c>
      <c r="D124" s="168" cm="1">
        <f t="array" ref="D124">(IF(B124="Vestdanmark",Skovbrug!$C$22-(Skovbrug!$C$22)*(1-Skovbrug!$C$9)^(C124-Skovbrug!$B$12),Skovbrug!$F$22-(Skovbrug!$F$22)*(1-Skovbrug!$C$9)^(C124-Skovbrug!$B$12))*VLOOKUP(A124,Skovbrug!$A$13:$D$17,IF('Skovbrug-alder'!C124&lt;=År2,3,4),FALSE)-IF(C124&gt;2020,SUM(INDEX($C$1:$D$311,MATCH(1,(2020=$C$1:$C$311)*(B124=$B$1:$B$311)*(A124=$A$1:$A$311),0),2):D123),0))</f>
        <v>0</v>
      </c>
      <c r="E124" s="168">
        <f t="shared" ca="1" si="2"/>
        <v>0</v>
      </c>
      <c r="F124" s="168">
        <f ca="1">IF(C124&lt;=År2,IF(B124="Vestdanmark",(Arealanvendelse!$M$27-Arealanvendelse!$J$27),(Arealanvendelse!$M$37-Arealanvendelse!$J$37))/(Arealanvendelse!$M$3-Arealanvendelse!$J$3),IF(B124="Vestdanmark",(Arealanvendelse!$P$27-Arealanvendelse!$M$27),(Arealanvendelse!$P$37-Arealanvendelse!$M$37))/(Arealanvendelse!$P$3-Arealanvendelse!$M$3))*VLOOKUP(A124,Skovbrug!$A$13:$D$17,IF('Skovbrug-alder'!C124&lt;=År2,3,4),FALSE)+D124+E124</f>
        <v>0</v>
      </c>
      <c r="G124" s="168">
        <f ca="1">IF($C124-G$1&lt;År1,0,F123*(1-VLOOKUP($A124,[1]Hugst!$R$5:$W$9,MATCH(ROUNDUP((G$1)/10,0)*10,[1]Hugst!$R$4:$W$4,0))))</f>
        <v>0</v>
      </c>
      <c r="H124" s="168">
        <f ca="1">IF($C124-H$1&lt;År1,0,G123*(1-VLOOKUP($A124,[1]Hugst!$R$5:$W$9,MATCH(ROUNDUP((H$1)/10,0)*10,[1]Hugst!$R$4:$W$4,0))))</f>
        <v>0</v>
      </c>
      <c r="I124" s="168">
        <f ca="1">IF($C124-I$1&lt;År1,0,H123*(1-VLOOKUP($A124,[1]Hugst!$R$5:$W$9,MATCH(ROUNDUP((I$1)/10,0)*10,[1]Hugst!$R$4:$W$4,0))))</f>
        <v>0</v>
      </c>
      <c r="J124" s="168">
        <f ca="1">IF($C124-J$1&lt;År1,0,I123*(1-VLOOKUP($A124,[1]Hugst!$R$5:$W$9,MATCH(ROUNDUP((J$1)/10,0)*10,[1]Hugst!$R$4:$W$4,0))))</f>
        <v>0</v>
      </c>
      <c r="K124" s="168">
        <f ca="1">IF($C124-K$1&lt;År1,0,J123*(1-VLOOKUP($A124,[1]Hugst!$R$5:$W$9,MATCH(ROUNDUP((K$1)/10,0)*10,[1]Hugst!$R$4:$W$4,0))))</f>
        <v>0</v>
      </c>
      <c r="L124" s="168">
        <f ca="1">IF($C124-L$1&lt;År1,0,K123*(1-VLOOKUP($A124,[1]Hugst!$R$5:$W$9,MATCH(ROUNDUP((L$1)/10,0)*10,[1]Hugst!$R$4:$W$4,0))))</f>
        <v>0</v>
      </c>
      <c r="M124" s="168">
        <f ca="1">IF($C124-M$1&lt;År1,0,L123*(1-VLOOKUP($A124,[1]Hugst!$R$5:$W$9,MATCH(ROUNDUP((M$1)/10,0)*10,[1]Hugst!$R$4:$W$4,0))))</f>
        <v>0</v>
      </c>
      <c r="N124" s="168">
        <f ca="1">IF($C124-N$1&lt;År1,0,M123*(1-VLOOKUP($A124,[1]Hugst!$R$5:$W$9,MATCH(ROUNDUP((N$1)/10,0)*10,[1]Hugst!$R$4:$W$4,0))))</f>
        <v>0</v>
      </c>
      <c r="O124" s="168">
        <f ca="1">IF($C124-O$1&lt;År1,0,N123*(1-VLOOKUP($A124,[1]Hugst!$R$5:$W$9,MATCH(ROUNDUP((O$1)/10,0)*10,[1]Hugst!$R$4:$W$4,0))))</f>
        <v>0</v>
      </c>
      <c r="P124" s="168">
        <f ca="1">IF($C124-P$1&lt;År1,0,O123*(1-VLOOKUP($A124,[1]Hugst!$R$5:$W$9,MATCH(ROUNDUP((P$1)/10,0)*10,[1]Hugst!$R$4:$W$4,0))))</f>
        <v>0</v>
      </c>
      <c r="Q124" s="168">
        <f ca="1">IF($C124-Q$1&lt;År1,0,P123*(1-VLOOKUP($A124,[1]Hugst!$R$5:$W$9,MATCH(ROUNDUP((Q$1)/10,0)*10,[1]Hugst!$R$4:$W$4,0))))</f>
        <v>0</v>
      </c>
      <c r="R124" s="168">
        <f ca="1">IF($C124-R$1&lt;År1,0,Q123*(1-VLOOKUP($A124,[1]Hugst!$R$5:$W$9,MATCH(ROUNDUP((R$1)/10,0)*10,[1]Hugst!$R$4:$W$4,0))))</f>
        <v>0</v>
      </c>
      <c r="S124" s="168">
        <f ca="1">IF($C124-S$1&lt;År1,0,R123*(1-VLOOKUP($A124,[1]Hugst!$R$5:$W$9,MATCH(ROUNDUP((S$1)/10,0)*10,[1]Hugst!$R$4:$W$4,0))))</f>
        <v>0</v>
      </c>
      <c r="T124" s="168">
        <f ca="1">IF($C124-T$1&lt;År1,0,S123*(1-VLOOKUP($A124,[1]Hugst!$R$5:$W$9,MATCH(ROUNDUP((T$1)/10,0)*10,[1]Hugst!$R$4:$W$4,0))))</f>
        <v>0</v>
      </c>
      <c r="U124" s="168">
        <f ca="1">IF($C124-U$1&lt;År1,0,T123*(1-VLOOKUP($A124,[1]Hugst!$R$5:$W$9,MATCH(ROUNDUP((U$1)/10,0)*10,[1]Hugst!$R$4:$W$4,0))))</f>
        <v>0</v>
      </c>
      <c r="V124" s="168">
        <f ca="1">IF($C124-V$1&lt;År1,0,U123*(1-VLOOKUP($A124,[1]Hugst!$R$5:$W$9,MATCH(ROUNDUP((V$1)/10,0)*10,[1]Hugst!$R$4:$W$4,0))))</f>
        <v>0</v>
      </c>
      <c r="W124" s="168">
        <f ca="1">IF($C124-W$1&lt;År1,0,V123*(1-VLOOKUP($A124,[1]Hugst!$R$5:$W$9,MATCH(ROUNDUP((W$1)/10,0)*10,[1]Hugst!$R$4:$W$4,0))))</f>
        <v>0</v>
      </c>
      <c r="X124" s="168">
        <f ca="1">IF($C124-X$1&lt;År1,0,W123*(1-VLOOKUP($A124,[1]Hugst!$R$5:$W$9,MATCH(ROUNDUP((X$1)/10,0)*10,[1]Hugst!$R$4:$W$4,0))))</f>
        <v>0</v>
      </c>
      <c r="Y124" s="168">
        <f ca="1">IF($C124-Y$1&lt;År1,0,X123*(1-VLOOKUP($A124,[1]Hugst!$R$5:$W$9,MATCH(ROUNDUP((Y$1)/10,0)*10,[1]Hugst!$R$4:$W$4,0))))</f>
        <v>0</v>
      </c>
      <c r="Z124" s="168">
        <f ca="1">IF($C124-Z$1&lt;År1,0,Y123*(1-VLOOKUP($A124,[1]Hugst!$R$5:$W$9,MATCH(ROUNDUP((Z$1)/10,0)*10,[1]Hugst!$R$4:$W$4,0))))</f>
        <v>0</v>
      </c>
      <c r="AA124" s="168">
        <f ca="1">IF($C124-AA$1&lt;År1,0,Z123*(1-VLOOKUP($A124,[1]Hugst!$R$5:$W$9,MATCH(ROUNDUP((AA$1)/10,0)*10,[1]Hugst!$R$4:$W$4,0))))</f>
        <v>0</v>
      </c>
      <c r="AB124" s="168">
        <f ca="1">IF($C124-AB$1&lt;År1,0,AA123*(1-VLOOKUP($A124,[1]Hugst!$R$5:$W$9,MATCH(ROUNDUP((AB$1)/10,0)*10,[1]Hugst!$R$4:$W$4,0))))</f>
        <v>0</v>
      </c>
      <c r="AC124" s="168">
        <f ca="1">IF($C124-AC$1&lt;År1,0,AB123*(1-VLOOKUP($A124,[1]Hugst!$R$5:$W$9,MATCH(ROUNDUP((AC$1)/10,0)*10,[1]Hugst!$R$4:$W$4,0))))</f>
        <v>0</v>
      </c>
      <c r="AD124" s="168">
        <f ca="1">IF($C124-AD$1&lt;År1,0,AC123*(1-VLOOKUP($A124,[1]Hugst!$R$5:$W$9,MATCH(ROUNDUP((AD$1)/10,0)*10,[1]Hugst!$R$4:$W$4,0))))</f>
        <v>0</v>
      </c>
      <c r="AE124" s="168">
        <f ca="1">IF($C124-AE$1&lt;År1,0,AD123*(1-VLOOKUP($A124,[1]Hugst!$R$5:$W$9,MATCH(ROUNDUP((AE$1)/10,0)*10,[1]Hugst!$R$4:$W$4,0))))</f>
        <v>0</v>
      </c>
      <c r="AF124" s="168">
        <f ca="1">IF($C124-AF$1&lt;År1,0,AE123*(1-VLOOKUP($A124,[1]Hugst!$R$5:$W$9,MATCH(ROUNDUP((AF$1)/10,0)*10,[1]Hugst!$R$4:$W$4,0))))</f>
        <v>0</v>
      </c>
      <c r="AG124" s="168">
        <f ca="1">IF($C124-AG$1&lt;År1,0,AF123*(1-VLOOKUP($A124,[1]Hugst!$R$5:$W$9,MATCH(ROUNDUP((AG$1)/10,0)*10,[1]Hugst!$R$4:$W$4,0))))</f>
        <v>0</v>
      </c>
      <c r="AH124" s="168">
        <f ca="1">IF($C124-AH$1&lt;År1,0,AG123*(1-VLOOKUP($A124,[1]Hugst!$R$5:$W$9,MATCH(ROUNDUP((AH$1)/10,0)*10,[1]Hugst!$R$4:$W$4,0))))</f>
        <v>0</v>
      </c>
      <c r="AI124" s="168">
        <f ca="1">IF($C124-AI$1&lt;År1,0,AH123*(1-VLOOKUP($A124,[1]Hugst!$R$5:$W$9,MATCH(ROUNDUP((AI$1)/10,0)*10,[1]Hugst!$R$4:$W$4,0))))</f>
        <v>0</v>
      </c>
      <c r="AJ124" s="168">
        <f>IF($C124-AJ$1&lt;År1,0,AI123*(1-VLOOKUP($A124,[1]Hugst!$R$5:$W$9,MATCH(ROUNDUP((AJ$1)/10,0)*10,[1]Hugst!$R$4:$W$4,0))))</f>
        <v>0</v>
      </c>
    </row>
    <row r="125" spans="1:38" s="168" customFormat="1" x14ac:dyDescent="0.25">
      <c r="A125" s="168" t="s">
        <v>177</v>
      </c>
      <c r="B125" s="168" t="s">
        <v>24</v>
      </c>
      <c r="C125" s="168">
        <v>2050</v>
      </c>
      <c r="D125" s="168" cm="1">
        <f t="array" ref="D125">(IF(B125="Vestdanmark",Skovbrug!$C$22-(Skovbrug!$C$22)*(1-Skovbrug!$C$9)^(C125-Skovbrug!$B$12),Skovbrug!$F$22-(Skovbrug!$F$22)*(1-Skovbrug!$C$9)^(C125-Skovbrug!$B$12))*VLOOKUP(A125,Skovbrug!$A$13:$D$17,IF('Skovbrug-alder'!C125&lt;=År2,3,4),FALSE)-IF(C125&gt;2020,SUM(INDEX($C$1:$D$311,MATCH(1,(2020=$C$1:$C$311)*(B125=$B$1:$B$311)*(A125=$A$1:$A$311),0),2):D124),0))</f>
        <v>0</v>
      </c>
      <c r="E125" s="168">
        <f ca="1">IF(C125=2020,SUM(G125:AJ125),SUM(F124:AJ124)-SUM(G125:AJ125))</f>
        <v>0</v>
      </c>
      <c r="F125" s="168">
        <f ca="1">IF(C125&lt;=År2,IF(B125="Vestdanmark",(Arealanvendelse!$M$27-Arealanvendelse!$J$27),(Arealanvendelse!$M$37-Arealanvendelse!$J$37))/(Arealanvendelse!$M$3-Arealanvendelse!$J$3),IF(B125="Vestdanmark",(Arealanvendelse!$P$27-Arealanvendelse!$M$27),(Arealanvendelse!$P$37-Arealanvendelse!$M$37))/(Arealanvendelse!$P$3-Arealanvendelse!$M$3))*VLOOKUP(A125,Skovbrug!$A$13:$D$17,IF('Skovbrug-alder'!C125&lt;=År2,3,4),FALSE)+D125+E125</f>
        <v>0</v>
      </c>
      <c r="G125" s="168">
        <f ca="1">IF($C125-G$1&lt;År1,0,F124*(1-VLOOKUP($A125,[1]Hugst!$R$5:$W$9,MATCH(ROUNDUP((G$1)/10,0)*10,[1]Hugst!$R$4:$W$4,0))))</f>
        <v>0</v>
      </c>
      <c r="H125" s="168">
        <f ca="1">IF($C125-H$1&lt;År1,0,G124*(1-VLOOKUP($A125,[1]Hugst!$R$5:$W$9,MATCH(ROUNDUP((H$1)/10,0)*10,[1]Hugst!$R$4:$W$4,0))))</f>
        <v>0</v>
      </c>
      <c r="I125" s="168">
        <f ca="1">IF($C125-I$1&lt;År1,0,H124*(1-VLOOKUP($A125,[1]Hugst!$R$5:$W$9,MATCH(ROUNDUP((I$1)/10,0)*10,[1]Hugst!$R$4:$W$4,0))))</f>
        <v>0</v>
      </c>
      <c r="J125" s="168">
        <f ca="1">IF($C125-J$1&lt;År1,0,I124*(1-VLOOKUP($A125,[1]Hugst!$R$5:$W$9,MATCH(ROUNDUP((J$1)/10,0)*10,[1]Hugst!$R$4:$W$4,0))))</f>
        <v>0</v>
      </c>
      <c r="K125" s="168">
        <f ca="1">IF($C125-K$1&lt;År1,0,J124*(1-VLOOKUP($A125,[1]Hugst!$R$5:$W$9,MATCH(ROUNDUP((K$1)/10,0)*10,[1]Hugst!$R$4:$W$4,0))))</f>
        <v>0</v>
      </c>
      <c r="L125" s="168">
        <f ca="1">IF($C125-L$1&lt;År1,0,K124*(1-VLOOKUP($A125,[1]Hugst!$R$5:$W$9,MATCH(ROUNDUP((L$1)/10,0)*10,[1]Hugst!$R$4:$W$4,0))))</f>
        <v>0</v>
      </c>
      <c r="M125" s="168">
        <f ca="1">IF($C125-M$1&lt;År1,0,L124*(1-VLOOKUP($A125,[1]Hugst!$R$5:$W$9,MATCH(ROUNDUP((M$1)/10,0)*10,[1]Hugst!$R$4:$W$4,0))))</f>
        <v>0</v>
      </c>
      <c r="N125" s="168">
        <f ca="1">IF($C125-N$1&lt;År1,0,M124*(1-VLOOKUP($A125,[1]Hugst!$R$5:$W$9,MATCH(ROUNDUP((N$1)/10,0)*10,[1]Hugst!$R$4:$W$4,0))))</f>
        <v>0</v>
      </c>
      <c r="O125" s="168">
        <f ca="1">IF($C125-O$1&lt;År1,0,N124*(1-VLOOKUP($A125,[1]Hugst!$R$5:$W$9,MATCH(ROUNDUP((O$1)/10,0)*10,[1]Hugst!$R$4:$W$4,0))))</f>
        <v>0</v>
      </c>
      <c r="P125" s="168">
        <f ca="1">IF($C125-P$1&lt;År1,0,O124*(1-VLOOKUP($A125,[1]Hugst!$R$5:$W$9,MATCH(ROUNDUP((P$1)/10,0)*10,[1]Hugst!$R$4:$W$4,0))))</f>
        <v>0</v>
      </c>
      <c r="Q125" s="168">
        <f ca="1">IF($C125-Q$1&lt;År1,0,P124*(1-VLOOKUP($A125,[1]Hugst!$R$5:$W$9,MATCH(ROUNDUP((Q$1)/10,0)*10,[1]Hugst!$R$4:$W$4,0))))</f>
        <v>0</v>
      </c>
      <c r="R125" s="168">
        <f ca="1">IF($C125-R$1&lt;År1,0,Q124*(1-VLOOKUP($A125,[1]Hugst!$R$5:$W$9,MATCH(ROUNDUP((R$1)/10,0)*10,[1]Hugst!$R$4:$W$4,0))))</f>
        <v>0</v>
      </c>
      <c r="S125" s="168">
        <f ca="1">IF($C125-S$1&lt;År1,0,R124*(1-VLOOKUP($A125,[1]Hugst!$R$5:$W$9,MATCH(ROUNDUP((S$1)/10,0)*10,[1]Hugst!$R$4:$W$4,0))))</f>
        <v>0</v>
      </c>
      <c r="T125" s="168">
        <f ca="1">IF($C125-T$1&lt;År1,0,S124*(1-VLOOKUP($A125,[1]Hugst!$R$5:$W$9,MATCH(ROUNDUP((T$1)/10,0)*10,[1]Hugst!$R$4:$W$4,0))))</f>
        <v>0</v>
      </c>
      <c r="U125" s="168">
        <f ca="1">IF($C125-U$1&lt;År1,0,T124*(1-VLOOKUP($A125,[1]Hugst!$R$5:$W$9,MATCH(ROUNDUP((U$1)/10,0)*10,[1]Hugst!$R$4:$W$4,0))))</f>
        <v>0</v>
      </c>
      <c r="V125" s="168">
        <f ca="1">IF($C125-V$1&lt;År1,0,U124*(1-VLOOKUP($A125,[1]Hugst!$R$5:$W$9,MATCH(ROUNDUP((V$1)/10,0)*10,[1]Hugst!$R$4:$W$4,0))))</f>
        <v>0</v>
      </c>
      <c r="W125" s="168">
        <f ca="1">IF($C125-W$1&lt;År1,0,V124*(1-VLOOKUP($A125,[1]Hugst!$R$5:$W$9,MATCH(ROUNDUP((W$1)/10,0)*10,[1]Hugst!$R$4:$W$4,0))))</f>
        <v>0</v>
      </c>
      <c r="X125" s="168">
        <f ca="1">IF($C125-X$1&lt;År1,0,W124*(1-VLOOKUP($A125,[1]Hugst!$R$5:$W$9,MATCH(ROUNDUP((X$1)/10,0)*10,[1]Hugst!$R$4:$W$4,0))))</f>
        <v>0</v>
      </c>
      <c r="Y125" s="168">
        <f ca="1">IF($C125-Y$1&lt;År1,0,X124*(1-VLOOKUP($A125,[1]Hugst!$R$5:$W$9,MATCH(ROUNDUP((Y$1)/10,0)*10,[1]Hugst!$R$4:$W$4,0))))</f>
        <v>0</v>
      </c>
      <c r="Z125" s="168">
        <f ca="1">IF($C125-Z$1&lt;År1,0,Y124*(1-VLOOKUP($A125,[1]Hugst!$R$5:$W$9,MATCH(ROUNDUP((Z$1)/10,0)*10,[1]Hugst!$R$4:$W$4,0))))</f>
        <v>0</v>
      </c>
      <c r="AA125" s="168">
        <f ca="1">IF($C125-AA$1&lt;År1,0,Z124*(1-VLOOKUP($A125,[1]Hugst!$R$5:$W$9,MATCH(ROUNDUP((AA$1)/10,0)*10,[1]Hugst!$R$4:$W$4,0))))</f>
        <v>0</v>
      </c>
      <c r="AB125" s="168">
        <f ca="1">IF($C125-AB$1&lt;År1,0,AA124*(1-VLOOKUP($A125,[1]Hugst!$R$5:$W$9,MATCH(ROUNDUP((AB$1)/10,0)*10,[1]Hugst!$R$4:$W$4,0))))</f>
        <v>0</v>
      </c>
      <c r="AC125" s="168">
        <f ca="1">IF($C125-AC$1&lt;År1,0,AB124*(1-VLOOKUP($A125,[1]Hugst!$R$5:$W$9,MATCH(ROUNDUP((AC$1)/10,0)*10,[1]Hugst!$R$4:$W$4,0))))</f>
        <v>0</v>
      </c>
      <c r="AD125" s="168">
        <f ca="1">IF($C125-AD$1&lt;År1,0,AC124*(1-VLOOKUP($A125,[1]Hugst!$R$5:$W$9,MATCH(ROUNDUP((AD$1)/10,0)*10,[1]Hugst!$R$4:$W$4,0))))</f>
        <v>0</v>
      </c>
      <c r="AE125" s="168">
        <f ca="1">IF($C125-AE$1&lt;År1,0,AD124*(1-VLOOKUP($A125,[1]Hugst!$R$5:$W$9,MATCH(ROUNDUP((AE$1)/10,0)*10,[1]Hugst!$R$4:$W$4,0))))</f>
        <v>0</v>
      </c>
      <c r="AF125" s="168">
        <f ca="1">IF($C125-AF$1&lt;År1,0,AE124*(1-VLOOKUP($A125,[1]Hugst!$R$5:$W$9,MATCH(ROUNDUP((AF$1)/10,0)*10,[1]Hugst!$R$4:$W$4,0))))</f>
        <v>0</v>
      </c>
      <c r="AG125" s="168">
        <f ca="1">IF($C125-AG$1&lt;År1,0,AF124*(1-VLOOKUP($A125,[1]Hugst!$R$5:$W$9,MATCH(ROUNDUP((AG$1)/10,0)*10,[1]Hugst!$R$4:$W$4,0))))</f>
        <v>0</v>
      </c>
      <c r="AH125" s="168">
        <f ca="1">IF($C125-AH$1&lt;År1,0,AG124*(1-VLOOKUP($A125,[1]Hugst!$R$5:$W$9,MATCH(ROUNDUP((AH$1)/10,0)*10,[1]Hugst!$R$4:$W$4,0))))</f>
        <v>0</v>
      </c>
      <c r="AI125" s="168">
        <f ca="1">IF($C125-AI$1&lt;År1,0,AH124*(1-VLOOKUP($A125,[1]Hugst!$R$5:$W$9,MATCH(ROUNDUP((AI$1)/10,0)*10,[1]Hugst!$R$4:$W$4,0))))</f>
        <v>0</v>
      </c>
      <c r="AJ125" s="168">
        <f ca="1">IF($C125-AJ$1&lt;År1,0,AI124*(1-VLOOKUP($A125,[1]Hugst!$R$5:$W$9,MATCH(ROUNDUP((AJ$1)/10,0)*10,[1]Hugst!$R$4:$W$4,0))))</f>
        <v>0</v>
      </c>
      <c r="AL125" s="168">
        <f ca="1">SUM(F125:AJ125)</f>
        <v>0</v>
      </c>
    </row>
    <row r="126" spans="1:38" x14ac:dyDescent="0.25">
      <c r="A126" s="168" t="s">
        <v>178</v>
      </c>
      <c r="B126" s="168" t="s">
        <v>23</v>
      </c>
      <c r="C126" s="168">
        <v>2020</v>
      </c>
      <c r="D126" s="168" cm="1">
        <f t="array" ref="D126">(IF(B126="Vestdanmark",Skovbrug!$C$22-(Skovbrug!$C$22)*(1-Skovbrug!$C$9)^(C126-Skovbrug!$B$12),Skovbrug!$F$22-(Skovbrug!$F$22)*(1-Skovbrug!$C$9)^(C126-Skovbrug!$B$12))*VLOOKUP(A126,Skovbrug!$A$13:$D$17,IF('Skovbrug-alder'!C126&lt;=År2,3,4),FALSE)-IF(C126&gt;2020,SUM(INDEX($C$1:$D$311,MATCH(1,(2020=$C$1:$C$311)*(B126=$B$1:$B$311)*(A126=$A$1:$A$311),0),2):D125),0))</f>
        <v>0</v>
      </c>
      <c r="E126" s="168">
        <f t="shared" ref="E126:E187" si="3">IF(C126=2020,SUM(G126:AJ126),SUM(F125:AJ125)-SUM(G126:AJ126))</f>
        <v>0</v>
      </c>
      <c r="F126" s="168">
        <f>IF(C126&lt;=År2,IF(B126="Vestdanmark",(Arealanvendelse!$M$27-Arealanvendelse!$J$27),(Arealanvendelse!$M$37-Arealanvendelse!$J$37))/(Arealanvendelse!$M$3-Arealanvendelse!$J$3),IF(B126="Vestdanmark",(Arealanvendelse!$P$27-Arealanvendelse!$M$27),(Arealanvendelse!$P$37-Arealanvendelse!$M$37))/(Arealanvendelse!$P$3-Arealanvendelse!$M$3))*VLOOKUP(A126,Skovbrug!$A$13:$D$17,IF('Skovbrug-alder'!C126&lt;=År2,3,4),FALSE)+D126+E126</f>
        <v>0</v>
      </c>
      <c r="G126" s="168">
        <f>IF($C126-G$1&lt;År1,0,F125*(1-VLOOKUP($A126,[1]Hugst!$R$5:$W$9,MATCH(ROUNDUP((G$1)/10,0)*10,[1]Hugst!$R$4:$W$4,0))))</f>
        <v>0</v>
      </c>
      <c r="H126" s="168">
        <f>IF($C126-H$1&lt;År1,0,G125*(1-VLOOKUP($A126,[1]Hugst!$R$5:$W$9,MATCH(ROUNDUP((H$1)/10,0)*10,[1]Hugst!$R$4:$W$4,0))))</f>
        <v>0</v>
      </c>
      <c r="I126" s="168">
        <f>IF($C126-I$1&lt;År1,0,H125*(1-VLOOKUP($A126,[1]Hugst!$R$5:$W$9,MATCH(ROUNDUP((I$1)/10,0)*10,[1]Hugst!$R$4:$W$4,0))))</f>
        <v>0</v>
      </c>
      <c r="J126" s="168">
        <f>IF($C126-J$1&lt;År1,0,I125*(1-VLOOKUP($A126,[1]Hugst!$R$5:$W$9,MATCH(ROUNDUP((J$1)/10,0)*10,[1]Hugst!$R$4:$W$4,0))))</f>
        <v>0</v>
      </c>
      <c r="K126" s="168">
        <f>IF($C126-K$1&lt;År1,0,J125*(1-VLOOKUP($A126,[1]Hugst!$R$5:$W$9,MATCH(ROUNDUP((K$1)/10,0)*10,[1]Hugst!$R$4:$W$4,0))))</f>
        <v>0</v>
      </c>
      <c r="L126" s="168">
        <f>IF($C126-L$1&lt;År1,0,K125*(1-VLOOKUP($A126,[1]Hugst!$R$5:$W$9,MATCH(ROUNDUP((L$1)/10,0)*10,[1]Hugst!$R$4:$W$4,0))))</f>
        <v>0</v>
      </c>
      <c r="M126" s="168">
        <f>IF($C126-M$1&lt;År1,0,L125*(1-VLOOKUP($A126,[1]Hugst!$R$5:$W$9,MATCH(ROUNDUP((M$1)/10,0)*10,[1]Hugst!$R$4:$W$4,0))))</f>
        <v>0</v>
      </c>
      <c r="N126" s="168">
        <f>IF($C126-N$1&lt;År1,0,M125*(1-VLOOKUP($A126,[1]Hugst!$R$5:$W$9,MATCH(ROUNDUP((N$1)/10,0)*10,[1]Hugst!$R$4:$W$4,0))))</f>
        <v>0</v>
      </c>
      <c r="O126" s="168">
        <f>IF($C126-O$1&lt;År1,0,N125*(1-VLOOKUP($A126,[1]Hugst!$R$5:$W$9,MATCH(ROUNDUP((O$1)/10,0)*10,[1]Hugst!$R$4:$W$4,0))))</f>
        <v>0</v>
      </c>
      <c r="P126" s="168">
        <f>IF($C126-P$1&lt;År1,0,O125*(1-VLOOKUP($A126,[1]Hugst!$R$5:$W$9,MATCH(ROUNDUP((P$1)/10,0)*10,[1]Hugst!$R$4:$W$4,0))))</f>
        <v>0</v>
      </c>
      <c r="Q126" s="168">
        <f>IF($C126-Q$1&lt;År1,0,P125*(1-VLOOKUP($A126,[1]Hugst!$R$5:$W$9,MATCH(ROUNDUP((Q$1)/10,0)*10,[1]Hugst!$R$4:$W$4,0))))</f>
        <v>0</v>
      </c>
      <c r="R126" s="168">
        <f>IF($C126-R$1&lt;År1,0,Q125*(1-VLOOKUP($A126,[1]Hugst!$R$5:$W$9,MATCH(ROUNDUP((R$1)/10,0)*10,[1]Hugst!$R$4:$W$4,0))))</f>
        <v>0</v>
      </c>
      <c r="S126" s="168">
        <f>IF($C126-S$1&lt;År1,0,R125*(1-VLOOKUP($A126,[1]Hugst!$R$5:$W$9,MATCH(ROUNDUP((S$1)/10,0)*10,[1]Hugst!$R$4:$W$4,0))))</f>
        <v>0</v>
      </c>
      <c r="T126" s="168">
        <f>IF($C126-T$1&lt;År1,0,S125*(1-VLOOKUP($A126,[1]Hugst!$R$5:$W$9,MATCH(ROUNDUP((T$1)/10,0)*10,[1]Hugst!$R$4:$W$4,0))))</f>
        <v>0</v>
      </c>
      <c r="U126" s="168">
        <f>IF($C126-U$1&lt;År1,0,T125*(1-VLOOKUP($A126,[1]Hugst!$R$5:$W$9,MATCH(ROUNDUP((U$1)/10,0)*10,[1]Hugst!$R$4:$W$4,0))))</f>
        <v>0</v>
      </c>
      <c r="V126" s="168">
        <f>IF($C126-V$1&lt;År1,0,U125*(1-VLOOKUP($A126,[1]Hugst!$R$5:$W$9,MATCH(ROUNDUP((V$1)/10,0)*10,[1]Hugst!$R$4:$W$4,0))))</f>
        <v>0</v>
      </c>
      <c r="W126" s="168">
        <f>IF($C126-W$1&lt;År1,0,V125*(1-VLOOKUP($A126,[1]Hugst!$R$5:$W$9,MATCH(ROUNDUP((W$1)/10,0)*10,[1]Hugst!$R$4:$W$4,0))))</f>
        <v>0</v>
      </c>
      <c r="X126" s="168">
        <f>IF($C126-X$1&lt;År1,0,W125*(1-VLOOKUP($A126,[1]Hugst!$R$5:$W$9,MATCH(ROUNDUP((X$1)/10,0)*10,[1]Hugst!$R$4:$W$4,0))))</f>
        <v>0</v>
      </c>
      <c r="Y126" s="168">
        <f>IF($C126-Y$1&lt;År1,0,X125*(1-VLOOKUP($A126,[1]Hugst!$R$5:$W$9,MATCH(ROUNDUP((Y$1)/10,0)*10,[1]Hugst!$R$4:$W$4,0))))</f>
        <v>0</v>
      </c>
      <c r="Z126" s="168">
        <f>IF($C126-Z$1&lt;År1,0,Y125*(1-VLOOKUP($A126,[1]Hugst!$R$5:$W$9,MATCH(ROUNDUP((Z$1)/10,0)*10,[1]Hugst!$R$4:$W$4,0))))</f>
        <v>0</v>
      </c>
      <c r="AA126" s="168">
        <f>IF($C126-AA$1&lt;År1,0,Z125*(1-VLOOKUP($A126,[1]Hugst!$R$5:$W$9,MATCH(ROUNDUP((AA$1)/10,0)*10,[1]Hugst!$R$4:$W$4,0))))</f>
        <v>0</v>
      </c>
      <c r="AB126" s="168">
        <f>IF($C126-AB$1&lt;År1,0,AA125*(1-VLOOKUP($A126,[1]Hugst!$R$5:$W$9,MATCH(ROUNDUP((AB$1)/10,0)*10,[1]Hugst!$R$4:$W$4,0))))</f>
        <v>0</v>
      </c>
      <c r="AC126" s="168">
        <f>IF($C126-AC$1&lt;År1,0,AB125*(1-VLOOKUP($A126,[1]Hugst!$R$5:$W$9,MATCH(ROUNDUP((AC$1)/10,0)*10,[1]Hugst!$R$4:$W$4,0))))</f>
        <v>0</v>
      </c>
      <c r="AD126" s="168">
        <f>IF($C126-AD$1&lt;År1,0,AC125*(1-VLOOKUP($A126,[1]Hugst!$R$5:$W$9,MATCH(ROUNDUP((AD$1)/10,0)*10,[1]Hugst!$R$4:$W$4,0))))</f>
        <v>0</v>
      </c>
      <c r="AE126" s="168">
        <f>IF($C126-AE$1&lt;År1,0,AD125*(1-VLOOKUP($A126,[1]Hugst!$R$5:$W$9,MATCH(ROUNDUP((AE$1)/10,0)*10,[1]Hugst!$R$4:$W$4,0))))</f>
        <v>0</v>
      </c>
      <c r="AF126" s="168">
        <f>IF($C126-AF$1&lt;År1,0,AE125*(1-VLOOKUP($A126,[1]Hugst!$R$5:$W$9,MATCH(ROUNDUP((AF$1)/10,0)*10,[1]Hugst!$R$4:$W$4,0))))</f>
        <v>0</v>
      </c>
      <c r="AG126" s="168">
        <f>IF($C126-AG$1&lt;År1,0,AF125*(1-VLOOKUP($A126,[1]Hugst!$R$5:$W$9,MATCH(ROUNDUP((AG$1)/10,0)*10,[1]Hugst!$R$4:$W$4,0))))</f>
        <v>0</v>
      </c>
      <c r="AH126" s="168">
        <f>IF($C126-AH$1&lt;År1,0,AG125*(1-VLOOKUP($A126,[1]Hugst!$R$5:$W$9,MATCH(ROUNDUP((AH$1)/10,0)*10,[1]Hugst!$R$4:$W$4,0))))</f>
        <v>0</v>
      </c>
      <c r="AI126" s="168">
        <f>IF($C126-AI$1&lt;År1,0,AH125*(1-VLOOKUP($A126,[1]Hugst!$R$5:$W$9,MATCH(ROUNDUP((AI$1)/10,0)*10,[1]Hugst!$R$4:$W$4,0))))</f>
        <v>0</v>
      </c>
      <c r="AJ126" s="168">
        <f>IF($C126-AJ$1&lt;År1,0,AI125*(1-VLOOKUP($A126,[1]Hugst!$R$5:$W$9,MATCH(ROUNDUP((AJ$1)/10,0)*10,[1]Hugst!$R$4:$W$4,0))))</f>
        <v>0</v>
      </c>
      <c r="AL126">
        <f>SUM(Skovbrug!E22,Skovbrug!H22)</f>
        <v>481469.23000787059</v>
      </c>
    </row>
    <row r="127" spans="1:38" x14ac:dyDescent="0.25">
      <c r="A127" s="168" t="s">
        <v>178</v>
      </c>
      <c r="B127" s="168" t="s">
        <v>23</v>
      </c>
      <c r="C127" s="168">
        <v>2021</v>
      </c>
      <c r="D127" s="168" cm="1">
        <f t="array" ref="D127">(IF(B127="Vestdanmark",Skovbrug!$C$22-(Skovbrug!$C$22)*(1-Skovbrug!$C$9)^(C127-Skovbrug!$B$12),Skovbrug!$F$22-(Skovbrug!$F$22)*(1-Skovbrug!$C$9)^(C127-Skovbrug!$B$12))*VLOOKUP(A127,Skovbrug!$A$13:$D$17,IF('Skovbrug-alder'!C127&lt;=År2,3,4),FALSE)-IF(C127&gt;2020,SUM(INDEX($C$1:$D$311,MATCH(1,(2020=$C$1:$C$311)*(B127=$B$1:$B$311)*(A127=$A$1:$A$311),0),2):D126),0))</f>
        <v>0</v>
      </c>
      <c r="E127" s="168">
        <f t="shared" ca="1" si="3"/>
        <v>0</v>
      </c>
      <c r="F127" s="168">
        <f ca="1">IF(C127&lt;=År2,IF(B127="Vestdanmark",(Arealanvendelse!$M$27-Arealanvendelse!$J$27),(Arealanvendelse!$M$37-Arealanvendelse!$J$37))/(Arealanvendelse!$M$3-Arealanvendelse!$J$3),IF(B127="Vestdanmark",(Arealanvendelse!$P$27-Arealanvendelse!$M$27),(Arealanvendelse!$P$37-Arealanvendelse!$M$37))/(Arealanvendelse!$P$3-Arealanvendelse!$M$3))*VLOOKUP(A127,Skovbrug!$A$13:$D$17,IF('Skovbrug-alder'!C127&lt;=År2,3,4),FALSE)+D127+E127</f>
        <v>0</v>
      </c>
      <c r="G127" s="168">
        <f ca="1">IF($C127-G$1&lt;År1,0,F126*(1-VLOOKUP($A127,[1]Hugst!$R$5:$W$9,MATCH(ROUNDUP((G$1)/10,0)*10,[1]Hugst!$R$4:$W$4,0))))</f>
        <v>0</v>
      </c>
      <c r="H127" s="168">
        <f>IF($C127-H$1&lt;År1,0,G126*(1-VLOOKUP($A127,[1]Hugst!$R$5:$W$9,MATCH(ROUNDUP((H$1)/10,0)*10,[1]Hugst!$R$4:$W$4,0))))</f>
        <v>0</v>
      </c>
      <c r="I127" s="168">
        <f>IF($C127-I$1&lt;År1,0,H126*(1-VLOOKUP($A127,[1]Hugst!$R$5:$W$9,MATCH(ROUNDUP((I$1)/10,0)*10,[1]Hugst!$R$4:$W$4,0))))</f>
        <v>0</v>
      </c>
      <c r="J127" s="168">
        <f>IF($C127-J$1&lt;År1,0,I126*(1-VLOOKUP($A127,[1]Hugst!$R$5:$W$9,MATCH(ROUNDUP((J$1)/10,0)*10,[1]Hugst!$R$4:$W$4,0))))</f>
        <v>0</v>
      </c>
      <c r="K127" s="168">
        <f>IF($C127-K$1&lt;År1,0,J126*(1-VLOOKUP($A127,[1]Hugst!$R$5:$W$9,MATCH(ROUNDUP((K$1)/10,0)*10,[1]Hugst!$R$4:$W$4,0))))</f>
        <v>0</v>
      </c>
      <c r="L127" s="168">
        <f>IF($C127-L$1&lt;År1,0,K126*(1-VLOOKUP($A127,[1]Hugst!$R$5:$W$9,MATCH(ROUNDUP((L$1)/10,0)*10,[1]Hugst!$R$4:$W$4,0))))</f>
        <v>0</v>
      </c>
      <c r="M127" s="168">
        <f>IF($C127-M$1&lt;År1,0,L126*(1-VLOOKUP($A127,[1]Hugst!$R$5:$W$9,MATCH(ROUNDUP((M$1)/10,0)*10,[1]Hugst!$R$4:$W$4,0))))</f>
        <v>0</v>
      </c>
      <c r="N127" s="168">
        <f>IF($C127-N$1&lt;År1,0,M126*(1-VLOOKUP($A127,[1]Hugst!$R$5:$W$9,MATCH(ROUNDUP((N$1)/10,0)*10,[1]Hugst!$R$4:$W$4,0))))</f>
        <v>0</v>
      </c>
      <c r="O127" s="168">
        <f>IF($C127-O$1&lt;År1,0,N126*(1-VLOOKUP($A127,[1]Hugst!$R$5:$W$9,MATCH(ROUNDUP((O$1)/10,0)*10,[1]Hugst!$R$4:$W$4,0))))</f>
        <v>0</v>
      </c>
      <c r="P127" s="168">
        <f>IF($C127-P$1&lt;År1,0,O126*(1-VLOOKUP($A127,[1]Hugst!$R$5:$W$9,MATCH(ROUNDUP((P$1)/10,0)*10,[1]Hugst!$R$4:$W$4,0))))</f>
        <v>0</v>
      </c>
      <c r="Q127" s="168">
        <f>IF($C127-Q$1&lt;År1,0,P126*(1-VLOOKUP($A127,[1]Hugst!$R$5:$W$9,MATCH(ROUNDUP((Q$1)/10,0)*10,[1]Hugst!$R$4:$W$4,0))))</f>
        <v>0</v>
      </c>
      <c r="R127" s="168">
        <f>IF($C127-R$1&lt;År1,0,Q126*(1-VLOOKUP($A127,[1]Hugst!$R$5:$W$9,MATCH(ROUNDUP((R$1)/10,0)*10,[1]Hugst!$R$4:$W$4,0))))</f>
        <v>0</v>
      </c>
      <c r="S127" s="168">
        <f>IF($C127-S$1&lt;År1,0,R126*(1-VLOOKUP($A127,[1]Hugst!$R$5:$W$9,MATCH(ROUNDUP((S$1)/10,0)*10,[1]Hugst!$R$4:$W$4,0))))</f>
        <v>0</v>
      </c>
      <c r="T127" s="168">
        <f>IF($C127-T$1&lt;År1,0,S126*(1-VLOOKUP($A127,[1]Hugst!$R$5:$W$9,MATCH(ROUNDUP((T$1)/10,0)*10,[1]Hugst!$R$4:$W$4,0))))</f>
        <v>0</v>
      </c>
      <c r="U127" s="168">
        <f>IF($C127-U$1&lt;År1,0,T126*(1-VLOOKUP($A127,[1]Hugst!$R$5:$W$9,MATCH(ROUNDUP((U$1)/10,0)*10,[1]Hugst!$R$4:$W$4,0))))</f>
        <v>0</v>
      </c>
      <c r="V127" s="168">
        <f>IF($C127-V$1&lt;År1,0,U126*(1-VLOOKUP($A127,[1]Hugst!$R$5:$W$9,MATCH(ROUNDUP((V$1)/10,0)*10,[1]Hugst!$R$4:$W$4,0))))</f>
        <v>0</v>
      </c>
      <c r="W127" s="168">
        <f>IF($C127-W$1&lt;År1,0,V126*(1-VLOOKUP($A127,[1]Hugst!$R$5:$W$9,MATCH(ROUNDUP((W$1)/10,0)*10,[1]Hugst!$R$4:$W$4,0))))</f>
        <v>0</v>
      </c>
      <c r="X127" s="168">
        <f>IF($C127-X$1&lt;År1,0,W126*(1-VLOOKUP($A127,[1]Hugst!$R$5:$W$9,MATCH(ROUNDUP((X$1)/10,0)*10,[1]Hugst!$R$4:$W$4,0))))</f>
        <v>0</v>
      </c>
      <c r="Y127" s="168">
        <f>IF($C127-Y$1&lt;År1,0,X126*(1-VLOOKUP($A127,[1]Hugst!$R$5:$W$9,MATCH(ROUNDUP((Y$1)/10,0)*10,[1]Hugst!$R$4:$W$4,0))))</f>
        <v>0</v>
      </c>
      <c r="Z127" s="168">
        <f>IF($C127-Z$1&lt;År1,0,Y126*(1-VLOOKUP($A127,[1]Hugst!$R$5:$W$9,MATCH(ROUNDUP((Z$1)/10,0)*10,[1]Hugst!$R$4:$W$4,0))))</f>
        <v>0</v>
      </c>
      <c r="AA127" s="168">
        <f>IF($C127-AA$1&lt;År1,0,Z126*(1-VLOOKUP($A127,[1]Hugst!$R$5:$W$9,MATCH(ROUNDUP((AA$1)/10,0)*10,[1]Hugst!$R$4:$W$4,0))))</f>
        <v>0</v>
      </c>
      <c r="AB127" s="168">
        <f>IF($C127-AB$1&lt;År1,0,AA126*(1-VLOOKUP($A127,[1]Hugst!$R$5:$W$9,MATCH(ROUNDUP((AB$1)/10,0)*10,[1]Hugst!$R$4:$W$4,0))))</f>
        <v>0</v>
      </c>
      <c r="AC127" s="168">
        <f>IF($C127-AC$1&lt;År1,0,AB126*(1-VLOOKUP($A127,[1]Hugst!$R$5:$W$9,MATCH(ROUNDUP((AC$1)/10,0)*10,[1]Hugst!$R$4:$W$4,0))))</f>
        <v>0</v>
      </c>
      <c r="AD127" s="168">
        <f>IF($C127-AD$1&lt;År1,0,AC126*(1-VLOOKUP($A127,[1]Hugst!$R$5:$W$9,MATCH(ROUNDUP((AD$1)/10,0)*10,[1]Hugst!$R$4:$W$4,0))))</f>
        <v>0</v>
      </c>
      <c r="AE127" s="168">
        <f>IF($C127-AE$1&lt;År1,0,AD126*(1-VLOOKUP($A127,[1]Hugst!$R$5:$W$9,MATCH(ROUNDUP((AE$1)/10,0)*10,[1]Hugst!$R$4:$W$4,0))))</f>
        <v>0</v>
      </c>
      <c r="AF127" s="168">
        <f>IF($C127-AF$1&lt;År1,0,AE126*(1-VLOOKUP($A127,[1]Hugst!$R$5:$W$9,MATCH(ROUNDUP((AF$1)/10,0)*10,[1]Hugst!$R$4:$W$4,0))))</f>
        <v>0</v>
      </c>
      <c r="AG127" s="168">
        <f>IF($C127-AG$1&lt;År1,0,AF126*(1-VLOOKUP($A127,[1]Hugst!$R$5:$W$9,MATCH(ROUNDUP((AG$1)/10,0)*10,[1]Hugst!$R$4:$W$4,0))))</f>
        <v>0</v>
      </c>
      <c r="AH127" s="168">
        <f>IF($C127-AH$1&lt;År1,0,AG126*(1-VLOOKUP($A127,[1]Hugst!$R$5:$W$9,MATCH(ROUNDUP((AH$1)/10,0)*10,[1]Hugst!$R$4:$W$4,0))))</f>
        <v>0</v>
      </c>
      <c r="AI127" s="168">
        <f>IF($C127-AI$1&lt;År1,0,AH126*(1-VLOOKUP($A127,[1]Hugst!$R$5:$W$9,MATCH(ROUNDUP((AI$1)/10,0)*10,[1]Hugst!$R$4:$W$4,0))))</f>
        <v>0</v>
      </c>
      <c r="AJ127" s="168">
        <f>IF($C127-AJ$1&lt;År1,0,AI126*(1-VLOOKUP($A127,[1]Hugst!$R$5:$W$9,MATCH(ROUNDUP((AJ$1)/10,0)*10,[1]Hugst!$R$4:$W$4,0))))</f>
        <v>0</v>
      </c>
      <c r="AL127">
        <f ca="1">SUM(AL64:AL126)</f>
        <v>481469.23000787059</v>
      </c>
    </row>
    <row r="128" spans="1:38" x14ac:dyDescent="0.25">
      <c r="A128" s="168" t="s">
        <v>178</v>
      </c>
      <c r="B128" s="168" t="s">
        <v>23</v>
      </c>
      <c r="C128" s="168">
        <v>2022</v>
      </c>
      <c r="D128" s="168" cm="1">
        <f t="array" ref="D128">(IF(B128="Vestdanmark",Skovbrug!$C$22-(Skovbrug!$C$22)*(1-Skovbrug!$C$9)^(C128-Skovbrug!$B$12),Skovbrug!$F$22-(Skovbrug!$F$22)*(1-Skovbrug!$C$9)^(C128-Skovbrug!$B$12))*VLOOKUP(A128,Skovbrug!$A$13:$D$17,IF('Skovbrug-alder'!C128&lt;=År2,3,4),FALSE)-IF(C128&gt;2020,SUM(INDEX($C$1:$D$311,MATCH(1,(2020=$C$1:$C$311)*(B128=$B$1:$B$311)*(A128=$A$1:$A$311),0),2):D127),0))</f>
        <v>0</v>
      </c>
      <c r="E128" s="168">
        <f t="shared" ca="1" si="3"/>
        <v>0</v>
      </c>
      <c r="F128" s="168">
        <f ca="1">IF(C128&lt;=År2,IF(B128="Vestdanmark",(Arealanvendelse!$M$27-Arealanvendelse!$J$27),(Arealanvendelse!$M$37-Arealanvendelse!$J$37))/(Arealanvendelse!$M$3-Arealanvendelse!$J$3),IF(B128="Vestdanmark",(Arealanvendelse!$P$27-Arealanvendelse!$M$27),(Arealanvendelse!$P$37-Arealanvendelse!$M$37))/(Arealanvendelse!$P$3-Arealanvendelse!$M$3))*VLOOKUP(A128,Skovbrug!$A$13:$D$17,IF('Skovbrug-alder'!C128&lt;=År2,3,4),FALSE)+D128+E128</f>
        <v>0</v>
      </c>
      <c r="G128" s="168">
        <f ca="1">IF($C128-G$1&lt;År1,0,F127*(1-VLOOKUP($A128,[1]Hugst!$R$5:$W$9,MATCH(ROUNDUP((G$1)/10,0)*10,[1]Hugst!$R$4:$W$4,0))))</f>
        <v>0</v>
      </c>
      <c r="H128" s="168">
        <f ca="1">IF($C128-H$1&lt;År1,0,G127*(1-VLOOKUP($A128,[1]Hugst!$R$5:$W$9,MATCH(ROUNDUP((H$1)/10,0)*10,[1]Hugst!$R$4:$W$4,0))))</f>
        <v>0</v>
      </c>
      <c r="I128" s="168">
        <f>IF($C128-I$1&lt;År1,0,H127*(1-VLOOKUP($A128,[1]Hugst!$R$5:$W$9,MATCH(ROUNDUP((I$1)/10,0)*10,[1]Hugst!$R$4:$W$4,0))))</f>
        <v>0</v>
      </c>
      <c r="J128" s="168">
        <f>IF($C128-J$1&lt;År1,0,I127*(1-VLOOKUP($A128,[1]Hugst!$R$5:$W$9,MATCH(ROUNDUP((J$1)/10,0)*10,[1]Hugst!$R$4:$W$4,0))))</f>
        <v>0</v>
      </c>
      <c r="K128" s="168">
        <f>IF($C128-K$1&lt;År1,0,J127*(1-VLOOKUP($A128,[1]Hugst!$R$5:$W$9,MATCH(ROUNDUP((K$1)/10,0)*10,[1]Hugst!$R$4:$W$4,0))))</f>
        <v>0</v>
      </c>
      <c r="L128" s="168">
        <f>IF($C128-L$1&lt;År1,0,K127*(1-VLOOKUP($A128,[1]Hugst!$R$5:$W$9,MATCH(ROUNDUP((L$1)/10,0)*10,[1]Hugst!$R$4:$W$4,0))))</f>
        <v>0</v>
      </c>
      <c r="M128" s="168">
        <f>IF($C128-M$1&lt;År1,0,L127*(1-VLOOKUP($A128,[1]Hugst!$R$5:$W$9,MATCH(ROUNDUP((M$1)/10,0)*10,[1]Hugst!$R$4:$W$4,0))))</f>
        <v>0</v>
      </c>
      <c r="N128" s="168">
        <f>IF($C128-N$1&lt;År1,0,M127*(1-VLOOKUP($A128,[1]Hugst!$R$5:$W$9,MATCH(ROUNDUP((N$1)/10,0)*10,[1]Hugst!$R$4:$W$4,0))))</f>
        <v>0</v>
      </c>
      <c r="O128" s="168">
        <f>IF($C128-O$1&lt;År1,0,N127*(1-VLOOKUP($A128,[1]Hugst!$R$5:$W$9,MATCH(ROUNDUP((O$1)/10,0)*10,[1]Hugst!$R$4:$W$4,0))))</f>
        <v>0</v>
      </c>
      <c r="P128" s="168">
        <f>IF($C128-P$1&lt;År1,0,O127*(1-VLOOKUP($A128,[1]Hugst!$R$5:$W$9,MATCH(ROUNDUP((P$1)/10,0)*10,[1]Hugst!$R$4:$W$4,0))))</f>
        <v>0</v>
      </c>
      <c r="Q128" s="168">
        <f>IF($C128-Q$1&lt;År1,0,P127*(1-VLOOKUP($A128,[1]Hugst!$R$5:$W$9,MATCH(ROUNDUP((Q$1)/10,0)*10,[1]Hugst!$R$4:$W$4,0))))</f>
        <v>0</v>
      </c>
      <c r="R128" s="168">
        <f>IF($C128-R$1&lt;År1,0,Q127*(1-VLOOKUP($A128,[1]Hugst!$R$5:$W$9,MATCH(ROUNDUP((R$1)/10,0)*10,[1]Hugst!$R$4:$W$4,0))))</f>
        <v>0</v>
      </c>
      <c r="S128" s="168">
        <f>IF($C128-S$1&lt;År1,0,R127*(1-VLOOKUP($A128,[1]Hugst!$R$5:$W$9,MATCH(ROUNDUP((S$1)/10,0)*10,[1]Hugst!$R$4:$W$4,0))))</f>
        <v>0</v>
      </c>
      <c r="T128" s="168">
        <f>IF($C128-T$1&lt;År1,0,S127*(1-VLOOKUP($A128,[1]Hugst!$R$5:$W$9,MATCH(ROUNDUP((T$1)/10,0)*10,[1]Hugst!$R$4:$W$4,0))))</f>
        <v>0</v>
      </c>
      <c r="U128" s="168">
        <f>IF($C128-U$1&lt;År1,0,T127*(1-VLOOKUP($A128,[1]Hugst!$R$5:$W$9,MATCH(ROUNDUP((U$1)/10,0)*10,[1]Hugst!$R$4:$W$4,0))))</f>
        <v>0</v>
      </c>
      <c r="V128" s="168">
        <f>IF($C128-V$1&lt;År1,0,U127*(1-VLOOKUP($A128,[1]Hugst!$R$5:$W$9,MATCH(ROUNDUP((V$1)/10,0)*10,[1]Hugst!$R$4:$W$4,0))))</f>
        <v>0</v>
      </c>
      <c r="W128" s="168">
        <f>IF($C128-W$1&lt;År1,0,V127*(1-VLOOKUP($A128,[1]Hugst!$R$5:$W$9,MATCH(ROUNDUP((W$1)/10,0)*10,[1]Hugst!$R$4:$W$4,0))))</f>
        <v>0</v>
      </c>
      <c r="X128" s="168">
        <f>IF($C128-X$1&lt;År1,0,W127*(1-VLOOKUP($A128,[1]Hugst!$R$5:$W$9,MATCH(ROUNDUP((X$1)/10,0)*10,[1]Hugst!$R$4:$W$4,0))))</f>
        <v>0</v>
      </c>
      <c r="Y128" s="168">
        <f>IF($C128-Y$1&lt;År1,0,X127*(1-VLOOKUP($A128,[1]Hugst!$R$5:$W$9,MATCH(ROUNDUP((Y$1)/10,0)*10,[1]Hugst!$R$4:$W$4,0))))</f>
        <v>0</v>
      </c>
      <c r="Z128" s="168">
        <f>IF($C128-Z$1&lt;År1,0,Y127*(1-VLOOKUP($A128,[1]Hugst!$R$5:$W$9,MATCH(ROUNDUP((Z$1)/10,0)*10,[1]Hugst!$R$4:$W$4,0))))</f>
        <v>0</v>
      </c>
      <c r="AA128" s="168">
        <f>IF($C128-AA$1&lt;År1,0,Z127*(1-VLOOKUP($A128,[1]Hugst!$R$5:$W$9,MATCH(ROUNDUP((AA$1)/10,0)*10,[1]Hugst!$R$4:$W$4,0))))</f>
        <v>0</v>
      </c>
      <c r="AB128" s="168">
        <f>IF($C128-AB$1&lt;År1,0,AA127*(1-VLOOKUP($A128,[1]Hugst!$R$5:$W$9,MATCH(ROUNDUP((AB$1)/10,0)*10,[1]Hugst!$R$4:$W$4,0))))</f>
        <v>0</v>
      </c>
      <c r="AC128" s="168">
        <f>IF($C128-AC$1&lt;År1,0,AB127*(1-VLOOKUP($A128,[1]Hugst!$R$5:$W$9,MATCH(ROUNDUP((AC$1)/10,0)*10,[1]Hugst!$R$4:$W$4,0))))</f>
        <v>0</v>
      </c>
      <c r="AD128" s="168">
        <f>IF($C128-AD$1&lt;År1,0,AC127*(1-VLOOKUP($A128,[1]Hugst!$R$5:$W$9,MATCH(ROUNDUP((AD$1)/10,0)*10,[1]Hugst!$R$4:$W$4,0))))</f>
        <v>0</v>
      </c>
      <c r="AE128" s="168">
        <f>IF($C128-AE$1&lt;År1,0,AD127*(1-VLOOKUP($A128,[1]Hugst!$R$5:$W$9,MATCH(ROUNDUP((AE$1)/10,0)*10,[1]Hugst!$R$4:$W$4,0))))</f>
        <v>0</v>
      </c>
      <c r="AF128" s="168">
        <f>IF($C128-AF$1&lt;År1,0,AE127*(1-VLOOKUP($A128,[1]Hugst!$R$5:$W$9,MATCH(ROUNDUP((AF$1)/10,0)*10,[1]Hugst!$R$4:$W$4,0))))</f>
        <v>0</v>
      </c>
      <c r="AG128" s="168">
        <f>IF($C128-AG$1&lt;År1,0,AF127*(1-VLOOKUP($A128,[1]Hugst!$R$5:$W$9,MATCH(ROUNDUP((AG$1)/10,0)*10,[1]Hugst!$R$4:$W$4,0))))</f>
        <v>0</v>
      </c>
      <c r="AH128" s="168">
        <f>IF($C128-AH$1&lt;År1,0,AG127*(1-VLOOKUP($A128,[1]Hugst!$R$5:$W$9,MATCH(ROUNDUP((AH$1)/10,0)*10,[1]Hugst!$R$4:$W$4,0))))</f>
        <v>0</v>
      </c>
      <c r="AI128" s="168">
        <f>IF($C128-AI$1&lt;År1,0,AH127*(1-VLOOKUP($A128,[1]Hugst!$R$5:$W$9,MATCH(ROUNDUP((AI$1)/10,0)*10,[1]Hugst!$R$4:$W$4,0))))</f>
        <v>0</v>
      </c>
      <c r="AJ128" s="168">
        <f>IF($C128-AJ$1&lt;År1,0,AI127*(1-VLOOKUP($A128,[1]Hugst!$R$5:$W$9,MATCH(ROUNDUP((AJ$1)/10,0)*10,[1]Hugst!$R$4:$W$4,0))))</f>
        <v>0</v>
      </c>
    </row>
    <row r="129" spans="1:36" x14ac:dyDescent="0.25">
      <c r="A129" s="168" t="s">
        <v>178</v>
      </c>
      <c r="B129" s="168" t="s">
        <v>23</v>
      </c>
      <c r="C129" s="168">
        <v>2023</v>
      </c>
      <c r="D129" s="168" cm="1">
        <f t="array" ref="D129">(IF(B129="Vestdanmark",Skovbrug!$C$22-(Skovbrug!$C$22)*(1-Skovbrug!$C$9)^(C129-Skovbrug!$B$12),Skovbrug!$F$22-(Skovbrug!$F$22)*(1-Skovbrug!$C$9)^(C129-Skovbrug!$B$12))*VLOOKUP(A129,Skovbrug!$A$13:$D$17,IF('Skovbrug-alder'!C129&lt;=År2,3,4),FALSE)-IF(C129&gt;2020,SUM(INDEX($C$1:$D$311,MATCH(1,(2020=$C$1:$C$311)*(B129=$B$1:$B$311)*(A129=$A$1:$A$311),0),2):D128),0))</f>
        <v>0</v>
      </c>
      <c r="E129" s="168">
        <f t="shared" ca="1" si="3"/>
        <v>0</v>
      </c>
      <c r="F129" s="168">
        <f ca="1">IF(C129&lt;=År2,IF(B129="Vestdanmark",(Arealanvendelse!$M$27-Arealanvendelse!$J$27),(Arealanvendelse!$M$37-Arealanvendelse!$J$37))/(Arealanvendelse!$M$3-Arealanvendelse!$J$3),IF(B129="Vestdanmark",(Arealanvendelse!$P$27-Arealanvendelse!$M$27),(Arealanvendelse!$P$37-Arealanvendelse!$M$37))/(Arealanvendelse!$P$3-Arealanvendelse!$M$3))*VLOOKUP(A129,Skovbrug!$A$13:$D$17,IF('Skovbrug-alder'!C129&lt;=År2,3,4),FALSE)+D129+E129</f>
        <v>0</v>
      </c>
      <c r="G129" s="168">
        <f ca="1">IF($C129-G$1&lt;År1,0,F128*(1-VLOOKUP($A129,[1]Hugst!$R$5:$W$9,MATCH(ROUNDUP((G$1)/10,0)*10,[1]Hugst!$R$4:$W$4,0))))</f>
        <v>0</v>
      </c>
      <c r="H129" s="168">
        <f ca="1">IF($C129-H$1&lt;År1,0,G128*(1-VLOOKUP($A129,[1]Hugst!$R$5:$W$9,MATCH(ROUNDUP((H$1)/10,0)*10,[1]Hugst!$R$4:$W$4,0))))</f>
        <v>0</v>
      </c>
      <c r="I129" s="168">
        <f ca="1">IF($C129-I$1&lt;År1,0,H128*(1-VLOOKUP($A129,[1]Hugst!$R$5:$W$9,MATCH(ROUNDUP((I$1)/10,0)*10,[1]Hugst!$R$4:$W$4,0))))</f>
        <v>0</v>
      </c>
      <c r="J129" s="168">
        <f>IF($C129-J$1&lt;År1,0,I128*(1-VLOOKUP($A129,[1]Hugst!$R$5:$W$9,MATCH(ROUNDUP((J$1)/10,0)*10,[1]Hugst!$R$4:$W$4,0))))</f>
        <v>0</v>
      </c>
      <c r="K129" s="168">
        <f>IF($C129-K$1&lt;År1,0,J128*(1-VLOOKUP($A129,[1]Hugst!$R$5:$W$9,MATCH(ROUNDUP((K$1)/10,0)*10,[1]Hugst!$R$4:$W$4,0))))</f>
        <v>0</v>
      </c>
      <c r="L129" s="168">
        <f>IF($C129-L$1&lt;År1,0,K128*(1-VLOOKUP($A129,[1]Hugst!$R$5:$W$9,MATCH(ROUNDUP((L$1)/10,0)*10,[1]Hugst!$R$4:$W$4,0))))</f>
        <v>0</v>
      </c>
      <c r="M129" s="168">
        <f>IF($C129-M$1&lt;År1,0,L128*(1-VLOOKUP($A129,[1]Hugst!$R$5:$W$9,MATCH(ROUNDUP((M$1)/10,0)*10,[1]Hugst!$R$4:$W$4,0))))</f>
        <v>0</v>
      </c>
      <c r="N129" s="168">
        <f>IF($C129-N$1&lt;År1,0,M128*(1-VLOOKUP($A129,[1]Hugst!$R$5:$W$9,MATCH(ROUNDUP((N$1)/10,0)*10,[1]Hugst!$R$4:$W$4,0))))</f>
        <v>0</v>
      </c>
      <c r="O129" s="168">
        <f>IF($C129-O$1&lt;År1,0,N128*(1-VLOOKUP($A129,[1]Hugst!$R$5:$W$9,MATCH(ROUNDUP((O$1)/10,0)*10,[1]Hugst!$R$4:$W$4,0))))</f>
        <v>0</v>
      </c>
      <c r="P129" s="168">
        <f>IF($C129-P$1&lt;År1,0,O128*(1-VLOOKUP($A129,[1]Hugst!$R$5:$W$9,MATCH(ROUNDUP((P$1)/10,0)*10,[1]Hugst!$R$4:$W$4,0))))</f>
        <v>0</v>
      </c>
      <c r="Q129" s="168">
        <f>IF($C129-Q$1&lt;År1,0,P128*(1-VLOOKUP($A129,[1]Hugst!$R$5:$W$9,MATCH(ROUNDUP((Q$1)/10,0)*10,[1]Hugst!$R$4:$W$4,0))))</f>
        <v>0</v>
      </c>
      <c r="R129" s="168">
        <f>IF($C129-R$1&lt;År1,0,Q128*(1-VLOOKUP($A129,[1]Hugst!$R$5:$W$9,MATCH(ROUNDUP((R$1)/10,0)*10,[1]Hugst!$R$4:$W$4,0))))</f>
        <v>0</v>
      </c>
      <c r="S129" s="168">
        <f>IF($C129-S$1&lt;År1,0,R128*(1-VLOOKUP($A129,[1]Hugst!$R$5:$W$9,MATCH(ROUNDUP((S$1)/10,0)*10,[1]Hugst!$R$4:$W$4,0))))</f>
        <v>0</v>
      </c>
      <c r="T129" s="168">
        <f>IF($C129-T$1&lt;År1,0,S128*(1-VLOOKUP($A129,[1]Hugst!$R$5:$W$9,MATCH(ROUNDUP((T$1)/10,0)*10,[1]Hugst!$R$4:$W$4,0))))</f>
        <v>0</v>
      </c>
      <c r="U129" s="168">
        <f>IF($C129-U$1&lt;År1,0,T128*(1-VLOOKUP($A129,[1]Hugst!$R$5:$W$9,MATCH(ROUNDUP((U$1)/10,0)*10,[1]Hugst!$R$4:$W$4,0))))</f>
        <v>0</v>
      </c>
      <c r="V129" s="168">
        <f>IF($C129-V$1&lt;År1,0,U128*(1-VLOOKUP($A129,[1]Hugst!$R$5:$W$9,MATCH(ROUNDUP((V$1)/10,0)*10,[1]Hugst!$R$4:$W$4,0))))</f>
        <v>0</v>
      </c>
      <c r="W129" s="168">
        <f>IF($C129-W$1&lt;År1,0,V128*(1-VLOOKUP($A129,[1]Hugst!$R$5:$W$9,MATCH(ROUNDUP((W$1)/10,0)*10,[1]Hugst!$R$4:$W$4,0))))</f>
        <v>0</v>
      </c>
      <c r="X129" s="168">
        <f>IF($C129-X$1&lt;År1,0,W128*(1-VLOOKUP($A129,[1]Hugst!$R$5:$W$9,MATCH(ROUNDUP((X$1)/10,0)*10,[1]Hugst!$R$4:$W$4,0))))</f>
        <v>0</v>
      </c>
      <c r="Y129" s="168">
        <f>IF($C129-Y$1&lt;År1,0,X128*(1-VLOOKUP($A129,[1]Hugst!$R$5:$W$9,MATCH(ROUNDUP((Y$1)/10,0)*10,[1]Hugst!$R$4:$W$4,0))))</f>
        <v>0</v>
      </c>
      <c r="Z129" s="168">
        <f>IF($C129-Z$1&lt;År1,0,Y128*(1-VLOOKUP($A129,[1]Hugst!$R$5:$W$9,MATCH(ROUNDUP((Z$1)/10,0)*10,[1]Hugst!$R$4:$W$4,0))))</f>
        <v>0</v>
      </c>
      <c r="AA129" s="168">
        <f>IF($C129-AA$1&lt;År1,0,Z128*(1-VLOOKUP($A129,[1]Hugst!$R$5:$W$9,MATCH(ROUNDUP((AA$1)/10,0)*10,[1]Hugst!$R$4:$W$4,0))))</f>
        <v>0</v>
      </c>
      <c r="AB129" s="168">
        <f>IF($C129-AB$1&lt;År1,0,AA128*(1-VLOOKUP($A129,[1]Hugst!$R$5:$W$9,MATCH(ROUNDUP((AB$1)/10,0)*10,[1]Hugst!$R$4:$W$4,0))))</f>
        <v>0</v>
      </c>
      <c r="AC129" s="168">
        <f>IF($C129-AC$1&lt;År1,0,AB128*(1-VLOOKUP($A129,[1]Hugst!$R$5:$W$9,MATCH(ROUNDUP((AC$1)/10,0)*10,[1]Hugst!$R$4:$W$4,0))))</f>
        <v>0</v>
      </c>
      <c r="AD129" s="168">
        <f>IF($C129-AD$1&lt;År1,0,AC128*(1-VLOOKUP($A129,[1]Hugst!$R$5:$W$9,MATCH(ROUNDUP((AD$1)/10,0)*10,[1]Hugst!$R$4:$W$4,0))))</f>
        <v>0</v>
      </c>
      <c r="AE129" s="168">
        <f>IF($C129-AE$1&lt;År1,0,AD128*(1-VLOOKUP($A129,[1]Hugst!$R$5:$W$9,MATCH(ROUNDUP((AE$1)/10,0)*10,[1]Hugst!$R$4:$W$4,0))))</f>
        <v>0</v>
      </c>
      <c r="AF129" s="168">
        <f>IF($C129-AF$1&lt;År1,0,AE128*(1-VLOOKUP($A129,[1]Hugst!$R$5:$W$9,MATCH(ROUNDUP((AF$1)/10,0)*10,[1]Hugst!$R$4:$W$4,0))))</f>
        <v>0</v>
      </c>
      <c r="AG129" s="168">
        <f>IF($C129-AG$1&lt;År1,0,AF128*(1-VLOOKUP($A129,[1]Hugst!$R$5:$W$9,MATCH(ROUNDUP((AG$1)/10,0)*10,[1]Hugst!$R$4:$W$4,0))))</f>
        <v>0</v>
      </c>
      <c r="AH129" s="168">
        <f>IF($C129-AH$1&lt;År1,0,AG128*(1-VLOOKUP($A129,[1]Hugst!$R$5:$W$9,MATCH(ROUNDUP((AH$1)/10,0)*10,[1]Hugst!$R$4:$W$4,0))))</f>
        <v>0</v>
      </c>
      <c r="AI129" s="168">
        <f>IF($C129-AI$1&lt;År1,0,AH128*(1-VLOOKUP($A129,[1]Hugst!$R$5:$W$9,MATCH(ROUNDUP((AI$1)/10,0)*10,[1]Hugst!$R$4:$W$4,0))))</f>
        <v>0</v>
      </c>
      <c r="AJ129" s="168">
        <f>IF($C129-AJ$1&lt;År1,0,AI128*(1-VLOOKUP($A129,[1]Hugst!$R$5:$W$9,MATCH(ROUNDUP((AJ$1)/10,0)*10,[1]Hugst!$R$4:$W$4,0))))</f>
        <v>0</v>
      </c>
    </row>
    <row r="130" spans="1:36" x14ac:dyDescent="0.25">
      <c r="A130" s="168" t="s">
        <v>178</v>
      </c>
      <c r="B130" s="168" t="s">
        <v>23</v>
      </c>
      <c r="C130" s="168">
        <v>2024</v>
      </c>
      <c r="D130" s="168" cm="1">
        <f t="array" ref="D130">(IF(B130="Vestdanmark",Skovbrug!$C$22-(Skovbrug!$C$22)*(1-Skovbrug!$C$9)^(C130-Skovbrug!$B$12),Skovbrug!$F$22-(Skovbrug!$F$22)*(1-Skovbrug!$C$9)^(C130-Skovbrug!$B$12))*VLOOKUP(A130,Skovbrug!$A$13:$D$17,IF('Skovbrug-alder'!C130&lt;=År2,3,4),FALSE)-IF(C130&gt;2020,SUM(INDEX($C$1:$D$311,MATCH(1,(2020=$C$1:$C$311)*(B130=$B$1:$B$311)*(A130=$A$1:$A$311),0),2):D129),0))</f>
        <v>0</v>
      </c>
      <c r="E130" s="168">
        <f t="shared" ca="1" si="3"/>
        <v>0</v>
      </c>
      <c r="F130" s="168">
        <f ca="1">IF(C130&lt;=År2,IF(B130="Vestdanmark",(Arealanvendelse!$M$27-Arealanvendelse!$J$27),(Arealanvendelse!$M$37-Arealanvendelse!$J$37))/(Arealanvendelse!$M$3-Arealanvendelse!$J$3),IF(B130="Vestdanmark",(Arealanvendelse!$P$27-Arealanvendelse!$M$27),(Arealanvendelse!$P$37-Arealanvendelse!$M$37))/(Arealanvendelse!$P$3-Arealanvendelse!$M$3))*VLOOKUP(A130,Skovbrug!$A$13:$D$17,IF('Skovbrug-alder'!C130&lt;=År2,3,4),FALSE)+D130+E130</f>
        <v>0</v>
      </c>
      <c r="G130" s="168">
        <f ca="1">IF($C130-G$1&lt;År1,0,F129*(1-VLOOKUP($A130,[1]Hugst!$R$5:$W$9,MATCH(ROUNDUP((G$1)/10,0)*10,[1]Hugst!$R$4:$W$4,0))))</f>
        <v>0</v>
      </c>
      <c r="H130" s="168">
        <f ca="1">IF($C130-H$1&lt;År1,0,G129*(1-VLOOKUP($A130,[1]Hugst!$R$5:$W$9,MATCH(ROUNDUP((H$1)/10,0)*10,[1]Hugst!$R$4:$W$4,0))))</f>
        <v>0</v>
      </c>
      <c r="I130" s="168">
        <f ca="1">IF($C130-I$1&lt;År1,0,H129*(1-VLOOKUP($A130,[1]Hugst!$R$5:$W$9,MATCH(ROUNDUP((I$1)/10,0)*10,[1]Hugst!$R$4:$W$4,0))))</f>
        <v>0</v>
      </c>
      <c r="J130" s="168">
        <f ca="1">IF($C130-J$1&lt;År1,0,I129*(1-VLOOKUP($A130,[1]Hugst!$R$5:$W$9,MATCH(ROUNDUP((J$1)/10,0)*10,[1]Hugst!$R$4:$W$4,0))))</f>
        <v>0</v>
      </c>
      <c r="K130" s="168">
        <f>IF($C130-K$1&lt;År1,0,J129*(1-VLOOKUP($A130,[1]Hugst!$R$5:$W$9,MATCH(ROUNDUP((K$1)/10,0)*10,[1]Hugst!$R$4:$W$4,0))))</f>
        <v>0</v>
      </c>
      <c r="L130" s="168">
        <f>IF($C130-L$1&lt;År1,0,K129*(1-VLOOKUP($A130,[1]Hugst!$R$5:$W$9,MATCH(ROUNDUP((L$1)/10,0)*10,[1]Hugst!$R$4:$W$4,0))))</f>
        <v>0</v>
      </c>
      <c r="M130" s="168">
        <f>IF($C130-M$1&lt;År1,0,L129*(1-VLOOKUP($A130,[1]Hugst!$R$5:$W$9,MATCH(ROUNDUP((M$1)/10,0)*10,[1]Hugst!$R$4:$W$4,0))))</f>
        <v>0</v>
      </c>
      <c r="N130" s="168">
        <f>IF($C130-N$1&lt;År1,0,M129*(1-VLOOKUP($A130,[1]Hugst!$R$5:$W$9,MATCH(ROUNDUP((N$1)/10,0)*10,[1]Hugst!$R$4:$W$4,0))))</f>
        <v>0</v>
      </c>
      <c r="O130" s="168">
        <f>IF($C130-O$1&lt;År1,0,N129*(1-VLOOKUP($A130,[1]Hugst!$R$5:$W$9,MATCH(ROUNDUP((O$1)/10,0)*10,[1]Hugst!$R$4:$W$4,0))))</f>
        <v>0</v>
      </c>
      <c r="P130" s="168">
        <f>IF($C130-P$1&lt;År1,0,O129*(1-VLOOKUP($A130,[1]Hugst!$R$5:$W$9,MATCH(ROUNDUP((P$1)/10,0)*10,[1]Hugst!$R$4:$W$4,0))))</f>
        <v>0</v>
      </c>
      <c r="Q130" s="168">
        <f>IF($C130-Q$1&lt;År1,0,P129*(1-VLOOKUP($A130,[1]Hugst!$R$5:$W$9,MATCH(ROUNDUP((Q$1)/10,0)*10,[1]Hugst!$R$4:$W$4,0))))</f>
        <v>0</v>
      </c>
      <c r="R130" s="168">
        <f>IF($C130-R$1&lt;År1,0,Q129*(1-VLOOKUP($A130,[1]Hugst!$R$5:$W$9,MATCH(ROUNDUP((R$1)/10,0)*10,[1]Hugst!$R$4:$W$4,0))))</f>
        <v>0</v>
      </c>
      <c r="S130" s="168">
        <f>IF($C130-S$1&lt;År1,0,R129*(1-VLOOKUP($A130,[1]Hugst!$R$5:$W$9,MATCH(ROUNDUP((S$1)/10,0)*10,[1]Hugst!$R$4:$W$4,0))))</f>
        <v>0</v>
      </c>
      <c r="T130" s="168">
        <f>IF($C130-T$1&lt;År1,0,S129*(1-VLOOKUP($A130,[1]Hugst!$R$5:$W$9,MATCH(ROUNDUP((T$1)/10,0)*10,[1]Hugst!$R$4:$W$4,0))))</f>
        <v>0</v>
      </c>
      <c r="U130" s="168">
        <f>IF($C130-U$1&lt;År1,0,T129*(1-VLOOKUP($A130,[1]Hugst!$R$5:$W$9,MATCH(ROUNDUP((U$1)/10,0)*10,[1]Hugst!$R$4:$W$4,0))))</f>
        <v>0</v>
      </c>
      <c r="V130" s="168">
        <f>IF($C130-V$1&lt;År1,0,U129*(1-VLOOKUP($A130,[1]Hugst!$R$5:$W$9,MATCH(ROUNDUP((V$1)/10,0)*10,[1]Hugst!$R$4:$W$4,0))))</f>
        <v>0</v>
      </c>
      <c r="W130" s="168">
        <f>IF($C130-W$1&lt;År1,0,V129*(1-VLOOKUP($A130,[1]Hugst!$R$5:$W$9,MATCH(ROUNDUP((W$1)/10,0)*10,[1]Hugst!$R$4:$W$4,0))))</f>
        <v>0</v>
      </c>
      <c r="X130" s="168">
        <f>IF($C130-X$1&lt;År1,0,W129*(1-VLOOKUP($A130,[1]Hugst!$R$5:$W$9,MATCH(ROUNDUP((X$1)/10,0)*10,[1]Hugst!$R$4:$W$4,0))))</f>
        <v>0</v>
      </c>
      <c r="Y130" s="168">
        <f>IF($C130-Y$1&lt;År1,0,X129*(1-VLOOKUP($A130,[1]Hugst!$R$5:$W$9,MATCH(ROUNDUP((Y$1)/10,0)*10,[1]Hugst!$R$4:$W$4,0))))</f>
        <v>0</v>
      </c>
      <c r="Z130" s="168">
        <f>IF($C130-Z$1&lt;År1,0,Y129*(1-VLOOKUP($A130,[1]Hugst!$R$5:$W$9,MATCH(ROUNDUP((Z$1)/10,0)*10,[1]Hugst!$R$4:$W$4,0))))</f>
        <v>0</v>
      </c>
      <c r="AA130" s="168">
        <f>IF($C130-AA$1&lt;År1,0,Z129*(1-VLOOKUP($A130,[1]Hugst!$R$5:$W$9,MATCH(ROUNDUP((AA$1)/10,0)*10,[1]Hugst!$R$4:$W$4,0))))</f>
        <v>0</v>
      </c>
      <c r="AB130" s="168">
        <f>IF($C130-AB$1&lt;År1,0,AA129*(1-VLOOKUP($A130,[1]Hugst!$R$5:$W$9,MATCH(ROUNDUP((AB$1)/10,0)*10,[1]Hugst!$R$4:$W$4,0))))</f>
        <v>0</v>
      </c>
      <c r="AC130" s="168">
        <f>IF($C130-AC$1&lt;År1,0,AB129*(1-VLOOKUP($A130,[1]Hugst!$R$5:$W$9,MATCH(ROUNDUP((AC$1)/10,0)*10,[1]Hugst!$R$4:$W$4,0))))</f>
        <v>0</v>
      </c>
      <c r="AD130" s="168">
        <f>IF($C130-AD$1&lt;År1,0,AC129*(1-VLOOKUP($A130,[1]Hugst!$R$5:$W$9,MATCH(ROUNDUP((AD$1)/10,0)*10,[1]Hugst!$R$4:$W$4,0))))</f>
        <v>0</v>
      </c>
      <c r="AE130" s="168">
        <f>IF($C130-AE$1&lt;År1,0,AD129*(1-VLOOKUP($A130,[1]Hugst!$R$5:$W$9,MATCH(ROUNDUP((AE$1)/10,0)*10,[1]Hugst!$R$4:$W$4,0))))</f>
        <v>0</v>
      </c>
      <c r="AF130" s="168">
        <f>IF($C130-AF$1&lt;År1,0,AE129*(1-VLOOKUP($A130,[1]Hugst!$R$5:$W$9,MATCH(ROUNDUP((AF$1)/10,0)*10,[1]Hugst!$R$4:$W$4,0))))</f>
        <v>0</v>
      </c>
      <c r="AG130" s="168">
        <f>IF($C130-AG$1&lt;År1,0,AF129*(1-VLOOKUP($A130,[1]Hugst!$R$5:$W$9,MATCH(ROUNDUP((AG$1)/10,0)*10,[1]Hugst!$R$4:$W$4,0))))</f>
        <v>0</v>
      </c>
      <c r="AH130" s="168">
        <f>IF($C130-AH$1&lt;År1,0,AG129*(1-VLOOKUP($A130,[1]Hugst!$R$5:$W$9,MATCH(ROUNDUP((AH$1)/10,0)*10,[1]Hugst!$R$4:$W$4,0))))</f>
        <v>0</v>
      </c>
      <c r="AI130" s="168">
        <f>IF($C130-AI$1&lt;År1,0,AH129*(1-VLOOKUP($A130,[1]Hugst!$R$5:$W$9,MATCH(ROUNDUP((AI$1)/10,0)*10,[1]Hugst!$R$4:$W$4,0))))</f>
        <v>0</v>
      </c>
      <c r="AJ130" s="168">
        <f>IF($C130-AJ$1&lt;År1,0,AI129*(1-VLOOKUP($A130,[1]Hugst!$R$5:$W$9,MATCH(ROUNDUP((AJ$1)/10,0)*10,[1]Hugst!$R$4:$W$4,0))))</f>
        <v>0</v>
      </c>
    </row>
    <row r="131" spans="1:36" x14ac:dyDescent="0.25">
      <c r="A131" s="168" t="s">
        <v>178</v>
      </c>
      <c r="B131" s="168" t="s">
        <v>23</v>
      </c>
      <c r="C131" s="168">
        <v>2025</v>
      </c>
      <c r="D131" s="168" cm="1">
        <f t="array" ref="D131">(IF(B131="Vestdanmark",Skovbrug!$C$22-(Skovbrug!$C$22)*(1-Skovbrug!$C$9)^(C131-Skovbrug!$B$12),Skovbrug!$F$22-(Skovbrug!$F$22)*(1-Skovbrug!$C$9)^(C131-Skovbrug!$B$12))*VLOOKUP(A131,Skovbrug!$A$13:$D$17,IF('Skovbrug-alder'!C131&lt;=År2,3,4),FALSE)-IF(C131&gt;2020,SUM(INDEX($C$1:$D$311,MATCH(1,(2020=$C$1:$C$311)*(B131=$B$1:$B$311)*(A131=$A$1:$A$311),0),2):D130),0))</f>
        <v>0</v>
      </c>
      <c r="E131" s="168">
        <f t="shared" ca="1" si="3"/>
        <v>0</v>
      </c>
      <c r="F131" s="168">
        <f ca="1">IF(C131&lt;=År2,IF(B131="Vestdanmark",(Arealanvendelse!$M$27-Arealanvendelse!$J$27),(Arealanvendelse!$M$37-Arealanvendelse!$J$37))/(Arealanvendelse!$M$3-Arealanvendelse!$J$3),IF(B131="Vestdanmark",(Arealanvendelse!$P$27-Arealanvendelse!$M$27),(Arealanvendelse!$P$37-Arealanvendelse!$M$37))/(Arealanvendelse!$P$3-Arealanvendelse!$M$3))*VLOOKUP(A131,Skovbrug!$A$13:$D$17,IF('Skovbrug-alder'!C131&lt;=År2,3,4),FALSE)+D131+E131</f>
        <v>0</v>
      </c>
      <c r="G131" s="168">
        <f ca="1">IF($C131-G$1&lt;År1,0,F130*(1-VLOOKUP($A131,[1]Hugst!$R$5:$W$9,MATCH(ROUNDUP((G$1)/10,0)*10,[1]Hugst!$R$4:$W$4,0))))</f>
        <v>0</v>
      </c>
      <c r="H131" s="168">
        <f ca="1">IF($C131-H$1&lt;År1,0,G130*(1-VLOOKUP($A131,[1]Hugst!$R$5:$W$9,MATCH(ROUNDUP((H$1)/10,0)*10,[1]Hugst!$R$4:$W$4,0))))</f>
        <v>0</v>
      </c>
      <c r="I131" s="168">
        <f ca="1">IF($C131-I$1&lt;År1,0,H130*(1-VLOOKUP($A131,[1]Hugst!$R$5:$W$9,MATCH(ROUNDUP((I$1)/10,0)*10,[1]Hugst!$R$4:$W$4,0))))</f>
        <v>0</v>
      </c>
      <c r="J131" s="168">
        <f ca="1">IF($C131-J$1&lt;År1,0,I130*(1-VLOOKUP($A131,[1]Hugst!$R$5:$W$9,MATCH(ROUNDUP((J$1)/10,0)*10,[1]Hugst!$R$4:$W$4,0))))</f>
        <v>0</v>
      </c>
      <c r="K131" s="168">
        <f ca="1">IF($C131-K$1&lt;År1,0,J130*(1-VLOOKUP($A131,[1]Hugst!$R$5:$W$9,MATCH(ROUNDUP((K$1)/10,0)*10,[1]Hugst!$R$4:$W$4,0))))</f>
        <v>0</v>
      </c>
      <c r="L131" s="168">
        <f>IF($C131-L$1&lt;År1,0,K130*(1-VLOOKUP($A131,[1]Hugst!$R$5:$W$9,MATCH(ROUNDUP((L$1)/10,0)*10,[1]Hugst!$R$4:$W$4,0))))</f>
        <v>0</v>
      </c>
      <c r="M131" s="168">
        <f>IF($C131-M$1&lt;År1,0,L130*(1-VLOOKUP($A131,[1]Hugst!$R$5:$W$9,MATCH(ROUNDUP((M$1)/10,0)*10,[1]Hugst!$R$4:$W$4,0))))</f>
        <v>0</v>
      </c>
      <c r="N131" s="168">
        <f>IF($C131-N$1&lt;År1,0,M130*(1-VLOOKUP($A131,[1]Hugst!$R$5:$W$9,MATCH(ROUNDUP((N$1)/10,0)*10,[1]Hugst!$R$4:$W$4,0))))</f>
        <v>0</v>
      </c>
      <c r="O131" s="168">
        <f>IF($C131-O$1&lt;År1,0,N130*(1-VLOOKUP($A131,[1]Hugst!$R$5:$W$9,MATCH(ROUNDUP((O$1)/10,0)*10,[1]Hugst!$R$4:$W$4,0))))</f>
        <v>0</v>
      </c>
      <c r="P131" s="168">
        <f>IF($C131-P$1&lt;År1,0,O130*(1-VLOOKUP($A131,[1]Hugst!$R$5:$W$9,MATCH(ROUNDUP((P$1)/10,0)*10,[1]Hugst!$R$4:$W$4,0))))</f>
        <v>0</v>
      </c>
      <c r="Q131" s="168">
        <f>IF($C131-Q$1&lt;År1,0,P130*(1-VLOOKUP($A131,[1]Hugst!$R$5:$W$9,MATCH(ROUNDUP((Q$1)/10,0)*10,[1]Hugst!$R$4:$W$4,0))))</f>
        <v>0</v>
      </c>
      <c r="R131" s="168">
        <f>IF($C131-R$1&lt;År1,0,Q130*(1-VLOOKUP($A131,[1]Hugst!$R$5:$W$9,MATCH(ROUNDUP((R$1)/10,0)*10,[1]Hugst!$R$4:$W$4,0))))</f>
        <v>0</v>
      </c>
      <c r="S131" s="168">
        <f>IF($C131-S$1&lt;År1,0,R130*(1-VLOOKUP($A131,[1]Hugst!$R$5:$W$9,MATCH(ROUNDUP((S$1)/10,0)*10,[1]Hugst!$R$4:$W$4,0))))</f>
        <v>0</v>
      </c>
      <c r="T131" s="168">
        <f>IF($C131-T$1&lt;År1,0,S130*(1-VLOOKUP($A131,[1]Hugst!$R$5:$W$9,MATCH(ROUNDUP((T$1)/10,0)*10,[1]Hugst!$R$4:$W$4,0))))</f>
        <v>0</v>
      </c>
      <c r="U131" s="168">
        <f>IF($C131-U$1&lt;År1,0,T130*(1-VLOOKUP($A131,[1]Hugst!$R$5:$W$9,MATCH(ROUNDUP((U$1)/10,0)*10,[1]Hugst!$R$4:$W$4,0))))</f>
        <v>0</v>
      </c>
      <c r="V131" s="168">
        <f>IF($C131-V$1&lt;År1,0,U130*(1-VLOOKUP($A131,[1]Hugst!$R$5:$W$9,MATCH(ROUNDUP((V$1)/10,0)*10,[1]Hugst!$R$4:$W$4,0))))</f>
        <v>0</v>
      </c>
      <c r="W131" s="168">
        <f>IF($C131-W$1&lt;År1,0,V130*(1-VLOOKUP($A131,[1]Hugst!$R$5:$W$9,MATCH(ROUNDUP((W$1)/10,0)*10,[1]Hugst!$R$4:$W$4,0))))</f>
        <v>0</v>
      </c>
      <c r="X131" s="168">
        <f>IF($C131-X$1&lt;År1,0,W130*(1-VLOOKUP($A131,[1]Hugst!$R$5:$W$9,MATCH(ROUNDUP((X$1)/10,0)*10,[1]Hugst!$R$4:$W$4,0))))</f>
        <v>0</v>
      </c>
      <c r="Y131" s="168">
        <f>IF($C131-Y$1&lt;År1,0,X130*(1-VLOOKUP($A131,[1]Hugst!$R$5:$W$9,MATCH(ROUNDUP((Y$1)/10,0)*10,[1]Hugst!$R$4:$W$4,0))))</f>
        <v>0</v>
      </c>
      <c r="Z131" s="168">
        <f>IF($C131-Z$1&lt;År1,0,Y130*(1-VLOOKUP($A131,[1]Hugst!$R$5:$W$9,MATCH(ROUNDUP((Z$1)/10,0)*10,[1]Hugst!$R$4:$W$4,0))))</f>
        <v>0</v>
      </c>
      <c r="AA131" s="168">
        <f>IF($C131-AA$1&lt;År1,0,Z130*(1-VLOOKUP($A131,[1]Hugst!$R$5:$W$9,MATCH(ROUNDUP((AA$1)/10,0)*10,[1]Hugst!$R$4:$W$4,0))))</f>
        <v>0</v>
      </c>
      <c r="AB131" s="168">
        <f>IF($C131-AB$1&lt;År1,0,AA130*(1-VLOOKUP($A131,[1]Hugst!$R$5:$W$9,MATCH(ROUNDUP((AB$1)/10,0)*10,[1]Hugst!$R$4:$W$4,0))))</f>
        <v>0</v>
      </c>
      <c r="AC131" s="168">
        <f>IF($C131-AC$1&lt;År1,0,AB130*(1-VLOOKUP($A131,[1]Hugst!$R$5:$W$9,MATCH(ROUNDUP((AC$1)/10,0)*10,[1]Hugst!$R$4:$W$4,0))))</f>
        <v>0</v>
      </c>
      <c r="AD131" s="168">
        <f>IF($C131-AD$1&lt;År1,0,AC130*(1-VLOOKUP($A131,[1]Hugst!$R$5:$W$9,MATCH(ROUNDUP((AD$1)/10,0)*10,[1]Hugst!$R$4:$W$4,0))))</f>
        <v>0</v>
      </c>
      <c r="AE131" s="168">
        <f>IF($C131-AE$1&lt;År1,0,AD130*(1-VLOOKUP($A131,[1]Hugst!$R$5:$W$9,MATCH(ROUNDUP((AE$1)/10,0)*10,[1]Hugst!$R$4:$W$4,0))))</f>
        <v>0</v>
      </c>
      <c r="AF131" s="168">
        <f>IF($C131-AF$1&lt;År1,0,AE130*(1-VLOOKUP($A131,[1]Hugst!$R$5:$W$9,MATCH(ROUNDUP((AF$1)/10,0)*10,[1]Hugst!$R$4:$W$4,0))))</f>
        <v>0</v>
      </c>
      <c r="AG131" s="168">
        <f>IF($C131-AG$1&lt;År1,0,AF130*(1-VLOOKUP($A131,[1]Hugst!$R$5:$W$9,MATCH(ROUNDUP((AG$1)/10,0)*10,[1]Hugst!$R$4:$W$4,0))))</f>
        <v>0</v>
      </c>
      <c r="AH131" s="168">
        <f>IF($C131-AH$1&lt;År1,0,AG130*(1-VLOOKUP($A131,[1]Hugst!$R$5:$W$9,MATCH(ROUNDUP((AH$1)/10,0)*10,[1]Hugst!$R$4:$W$4,0))))</f>
        <v>0</v>
      </c>
      <c r="AI131" s="168">
        <f>IF($C131-AI$1&lt;År1,0,AH130*(1-VLOOKUP($A131,[1]Hugst!$R$5:$W$9,MATCH(ROUNDUP((AI$1)/10,0)*10,[1]Hugst!$R$4:$W$4,0))))</f>
        <v>0</v>
      </c>
      <c r="AJ131" s="168">
        <f>IF($C131-AJ$1&lt;År1,0,AI130*(1-VLOOKUP($A131,[1]Hugst!$R$5:$W$9,MATCH(ROUNDUP((AJ$1)/10,0)*10,[1]Hugst!$R$4:$W$4,0))))</f>
        <v>0</v>
      </c>
    </row>
    <row r="132" spans="1:36" x14ac:dyDescent="0.25">
      <c r="A132" s="168" t="s">
        <v>178</v>
      </c>
      <c r="B132" s="168" t="s">
        <v>23</v>
      </c>
      <c r="C132" s="168">
        <v>2026</v>
      </c>
      <c r="D132" s="168" cm="1">
        <f t="array" ref="D132">(IF(B132="Vestdanmark",Skovbrug!$C$22-(Skovbrug!$C$22)*(1-Skovbrug!$C$9)^(C132-Skovbrug!$B$12),Skovbrug!$F$22-(Skovbrug!$F$22)*(1-Skovbrug!$C$9)^(C132-Skovbrug!$B$12))*VLOOKUP(A132,Skovbrug!$A$13:$D$17,IF('Skovbrug-alder'!C132&lt;=År2,3,4),FALSE)-IF(C132&gt;2020,SUM(INDEX($C$1:$D$311,MATCH(1,(2020=$C$1:$C$311)*(B132=$B$1:$B$311)*(A132=$A$1:$A$311),0),2):D131),0))</f>
        <v>0</v>
      </c>
      <c r="E132" s="168">
        <f t="shared" ca="1" si="3"/>
        <v>0</v>
      </c>
      <c r="F132" s="168">
        <f ca="1">IF(C132&lt;=År2,IF(B132="Vestdanmark",(Arealanvendelse!$M$27-Arealanvendelse!$J$27),(Arealanvendelse!$M$37-Arealanvendelse!$J$37))/(Arealanvendelse!$M$3-Arealanvendelse!$J$3),IF(B132="Vestdanmark",(Arealanvendelse!$P$27-Arealanvendelse!$M$27),(Arealanvendelse!$P$37-Arealanvendelse!$M$37))/(Arealanvendelse!$P$3-Arealanvendelse!$M$3))*VLOOKUP(A132,Skovbrug!$A$13:$D$17,IF('Skovbrug-alder'!C132&lt;=År2,3,4),FALSE)+D132+E132</f>
        <v>0</v>
      </c>
      <c r="G132" s="168">
        <f ca="1">IF($C132-G$1&lt;År1,0,F131*(1-VLOOKUP($A132,[1]Hugst!$R$5:$W$9,MATCH(ROUNDUP((G$1)/10,0)*10,[1]Hugst!$R$4:$W$4,0))))</f>
        <v>0</v>
      </c>
      <c r="H132" s="168">
        <f ca="1">IF($C132-H$1&lt;År1,0,G131*(1-VLOOKUP($A132,[1]Hugst!$R$5:$W$9,MATCH(ROUNDUP((H$1)/10,0)*10,[1]Hugst!$R$4:$W$4,0))))</f>
        <v>0</v>
      </c>
      <c r="I132" s="168">
        <f ca="1">IF($C132-I$1&lt;År1,0,H131*(1-VLOOKUP($A132,[1]Hugst!$R$5:$W$9,MATCH(ROUNDUP((I$1)/10,0)*10,[1]Hugst!$R$4:$W$4,0))))</f>
        <v>0</v>
      </c>
      <c r="J132" s="168">
        <f ca="1">IF($C132-J$1&lt;År1,0,I131*(1-VLOOKUP($A132,[1]Hugst!$R$5:$W$9,MATCH(ROUNDUP((J$1)/10,0)*10,[1]Hugst!$R$4:$W$4,0))))</f>
        <v>0</v>
      </c>
      <c r="K132" s="168">
        <f ca="1">IF($C132-K$1&lt;År1,0,J131*(1-VLOOKUP($A132,[1]Hugst!$R$5:$W$9,MATCH(ROUNDUP((K$1)/10,0)*10,[1]Hugst!$R$4:$W$4,0))))</f>
        <v>0</v>
      </c>
      <c r="L132" s="168">
        <f ca="1">IF($C132-L$1&lt;År1,0,K131*(1-VLOOKUP($A132,[1]Hugst!$R$5:$W$9,MATCH(ROUNDUP((L$1)/10,0)*10,[1]Hugst!$R$4:$W$4,0))))</f>
        <v>0</v>
      </c>
      <c r="M132" s="168">
        <f>IF($C132-M$1&lt;År1,0,L131*(1-VLOOKUP($A132,[1]Hugst!$R$5:$W$9,MATCH(ROUNDUP((M$1)/10,0)*10,[1]Hugst!$R$4:$W$4,0))))</f>
        <v>0</v>
      </c>
      <c r="N132" s="168">
        <f>IF($C132-N$1&lt;År1,0,M131*(1-VLOOKUP($A132,[1]Hugst!$R$5:$W$9,MATCH(ROUNDUP((N$1)/10,0)*10,[1]Hugst!$R$4:$W$4,0))))</f>
        <v>0</v>
      </c>
      <c r="O132" s="168">
        <f>IF($C132-O$1&lt;År1,0,N131*(1-VLOOKUP($A132,[1]Hugst!$R$5:$W$9,MATCH(ROUNDUP((O$1)/10,0)*10,[1]Hugst!$R$4:$W$4,0))))</f>
        <v>0</v>
      </c>
      <c r="P132" s="168">
        <f>IF($C132-P$1&lt;År1,0,O131*(1-VLOOKUP($A132,[1]Hugst!$R$5:$W$9,MATCH(ROUNDUP((P$1)/10,0)*10,[1]Hugst!$R$4:$W$4,0))))</f>
        <v>0</v>
      </c>
      <c r="Q132" s="168">
        <f>IF($C132-Q$1&lt;År1,0,P131*(1-VLOOKUP($A132,[1]Hugst!$R$5:$W$9,MATCH(ROUNDUP((Q$1)/10,0)*10,[1]Hugst!$R$4:$W$4,0))))</f>
        <v>0</v>
      </c>
      <c r="R132" s="168">
        <f>IF($C132-R$1&lt;År1,0,Q131*(1-VLOOKUP($A132,[1]Hugst!$R$5:$W$9,MATCH(ROUNDUP((R$1)/10,0)*10,[1]Hugst!$R$4:$W$4,0))))</f>
        <v>0</v>
      </c>
      <c r="S132" s="168">
        <f>IF($C132-S$1&lt;År1,0,R131*(1-VLOOKUP($A132,[1]Hugst!$R$5:$W$9,MATCH(ROUNDUP((S$1)/10,0)*10,[1]Hugst!$R$4:$W$4,0))))</f>
        <v>0</v>
      </c>
      <c r="T132" s="168">
        <f>IF($C132-T$1&lt;År1,0,S131*(1-VLOOKUP($A132,[1]Hugst!$R$5:$W$9,MATCH(ROUNDUP((T$1)/10,0)*10,[1]Hugst!$R$4:$W$4,0))))</f>
        <v>0</v>
      </c>
      <c r="U132" s="168">
        <f>IF($C132-U$1&lt;År1,0,T131*(1-VLOOKUP($A132,[1]Hugst!$R$5:$W$9,MATCH(ROUNDUP((U$1)/10,0)*10,[1]Hugst!$R$4:$W$4,0))))</f>
        <v>0</v>
      </c>
      <c r="V132" s="168">
        <f>IF($C132-V$1&lt;År1,0,U131*(1-VLOOKUP($A132,[1]Hugst!$R$5:$W$9,MATCH(ROUNDUP((V$1)/10,0)*10,[1]Hugst!$R$4:$W$4,0))))</f>
        <v>0</v>
      </c>
      <c r="W132" s="168">
        <f>IF($C132-W$1&lt;År1,0,V131*(1-VLOOKUP($A132,[1]Hugst!$R$5:$W$9,MATCH(ROUNDUP((W$1)/10,0)*10,[1]Hugst!$R$4:$W$4,0))))</f>
        <v>0</v>
      </c>
      <c r="X132" s="168">
        <f>IF($C132-X$1&lt;År1,0,W131*(1-VLOOKUP($A132,[1]Hugst!$R$5:$W$9,MATCH(ROUNDUP((X$1)/10,0)*10,[1]Hugst!$R$4:$W$4,0))))</f>
        <v>0</v>
      </c>
      <c r="Y132" s="168">
        <f>IF($C132-Y$1&lt;År1,0,X131*(1-VLOOKUP($A132,[1]Hugst!$R$5:$W$9,MATCH(ROUNDUP((Y$1)/10,0)*10,[1]Hugst!$R$4:$W$4,0))))</f>
        <v>0</v>
      </c>
      <c r="Z132" s="168">
        <f>IF($C132-Z$1&lt;År1,0,Y131*(1-VLOOKUP($A132,[1]Hugst!$R$5:$W$9,MATCH(ROUNDUP((Z$1)/10,0)*10,[1]Hugst!$R$4:$W$4,0))))</f>
        <v>0</v>
      </c>
      <c r="AA132" s="168">
        <f>IF($C132-AA$1&lt;År1,0,Z131*(1-VLOOKUP($A132,[1]Hugst!$R$5:$W$9,MATCH(ROUNDUP((AA$1)/10,0)*10,[1]Hugst!$R$4:$W$4,0))))</f>
        <v>0</v>
      </c>
      <c r="AB132" s="168">
        <f>IF($C132-AB$1&lt;År1,0,AA131*(1-VLOOKUP($A132,[1]Hugst!$R$5:$W$9,MATCH(ROUNDUP((AB$1)/10,0)*10,[1]Hugst!$R$4:$W$4,0))))</f>
        <v>0</v>
      </c>
      <c r="AC132" s="168">
        <f>IF($C132-AC$1&lt;År1,0,AB131*(1-VLOOKUP($A132,[1]Hugst!$R$5:$W$9,MATCH(ROUNDUP((AC$1)/10,0)*10,[1]Hugst!$R$4:$W$4,0))))</f>
        <v>0</v>
      </c>
      <c r="AD132" s="168">
        <f>IF($C132-AD$1&lt;År1,0,AC131*(1-VLOOKUP($A132,[1]Hugst!$R$5:$W$9,MATCH(ROUNDUP((AD$1)/10,0)*10,[1]Hugst!$R$4:$W$4,0))))</f>
        <v>0</v>
      </c>
      <c r="AE132" s="168">
        <f>IF($C132-AE$1&lt;År1,0,AD131*(1-VLOOKUP($A132,[1]Hugst!$R$5:$W$9,MATCH(ROUNDUP((AE$1)/10,0)*10,[1]Hugst!$R$4:$W$4,0))))</f>
        <v>0</v>
      </c>
      <c r="AF132" s="168">
        <f>IF($C132-AF$1&lt;År1,0,AE131*(1-VLOOKUP($A132,[1]Hugst!$R$5:$W$9,MATCH(ROUNDUP((AF$1)/10,0)*10,[1]Hugst!$R$4:$W$4,0))))</f>
        <v>0</v>
      </c>
      <c r="AG132" s="168">
        <f>IF($C132-AG$1&lt;År1,0,AF131*(1-VLOOKUP($A132,[1]Hugst!$R$5:$W$9,MATCH(ROUNDUP((AG$1)/10,0)*10,[1]Hugst!$R$4:$W$4,0))))</f>
        <v>0</v>
      </c>
      <c r="AH132" s="168">
        <f>IF($C132-AH$1&lt;År1,0,AG131*(1-VLOOKUP($A132,[1]Hugst!$R$5:$W$9,MATCH(ROUNDUP((AH$1)/10,0)*10,[1]Hugst!$R$4:$W$4,0))))</f>
        <v>0</v>
      </c>
      <c r="AI132" s="168">
        <f>IF($C132-AI$1&lt;År1,0,AH131*(1-VLOOKUP($A132,[1]Hugst!$R$5:$W$9,MATCH(ROUNDUP((AI$1)/10,0)*10,[1]Hugst!$R$4:$W$4,0))))</f>
        <v>0</v>
      </c>
      <c r="AJ132" s="168">
        <f>IF($C132-AJ$1&lt;År1,0,AI131*(1-VLOOKUP($A132,[1]Hugst!$R$5:$W$9,MATCH(ROUNDUP((AJ$1)/10,0)*10,[1]Hugst!$R$4:$W$4,0))))</f>
        <v>0</v>
      </c>
    </row>
    <row r="133" spans="1:36" x14ac:dyDescent="0.25">
      <c r="A133" s="168" t="s">
        <v>178</v>
      </c>
      <c r="B133" s="168" t="s">
        <v>23</v>
      </c>
      <c r="C133" s="168">
        <v>2027</v>
      </c>
      <c r="D133" s="168" cm="1">
        <f t="array" ref="D133">(IF(B133="Vestdanmark",Skovbrug!$C$22-(Skovbrug!$C$22)*(1-Skovbrug!$C$9)^(C133-Skovbrug!$B$12),Skovbrug!$F$22-(Skovbrug!$F$22)*(1-Skovbrug!$C$9)^(C133-Skovbrug!$B$12))*VLOOKUP(A133,Skovbrug!$A$13:$D$17,IF('Skovbrug-alder'!C133&lt;=År2,3,4),FALSE)-IF(C133&gt;2020,SUM(INDEX($C$1:$D$311,MATCH(1,(2020=$C$1:$C$311)*(B133=$B$1:$B$311)*(A133=$A$1:$A$311),0),2):D132),0))</f>
        <v>0</v>
      </c>
      <c r="E133" s="168">
        <f t="shared" ca="1" si="3"/>
        <v>0</v>
      </c>
      <c r="F133" s="168">
        <f ca="1">IF(C133&lt;=År2,IF(B133="Vestdanmark",(Arealanvendelse!$M$27-Arealanvendelse!$J$27),(Arealanvendelse!$M$37-Arealanvendelse!$J$37))/(Arealanvendelse!$M$3-Arealanvendelse!$J$3),IF(B133="Vestdanmark",(Arealanvendelse!$P$27-Arealanvendelse!$M$27),(Arealanvendelse!$P$37-Arealanvendelse!$M$37))/(Arealanvendelse!$P$3-Arealanvendelse!$M$3))*VLOOKUP(A133,Skovbrug!$A$13:$D$17,IF('Skovbrug-alder'!C133&lt;=År2,3,4),FALSE)+D133+E133</f>
        <v>0</v>
      </c>
      <c r="G133" s="168">
        <f ca="1">IF($C133-G$1&lt;År1,0,F132*(1-VLOOKUP($A133,[1]Hugst!$R$5:$W$9,MATCH(ROUNDUP((G$1)/10,0)*10,[1]Hugst!$R$4:$W$4,0))))</f>
        <v>0</v>
      </c>
      <c r="H133" s="168">
        <f ca="1">IF($C133-H$1&lt;År1,0,G132*(1-VLOOKUP($A133,[1]Hugst!$R$5:$W$9,MATCH(ROUNDUP((H$1)/10,0)*10,[1]Hugst!$R$4:$W$4,0))))</f>
        <v>0</v>
      </c>
      <c r="I133" s="168">
        <f ca="1">IF($C133-I$1&lt;År1,0,H132*(1-VLOOKUP($A133,[1]Hugst!$R$5:$W$9,MATCH(ROUNDUP((I$1)/10,0)*10,[1]Hugst!$R$4:$W$4,0))))</f>
        <v>0</v>
      </c>
      <c r="J133" s="168">
        <f ca="1">IF($C133-J$1&lt;År1,0,I132*(1-VLOOKUP($A133,[1]Hugst!$R$5:$W$9,MATCH(ROUNDUP((J$1)/10,0)*10,[1]Hugst!$R$4:$W$4,0))))</f>
        <v>0</v>
      </c>
      <c r="K133" s="168">
        <f ca="1">IF($C133-K$1&lt;År1,0,J132*(1-VLOOKUP($A133,[1]Hugst!$R$5:$W$9,MATCH(ROUNDUP((K$1)/10,0)*10,[1]Hugst!$R$4:$W$4,0))))</f>
        <v>0</v>
      </c>
      <c r="L133" s="168">
        <f ca="1">IF($C133-L$1&lt;År1,0,K132*(1-VLOOKUP($A133,[1]Hugst!$R$5:$W$9,MATCH(ROUNDUP((L$1)/10,0)*10,[1]Hugst!$R$4:$W$4,0))))</f>
        <v>0</v>
      </c>
      <c r="M133" s="168">
        <f ca="1">IF($C133-M$1&lt;År1,0,L132*(1-VLOOKUP($A133,[1]Hugst!$R$5:$W$9,MATCH(ROUNDUP((M$1)/10,0)*10,[1]Hugst!$R$4:$W$4,0))))</f>
        <v>0</v>
      </c>
      <c r="N133" s="168">
        <f>IF($C133-N$1&lt;År1,0,M132*(1-VLOOKUP($A133,[1]Hugst!$R$5:$W$9,MATCH(ROUNDUP((N$1)/10,0)*10,[1]Hugst!$R$4:$W$4,0))))</f>
        <v>0</v>
      </c>
      <c r="O133" s="168">
        <f>IF($C133-O$1&lt;År1,0,N132*(1-VLOOKUP($A133,[1]Hugst!$R$5:$W$9,MATCH(ROUNDUP((O$1)/10,0)*10,[1]Hugst!$R$4:$W$4,0))))</f>
        <v>0</v>
      </c>
      <c r="P133" s="168">
        <f>IF($C133-P$1&lt;År1,0,O132*(1-VLOOKUP($A133,[1]Hugst!$R$5:$W$9,MATCH(ROUNDUP((P$1)/10,0)*10,[1]Hugst!$R$4:$W$4,0))))</f>
        <v>0</v>
      </c>
      <c r="Q133" s="168">
        <f>IF($C133-Q$1&lt;År1,0,P132*(1-VLOOKUP($A133,[1]Hugst!$R$5:$W$9,MATCH(ROUNDUP((Q$1)/10,0)*10,[1]Hugst!$R$4:$W$4,0))))</f>
        <v>0</v>
      </c>
      <c r="R133" s="168">
        <f>IF($C133-R$1&lt;År1,0,Q132*(1-VLOOKUP($A133,[1]Hugst!$R$5:$W$9,MATCH(ROUNDUP((R$1)/10,0)*10,[1]Hugst!$R$4:$W$4,0))))</f>
        <v>0</v>
      </c>
      <c r="S133" s="168">
        <f>IF($C133-S$1&lt;År1,0,R132*(1-VLOOKUP($A133,[1]Hugst!$R$5:$W$9,MATCH(ROUNDUP((S$1)/10,0)*10,[1]Hugst!$R$4:$W$4,0))))</f>
        <v>0</v>
      </c>
      <c r="T133" s="168">
        <f>IF($C133-T$1&lt;År1,0,S132*(1-VLOOKUP($A133,[1]Hugst!$R$5:$W$9,MATCH(ROUNDUP((T$1)/10,0)*10,[1]Hugst!$R$4:$W$4,0))))</f>
        <v>0</v>
      </c>
      <c r="U133" s="168">
        <f>IF($C133-U$1&lt;År1,0,T132*(1-VLOOKUP($A133,[1]Hugst!$R$5:$W$9,MATCH(ROUNDUP((U$1)/10,0)*10,[1]Hugst!$R$4:$W$4,0))))</f>
        <v>0</v>
      </c>
      <c r="V133" s="168">
        <f>IF($C133-V$1&lt;År1,0,U132*(1-VLOOKUP($A133,[1]Hugst!$R$5:$W$9,MATCH(ROUNDUP((V$1)/10,0)*10,[1]Hugst!$R$4:$W$4,0))))</f>
        <v>0</v>
      </c>
      <c r="W133" s="168">
        <f>IF($C133-W$1&lt;År1,0,V132*(1-VLOOKUP($A133,[1]Hugst!$R$5:$W$9,MATCH(ROUNDUP((W$1)/10,0)*10,[1]Hugst!$R$4:$W$4,0))))</f>
        <v>0</v>
      </c>
      <c r="X133" s="168">
        <f>IF($C133-X$1&lt;År1,0,W132*(1-VLOOKUP($A133,[1]Hugst!$R$5:$W$9,MATCH(ROUNDUP((X$1)/10,0)*10,[1]Hugst!$R$4:$W$4,0))))</f>
        <v>0</v>
      </c>
      <c r="Y133" s="168">
        <f>IF($C133-Y$1&lt;År1,0,X132*(1-VLOOKUP($A133,[1]Hugst!$R$5:$W$9,MATCH(ROUNDUP((Y$1)/10,0)*10,[1]Hugst!$R$4:$W$4,0))))</f>
        <v>0</v>
      </c>
      <c r="Z133" s="168">
        <f>IF($C133-Z$1&lt;År1,0,Y132*(1-VLOOKUP($A133,[1]Hugst!$R$5:$W$9,MATCH(ROUNDUP((Z$1)/10,0)*10,[1]Hugst!$R$4:$W$4,0))))</f>
        <v>0</v>
      </c>
      <c r="AA133" s="168">
        <f>IF($C133-AA$1&lt;År1,0,Z132*(1-VLOOKUP($A133,[1]Hugst!$R$5:$W$9,MATCH(ROUNDUP((AA$1)/10,0)*10,[1]Hugst!$R$4:$W$4,0))))</f>
        <v>0</v>
      </c>
      <c r="AB133" s="168">
        <f>IF($C133-AB$1&lt;År1,0,AA132*(1-VLOOKUP($A133,[1]Hugst!$R$5:$W$9,MATCH(ROUNDUP((AB$1)/10,0)*10,[1]Hugst!$R$4:$W$4,0))))</f>
        <v>0</v>
      </c>
      <c r="AC133" s="168">
        <f>IF($C133-AC$1&lt;År1,0,AB132*(1-VLOOKUP($A133,[1]Hugst!$R$5:$W$9,MATCH(ROUNDUP((AC$1)/10,0)*10,[1]Hugst!$R$4:$W$4,0))))</f>
        <v>0</v>
      </c>
      <c r="AD133" s="168">
        <f>IF($C133-AD$1&lt;År1,0,AC132*(1-VLOOKUP($A133,[1]Hugst!$R$5:$W$9,MATCH(ROUNDUP((AD$1)/10,0)*10,[1]Hugst!$R$4:$W$4,0))))</f>
        <v>0</v>
      </c>
      <c r="AE133" s="168">
        <f>IF($C133-AE$1&lt;År1,0,AD132*(1-VLOOKUP($A133,[1]Hugst!$R$5:$W$9,MATCH(ROUNDUP((AE$1)/10,0)*10,[1]Hugst!$R$4:$W$4,0))))</f>
        <v>0</v>
      </c>
      <c r="AF133" s="168">
        <f>IF($C133-AF$1&lt;År1,0,AE132*(1-VLOOKUP($A133,[1]Hugst!$R$5:$W$9,MATCH(ROUNDUP((AF$1)/10,0)*10,[1]Hugst!$R$4:$W$4,0))))</f>
        <v>0</v>
      </c>
      <c r="AG133" s="168">
        <f>IF($C133-AG$1&lt;År1,0,AF132*(1-VLOOKUP($A133,[1]Hugst!$R$5:$W$9,MATCH(ROUNDUP((AG$1)/10,0)*10,[1]Hugst!$R$4:$W$4,0))))</f>
        <v>0</v>
      </c>
      <c r="AH133" s="168">
        <f>IF($C133-AH$1&lt;År1,0,AG132*(1-VLOOKUP($A133,[1]Hugst!$R$5:$W$9,MATCH(ROUNDUP((AH$1)/10,0)*10,[1]Hugst!$R$4:$W$4,0))))</f>
        <v>0</v>
      </c>
      <c r="AI133" s="168">
        <f>IF($C133-AI$1&lt;År1,0,AH132*(1-VLOOKUP($A133,[1]Hugst!$R$5:$W$9,MATCH(ROUNDUP((AI$1)/10,0)*10,[1]Hugst!$R$4:$W$4,0))))</f>
        <v>0</v>
      </c>
      <c r="AJ133" s="168">
        <f>IF($C133-AJ$1&lt;År1,0,AI132*(1-VLOOKUP($A133,[1]Hugst!$R$5:$W$9,MATCH(ROUNDUP((AJ$1)/10,0)*10,[1]Hugst!$R$4:$W$4,0))))</f>
        <v>0</v>
      </c>
    </row>
    <row r="134" spans="1:36" x14ac:dyDescent="0.25">
      <c r="A134" s="168" t="s">
        <v>178</v>
      </c>
      <c r="B134" s="168" t="s">
        <v>23</v>
      </c>
      <c r="C134" s="168">
        <v>2028</v>
      </c>
      <c r="D134" s="168" cm="1">
        <f t="array" ref="D134">(IF(B134="Vestdanmark",Skovbrug!$C$22-(Skovbrug!$C$22)*(1-Skovbrug!$C$9)^(C134-Skovbrug!$B$12),Skovbrug!$F$22-(Skovbrug!$F$22)*(1-Skovbrug!$C$9)^(C134-Skovbrug!$B$12))*VLOOKUP(A134,Skovbrug!$A$13:$D$17,IF('Skovbrug-alder'!C134&lt;=År2,3,4),FALSE)-IF(C134&gt;2020,SUM(INDEX($C$1:$D$311,MATCH(1,(2020=$C$1:$C$311)*(B134=$B$1:$B$311)*(A134=$A$1:$A$311),0),2):D133),0))</f>
        <v>0</v>
      </c>
      <c r="E134" s="168">
        <f t="shared" ca="1" si="3"/>
        <v>0</v>
      </c>
      <c r="F134" s="168">
        <f ca="1">IF(C134&lt;=År2,IF(B134="Vestdanmark",(Arealanvendelse!$M$27-Arealanvendelse!$J$27),(Arealanvendelse!$M$37-Arealanvendelse!$J$37))/(Arealanvendelse!$M$3-Arealanvendelse!$J$3),IF(B134="Vestdanmark",(Arealanvendelse!$P$27-Arealanvendelse!$M$27),(Arealanvendelse!$P$37-Arealanvendelse!$M$37))/(Arealanvendelse!$P$3-Arealanvendelse!$M$3))*VLOOKUP(A134,Skovbrug!$A$13:$D$17,IF('Skovbrug-alder'!C134&lt;=År2,3,4),FALSE)+D134+E134</f>
        <v>0</v>
      </c>
      <c r="G134" s="168">
        <f ca="1">IF($C134-G$1&lt;År1,0,F133*(1-VLOOKUP($A134,[1]Hugst!$R$5:$W$9,MATCH(ROUNDUP((G$1)/10,0)*10,[1]Hugst!$R$4:$W$4,0))))</f>
        <v>0</v>
      </c>
      <c r="H134" s="168">
        <f ca="1">IF($C134-H$1&lt;År1,0,G133*(1-VLOOKUP($A134,[1]Hugst!$R$5:$W$9,MATCH(ROUNDUP((H$1)/10,0)*10,[1]Hugst!$R$4:$W$4,0))))</f>
        <v>0</v>
      </c>
      <c r="I134" s="168">
        <f ca="1">IF($C134-I$1&lt;År1,0,H133*(1-VLOOKUP($A134,[1]Hugst!$R$5:$W$9,MATCH(ROUNDUP((I$1)/10,0)*10,[1]Hugst!$R$4:$W$4,0))))</f>
        <v>0</v>
      </c>
      <c r="J134" s="168">
        <f ca="1">IF($C134-J$1&lt;År1,0,I133*(1-VLOOKUP($A134,[1]Hugst!$R$5:$W$9,MATCH(ROUNDUP((J$1)/10,0)*10,[1]Hugst!$R$4:$W$4,0))))</f>
        <v>0</v>
      </c>
      <c r="K134" s="168">
        <f ca="1">IF($C134-K$1&lt;År1,0,J133*(1-VLOOKUP($A134,[1]Hugst!$R$5:$W$9,MATCH(ROUNDUP((K$1)/10,0)*10,[1]Hugst!$R$4:$W$4,0))))</f>
        <v>0</v>
      </c>
      <c r="L134" s="168">
        <f ca="1">IF($C134-L$1&lt;År1,0,K133*(1-VLOOKUP($A134,[1]Hugst!$R$5:$W$9,MATCH(ROUNDUP((L$1)/10,0)*10,[1]Hugst!$R$4:$W$4,0))))</f>
        <v>0</v>
      </c>
      <c r="M134" s="168">
        <f ca="1">IF($C134-M$1&lt;År1,0,L133*(1-VLOOKUP($A134,[1]Hugst!$R$5:$W$9,MATCH(ROUNDUP((M$1)/10,0)*10,[1]Hugst!$R$4:$W$4,0))))</f>
        <v>0</v>
      </c>
      <c r="N134" s="168">
        <f ca="1">IF($C134-N$1&lt;År1,0,M133*(1-VLOOKUP($A134,[1]Hugst!$R$5:$W$9,MATCH(ROUNDUP((N$1)/10,0)*10,[1]Hugst!$R$4:$W$4,0))))</f>
        <v>0</v>
      </c>
      <c r="O134" s="168">
        <f>IF($C134-O$1&lt;År1,0,N133*(1-VLOOKUP($A134,[1]Hugst!$R$5:$W$9,MATCH(ROUNDUP((O$1)/10,0)*10,[1]Hugst!$R$4:$W$4,0))))</f>
        <v>0</v>
      </c>
      <c r="P134" s="168">
        <f>IF($C134-P$1&lt;År1,0,O133*(1-VLOOKUP($A134,[1]Hugst!$R$5:$W$9,MATCH(ROUNDUP((P$1)/10,0)*10,[1]Hugst!$R$4:$W$4,0))))</f>
        <v>0</v>
      </c>
      <c r="Q134" s="168">
        <f>IF($C134-Q$1&lt;År1,0,P133*(1-VLOOKUP($A134,[1]Hugst!$R$5:$W$9,MATCH(ROUNDUP((Q$1)/10,0)*10,[1]Hugst!$R$4:$W$4,0))))</f>
        <v>0</v>
      </c>
      <c r="R134" s="168">
        <f>IF($C134-R$1&lt;År1,0,Q133*(1-VLOOKUP($A134,[1]Hugst!$R$5:$W$9,MATCH(ROUNDUP((R$1)/10,0)*10,[1]Hugst!$R$4:$W$4,0))))</f>
        <v>0</v>
      </c>
      <c r="S134" s="168">
        <f>IF($C134-S$1&lt;År1,0,R133*(1-VLOOKUP($A134,[1]Hugst!$R$5:$W$9,MATCH(ROUNDUP((S$1)/10,0)*10,[1]Hugst!$R$4:$W$4,0))))</f>
        <v>0</v>
      </c>
      <c r="T134" s="168">
        <f>IF($C134-T$1&lt;År1,0,S133*(1-VLOOKUP($A134,[1]Hugst!$R$5:$W$9,MATCH(ROUNDUP((T$1)/10,0)*10,[1]Hugst!$R$4:$W$4,0))))</f>
        <v>0</v>
      </c>
      <c r="U134" s="168">
        <f>IF($C134-U$1&lt;År1,0,T133*(1-VLOOKUP($A134,[1]Hugst!$R$5:$W$9,MATCH(ROUNDUP((U$1)/10,0)*10,[1]Hugst!$R$4:$W$4,0))))</f>
        <v>0</v>
      </c>
      <c r="V134" s="168">
        <f>IF($C134-V$1&lt;År1,0,U133*(1-VLOOKUP($A134,[1]Hugst!$R$5:$W$9,MATCH(ROUNDUP((V$1)/10,0)*10,[1]Hugst!$R$4:$W$4,0))))</f>
        <v>0</v>
      </c>
      <c r="W134" s="168">
        <f>IF($C134-W$1&lt;År1,0,V133*(1-VLOOKUP($A134,[1]Hugst!$R$5:$W$9,MATCH(ROUNDUP((W$1)/10,0)*10,[1]Hugst!$R$4:$W$4,0))))</f>
        <v>0</v>
      </c>
      <c r="X134" s="168">
        <f>IF($C134-X$1&lt;År1,0,W133*(1-VLOOKUP($A134,[1]Hugst!$R$5:$W$9,MATCH(ROUNDUP((X$1)/10,0)*10,[1]Hugst!$R$4:$W$4,0))))</f>
        <v>0</v>
      </c>
      <c r="Y134" s="168">
        <f>IF($C134-Y$1&lt;År1,0,X133*(1-VLOOKUP($A134,[1]Hugst!$R$5:$W$9,MATCH(ROUNDUP((Y$1)/10,0)*10,[1]Hugst!$R$4:$W$4,0))))</f>
        <v>0</v>
      </c>
      <c r="Z134" s="168">
        <f>IF($C134-Z$1&lt;År1,0,Y133*(1-VLOOKUP($A134,[1]Hugst!$R$5:$W$9,MATCH(ROUNDUP((Z$1)/10,0)*10,[1]Hugst!$R$4:$W$4,0))))</f>
        <v>0</v>
      </c>
      <c r="AA134" s="168">
        <f>IF($C134-AA$1&lt;År1,0,Z133*(1-VLOOKUP($A134,[1]Hugst!$R$5:$W$9,MATCH(ROUNDUP((AA$1)/10,0)*10,[1]Hugst!$R$4:$W$4,0))))</f>
        <v>0</v>
      </c>
      <c r="AB134" s="168">
        <f>IF($C134-AB$1&lt;År1,0,AA133*(1-VLOOKUP($A134,[1]Hugst!$R$5:$W$9,MATCH(ROUNDUP((AB$1)/10,0)*10,[1]Hugst!$R$4:$W$4,0))))</f>
        <v>0</v>
      </c>
      <c r="AC134" s="168">
        <f>IF($C134-AC$1&lt;År1,0,AB133*(1-VLOOKUP($A134,[1]Hugst!$R$5:$W$9,MATCH(ROUNDUP((AC$1)/10,0)*10,[1]Hugst!$R$4:$W$4,0))))</f>
        <v>0</v>
      </c>
      <c r="AD134" s="168">
        <f>IF($C134-AD$1&lt;År1,0,AC133*(1-VLOOKUP($A134,[1]Hugst!$R$5:$W$9,MATCH(ROUNDUP((AD$1)/10,0)*10,[1]Hugst!$R$4:$W$4,0))))</f>
        <v>0</v>
      </c>
      <c r="AE134" s="168">
        <f>IF($C134-AE$1&lt;År1,0,AD133*(1-VLOOKUP($A134,[1]Hugst!$R$5:$W$9,MATCH(ROUNDUP((AE$1)/10,0)*10,[1]Hugst!$R$4:$W$4,0))))</f>
        <v>0</v>
      </c>
      <c r="AF134" s="168">
        <f>IF($C134-AF$1&lt;År1,0,AE133*(1-VLOOKUP($A134,[1]Hugst!$R$5:$W$9,MATCH(ROUNDUP((AF$1)/10,0)*10,[1]Hugst!$R$4:$W$4,0))))</f>
        <v>0</v>
      </c>
      <c r="AG134" s="168">
        <f>IF($C134-AG$1&lt;År1,0,AF133*(1-VLOOKUP($A134,[1]Hugst!$R$5:$W$9,MATCH(ROUNDUP((AG$1)/10,0)*10,[1]Hugst!$R$4:$W$4,0))))</f>
        <v>0</v>
      </c>
      <c r="AH134" s="168">
        <f>IF($C134-AH$1&lt;År1,0,AG133*(1-VLOOKUP($A134,[1]Hugst!$R$5:$W$9,MATCH(ROUNDUP((AH$1)/10,0)*10,[1]Hugst!$R$4:$W$4,0))))</f>
        <v>0</v>
      </c>
      <c r="AI134" s="168">
        <f>IF($C134-AI$1&lt;År1,0,AH133*(1-VLOOKUP($A134,[1]Hugst!$R$5:$W$9,MATCH(ROUNDUP((AI$1)/10,0)*10,[1]Hugst!$R$4:$W$4,0))))</f>
        <v>0</v>
      </c>
      <c r="AJ134" s="168">
        <f>IF($C134-AJ$1&lt;År1,0,AI133*(1-VLOOKUP($A134,[1]Hugst!$R$5:$W$9,MATCH(ROUNDUP((AJ$1)/10,0)*10,[1]Hugst!$R$4:$W$4,0))))</f>
        <v>0</v>
      </c>
    </row>
    <row r="135" spans="1:36" x14ac:dyDescent="0.25">
      <c r="A135" s="168" t="s">
        <v>178</v>
      </c>
      <c r="B135" s="168" t="s">
        <v>23</v>
      </c>
      <c r="C135" s="168">
        <v>2029</v>
      </c>
      <c r="D135" s="168" cm="1">
        <f t="array" ref="D135">(IF(B135="Vestdanmark",Skovbrug!$C$22-(Skovbrug!$C$22)*(1-Skovbrug!$C$9)^(C135-Skovbrug!$B$12),Skovbrug!$F$22-(Skovbrug!$F$22)*(1-Skovbrug!$C$9)^(C135-Skovbrug!$B$12))*VLOOKUP(A135,Skovbrug!$A$13:$D$17,IF('Skovbrug-alder'!C135&lt;=År2,3,4),FALSE)-IF(C135&gt;2020,SUM(INDEX($C$1:$D$311,MATCH(1,(2020=$C$1:$C$311)*(B135=$B$1:$B$311)*(A135=$A$1:$A$311),0),2):D134),0))</f>
        <v>0</v>
      </c>
      <c r="E135" s="168">
        <f t="shared" ca="1" si="3"/>
        <v>0</v>
      </c>
      <c r="F135" s="168">
        <f ca="1">IF(C135&lt;=År2,IF(B135="Vestdanmark",(Arealanvendelse!$M$27-Arealanvendelse!$J$27),(Arealanvendelse!$M$37-Arealanvendelse!$J$37))/(Arealanvendelse!$M$3-Arealanvendelse!$J$3),IF(B135="Vestdanmark",(Arealanvendelse!$P$27-Arealanvendelse!$M$27),(Arealanvendelse!$P$37-Arealanvendelse!$M$37))/(Arealanvendelse!$P$3-Arealanvendelse!$M$3))*VLOOKUP(A135,Skovbrug!$A$13:$D$17,IF('Skovbrug-alder'!C135&lt;=År2,3,4),FALSE)+D135+E135</f>
        <v>0</v>
      </c>
      <c r="G135" s="168">
        <f ca="1">IF($C135-G$1&lt;År1,0,F134*(1-VLOOKUP($A135,[1]Hugst!$R$5:$W$9,MATCH(ROUNDUP((G$1)/10,0)*10,[1]Hugst!$R$4:$W$4,0))))</f>
        <v>0</v>
      </c>
      <c r="H135" s="168">
        <f ca="1">IF($C135-H$1&lt;År1,0,G134*(1-VLOOKUP($A135,[1]Hugst!$R$5:$W$9,MATCH(ROUNDUP((H$1)/10,0)*10,[1]Hugst!$R$4:$W$4,0))))</f>
        <v>0</v>
      </c>
      <c r="I135" s="168">
        <f ca="1">IF($C135-I$1&lt;År1,0,H134*(1-VLOOKUP($A135,[1]Hugst!$R$5:$W$9,MATCH(ROUNDUP((I$1)/10,0)*10,[1]Hugst!$R$4:$W$4,0))))</f>
        <v>0</v>
      </c>
      <c r="J135" s="168">
        <f ca="1">IF($C135-J$1&lt;År1,0,I134*(1-VLOOKUP($A135,[1]Hugst!$R$5:$W$9,MATCH(ROUNDUP((J$1)/10,0)*10,[1]Hugst!$R$4:$W$4,0))))</f>
        <v>0</v>
      </c>
      <c r="K135" s="168">
        <f ca="1">IF($C135-K$1&lt;År1,0,J134*(1-VLOOKUP($A135,[1]Hugst!$R$5:$W$9,MATCH(ROUNDUP((K$1)/10,0)*10,[1]Hugst!$R$4:$W$4,0))))</f>
        <v>0</v>
      </c>
      <c r="L135" s="168">
        <f ca="1">IF($C135-L$1&lt;År1,0,K134*(1-VLOOKUP($A135,[1]Hugst!$R$5:$W$9,MATCH(ROUNDUP((L$1)/10,0)*10,[1]Hugst!$R$4:$W$4,0))))</f>
        <v>0</v>
      </c>
      <c r="M135" s="168">
        <f ca="1">IF($C135-M$1&lt;År1,0,L134*(1-VLOOKUP($A135,[1]Hugst!$R$5:$W$9,MATCH(ROUNDUP((M$1)/10,0)*10,[1]Hugst!$R$4:$W$4,0))))</f>
        <v>0</v>
      </c>
      <c r="N135" s="168">
        <f ca="1">IF($C135-N$1&lt;År1,0,M134*(1-VLOOKUP($A135,[1]Hugst!$R$5:$W$9,MATCH(ROUNDUP((N$1)/10,0)*10,[1]Hugst!$R$4:$W$4,0))))</f>
        <v>0</v>
      </c>
      <c r="O135" s="168">
        <f ca="1">IF($C135-O$1&lt;År1,0,N134*(1-VLOOKUP($A135,[1]Hugst!$R$5:$W$9,MATCH(ROUNDUP((O$1)/10,0)*10,[1]Hugst!$R$4:$W$4,0))))</f>
        <v>0</v>
      </c>
      <c r="P135" s="168">
        <f>IF($C135-P$1&lt;År1,0,O134*(1-VLOOKUP($A135,[1]Hugst!$R$5:$W$9,MATCH(ROUNDUP((P$1)/10,0)*10,[1]Hugst!$R$4:$W$4,0))))</f>
        <v>0</v>
      </c>
      <c r="Q135" s="168">
        <f>IF($C135-Q$1&lt;År1,0,P134*(1-VLOOKUP($A135,[1]Hugst!$R$5:$W$9,MATCH(ROUNDUP((Q$1)/10,0)*10,[1]Hugst!$R$4:$W$4,0))))</f>
        <v>0</v>
      </c>
      <c r="R135" s="168">
        <f>IF($C135-R$1&lt;År1,0,Q134*(1-VLOOKUP($A135,[1]Hugst!$R$5:$W$9,MATCH(ROUNDUP((R$1)/10,0)*10,[1]Hugst!$R$4:$W$4,0))))</f>
        <v>0</v>
      </c>
      <c r="S135" s="168">
        <f>IF($C135-S$1&lt;År1,0,R134*(1-VLOOKUP($A135,[1]Hugst!$R$5:$W$9,MATCH(ROUNDUP((S$1)/10,0)*10,[1]Hugst!$R$4:$W$4,0))))</f>
        <v>0</v>
      </c>
      <c r="T135" s="168">
        <f>IF($C135-T$1&lt;År1,0,S134*(1-VLOOKUP($A135,[1]Hugst!$R$5:$W$9,MATCH(ROUNDUP((T$1)/10,0)*10,[1]Hugst!$R$4:$W$4,0))))</f>
        <v>0</v>
      </c>
      <c r="U135" s="168">
        <f>IF($C135-U$1&lt;År1,0,T134*(1-VLOOKUP($A135,[1]Hugst!$R$5:$W$9,MATCH(ROUNDUP((U$1)/10,0)*10,[1]Hugst!$R$4:$W$4,0))))</f>
        <v>0</v>
      </c>
      <c r="V135" s="168">
        <f>IF($C135-V$1&lt;År1,0,U134*(1-VLOOKUP($A135,[1]Hugst!$R$5:$W$9,MATCH(ROUNDUP((V$1)/10,0)*10,[1]Hugst!$R$4:$W$4,0))))</f>
        <v>0</v>
      </c>
      <c r="W135" s="168">
        <f>IF($C135-W$1&lt;År1,0,V134*(1-VLOOKUP($A135,[1]Hugst!$R$5:$W$9,MATCH(ROUNDUP((W$1)/10,0)*10,[1]Hugst!$R$4:$W$4,0))))</f>
        <v>0</v>
      </c>
      <c r="X135" s="168">
        <f>IF($C135-X$1&lt;År1,0,W134*(1-VLOOKUP($A135,[1]Hugst!$R$5:$W$9,MATCH(ROUNDUP((X$1)/10,0)*10,[1]Hugst!$R$4:$W$4,0))))</f>
        <v>0</v>
      </c>
      <c r="Y135" s="168">
        <f>IF($C135-Y$1&lt;År1,0,X134*(1-VLOOKUP($A135,[1]Hugst!$R$5:$W$9,MATCH(ROUNDUP((Y$1)/10,0)*10,[1]Hugst!$R$4:$W$4,0))))</f>
        <v>0</v>
      </c>
      <c r="Z135" s="168">
        <f>IF($C135-Z$1&lt;År1,0,Y134*(1-VLOOKUP($A135,[1]Hugst!$R$5:$W$9,MATCH(ROUNDUP((Z$1)/10,0)*10,[1]Hugst!$R$4:$W$4,0))))</f>
        <v>0</v>
      </c>
      <c r="AA135" s="168">
        <f>IF($C135-AA$1&lt;År1,0,Z134*(1-VLOOKUP($A135,[1]Hugst!$R$5:$W$9,MATCH(ROUNDUP((AA$1)/10,0)*10,[1]Hugst!$R$4:$W$4,0))))</f>
        <v>0</v>
      </c>
      <c r="AB135" s="168">
        <f>IF($C135-AB$1&lt;År1,0,AA134*(1-VLOOKUP($A135,[1]Hugst!$R$5:$W$9,MATCH(ROUNDUP((AB$1)/10,0)*10,[1]Hugst!$R$4:$W$4,0))))</f>
        <v>0</v>
      </c>
      <c r="AC135" s="168">
        <f>IF($C135-AC$1&lt;År1,0,AB134*(1-VLOOKUP($A135,[1]Hugst!$R$5:$W$9,MATCH(ROUNDUP((AC$1)/10,0)*10,[1]Hugst!$R$4:$W$4,0))))</f>
        <v>0</v>
      </c>
      <c r="AD135" s="168">
        <f>IF($C135-AD$1&lt;År1,0,AC134*(1-VLOOKUP($A135,[1]Hugst!$R$5:$W$9,MATCH(ROUNDUP((AD$1)/10,0)*10,[1]Hugst!$R$4:$W$4,0))))</f>
        <v>0</v>
      </c>
      <c r="AE135" s="168">
        <f>IF($C135-AE$1&lt;År1,0,AD134*(1-VLOOKUP($A135,[1]Hugst!$R$5:$W$9,MATCH(ROUNDUP((AE$1)/10,0)*10,[1]Hugst!$R$4:$W$4,0))))</f>
        <v>0</v>
      </c>
      <c r="AF135" s="168">
        <f>IF($C135-AF$1&lt;År1,0,AE134*(1-VLOOKUP($A135,[1]Hugst!$R$5:$W$9,MATCH(ROUNDUP((AF$1)/10,0)*10,[1]Hugst!$R$4:$W$4,0))))</f>
        <v>0</v>
      </c>
      <c r="AG135" s="168">
        <f>IF($C135-AG$1&lt;År1,0,AF134*(1-VLOOKUP($A135,[1]Hugst!$R$5:$W$9,MATCH(ROUNDUP((AG$1)/10,0)*10,[1]Hugst!$R$4:$W$4,0))))</f>
        <v>0</v>
      </c>
      <c r="AH135" s="168">
        <f>IF($C135-AH$1&lt;År1,0,AG134*(1-VLOOKUP($A135,[1]Hugst!$R$5:$W$9,MATCH(ROUNDUP((AH$1)/10,0)*10,[1]Hugst!$R$4:$W$4,0))))</f>
        <v>0</v>
      </c>
      <c r="AI135" s="168">
        <f>IF($C135-AI$1&lt;År1,0,AH134*(1-VLOOKUP($A135,[1]Hugst!$R$5:$W$9,MATCH(ROUNDUP((AI$1)/10,0)*10,[1]Hugst!$R$4:$W$4,0))))</f>
        <v>0</v>
      </c>
      <c r="AJ135" s="168">
        <f>IF($C135-AJ$1&lt;År1,0,AI134*(1-VLOOKUP($A135,[1]Hugst!$R$5:$W$9,MATCH(ROUNDUP((AJ$1)/10,0)*10,[1]Hugst!$R$4:$W$4,0))))</f>
        <v>0</v>
      </c>
    </row>
    <row r="136" spans="1:36" x14ac:dyDescent="0.25">
      <c r="A136" s="168" t="s">
        <v>178</v>
      </c>
      <c r="B136" s="168" t="s">
        <v>23</v>
      </c>
      <c r="C136" s="168">
        <v>2030</v>
      </c>
      <c r="D136" s="168" cm="1">
        <f t="array" ref="D136">(IF(B136="Vestdanmark",Skovbrug!$C$22-(Skovbrug!$C$22)*(1-Skovbrug!$C$9)^(C136-Skovbrug!$B$12),Skovbrug!$F$22-(Skovbrug!$F$22)*(1-Skovbrug!$C$9)^(C136-Skovbrug!$B$12))*VLOOKUP(A136,Skovbrug!$A$13:$D$17,IF('Skovbrug-alder'!C136&lt;=År2,3,4),FALSE)-IF(C136&gt;2020,SUM(INDEX($C$1:$D$311,MATCH(1,(2020=$C$1:$C$311)*(B136=$B$1:$B$311)*(A136=$A$1:$A$311),0),2):D135),0))</f>
        <v>0</v>
      </c>
      <c r="E136" s="168">
        <f t="shared" ca="1" si="3"/>
        <v>0</v>
      </c>
      <c r="F136" s="168">
        <f ca="1">IF(C136&lt;=År2,IF(B136="Vestdanmark",(Arealanvendelse!$M$27-Arealanvendelse!$J$27),(Arealanvendelse!$M$37-Arealanvendelse!$J$37))/(Arealanvendelse!$M$3-Arealanvendelse!$J$3),IF(B136="Vestdanmark",(Arealanvendelse!$P$27-Arealanvendelse!$M$27),(Arealanvendelse!$P$37-Arealanvendelse!$M$37))/(Arealanvendelse!$P$3-Arealanvendelse!$M$3))*VLOOKUP(A136,Skovbrug!$A$13:$D$17,IF('Skovbrug-alder'!C136&lt;=År2,3,4),FALSE)+D136+E136</f>
        <v>0</v>
      </c>
      <c r="G136" s="168">
        <f ca="1">IF($C136-G$1&lt;År1,0,F135*(1-VLOOKUP($A136,[1]Hugst!$R$5:$W$9,MATCH(ROUNDUP((G$1)/10,0)*10,[1]Hugst!$R$4:$W$4,0))))</f>
        <v>0</v>
      </c>
      <c r="H136" s="168">
        <f ca="1">IF($C136-H$1&lt;År1,0,G135*(1-VLOOKUP($A136,[1]Hugst!$R$5:$W$9,MATCH(ROUNDUP((H$1)/10,0)*10,[1]Hugst!$R$4:$W$4,0))))</f>
        <v>0</v>
      </c>
      <c r="I136" s="168">
        <f ca="1">IF($C136-I$1&lt;År1,0,H135*(1-VLOOKUP($A136,[1]Hugst!$R$5:$W$9,MATCH(ROUNDUP((I$1)/10,0)*10,[1]Hugst!$R$4:$W$4,0))))</f>
        <v>0</v>
      </c>
      <c r="J136" s="168">
        <f ca="1">IF($C136-J$1&lt;År1,0,I135*(1-VLOOKUP($A136,[1]Hugst!$R$5:$W$9,MATCH(ROUNDUP((J$1)/10,0)*10,[1]Hugst!$R$4:$W$4,0))))</f>
        <v>0</v>
      </c>
      <c r="K136" s="168">
        <f ca="1">IF($C136-K$1&lt;År1,0,J135*(1-VLOOKUP($A136,[1]Hugst!$R$5:$W$9,MATCH(ROUNDUP((K$1)/10,0)*10,[1]Hugst!$R$4:$W$4,0))))</f>
        <v>0</v>
      </c>
      <c r="L136" s="168">
        <f ca="1">IF($C136-L$1&lt;År1,0,K135*(1-VLOOKUP($A136,[1]Hugst!$R$5:$W$9,MATCH(ROUNDUP((L$1)/10,0)*10,[1]Hugst!$R$4:$W$4,0))))</f>
        <v>0</v>
      </c>
      <c r="M136" s="168">
        <f ca="1">IF($C136-M$1&lt;År1,0,L135*(1-VLOOKUP($A136,[1]Hugst!$R$5:$W$9,MATCH(ROUNDUP((M$1)/10,0)*10,[1]Hugst!$R$4:$W$4,0))))</f>
        <v>0</v>
      </c>
      <c r="N136" s="168">
        <f ca="1">IF($C136-N$1&lt;År1,0,M135*(1-VLOOKUP($A136,[1]Hugst!$R$5:$W$9,MATCH(ROUNDUP((N$1)/10,0)*10,[1]Hugst!$R$4:$W$4,0))))</f>
        <v>0</v>
      </c>
      <c r="O136" s="168">
        <f ca="1">IF($C136-O$1&lt;År1,0,N135*(1-VLOOKUP($A136,[1]Hugst!$R$5:$W$9,MATCH(ROUNDUP((O$1)/10,0)*10,[1]Hugst!$R$4:$W$4,0))))</f>
        <v>0</v>
      </c>
      <c r="P136" s="168">
        <f ca="1">IF($C136-P$1&lt;År1,0,O135*(1-VLOOKUP($A136,[1]Hugst!$R$5:$W$9,MATCH(ROUNDUP((P$1)/10,0)*10,[1]Hugst!$R$4:$W$4,0))))</f>
        <v>0</v>
      </c>
      <c r="Q136" s="168">
        <f>IF($C136-Q$1&lt;År1,0,P135*(1-VLOOKUP($A136,[1]Hugst!$R$5:$W$9,MATCH(ROUNDUP((Q$1)/10,0)*10,[1]Hugst!$R$4:$W$4,0))))</f>
        <v>0</v>
      </c>
      <c r="R136" s="168">
        <f>IF($C136-R$1&lt;År1,0,Q135*(1-VLOOKUP($A136,[1]Hugst!$R$5:$W$9,MATCH(ROUNDUP((R$1)/10,0)*10,[1]Hugst!$R$4:$W$4,0))))</f>
        <v>0</v>
      </c>
      <c r="S136" s="168">
        <f>IF($C136-S$1&lt;År1,0,R135*(1-VLOOKUP($A136,[1]Hugst!$R$5:$W$9,MATCH(ROUNDUP((S$1)/10,0)*10,[1]Hugst!$R$4:$W$4,0))))</f>
        <v>0</v>
      </c>
      <c r="T136" s="168">
        <f>IF($C136-T$1&lt;År1,0,S135*(1-VLOOKUP($A136,[1]Hugst!$R$5:$W$9,MATCH(ROUNDUP((T$1)/10,0)*10,[1]Hugst!$R$4:$W$4,0))))</f>
        <v>0</v>
      </c>
      <c r="U136" s="168">
        <f>IF($C136-U$1&lt;År1,0,T135*(1-VLOOKUP($A136,[1]Hugst!$R$5:$W$9,MATCH(ROUNDUP((U$1)/10,0)*10,[1]Hugst!$R$4:$W$4,0))))</f>
        <v>0</v>
      </c>
      <c r="V136" s="168">
        <f>IF($C136-V$1&lt;År1,0,U135*(1-VLOOKUP($A136,[1]Hugst!$R$5:$W$9,MATCH(ROUNDUP((V$1)/10,0)*10,[1]Hugst!$R$4:$W$4,0))))</f>
        <v>0</v>
      </c>
      <c r="W136" s="168">
        <f>IF($C136-W$1&lt;År1,0,V135*(1-VLOOKUP($A136,[1]Hugst!$R$5:$W$9,MATCH(ROUNDUP((W$1)/10,0)*10,[1]Hugst!$R$4:$W$4,0))))</f>
        <v>0</v>
      </c>
      <c r="X136" s="168">
        <f>IF($C136-X$1&lt;År1,0,W135*(1-VLOOKUP($A136,[1]Hugst!$R$5:$W$9,MATCH(ROUNDUP((X$1)/10,0)*10,[1]Hugst!$R$4:$W$4,0))))</f>
        <v>0</v>
      </c>
      <c r="Y136" s="168">
        <f>IF($C136-Y$1&lt;År1,0,X135*(1-VLOOKUP($A136,[1]Hugst!$R$5:$W$9,MATCH(ROUNDUP((Y$1)/10,0)*10,[1]Hugst!$R$4:$W$4,0))))</f>
        <v>0</v>
      </c>
      <c r="Z136" s="168">
        <f>IF($C136-Z$1&lt;År1,0,Y135*(1-VLOOKUP($A136,[1]Hugst!$R$5:$W$9,MATCH(ROUNDUP((Z$1)/10,0)*10,[1]Hugst!$R$4:$W$4,0))))</f>
        <v>0</v>
      </c>
      <c r="AA136" s="168">
        <f>IF($C136-AA$1&lt;År1,0,Z135*(1-VLOOKUP($A136,[1]Hugst!$R$5:$W$9,MATCH(ROUNDUP((AA$1)/10,0)*10,[1]Hugst!$R$4:$W$4,0))))</f>
        <v>0</v>
      </c>
      <c r="AB136" s="168">
        <f>IF($C136-AB$1&lt;År1,0,AA135*(1-VLOOKUP($A136,[1]Hugst!$R$5:$W$9,MATCH(ROUNDUP((AB$1)/10,0)*10,[1]Hugst!$R$4:$W$4,0))))</f>
        <v>0</v>
      </c>
      <c r="AC136" s="168">
        <f>IF($C136-AC$1&lt;År1,0,AB135*(1-VLOOKUP($A136,[1]Hugst!$R$5:$W$9,MATCH(ROUNDUP((AC$1)/10,0)*10,[1]Hugst!$R$4:$W$4,0))))</f>
        <v>0</v>
      </c>
      <c r="AD136" s="168">
        <f>IF($C136-AD$1&lt;År1,0,AC135*(1-VLOOKUP($A136,[1]Hugst!$R$5:$W$9,MATCH(ROUNDUP((AD$1)/10,0)*10,[1]Hugst!$R$4:$W$4,0))))</f>
        <v>0</v>
      </c>
      <c r="AE136" s="168">
        <f>IF($C136-AE$1&lt;År1,0,AD135*(1-VLOOKUP($A136,[1]Hugst!$R$5:$W$9,MATCH(ROUNDUP((AE$1)/10,0)*10,[1]Hugst!$R$4:$W$4,0))))</f>
        <v>0</v>
      </c>
      <c r="AF136" s="168">
        <f>IF($C136-AF$1&lt;År1,0,AE135*(1-VLOOKUP($A136,[1]Hugst!$R$5:$W$9,MATCH(ROUNDUP((AF$1)/10,0)*10,[1]Hugst!$R$4:$W$4,0))))</f>
        <v>0</v>
      </c>
      <c r="AG136" s="168">
        <f>IF($C136-AG$1&lt;År1,0,AF135*(1-VLOOKUP($A136,[1]Hugst!$R$5:$W$9,MATCH(ROUNDUP((AG$1)/10,0)*10,[1]Hugst!$R$4:$W$4,0))))</f>
        <v>0</v>
      </c>
      <c r="AH136" s="168">
        <f>IF($C136-AH$1&lt;År1,0,AG135*(1-VLOOKUP($A136,[1]Hugst!$R$5:$W$9,MATCH(ROUNDUP((AH$1)/10,0)*10,[1]Hugst!$R$4:$W$4,0))))</f>
        <v>0</v>
      </c>
      <c r="AI136" s="168">
        <f>IF($C136-AI$1&lt;År1,0,AH135*(1-VLOOKUP($A136,[1]Hugst!$R$5:$W$9,MATCH(ROUNDUP((AI$1)/10,0)*10,[1]Hugst!$R$4:$W$4,0))))</f>
        <v>0</v>
      </c>
      <c r="AJ136" s="168">
        <f>IF($C136-AJ$1&lt;År1,0,AI135*(1-VLOOKUP($A136,[1]Hugst!$R$5:$W$9,MATCH(ROUNDUP((AJ$1)/10,0)*10,[1]Hugst!$R$4:$W$4,0))))</f>
        <v>0</v>
      </c>
    </row>
    <row r="137" spans="1:36" x14ac:dyDescent="0.25">
      <c r="A137" s="168" t="s">
        <v>178</v>
      </c>
      <c r="B137" s="168" t="s">
        <v>23</v>
      </c>
      <c r="C137" s="168">
        <v>2031</v>
      </c>
      <c r="D137" s="168" cm="1">
        <f t="array" ref="D137">(IF(B137="Vestdanmark",Skovbrug!$C$22-(Skovbrug!$C$22)*(1-Skovbrug!$C$9)^(C137-Skovbrug!$B$12),Skovbrug!$F$22-(Skovbrug!$F$22)*(1-Skovbrug!$C$9)^(C137-Skovbrug!$B$12))*VLOOKUP(A137,Skovbrug!$A$13:$D$17,IF('Skovbrug-alder'!C137&lt;=År2,3,4),FALSE)-IF(C137&gt;2020,SUM(INDEX($C$1:$D$311,MATCH(1,(2020=$C$1:$C$311)*(B137=$B$1:$B$311)*(A137=$A$1:$A$311),0),2):D136),0))</f>
        <v>0</v>
      </c>
      <c r="E137" s="168">
        <f t="shared" ca="1" si="3"/>
        <v>0</v>
      </c>
      <c r="F137" s="168">
        <f ca="1">IF(C137&lt;=År2,IF(B137="Vestdanmark",(Arealanvendelse!$M$27-Arealanvendelse!$J$27),(Arealanvendelse!$M$37-Arealanvendelse!$J$37))/(Arealanvendelse!$M$3-Arealanvendelse!$J$3),IF(B137="Vestdanmark",(Arealanvendelse!$P$27-Arealanvendelse!$M$27),(Arealanvendelse!$P$37-Arealanvendelse!$M$37))/(Arealanvendelse!$P$3-Arealanvendelse!$M$3))*VLOOKUP(A137,Skovbrug!$A$13:$D$17,IF('Skovbrug-alder'!C137&lt;=År2,3,4),FALSE)+D137+E137</f>
        <v>0</v>
      </c>
      <c r="G137" s="168">
        <f ca="1">IF($C137-G$1&lt;År1,0,F136*(1-VLOOKUP($A137,[1]Hugst!$R$5:$W$9,MATCH(ROUNDUP((G$1)/10,0)*10,[1]Hugst!$R$4:$W$4,0))))</f>
        <v>0</v>
      </c>
      <c r="H137" s="168">
        <f ca="1">IF($C137-H$1&lt;År1,0,G136*(1-VLOOKUP($A137,[1]Hugst!$R$5:$W$9,MATCH(ROUNDUP((H$1)/10,0)*10,[1]Hugst!$R$4:$W$4,0))))</f>
        <v>0</v>
      </c>
      <c r="I137" s="168">
        <f ca="1">IF($C137-I$1&lt;År1,0,H136*(1-VLOOKUP($A137,[1]Hugst!$R$5:$W$9,MATCH(ROUNDUP((I$1)/10,0)*10,[1]Hugst!$R$4:$W$4,0))))</f>
        <v>0</v>
      </c>
      <c r="J137" s="168">
        <f ca="1">IF($C137-J$1&lt;År1,0,I136*(1-VLOOKUP($A137,[1]Hugst!$R$5:$W$9,MATCH(ROUNDUP((J$1)/10,0)*10,[1]Hugst!$R$4:$W$4,0))))</f>
        <v>0</v>
      </c>
      <c r="K137" s="168">
        <f ca="1">IF($C137-K$1&lt;År1,0,J136*(1-VLOOKUP($A137,[1]Hugst!$R$5:$W$9,MATCH(ROUNDUP((K$1)/10,0)*10,[1]Hugst!$R$4:$W$4,0))))</f>
        <v>0</v>
      </c>
      <c r="L137" s="168">
        <f ca="1">IF($C137-L$1&lt;År1,0,K136*(1-VLOOKUP($A137,[1]Hugst!$R$5:$W$9,MATCH(ROUNDUP((L$1)/10,0)*10,[1]Hugst!$R$4:$W$4,0))))</f>
        <v>0</v>
      </c>
      <c r="M137" s="168">
        <f ca="1">IF($C137-M$1&lt;År1,0,L136*(1-VLOOKUP($A137,[1]Hugst!$R$5:$W$9,MATCH(ROUNDUP((M$1)/10,0)*10,[1]Hugst!$R$4:$W$4,0))))</f>
        <v>0</v>
      </c>
      <c r="N137" s="168">
        <f ca="1">IF($C137-N$1&lt;År1,0,M136*(1-VLOOKUP($A137,[1]Hugst!$R$5:$W$9,MATCH(ROUNDUP((N$1)/10,0)*10,[1]Hugst!$R$4:$W$4,0))))</f>
        <v>0</v>
      </c>
      <c r="O137" s="168">
        <f ca="1">IF($C137-O$1&lt;År1,0,N136*(1-VLOOKUP($A137,[1]Hugst!$R$5:$W$9,MATCH(ROUNDUP((O$1)/10,0)*10,[1]Hugst!$R$4:$W$4,0))))</f>
        <v>0</v>
      </c>
      <c r="P137" s="168">
        <f ca="1">IF($C137-P$1&lt;År1,0,O136*(1-VLOOKUP($A137,[1]Hugst!$R$5:$W$9,MATCH(ROUNDUP((P$1)/10,0)*10,[1]Hugst!$R$4:$W$4,0))))</f>
        <v>0</v>
      </c>
      <c r="Q137" s="168">
        <f ca="1">IF($C137-Q$1&lt;År1,0,P136*(1-VLOOKUP($A137,[1]Hugst!$R$5:$W$9,MATCH(ROUNDUP((Q$1)/10,0)*10,[1]Hugst!$R$4:$W$4,0))))</f>
        <v>0</v>
      </c>
      <c r="R137" s="168">
        <f>IF($C137-R$1&lt;År1,0,Q136*(1-VLOOKUP($A137,[1]Hugst!$R$5:$W$9,MATCH(ROUNDUP((R$1)/10,0)*10,[1]Hugst!$R$4:$W$4,0))))</f>
        <v>0</v>
      </c>
      <c r="S137" s="168">
        <f>IF($C137-S$1&lt;År1,0,R136*(1-VLOOKUP($A137,[1]Hugst!$R$5:$W$9,MATCH(ROUNDUP((S$1)/10,0)*10,[1]Hugst!$R$4:$W$4,0))))</f>
        <v>0</v>
      </c>
      <c r="T137" s="168">
        <f>IF($C137-T$1&lt;År1,0,S136*(1-VLOOKUP($A137,[1]Hugst!$R$5:$W$9,MATCH(ROUNDUP((T$1)/10,0)*10,[1]Hugst!$R$4:$W$4,0))))</f>
        <v>0</v>
      </c>
      <c r="U137" s="168">
        <f>IF($C137-U$1&lt;År1,0,T136*(1-VLOOKUP($A137,[1]Hugst!$R$5:$W$9,MATCH(ROUNDUP((U$1)/10,0)*10,[1]Hugst!$R$4:$W$4,0))))</f>
        <v>0</v>
      </c>
      <c r="V137" s="168">
        <f>IF($C137-V$1&lt;År1,0,U136*(1-VLOOKUP($A137,[1]Hugst!$R$5:$W$9,MATCH(ROUNDUP((V$1)/10,0)*10,[1]Hugst!$R$4:$W$4,0))))</f>
        <v>0</v>
      </c>
      <c r="W137" s="168">
        <f>IF($C137-W$1&lt;År1,0,V136*(1-VLOOKUP($A137,[1]Hugst!$R$5:$W$9,MATCH(ROUNDUP((W$1)/10,0)*10,[1]Hugst!$R$4:$W$4,0))))</f>
        <v>0</v>
      </c>
      <c r="X137" s="168">
        <f>IF($C137-X$1&lt;År1,0,W136*(1-VLOOKUP($A137,[1]Hugst!$R$5:$W$9,MATCH(ROUNDUP((X$1)/10,0)*10,[1]Hugst!$R$4:$W$4,0))))</f>
        <v>0</v>
      </c>
      <c r="Y137" s="168">
        <f>IF($C137-Y$1&lt;År1,0,X136*(1-VLOOKUP($A137,[1]Hugst!$R$5:$W$9,MATCH(ROUNDUP((Y$1)/10,0)*10,[1]Hugst!$R$4:$W$4,0))))</f>
        <v>0</v>
      </c>
      <c r="Z137" s="168">
        <f>IF($C137-Z$1&lt;År1,0,Y136*(1-VLOOKUP($A137,[1]Hugst!$R$5:$W$9,MATCH(ROUNDUP((Z$1)/10,0)*10,[1]Hugst!$R$4:$W$4,0))))</f>
        <v>0</v>
      </c>
      <c r="AA137" s="168">
        <f>IF($C137-AA$1&lt;År1,0,Z136*(1-VLOOKUP($A137,[1]Hugst!$R$5:$W$9,MATCH(ROUNDUP((AA$1)/10,0)*10,[1]Hugst!$R$4:$W$4,0))))</f>
        <v>0</v>
      </c>
      <c r="AB137" s="168">
        <f>IF($C137-AB$1&lt;År1,0,AA136*(1-VLOOKUP($A137,[1]Hugst!$R$5:$W$9,MATCH(ROUNDUP((AB$1)/10,0)*10,[1]Hugst!$R$4:$W$4,0))))</f>
        <v>0</v>
      </c>
      <c r="AC137" s="168">
        <f>IF($C137-AC$1&lt;År1,0,AB136*(1-VLOOKUP($A137,[1]Hugst!$R$5:$W$9,MATCH(ROUNDUP((AC$1)/10,0)*10,[1]Hugst!$R$4:$W$4,0))))</f>
        <v>0</v>
      </c>
      <c r="AD137" s="168">
        <f>IF($C137-AD$1&lt;År1,0,AC136*(1-VLOOKUP($A137,[1]Hugst!$R$5:$W$9,MATCH(ROUNDUP((AD$1)/10,0)*10,[1]Hugst!$R$4:$W$4,0))))</f>
        <v>0</v>
      </c>
      <c r="AE137" s="168">
        <f>IF($C137-AE$1&lt;År1,0,AD136*(1-VLOOKUP($A137,[1]Hugst!$R$5:$W$9,MATCH(ROUNDUP((AE$1)/10,0)*10,[1]Hugst!$R$4:$W$4,0))))</f>
        <v>0</v>
      </c>
      <c r="AF137" s="168">
        <f>IF($C137-AF$1&lt;År1,0,AE136*(1-VLOOKUP($A137,[1]Hugst!$R$5:$W$9,MATCH(ROUNDUP((AF$1)/10,0)*10,[1]Hugst!$R$4:$W$4,0))))</f>
        <v>0</v>
      </c>
      <c r="AG137" s="168">
        <f>IF($C137-AG$1&lt;År1,0,AF136*(1-VLOOKUP($A137,[1]Hugst!$R$5:$W$9,MATCH(ROUNDUP((AG$1)/10,0)*10,[1]Hugst!$R$4:$W$4,0))))</f>
        <v>0</v>
      </c>
      <c r="AH137" s="168">
        <f>IF($C137-AH$1&lt;År1,0,AG136*(1-VLOOKUP($A137,[1]Hugst!$R$5:$W$9,MATCH(ROUNDUP((AH$1)/10,0)*10,[1]Hugst!$R$4:$W$4,0))))</f>
        <v>0</v>
      </c>
      <c r="AI137" s="168">
        <f>IF($C137-AI$1&lt;År1,0,AH136*(1-VLOOKUP($A137,[1]Hugst!$R$5:$W$9,MATCH(ROUNDUP((AI$1)/10,0)*10,[1]Hugst!$R$4:$W$4,0))))</f>
        <v>0</v>
      </c>
      <c r="AJ137" s="168">
        <f>IF($C137-AJ$1&lt;År1,0,AI136*(1-VLOOKUP($A137,[1]Hugst!$R$5:$W$9,MATCH(ROUNDUP((AJ$1)/10,0)*10,[1]Hugst!$R$4:$W$4,0))))</f>
        <v>0</v>
      </c>
    </row>
    <row r="138" spans="1:36" x14ac:dyDescent="0.25">
      <c r="A138" s="168" t="s">
        <v>178</v>
      </c>
      <c r="B138" s="168" t="s">
        <v>23</v>
      </c>
      <c r="C138" s="168">
        <v>2032</v>
      </c>
      <c r="D138" s="168" cm="1">
        <f t="array" ref="D138">(IF(B138="Vestdanmark",Skovbrug!$C$22-(Skovbrug!$C$22)*(1-Skovbrug!$C$9)^(C138-Skovbrug!$B$12),Skovbrug!$F$22-(Skovbrug!$F$22)*(1-Skovbrug!$C$9)^(C138-Skovbrug!$B$12))*VLOOKUP(A138,Skovbrug!$A$13:$D$17,IF('Skovbrug-alder'!C138&lt;=År2,3,4),FALSE)-IF(C138&gt;2020,SUM(INDEX($C$1:$D$311,MATCH(1,(2020=$C$1:$C$311)*(B138=$B$1:$B$311)*(A138=$A$1:$A$311),0),2):D137),0))</f>
        <v>0</v>
      </c>
      <c r="E138" s="168">
        <f t="shared" ca="1" si="3"/>
        <v>0</v>
      </c>
      <c r="F138" s="168">
        <f ca="1">IF(C138&lt;=År2,IF(B138="Vestdanmark",(Arealanvendelse!$M$27-Arealanvendelse!$J$27),(Arealanvendelse!$M$37-Arealanvendelse!$J$37))/(Arealanvendelse!$M$3-Arealanvendelse!$J$3),IF(B138="Vestdanmark",(Arealanvendelse!$P$27-Arealanvendelse!$M$27),(Arealanvendelse!$P$37-Arealanvendelse!$M$37))/(Arealanvendelse!$P$3-Arealanvendelse!$M$3))*VLOOKUP(A138,Skovbrug!$A$13:$D$17,IF('Skovbrug-alder'!C138&lt;=År2,3,4),FALSE)+D138+E138</f>
        <v>0</v>
      </c>
      <c r="G138" s="168">
        <f ca="1">IF($C138-G$1&lt;År1,0,F137*(1-VLOOKUP($A138,[1]Hugst!$R$5:$W$9,MATCH(ROUNDUP((G$1)/10,0)*10,[1]Hugst!$R$4:$W$4,0))))</f>
        <v>0</v>
      </c>
      <c r="H138" s="168">
        <f ca="1">IF($C138-H$1&lt;År1,0,G137*(1-VLOOKUP($A138,[1]Hugst!$R$5:$W$9,MATCH(ROUNDUP((H$1)/10,0)*10,[1]Hugst!$R$4:$W$4,0))))</f>
        <v>0</v>
      </c>
      <c r="I138" s="168">
        <f ca="1">IF($C138-I$1&lt;År1,0,H137*(1-VLOOKUP($A138,[1]Hugst!$R$5:$W$9,MATCH(ROUNDUP((I$1)/10,0)*10,[1]Hugst!$R$4:$W$4,0))))</f>
        <v>0</v>
      </c>
      <c r="J138" s="168">
        <f ca="1">IF($C138-J$1&lt;År1,0,I137*(1-VLOOKUP($A138,[1]Hugst!$R$5:$W$9,MATCH(ROUNDUP((J$1)/10,0)*10,[1]Hugst!$R$4:$W$4,0))))</f>
        <v>0</v>
      </c>
      <c r="K138" s="168">
        <f ca="1">IF($C138-K$1&lt;År1,0,J137*(1-VLOOKUP($A138,[1]Hugst!$R$5:$W$9,MATCH(ROUNDUP((K$1)/10,0)*10,[1]Hugst!$R$4:$W$4,0))))</f>
        <v>0</v>
      </c>
      <c r="L138" s="168">
        <f ca="1">IF($C138-L$1&lt;År1,0,K137*(1-VLOOKUP($A138,[1]Hugst!$R$5:$W$9,MATCH(ROUNDUP((L$1)/10,0)*10,[1]Hugst!$R$4:$W$4,0))))</f>
        <v>0</v>
      </c>
      <c r="M138" s="168">
        <f ca="1">IF($C138-M$1&lt;År1,0,L137*(1-VLOOKUP($A138,[1]Hugst!$R$5:$W$9,MATCH(ROUNDUP((M$1)/10,0)*10,[1]Hugst!$R$4:$W$4,0))))</f>
        <v>0</v>
      </c>
      <c r="N138" s="168">
        <f ca="1">IF($C138-N$1&lt;År1,0,M137*(1-VLOOKUP($A138,[1]Hugst!$R$5:$W$9,MATCH(ROUNDUP((N$1)/10,0)*10,[1]Hugst!$R$4:$W$4,0))))</f>
        <v>0</v>
      </c>
      <c r="O138" s="168">
        <f ca="1">IF($C138-O$1&lt;År1,0,N137*(1-VLOOKUP($A138,[1]Hugst!$R$5:$W$9,MATCH(ROUNDUP((O$1)/10,0)*10,[1]Hugst!$R$4:$W$4,0))))</f>
        <v>0</v>
      </c>
      <c r="P138" s="168">
        <f ca="1">IF($C138-P$1&lt;År1,0,O137*(1-VLOOKUP($A138,[1]Hugst!$R$5:$W$9,MATCH(ROUNDUP((P$1)/10,0)*10,[1]Hugst!$R$4:$W$4,0))))</f>
        <v>0</v>
      </c>
      <c r="Q138" s="168">
        <f ca="1">IF($C138-Q$1&lt;År1,0,P137*(1-VLOOKUP($A138,[1]Hugst!$R$5:$W$9,MATCH(ROUNDUP((Q$1)/10,0)*10,[1]Hugst!$R$4:$W$4,0))))</f>
        <v>0</v>
      </c>
      <c r="R138" s="168">
        <f ca="1">IF($C138-R$1&lt;År1,0,Q137*(1-VLOOKUP($A138,[1]Hugst!$R$5:$W$9,MATCH(ROUNDUP((R$1)/10,0)*10,[1]Hugst!$R$4:$W$4,0))))</f>
        <v>0</v>
      </c>
      <c r="S138" s="168">
        <f>IF($C138-S$1&lt;År1,0,R137*(1-VLOOKUP($A138,[1]Hugst!$R$5:$W$9,MATCH(ROUNDUP((S$1)/10,0)*10,[1]Hugst!$R$4:$W$4,0))))</f>
        <v>0</v>
      </c>
      <c r="T138" s="168">
        <f>IF($C138-T$1&lt;År1,0,S137*(1-VLOOKUP($A138,[1]Hugst!$R$5:$W$9,MATCH(ROUNDUP((T$1)/10,0)*10,[1]Hugst!$R$4:$W$4,0))))</f>
        <v>0</v>
      </c>
      <c r="U138" s="168">
        <f>IF($C138-U$1&lt;År1,0,T137*(1-VLOOKUP($A138,[1]Hugst!$R$5:$W$9,MATCH(ROUNDUP((U$1)/10,0)*10,[1]Hugst!$R$4:$W$4,0))))</f>
        <v>0</v>
      </c>
      <c r="V138" s="168">
        <f>IF($C138-V$1&lt;År1,0,U137*(1-VLOOKUP($A138,[1]Hugst!$R$5:$W$9,MATCH(ROUNDUP((V$1)/10,0)*10,[1]Hugst!$R$4:$W$4,0))))</f>
        <v>0</v>
      </c>
      <c r="W138" s="168">
        <f>IF($C138-W$1&lt;År1,0,V137*(1-VLOOKUP($A138,[1]Hugst!$R$5:$W$9,MATCH(ROUNDUP((W$1)/10,0)*10,[1]Hugst!$R$4:$W$4,0))))</f>
        <v>0</v>
      </c>
      <c r="X138" s="168">
        <f>IF($C138-X$1&lt;År1,0,W137*(1-VLOOKUP($A138,[1]Hugst!$R$5:$W$9,MATCH(ROUNDUP((X$1)/10,0)*10,[1]Hugst!$R$4:$W$4,0))))</f>
        <v>0</v>
      </c>
      <c r="Y138" s="168">
        <f>IF($C138-Y$1&lt;År1,0,X137*(1-VLOOKUP($A138,[1]Hugst!$R$5:$W$9,MATCH(ROUNDUP((Y$1)/10,0)*10,[1]Hugst!$R$4:$W$4,0))))</f>
        <v>0</v>
      </c>
      <c r="Z138" s="168">
        <f>IF($C138-Z$1&lt;År1,0,Y137*(1-VLOOKUP($A138,[1]Hugst!$R$5:$W$9,MATCH(ROUNDUP((Z$1)/10,0)*10,[1]Hugst!$R$4:$W$4,0))))</f>
        <v>0</v>
      </c>
      <c r="AA138" s="168">
        <f>IF($C138-AA$1&lt;År1,0,Z137*(1-VLOOKUP($A138,[1]Hugst!$R$5:$W$9,MATCH(ROUNDUP((AA$1)/10,0)*10,[1]Hugst!$R$4:$W$4,0))))</f>
        <v>0</v>
      </c>
      <c r="AB138" s="168">
        <f>IF($C138-AB$1&lt;År1,0,AA137*(1-VLOOKUP($A138,[1]Hugst!$R$5:$W$9,MATCH(ROUNDUP((AB$1)/10,0)*10,[1]Hugst!$R$4:$W$4,0))))</f>
        <v>0</v>
      </c>
      <c r="AC138" s="168">
        <f>IF($C138-AC$1&lt;År1,0,AB137*(1-VLOOKUP($A138,[1]Hugst!$R$5:$W$9,MATCH(ROUNDUP((AC$1)/10,0)*10,[1]Hugst!$R$4:$W$4,0))))</f>
        <v>0</v>
      </c>
      <c r="AD138" s="168">
        <f>IF($C138-AD$1&lt;År1,0,AC137*(1-VLOOKUP($A138,[1]Hugst!$R$5:$W$9,MATCH(ROUNDUP((AD$1)/10,0)*10,[1]Hugst!$R$4:$W$4,0))))</f>
        <v>0</v>
      </c>
      <c r="AE138" s="168">
        <f>IF($C138-AE$1&lt;År1,0,AD137*(1-VLOOKUP($A138,[1]Hugst!$R$5:$W$9,MATCH(ROUNDUP((AE$1)/10,0)*10,[1]Hugst!$R$4:$W$4,0))))</f>
        <v>0</v>
      </c>
      <c r="AF138" s="168">
        <f>IF($C138-AF$1&lt;År1,0,AE137*(1-VLOOKUP($A138,[1]Hugst!$R$5:$W$9,MATCH(ROUNDUP((AF$1)/10,0)*10,[1]Hugst!$R$4:$W$4,0))))</f>
        <v>0</v>
      </c>
      <c r="AG138" s="168">
        <f>IF($C138-AG$1&lt;År1,0,AF137*(1-VLOOKUP($A138,[1]Hugst!$R$5:$W$9,MATCH(ROUNDUP((AG$1)/10,0)*10,[1]Hugst!$R$4:$W$4,0))))</f>
        <v>0</v>
      </c>
      <c r="AH138" s="168">
        <f>IF($C138-AH$1&lt;År1,0,AG137*(1-VLOOKUP($A138,[1]Hugst!$R$5:$W$9,MATCH(ROUNDUP((AH$1)/10,0)*10,[1]Hugst!$R$4:$W$4,0))))</f>
        <v>0</v>
      </c>
      <c r="AI138" s="168">
        <f>IF($C138-AI$1&lt;År1,0,AH137*(1-VLOOKUP($A138,[1]Hugst!$R$5:$W$9,MATCH(ROUNDUP((AI$1)/10,0)*10,[1]Hugst!$R$4:$W$4,0))))</f>
        <v>0</v>
      </c>
      <c r="AJ138" s="168">
        <f>IF($C138-AJ$1&lt;År1,0,AI137*(1-VLOOKUP($A138,[1]Hugst!$R$5:$W$9,MATCH(ROUNDUP((AJ$1)/10,0)*10,[1]Hugst!$R$4:$W$4,0))))</f>
        <v>0</v>
      </c>
    </row>
    <row r="139" spans="1:36" x14ac:dyDescent="0.25">
      <c r="A139" s="168" t="s">
        <v>178</v>
      </c>
      <c r="B139" s="168" t="s">
        <v>23</v>
      </c>
      <c r="C139" s="168">
        <v>2033</v>
      </c>
      <c r="D139" s="168" cm="1">
        <f t="array" ref="D139">(IF(B139="Vestdanmark",Skovbrug!$C$22-(Skovbrug!$C$22)*(1-Skovbrug!$C$9)^(C139-Skovbrug!$B$12),Skovbrug!$F$22-(Skovbrug!$F$22)*(1-Skovbrug!$C$9)^(C139-Skovbrug!$B$12))*VLOOKUP(A139,Skovbrug!$A$13:$D$17,IF('Skovbrug-alder'!C139&lt;=År2,3,4),FALSE)-IF(C139&gt;2020,SUM(INDEX($C$1:$D$311,MATCH(1,(2020=$C$1:$C$311)*(B139=$B$1:$B$311)*(A139=$A$1:$A$311),0),2):D138),0))</f>
        <v>0</v>
      </c>
      <c r="E139" s="168">
        <f t="shared" ca="1" si="3"/>
        <v>0</v>
      </c>
      <c r="F139" s="168">
        <f ca="1">IF(C139&lt;=År2,IF(B139="Vestdanmark",(Arealanvendelse!$M$27-Arealanvendelse!$J$27),(Arealanvendelse!$M$37-Arealanvendelse!$J$37))/(Arealanvendelse!$M$3-Arealanvendelse!$J$3),IF(B139="Vestdanmark",(Arealanvendelse!$P$27-Arealanvendelse!$M$27),(Arealanvendelse!$P$37-Arealanvendelse!$M$37))/(Arealanvendelse!$P$3-Arealanvendelse!$M$3))*VLOOKUP(A139,Skovbrug!$A$13:$D$17,IF('Skovbrug-alder'!C139&lt;=År2,3,4),FALSE)+D139+E139</f>
        <v>0</v>
      </c>
      <c r="G139" s="168">
        <f ca="1">IF($C139-G$1&lt;År1,0,F138*(1-VLOOKUP($A139,[1]Hugst!$R$5:$W$9,MATCH(ROUNDUP((G$1)/10,0)*10,[1]Hugst!$R$4:$W$4,0))))</f>
        <v>0</v>
      </c>
      <c r="H139" s="168">
        <f ca="1">IF($C139-H$1&lt;År1,0,G138*(1-VLOOKUP($A139,[1]Hugst!$R$5:$W$9,MATCH(ROUNDUP((H$1)/10,0)*10,[1]Hugst!$R$4:$W$4,0))))</f>
        <v>0</v>
      </c>
      <c r="I139" s="168">
        <f ca="1">IF($C139-I$1&lt;År1,0,H138*(1-VLOOKUP($A139,[1]Hugst!$R$5:$W$9,MATCH(ROUNDUP((I$1)/10,0)*10,[1]Hugst!$R$4:$W$4,0))))</f>
        <v>0</v>
      </c>
      <c r="J139" s="168">
        <f ca="1">IF($C139-J$1&lt;År1,0,I138*(1-VLOOKUP($A139,[1]Hugst!$R$5:$W$9,MATCH(ROUNDUP((J$1)/10,0)*10,[1]Hugst!$R$4:$W$4,0))))</f>
        <v>0</v>
      </c>
      <c r="K139" s="168">
        <f ca="1">IF($C139-K$1&lt;År1,0,J138*(1-VLOOKUP($A139,[1]Hugst!$R$5:$W$9,MATCH(ROUNDUP((K$1)/10,0)*10,[1]Hugst!$R$4:$W$4,0))))</f>
        <v>0</v>
      </c>
      <c r="L139" s="168">
        <f ca="1">IF($C139-L$1&lt;År1,0,K138*(1-VLOOKUP($A139,[1]Hugst!$R$5:$W$9,MATCH(ROUNDUP((L$1)/10,0)*10,[1]Hugst!$R$4:$W$4,0))))</f>
        <v>0</v>
      </c>
      <c r="M139" s="168">
        <f ca="1">IF($C139-M$1&lt;År1,0,L138*(1-VLOOKUP($A139,[1]Hugst!$R$5:$W$9,MATCH(ROUNDUP((M$1)/10,0)*10,[1]Hugst!$R$4:$W$4,0))))</f>
        <v>0</v>
      </c>
      <c r="N139" s="168">
        <f ca="1">IF($C139-N$1&lt;År1,0,M138*(1-VLOOKUP($A139,[1]Hugst!$R$5:$W$9,MATCH(ROUNDUP((N$1)/10,0)*10,[1]Hugst!$R$4:$W$4,0))))</f>
        <v>0</v>
      </c>
      <c r="O139" s="168">
        <f ca="1">IF($C139-O$1&lt;År1,0,N138*(1-VLOOKUP($A139,[1]Hugst!$R$5:$W$9,MATCH(ROUNDUP((O$1)/10,0)*10,[1]Hugst!$R$4:$W$4,0))))</f>
        <v>0</v>
      </c>
      <c r="P139" s="168">
        <f ca="1">IF($C139-P$1&lt;År1,0,O138*(1-VLOOKUP($A139,[1]Hugst!$R$5:$W$9,MATCH(ROUNDUP((P$1)/10,0)*10,[1]Hugst!$R$4:$W$4,0))))</f>
        <v>0</v>
      </c>
      <c r="Q139" s="168">
        <f ca="1">IF($C139-Q$1&lt;År1,0,P138*(1-VLOOKUP($A139,[1]Hugst!$R$5:$W$9,MATCH(ROUNDUP((Q$1)/10,0)*10,[1]Hugst!$R$4:$W$4,0))))</f>
        <v>0</v>
      </c>
      <c r="R139" s="168">
        <f ca="1">IF($C139-R$1&lt;År1,0,Q138*(1-VLOOKUP($A139,[1]Hugst!$R$5:$W$9,MATCH(ROUNDUP((R$1)/10,0)*10,[1]Hugst!$R$4:$W$4,0))))</f>
        <v>0</v>
      </c>
      <c r="S139" s="168">
        <f ca="1">IF($C139-S$1&lt;År1,0,R138*(1-VLOOKUP($A139,[1]Hugst!$R$5:$W$9,MATCH(ROUNDUP((S$1)/10,0)*10,[1]Hugst!$R$4:$W$4,0))))</f>
        <v>0</v>
      </c>
      <c r="T139" s="168">
        <f>IF($C139-T$1&lt;År1,0,S138*(1-VLOOKUP($A139,[1]Hugst!$R$5:$W$9,MATCH(ROUNDUP((T$1)/10,0)*10,[1]Hugst!$R$4:$W$4,0))))</f>
        <v>0</v>
      </c>
      <c r="U139" s="168">
        <f>IF($C139-U$1&lt;År1,0,T138*(1-VLOOKUP($A139,[1]Hugst!$R$5:$W$9,MATCH(ROUNDUP((U$1)/10,0)*10,[1]Hugst!$R$4:$W$4,0))))</f>
        <v>0</v>
      </c>
      <c r="V139" s="168">
        <f>IF($C139-V$1&lt;År1,0,U138*(1-VLOOKUP($A139,[1]Hugst!$R$5:$W$9,MATCH(ROUNDUP((V$1)/10,0)*10,[1]Hugst!$R$4:$W$4,0))))</f>
        <v>0</v>
      </c>
      <c r="W139" s="168">
        <f>IF($C139-W$1&lt;År1,0,V138*(1-VLOOKUP($A139,[1]Hugst!$R$5:$W$9,MATCH(ROUNDUP((W$1)/10,0)*10,[1]Hugst!$R$4:$W$4,0))))</f>
        <v>0</v>
      </c>
      <c r="X139" s="168">
        <f>IF($C139-X$1&lt;År1,0,W138*(1-VLOOKUP($A139,[1]Hugst!$R$5:$W$9,MATCH(ROUNDUP((X$1)/10,0)*10,[1]Hugst!$R$4:$W$4,0))))</f>
        <v>0</v>
      </c>
      <c r="Y139" s="168">
        <f>IF($C139-Y$1&lt;År1,0,X138*(1-VLOOKUP($A139,[1]Hugst!$R$5:$W$9,MATCH(ROUNDUP((Y$1)/10,0)*10,[1]Hugst!$R$4:$W$4,0))))</f>
        <v>0</v>
      </c>
      <c r="Z139" s="168">
        <f>IF($C139-Z$1&lt;År1,0,Y138*(1-VLOOKUP($A139,[1]Hugst!$R$5:$W$9,MATCH(ROUNDUP((Z$1)/10,0)*10,[1]Hugst!$R$4:$W$4,0))))</f>
        <v>0</v>
      </c>
      <c r="AA139" s="168">
        <f>IF($C139-AA$1&lt;År1,0,Z138*(1-VLOOKUP($A139,[1]Hugst!$R$5:$W$9,MATCH(ROUNDUP((AA$1)/10,0)*10,[1]Hugst!$R$4:$W$4,0))))</f>
        <v>0</v>
      </c>
      <c r="AB139" s="168">
        <f>IF($C139-AB$1&lt;År1,0,AA138*(1-VLOOKUP($A139,[1]Hugst!$R$5:$W$9,MATCH(ROUNDUP((AB$1)/10,0)*10,[1]Hugst!$R$4:$W$4,0))))</f>
        <v>0</v>
      </c>
      <c r="AC139" s="168">
        <f>IF($C139-AC$1&lt;År1,0,AB138*(1-VLOOKUP($A139,[1]Hugst!$R$5:$W$9,MATCH(ROUNDUP((AC$1)/10,0)*10,[1]Hugst!$R$4:$W$4,0))))</f>
        <v>0</v>
      </c>
      <c r="AD139" s="168">
        <f>IF($C139-AD$1&lt;År1,0,AC138*(1-VLOOKUP($A139,[1]Hugst!$R$5:$W$9,MATCH(ROUNDUP((AD$1)/10,0)*10,[1]Hugst!$R$4:$W$4,0))))</f>
        <v>0</v>
      </c>
      <c r="AE139" s="168">
        <f>IF($C139-AE$1&lt;År1,0,AD138*(1-VLOOKUP($A139,[1]Hugst!$R$5:$W$9,MATCH(ROUNDUP((AE$1)/10,0)*10,[1]Hugst!$R$4:$W$4,0))))</f>
        <v>0</v>
      </c>
      <c r="AF139" s="168">
        <f>IF($C139-AF$1&lt;År1,0,AE138*(1-VLOOKUP($A139,[1]Hugst!$R$5:$W$9,MATCH(ROUNDUP((AF$1)/10,0)*10,[1]Hugst!$R$4:$W$4,0))))</f>
        <v>0</v>
      </c>
      <c r="AG139" s="168">
        <f>IF($C139-AG$1&lt;År1,0,AF138*(1-VLOOKUP($A139,[1]Hugst!$R$5:$W$9,MATCH(ROUNDUP((AG$1)/10,0)*10,[1]Hugst!$R$4:$W$4,0))))</f>
        <v>0</v>
      </c>
      <c r="AH139" s="168">
        <f>IF($C139-AH$1&lt;År1,0,AG138*(1-VLOOKUP($A139,[1]Hugst!$R$5:$W$9,MATCH(ROUNDUP((AH$1)/10,0)*10,[1]Hugst!$R$4:$W$4,0))))</f>
        <v>0</v>
      </c>
      <c r="AI139" s="168">
        <f>IF($C139-AI$1&lt;År1,0,AH138*(1-VLOOKUP($A139,[1]Hugst!$R$5:$W$9,MATCH(ROUNDUP((AI$1)/10,0)*10,[1]Hugst!$R$4:$W$4,0))))</f>
        <v>0</v>
      </c>
      <c r="AJ139" s="168">
        <f>IF($C139-AJ$1&lt;År1,0,AI138*(1-VLOOKUP($A139,[1]Hugst!$R$5:$W$9,MATCH(ROUNDUP((AJ$1)/10,0)*10,[1]Hugst!$R$4:$W$4,0))))</f>
        <v>0</v>
      </c>
    </row>
    <row r="140" spans="1:36" x14ac:dyDescent="0.25">
      <c r="A140" s="168" t="s">
        <v>178</v>
      </c>
      <c r="B140" s="168" t="s">
        <v>23</v>
      </c>
      <c r="C140" s="168">
        <v>2034</v>
      </c>
      <c r="D140" s="168" cm="1">
        <f t="array" ref="D140">(IF(B140="Vestdanmark",Skovbrug!$C$22-(Skovbrug!$C$22)*(1-Skovbrug!$C$9)^(C140-Skovbrug!$B$12),Skovbrug!$F$22-(Skovbrug!$F$22)*(1-Skovbrug!$C$9)^(C140-Skovbrug!$B$12))*VLOOKUP(A140,Skovbrug!$A$13:$D$17,IF('Skovbrug-alder'!C140&lt;=År2,3,4),FALSE)-IF(C140&gt;2020,SUM(INDEX($C$1:$D$311,MATCH(1,(2020=$C$1:$C$311)*(B140=$B$1:$B$311)*(A140=$A$1:$A$311),0),2):D139),0))</f>
        <v>0</v>
      </c>
      <c r="E140" s="168">
        <f t="shared" ca="1" si="3"/>
        <v>0</v>
      </c>
      <c r="F140" s="168">
        <f ca="1">IF(C140&lt;=År2,IF(B140="Vestdanmark",(Arealanvendelse!$M$27-Arealanvendelse!$J$27),(Arealanvendelse!$M$37-Arealanvendelse!$J$37))/(Arealanvendelse!$M$3-Arealanvendelse!$J$3),IF(B140="Vestdanmark",(Arealanvendelse!$P$27-Arealanvendelse!$M$27),(Arealanvendelse!$P$37-Arealanvendelse!$M$37))/(Arealanvendelse!$P$3-Arealanvendelse!$M$3))*VLOOKUP(A140,Skovbrug!$A$13:$D$17,IF('Skovbrug-alder'!C140&lt;=År2,3,4),FALSE)+D140+E140</f>
        <v>0</v>
      </c>
      <c r="G140" s="168">
        <f ca="1">IF($C140-G$1&lt;År1,0,F139*(1-VLOOKUP($A140,[1]Hugst!$R$5:$W$9,MATCH(ROUNDUP((G$1)/10,0)*10,[1]Hugst!$R$4:$W$4,0))))</f>
        <v>0</v>
      </c>
      <c r="H140" s="168">
        <f ca="1">IF($C140-H$1&lt;År1,0,G139*(1-VLOOKUP($A140,[1]Hugst!$R$5:$W$9,MATCH(ROUNDUP((H$1)/10,0)*10,[1]Hugst!$R$4:$W$4,0))))</f>
        <v>0</v>
      </c>
      <c r="I140" s="168">
        <f ca="1">IF($C140-I$1&lt;År1,0,H139*(1-VLOOKUP($A140,[1]Hugst!$R$5:$W$9,MATCH(ROUNDUP((I$1)/10,0)*10,[1]Hugst!$R$4:$W$4,0))))</f>
        <v>0</v>
      </c>
      <c r="J140" s="168">
        <f ca="1">IF($C140-J$1&lt;År1,0,I139*(1-VLOOKUP($A140,[1]Hugst!$R$5:$W$9,MATCH(ROUNDUP((J$1)/10,0)*10,[1]Hugst!$R$4:$W$4,0))))</f>
        <v>0</v>
      </c>
      <c r="K140" s="168">
        <f ca="1">IF($C140-K$1&lt;År1,0,J139*(1-VLOOKUP($A140,[1]Hugst!$R$5:$W$9,MATCH(ROUNDUP((K$1)/10,0)*10,[1]Hugst!$R$4:$W$4,0))))</f>
        <v>0</v>
      </c>
      <c r="L140" s="168">
        <f ca="1">IF($C140-L$1&lt;År1,0,K139*(1-VLOOKUP($A140,[1]Hugst!$R$5:$W$9,MATCH(ROUNDUP((L$1)/10,0)*10,[1]Hugst!$R$4:$W$4,0))))</f>
        <v>0</v>
      </c>
      <c r="M140" s="168">
        <f ca="1">IF($C140-M$1&lt;År1,0,L139*(1-VLOOKUP($A140,[1]Hugst!$R$5:$W$9,MATCH(ROUNDUP((M$1)/10,0)*10,[1]Hugst!$R$4:$W$4,0))))</f>
        <v>0</v>
      </c>
      <c r="N140" s="168">
        <f ca="1">IF($C140-N$1&lt;År1,0,M139*(1-VLOOKUP($A140,[1]Hugst!$R$5:$W$9,MATCH(ROUNDUP((N$1)/10,0)*10,[1]Hugst!$R$4:$W$4,0))))</f>
        <v>0</v>
      </c>
      <c r="O140" s="168">
        <f ca="1">IF($C140-O$1&lt;År1,0,N139*(1-VLOOKUP($A140,[1]Hugst!$R$5:$W$9,MATCH(ROUNDUP((O$1)/10,0)*10,[1]Hugst!$R$4:$W$4,0))))</f>
        <v>0</v>
      </c>
      <c r="P140" s="168">
        <f ca="1">IF($C140-P$1&lt;År1,0,O139*(1-VLOOKUP($A140,[1]Hugst!$R$5:$W$9,MATCH(ROUNDUP((P$1)/10,0)*10,[1]Hugst!$R$4:$W$4,0))))</f>
        <v>0</v>
      </c>
      <c r="Q140" s="168">
        <f ca="1">IF($C140-Q$1&lt;År1,0,P139*(1-VLOOKUP($A140,[1]Hugst!$R$5:$W$9,MATCH(ROUNDUP((Q$1)/10,0)*10,[1]Hugst!$R$4:$W$4,0))))</f>
        <v>0</v>
      </c>
      <c r="R140" s="168">
        <f ca="1">IF($C140-R$1&lt;År1,0,Q139*(1-VLOOKUP($A140,[1]Hugst!$R$5:$W$9,MATCH(ROUNDUP((R$1)/10,0)*10,[1]Hugst!$R$4:$W$4,0))))</f>
        <v>0</v>
      </c>
      <c r="S140" s="168">
        <f ca="1">IF($C140-S$1&lt;År1,0,R139*(1-VLOOKUP($A140,[1]Hugst!$R$5:$W$9,MATCH(ROUNDUP((S$1)/10,0)*10,[1]Hugst!$R$4:$W$4,0))))</f>
        <v>0</v>
      </c>
      <c r="T140" s="168">
        <f ca="1">IF($C140-T$1&lt;År1,0,S139*(1-VLOOKUP($A140,[1]Hugst!$R$5:$W$9,MATCH(ROUNDUP((T$1)/10,0)*10,[1]Hugst!$R$4:$W$4,0))))</f>
        <v>0</v>
      </c>
      <c r="U140" s="168">
        <f>IF($C140-U$1&lt;År1,0,T139*(1-VLOOKUP($A140,[1]Hugst!$R$5:$W$9,MATCH(ROUNDUP((U$1)/10,0)*10,[1]Hugst!$R$4:$W$4,0))))</f>
        <v>0</v>
      </c>
      <c r="V140" s="168">
        <f>IF($C140-V$1&lt;År1,0,U139*(1-VLOOKUP($A140,[1]Hugst!$R$5:$W$9,MATCH(ROUNDUP((V$1)/10,0)*10,[1]Hugst!$R$4:$W$4,0))))</f>
        <v>0</v>
      </c>
      <c r="W140" s="168">
        <f>IF($C140-W$1&lt;År1,0,V139*(1-VLOOKUP($A140,[1]Hugst!$R$5:$W$9,MATCH(ROUNDUP((W$1)/10,0)*10,[1]Hugst!$R$4:$W$4,0))))</f>
        <v>0</v>
      </c>
      <c r="X140" s="168">
        <f>IF($C140-X$1&lt;År1,0,W139*(1-VLOOKUP($A140,[1]Hugst!$R$5:$W$9,MATCH(ROUNDUP((X$1)/10,0)*10,[1]Hugst!$R$4:$W$4,0))))</f>
        <v>0</v>
      </c>
      <c r="Y140" s="168">
        <f>IF($C140-Y$1&lt;År1,0,X139*(1-VLOOKUP($A140,[1]Hugst!$R$5:$W$9,MATCH(ROUNDUP((Y$1)/10,0)*10,[1]Hugst!$R$4:$W$4,0))))</f>
        <v>0</v>
      </c>
      <c r="Z140" s="168">
        <f>IF($C140-Z$1&lt;År1,0,Y139*(1-VLOOKUP($A140,[1]Hugst!$R$5:$W$9,MATCH(ROUNDUP((Z$1)/10,0)*10,[1]Hugst!$R$4:$W$4,0))))</f>
        <v>0</v>
      </c>
      <c r="AA140" s="168">
        <f>IF($C140-AA$1&lt;År1,0,Z139*(1-VLOOKUP($A140,[1]Hugst!$R$5:$W$9,MATCH(ROUNDUP((AA$1)/10,0)*10,[1]Hugst!$R$4:$W$4,0))))</f>
        <v>0</v>
      </c>
      <c r="AB140" s="168">
        <f>IF($C140-AB$1&lt;År1,0,AA139*(1-VLOOKUP($A140,[1]Hugst!$R$5:$W$9,MATCH(ROUNDUP((AB$1)/10,0)*10,[1]Hugst!$R$4:$W$4,0))))</f>
        <v>0</v>
      </c>
      <c r="AC140" s="168">
        <f>IF($C140-AC$1&lt;År1,0,AB139*(1-VLOOKUP($A140,[1]Hugst!$R$5:$W$9,MATCH(ROUNDUP((AC$1)/10,0)*10,[1]Hugst!$R$4:$W$4,0))))</f>
        <v>0</v>
      </c>
      <c r="AD140" s="168">
        <f>IF($C140-AD$1&lt;År1,0,AC139*(1-VLOOKUP($A140,[1]Hugst!$R$5:$W$9,MATCH(ROUNDUP((AD$1)/10,0)*10,[1]Hugst!$R$4:$W$4,0))))</f>
        <v>0</v>
      </c>
      <c r="AE140" s="168">
        <f>IF($C140-AE$1&lt;År1,0,AD139*(1-VLOOKUP($A140,[1]Hugst!$R$5:$W$9,MATCH(ROUNDUP((AE$1)/10,0)*10,[1]Hugst!$R$4:$W$4,0))))</f>
        <v>0</v>
      </c>
      <c r="AF140" s="168">
        <f>IF($C140-AF$1&lt;År1,0,AE139*(1-VLOOKUP($A140,[1]Hugst!$R$5:$W$9,MATCH(ROUNDUP((AF$1)/10,0)*10,[1]Hugst!$R$4:$W$4,0))))</f>
        <v>0</v>
      </c>
      <c r="AG140" s="168">
        <f>IF($C140-AG$1&lt;År1,0,AF139*(1-VLOOKUP($A140,[1]Hugst!$R$5:$W$9,MATCH(ROUNDUP((AG$1)/10,0)*10,[1]Hugst!$R$4:$W$4,0))))</f>
        <v>0</v>
      </c>
      <c r="AH140" s="168">
        <f>IF($C140-AH$1&lt;År1,0,AG139*(1-VLOOKUP($A140,[1]Hugst!$R$5:$W$9,MATCH(ROUNDUP((AH$1)/10,0)*10,[1]Hugst!$R$4:$W$4,0))))</f>
        <v>0</v>
      </c>
      <c r="AI140" s="168">
        <f>IF($C140-AI$1&lt;År1,0,AH139*(1-VLOOKUP($A140,[1]Hugst!$R$5:$W$9,MATCH(ROUNDUP((AI$1)/10,0)*10,[1]Hugst!$R$4:$W$4,0))))</f>
        <v>0</v>
      </c>
      <c r="AJ140" s="168">
        <f>IF($C140-AJ$1&lt;År1,0,AI139*(1-VLOOKUP($A140,[1]Hugst!$R$5:$W$9,MATCH(ROUNDUP((AJ$1)/10,0)*10,[1]Hugst!$R$4:$W$4,0))))</f>
        <v>0</v>
      </c>
    </row>
    <row r="141" spans="1:36" x14ac:dyDescent="0.25">
      <c r="A141" s="168" t="s">
        <v>178</v>
      </c>
      <c r="B141" s="168" t="s">
        <v>23</v>
      </c>
      <c r="C141" s="168">
        <v>2035</v>
      </c>
      <c r="D141" s="168" cm="1">
        <f t="array" ref="D141">(IF(B141="Vestdanmark",Skovbrug!$C$22-(Skovbrug!$C$22)*(1-Skovbrug!$C$9)^(C141-Skovbrug!$B$12),Skovbrug!$F$22-(Skovbrug!$F$22)*(1-Skovbrug!$C$9)^(C141-Skovbrug!$B$12))*VLOOKUP(A141,Skovbrug!$A$13:$D$17,IF('Skovbrug-alder'!C141&lt;=År2,3,4),FALSE)-IF(C141&gt;2020,SUM(INDEX($C$1:$D$311,MATCH(1,(2020=$C$1:$C$311)*(B141=$B$1:$B$311)*(A141=$A$1:$A$311),0),2):D140),0))</f>
        <v>0</v>
      </c>
      <c r="E141" s="168">
        <f t="shared" ca="1" si="3"/>
        <v>0</v>
      </c>
      <c r="F141" s="168">
        <f ca="1">IF(C141&lt;=År2,IF(B141="Vestdanmark",(Arealanvendelse!$M$27-Arealanvendelse!$J$27),(Arealanvendelse!$M$37-Arealanvendelse!$J$37))/(Arealanvendelse!$M$3-Arealanvendelse!$J$3),IF(B141="Vestdanmark",(Arealanvendelse!$P$27-Arealanvendelse!$M$27),(Arealanvendelse!$P$37-Arealanvendelse!$M$37))/(Arealanvendelse!$P$3-Arealanvendelse!$M$3))*VLOOKUP(A141,Skovbrug!$A$13:$D$17,IF('Skovbrug-alder'!C141&lt;=År2,3,4),FALSE)+D141+E141</f>
        <v>0</v>
      </c>
      <c r="G141" s="168">
        <f ca="1">IF($C141-G$1&lt;År1,0,F140*(1-VLOOKUP($A141,[1]Hugst!$R$5:$W$9,MATCH(ROUNDUP((G$1)/10,0)*10,[1]Hugst!$R$4:$W$4,0))))</f>
        <v>0</v>
      </c>
      <c r="H141" s="168">
        <f ca="1">IF($C141-H$1&lt;År1,0,G140*(1-VLOOKUP($A141,[1]Hugst!$R$5:$W$9,MATCH(ROUNDUP((H$1)/10,0)*10,[1]Hugst!$R$4:$W$4,0))))</f>
        <v>0</v>
      </c>
      <c r="I141" s="168">
        <f ca="1">IF($C141-I$1&lt;År1,0,H140*(1-VLOOKUP($A141,[1]Hugst!$R$5:$W$9,MATCH(ROUNDUP((I$1)/10,0)*10,[1]Hugst!$R$4:$W$4,0))))</f>
        <v>0</v>
      </c>
      <c r="J141" s="168">
        <f ca="1">IF($C141-J$1&lt;År1,0,I140*(1-VLOOKUP($A141,[1]Hugst!$R$5:$W$9,MATCH(ROUNDUP((J$1)/10,0)*10,[1]Hugst!$R$4:$W$4,0))))</f>
        <v>0</v>
      </c>
      <c r="K141" s="168">
        <f ca="1">IF($C141-K$1&lt;År1,0,J140*(1-VLOOKUP($A141,[1]Hugst!$R$5:$W$9,MATCH(ROUNDUP((K$1)/10,0)*10,[1]Hugst!$R$4:$W$4,0))))</f>
        <v>0</v>
      </c>
      <c r="L141" s="168">
        <f ca="1">IF($C141-L$1&lt;År1,0,K140*(1-VLOOKUP($A141,[1]Hugst!$R$5:$W$9,MATCH(ROUNDUP((L$1)/10,0)*10,[1]Hugst!$R$4:$W$4,0))))</f>
        <v>0</v>
      </c>
      <c r="M141" s="168">
        <f ca="1">IF($C141-M$1&lt;År1,0,L140*(1-VLOOKUP($A141,[1]Hugst!$R$5:$W$9,MATCH(ROUNDUP((M$1)/10,0)*10,[1]Hugst!$R$4:$W$4,0))))</f>
        <v>0</v>
      </c>
      <c r="N141" s="168">
        <f ca="1">IF($C141-N$1&lt;År1,0,M140*(1-VLOOKUP($A141,[1]Hugst!$R$5:$W$9,MATCH(ROUNDUP((N$1)/10,0)*10,[1]Hugst!$R$4:$W$4,0))))</f>
        <v>0</v>
      </c>
      <c r="O141" s="168">
        <f ca="1">IF($C141-O$1&lt;År1,0,N140*(1-VLOOKUP($A141,[1]Hugst!$R$5:$W$9,MATCH(ROUNDUP((O$1)/10,0)*10,[1]Hugst!$R$4:$W$4,0))))</f>
        <v>0</v>
      </c>
      <c r="P141" s="168">
        <f ca="1">IF($C141-P$1&lt;År1,0,O140*(1-VLOOKUP($A141,[1]Hugst!$R$5:$W$9,MATCH(ROUNDUP((P$1)/10,0)*10,[1]Hugst!$R$4:$W$4,0))))</f>
        <v>0</v>
      </c>
      <c r="Q141" s="168">
        <f ca="1">IF($C141-Q$1&lt;År1,0,P140*(1-VLOOKUP($A141,[1]Hugst!$R$5:$W$9,MATCH(ROUNDUP((Q$1)/10,0)*10,[1]Hugst!$R$4:$W$4,0))))</f>
        <v>0</v>
      </c>
      <c r="R141" s="168">
        <f ca="1">IF($C141-R$1&lt;År1,0,Q140*(1-VLOOKUP($A141,[1]Hugst!$R$5:$W$9,MATCH(ROUNDUP((R$1)/10,0)*10,[1]Hugst!$R$4:$W$4,0))))</f>
        <v>0</v>
      </c>
      <c r="S141" s="168">
        <f ca="1">IF($C141-S$1&lt;År1,0,R140*(1-VLOOKUP($A141,[1]Hugst!$R$5:$W$9,MATCH(ROUNDUP((S$1)/10,0)*10,[1]Hugst!$R$4:$W$4,0))))</f>
        <v>0</v>
      </c>
      <c r="T141" s="168">
        <f ca="1">IF($C141-T$1&lt;År1,0,S140*(1-VLOOKUP($A141,[1]Hugst!$R$5:$W$9,MATCH(ROUNDUP((T$1)/10,0)*10,[1]Hugst!$R$4:$W$4,0))))</f>
        <v>0</v>
      </c>
      <c r="U141" s="168">
        <f ca="1">IF($C141-U$1&lt;År1,0,T140*(1-VLOOKUP($A141,[1]Hugst!$R$5:$W$9,MATCH(ROUNDUP((U$1)/10,0)*10,[1]Hugst!$R$4:$W$4,0))))</f>
        <v>0</v>
      </c>
      <c r="V141" s="168">
        <f>IF($C141-V$1&lt;År1,0,U140*(1-VLOOKUP($A141,[1]Hugst!$R$5:$W$9,MATCH(ROUNDUP((V$1)/10,0)*10,[1]Hugst!$R$4:$W$4,0))))</f>
        <v>0</v>
      </c>
      <c r="W141" s="168">
        <f>IF($C141-W$1&lt;År1,0,V140*(1-VLOOKUP($A141,[1]Hugst!$R$5:$W$9,MATCH(ROUNDUP((W$1)/10,0)*10,[1]Hugst!$R$4:$W$4,0))))</f>
        <v>0</v>
      </c>
      <c r="X141" s="168">
        <f>IF($C141-X$1&lt;År1,0,W140*(1-VLOOKUP($A141,[1]Hugst!$R$5:$W$9,MATCH(ROUNDUP((X$1)/10,0)*10,[1]Hugst!$R$4:$W$4,0))))</f>
        <v>0</v>
      </c>
      <c r="Y141" s="168">
        <f>IF($C141-Y$1&lt;År1,0,X140*(1-VLOOKUP($A141,[1]Hugst!$R$5:$W$9,MATCH(ROUNDUP((Y$1)/10,0)*10,[1]Hugst!$R$4:$W$4,0))))</f>
        <v>0</v>
      </c>
      <c r="Z141" s="168">
        <f>IF($C141-Z$1&lt;År1,0,Y140*(1-VLOOKUP($A141,[1]Hugst!$R$5:$W$9,MATCH(ROUNDUP((Z$1)/10,0)*10,[1]Hugst!$R$4:$W$4,0))))</f>
        <v>0</v>
      </c>
      <c r="AA141" s="168">
        <f>IF($C141-AA$1&lt;År1,0,Z140*(1-VLOOKUP($A141,[1]Hugst!$R$5:$W$9,MATCH(ROUNDUP((AA$1)/10,0)*10,[1]Hugst!$R$4:$W$4,0))))</f>
        <v>0</v>
      </c>
      <c r="AB141" s="168">
        <f>IF($C141-AB$1&lt;År1,0,AA140*(1-VLOOKUP($A141,[1]Hugst!$R$5:$W$9,MATCH(ROUNDUP((AB$1)/10,0)*10,[1]Hugst!$R$4:$W$4,0))))</f>
        <v>0</v>
      </c>
      <c r="AC141" s="168">
        <f>IF($C141-AC$1&lt;År1,0,AB140*(1-VLOOKUP($A141,[1]Hugst!$R$5:$W$9,MATCH(ROUNDUP((AC$1)/10,0)*10,[1]Hugst!$R$4:$W$4,0))))</f>
        <v>0</v>
      </c>
      <c r="AD141" s="168">
        <f>IF($C141-AD$1&lt;År1,0,AC140*(1-VLOOKUP($A141,[1]Hugst!$R$5:$W$9,MATCH(ROUNDUP((AD$1)/10,0)*10,[1]Hugst!$R$4:$W$4,0))))</f>
        <v>0</v>
      </c>
      <c r="AE141" s="168">
        <f>IF($C141-AE$1&lt;År1,0,AD140*(1-VLOOKUP($A141,[1]Hugst!$R$5:$W$9,MATCH(ROUNDUP((AE$1)/10,0)*10,[1]Hugst!$R$4:$W$4,0))))</f>
        <v>0</v>
      </c>
      <c r="AF141" s="168">
        <f>IF($C141-AF$1&lt;År1,0,AE140*(1-VLOOKUP($A141,[1]Hugst!$R$5:$W$9,MATCH(ROUNDUP((AF$1)/10,0)*10,[1]Hugst!$R$4:$W$4,0))))</f>
        <v>0</v>
      </c>
      <c r="AG141" s="168">
        <f>IF($C141-AG$1&lt;År1,0,AF140*(1-VLOOKUP($A141,[1]Hugst!$R$5:$W$9,MATCH(ROUNDUP((AG$1)/10,0)*10,[1]Hugst!$R$4:$W$4,0))))</f>
        <v>0</v>
      </c>
      <c r="AH141" s="168">
        <f>IF($C141-AH$1&lt;År1,0,AG140*(1-VLOOKUP($A141,[1]Hugst!$R$5:$W$9,MATCH(ROUNDUP((AH$1)/10,0)*10,[1]Hugst!$R$4:$W$4,0))))</f>
        <v>0</v>
      </c>
      <c r="AI141" s="168">
        <f>IF($C141-AI$1&lt;År1,0,AH140*(1-VLOOKUP($A141,[1]Hugst!$R$5:$W$9,MATCH(ROUNDUP((AI$1)/10,0)*10,[1]Hugst!$R$4:$W$4,0))))</f>
        <v>0</v>
      </c>
      <c r="AJ141" s="168">
        <f>IF($C141-AJ$1&lt;År1,0,AI140*(1-VLOOKUP($A141,[1]Hugst!$R$5:$W$9,MATCH(ROUNDUP((AJ$1)/10,0)*10,[1]Hugst!$R$4:$W$4,0))))</f>
        <v>0</v>
      </c>
    </row>
    <row r="142" spans="1:36" x14ac:dyDescent="0.25">
      <c r="A142" s="168" t="s">
        <v>178</v>
      </c>
      <c r="B142" s="168" t="s">
        <v>23</v>
      </c>
      <c r="C142" s="168">
        <v>2036</v>
      </c>
      <c r="D142" s="168" cm="1">
        <f t="array" ref="D142">(IF(B142="Vestdanmark",Skovbrug!$C$22-(Skovbrug!$C$22)*(1-Skovbrug!$C$9)^(C142-Skovbrug!$B$12),Skovbrug!$F$22-(Skovbrug!$F$22)*(1-Skovbrug!$C$9)^(C142-Skovbrug!$B$12))*VLOOKUP(A142,Skovbrug!$A$13:$D$17,IF('Skovbrug-alder'!C142&lt;=År2,3,4),FALSE)-IF(C142&gt;2020,SUM(INDEX($C$1:$D$311,MATCH(1,(2020=$C$1:$C$311)*(B142=$B$1:$B$311)*(A142=$A$1:$A$311),0),2):D141),0))</f>
        <v>0</v>
      </c>
      <c r="E142" s="168">
        <f t="shared" ca="1" si="3"/>
        <v>0</v>
      </c>
      <c r="F142" s="168">
        <f ca="1">IF(C142&lt;=År2,IF(B142="Vestdanmark",(Arealanvendelse!$M$27-Arealanvendelse!$J$27),(Arealanvendelse!$M$37-Arealanvendelse!$J$37))/(Arealanvendelse!$M$3-Arealanvendelse!$J$3),IF(B142="Vestdanmark",(Arealanvendelse!$P$27-Arealanvendelse!$M$27),(Arealanvendelse!$P$37-Arealanvendelse!$M$37))/(Arealanvendelse!$P$3-Arealanvendelse!$M$3))*VLOOKUP(A142,Skovbrug!$A$13:$D$17,IF('Skovbrug-alder'!C142&lt;=År2,3,4),FALSE)+D142+E142</f>
        <v>0</v>
      </c>
      <c r="G142" s="168">
        <f ca="1">IF($C142-G$1&lt;År1,0,F141*(1-VLOOKUP($A142,[1]Hugst!$R$5:$W$9,MATCH(ROUNDUP((G$1)/10,0)*10,[1]Hugst!$R$4:$W$4,0))))</f>
        <v>0</v>
      </c>
      <c r="H142" s="168">
        <f ca="1">IF($C142-H$1&lt;År1,0,G141*(1-VLOOKUP($A142,[1]Hugst!$R$5:$W$9,MATCH(ROUNDUP((H$1)/10,0)*10,[1]Hugst!$R$4:$W$4,0))))</f>
        <v>0</v>
      </c>
      <c r="I142" s="168">
        <f ca="1">IF($C142-I$1&lt;År1,0,H141*(1-VLOOKUP($A142,[1]Hugst!$R$5:$W$9,MATCH(ROUNDUP((I$1)/10,0)*10,[1]Hugst!$R$4:$W$4,0))))</f>
        <v>0</v>
      </c>
      <c r="J142" s="168">
        <f ca="1">IF($C142-J$1&lt;År1,0,I141*(1-VLOOKUP($A142,[1]Hugst!$R$5:$W$9,MATCH(ROUNDUP((J$1)/10,0)*10,[1]Hugst!$R$4:$W$4,0))))</f>
        <v>0</v>
      </c>
      <c r="K142" s="168">
        <f ca="1">IF($C142-K$1&lt;År1,0,J141*(1-VLOOKUP($A142,[1]Hugst!$R$5:$W$9,MATCH(ROUNDUP((K$1)/10,0)*10,[1]Hugst!$R$4:$W$4,0))))</f>
        <v>0</v>
      </c>
      <c r="L142" s="168">
        <f ca="1">IF($C142-L$1&lt;År1,0,K141*(1-VLOOKUP($A142,[1]Hugst!$R$5:$W$9,MATCH(ROUNDUP((L$1)/10,0)*10,[1]Hugst!$R$4:$W$4,0))))</f>
        <v>0</v>
      </c>
      <c r="M142" s="168">
        <f ca="1">IF($C142-M$1&lt;År1,0,L141*(1-VLOOKUP($A142,[1]Hugst!$R$5:$W$9,MATCH(ROUNDUP((M$1)/10,0)*10,[1]Hugst!$R$4:$W$4,0))))</f>
        <v>0</v>
      </c>
      <c r="N142" s="168">
        <f ca="1">IF($C142-N$1&lt;År1,0,M141*(1-VLOOKUP($A142,[1]Hugst!$R$5:$W$9,MATCH(ROUNDUP((N$1)/10,0)*10,[1]Hugst!$R$4:$W$4,0))))</f>
        <v>0</v>
      </c>
      <c r="O142" s="168">
        <f ca="1">IF($C142-O$1&lt;År1,0,N141*(1-VLOOKUP($A142,[1]Hugst!$R$5:$W$9,MATCH(ROUNDUP((O$1)/10,0)*10,[1]Hugst!$R$4:$W$4,0))))</f>
        <v>0</v>
      </c>
      <c r="P142" s="168">
        <f ca="1">IF($C142-P$1&lt;År1,0,O141*(1-VLOOKUP($A142,[1]Hugst!$R$5:$W$9,MATCH(ROUNDUP((P$1)/10,0)*10,[1]Hugst!$R$4:$W$4,0))))</f>
        <v>0</v>
      </c>
      <c r="Q142" s="168">
        <f ca="1">IF($C142-Q$1&lt;År1,0,P141*(1-VLOOKUP($A142,[1]Hugst!$R$5:$W$9,MATCH(ROUNDUP((Q$1)/10,0)*10,[1]Hugst!$R$4:$W$4,0))))</f>
        <v>0</v>
      </c>
      <c r="R142" s="168">
        <f ca="1">IF($C142-R$1&lt;År1,0,Q141*(1-VLOOKUP($A142,[1]Hugst!$R$5:$W$9,MATCH(ROUNDUP((R$1)/10,0)*10,[1]Hugst!$R$4:$W$4,0))))</f>
        <v>0</v>
      </c>
      <c r="S142" s="168">
        <f ca="1">IF($C142-S$1&lt;År1,0,R141*(1-VLOOKUP($A142,[1]Hugst!$R$5:$W$9,MATCH(ROUNDUP((S$1)/10,0)*10,[1]Hugst!$R$4:$W$4,0))))</f>
        <v>0</v>
      </c>
      <c r="T142" s="168">
        <f ca="1">IF($C142-T$1&lt;År1,0,S141*(1-VLOOKUP($A142,[1]Hugst!$R$5:$W$9,MATCH(ROUNDUP((T$1)/10,0)*10,[1]Hugst!$R$4:$W$4,0))))</f>
        <v>0</v>
      </c>
      <c r="U142" s="168">
        <f ca="1">IF($C142-U$1&lt;År1,0,T141*(1-VLOOKUP($A142,[1]Hugst!$R$5:$W$9,MATCH(ROUNDUP((U$1)/10,0)*10,[1]Hugst!$R$4:$W$4,0))))</f>
        <v>0</v>
      </c>
      <c r="V142" s="168">
        <f ca="1">IF($C142-V$1&lt;År1,0,U141*(1-VLOOKUP($A142,[1]Hugst!$R$5:$W$9,MATCH(ROUNDUP((V$1)/10,0)*10,[1]Hugst!$R$4:$W$4,0))))</f>
        <v>0</v>
      </c>
      <c r="W142" s="168">
        <f>IF($C142-W$1&lt;År1,0,V141*(1-VLOOKUP($A142,[1]Hugst!$R$5:$W$9,MATCH(ROUNDUP((W$1)/10,0)*10,[1]Hugst!$R$4:$W$4,0))))</f>
        <v>0</v>
      </c>
      <c r="X142" s="168">
        <f>IF($C142-X$1&lt;År1,0,W141*(1-VLOOKUP($A142,[1]Hugst!$R$5:$W$9,MATCH(ROUNDUP((X$1)/10,0)*10,[1]Hugst!$R$4:$W$4,0))))</f>
        <v>0</v>
      </c>
      <c r="Y142" s="168">
        <f>IF($C142-Y$1&lt;År1,0,X141*(1-VLOOKUP($A142,[1]Hugst!$R$5:$W$9,MATCH(ROUNDUP((Y$1)/10,0)*10,[1]Hugst!$R$4:$W$4,0))))</f>
        <v>0</v>
      </c>
      <c r="Z142" s="168">
        <f>IF($C142-Z$1&lt;År1,0,Y141*(1-VLOOKUP($A142,[1]Hugst!$R$5:$W$9,MATCH(ROUNDUP((Z$1)/10,0)*10,[1]Hugst!$R$4:$W$4,0))))</f>
        <v>0</v>
      </c>
      <c r="AA142" s="168">
        <f>IF($C142-AA$1&lt;År1,0,Z141*(1-VLOOKUP($A142,[1]Hugst!$R$5:$W$9,MATCH(ROUNDUP((AA$1)/10,0)*10,[1]Hugst!$R$4:$W$4,0))))</f>
        <v>0</v>
      </c>
      <c r="AB142" s="168">
        <f>IF($C142-AB$1&lt;År1,0,AA141*(1-VLOOKUP($A142,[1]Hugst!$R$5:$W$9,MATCH(ROUNDUP((AB$1)/10,0)*10,[1]Hugst!$R$4:$W$4,0))))</f>
        <v>0</v>
      </c>
      <c r="AC142" s="168">
        <f>IF($C142-AC$1&lt;År1,0,AB141*(1-VLOOKUP($A142,[1]Hugst!$R$5:$W$9,MATCH(ROUNDUP((AC$1)/10,0)*10,[1]Hugst!$R$4:$W$4,0))))</f>
        <v>0</v>
      </c>
      <c r="AD142" s="168">
        <f>IF($C142-AD$1&lt;År1,0,AC141*(1-VLOOKUP($A142,[1]Hugst!$R$5:$W$9,MATCH(ROUNDUP((AD$1)/10,0)*10,[1]Hugst!$R$4:$W$4,0))))</f>
        <v>0</v>
      </c>
      <c r="AE142" s="168">
        <f>IF($C142-AE$1&lt;År1,0,AD141*(1-VLOOKUP($A142,[1]Hugst!$R$5:$W$9,MATCH(ROUNDUP((AE$1)/10,0)*10,[1]Hugst!$R$4:$W$4,0))))</f>
        <v>0</v>
      </c>
      <c r="AF142" s="168">
        <f>IF($C142-AF$1&lt;År1,0,AE141*(1-VLOOKUP($A142,[1]Hugst!$R$5:$W$9,MATCH(ROUNDUP((AF$1)/10,0)*10,[1]Hugst!$R$4:$W$4,0))))</f>
        <v>0</v>
      </c>
      <c r="AG142" s="168">
        <f>IF($C142-AG$1&lt;År1,0,AF141*(1-VLOOKUP($A142,[1]Hugst!$R$5:$W$9,MATCH(ROUNDUP((AG$1)/10,0)*10,[1]Hugst!$R$4:$W$4,0))))</f>
        <v>0</v>
      </c>
      <c r="AH142" s="168">
        <f>IF($C142-AH$1&lt;År1,0,AG141*(1-VLOOKUP($A142,[1]Hugst!$R$5:$W$9,MATCH(ROUNDUP((AH$1)/10,0)*10,[1]Hugst!$R$4:$W$4,0))))</f>
        <v>0</v>
      </c>
      <c r="AI142" s="168">
        <f>IF($C142-AI$1&lt;År1,0,AH141*(1-VLOOKUP($A142,[1]Hugst!$R$5:$W$9,MATCH(ROUNDUP((AI$1)/10,0)*10,[1]Hugst!$R$4:$W$4,0))))</f>
        <v>0</v>
      </c>
      <c r="AJ142" s="168">
        <f>IF($C142-AJ$1&lt;År1,0,AI141*(1-VLOOKUP($A142,[1]Hugst!$R$5:$W$9,MATCH(ROUNDUP((AJ$1)/10,0)*10,[1]Hugst!$R$4:$W$4,0))))</f>
        <v>0</v>
      </c>
    </row>
    <row r="143" spans="1:36" x14ac:dyDescent="0.25">
      <c r="A143" s="168" t="s">
        <v>178</v>
      </c>
      <c r="B143" s="168" t="s">
        <v>23</v>
      </c>
      <c r="C143" s="168">
        <v>2037</v>
      </c>
      <c r="D143" s="168" cm="1">
        <f t="array" ref="D143">(IF(B143="Vestdanmark",Skovbrug!$C$22-(Skovbrug!$C$22)*(1-Skovbrug!$C$9)^(C143-Skovbrug!$B$12),Skovbrug!$F$22-(Skovbrug!$F$22)*(1-Skovbrug!$C$9)^(C143-Skovbrug!$B$12))*VLOOKUP(A143,Skovbrug!$A$13:$D$17,IF('Skovbrug-alder'!C143&lt;=År2,3,4),FALSE)-IF(C143&gt;2020,SUM(INDEX($C$1:$D$311,MATCH(1,(2020=$C$1:$C$311)*(B143=$B$1:$B$311)*(A143=$A$1:$A$311),0),2):D142),0))</f>
        <v>0</v>
      </c>
      <c r="E143" s="168">
        <f t="shared" ca="1" si="3"/>
        <v>0</v>
      </c>
      <c r="F143" s="168">
        <f ca="1">IF(C143&lt;=År2,IF(B143="Vestdanmark",(Arealanvendelse!$M$27-Arealanvendelse!$J$27),(Arealanvendelse!$M$37-Arealanvendelse!$J$37))/(Arealanvendelse!$M$3-Arealanvendelse!$J$3),IF(B143="Vestdanmark",(Arealanvendelse!$P$27-Arealanvendelse!$M$27),(Arealanvendelse!$P$37-Arealanvendelse!$M$37))/(Arealanvendelse!$P$3-Arealanvendelse!$M$3))*VLOOKUP(A143,Skovbrug!$A$13:$D$17,IF('Skovbrug-alder'!C143&lt;=År2,3,4),FALSE)+D143+E143</f>
        <v>0</v>
      </c>
      <c r="G143" s="168">
        <f ca="1">IF($C143-G$1&lt;År1,0,F142*(1-VLOOKUP($A143,[1]Hugst!$R$5:$W$9,MATCH(ROUNDUP((G$1)/10,0)*10,[1]Hugst!$R$4:$W$4,0))))</f>
        <v>0</v>
      </c>
      <c r="H143" s="168">
        <f ca="1">IF($C143-H$1&lt;År1,0,G142*(1-VLOOKUP($A143,[1]Hugst!$R$5:$W$9,MATCH(ROUNDUP((H$1)/10,0)*10,[1]Hugst!$R$4:$W$4,0))))</f>
        <v>0</v>
      </c>
      <c r="I143" s="168">
        <f ca="1">IF($C143-I$1&lt;År1,0,H142*(1-VLOOKUP($A143,[1]Hugst!$R$5:$W$9,MATCH(ROUNDUP((I$1)/10,0)*10,[1]Hugst!$R$4:$W$4,0))))</f>
        <v>0</v>
      </c>
      <c r="J143" s="168">
        <f ca="1">IF($C143-J$1&lt;År1,0,I142*(1-VLOOKUP($A143,[1]Hugst!$R$5:$W$9,MATCH(ROUNDUP((J$1)/10,0)*10,[1]Hugst!$R$4:$W$4,0))))</f>
        <v>0</v>
      </c>
      <c r="K143" s="168">
        <f ca="1">IF($C143-K$1&lt;År1,0,J142*(1-VLOOKUP($A143,[1]Hugst!$R$5:$W$9,MATCH(ROUNDUP((K$1)/10,0)*10,[1]Hugst!$R$4:$W$4,0))))</f>
        <v>0</v>
      </c>
      <c r="L143" s="168">
        <f ca="1">IF($C143-L$1&lt;År1,0,K142*(1-VLOOKUP($A143,[1]Hugst!$R$5:$W$9,MATCH(ROUNDUP((L$1)/10,0)*10,[1]Hugst!$R$4:$W$4,0))))</f>
        <v>0</v>
      </c>
      <c r="M143" s="168">
        <f ca="1">IF($C143-M$1&lt;År1,0,L142*(1-VLOOKUP($A143,[1]Hugst!$R$5:$W$9,MATCH(ROUNDUP((M$1)/10,0)*10,[1]Hugst!$R$4:$W$4,0))))</f>
        <v>0</v>
      </c>
      <c r="N143" s="168">
        <f ca="1">IF($C143-N$1&lt;År1,0,M142*(1-VLOOKUP($A143,[1]Hugst!$R$5:$W$9,MATCH(ROUNDUP((N$1)/10,0)*10,[1]Hugst!$R$4:$W$4,0))))</f>
        <v>0</v>
      </c>
      <c r="O143" s="168">
        <f ca="1">IF($C143-O$1&lt;År1,0,N142*(1-VLOOKUP($A143,[1]Hugst!$R$5:$W$9,MATCH(ROUNDUP((O$1)/10,0)*10,[1]Hugst!$R$4:$W$4,0))))</f>
        <v>0</v>
      </c>
      <c r="P143" s="168">
        <f ca="1">IF($C143-P$1&lt;År1,0,O142*(1-VLOOKUP($A143,[1]Hugst!$R$5:$W$9,MATCH(ROUNDUP((P$1)/10,0)*10,[1]Hugst!$R$4:$W$4,0))))</f>
        <v>0</v>
      </c>
      <c r="Q143" s="168">
        <f ca="1">IF($C143-Q$1&lt;År1,0,P142*(1-VLOOKUP($A143,[1]Hugst!$R$5:$W$9,MATCH(ROUNDUP((Q$1)/10,0)*10,[1]Hugst!$R$4:$W$4,0))))</f>
        <v>0</v>
      </c>
      <c r="R143" s="168">
        <f ca="1">IF($C143-R$1&lt;År1,0,Q142*(1-VLOOKUP($A143,[1]Hugst!$R$5:$W$9,MATCH(ROUNDUP((R$1)/10,0)*10,[1]Hugst!$R$4:$W$4,0))))</f>
        <v>0</v>
      </c>
      <c r="S143" s="168">
        <f ca="1">IF($C143-S$1&lt;År1,0,R142*(1-VLOOKUP($A143,[1]Hugst!$R$5:$W$9,MATCH(ROUNDUP((S$1)/10,0)*10,[1]Hugst!$R$4:$W$4,0))))</f>
        <v>0</v>
      </c>
      <c r="T143" s="168">
        <f ca="1">IF($C143-T$1&lt;År1,0,S142*(1-VLOOKUP($A143,[1]Hugst!$R$5:$W$9,MATCH(ROUNDUP((T$1)/10,0)*10,[1]Hugst!$R$4:$W$4,0))))</f>
        <v>0</v>
      </c>
      <c r="U143" s="168">
        <f ca="1">IF($C143-U$1&lt;År1,0,T142*(1-VLOOKUP($A143,[1]Hugst!$R$5:$W$9,MATCH(ROUNDUP((U$1)/10,0)*10,[1]Hugst!$R$4:$W$4,0))))</f>
        <v>0</v>
      </c>
      <c r="V143" s="168">
        <f ca="1">IF($C143-V$1&lt;År1,0,U142*(1-VLOOKUP($A143,[1]Hugst!$R$5:$W$9,MATCH(ROUNDUP((V$1)/10,0)*10,[1]Hugst!$R$4:$W$4,0))))</f>
        <v>0</v>
      </c>
      <c r="W143" s="168">
        <f ca="1">IF($C143-W$1&lt;År1,0,V142*(1-VLOOKUP($A143,[1]Hugst!$R$5:$W$9,MATCH(ROUNDUP((W$1)/10,0)*10,[1]Hugst!$R$4:$W$4,0))))</f>
        <v>0</v>
      </c>
      <c r="X143" s="168">
        <f>IF($C143-X$1&lt;År1,0,W142*(1-VLOOKUP($A143,[1]Hugst!$R$5:$W$9,MATCH(ROUNDUP((X$1)/10,0)*10,[1]Hugst!$R$4:$W$4,0))))</f>
        <v>0</v>
      </c>
      <c r="Y143" s="168">
        <f>IF($C143-Y$1&lt;År1,0,X142*(1-VLOOKUP($A143,[1]Hugst!$R$5:$W$9,MATCH(ROUNDUP((Y$1)/10,0)*10,[1]Hugst!$R$4:$W$4,0))))</f>
        <v>0</v>
      </c>
      <c r="Z143" s="168">
        <f>IF($C143-Z$1&lt;År1,0,Y142*(1-VLOOKUP($A143,[1]Hugst!$R$5:$W$9,MATCH(ROUNDUP((Z$1)/10,0)*10,[1]Hugst!$R$4:$W$4,0))))</f>
        <v>0</v>
      </c>
      <c r="AA143" s="168">
        <f>IF($C143-AA$1&lt;År1,0,Z142*(1-VLOOKUP($A143,[1]Hugst!$R$5:$W$9,MATCH(ROUNDUP((AA$1)/10,0)*10,[1]Hugst!$R$4:$W$4,0))))</f>
        <v>0</v>
      </c>
      <c r="AB143" s="168">
        <f>IF($C143-AB$1&lt;År1,0,AA142*(1-VLOOKUP($A143,[1]Hugst!$R$5:$W$9,MATCH(ROUNDUP((AB$1)/10,0)*10,[1]Hugst!$R$4:$W$4,0))))</f>
        <v>0</v>
      </c>
      <c r="AC143" s="168">
        <f>IF($C143-AC$1&lt;År1,0,AB142*(1-VLOOKUP($A143,[1]Hugst!$R$5:$W$9,MATCH(ROUNDUP((AC$1)/10,0)*10,[1]Hugst!$R$4:$W$4,0))))</f>
        <v>0</v>
      </c>
      <c r="AD143" s="168">
        <f>IF($C143-AD$1&lt;År1,0,AC142*(1-VLOOKUP($A143,[1]Hugst!$R$5:$W$9,MATCH(ROUNDUP((AD$1)/10,0)*10,[1]Hugst!$R$4:$W$4,0))))</f>
        <v>0</v>
      </c>
      <c r="AE143" s="168">
        <f>IF($C143-AE$1&lt;År1,0,AD142*(1-VLOOKUP($A143,[1]Hugst!$R$5:$W$9,MATCH(ROUNDUP((AE$1)/10,0)*10,[1]Hugst!$R$4:$W$4,0))))</f>
        <v>0</v>
      </c>
      <c r="AF143" s="168">
        <f>IF($C143-AF$1&lt;År1,0,AE142*(1-VLOOKUP($A143,[1]Hugst!$R$5:$W$9,MATCH(ROUNDUP((AF$1)/10,0)*10,[1]Hugst!$R$4:$W$4,0))))</f>
        <v>0</v>
      </c>
      <c r="AG143" s="168">
        <f>IF($C143-AG$1&lt;År1,0,AF142*(1-VLOOKUP($A143,[1]Hugst!$R$5:$W$9,MATCH(ROUNDUP((AG$1)/10,0)*10,[1]Hugst!$R$4:$W$4,0))))</f>
        <v>0</v>
      </c>
      <c r="AH143" s="168">
        <f>IF($C143-AH$1&lt;År1,0,AG142*(1-VLOOKUP($A143,[1]Hugst!$R$5:$W$9,MATCH(ROUNDUP((AH$1)/10,0)*10,[1]Hugst!$R$4:$W$4,0))))</f>
        <v>0</v>
      </c>
      <c r="AI143" s="168">
        <f>IF($C143-AI$1&lt;År1,0,AH142*(1-VLOOKUP($A143,[1]Hugst!$R$5:$W$9,MATCH(ROUNDUP((AI$1)/10,0)*10,[1]Hugst!$R$4:$W$4,0))))</f>
        <v>0</v>
      </c>
      <c r="AJ143" s="168">
        <f>IF($C143-AJ$1&lt;År1,0,AI142*(1-VLOOKUP($A143,[1]Hugst!$R$5:$W$9,MATCH(ROUNDUP((AJ$1)/10,0)*10,[1]Hugst!$R$4:$W$4,0))))</f>
        <v>0</v>
      </c>
    </row>
    <row r="144" spans="1:36" x14ac:dyDescent="0.25">
      <c r="A144" s="168" t="s">
        <v>178</v>
      </c>
      <c r="B144" s="168" t="s">
        <v>23</v>
      </c>
      <c r="C144" s="168">
        <v>2038</v>
      </c>
      <c r="D144" s="168" cm="1">
        <f t="array" ref="D144">(IF(B144="Vestdanmark",Skovbrug!$C$22-(Skovbrug!$C$22)*(1-Skovbrug!$C$9)^(C144-Skovbrug!$B$12),Skovbrug!$F$22-(Skovbrug!$F$22)*(1-Skovbrug!$C$9)^(C144-Skovbrug!$B$12))*VLOOKUP(A144,Skovbrug!$A$13:$D$17,IF('Skovbrug-alder'!C144&lt;=År2,3,4),FALSE)-IF(C144&gt;2020,SUM(INDEX($C$1:$D$311,MATCH(1,(2020=$C$1:$C$311)*(B144=$B$1:$B$311)*(A144=$A$1:$A$311),0),2):D143),0))</f>
        <v>0</v>
      </c>
      <c r="E144" s="168">
        <f t="shared" ca="1" si="3"/>
        <v>0</v>
      </c>
      <c r="F144" s="168">
        <f ca="1">IF(C144&lt;=År2,IF(B144="Vestdanmark",(Arealanvendelse!$M$27-Arealanvendelse!$J$27),(Arealanvendelse!$M$37-Arealanvendelse!$J$37))/(Arealanvendelse!$M$3-Arealanvendelse!$J$3),IF(B144="Vestdanmark",(Arealanvendelse!$P$27-Arealanvendelse!$M$27),(Arealanvendelse!$P$37-Arealanvendelse!$M$37))/(Arealanvendelse!$P$3-Arealanvendelse!$M$3))*VLOOKUP(A144,Skovbrug!$A$13:$D$17,IF('Skovbrug-alder'!C144&lt;=År2,3,4),FALSE)+D144+E144</f>
        <v>0</v>
      </c>
      <c r="G144" s="168">
        <f ca="1">IF($C144-G$1&lt;År1,0,F143*(1-VLOOKUP($A144,[1]Hugst!$R$5:$W$9,MATCH(ROUNDUP((G$1)/10,0)*10,[1]Hugst!$R$4:$W$4,0))))</f>
        <v>0</v>
      </c>
      <c r="H144" s="168">
        <f ca="1">IF($C144-H$1&lt;År1,0,G143*(1-VLOOKUP($A144,[1]Hugst!$R$5:$W$9,MATCH(ROUNDUP((H$1)/10,0)*10,[1]Hugst!$R$4:$W$4,0))))</f>
        <v>0</v>
      </c>
      <c r="I144" s="168">
        <f ca="1">IF($C144-I$1&lt;År1,0,H143*(1-VLOOKUP($A144,[1]Hugst!$R$5:$W$9,MATCH(ROUNDUP((I$1)/10,0)*10,[1]Hugst!$R$4:$W$4,0))))</f>
        <v>0</v>
      </c>
      <c r="J144" s="168">
        <f ca="1">IF($C144-J$1&lt;År1,0,I143*(1-VLOOKUP($A144,[1]Hugst!$R$5:$W$9,MATCH(ROUNDUP((J$1)/10,0)*10,[1]Hugst!$R$4:$W$4,0))))</f>
        <v>0</v>
      </c>
      <c r="K144" s="168">
        <f ca="1">IF($C144-K$1&lt;År1,0,J143*(1-VLOOKUP($A144,[1]Hugst!$R$5:$W$9,MATCH(ROUNDUP((K$1)/10,0)*10,[1]Hugst!$R$4:$W$4,0))))</f>
        <v>0</v>
      </c>
      <c r="L144" s="168">
        <f ca="1">IF($C144-L$1&lt;År1,0,K143*(1-VLOOKUP($A144,[1]Hugst!$R$5:$W$9,MATCH(ROUNDUP((L$1)/10,0)*10,[1]Hugst!$R$4:$W$4,0))))</f>
        <v>0</v>
      </c>
      <c r="M144" s="168">
        <f ca="1">IF($C144-M$1&lt;År1,0,L143*(1-VLOOKUP($A144,[1]Hugst!$R$5:$W$9,MATCH(ROUNDUP((M$1)/10,0)*10,[1]Hugst!$R$4:$W$4,0))))</f>
        <v>0</v>
      </c>
      <c r="N144" s="168">
        <f ca="1">IF($C144-N$1&lt;År1,0,M143*(1-VLOOKUP($A144,[1]Hugst!$R$5:$W$9,MATCH(ROUNDUP((N$1)/10,0)*10,[1]Hugst!$R$4:$W$4,0))))</f>
        <v>0</v>
      </c>
      <c r="O144" s="168">
        <f ca="1">IF($C144-O$1&lt;År1,0,N143*(1-VLOOKUP($A144,[1]Hugst!$R$5:$W$9,MATCH(ROUNDUP((O$1)/10,0)*10,[1]Hugst!$R$4:$W$4,0))))</f>
        <v>0</v>
      </c>
      <c r="P144" s="168">
        <f ca="1">IF($C144-P$1&lt;År1,0,O143*(1-VLOOKUP($A144,[1]Hugst!$R$5:$W$9,MATCH(ROUNDUP((P$1)/10,0)*10,[1]Hugst!$R$4:$W$4,0))))</f>
        <v>0</v>
      </c>
      <c r="Q144" s="168">
        <f ca="1">IF($C144-Q$1&lt;År1,0,P143*(1-VLOOKUP($A144,[1]Hugst!$R$5:$W$9,MATCH(ROUNDUP((Q$1)/10,0)*10,[1]Hugst!$R$4:$W$4,0))))</f>
        <v>0</v>
      </c>
      <c r="R144" s="168">
        <f ca="1">IF($C144-R$1&lt;År1,0,Q143*(1-VLOOKUP($A144,[1]Hugst!$R$5:$W$9,MATCH(ROUNDUP((R$1)/10,0)*10,[1]Hugst!$R$4:$W$4,0))))</f>
        <v>0</v>
      </c>
      <c r="S144" s="168">
        <f ca="1">IF($C144-S$1&lt;År1,0,R143*(1-VLOOKUP($A144,[1]Hugst!$R$5:$W$9,MATCH(ROUNDUP((S$1)/10,0)*10,[1]Hugst!$R$4:$W$4,0))))</f>
        <v>0</v>
      </c>
      <c r="T144" s="168">
        <f ca="1">IF($C144-T$1&lt;År1,0,S143*(1-VLOOKUP($A144,[1]Hugst!$R$5:$W$9,MATCH(ROUNDUP((T$1)/10,0)*10,[1]Hugst!$R$4:$W$4,0))))</f>
        <v>0</v>
      </c>
      <c r="U144" s="168">
        <f ca="1">IF($C144-U$1&lt;År1,0,T143*(1-VLOOKUP($A144,[1]Hugst!$R$5:$W$9,MATCH(ROUNDUP((U$1)/10,0)*10,[1]Hugst!$R$4:$W$4,0))))</f>
        <v>0</v>
      </c>
      <c r="V144" s="168">
        <f ca="1">IF($C144-V$1&lt;År1,0,U143*(1-VLOOKUP($A144,[1]Hugst!$R$5:$W$9,MATCH(ROUNDUP((V$1)/10,0)*10,[1]Hugst!$R$4:$W$4,0))))</f>
        <v>0</v>
      </c>
      <c r="W144" s="168">
        <f ca="1">IF($C144-W$1&lt;År1,0,V143*(1-VLOOKUP($A144,[1]Hugst!$R$5:$W$9,MATCH(ROUNDUP((W$1)/10,0)*10,[1]Hugst!$R$4:$W$4,0))))</f>
        <v>0</v>
      </c>
      <c r="X144" s="168">
        <f ca="1">IF($C144-X$1&lt;År1,0,W143*(1-VLOOKUP($A144,[1]Hugst!$R$5:$W$9,MATCH(ROUNDUP((X$1)/10,0)*10,[1]Hugst!$R$4:$W$4,0))))</f>
        <v>0</v>
      </c>
      <c r="Y144" s="168">
        <f>IF($C144-Y$1&lt;År1,0,X143*(1-VLOOKUP($A144,[1]Hugst!$R$5:$W$9,MATCH(ROUNDUP((Y$1)/10,0)*10,[1]Hugst!$R$4:$W$4,0))))</f>
        <v>0</v>
      </c>
      <c r="Z144" s="168">
        <f>IF($C144-Z$1&lt;År1,0,Y143*(1-VLOOKUP($A144,[1]Hugst!$R$5:$W$9,MATCH(ROUNDUP((Z$1)/10,0)*10,[1]Hugst!$R$4:$W$4,0))))</f>
        <v>0</v>
      </c>
      <c r="AA144" s="168">
        <f>IF($C144-AA$1&lt;År1,0,Z143*(1-VLOOKUP($A144,[1]Hugst!$R$5:$W$9,MATCH(ROUNDUP((AA$1)/10,0)*10,[1]Hugst!$R$4:$W$4,0))))</f>
        <v>0</v>
      </c>
      <c r="AB144" s="168">
        <f>IF($C144-AB$1&lt;År1,0,AA143*(1-VLOOKUP($A144,[1]Hugst!$R$5:$W$9,MATCH(ROUNDUP((AB$1)/10,0)*10,[1]Hugst!$R$4:$W$4,0))))</f>
        <v>0</v>
      </c>
      <c r="AC144" s="168">
        <f>IF($C144-AC$1&lt;År1,0,AB143*(1-VLOOKUP($A144,[1]Hugst!$R$5:$W$9,MATCH(ROUNDUP((AC$1)/10,0)*10,[1]Hugst!$R$4:$W$4,0))))</f>
        <v>0</v>
      </c>
      <c r="AD144" s="168">
        <f>IF($C144-AD$1&lt;År1,0,AC143*(1-VLOOKUP($A144,[1]Hugst!$R$5:$W$9,MATCH(ROUNDUP((AD$1)/10,0)*10,[1]Hugst!$R$4:$W$4,0))))</f>
        <v>0</v>
      </c>
      <c r="AE144" s="168">
        <f>IF($C144-AE$1&lt;År1,0,AD143*(1-VLOOKUP($A144,[1]Hugst!$R$5:$W$9,MATCH(ROUNDUP((AE$1)/10,0)*10,[1]Hugst!$R$4:$W$4,0))))</f>
        <v>0</v>
      </c>
      <c r="AF144" s="168">
        <f>IF($C144-AF$1&lt;År1,0,AE143*(1-VLOOKUP($A144,[1]Hugst!$R$5:$W$9,MATCH(ROUNDUP((AF$1)/10,0)*10,[1]Hugst!$R$4:$W$4,0))))</f>
        <v>0</v>
      </c>
      <c r="AG144" s="168">
        <f>IF($C144-AG$1&lt;År1,0,AF143*(1-VLOOKUP($A144,[1]Hugst!$R$5:$W$9,MATCH(ROUNDUP((AG$1)/10,0)*10,[1]Hugst!$R$4:$W$4,0))))</f>
        <v>0</v>
      </c>
      <c r="AH144" s="168">
        <f>IF($C144-AH$1&lt;År1,0,AG143*(1-VLOOKUP($A144,[1]Hugst!$R$5:$W$9,MATCH(ROUNDUP((AH$1)/10,0)*10,[1]Hugst!$R$4:$W$4,0))))</f>
        <v>0</v>
      </c>
      <c r="AI144" s="168">
        <f>IF($C144-AI$1&lt;År1,0,AH143*(1-VLOOKUP($A144,[1]Hugst!$R$5:$W$9,MATCH(ROUNDUP((AI$1)/10,0)*10,[1]Hugst!$R$4:$W$4,0))))</f>
        <v>0</v>
      </c>
      <c r="AJ144" s="168">
        <f>IF($C144-AJ$1&lt;År1,0,AI143*(1-VLOOKUP($A144,[1]Hugst!$R$5:$W$9,MATCH(ROUNDUP((AJ$1)/10,0)*10,[1]Hugst!$R$4:$W$4,0))))</f>
        <v>0</v>
      </c>
    </row>
    <row r="145" spans="1:36" x14ac:dyDescent="0.25">
      <c r="A145" s="168" t="s">
        <v>178</v>
      </c>
      <c r="B145" s="168" t="s">
        <v>23</v>
      </c>
      <c r="C145" s="168">
        <v>2039</v>
      </c>
      <c r="D145" s="168" cm="1">
        <f t="array" ref="D145">(IF(B145="Vestdanmark",Skovbrug!$C$22-(Skovbrug!$C$22)*(1-Skovbrug!$C$9)^(C145-Skovbrug!$B$12),Skovbrug!$F$22-(Skovbrug!$F$22)*(1-Skovbrug!$C$9)^(C145-Skovbrug!$B$12))*VLOOKUP(A145,Skovbrug!$A$13:$D$17,IF('Skovbrug-alder'!C145&lt;=År2,3,4),FALSE)-IF(C145&gt;2020,SUM(INDEX($C$1:$D$311,MATCH(1,(2020=$C$1:$C$311)*(B145=$B$1:$B$311)*(A145=$A$1:$A$311),0),2):D144),0))</f>
        <v>0</v>
      </c>
      <c r="E145" s="168">
        <f t="shared" ca="1" si="3"/>
        <v>0</v>
      </c>
      <c r="F145" s="168">
        <f ca="1">IF(C145&lt;=År2,IF(B145="Vestdanmark",(Arealanvendelse!$M$27-Arealanvendelse!$J$27),(Arealanvendelse!$M$37-Arealanvendelse!$J$37))/(Arealanvendelse!$M$3-Arealanvendelse!$J$3),IF(B145="Vestdanmark",(Arealanvendelse!$P$27-Arealanvendelse!$M$27),(Arealanvendelse!$P$37-Arealanvendelse!$M$37))/(Arealanvendelse!$P$3-Arealanvendelse!$M$3))*VLOOKUP(A145,Skovbrug!$A$13:$D$17,IF('Skovbrug-alder'!C145&lt;=År2,3,4),FALSE)+D145+E145</f>
        <v>0</v>
      </c>
      <c r="G145" s="168">
        <f ca="1">IF($C145-G$1&lt;År1,0,F144*(1-VLOOKUP($A145,[1]Hugst!$R$5:$W$9,MATCH(ROUNDUP((G$1)/10,0)*10,[1]Hugst!$R$4:$W$4,0))))</f>
        <v>0</v>
      </c>
      <c r="H145" s="168">
        <f ca="1">IF($C145-H$1&lt;År1,0,G144*(1-VLOOKUP($A145,[1]Hugst!$R$5:$W$9,MATCH(ROUNDUP((H$1)/10,0)*10,[1]Hugst!$R$4:$W$4,0))))</f>
        <v>0</v>
      </c>
      <c r="I145" s="168">
        <f ca="1">IF($C145-I$1&lt;År1,0,H144*(1-VLOOKUP($A145,[1]Hugst!$R$5:$W$9,MATCH(ROUNDUP((I$1)/10,0)*10,[1]Hugst!$R$4:$W$4,0))))</f>
        <v>0</v>
      </c>
      <c r="J145" s="168">
        <f ca="1">IF($C145-J$1&lt;År1,0,I144*(1-VLOOKUP($A145,[1]Hugst!$R$5:$W$9,MATCH(ROUNDUP((J$1)/10,0)*10,[1]Hugst!$R$4:$W$4,0))))</f>
        <v>0</v>
      </c>
      <c r="K145" s="168">
        <f ca="1">IF($C145-K$1&lt;År1,0,J144*(1-VLOOKUP($A145,[1]Hugst!$R$5:$W$9,MATCH(ROUNDUP((K$1)/10,0)*10,[1]Hugst!$R$4:$W$4,0))))</f>
        <v>0</v>
      </c>
      <c r="L145" s="168">
        <f ca="1">IF($C145-L$1&lt;År1,0,K144*(1-VLOOKUP($A145,[1]Hugst!$R$5:$W$9,MATCH(ROUNDUP((L$1)/10,0)*10,[1]Hugst!$R$4:$W$4,0))))</f>
        <v>0</v>
      </c>
      <c r="M145" s="168">
        <f ca="1">IF($C145-M$1&lt;År1,0,L144*(1-VLOOKUP($A145,[1]Hugst!$R$5:$W$9,MATCH(ROUNDUP((M$1)/10,0)*10,[1]Hugst!$R$4:$W$4,0))))</f>
        <v>0</v>
      </c>
      <c r="N145" s="168">
        <f ca="1">IF($C145-N$1&lt;År1,0,M144*(1-VLOOKUP($A145,[1]Hugst!$R$5:$W$9,MATCH(ROUNDUP((N$1)/10,0)*10,[1]Hugst!$R$4:$W$4,0))))</f>
        <v>0</v>
      </c>
      <c r="O145" s="168">
        <f ca="1">IF($C145-O$1&lt;År1,0,N144*(1-VLOOKUP($A145,[1]Hugst!$R$5:$W$9,MATCH(ROUNDUP((O$1)/10,0)*10,[1]Hugst!$R$4:$W$4,0))))</f>
        <v>0</v>
      </c>
      <c r="P145" s="168">
        <f ca="1">IF($C145-P$1&lt;År1,0,O144*(1-VLOOKUP($A145,[1]Hugst!$R$5:$W$9,MATCH(ROUNDUP((P$1)/10,0)*10,[1]Hugst!$R$4:$W$4,0))))</f>
        <v>0</v>
      </c>
      <c r="Q145" s="168">
        <f ca="1">IF($C145-Q$1&lt;År1,0,P144*(1-VLOOKUP($A145,[1]Hugst!$R$5:$W$9,MATCH(ROUNDUP((Q$1)/10,0)*10,[1]Hugst!$R$4:$W$4,0))))</f>
        <v>0</v>
      </c>
      <c r="R145" s="168">
        <f ca="1">IF($C145-R$1&lt;År1,0,Q144*(1-VLOOKUP($A145,[1]Hugst!$R$5:$W$9,MATCH(ROUNDUP((R$1)/10,0)*10,[1]Hugst!$R$4:$W$4,0))))</f>
        <v>0</v>
      </c>
      <c r="S145" s="168">
        <f ca="1">IF($C145-S$1&lt;År1,0,R144*(1-VLOOKUP($A145,[1]Hugst!$R$5:$W$9,MATCH(ROUNDUP((S$1)/10,0)*10,[1]Hugst!$R$4:$W$4,0))))</f>
        <v>0</v>
      </c>
      <c r="T145" s="168">
        <f ca="1">IF($C145-T$1&lt;År1,0,S144*(1-VLOOKUP($A145,[1]Hugst!$R$5:$W$9,MATCH(ROUNDUP((T$1)/10,0)*10,[1]Hugst!$R$4:$W$4,0))))</f>
        <v>0</v>
      </c>
      <c r="U145" s="168">
        <f ca="1">IF($C145-U$1&lt;År1,0,T144*(1-VLOOKUP($A145,[1]Hugst!$R$5:$W$9,MATCH(ROUNDUP((U$1)/10,0)*10,[1]Hugst!$R$4:$W$4,0))))</f>
        <v>0</v>
      </c>
      <c r="V145" s="168">
        <f ca="1">IF($C145-V$1&lt;År1,0,U144*(1-VLOOKUP($A145,[1]Hugst!$R$5:$W$9,MATCH(ROUNDUP((V$1)/10,0)*10,[1]Hugst!$R$4:$W$4,0))))</f>
        <v>0</v>
      </c>
      <c r="W145" s="168">
        <f ca="1">IF($C145-W$1&lt;År1,0,V144*(1-VLOOKUP($A145,[1]Hugst!$R$5:$W$9,MATCH(ROUNDUP((W$1)/10,0)*10,[1]Hugst!$R$4:$W$4,0))))</f>
        <v>0</v>
      </c>
      <c r="X145" s="168">
        <f ca="1">IF($C145-X$1&lt;År1,0,W144*(1-VLOOKUP($A145,[1]Hugst!$R$5:$W$9,MATCH(ROUNDUP((X$1)/10,0)*10,[1]Hugst!$R$4:$W$4,0))))</f>
        <v>0</v>
      </c>
      <c r="Y145" s="168">
        <f ca="1">IF($C145-Y$1&lt;År1,0,X144*(1-VLOOKUP($A145,[1]Hugst!$R$5:$W$9,MATCH(ROUNDUP((Y$1)/10,0)*10,[1]Hugst!$R$4:$W$4,0))))</f>
        <v>0</v>
      </c>
      <c r="Z145" s="168">
        <f>IF($C145-Z$1&lt;År1,0,Y144*(1-VLOOKUP($A145,[1]Hugst!$R$5:$W$9,MATCH(ROUNDUP((Z$1)/10,0)*10,[1]Hugst!$R$4:$W$4,0))))</f>
        <v>0</v>
      </c>
      <c r="AA145" s="168">
        <f>IF($C145-AA$1&lt;År1,0,Z144*(1-VLOOKUP($A145,[1]Hugst!$R$5:$W$9,MATCH(ROUNDUP((AA$1)/10,0)*10,[1]Hugst!$R$4:$W$4,0))))</f>
        <v>0</v>
      </c>
      <c r="AB145" s="168">
        <f>IF($C145-AB$1&lt;År1,0,AA144*(1-VLOOKUP($A145,[1]Hugst!$R$5:$W$9,MATCH(ROUNDUP((AB$1)/10,0)*10,[1]Hugst!$R$4:$W$4,0))))</f>
        <v>0</v>
      </c>
      <c r="AC145" s="168">
        <f>IF($C145-AC$1&lt;År1,0,AB144*(1-VLOOKUP($A145,[1]Hugst!$R$5:$W$9,MATCH(ROUNDUP((AC$1)/10,0)*10,[1]Hugst!$R$4:$W$4,0))))</f>
        <v>0</v>
      </c>
      <c r="AD145" s="168">
        <f>IF($C145-AD$1&lt;År1,0,AC144*(1-VLOOKUP($A145,[1]Hugst!$R$5:$W$9,MATCH(ROUNDUP((AD$1)/10,0)*10,[1]Hugst!$R$4:$W$4,0))))</f>
        <v>0</v>
      </c>
      <c r="AE145" s="168">
        <f>IF($C145-AE$1&lt;År1,0,AD144*(1-VLOOKUP($A145,[1]Hugst!$R$5:$W$9,MATCH(ROUNDUP((AE$1)/10,0)*10,[1]Hugst!$R$4:$W$4,0))))</f>
        <v>0</v>
      </c>
      <c r="AF145" s="168">
        <f>IF($C145-AF$1&lt;År1,0,AE144*(1-VLOOKUP($A145,[1]Hugst!$R$5:$W$9,MATCH(ROUNDUP((AF$1)/10,0)*10,[1]Hugst!$R$4:$W$4,0))))</f>
        <v>0</v>
      </c>
      <c r="AG145" s="168">
        <f>IF($C145-AG$1&lt;År1,0,AF144*(1-VLOOKUP($A145,[1]Hugst!$R$5:$W$9,MATCH(ROUNDUP((AG$1)/10,0)*10,[1]Hugst!$R$4:$W$4,0))))</f>
        <v>0</v>
      </c>
      <c r="AH145" s="168">
        <f>IF($C145-AH$1&lt;År1,0,AG144*(1-VLOOKUP($A145,[1]Hugst!$R$5:$W$9,MATCH(ROUNDUP((AH$1)/10,0)*10,[1]Hugst!$R$4:$W$4,0))))</f>
        <v>0</v>
      </c>
      <c r="AI145" s="168">
        <f>IF($C145-AI$1&lt;År1,0,AH144*(1-VLOOKUP($A145,[1]Hugst!$R$5:$W$9,MATCH(ROUNDUP((AI$1)/10,0)*10,[1]Hugst!$R$4:$W$4,0))))</f>
        <v>0</v>
      </c>
      <c r="AJ145" s="168">
        <f>IF($C145-AJ$1&lt;År1,0,AI144*(1-VLOOKUP($A145,[1]Hugst!$R$5:$W$9,MATCH(ROUNDUP((AJ$1)/10,0)*10,[1]Hugst!$R$4:$W$4,0))))</f>
        <v>0</v>
      </c>
    </row>
    <row r="146" spans="1:36" x14ac:dyDescent="0.25">
      <c r="A146" s="168" t="s">
        <v>178</v>
      </c>
      <c r="B146" s="168" t="s">
        <v>23</v>
      </c>
      <c r="C146" s="168">
        <v>2040</v>
      </c>
      <c r="D146" s="168" cm="1">
        <f t="array" ref="D146">(IF(B146="Vestdanmark",Skovbrug!$C$22-(Skovbrug!$C$22)*(1-Skovbrug!$C$9)^(C146-Skovbrug!$B$12),Skovbrug!$F$22-(Skovbrug!$F$22)*(1-Skovbrug!$C$9)^(C146-Skovbrug!$B$12))*VLOOKUP(A146,Skovbrug!$A$13:$D$17,IF('Skovbrug-alder'!C146&lt;=År2,3,4),FALSE)-IF(C146&gt;2020,SUM(INDEX($C$1:$D$311,MATCH(1,(2020=$C$1:$C$311)*(B146=$B$1:$B$311)*(A146=$A$1:$A$311),0),2):D145),0))</f>
        <v>0</v>
      </c>
      <c r="E146" s="168">
        <f t="shared" ca="1" si="3"/>
        <v>0</v>
      </c>
      <c r="F146" s="168">
        <f ca="1">IF(C146&lt;=År2,IF(B146="Vestdanmark",(Arealanvendelse!$M$27-Arealanvendelse!$J$27),(Arealanvendelse!$M$37-Arealanvendelse!$J$37))/(Arealanvendelse!$M$3-Arealanvendelse!$J$3),IF(B146="Vestdanmark",(Arealanvendelse!$P$27-Arealanvendelse!$M$27),(Arealanvendelse!$P$37-Arealanvendelse!$M$37))/(Arealanvendelse!$P$3-Arealanvendelse!$M$3))*VLOOKUP(A146,Skovbrug!$A$13:$D$17,IF('Skovbrug-alder'!C146&lt;=År2,3,4),FALSE)+D146+E146</f>
        <v>0</v>
      </c>
      <c r="G146" s="168">
        <f ca="1">IF($C146-G$1&lt;År1,0,F145*(1-VLOOKUP($A146,[1]Hugst!$R$5:$W$9,MATCH(ROUNDUP((G$1)/10,0)*10,[1]Hugst!$R$4:$W$4,0))))</f>
        <v>0</v>
      </c>
      <c r="H146" s="168">
        <f ca="1">IF($C146-H$1&lt;År1,0,G145*(1-VLOOKUP($A146,[1]Hugst!$R$5:$W$9,MATCH(ROUNDUP((H$1)/10,0)*10,[1]Hugst!$R$4:$W$4,0))))</f>
        <v>0</v>
      </c>
      <c r="I146" s="168">
        <f ca="1">IF($C146-I$1&lt;År1,0,H145*(1-VLOOKUP($A146,[1]Hugst!$R$5:$W$9,MATCH(ROUNDUP((I$1)/10,0)*10,[1]Hugst!$R$4:$W$4,0))))</f>
        <v>0</v>
      </c>
      <c r="J146" s="168">
        <f ca="1">IF($C146-J$1&lt;År1,0,I145*(1-VLOOKUP($A146,[1]Hugst!$R$5:$W$9,MATCH(ROUNDUP((J$1)/10,0)*10,[1]Hugst!$R$4:$W$4,0))))</f>
        <v>0</v>
      </c>
      <c r="K146" s="168">
        <f ca="1">IF($C146-K$1&lt;År1,0,J145*(1-VLOOKUP($A146,[1]Hugst!$R$5:$W$9,MATCH(ROUNDUP((K$1)/10,0)*10,[1]Hugst!$R$4:$W$4,0))))</f>
        <v>0</v>
      </c>
      <c r="L146" s="168">
        <f ca="1">IF($C146-L$1&lt;År1,0,K145*(1-VLOOKUP($A146,[1]Hugst!$R$5:$W$9,MATCH(ROUNDUP((L$1)/10,0)*10,[1]Hugst!$R$4:$W$4,0))))</f>
        <v>0</v>
      </c>
      <c r="M146" s="168">
        <f ca="1">IF($C146-M$1&lt;År1,0,L145*(1-VLOOKUP($A146,[1]Hugst!$R$5:$W$9,MATCH(ROUNDUP((M$1)/10,0)*10,[1]Hugst!$R$4:$W$4,0))))</f>
        <v>0</v>
      </c>
      <c r="N146" s="168">
        <f ca="1">IF($C146-N$1&lt;År1,0,M145*(1-VLOOKUP($A146,[1]Hugst!$R$5:$W$9,MATCH(ROUNDUP((N$1)/10,0)*10,[1]Hugst!$R$4:$W$4,0))))</f>
        <v>0</v>
      </c>
      <c r="O146" s="168">
        <f ca="1">IF($C146-O$1&lt;År1,0,N145*(1-VLOOKUP($A146,[1]Hugst!$R$5:$W$9,MATCH(ROUNDUP((O$1)/10,0)*10,[1]Hugst!$R$4:$W$4,0))))</f>
        <v>0</v>
      </c>
      <c r="P146" s="168">
        <f ca="1">IF($C146-P$1&lt;År1,0,O145*(1-VLOOKUP($A146,[1]Hugst!$R$5:$W$9,MATCH(ROUNDUP((P$1)/10,0)*10,[1]Hugst!$R$4:$W$4,0))))</f>
        <v>0</v>
      </c>
      <c r="Q146" s="168">
        <f ca="1">IF($C146-Q$1&lt;År1,0,P145*(1-VLOOKUP($A146,[1]Hugst!$R$5:$W$9,MATCH(ROUNDUP((Q$1)/10,0)*10,[1]Hugst!$R$4:$W$4,0))))</f>
        <v>0</v>
      </c>
      <c r="R146" s="168">
        <f ca="1">IF($C146-R$1&lt;År1,0,Q145*(1-VLOOKUP($A146,[1]Hugst!$R$5:$W$9,MATCH(ROUNDUP((R$1)/10,0)*10,[1]Hugst!$R$4:$W$4,0))))</f>
        <v>0</v>
      </c>
      <c r="S146" s="168">
        <f ca="1">IF($C146-S$1&lt;År1,0,R145*(1-VLOOKUP($A146,[1]Hugst!$R$5:$W$9,MATCH(ROUNDUP((S$1)/10,0)*10,[1]Hugst!$R$4:$W$4,0))))</f>
        <v>0</v>
      </c>
      <c r="T146" s="168">
        <f ca="1">IF($C146-T$1&lt;År1,0,S145*(1-VLOOKUP($A146,[1]Hugst!$R$5:$W$9,MATCH(ROUNDUP((T$1)/10,0)*10,[1]Hugst!$R$4:$W$4,0))))</f>
        <v>0</v>
      </c>
      <c r="U146" s="168">
        <f ca="1">IF($C146-U$1&lt;År1,0,T145*(1-VLOOKUP($A146,[1]Hugst!$R$5:$W$9,MATCH(ROUNDUP((U$1)/10,0)*10,[1]Hugst!$R$4:$W$4,0))))</f>
        <v>0</v>
      </c>
      <c r="V146" s="168">
        <f ca="1">IF($C146-V$1&lt;År1,0,U145*(1-VLOOKUP($A146,[1]Hugst!$R$5:$W$9,MATCH(ROUNDUP((V$1)/10,0)*10,[1]Hugst!$R$4:$W$4,0))))</f>
        <v>0</v>
      </c>
      <c r="W146" s="168">
        <f ca="1">IF($C146-W$1&lt;År1,0,V145*(1-VLOOKUP($A146,[1]Hugst!$R$5:$W$9,MATCH(ROUNDUP((W$1)/10,0)*10,[1]Hugst!$R$4:$W$4,0))))</f>
        <v>0</v>
      </c>
      <c r="X146" s="168">
        <f ca="1">IF($C146-X$1&lt;År1,0,W145*(1-VLOOKUP($A146,[1]Hugst!$R$5:$W$9,MATCH(ROUNDUP((X$1)/10,0)*10,[1]Hugst!$R$4:$W$4,0))))</f>
        <v>0</v>
      </c>
      <c r="Y146" s="168">
        <f ca="1">IF($C146-Y$1&lt;År1,0,X145*(1-VLOOKUP($A146,[1]Hugst!$R$5:$W$9,MATCH(ROUNDUP((Y$1)/10,0)*10,[1]Hugst!$R$4:$W$4,0))))</f>
        <v>0</v>
      </c>
      <c r="Z146" s="168">
        <f ca="1">IF($C146-Z$1&lt;År1,0,Y145*(1-VLOOKUP($A146,[1]Hugst!$R$5:$W$9,MATCH(ROUNDUP((Z$1)/10,0)*10,[1]Hugst!$R$4:$W$4,0))))</f>
        <v>0</v>
      </c>
      <c r="AA146" s="168">
        <f>IF($C146-AA$1&lt;År1,0,Z145*(1-VLOOKUP($A146,[1]Hugst!$R$5:$W$9,MATCH(ROUNDUP((AA$1)/10,0)*10,[1]Hugst!$R$4:$W$4,0))))</f>
        <v>0</v>
      </c>
      <c r="AB146" s="168">
        <f>IF($C146-AB$1&lt;År1,0,AA145*(1-VLOOKUP($A146,[1]Hugst!$R$5:$W$9,MATCH(ROUNDUP((AB$1)/10,0)*10,[1]Hugst!$R$4:$W$4,0))))</f>
        <v>0</v>
      </c>
      <c r="AC146" s="168">
        <f>IF($C146-AC$1&lt;År1,0,AB145*(1-VLOOKUP($A146,[1]Hugst!$R$5:$W$9,MATCH(ROUNDUP((AC$1)/10,0)*10,[1]Hugst!$R$4:$W$4,0))))</f>
        <v>0</v>
      </c>
      <c r="AD146" s="168">
        <f>IF($C146-AD$1&lt;År1,0,AC145*(1-VLOOKUP($A146,[1]Hugst!$R$5:$W$9,MATCH(ROUNDUP((AD$1)/10,0)*10,[1]Hugst!$R$4:$W$4,0))))</f>
        <v>0</v>
      </c>
      <c r="AE146" s="168">
        <f>IF($C146-AE$1&lt;År1,0,AD145*(1-VLOOKUP($A146,[1]Hugst!$R$5:$W$9,MATCH(ROUNDUP((AE$1)/10,0)*10,[1]Hugst!$R$4:$W$4,0))))</f>
        <v>0</v>
      </c>
      <c r="AF146" s="168">
        <f>IF($C146-AF$1&lt;År1,0,AE145*(1-VLOOKUP($A146,[1]Hugst!$R$5:$W$9,MATCH(ROUNDUP((AF$1)/10,0)*10,[1]Hugst!$R$4:$W$4,0))))</f>
        <v>0</v>
      </c>
      <c r="AG146" s="168">
        <f>IF($C146-AG$1&lt;År1,0,AF145*(1-VLOOKUP($A146,[1]Hugst!$R$5:$W$9,MATCH(ROUNDUP((AG$1)/10,0)*10,[1]Hugst!$R$4:$W$4,0))))</f>
        <v>0</v>
      </c>
      <c r="AH146" s="168">
        <f>IF($C146-AH$1&lt;År1,0,AG145*(1-VLOOKUP($A146,[1]Hugst!$R$5:$W$9,MATCH(ROUNDUP((AH$1)/10,0)*10,[1]Hugst!$R$4:$W$4,0))))</f>
        <v>0</v>
      </c>
      <c r="AI146" s="168">
        <f>IF($C146-AI$1&lt;År1,0,AH145*(1-VLOOKUP($A146,[1]Hugst!$R$5:$W$9,MATCH(ROUNDUP((AI$1)/10,0)*10,[1]Hugst!$R$4:$W$4,0))))</f>
        <v>0</v>
      </c>
      <c r="AJ146" s="168">
        <f>IF($C146-AJ$1&lt;År1,0,AI145*(1-VLOOKUP($A146,[1]Hugst!$R$5:$W$9,MATCH(ROUNDUP((AJ$1)/10,0)*10,[1]Hugst!$R$4:$W$4,0))))</f>
        <v>0</v>
      </c>
    </row>
    <row r="147" spans="1:36" x14ac:dyDescent="0.25">
      <c r="A147" s="168" t="s">
        <v>178</v>
      </c>
      <c r="B147" s="168" t="s">
        <v>23</v>
      </c>
      <c r="C147" s="168">
        <v>2041</v>
      </c>
      <c r="D147" s="168" cm="1">
        <f t="array" ref="D147">(IF(B147="Vestdanmark",Skovbrug!$C$22-(Skovbrug!$C$22)*(1-Skovbrug!$C$9)^(C147-Skovbrug!$B$12),Skovbrug!$F$22-(Skovbrug!$F$22)*(1-Skovbrug!$C$9)^(C147-Skovbrug!$B$12))*VLOOKUP(A147,Skovbrug!$A$13:$D$17,IF('Skovbrug-alder'!C147&lt;=År2,3,4),FALSE)-IF(C147&gt;2020,SUM(INDEX($C$1:$D$311,MATCH(1,(2020=$C$1:$C$311)*(B147=$B$1:$B$311)*(A147=$A$1:$A$311),0),2):D146),0))</f>
        <v>0</v>
      </c>
      <c r="E147" s="168">
        <f t="shared" ca="1" si="3"/>
        <v>0</v>
      </c>
      <c r="F147" s="168">
        <f ca="1">IF(C147&lt;=År2,IF(B147="Vestdanmark",(Arealanvendelse!$M$27-Arealanvendelse!$J$27),(Arealanvendelse!$M$37-Arealanvendelse!$J$37))/(Arealanvendelse!$M$3-Arealanvendelse!$J$3),IF(B147="Vestdanmark",(Arealanvendelse!$P$27-Arealanvendelse!$M$27),(Arealanvendelse!$P$37-Arealanvendelse!$M$37))/(Arealanvendelse!$P$3-Arealanvendelse!$M$3))*VLOOKUP(A147,Skovbrug!$A$13:$D$17,IF('Skovbrug-alder'!C147&lt;=År2,3,4),FALSE)+D147+E147</f>
        <v>0</v>
      </c>
      <c r="G147" s="168">
        <f ca="1">IF($C147-G$1&lt;År1,0,F146*(1-VLOOKUP($A147,[1]Hugst!$R$5:$W$9,MATCH(ROUNDUP((G$1)/10,0)*10,[1]Hugst!$R$4:$W$4,0))))</f>
        <v>0</v>
      </c>
      <c r="H147" s="168">
        <f ca="1">IF($C147-H$1&lt;År1,0,G146*(1-VLOOKUP($A147,[1]Hugst!$R$5:$W$9,MATCH(ROUNDUP((H$1)/10,0)*10,[1]Hugst!$R$4:$W$4,0))))</f>
        <v>0</v>
      </c>
      <c r="I147" s="168">
        <f ca="1">IF($C147-I$1&lt;År1,0,H146*(1-VLOOKUP($A147,[1]Hugst!$R$5:$W$9,MATCH(ROUNDUP((I$1)/10,0)*10,[1]Hugst!$R$4:$W$4,0))))</f>
        <v>0</v>
      </c>
      <c r="J147" s="168">
        <f ca="1">IF($C147-J$1&lt;År1,0,I146*(1-VLOOKUP($A147,[1]Hugst!$R$5:$W$9,MATCH(ROUNDUP((J$1)/10,0)*10,[1]Hugst!$R$4:$W$4,0))))</f>
        <v>0</v>
      </c>
      <c r="K147" s="168">
        <f ca="1">IF($C147-K$1&lt;År1,0,J146*(1-VLOOKUP($A147,[1]Hugst!$R$5:$W$9,MATCH(ROUNDUP((K$1)/10,0)*10,[1]Hugst!$R$4:$W$4,0))))</f>
        <v>0</v>
      </c>
      <c r="L147" s="168">
        <f ca="1">IF($C147-L$1&lt;År1,0,K146*(1-VLOOKUP($A147,[1]Hugst!$R$5:$W$9,MATCH(ROUNDUP((L$1)/10,0)*10,[1]Hugst!$R$4:$W$4,0))))</f>
        <v>0</v>
      </c>
      <c r="M147" s="168">
        <f ca="1">IF($C147-M$1&lt;År1,0,L146*(1-VLOOKUP($A147,[1]Hugst!$R$5:$W$9,MATCH(ROUNDUP((M$1)/10,0)*10,[1]Hugst!$R$4:$W$4,0))))</f>
        <v>0</v>
      </c>
      <c r="N147" s="168">
        <f ca="1">IF($C147-N$1&lt;År1,0,M146*(1-VLOOKUP($A147,[1]Hugst!$R$5:$W$9,MATCH(ROUNDUP((N$1)/10,0)*10,[1]Hugst!$R$4:$W$4,0))))</f>
        <v>0</v>
      </c>
      <c r="O147" s="168">
        <f ca="1">IF($C147-O$1&lt;År1,0,N146*(1-VLOOKUP($A147,[1]Hugst!$R$5:$W$9,MATCH(ROUNDUP((O$1)/10,0)*10,[1]Hugst!$R$4:$W$4,0))))</f>
        <v>0</v>
      </c>
      <c r="P147" s="168">
        <f ca="1">IF($C147-P$1&lt;År1,0,O146*(1-VLOOKUP($A147,[1]Hugst!$R$5:$W$9,MATCH(ROUNDUP((P$1)/10,0)*10,[1]Hugst!$R$4:$W$4,0))))</f>
        <v>0</v>
      </c>
      <c r="Q147" s="168">
        <f ca="1">IF($C147-Q$1&lt;År1,0,P146*(1-VLOOKUP($A147,[1]Hugst!$R$5:$W$9,MATCH(ROUNDUP((Q$1)/10,0)*10,[1]Hugst!$R$4:$W$4,0))))</f>
        <v>0</v>
      </c>
      <c r="R147" s="168">
        <f ca="1">IF($C147-R$1&lt;År1,0,Q146*(1-VLOOKUP($A147,[1]Hugst!$R$5:$W$9,MATCH(ROUNDUP((R$1)/10,0)*10,[1]Hugst!$R$4:$W$4,0))))</f>
        <v>0</v>
      </c>
      <c r="S147" s="168">
        <f ca="1">IF($C147-S$1&lt;År1,0,R146*(1-VLOOKUP($A147,[1]Hugst!$R$5:$W$9,MATCH(ROUNDUP((S$1)/10,0)*10,[1]Hugst!$R$4:$W$4,0))))</f>
        <v>0</v>
      </c>
      <c r="T147" s="168">
        <f ca="1">IF($C147-T$1&lt;År1,0,S146*(1-VLOOKUP($A147,[1]Hugst!$R$5:$W$9,MATCH(ROUNDUP((T$1)/10,0)*10,[1]Hugst!$R$4:$W$4,0))))</f>
        <v>0</v>
      </c>
      <c r="U147" s="168">
        <f ca="1">IF($C147-U$1&lt;År1,0,T146*(1-VLOOKUP($A147,[1]Hugst!$R$5:$W$9,MATCH(ROUNDUP((U$1)/10,0)*10,[1]Hugst!$R$4:$W$4,0))))</f>
        <v>0</v>
      </c>
      <c r="V147" s="168">
        <f ca="1">IF($C147-V$1&lt;År1,0,U146*(1-VLOOKUP($A147,[1]Hugst!$R$5:$W$9,MATCH(ROUNDUP((V$1)/10,0)*10,[1]Hugst!$R$4:$W$4,0))))</f>
        <v>0</v>
      </c>
      <c r="W147" s="168">
        <f ca="1">IF($C147-W$1&lt;År1,0,V146*(1-VLOOKUP($A147,[1]Hugst!$R$5:$W$9,MATCH(ROUNDUP((W$1)/10,0)*10,[1]Hugst!$R$4:$W$4,0))))</f>
        <v>0</v>
      </c>
      <c r="X147" s="168">
        <f ca="1">IF($C147-X$1&lt;År1,0,W146*(1-VLOOKUP($A147,[1]Hugst!$R$5:$W$9,MATCH(ROUNDUP((X$1)/10,0)*10,[1]Hugst!$R$4:$W$4,0))))</f>
        <v>0</v>
      </c>
      <c r="Y147" s="168">
        <f ca="1">IF($C147-Y$1&lt;År1,0,X146*(1-VLOOKUP($A147,[1]Hugst!$R$5:$W$9,MATCH(ROUNDUP((Y$1)/10,0)*10,[1]Hugst!$R$4:$W$4,0))))</f>
        <v>0</v>
      </c>
      <c r="Z147" s="168">
        <f ca="1">IF($C147-Z$1&lt;År1,0,Y146*(1-VLOOKUP($A147,[1]Hugst!$R$5:$W$9,MATCH(ROUNDUP((Z$1)/10,0)*10,[1]Hugst!$R$4:$W$4,0))))</f>
        <v>0</v>
      </c>
      <c r="AA147" s="168">
        <f ca="1">IF($C147-AA$1&lt;År1,0,Z146*(1-VLOOKUP($A147,[1]Hugst!$R$5:$W$9,MATCH(ROUNDUP((AA$1)/10,0)*10,[1]Hugst!$R$4:$W$4,0))))</f>
        <v>0</v>
      </c>
      <c r="AB147" s="168">
        <f>IF($C147-AB$1&lt;År1,0,AA146*(1-VLOOKUP($A147,[1]Hugst!$R$5:$W$9,MATCH(ROUNDUP((AB$1)/10,0)*10,[1]Hugst!$R$4:$W$4,0))))</f>
        <v>0</v>
      </c>
      <c r="AC147" s="168">
        <f>IF($C147-AC$1&lt;År1,0,AB146*(1-VLOOKUP($A147,[1]Hugst!$R$5:$W$9,MATCH(ROUNDUP((AC$1)/10,0)*10,[1]Hugst!$R$4:$W$4,0))))</f>
        <v>0</v>
      </c>
      <c r="AD147" s="168">
        <f>IF($C147-AD$1&lt;År1,0,AC146*(1-VLOOKUP($A147,[1]Hugst!$R$5:$W$9,MATCH(ROUNDUP((AD$1)/10,0)*10,[1]Hugst!$R$4:$W$4,0))))</f>
        <v>0</v>
      </c>
      <c r="AE147" s="168">
        <f>IF($C147-AE$1&lt;År1,0,AD146*(1-VLOOKUP($A147,[1]Hugst!$R$5:$W$9,MATCH(ROUNDUP((AE$1)/10,0)*10,[1]Hugst!$R$4:$W$4,0))))</f>
        <v>0</v>
      </c>
      <c r="AF147" s="168">
        <f>IF($C147-AF$1&lt;År1,0,AE146*(1-VLOOKUP($A147,[1]Hugst!$R$5:$W$9,MATCH(ROUNDUP((AF$1)/10,0)*10,[1]Hugst!$R$4:$W$4,0))))</f>
        <v>0</v>
      </c>
      <c r="AG147" s="168">
        <f>IF($C147-AG$1&lt;År1,0,AF146*(1-VLOOKUP($A147,[1]Hugst!$R$5:$W$9,MATCH(ROUNDUP((AG$1)/10,0)*10,[1]Hugst!$R$4:$W$4,0))))</f>
        <v>0</v>
      </c>
      <c r="AH147" s="168">
        <f>IF($C147-AH$1&lt;År1,0,AG146*(1-VLOOKUP($A147,[1]Hugst!$R$5:$W$9,MATCH(ROUNDUP((AH$1)/10,0)*10,[1]Hugst!$R$4:$W$4,0))))</f>
        <v>0</v>
      </c>
      <c r="AI147" s="168">
        <f>IF($C147-AI$1&lt;År1,0,AH146*(1-VLOOKUP($A147,[1]Hugst!$R$5:$W$9,MATCH(ROUNDUP((AI$1)/10,0)*10,[1]Hugst!$R$4:$W$4,0))))</f>
        <v>0</v>
      </c>
      <c r="AJ147" s="168">
        <f>IF($C147-AJ$1&lt;År1,0,AI146*(1-VLOOKUP($A147,[1]Hugst!$R$5:$W$9,MATCH(ROUNDUP((AJ$1)/10,0)*10,[1]Hugst!$R$4:$W$4,0))))</f>
        <v>0</v>
      </c>
    </row>
    <row r="148" spans="1:36" x14ac:dyDescent="0.25">
      <c r="A148" s="168" t="s">
        <v>178</v>
      </c>
      <c r="B148" s="168" t="s">
        <v>23</v>
      </c>
      <c r="C148" s="168">
        <v>2042</v>
      </c>
      <c r="D148" s="168" cm="1">
        <f t="array" ref="D148">(IF(B148="Vestdanmark",Skovbrug!$C$22-(Skovbrug!$C$22)*(1-Skovbrug!$C$9)^(C148-Skovbrug!$B$12),Skovbrug!$F$22-(Skovbrug!$F$22)*(1-Skovbrug!$C$9)^(C148-Skovbrug!$B$12))*VLOOKUP(A148,Skovbrug!$A$13:$D$17,IF('Skovbrug-alder'!C148&lt;=År2,3,4),FALSE)-IF(C148&gt;2020,SUM(INDEX($C$1:$D$311,MATCH(1,(2020=$C$1:$C$311)*(B148=$B$1:$B$311)*(A148=$A$1:$A$311),0),2):D147),0))</f>
        <v>0</v>
      </c>
      <c r="E148" s="168">
        <f t="shared" ca="1" si="3"/>
        <v>0</v>
      </c>
      <c r="F148" s="168">
        <f ca="1">IF(C148&lt;=År2,IF(B148="Vestdanmark",(Arealanvendelse!$M$27-Arealanvendelse!$J$27),(Arealanvendelse!$M$37-Arealanvendelse!$J$37))/(Arealanvendelse!$M$3-Arealanvendelse!$J$3),IF(B148="Vestdanmark",(Arealanvendelse!$P$27-Arealanvendelse!$M$27),(Arealanvendelse!$P$37-Arealanvendelse!$M$37))/(Arealanvendelse!$P$3-Arealanvendelse!$M$3))*VLOOKUP(A148,Skovbrug!$A$13:$D$17,IF('Skovbrug-alder'!C148&lt;=År2,3,4),FALSE)+D148+E148</f>
        <v>0</v>
      </c>
      <c r="G148" s="168">
        <f ca="1">IF($C148-G$1&lt;År1,0,F147*(1-VLOOKUP($A148,[1]Hugst!$R$5:$W$9,MATCH(ROUNDUP((G$1)/10,0)*10,[1]Hugst!$R$4:$W$4,0))))</f>
        <v>0</v>
      </c>
      <c r="H148" s="168">
        <f ca="1">IF($C148-H$1&lt;År1,0,G147*(1-VLOOKUP($A148,[1]Hugst!$R$5:$W$9,MATCH(ROUNDUP((H$1)/10,0)*10,[1]Hugst!$R$4:$W$4,0))))</f>
        <v>0</v>
      </c>
      <c r="I148" s="168">
        <f ca="1">IF($C148-I$1&lt;År1,0,H147*(1-VLOOKUP($A148,[1]Hugst!$R$5:$W$9,MATCH(ROUNDUP((I$1)/10,0)*10,[1]Hugst!$R$4:$W$4,0))))</f>
        <v>0</v>
      </c>
      <c r="J148" s="168">
        <f ca="1">IF($C148-J$1&lt;År1,0,I147*(1-VLOOKUP($A148,[1]Hugst!$R$5:$W$9,MATCH(ROUNDUP((J$1)/10,0)*10,[1]Hugst!$R$4:$W$4,0))))</f>
        <v>0</v>
      </c>
      <c r="K148" s="168">
        <f ca="1">IF($C148-K$1&lt;År1,0,J147*(1-VLOOKUP($A148,[1]Hugst!$R$5:$W$9,MATCH(ROUNDUP((K$1)/10,0)*10,[1]Hugst!$R$4:$W$4,0))))</f>
        <v>0</v>
      </c>
      <c r="L148" s="168">
        <f ca="1">IF($C148-L$1&lt;År1,0,K147*(1-VLOOKUP($A148,[1]Hugst!$R$5:$W$9,MATCH(ROUNDUP((L$1)/10,0)*10,[1]Hugst!$R$4:$W$4,0))))</f>
        <v>0</v>
      </c>
      <c r="M148" s="168">
        <f ca="1">IF($C148-M$1&lt;År1,0,L147*(1-VLOOKUP($A148,[1]Hugst!$R$5:$W$9,MATCH(ROUNDUP((M$1)/10,0)*10,[1]Hugst!$R$4:$W$4,0))))</f>
        <v>0</v>
      </c>
      <c r="N148" s="168">
        <f ca="1">IF($C148-N$1&lt;År1,0,M147*(1-VLOOKUP($A148,[1]Hugst!$R$5:$W$9,MATCH(ROUNDUP((N$1)/10,0)*10,[1]Hugst!$R$4:$W$4,0))))</f>
        <v>0</v>
      </c>
      <c r="O148" s="168">
        <f ca="1">IF($C148-O$1&lt;År1,0,N147*(1-VLOOKUP($A148,[1]Hugst!$R$5:$W$9,MATCH(ROUNDUP((O$1)/10,0)*10,[1]Hugst!$R$4:$W$4,0))))</f>
        <v>0</v>
      </c>
      <c r="P148" s="168">
        <f ca="1">IF($C148-P$1&lt;År1,0,O147*(1-VLOOKUP($A148,[1]Hugst!$R$5:$W$9,MATCH(ROUNDUP((P$1)/10,0)*10,[1]Hugst!$R$4:$W$4,0))))</f>
        <v>0</v>
      </c>
      <c r="Q148" s="168">
        <f ca="1">IF($C148-Q$1&lt;År1,0,P147*(1-VLOOKUP($A148,[1]Hugst!$R$5:$W$9,MATCH(ROUNDUP((Q$1)/10,0)*10,[1]Hugst!$R$4:$W$4,0))))</f>
        <v>0</v>
      </c>
      <c r="R148" s="168">
        <f ca="1">IF($C148-R$1&lt;År1,0,Q147*(1-VLOOKUP($A148,[1]Hugst!$R$5:$W$9,MATCH(ROUNDUP((R$1)/10,0)*10,[1]Hugst!$R$4:$W$4,0))))</f>
        <v>0</v>
      </c>
      <c r="S148" s="168">
        <f ca="1">IF($C148-S$1&lt;År1,0,R147*(1-VLOOKUP($A148,[1]Hugst!$R$5:$W$9,MATCH(ROUNDUP((S$1)/10,0)*10,[1]Hugst!$R$4:$W$4,0))))</f>
        <v>0</v>
      </c>
      <c r="T148" s="168">
        <f ca="1">IF($C148-T$1&lt;År1,0,S147*(1-VLOOKUP($A148,[1]Hugst!$R$5:$W$9,MATCH(ROUNDUP((T$1)/10,0)*10,[1]Hugst!$R$4:$W$4,0))))</f>
        <v>0</v>
      </c>
      <c r="U148" s="168">
        <f ca="1">IF($C148-U$1&lt;År1,0,T147*(1-VLOOKUP($A148,[1]Hugst!$R$5:$W$9,MATCH(ROUNDUP((U$1)/10,0)*10,[1]Hugst!$R$4:$W$4,0))))</f>
        <v>0</v>
      </c>
      <c r="V148" s="168">
        <f ca="1">IF($C148-V$1&lt;År1,0,U147*(1-VLOOKUP($A148,[1]Hugst!$R$5:$W$9,MATCH(ROUNDUP((V$1)/10,0)*10,[1]Hugst!$R$4:$W$4,0))))</f>
        <v>0</v>
      </c>
      <c r="W148" s="168">
        <f ca="1">IF($C148-W$1&lt;År1,0,V147*(1-VLOOKUP($A148,[1]Hugst!$R$5:$W$9,MATCH(ROUNDUP((W$1)/10,0)*10,[1]Hugst!$R$4:$W$4,0))))</f>
        <v>0</v>
      </c>
      <c r="X148" s="168">
        <f ca="1">IF($C148-X$1&lt;År1,0,W147*(1-VLOOKUP($A148,[1]Hugst!$R$5:$W$9,MATCH(ROUNDUP((X$1)/10,0)*10,[1]Hugst!$R$4:$W$4,0))))</f>
        <v>0</v>
      </c>
      <c r="Y148" s="168">
        <f ca="1">IF($C148-Y$1&lt;År1,0,X147*(1-VLOOKUP($A148,[1]Hugst!$R$5:$W$9,MATCH(ROUNDUP((Y$1)/10,0)*10,[1]Hugst!$R$4:$W$4,0))))</f>
        <v>0</v>
      </c>
      <c r="Z148" s="168">
        <f ca="1">IF($C148-Z$1&lt;År1,0,Y147*(1-VLOOKUP($A148,[1]Hugst!$R$5:$W$9,MATCH(ROUNDUP((Z$1)/10,0)*10,[1]Hugst!$R$4:$W$4,0))))</f>
        <v>0</v>
      </c>
      <c r="AA148" s="168">
        <f ca="1">IF($C148-AA$1&lt;År1,0,Z147*(1-VLOOKUP($A148,[1]Hugst!$R$5:$W$9,MATCH(ROUNDUP((AA$1)/10,0)*10,[1]Hugst!$R$4:$W$4,0))))</f>
        <v>0</v>
      </c>
      <c r="AB148" s="168">
        <f ca="1">IF($C148-AB$1&lt;År1,0,AA147*(1-VLOOKUP($A148,[1]Hugst!$R$5:$W$9,MATCH(ROUNDUP((AB$1)/10,0)*10,[1]Hugst!$R$4:$W$4,0))))</f>
        <v>0</v>
      </c>
      <c r="AC148" s="168">
        <f>IF($C148-AC$1&lt;År1,0,AB147*(1-VLOOKUP($A148,[1]Hugst!$R$5:$W$9,MATCH(ROUNDUP((AC$1)/10,0)*10,[1]Hugst!$R$4:$W$4,0))))</f>
        <v>0</v>
      </c>
      <c r="AD148" s="168">
        <f>IF($C148-AD$1&lt;År1,0,AC147*(1-VLOOKUP($A148,[1]Hugst!$R$5:$W$9,MATCH(ROUNDUP((AD$1)/10,0)*10,[1]Hugst!$R$4:$W$4,0))))</f>
        <v>0</v>
      </c>
      <c r="AE148" s="168">
        <f>IF($C148-AE$1&lt;År1,0,AD147*(1-VLOOKUP($A148,[1]Hugst!$R$5:$W$9,MATCH(ROUNDUP((AE$1)/10,0)*10,[1]Hugst!$R$4:$W$4,0))))</f>
        <v>0</v>
      </c>
      <c r="AF148" s="168">
        <f>IF($C148-AF$1&lt;År1,0,AE147*(1-VLOOKUP($A148,[1]Hugst!$R$5:$W$9,MATCH(ROUNDUP((AF$1)/10,0)*10,[1]Hugst!$R$4:$W$4,0))))</f>
        <v>0</v>
      </c>
      <c r="AG148" s="168">
        <f>IF($C148-AG$1&lt;År1,0,AF147*(1-VLOOKUP($A148,[1]Hugst!$R$5:$W$9,MATCH(ROUNDUP((AG$1)/10,0)*10,[1]Hugst!$R$4:$W$4,0))))</f>
        <v>0</v>
      </c>
      <c r="AH148" s="168">
        <f>IF($C148-AH$1&lt;År1,0,AG147*(1-VLOOKUP($A148,[1]Hugst!$R$5:$W$9,MATCH(ROUNDUP((AH$1)/10,0)*10,[1]Hugst!$R$4:$W$4,0))))</f>
        <v>0</v>
      </c>
      <c r="AI148" s="168">
        <f>IF($C148-AI$1&lt;År1,0,AH147*(1-VLOOKUP($A148,[1]Hugst!$R$5:$W$9,MATCH(ROUNDUP((AI$1)/10,0)*10,[1]Hugst!$R$4:$W$4,0))))</f>
        <v>0</v>
      </c>
      <c r="AJ148" s="168">
        <f>IF($C148-AJ$1&lt;År1,0,AI147*(1-VLOOKUP($A148,[1]Hugst!$R$5:$W$9,MATCH(ROUNDUP((AJ$1)/10,0)*10,[1]Hugst!$R$4:$W$4,0))))</f>
        <v>0</v>
      </c>
    </row>
    <row r="149" spans="1:36" x14ac:dyDescent="0.25">
      <c r="A149" s="168" t="s">
        <v>178</v>
      </c>
      <c r="B149" s="168" t="s">
        <v>23</v>
      </c>
      <c r="C149" s="168">
        <v>2043</v>
      </c>
      <c r="D149" s="168" cm="1">
        <f t="array" ref="D149">(IF(B149="Vestdanmark",Skovbrug!$C$22-(Skovbrug!$C$22)*(1-Skovbrug!$C$9)^(C149-Skovbrug!$B$12),Skovbrug!$F$22-(Skovbrug!$F$22)*(1-Skovbrug!$C$9)^(C149-Skovbrug!$B$12))*VLOOKUP(A149,Skovbrug!$A$13:$D$17,IF('Skovbrug-alder'!C149&lt;=År2,3,4),FALSE)-IF(C149&gt;2020,SUM(INDEX($C$1:$D$311,MATCH(1,(2020=$C$1:$C$311)*(B149=$B$1:$B$311)*(A149=$A$1:$A$311),0),2):D148),0))</f>
        <v>0</v>
      </c>
      <c r="E149" s="168">
        <f t="shared" ca="1" si="3"/>
        <v>0</v>
      </c>
      <c r="F149" s="168">
        <f ca="1">IF(C149&lt;=År2,IF(B149="Vestdanmark",(Arealanvendelse!$M$27-Arealanvendelse!$J$27),(Arealanvendelse!$M$37-Arealanvendelse!$J$37))/(Arealanvendelse!$M$3-Arealanvendelse!$J$3),IF(B149="Vestdanmark",(Arealanvendelse!$P$27-Arealanvendelse!$M$27),(Arealanvendelse!$P$37-Arealanvendelse!$M$37))/(Arealanvendelse!$P$3-Arealanvendelse!$M$3))*VLOOKUP(A149,Skovbrug!$A$13:$D$17,IF('Skovbrug-alder'!C149&lt;=År2,3,4),FALSE)+D149+E149</f>
        <v>0</v>
      </c>
      <c r="G149" s="168">
        <f ca="1">IF($C149-G$1&lt;År1,0,F148*(1-VLOOKUP($A149,[1]Hugst!$R$5:$W$9,MATCH(ROUNDUP((G$1)/10,0)*10,[1]Hugst!$R$4:$W$4,0))))</f>
        <v>0</v>
      </c>
      <c r="H149" s="168">
        <f ca="1">IF($C149-H$1&lt;År1,0,G148*(1-VLOOKUP($A149,[1]Hugst!$R$5:$W$9,MATCH(ROUNDUP((H$1)/10,0)*10,[1]Hugst!$R$4:$W$4,0))))</f>
        <v>0</v>
      </c>
      <c r="I149" s="168">
        <f ca="1">IF($C149-I$1&lt;År1,0,H148*(1-VLOOKUP($A149,[1]Hugst!$R$5:$W$9,MATCH(ROUNDUP((I$1)/10,0)*10,[1]Hugst!$R$4:$W$4,0))))</f>
        <v>0</v>
      </c>
      <c r="J149" s="168">
        <f ca="1">IF($C149-J$1&lt;År1,0,I148*(1-VLOOKUP($A149,[1]Hugst!$R$5:$W$9,MATCH(ROUNDUP((J$1)/10,0)*10,[1]Hugst!$R$4:$W$4,0))))</f>
        <v>0</v>
      </c>
      <c r="K149" s="168">
        <f ca="1">IF($C149-K$1&lt;År1,0,J148*(1-VLOOKUP($A149,[1]Hugst!$R$5:$W$9,MATCH(ROUNDUP((K$1)/10,0)*10,[1]Hugst!$R$4:$W$4,0))))</f>
        <v>0</v>
      </c>
      <c r="L149" s="168">
        <f ca="1">IF($C149-L$1&lt;År1,0,K148*(1-VLOOKUP($A149,[1]Hugst!$R$5:$W$9,MATCH(ROUNDUP((L$1)/10,0)*10,[1]Hugst!$R$4:$W$4,0))))</f>
        <v>0</v>
      </c>
      <c r="M149" s="168">
        <f ca="1">IF($C149-M$1&lt;År1,0,L148*(1-VLOOKUP($A149,[1]Hugst!$R$5:$W$9,MATCH(ROUNDUP((M$1)/10,0)*10,[1]Hugst!$R$4:$W$4,0))))</f>
        <v>0</v>
      </c>
      <c r="N149" s="168">
        <f ca="1">IF($C149-N$1&lt;År1,0,M148*(1-VLOOKUP($A149,[1]Hugst!$R$5:$W$9,MATCH(ROUNDUP((N$1)/10,0)*10,[1]Hugst!$R$4:$W$4,0))))</f>
        <v>0</v>
      </c>
      <c r="O149" s="168">
        <f ca="1">IF($C149-O$1&lt;År1,0,N148*(1-VLOOKUP($A149,[1]Hugst!$R$5:$W$9,MATCH(ROUNDUP((O$1)/10,0)*10,[1]Hugst!$R$4:$W$4,0))))</f>
        <v>0</v>
      </c>
      <c r="P149" s="168">
        <f ca="1">IF($C149-P$1&lt;År1,0,O148*(1-VLOOKUP($A149,[1]Hugst!$R$5:$W$9,MATCH(ROUNDUP((P$1)/10,0)*10,[1]Hugst!$R$4:$W$4,0))))</f>
        <v>0</v>
      </c>
      <c r="Q149" s="168">
        <f ca="1">IF($C149-Q$1&lt;År1,0,P148*(1-VLOOKUP($A149,[1]Hugst!$R$5:$W$9,MATCH(ROUNDUP((Q$1)/10,0)*10,[1]Hugst!$R$4:$W$4,0))))</f>
        <v>0</v>
      </c>
      <c r="R149" s="168">
        <f ca="1">IF($C149-R$1&lt;År1,0,Q148*(1-VLOOKUP($A149,[1]Hugst!$R$5:$W$9,MATCH(ROUNDUP((R$1)/10,0)*10,[1]Hugst!$R$4:$W$4,0))))</f>
        <v>0</v>
      </c>
      <c r="S149" s="168">
        <f ca="1">IF($C149-S$1&lt;År1,0,R148*(1-VLOOKUP($A149,[1]Hugst!$R$5:$W$9,MATCH(ROUNDUP((S$1)/10,0)*10,[1]Hugst!$R$4:$W$4,0))))</f>
        <v>0</v>
      </c>
      <c r="T149" s="168">
        <f ca="1">IF($C149-T$1&lt;År1,0,S148*(1-VLOOKUP($A149,[1]Hugst!$R$5:$W$9,MATCH(ROUNDUP((T$1)/10,0)*10,[1]Hugst!$R$4:$W$4,0))))</f>
        <v>0</v>
      </c>
      <c r="U149" s="168">
        <f ca="1">IF($C149-U$1&lt;År1,0,T148*(1-VLOOKUP($A149,[1]Hugst!$R$5:$W$9,MATCH(ROUNDUP((U$1)/10,0)*10,[1]Hugst!$R$4:$W$4,0))))</f>
        <v>0</v>
      </c>
      <c r="V149" s="168">
        <f ca="1">IF($C149-V$1&lt;År1,0,U148*(1-VLOOKUP($A149,[1]Hugst!$R$5:$W$9,MATCH(ROUNDUP((V$1)/10,0)*10,[1]Hugst!$R$4:$W$4,0))))</f>
        <v>0</v>
      </c>
      <c r="W149" s="168">
        <f ca="1">IF($C149-W$1&lt;År1,0,V148*(1-VLOOKUP($A149,[1]Hugst!$R$5:$W$9,MATCH(ROUNDUP((W$1)/10,0)*10,[1]Hugst!$R$4:$W$4,0))))</f>
        <v>0</v>
      </c>
      <c r="X149" s="168">
        <f ca="1">IF($C149-X$1&lt;År1,0,W148*(1-VLOOKUP($A149,[1]Hugst!$R$5:$W$9,MATCH(ROUNDUP((X$1)/10,0)*10,[1]Hugst!$R$4:$W$4,0))))</f>
        <v>0</v>
      </c>
      <c r="Y149" s="168">
        <f ca="1">IF($C149-Y$1&lt;År1,0,X148*(1-VLOOKUP($A149,[1]Hugst!$R$5:$W$9,MATCH(ROUNDUP((Y$1)/10,0)*10,[1]Hugst!$R$4:$W$4,0))))</f>
        <v>0</v>
      </c>
      <c r="Z149" s="168">
        <f ca="1">IF($C149-Z$1&lt;År1,0,Y148*(1-VLOOKUP($A149,[1]Hugst!$R$5:$W$9,MATCH(ROUNDUP((Z$1)/10,0)*10,[1]Hugst!$R$4:$W$4,0))))</f>
        <v>0</v>
      </c>
      <c r="AA149" s="168">
        <f ca="1">IF($C149-AA$1&lt;År1,0,Z148*(1-VLOOKUP($A149,[1]Hugst!$R$5:$W$9,MATCH(ROUNDUP((AA$1)/10,0)*10,[1]Hugst!$R$4:$W$4,0))))</f>
        <v>0</v>
      </c>
      <c r="AB149" s="168">
        <f ca="1">IF($C149-AB$1&lt;År1,0,AA148*(1-VLOOKUP($A149,[1]Hugst!$R$5:$W$9,MATCH(ROUNDUP((AB$1)/10,0)*10,[1]Hugst!$R$4:$W$4,0))))</f>
        <v>0</v>
      </c>
      <c r="AC149" s="168">
        <f ca="1">IF($C149-AC$1&lt;År1,0,AB148*(1-VLOOKUP($A149,[1]Hugst!$R$5:$W$9,MATCH(ROUNDUP((AC$1)/10,0)*10,[1]Hugst!$R$4:$W$4,0))))</f>
        <v>0</v>
      </c>
      <c r="AD149" s="168">
        <f>IF($C149-AD$1&lt;År1,0,AC148*(1-VLOOKUP($A149,[1]Hugst!$R$5:$W$9,MATCH(ROUNDUP((AD$1)/10,0)*10,[1]Hugst!$R$4:$W$4,0))))</f>
        <v>0</v>
      </c>
      <c r="AE149" s="168">
        <f>IF($C149-AE$1&lt;År1,0,AD148*(1-VLOOKUP($A149,[1]Hugst!$R$5:$W$9,MATCH(ROUNDUP((AE$1)/10,0)*10,[1]Hugst!$R$4:$W$4,0))))</f>
        <v>0</v>
      </c>
      <c r="AF149" s="168">
        <f>IF($C149-AF$1&lt;År1,0,AE148*(1-VLOOKUP($A149,[1]Hugst!$R$5:$W$9,MATCH(ROUNDUP((AF$1)/10,0)*10,[1]Hugst!$R$4:$W$4,0))))</f>
        <v>0</v>
      </c>
      <c r="AG149" s="168">
        <f>IF($C149-AG$1&lt;År1,0,AF148*(1-VLOOKUP($A149,[1]Hugst!$R$5:$W$9,MATCH(ROUNDUP((AG$1)/10,0)*10,[1]Hugst!$R$4:$W$4,0))))</f>
        <v>0</v>
      </c>
      <c r="AH149" s="168">
        <f>IF($C149-AH$1&lt;År1,0,AG148*(1-VLOOKUP($A149,[1]Hugst!$R$5:$W$9,MATCH(ROUNDUP((AH$1)/10,0)*10,[1]Hugst!$R$4:$W$4,0))))</f>
        <v>0</v>
      </c>
      <c r="AI149" s="168">
        <f>IF($C149-AI$1&lt;År1,0,AH148*(1-VLOOKUP($A149,[1]Hugst!$R$5:$W$9,MATCH(ROUNDUP((AI$1)/10,0)*10,[1]Hugst!$R$4:$W$4,0))))</f>
        <v>0</v>
      </c>
      <c r="AJ149" s="168">
        <f>IF($C149-AJ$1&lt;År1,0,AI148*(1-VLOOKUP($A149,[1]Hugst!$R$5:$W$9,MATCH(ROUNDUP((AJ$1)/10,0)*10,[1]Hugst!$R$4:$W$4,0))))</f>
        <v>0</v>
      </c>
    </row>
    <row r="150" spans="1:36" x14ac:dyDescent="0.25">
      <c r="A150" s="168" t="s">
        <v>178</v>
      </c>
      <c r="B150" s="168" t="s">
        <v>23</v>
      </c>
      <c r="C150" s="168">
        <v>2044</v>
      </c>
      <c r="D150" s="168" cm="1">
        <f t="array" ref="D150">(IF(B150="Vestdanmark",Skovbrug!$C$22-(Skovbrug!$C$22)*(1-Skovbrug!$C$9)^(C150-Skovbrug!$B$12),Skovbrug!$F$22-(Skovbrug!$F$22)*(1-Skovbrug!$C$9)^(C150-Skovbrug!$B$12))*VLOOKUP(A150,Skovbrug!$A$13:$D$17,IF('Skovbrug-alder'!C150&lt;=År2,3,4),FALSE)-IF(C150&gt;2020,SUM(INDEX($C$1:$D$311,MATCH(1,(2020=$C$1:$C$311)*(B150=$B$1:$B$311)*(A150=$A$1:$A$311),0),2):D149),0))</f>
        <v>0</v>
      </c>
      <c r="E150" s="168">
        <f t="shared" ca="1" si="3"/>
        <v>0</v>
      </c>
      <c r="F150" s="168">
        <f ca="1">IF(C150&lt;=År2,IF(B150="Vestdanmark",(Arealanvendelse!$M$27-Arealanvendelse!$J$27),(Arealanvendelse!$M$37-Arealanvendelse!$J$37))/(Arealanvendelse!$M$3-Arealanvendelse!$J$3),IF(B150="Vestdanmark",(Arealanvendelse!$P$27-Arealanvendelse!$M$27),(Arealanvendelse!$P$37-Arealanvendelse!$M$37))/(Arealanvendelse!$P$3-Arealanvendelse!$M$3))*VLOOKUP(A150,Skovbrug!$A$13:$D$17,IF('Skovbrug-alder'!C150&lt;=År2,3,4),FALSE)+D150+E150</f>
        <v>0</v>
      </c>
      <c r="G150" s="168">
        <f ca="1">IF($C150-G$1&lt;År1,0,F149*(1-VLOOKUP($A150,[1]Hugst!$R$5:$W$9,MATCH(ROUNDUP((G$1)/10,0)*10,[1]Hugst!$R$4:$W$4,0))))</f>
        <v>0</v>
      </c>
      <c r="H150" s="168">
        <f ca="1">IF($C150-H$1&lt;År1,0,G149*(1-VLOOKUP($A150,[1]Hugst!$R$5:$W$9,MATCH(ROUNDUP((H$1)/10,0)*10,[1]Hugst!$R$4:$W$4,0))))</f>
        <v>0</v>
      </c>
      <c r="I150" s="168">
        <f ca="1">IF($C150-I$1&lt;År1,0,H149*(1-VLOOKUP($A150,[1]Hugst!$R$5:$W$9,MATCH(ROUNDUP((I$1)/10,0)*10,[1]Hugst!$R$4:$W$4,0))))</f>
        <v>0</v>
      </c>
      <c r="J150" s="168">
        <f ca="1">IF($C150-J$1&lt;År1,0,I149*(1-VLOOKUP($A150,[1]Hugst!$R$5:$W$9,MATCH(ROUNDUP((J$1)/10,0)*10,[1]Hugst!$R$4:$W$4,0))))</f>
        <v>0</v>
      </c>
      <c r="K150" s="168">
        <f ca="1">IF($C150-K$1&lt;År1,0,J149*(1-VLOOKUP($A150,[1]Hugst!$R$5:$W$9,MATCH(ROUNDUP((K$1)/10,0)*10,[1]Hugst!$R$4:$W$4,0))))</f>
        <v>0</v>
      </c>
      <c r="L150" s="168">
        <f ca="1">IF($C150-L$1&lt;År1,0,K149*(1-VLOOKUP($A150,[1]Hugst!$R$5:$W$9,MATCH(ROUNDUP((L$1)/10,0)*10,[1]Hugst!$R$4:$W$4,0))))</f>
        <v>0</v>
      </c>
      <c r="M150" s="168">
        <f ca="1">IF($C150-M$1&lt;År1,0,L149*(1-VLOOKUP($A150,[1]Hugst!$R$5:$W$9,MATCH(ROUNDUP((M$1)/10,0)*10,[1]Hugst!$R$4:$W$4,0))))</f>
        <v>0</v>
      </c>
      <c r="N150" s="168">
        <f ca="1">IF($C150-N$1&lt;År1,0,M149*(1-VLOOKUP($A150,[1]Hugst!$R$5:$W$9,MATCH(ROUNDUP((N$1)/10,0)*10,[1]Hugst!$R$4:$W$4,0))))</f>
        <v>0</v>
      </c>
      <c r="O150" s="168">
        <f ca="1">IF($C150-O$1&lt;År1,0,N149*(1-VLOOKUP($A150,[1]Hugst!$R$5:$W$9,MATCH(ROUNDUP((O$1)/10,0)*10,[1]Hugst!$R$4:$W$4,0))))</f>
        <v>0</v>
      </c>
      <c r="P150" s="168">
        <f ca="1">IF($C150-P$1&lt;År1,0,O149*(1-VLOOKUP($A150,[1]Hugst!$R$5:$W$9,MATCH(ROUNDUP((P$1)/10,0)*10,[1]Hugst!$R$4:$W$4,0))))</f>
        <v>0</v>
      </c>
      <c r="Q150" s="168">
        <f ca="1">IF($C150-Q$1&lt;År1,0,P149*(1-VLOOKUP($A150,[1]Hugst!$R$5:$W$9,MATCH(ROUNDUP((Q$1)/10,0)*10,[1]Hugst!$R$4:$W$4,0))))</f>
        <v>0</v>
      </c>
      <c r="R150" s="168">
        <f ca="1">IF($C150-R$1&lt;År1,0,Q149*(1-VLOOKUP($A150,[1]Hugst!$R$5:$W$9,MATCH(ROUNDUP((R$1)/10,0)*10,[1]Hugst!$R$4:$W$4,0))))</f>
        <v>0</v>
      </c>
      <c r="S150" s="168">
        <f ca="1">IF($C150-S$1&lt;År1,0,R149*(1-VLOOKUP($A150,[1]Hugst!$R$5:$W$9,MATCH(ROUNDUP((S$1)/10,0)*10,[1]Hugst!$R$4:$W$4,0))))</f>
        <v>0</v>
      </c>
      <c r="T150" s="168">
        <f ca="1">IF($C150-T$1&lt;År1,0,S149*(1-VLOOKUP($A150,[1]Hugst!$R$5:$W$9,MATCH(ROUNDUP((T$1)/10,0)*10,[1]Hugst!$R$4:$W$4,0))))</f>
        <v>0</v>
      </c>
      <c r="U150" s="168">
        <f ca="1">IF($C150-U$1&lt;År1,0,T149*(1-VLOOKUP($A150,[1]Hugst!$R$5:$W$9,MATCH(ROUNDUP((U$1)/10,0)*10,[1]Hugst!$R$4:$W$4,0))))</f>
        <v>0</v>
      </c>
      <c r="V150" s="168">
        <f ca="1">IF($C150-V$1&lt;År1,0,U149*(1-VLOOKUP($A150,[1]Hugst!$R$5:$W$9,MATCH(ROUNDUP((V$1)/10,0)*10,[1]Hugst!$R$4:$W$4,0))))</f>
        <v>0</v>
      </c>
      <c r="W150" s="168">
        <f ca="1">IF($C150-W$1&lt;År1,0,V149*(1-VLOOKUP($A150,[1]Hugst!$R$5:$W$9,MATCH(ROUNDUP((W$1)/10,0)*10,[1]Hugst!$R$4:$W$4,0))))</f>
        <v>0</v>
      </c>
      <c r="X150" s="168">
        <f ca="1">IF($C150-X$1&lt;År1,0,W149*(1-VLOOKUP($A150,[1]Hugst!$R$5:$W$9,MATCH(ROUNDUP((X$1)/10,0)*10,[1]Hugst!$R$4:$W$4,0))))</f>
        <v>0</v>
      </c>
      <c r="Y150" s="168">
        <f ca="1">IF($C150-Y$1&lt;År1,0,X149*(1-VLOOKUP($A150,[1]Hugst!$R$5:$W$9,MATCH(ROUNDUP((Y$1)/10,0)*10,[1]Hugst!$R$4:$W$4,0))))</f>
        <v>0</v>
      </c>
      <c r="Z150" s="168">
        <f ca="1">IF($C150-Z$1&lt;År1,0,Y149*(1-VLOOKUP($A150,[1]Hugst!$R$5:$W$9,MATCH(ROUNDUP((Z$1)/10,0)*10,[1]Hugst!$R$4:$W$4,0))))</f>
        <v>0</v>
      </c>
      <c r="AA150" s="168">
        <f ca="1">IF($C150-AA$1&lt;År1,0,Z149*(1-VLOOKUP($A150,[1]Hugst!$R$5:$W$9,MATCH(ROUNDUP((AA$1)/10,0)*10,[1]Hugst!$R$4:$W$4,0))))</f>
        <v>0</v>
      </c>
      <c r="AB150" s="168">
        <f ca="1">IF($C150-AB$1&lt;År1,0,AA149*(1-VLOOKUP($A150,[1]Hugst!$R$5:$W$9,MATCH(ROUNDUP((AB$1)/10,0)*10,[1]Hugst!$R$4:$W$4,0))))</f>
        <v>0</v>
      </c>
      <c r="AC150" s="168">
        <f ca="1">IF($C150-AC$1&lt;År1,0,AB149*(1-VLOOKUP($A150,[1]Hugst!$R$5:$W$9,MATCH(ROUNDUP((AC$1)/10,0)*10,[1]Hugst!$R$4:$W$4,0))))</f>
        <v>0</v>
      </c>
      <c r="AD150" s="168">
        <f ca="1">IF($C150-AD$1&lt;År1,0,AC149*(1-VLOOKUP($A150,[1]Hugst!$R$5:$W$9,MATCH(ROUNDUP((AD$1)/10,0)*10,[1]Hugst!$R$4:$W$4,0))))</f>
        <v>0</v>
      </c>
      <c r="AE150" s="168">
        <f>IF($C150-AE$1&lt;År1,0,AD149*(1-VLOOKUP($A150,[1]Hugst!$R$5:$W$9,MATCH(ROUNDUP((AE$1)/10,0)*10,[1]Hugst!$R$4:$W$4,0))))</f>
        <v>0</v>
      </c>
      <c r="AF150" s="168">
        <f>IF($C150-AF$1&lt;År1,0,AE149*(1-VLOOKUP($A150,[1]Hugst!$R$5:$W$9,MATCH(ROUNDUP((AF$1)/10,0)*10,[1]Hugst!$R$4:$W$4,0))))</f>
        <v>0</v>
      </c>
      <c r="AG150" s="168">
        <f>IF($C150-AG$1&lt;År1,0,AF149*(1-VLOOKUP($A150,[1]Hugst!$R$5:$W$9,MATCH(ROUNDUP((AG$1)/10,0)*10,[1]Hugst!$R$4:$W$4,0))))</f>
        <v>0</v>
      </c>
      <c r="AH150" s="168">
        <f>IF($C150-AH$1&lt;År1,0,AG149*(1-VLOOKUP($A150,[1]Hugst!$R$5:$W$9,MATCH(ROUNDUP((AH$1)/10,0)*10,[1]Hugst!$R$4:$W$4,0))))</f>
        <v>0</v>
      </c>
      <c r="AI150" s="168">
        <f>IF($C150-AI$1&lt;År1,0,AH149*(1-VLOOKUP($A150,[1]Hugst!$R$5:$W$9,MATCH(ROUNDUP((AI$1)/10,0)*10,[1]Hugst!$R$4:$W$4,0))))</f>
        <v>0</v>
      </c>
      <c r="AJ150" s="168">
        <f>IF($C150-AJ$1&lt;År1,0,AI149*(1-VLOOKUP($A150,[1]Hugst!$R$5:$W$9,MATCH(ROUNDUP((AJ$1)/10,0)*10,[1]Hugst!$R$4:$W$4,0))))</f>
        <v>0</v>
      </c>
    </row>
    <row r="151" spans="1:36" x14ac:dyDescent="0.25">
      <c r="A151" s="168" t="s">
        <v>178</v>
      </c>
      <c r="B151" s="168" t="s">
        <v>23</v>
      </c>
      <c r="C151" s="168">
        <v>2045</v>
      </c>
      <c r="D151" s="168" cm="1">
        <f t="array" ref="D151">(IF(B151="Vestdanmark",Skovbrug!$C$22-(Skovbrug!$C$22)*(1-Skovbrug!$C$9)^(C151-Skovbrug!$B$12),Skovbrug!$F$22-(Skovbrug!$F$22)*(1-Skovbrug!$C$9)^(C151-Skovbrug!$B$12))*VLOOKUP(A151,Skovbrug!$A$13:$D$17,IF('Skovbrug-alder'!C151&lt;=År2,3,4),FALSE)-IF(C151&gt;2020,SUM(INDEX($C$1:$D$311,MATCH(1,(2020=$C$1:$C$311)*(B151=$B$1:$B$311)*(A151=$A$1:$A$311),0),2):D150),0))</f>
        <v>0</v>
      </c>
      <c r="E151" s="168">
        <f t="shared" ca="1" si="3"/>
        <v>0</v>
      </c>
      <c r="F151" s="168">
        <f ca="1">IF(C151&lt;=År2,IF(B151="Vestdanmark",(Arealanvendelse!$M$27-Arealanvendelse!$J$27),(Arealanvendelse!$M$37-Arealanvendelse!$J$37))/(Arealanvendelse!$M$3-Arealanvendelse!$J$3),IF(B151="Vestdanmark",(Arealanvendelse!$P$27-Arealanvendelse!$M$27),(Arealanvendelse!$P$37-Arealanvendelse!$M$37))/(Arealanvendelse!$P$3-Arealanvendelse!$M$3))*VLOOKUP(A151,Skovbrug!$A$13:$D$17,IF('Skovbrug-alder'!C151&lt;=År2,3,4),FALSE)+D151+E151</f>
        <v>0</v>
      </c>
      <c r="G151" s="168">
        <f ca="1">IF($C151-G$1&lt;År1,0,F150*(1-VLOOKUP($A151,[1]Hugst!$R$5:$W$9,MATCH(ROUNDUP((G$1)/10,0)*10,[1]Hugst!$R$4:$W$4,0))))</f>
        <v>0</v>
      </c>
      <c r="H151" s="168">
        <f ca="1">IF($C151-H$1&lt;År1,0,G150*(1-VLOOKUP($A151,[1]Hugst!$R$5:$W$9,MATCH(ROUNDUP((H$1)/10,0)*10,[1]Hugst!$R$4:$W$4,0))))</f>
        <v>0</v>
      </c>
      <c r="I151" s="168">
        <f ca="1">IF($C151-I$1&lt;År1,0,H150*(1-VLOOKUP($A151,[1]Hugst!$R$5:$W$9,MATCH(ROUNDUP((I$1)/10,0)*10,[1]Hugst!$R$4:$W$4,0))))</f>
        <v>0</v>
      </c>
      <c r="J151" s="168">
        <f ca="1">IF($C151-J$1&lt;År1,0,I150*(1-VLOOKUP($A151,[1]Hugst!$R$5:$W$9,MATCH(ROUNDUP((J$1)/10,0)*10,[1]Hugst!$R$4:$W$4,0))))</f>
        <v>0</v>
      </c>
      <c r="K151" s="168">
        <f ca="1">IF($C151-K$1&lt;År1,0,J150*(1-VLOOKUP($A151,[1]Hugst!$R$5:$W$9,MATCH(ROUNDUP((K$1)/10,0)*10,[1]Hugst!$R$4:$W$4,0))))</f>
        <v>0</v>
      </c>
      <c r="L151" s="168">
        <f ca="1">IF($C151-L$1&lt;År1,0,K150*(1-VLOOKUP($A151,[1]Hugst!$R$5:$W$9,MATCH(ROUNDUP((L$1)/10,0)*10,[1]Hugst!$R$4:$W$4,0))))</f>
        <v>0</v>
      </c>
      <c r="M151" s="168">
        <f ca="1">IF($C151-M$1&lt;År1,0,L150*(1-VLOOKUP($A151,[1]Hugst!$R$5:$W$9,MATCH(ROUNDUP((M$1)/10,0)*10,[1]Hugst!$R$4:$W$4,0))))</f>
        <v>0</v>
      </c>
      <c r="N151" s="168">
        <f ca="1">IF($C151-N$1&lt;År1,0,M150*(1-VLOOKUP($A151,[1]Hugst!$R$5:$W$9,MATCH(ROUNDUP((N$1)/10,0)*10,[1]Hugst!$R$4:$W$4,0))))</f>
        <v>0</v>
      </c>
      <c r="O151" s="168">
        <f ca="1">IF($C151-O$1&lt;År1,0,N150*(1-VLOOKUP($A151,[1]Hugst!$R$5:$W$9,MATCH(ROUNDUP((O$1)/10,0)*10,[1]Hugst!$R$4:$W$4,0))))</f>
        <v>0</v>
      </c>
      <c r="P151" s="168">
        <f ca="1">IF($C151-P$1&lt;År1,0,O150*(1-VLOOKUP($A151,[1]Hugst!$R$5:$W$9,MATCH(ROUNDUP((P$1)/10,0)*10,[1]Hugst!$R$4:$W$4,0))))</f>
        <v>0</v>
      </c>
      <c r="Q151" s="168">
        <f ca="1">IF($C151-Q$1&lt;År1,0,P150*(1-VLOOKUP($A151,[1]Hugst!$R$5:$W$9,MATCH(ROUNDUP((Q$1)/10,0)*10,[1]Hugst!$R$4:$W$4,0))))</f>
        <v>0</v>
      </c>
      <c r="R151" s="168">
        <f ca="1">IF($C151-R$1&lt;År1,0,Q150*(1-VLOOKUP($A151,[1]Hugst!$R$5:$W$9,MATCH(ROUNDUP((R$1)/10,0)*10,[1]Hugst!$R$4:$W$4,0))))</f>
        <v>0</v>
      </c>
      <c r="S151" s="168">
        <f ca="1">IF($C151-S$1&lt;År1,0,R150*(1-VLOOKUP($A151,[1]Hugst!$R$5:$W$9,MATCH(ROUNDUP((S$1)/10,0)*10,[1]Hugst!$R$4:$W$4,0))))</f>
        <v>0</v>
      </c>
      <c r="T151" s="168">
        <f ca="1">IF($C151-T$1&lt;År1,0,S150*(1-VLOOKUP($A151,[1]Hugst!$R$5:$W$9,MATCH(ROUNDUP((T$1)/10,0)*10,[1]Hugst!$R$4:$W$4,0))))</f>
        <v>0</v>
      </c>
      <c r="U151" s="168">
        <f ca="1">IF($C151-U$1&lt;År1,0,T150*(1-VLOOKUP($A151,[1]Hugst!$R$5:$W$9,MATCH(ROUNDUP((U$1)/10,0)*10,[1]Hugst!$R$4:$W$4,0))))</f>
        <v>0</v>
      </c>
      <c r="V151" s="168">
        <f ca="1">IF($C151-V$1&lt;År1,0,U150*(1-VLOOKUP($A151,[1]Hugst!$R$5:$W$9,MATCH(ROUNDUP((V$1)/10,0)*10,[1]Hugst!$R$4:$W$4,0))))</f>
        <v>0</v>
      </c>
      <c r="W151" s="168">
        <f ca="1">IF($C151-W$1&lt;År1,0,V150*(1-VLOOKUP($A151,[1]Hugst!$R$5:$W$9,MATCH(ROUNDUP((W$1)/10,0)*10,[1]Hugst!$R$4:$W$4,0))))</f>
        <v>0</v>
      </c>
      <c r="X151" s="168">
        <f ca="1">IF($C151-X$1&lt;År1,0,W150*(1-VLOOKUP($A151,[1]Hugst!$R$5:$W$9,MATCH(ROUNDUP((X$1)/10,0)*10,[1]Hugst!$R$4:$W$4,0))))</f>
        <v>0</v>
      </c>
      <c r="Y151" s="168">
        <f ca="1">IF($C151-Y$1&lt;År1,0,X150*(1-VLOOKUP($A151,[1]Hugst!$R$5:$W$9,MATCH(ROUNDUP((Y$1)/10,0)*10,[1]Hugst!$R$4:$W$4,0))))</f>
        <v>0</v>
      </c>
      <c r="Z151" s="168">
        <f ca="1">IF($C151-Z$1&lt;År1,0,Y150*(1-VLOOKUP($A151,[1]Hugst!$R$5:$W$9,MATCH(ROUNDUP((Z$1)/10,0)*10,[1]Hugst!$R$4:$W$4,0))))</f>
        <v>0</v>
      </c>
      <c r="AA151" s="168">
        <f ca="1">IF($C151-AA$1&lt;År1,0,Z150*(1-VLOOKUP($A151,[1]Hugst!$R$5:$W$9,MATCH(ROUNDUP((AA$1)/10,0)*10,[1]Hugst!$R$4:$W$4,0))))</f>
        <v>0</v>
      </c>
      <c r="AB151" s="168">
        <f ca="1">IF($C151-AB$1&lt;År1,0,AA150*(1-VLOOKUP($A151,[1]Hugst!$R$5:$W$9,MATCH(ROUNDUP((AB$1)/10,0)*10,[1]Hugst!$R$4:$W$4,0))))</f>
        <v>0</v>
      </c>
      <c r="AC151" s="168">
        <f ca="1">IF($C151-AC$1&lt;År1,0,AB150*(1-VLOOKUP($A151,[1]Hugst!$R$5:$W$9,MATCH(ROUNDUP((AC$1)/10,0)*10,[1]Hugst!$R$4:$W$4,0))))</f>
        <v>0</v>
      </c>
      <c r="AD151" s="168">
        <f ca="1">IF($C151-AD$1&lt;År1,0,AC150*(1-VLOOKUP($A151,[1]Hugst!$R$5:$W$9,MATCH(ROUNDUP((AD$1)/10,0)*10,[1]Hugst!$R$4:$W$4,0))))</f>
        <v>0</v>
      </c>
      <c r="AE151" s="168">
        <f ca="1">IF($C151-AE$1&lt;År1,0,AD150*(1-VLOOKUP($A151,[1]Hugst!$R$5:$W$9,MATCH(ROUNDUP((AE$1)/10,0)*10,[1]Hugst!$R$4:$W$4,0))))</f>
        <v>0</v>
      </c>
      <c r="AF151" s="168">
        <f>IF($C151-AF$1&lt;År1,0,AE150*(1-VLOOKUP($A151,[1]Hugst!$R$5:$W$9,MATCH(ROUNDUP((AF$1)/10,0)*10,[1]Hugst!$R$4:$W$4,0))))</f>
        <v>0</v>
      </c>
      <c r="AG151" s="168">
        <f>IF($C151-AG$1&lt;År1,0,AF150*(1-VLOOKUP($A151,[1]Hugst!$R$5:$W$9,MATCH(ROUNDUP((AG$1)/10,0)*10,[1]Hugst!$R$4:$W$4,0))))</f>
        <v>0</v>
      </c>
      <c r="AH151" s="168">
        <f>IF($C151-AH$1&lt;År1,0,AG150*(1-VLOOKUP($A151,[1]Hugst!$R$5:$W$9,MATCH(ROUNDUP((AH$1)/10,0)*10,[1]Hugst!$R$4:$W$4,0))))</f>
        <v>0</v>
      </c>
      <c r="AI151" s="168">
        <f>IF($C151-AI$1&lt;År1,0,AH150*(1-VLOOKUP($A151,[1]Hugst!$R$5:$W$9,MATCH(ROUNDUP((AI$1)/10,0)*10,[1]Hugst!$R$4:$W$4,0))))</f>
        <v>0</v>
      </c>
      <c r="AJ151" s="168">
        <f>IF($C151-AJ$1&lt;År1,0,AI150*(1-VLOOKUP($A151,[1]Hugst!$R$5:$W$9,MATCH(ROUNDUP((AJ$1)/10,0)*10,[1]Hugst!$R$4:$W$4,0))))</f>
        <v>0</v>
      </c>
    </row>
    <row r="152" spans="1:36" x14ac:dyDescent="0.25">
      <c r="A152" s="168" t="s">
        <v>178</v>
      </c>
      <c r="B152" s="168" t="s">
        <v>23</v>
      </c>
      <c r="C152" s="168">
        <v>2046</v>
      </c>
      <c r="D152" s="168" cm="1">
        <f t="array" ref="D152">(IF(B152="Vestdanmark",Skovbrug!$C$22-(Skovbrug!$C$22)*(1-Skovbrug!$C$9)^(C152-Skovbrug!$B$12),Skovbrug!$F$22-(Skovbrug!$F$22)*(1-Skovbrug!$C$9)^(C152-Skovbrug!$B$12))*VLOOKUP(A152,Skovbrug!$A$13:$D$17,IF('Skovbrug-alder'!C152&lt;=År2,3,4),FALSE)-IF(C152&gt;2020,SUM(INDEX($C$1:$D$311,MATCH(1,(2020=$C$1:$C$311)*(B152=$B$1:$B$311)*(A152=$A$1:$A$311),0),2):D151),0))</f>
        <v>0</v>
      </c>
      <c r="E152" s="168">
        <f t="shared" ca="1" si="3"/>
        <v>0</v>
      </c>
      <c r="F152" s="168">
        <f ca="1">IF(C152&lt;=År2,IF(B152="Vestdanmark",(Arealanvendelse!$M$27-Arealanvendelse!$J$27),(Arealanvendelse!$M$37-Arealanvendelse!$J$37))/(Arealanvendelse!$M$3-Arealanvendelse!$J$3),IF(B152="Vestdanmark",(Arealanvendelse!$P$27-Arealanvendelse!$M$27),(Arealanvendelse!$P$37-Arealanvendelse!$M$37))/(Arealanvendelse!$P$3-Arealanvendelse!$M$3))*VLOOKUP(A152,Skovbrug!$A$13:$D$17,IF('Skovbrug-alder'!C152&lt;=År2,3,4),FALSE)+D152+E152</f>
        <v>0</v>
      </c>
      <c r="G152" s="168">
        <f ca="1">IF($C152-G$1&lt;År1,0,F151*(1-VLOOKUP($A152,[1]Hugst!$R$5:$W$9,MATCH(ROUNDUP((G$1)/10,0)*10,[1]Hugst!$R$4:$W$4,0))))</f>
        <v>0</v>
      </c>
      <c r="H152" s="168">
        <f ca="1">IF($C152-H$1&lt;År1,0,G151*(1-VLOOKUP($A152,[1]Hugst!$R$5:$W$9,MATCH(ROUNDUP((H$1)/10,0)*10,[1]Hugst!$R$4:$W$4,0))))</f>
        <v>0</v>
      </c>
      <c r="I152" s="168">
        <f ca="1">IF($C152-I$1&lt;År1,0,H151*(1-VLOOKUP($A152,[1]Hugst!$R$5:$W$9,MATCH(ROUNDUP((I$1)/10,0)*10,[1]Hugst!$R$4:$W$4,0))))</f>
        <v>0</v>
      </c>
      <c r="J152" s="168">
        <f ca="1">IF($C152-J$1&lt;År1,0,I151*(1-VLOOKUP($A152,[1]Hugst!$R$5:$W$9,MATCH(ROUNDUP((J$1)/10,0)*10,[1]Hugst!$R$4:$W$4,0))))</f>
        <v>0</v>
      </c>
      <c r="K152" s="168">
        <f ca="1">IF($C152-K$1&lt;År1,0,J151*(1-VLOOKUP($A152,[1]Hugst!$R$5:$W$9,MATCH(ROUNDUP((K$1)/10,0)*10,[1]Hugst!$R$4:$W$4,0))))</f>
        <v>0</v>
      </c>
      <c r="L152" s="168">
        <f ca="1">IF($C152-L$1&lt;År1,0,K151*(1-VLOOKUP($A152,[1]Hugst!$R$5:$W$9,MATCH(ROUNDUP((L$1)/10,0)*10,[1]Hugst!$R$4:$W$4,0))))</f>
        <v>0</v>
      </c>
      <c r="M152" s="168">
        <f ca="1">IF($C152-M$1&lt;År1,0,L151*(1-VLOOKUP($A152,[1]Hugst!$R$5:$W$9,MATCH(ROUNDUP((M$1)/10,0)*10,[1]Hugst!$R$4:$W$4,0))))</f>
        <v>0</v>
      </c>
      <c r="N152" s="168">
        <f ca="1">IF($C152-N$1&lt;År1,0,M151*(1-VLOOKUP($A152,[1]Hugst!$R$5:$W$9,MATCH(ROUNDUP((N$1)/10,0)*10,[1]Hugst!$R$4:$W$4,0))))</f>
        <v>0</v>
      </c>
      <c r="O152" s="168">
        <f ca="1">IF($C152-O$1&lt;År1,0,N151*(1-VLOOKUP($A152,[1]Hugst!$R$5:$W$9,MATCH(ROUNDUP((O$1)/10,0)*10,[1]Hugst!$R$4:$W$4,0))))</f>
        <v>0</v>
      </c>
      <c r="P152" s="168">
        <f ca="1">IF($C152-P$1&lt;År1,0,O151*(1-VLOOKUP($A152,[1]Hugst!$R$5:$W$9,MATCH(ROUNDUP((P$1)/10,0)*10,[1]Hugst!$R$4:$W$4,0))))</f>
        <v>0</v>
      </c>
      <c r="Q152" s="168">
        <f ca="1">IF($C152-Q$1&lt;År1,0,P151*(1-VLOOKUP($A152,[1]Hugst!$R$5:$W$9,MATCH(ROUNDUP((Q$1)/10,0)*10,[1]Hugst!$R$4:$W$4,0))))</f>
        <v>0</v>
      </c>
      <c r="R152" s="168">
        <f ca="1">IF($C152-R$1&lt;År1,0,Q151*(1-VLOOKUP($A152,[1]Hugst!$R$5:$W$9,MATCH(ROUNDUP((R$1)/10,0)*10,[1]Hugst!$R$4:$W$4,0))))</f>
        <v>0</v>
      </c>
      <c r="S152" s="168">
        <f ca="1">IF($C152-S$1&lt;År1,0,R151*(1-VLOOKUP($A152,[1]Hugst!$R$5:$W$9,MATCH(ROUNDUP((S$1)/10,0)*10,[1]Hugst!$R$4:$W$4,0))))</f>
        <v>0</v>
      </c>
      <c r="T152" s="168">
        <f ca="1">IF($C152-T$1&lt;År1,0,S151*(1-VLOOKUP($A152,[1]Hugst!$R$5:$W$9,MATCH(ROUNDUP((T$1)/10,0)*10,[1]Hugst!$R$4:$W$4,0))))</f>
        <v>0</v>
      </c>
      <c r="U152" s="168">
        <f ca="1">IF($C152-U$1&lt;År1,0,T151*(1-VLOOKUP($A152,[1]Hugst!$R$5:$W$9,MATCH(ROUNDUP((U$1)/10,0)*10,[1]Hugst!$R$4:$W$4,0))))</f>
        <v>0</v>
      </c>
      <c r="V152" s="168">
        <f ca="1">IF($C152-V$1&lt;År1,0,U151*(1-VLOOKUP($A152,[1]Hugst!$R$5:$W$9,MATCH(ROUNDUP((V$1)/10,0)*10,[1]Hugst!$R$4:$W$4,0))))</f>
        <v>0</v>
      </c>
      <c r="W152" s="168">
        <f ca="1">IF($C152-W$1&lt;År1,0,V151*(1-VLOOKUP($A152,[1]Hugst!$R$5:$W$9,MATCH(ROUNDUP((W$1)/10,0)*10,[1]Hugst!$R$4:$W$4,0))))</f>
        <v>0</v>
      </c>
      <c r="X152" s="168">
        <f ca="1">IF($C152-X$1&lt;År1,0,W151*(1-VLOOKUP($A152,[1]Hugst!$R$5:$W$9,MATCH(ROUNDUP((X$1)/10,0)*10,[1]Hugst!$R$4:$W$4,0))))</f>
        <v>0</v>
      </c>
      <c r="Y152" s="168">
        <f ca="1">IF($C152-Y$1&lt;År1,0,X151*(1-VLOOKUP($A152,[1]Hugst!$R$5:$W$9,MATCH(ROUNDUP((Y$1)/10,0)*10,[1]Hugst!$R$4:$W$4,0))))</f>
        <v>0</v>
      </c>
      <c r="Z152" s="168">
        <f ca="1">IF($C152-Z$1&lt;År1,0,Y151*(1-VLOOKUP($A152,[1]Hugst!$R$5:$W$9,MATCH(ROUNDUP((Z$1)/10,0)*10,[1]Hugst!$R$4:$W$4,0))))</f>
        <v>0</v>
      </c>
      <c r="AA152" s="168">
        <f ca="1">IF($C152-AA$1&lt;År1,0,Z151*(1-VLOOKUP($A152,[1]Hugst!$R$5:$W$9,MATCH(ROUNDUP((AA$1)/10,0)*10,[1]Hugst!$R$4:$W$4,0))))</f>
        <v>0</v>
      </c>
      <c r="AB152" s="168">
        <f ca="1">IF($C152-AB$1&lt;År1,0,AA151*(1-VLOOKUP($A152,[1]Hugst!$R$5:$W$9,MATCH(ROUNDUP((AB$1)/10,0)*10,[1]Hugst!$R$4:$W$4,0))))</f>
        <v>0</v>
      </c>
      <c r="AC152" s="168">
        <f ca="1">IF($C152-AC$1&lt;År1,0,AB151*(1-VLOOKUP($A152,[1]Hugst!$R$5:$W$9,MATCH(ROUNDUP((AC$1)/10,0)*10,[1]Hugst!$R$4:$W$4,0))))</f>
        <v>0</v>
      </c>
      <c r="AD152" s="168">
        <f ca="1">IF($C152-AD$1&lt;År1,0,AC151*(1-VLOOKUP($A152,[1]Hugst!$R$5:$W$9,MATCH(ROUNDUP((AD$1)/10,0)*10,[1]Hugst!$R$4:$W$4,0))))</f>
        <v>0</v>
      </c>
      <c r="AE152" s="168">
        <f ca="1">IF($C152-AE$1&lt;År1,0,AD151*(1-VLOOKUP($A152,[1]Hugst!$R$5:$W$9,MATCH(ROUNDUP((AE$1)/10,0)*10,[1]Hugst!$R$4:$W$4,0))))</f>
        <v>0</v>
      </c>
      <c r="AF152" s="168">
        <f ca="1">IF($C152-AF$1&lt;År1,0,AE151*(1-VLOOKUP($A152,[1]Hugst!$R$5:$W$9,MATCH(ROUNDUP((AF$1)/10,0)*10,[1]Hugst!$R$4:$W$4,0))))</f>
        <v>0</v>
      </c>
      <c r="AG152" s="168">
        <f>IF($C152-AG$1&lt;År1,0,AF151*(1-VLOOKUP($A152,[1]Hugst!$R$5:$W$9,MATCH(ROUNDUP((AG$1)/10,0)*10,[1]Hugst!$R$4:$W$4,0))))</f>
        <v>0</v>
      </c>
      <c r="AH152" s="168">
        <f>IF($C152-AH$1&lt;År1,0,AG151*(1-VLOOKUP($A152,[1]Hugst!$R$5:$W$9,MATCH(ROUNDUP((AH$1)/10,0)*10,[1]Hugst!$R$4:$W$4,0))))</f>
        <v>0</v>
      </c>
      <c r="AI152" s="168">
        <f>IF($C152-AI$1&lt;År1,0,AH151*(1-VLOOKUP($A152,[1]Hugst!$R$5:$W$9,MATCH(ROUNDUP((AI$1)/10,0)*10,[1]Hugst!$R$4:$W$4,0))))</f>
        <v>0</v>
      </c>
      <c r="AJ152" s="168">
        <f>IF($C152-AJ$1&lt;År1,0,AI151*(1-VLOOKUP($A152,[1]Hugst!$R$5:$W$9,MATCH(ROUNDUP((AJ$1)/10,0)*10,[1]Hugst!$R$4:$W$4,0))))</f>
        <v>0</v>
      </c>
    </row>
    <row r="153" spans="1:36" x14ac:dyDescent="0.25">
      <c r="A153" s="168" t="s">
        <v>178</v>
      </c>
      <c r="B153" s="168" t="s">
        <v>23</v>
      </c>
      <c r="C153" s="168">
        <v>2047</v>
      </c>
      <c r="D153" s="168" cm="1">
        <f t="array" ref="D153">(IF(B153="Vestdanmark",Skovbrug!$C$22-(Skovbrug!$C$22)*(1-Skovbrug!$C$9)^(C153-Skovbrug!$B$12),Skovbrug!$F$22-(Skovbrug!$F$22)*(1-Skovbrug!$C$9)^(C153-Skovbrug!$B$12))*VLOOKUP(A153,Skovbrug!$A$13:$D$17,IF('Skovbrug-alder'!C153&lt;=År2,3,4),FALSE)-IF(C153&gt;2020,SUM(INDEX($C$1:$D$311,MATCH(1,(2020=$C$1:$C$311)*(B153=$B$1:$B$311)*(A153=$A$1:$A$311),0),2):D152),0))</f>
        <v>0</v>
      </c>
      <c r="E153" s="168">
        <f t="shared" ca="1" si="3"/>
        <v>0</v>
      </c>
      <c r="F153" s="168">
        <f ca="1">IF(C153&lt;=År2,IF(B153="Vestdanmark",(Arealanvendelse!$M$27-Arealanvendelse!$J$27),(Arealanvendelse!$M$37-Arealanvendelse!$J$37))/(Arealanvendelse!$M$3-Arealanvendelse!$J$3),IF(B153="Vestdanmark",(Arealanvendelse!$P$27-Arealanvendelse!$M$27),(Arealanvendelse!$P$37-Arealanvendelse!$M$37))/(Arealanvendelse!$P$3-Arealanvendelse!$M$3))*VLOOKUP(A153,Skovbrug!$A$13:$D$17,IF('Skovbrug-alder'!C153&lt;=År2,3,4),FALSE)+D153+E153</f>
        <v>0</v>
      </c>
      <c r="G153" s="168">
        <f ca="1">IF($C153-G$1&lt;År1,0,F152*(1-VLOOKUP($A153,[1]Hugst!$R$5:$W$9,MATCH(ROUNDUP((G$1)/10,0)*10,[1]Hugst!$R$4:$W$4,0))))</f>
        <v>0</v>
      </c>
      <c r="H153" s="168">
        <f ca="1">IF($C153-H$1&lt;År1,0,G152*(1-VLOOKUP($A153,[1]Hugst!$R$5:$W$9,MATCH(ROUNDUP((H$1)/10,0)*10,[1]Hugst!$R$4:$W$4,0))))</f>
        <v>0</v>
      </c>
      <c r="I153" s="168">
        <f ca="1">IF($C153-I$1&lt;År1,0,H152*(1-VLOOKUP($A153,[1]Hugst!$R$5:$W$9,MATCH(ROUNDUP((I$1)/10,0)*10,[1]Hugst!$R$4:$W$4,0))))</f>
        <v>0</v>
      </c>
      <c r="J153" s="168">
        <f ca="1">IF($C153-J$1&lt;År1,0,I152*(1-VLOOKUP($A153,[1]Hugst!$R$5:$W$9,MATCH(ROUNDUP((J$1)/10,0)*10,[1]Hugst!$R$4:$W$4,0))))</f>
        <v>0</v>
      </c>
      <c r="K153" s="168">
        <f ca="1">IF($C153-K$1&lt;År1,0,J152*(1-VLOOKUP($A153,[1]Hugst!$R$5:$W$9,MATCH(ROUNDUP((K$1)/10,0)*10,[1]Hugst!$R$4:$W$4,0))))</f>
        <v>0</v>
      </c>
      <c r="L153" s="168">
        <f ca="1">IF($C153-L$1&lt;År1,0,K152*(1-VLOOKUP($A153,[1]Hugst!$R$5:$W$9,MATCH(ROUNDUP((L$1)/10,0)*10,[1]Hugst!$R$4:$W$4,0))))</f>
        <v>0</v>
      </c>
      <c r="M153" s="168">
        <f ca="1">IF($C153-M$1&lt;År1,0,L152*(1-VLOOKUP($A153,[1]Hugst!$R$5:$W$9,MATCH(ROUNDUP((M$1)/10,0)*10,[1]Hugst!$R$4:$W$4,0))))</f>
        <v>0</v>
      </c>
      <c r="N153" s="168">
        <f ca="1">IF($C153-N$1&lt;År1,0,M152*(1-VLOOKUP($A153,[1]Hugst!$R$5:$W$9,MATCH(ROUNDUP((N$1)/10,0)*10,[1]Hugst!$R$4:$W$4,0))))</f>
        <v>0</v>
      </c>
      <c r="O153" s="168">
        <f ca="1">IF($C153-O$1&lt;År1,0,N152*(1-VLOOKUP($A153,[1]Hugst!$R$5:$W$9,MATCH(ROUNDUP((O$1)/10,0)*10,[1]Hugst!$R$4:$W$4,0))))</f>
        <v>0</v>
      </c>
      <c r="P153" s="168">
        <f ca="1">IF($C153-P$1&lt;År1,0,O152*(1-VLOOKUP($A153,[1]Hugst!$R$5:$W$9,MATCH(ROUNDUP((P$1)/10,0)*10,[1]Hugst!$R$4:$W$4,0))))</f>
        <v>0</v>
      </c>
      <c r="Q153" s="168">
        <f ca="1">IF($C153-Q$1&lt;År1,0,P152*(1-VLOOKUP($A153,[1]Hugst!$R$5:$W$9,MATCH(ROUNDUP((Q$1)/10,0)*10,[1]Hugst!$R$4:$W$4,0))))</f>
        <v>0</v>
      </c>
      <c r="R153" s="168">
        <f ca="1">IF($C153-R$1&lt;År1,0,Q152*(1-VLOOKUP($A153,[1]Hugst!$R$5:$W$9,MATCH(ROUNDUP((R$1)/10,0)*10,[1]Hugst!$R$4:$W$4,0))))</f>
        <v>0</v>
      </c>
      <c r="S153" s="168">
        <f ca="1">IF($C153-S$1&lt;År1,0,R152*(1-VLOOKUP($A153,[1]Hugst!$R$5:$W$9,MATCH(ROUNDUP((S$1)/10,0)*10,[1]Hugst!$R$4:$W$4,0))))</f>
        <v>0</v>
      </c>
      <c r="T153" s="168">
        <f ca="1">IF($C153-T$1&lt;År1,0,S152*(1-VLOOKUP($A153,[1]Hugst!$R$5:$W$9,MATCH(ROUNDUP((T$1)/10,0)*10,[1]Hugst!$R$4:$W$4,0))))</f>
        <v>0</v>
      </c>
      <c r="U153" s="168">
        <f ca="1">IF($C153-U$1&lt;År1,0,T152*(1-VLOOKUP($A153,[1]Hugst!$R$5:$W$9,MATCH(ROUNDUP((U$1)/10,0)*10,[1]Hugst!$R$4:$W$4,0))))</f>
        <v>0</v>
      </c>
      <c r="V153" s="168">
        <f ca="1">IF($C153-V$1&lt;År1,0,U152*(1-VLOOKUP($A153,[1]Hugst!$R$5:$W$9,MATCH(ROUNDUP((V$1)/10,0)*10,[1]Hugst!$R$4:$W$4,0))))</f>
        <v>0</v>
      </c>
      <c r="W153" s="168">
        <f ca="1">IF($C153-W$1&lt;År1,0,V152*(1-VLOOKUP($A153,[1]Hugst!$R$5:$W$9,MATCH(ROUNDUP((W$1)/10,0)*10,[1]Hugst!$R$4:$W$4,0))))</f>
        <v>0</v>
      </c>
      <c r="X153" s="168">
        <f ca="1">IF($C153-X$1&lt;År1,0,W152*(1-VLOOKUP($A153,[1]Hugst!$R$5:$W$9,MATCH(ROUNDUP((X$1)/10,0)*10,[1]Hugst!$R$4:$W$4,0))))</f>
        <v>0</v>
      </c>
      <c r="Y153" s="168">
        <f ca="1">IF($C153-Y$1&lt;År1,0,X152*(1-VLOOKUP($A153,[1]Hugst!$R$5:$W$9,MATCH(ROUNDUP((Y$1)/10,0)*10,[1]Hugst!$R$4:$W$4,0))))</f>
        <v>0</v>
      </c>
      <c r="Z153" s="168">
        <f ca="1">IF($C153-Z$1&lt;År1,0,Y152*(1-VLOOKUP($A153,[1]Hugst!$R$5:$W$9,MATCH(ROUNDUP((Z$1)/10,0)*10,[1]Hugst!$R$4:$W$4,0))))</f>
        <v>0</v>
      </c>
      <c r="AA153" s="168">
        <f ca="1">IF($C153-AA$1&lt;År1,0,Z152*(1-VLOOKUP($A153,[1]Hugst!$R$5:$W$9,MATCH(ROUNDUP((AA$1)/10,0)*10,[1]Hugst!$R$4:$W$4,0))))</f>
        <v>0</v>
      </c>
      <c r="AB153" s="168">
        <f ca="1">IF($C153-AB$1&lt;År1,0,AA152*(1-VLOOKUP($A153,[1]Hugst!$R$5:$W$9,MATCH(ROUNDUP((AB$1)/10,0)*10,[1]Hugst!$R$4:$W$4,0))))</f>
        <v>0</v>
      </c>
      <c r="AC153" s="168">
        <f ca="1">IF($C153-AC$1&lt;År1,0,AB152*(1-VLOOKUP($A153,[1]Hugst!$R$5:$W$9,MATCH(ROUNDUP((AC$1)/10,0)*10,[1]Hugst!$R$4:$W$4,0))))</f>
        <v>0</v>
      </c>
      <c r="AD153" s="168">
        <f ca="1">IF($C153-AD$1&lt;År1,0,AC152*(1-VLOOKUP($A153,[1]Hugst!$R$5:$W$9,MATCH(ROUNDUP((AD$1)/10,0)*10,[1]Hugst!$R$4:$W$4,0))))</f>
        <v>0</v>
      </c>
      <c r="AE153" s="168">
        <f ca="1">IF($C153-AE$1&lt;År1,0,AD152*(1-VLOOKUP($A153,[1]Hugst!$R$5:$W$9,MATCH(ROUNDUP((AE$1)/10,0)*10,[1]Hugst!$R$4:$W$4,0))))</f>
        <v>0</v>
      </c>
      <c r="AF153" s="168">
        <f ca="1">IF($C153-AF$1&lt;År1,0,AE152*(1-VLOOKUP($A153,[1]Hugst!$R$5:$W$9,MATCH(ROUNDUP((AF$1)/10,0)*10,[1]Hugst!$R$4:$W$4,0))))</f>
        <v>0</v>
      </c>
      <c r="AG153" s="168">
        <f ca="1">IF($C153-AG$1&lt;År1,0,AF152*(1-VLOOKUP($A153,[1]Hugst!$R$5:$W$9,MATCH(ROUNDUP((AG$1)/10,0)*10,[1]Hugst!$R$4:$W$4,0))))</f>
        <v>0</v>
      </c>
      <c r="AH153" s="168">
        <f>IF($C153-AH$1&lt;År1,0,AG152*(1-VLOOKUP($A153,[1]Hugst!$R$5:$W$9,MATCH(ROUNDUP((AH$1)/10,0)*10,[1]Hugst!$R$4:$W$4,0))))</f>
        <v>0</v>
      </c>
      <c r="AI153" s="168">
        <f>IF($C153-AI$1&lt;År1,0,AH152*(1-VLOOKUP($A153,[1]Hugst!$R$5:$W$9,MATCH(ROUNDUP((AI$1)/10,0)*10,[1]Hugst!$R$4:$W$4,0))))</f>
        <v>0</v>
      </c>
      <c r="AJ153" s="168">
        <f>IF($C153-AJ$1&lt;År1,0,AI152*(1-VLOOKUP($A153,[1]Hugst!$R$5:$W$9,MATCH(ROUNDUP((AJ$1)/10,0)*10,[1]Hugst!$R$4:$W$4,0))))</f>
        <v>0</v>
      </c>
    </row>
    <row r="154" spans="1:36" x14ac:dyDescent="0.25">
      <c r="A154" s="168" t="s">
        <v>178</v>
      </c>
      <c r="B154" s="168" t="s">
        <v>23</v>
      </c>
      <c r="C154" s="168">
        <v>2048</v>
      </c>
      <c r="D154" s="168" cm="1">
        <f t="array" ref="D154">(IF(B154="Vestdanmark",Skovbrug!$C$22-(Skovbrug!$C$22)*(1-Skovbrug!$C$9)^(C154-Skovbrug!$B$12),Skovbrug!$F$22-(Skovbrug!$F$22)*(1-Skovbrug!$C$9)^(C154-Skovbrug!$B$12))*VLOOKUP(A154,Skovbrug!$A$13:$D$17,IF('Skovbrug-alder'!C154&lt;=År2,3,4),FALSE)-IF(C154&gt;2020,SUM(INDEX($C$1:$D$311,MATCH(1,(2020=$C$1:$C$311)*(B154=$B$1:$B$311)*(A154=$A$1:$A$311),0),2):D153),0))</f>
        <v>0</v>
      </c>
      <c r="E154" s="168">
        <f t="shared" ca="1" si="3"/>
        <v>0</v>
      </c>
      <c r="F154" s="168">
        <f ca="1">IF(C154&lt;=År2,IF(B154="Vestdanmark",(Arealanvendelse!$M$27-Arealanvendelse!$J$27),(Arealanvendelse!$M$37-Arealanvendelse!$J$37))/(Arealanvendelse!$M$3-Arealanvendelse!$J$3),IF(B154="Vestdanmark",(Arealanvendelse!$P$27-Arealanvendelse!$M$27),(Arealanvendelse!$P$37-Arealanvendelse!$M$37))/(Arealanvendelse!$P$3-Arealanvendelse!$M$3))*VLOOKUP(A154,Skovbrug!$A$13:$D$17,IF('Skovbrug-alder'!C154&lt;=År2,3,4),FALSE)+D154+E154</f>
        <v>0</v>
      </c>
      <c r="G154" s="168">
        <f ca="1">IF($C154-G$1&lt;År1,0,F153*(1-VLOOKUP($A154,[1]Hugst!$R$5:$W$9,MATCH(ROUNDUP((G$1)/10,0)*10,[1]Hugst!$R$4:$W$4,0))))</f>
        <v>0</v>
      </c>
      <c r="H154" s="168">
        <f ca="1">IF($C154-H$1&lt;År1,0,G153*(1-VLOOKUP($A154,[1]Hugst!$R$5:$W$9,MATCH(ROUNDUP((H$1)/10,0)*10,[1]Hugst!$R$4:$W$4,0))))</f>
        <v>0</v>
      </c>
      <c r="I154" s="168">
        <f ca="1">IF($C154-I$1&lt;År1,0,H153*(1-VLOOKUP($A154,[1]Hugst!$R$5:$W$9,MATCH(ROUNDUP((I$1)/10,0)*10,[1]Hugst!$R$4:$W$4,0))))</f>
        <v>0</v>
      </c>
      <c r="J154" s="168">
        <f ca="1">IF($C154-J$1&lt;År1,0,I153*(1-VLOOKUP($A154,[1]Hugst!$R$5:$W$9,MATCH(ROUNDUP((J$1)/10,0)*10,[1]Hugst!$R$4:$W$4,0))))</f>
        <v>0</v>
      </c>
      <c r="K154" s="168">
        <f ca="1">IF($C154-K$1&lt;År1,0,J153*(1-VLOOKUP($A154,[1]Hugst!$R$5:$W$9,MATCH(ROUNDUP((K$1)/10,0)*10,[1]Hugst!$R$4:$W$4,0))))</f>
        <v>0</v>
      </c>
      <c r="L154" s="168">
        <f ca="1">IF($C154-L$1&lt;År1,0,K153*(1-VLOOKUP($A154,[1]Hugst!$R$5:$W$9,MATCH(ROUNDUP((L$1)/10,0)*10,[1]Hugst!$R$4:$W$4,0))))</f>
        <v>0</v>
      </c>
      <c r="M154" s="168">
        <f ca="1">IF($C154-M$1&lt;År1,0,L153*(1-VLOOKUP($A154,[1]Hugst!$R$5:$W$9,MATCH(ROUNDUP((M$1)/10,0)*10,[1]Hugst!$R$4:$W$4,0))))</f>
        <v>0</v>
      </c>
      <c r="N154" s="168">
        <f ca="1">IF($C154-N$1&lt;År1,0,M153*(1-VLOOKUP($A154,[1]Hugst!$R$5:$W$9,MATCH(ROUNDUP((N$1)/10,0)*10,[1]Hugst!$R$4:$W$4,0))))</f>
        <v>0</v>
      </c>
      <c r="O154" s="168">
        <f ca="1">IF($C154-O$1&lt;År1,0,N153*(1-VLOOKUP($A154,[1]Hugst!$R$5:$W$9,MATCH(ROUNDUP((O$1)/10,0)*10,[1]Hugst!$R$4:$W$4,0))))</f>
        <v>0</v>
      </c>
      <c r="P154" s="168">
        <f ca="1">IF($C154-P$1&lt;År1,0,O153*(1-VLOOKUP($A154,[1]Hugst!$R$5:$W$9,MATCH(ROUNDUP((P$1)/10,0)*10,[1]Hugst!$R$4:$W$4,0))))</f>
        <v>0</v>
      </c>
      <c r="Q154" s="168">
        <f ca="1">IF($C154-Q$1&lt;År1,0,P153*(1-VLOOKUP($A154,[1]Hugst!$R$5:$W$9,MATCH(ROUNDUP((Q$1)/10,0)*10,[1]Hugst!$R$4:$W$4,0))))</f>
        <v>0</v>
      </c>
      <c r="R154" s="168">
        <f ca="1">IF($C154-R$1&lt;År1,0,Q153*(1-VLOOKUP($A154,[1]Hugst!$R$5:$W$9,MATCH(ROUNDUP((R$1)/10,0)*10,[1]Hugst!$R$4:$W$4,0))))</f>
        <v>0</v>
      </c>
      <c r="S154" s="168">
        <f ca="1">IF($C154-S$1&lt;År1,0,R153*(1-VLOOKUP($A154,[1]Hugst!$R$5:$W$9,MATCH(ROUNDUP((S$1)/10,0)*10,[1]Hugst!$R$4:$W$4,0))))</f>
        <v>0</v>
      </c>
      <c r="T154" s="168">
        <f ca="1">IF($C154-T$1&lt;År1,0,S153*(1-VLOOKUP($A154,[1]Hugst!$R$5:$W$9,MATCH(ROUNDUP((T$1)/10,0)*10,[1]Hugst!$R$4:$W$4,0))))</f>
        <v>0</v>
      </c>
      <c r="U154" s="168">
        <f ca="1">IF($C154-U$1&lt;År1,0,T153*(1-VLOOKUP($A154,[1]Hugst!$R$5:$W$9,MATCH(ROUNDUP((U$1)/10,0)*10,[1]Hugst!$R$4:$W$4,0))))</f>
        <v>0</v>
      </c>
      <c r="V154" s="168">
        <f ca="1">IF($C154-V$1&lt;År1,0,U153*(1-VLOOKUP($A154,[1]Hugst!$R$5:$W$9,MATCH(ROUNDUP((V$1)/10,0)*10,[1]Hugst!$R$4:$W$4,0))))</f>
        <v>0</v>
      </c>
      <c r="W154" s="168">
        <f ca="1">IF($C154-W$1&lt;År1,0,V153*(1-VLOOKUP($A154,[1]Hugst!$R$5:$W$9,MATCH(ROUNDUP((W$1)/10,0)*10,[1]Hugst!$R$4:$W$4,0))))</f>
        <v>0</v>
      </c>
      <c r="X154" s="168">
        <f ca="1">IF($C154-X$1&lt;År1,0,W153*(1-VLOOKUP($A154,[1]Hugst!$R$5:$W$9,MATCH(ROUNDUP((X$1)/10,0)*10,[1]Hugst!$R$4:$W$4,0))))</f>
        <v>0</v>
      </c>
      <c r="Y154" s="168">
        <f ca="1">IF($C154-Y$1&lt;År1,0,X153*(1-VLOOKUP($A154,[1]Hugst!$R$5:$W$9,MATCH(ROUNDUP((Y$1)/10,0)*10,[1]Hugst!$R$4:$W$4,0))))</f>
        <v>0</v>
      </c>
      <c r="Z154" s="168">
        <f ca="1">IF($C154-Z$1&lt;År1,0,Y153*(1-VLOOKUP($A154,[1]Hugst!$R$5:$W$9,MATCH(ROUNDUP((Z$1)/10,0)*10,[1]Hugst!$R$4:$W$4,0))))</f>
        <v>0</v>
      </c>
      <c r="AA154" s="168">
        <f ca="1">IF($C154-AA$1&lt;År1,0,Z153*(1-VLOOKUP($A154,[1]Hugst!$R$5:$W$9,MATCH(ROUNDUP((AA$1)/10,0)*10,[1]Hugst!$R$4:$W$4,0))))</f>
        <v>0</v>
      </c>
      <c r="AB154" s="168">
        <f ca="1">IF($C154-AB$1&lt;År1,0,AA153*(1-VLOOKUP($A154,[1]Hugst!$R$5:$W$9,MATCH(ROUNDUP((AB$1)/10,0)*10,[1]Hugst!$R$4:$W$4,0))))</f>
        <v>0</v>
      </c>
      <c r="AC154" s="168">
        <f ca="1">IF($C154-AC$1&lt;År1,0,AB153*(1-VLOOKUP($A154,[1]Hugst!$R$5:$W$9,MATCH(ROUNDUP((AC$1)/10,0)*10,[1]Hugst!$R$4:$W$4,0))))</f>
        <v>0</v>
      </c>
      <c r="AD154" s="168">
        <f ca="1">IF($C154-AD$1&lt;År1,0,AC153*(1-VLOOKUP($A154,[1]Hugst!$R$5:$W$9,MATCH(ROUNDUP((AD$1)/10,0)*10,[1]Hugst!$R$4:$W$4,0))))</f>
        <v>0</v>
      </c>
      <c r="AE154" s="168">
        <f ca="1">IF($C154-AE$1&lt;År1,0,AD153*(1-VLOOKUP($A154,[1]Hugst!$R$5:$W$9,MATCH(ROUNDUP((AE$1)/10,0)*10,[1]Hugst!$R$4:$W$4,0))))</f>
        <v>0</v>
      </c>
      <c r="AF154" s="168">
        <f ca="1">IF($C154-AF$1&lt;År1,0,AE153*(1-VLOOKUP($A154,[1]Hugst!$R$5:$W$9,MATCH(ROUNDUP((AF$1)/10,0)*10,[1]Hugst!$R$4:$W$4,0))))</f>
        <v>0</v>
      </c>
      <c r="AG154" s="168">
        <f ca="1">IF($C154-AG$1&lt;År1,0,AF153*(1-VLOOKUP($A154,[1]Hugst!$R$5:$W$9,MATCH(ROUNDUP((AG$1)/10,0)*10,[1]Hugst!$R$4:$W$4,0))))</f>
        <v>0</v>
      </c>
      <c r="AH154" s="168">
        <f ca="1">IF($C154-AH$1&lt;År1,0,AG153*(1-VLOOKUP($A154,[1]Hugst!$R$5:$W$9,MATCH(ROUNDUP((AH$1)/10,0)*10,[1]Hugst!$R$4:$W$4,0))))</f>
        <v>0</v>
      </c>
      <c r="AI154" s="168">
        <f>IF($C154-AI$1&lt;År1,0,AH153*(1-VLOOKUP($A154,[1]Hugst!$R$5:$W$9,MATCH(ROUNDUP((AI$1)/10,0)*10,[1]Hugst!$R$4:$W$4,0))))</f>
        <v>0</v>
      </c>
      <c r="AJ154" s="168">
        <f>IF($C154-AJ$1&lt;År1,0,AI153*(1-VLOOKUP($A154,[1]Hugst!$R$5:$W$9,MATCH(ROUNDUP((AJ$1)/10,0)*10,[1]Hugst!$R$4:$W$4,0))))</f>
        <v>0</v>
      </c>
    </row>
    <row r="155" spans="1:36" x14ac:dyDescent="0.25">
      <c r="A155" s="168" t="s">
        <v>178</v>
      </c>
      <c r="B155" s="168" t="s">
        <v>23</v>
      </c>
      <c r="C155" s="168">
        <v>2049</v>
      </c>
      <c r="D155" s="168" cm="1">
        <f t="array" ref="D155">(IF(B155="Vestdanmark",Skovbrug!$C$22-(Skovbrug!$C$22)*(1-Skovbrug!$C$9)^(C155-Skovbrug!$B$12),Skovbrug!$F$22-(Skovbrug!$F$22)*(1-Skovbrug!$C$9)^(C155-Skovbrug!$B$12))*VLOOKUP(A155,Skovbrug!$A$13:$D$17,IF('Skovbrug-alder'!C155&lt;=År2,3,4),FALSE)-IF(C155&gt;2020,SUM(INDEX($C$1:$D$311,MATCH(1,(2020=$C$1:$C$311)*(B155=$B$1:$B$311)*(A155=$A$1:$A$311),0),2):D154),0))</f>
        <v>0</v>
      </c>
      <c r="E155" s="168">
        <f t="shared" ca="1" si="3"/>
        <v>0</v>
      </c>
      <c r="F155" s="168">
        <f ca="1">IF(C155&lt;=År2,IF(B155="Vestdanmark",(Arealanvendelse!$M$27-Arealanvendelse!$J$27),(Arealanvendelse!$M$37-Arealanvendelse!$J$37))/(Arealanvendelse!$M$3-Arealanvendelse!$J$3),IF(B155="Vestdanmark",(Arealanvendelse!$P$27-Arealanvendelse!$M$27),(Arealanvendelse!$P$37-Arealanvendelse!$M$37))/(Arealanvendelse!$P$3-Arealanvendelse!$M$3))*VLOOKUP(A155,Skovbrug!$A$13:$D$17,IF('Skovbrug-alder'!C155&lt;=År2,3,4),FALSE)+D155+E155</f>
        <v>0</v>
      </c>
      <c r="G155" s="168">
        <f ca="1">IF($C155-G$1&lt;År1,0,F154*(1-VLOOKUP($A155,[1]Hugst!$R$5:$W$9,MATCH(ROUNDUP((G$1)/10,0)*10,[1]Hugst!$R$4:$W$4,0))))</f>
        <v>0</v>
      </c>
      <c r="H155" s="168">
        <f ca="1">IF($C155-H$1&lt;År1,0,G154*(1-VLOOKUP($A155,[1]Hugst!$R$5:$W$9,MATCH(ROUNDUP((H$1)/10,0)*10,[1]Hugst!$R$4:$W$4,0))))</f>
        <v>0</v>
      </c>
      <c r="I155" s="168">
        <f ca="1">IF($C155-I$1&lt;År1,0,H154*(1-VLOOKUP($A155,[1]Hugst!$R$5:$W$9,MATCH(ROUNDUP((I$1)/10,0)*10,[1]Hugst!$R$4:$W$4,0))))</f>
        <v>0</v>
      </c>
      <c r="J155" s="168">
        <f ca="1">IF($C155-J$1&lt;År1,0,I154*(1-VLOOKUP($A155,[1]Hugst!$R$5:$W$9,MATCH(ROUNDUP((J$1)/10,0)*10,[1]Hugst!$R$4:$W$4,0))))</f>
        <v>0</v>
      </c>
      <c r="K155" s="168">
        <f ca="1">IF($C155-K$1&lt;År1,0,J154*(1-VLOOKUP($A155,[1]Hugst!$R$5:$W$9,MATCH(ROUNDUP((K$1)/10,0)*10,[1]Hugst!$R$4:$W$4,0))))</f>
        <v>0</v>
      </c>
      <c r="L155" s="168">
        <f ca="1">IF($C155-L$1&lt;År1,0,K154*(1-VLOOKUP($A155,[1]Hugst!$R$5:$W$9,MATCH(ROUNDUP((L$1)/10,0)*10,[1]Hugst!$R$4:$W$4,0))))</f>
        <v>0</v>
      </c>
      <c r="M155" s="168">
        <f ca="1">IF($C155-M$1&lt;År1,0,L154*(1-VLOOKUP($A155,[1]Hugst!$R$5:$W$9,MATCH(ROUNDUP((M$1)/10,0)*10,[1]Hugst!$R$4:$W$4,0))))</f>
        <v>0</v>
      </c>
      <c r="N155" s="168">
        <f ca="1">IF($C155-N$1&lt;År1,0,M154*(1-VLOOKUP($A155,[1]Hugst!$R$5:$W$9,MATCH(ROUNDUP((N$1)/10,0)*10,[1]Hugst!$R$4:$W$4,0))))</f>
        <v>0</v>
      </c>
      <c r="O155" s="168">
        <f ca="1">IF($C155-O$1&lt;År1,0,N154*(1-VLOOKUP($A155,[1]Hugst!$R$5:$W$9,MATCH(ROUNDUP((O$1)/10,0)*10,[1]Hugst!$R$4:$W$4,0))))</f>
        <v>0</v>
      </c>
      <c r="P155" s="168">
        <f ca="1">IF($C155-P$1&lt;År1,0,O154*(1-VLOOKUP($A155,[1]Hugst!$R$5:$W$9,MATCH(ROUNDUP((P$1)/10,0)*10,[1]Hugst!$R$4:$W$4,0))))</f>
        <v>0</v>
      </c>
      <c r="Q155" s="168">
        <f ca="1">IF($C155-Q$1&lt;År1,0,P154*(1-VLOOKUP($A155,[1]Hugst!$R$5:$W$9,MATCH(ROUNDUP((Q$1)/10,0)*10,[1]Hugst!$R$4:$W$4,0))))</f>
        <v>0</v>
      </c>
      <c r="R155" s="168">
        <f ca="1">IF($C155-R$1&lt;År1,0,Q154*(1-VLOOKUP($A155,[1]Hugst!$R$5:$W$9,MATCH(ROUNDUP((R$1)/10,0)*10,[1]Hugst!$R$4:$W$4,0))))</f>
        <v>0</v>
      </c>
      <c r="S155" s="168">
        <f ca="1">IF($C155-S$1&lt;År1,0,R154*(1-VLOOKUP($A155,[1]Hugst!$R$5:$W$9,MATCH(ROUNDUP((S$1)/10,0)*10,[1]Hugst!$R$4:$W$4,0))))</f>
        <v>0</v>
      </c>
      <c r="T155" s="168">
        <f ca="1">IF($C155-T$1&lt;År1,0,S154*(1-VLOOKUP($A155,[1]Hugst!$R$5:$W$9,MATCH(ROUNDUP((T$1)/10,0)*10,[1]Hugst!$R$4:$W$4,0))))</f>
        <v>0</v>
      </c>
      <c r="U155" s="168">
        <f ca="1">IF($C155-U$1&lt;År1,0,T154*(1-VLOOKUP($A155,[1]Hugst!$R$5:$W$9,MATCH(ROUNDUP((U$1)/10,0)*10,[1]Hugst!$R$4:$W$4,0))))</f>
        <v>0</v>
      </c>
      <c r="V155" s="168">
        <f ca="1">IF($C155-V$1&lt;År1,0,U154*(1-VLOOKUP($A155,[1]Hugst!$R$5:$W$9,MATCH(ROUNDUP((V$1)/10,0)*10,[1]Hugst!$R$4:$W$4,0))))</f>
        <v>0</v>
      </c>
      <c r="W155" s="168">
        <f ca="1">IF($C155-W$1&lt;År1,0,V154*(1-VLOOKUP($A155,[1]Hugst!$R$5:$W$9,MATCH(ROUNDUP((W$1)/10,0)*10,[1]Hugst!$R$4:$W$4,0))))</f>
        <v>0</v>
      </c>
      <c r="X155" s="168">
        <f ca="1">IF($C155-X$1&lt;År1,0,W154*(1-VLOOKUP($A155,[1]Hugst!$R$5:$W$9,MATCH(ROUNDUP((X$1)/10,0)*10,[1]Hugst!$R$4:$W$4,0))))</f>
        <v>0</v>
      </c>
      <c r="Y155" s="168">
        <f ca="1">IF($C155-Y$1&lt;År1,0,X154*(1-VLOOKUP($A155,[1]Hugst!$R$5:$W$9,MATCH(ROUNDUP((Y$1)/10,0)*10,[1]Hugst!$R$4:$W$4,0))))</f>
        <v>0</v>
      </c>
      <c r="Z155" s="168">
        <f ca="1">IF($C155-Z$1&lt;År1,0,Y154*(1-VLOOKUP($A155,[1]Hugst!$R$5:$W$9,MATCH(ROUNDUP((Z$1)/10,0)*10,[1]Hugst!$R$4:$W$4,0))))</f>
        <v>0</v>
      </c>
      <c r="AA155" s="168">
        <f ca="1">IF($C155-AA$1&lt;År1,0,Z154*(1-VLOOKUP($A155,[1]Hugst!$R$5:$W$9,MATCH(ROUNDUP((AA$1)/10,0)*10,[1]Hugst!$R$4:$W$4,0))))</f>
        <v>0</v>
      </c>
      <c r="AB155" s="168">
        <f ca="1">IF($C155-AB$1&lt;År1,0,AA154*(1-VLOOKUP($A155,[1]Hugst!$R$5:$W$9,MATCH(ROUNDUP((AB$1)/10,0)*10,[1]Hugst!$R$4:$W$4,0))))</f>
        <v>0</v>
      </c>
      <c r="AC155" s="168">
        <f ca="1">IF($C155-AC$1&lt;År1,0,AB154*(1-VLOOKUP($A155,[1]Hugst!$R$5:$W$9,MATCH(ROUNDUP((AC$1)/10,0)*10,[1]Hugst!$R$4:$W$4,0))))</f>
        <v>0</v>
      </c>
      <c r="AD155" s="168">
        <f ca="1">IF($C155-AD$1&lt;År1,0,AC154*(1-VLOOKUP($A155,[1]Hugst!$R$5:$W$9,MATCH(ROUNDUP((AD$1)/10,0)*10,[1]Hugst!$R$4:$W$4,0))))</f>
        <v>0</v>
      </c>
      <c r="AE155" s="168">
        <f ca="1">IF($C155-AE$1&lt;År1,0,AD154*(1-VLOOKUP($A155,[1]Hugst!$R$5:$W$9,MATCH(ROUNDUP((AE$1)/10,0)*10,[1]Hugst!$R$4:$W$4,0))))</f>
        <v>0</v>
      </c>
      <c r="AF155" s="168">
        <f ca="1">IF($C155-AF$1&lt;År1,0,AE154*(1-VLOOKUP($A155,[1]Hugst!$R$5:$W$9,MATCH(ROUNDUP((AF$1)/10,0)*10,[1]Hugst!$R$4:$W$4,0))))</f>
        <v>0</v>
      </c>
      <c r="AG155" s="168">
        <f ca="1">IF($C155-AG$1&lt;År1,0,AF154*(1-VLOOKUP($A155,[1]Hugst!$R$5:$W$9,MATCH(ROUNDUP((AG$1)/10,0)*10,[1]Hugst!$R$4:$W$4,0))))</f>
        <v>0</v>
      </c>
      <c r="AH155" s="168">
        <f ca="1">IF($C155-AH$1&lt;År1,0,AG154*(1-VLOOKUP($A155,[1]Hugst!$R$5:$W$9,MATCH(ROUNDUP((AH$1)/10,0)*10,[1]Hugst!$R$4:$W$4,0))))</f>
        <v>0</v>
      </c>
      <c r="AI155" s="168">
        <f ca="1">IF($C155-AI$1&lt;År1,0,AH154*(1-VLOOKUP($A155,[1]Hugst!$R$5:$W$9,MATCH(ROUNDUP((AI$1)/10,0)*10,[1]Hugst!$R$4:$W$4,0))))</f>
        <v>0</v>
      </c>
      <c r="AJ155" s="168">
        <f>IF($C155-AJ$1&lt;År1,0,AI154*(1-VLOOKUP($A155,[1]Hugst!$R$5:$W$9,MATCH(ROUNDUP((AJ$1)/10,0)*10,[1]Hugst!$R$4:$W$4,0))))</f>
        <v>0</v>
      </c>
    </row>
    <row r="156" spans="1:36" x14ac:dyDescent="0.25">
      <c r="A156" s="168" t="s">
        <v>178</v>
      </c>
      <c r="B156" s="168" t="s">
        <v>23</v>
      </c>
      <c r="C156" s="168">
        <v>2050</v>
      </c>
      <c r="D156" s="168" cm="1">
        <f t="array" ref="D156">(IF(B156="Vestdanmark",Skovbrug!$C$22-(Skovbrug!$C$22)*(1-Skovbrug!$C$9)^(C156-Skovbrug!$B$12),Skovbrug!$F$22-(Skovbrug!$F$22)*(1-Skovbrug!$C$9)^(C156-Skovbrug!$B$12))*VLOOKUP(A156,Skovbrug!$A$13:$D$17,IF('Skovbrug-alder'!C156&lt;=År2,3,4),FALSE)-IF(C156&gt;2020,SUM(INDEX($C$1:$D$311,MATCH(1,(2020=$C$1:$C$311)*(B156=$B$1:$B$311)*(A156=$A$1:$A$311),0),2):D155),0))</f>
        <v>0</v>
      </c>
      <c r="E156" s="168">
        <f t="shared" ca="1" si="3"/>
        <v>0</v>
      </c>
      <c r="F156" s="168">
        <f ca="1">IF(C156&lt;=År2,IF(B156="Vestdanmark",(Arealanvendelse!$M$27-Arealanvendelse!$J$27),(Arealanvendelse!$M$37-Arealanvendelse!$J$37))/(Arealanvendelse!$M$3-Arealanvendelse!$J$3),IF(B156="Vestdanmark",(Arealanvendelse!$P$27-Arealanvendelse!$M$27),(Arealanvendelse!$P$37-Arealanvendelse!$M$37))/(Arealanvendelse!$P$3-Arealanvendelse!$M$3))*VLOOKUP(A156,Skovbrug!$A$13:$D$17,IF('Skovbrug-alder'!C156&lt;=År2,3,4),FALSE)+D156+E156</f>
        <v>0</v>
      </c>
      <c r="G156" s="168">
        <f ca="1">IF($C156-G$1&lt;År1,0,F155*(1-VLOOKUP($A156,[1]Hugst!$R$5:$W$9,MATCH(ROUNDUP((G$1)/10,0)*10,[1]Hugst!$R$4:$W$4,0))))</f>
        <v>0</v>
      </c>
      <c r="H156" s="168">
        <f ca="1">IF($C156-H$1&lt;År1,0,G155*(1-VLOOKUP($A156,[1]Hugst!$R$5:$W$9,MATCH(ROUNDUP((H$1)/10,0)*10,[1]Hugst!$R$4:$W$4,0))))</f>
        <v>0</v>
      </c>
      <c r="I156" s="168">
        <f ca="1">IF($C156-I$1&lt;År1,0,H155*(1-VLOOKUP($A156,[1]Hugst!$R$5:$W$9,MATCH(ROUNDUP((I$1)/10,0)*10,[1]Hugst!$R$4:$W$4,0))))</f>
        <v>0</v>
      </c>
      <c r="J156" s="168">
        <f ca="1">IF($C156-J$1&lt;År1,0,I155*(1-VLOOKUP($A156,[1]Hugst!$R$5:$W$9,MATCH(ROUNDUP((J$1)/10,0)*10,[1]Hugst!$R$4:$W$4,0))))</f>
        <v>0</v>
      </c>
      <c r="K156" s="168">
        <f ca="1">IF($C156-K$1&lt;År1,0,J155*(1-VLOOKUP($A156,[1]Hugst!$R$5:$W$9,MATCH(ROUNDUP((K$1)/10,0)*10,[1]Hugst!$R$4:$W$4,0))))</f>
        <v>0</v>
      </c>
      <c r="L156" s="168">
        <f ca="1">IF($C156-L$1&lt;År1,0,K155*(1-VLOOKUP($A156,[1]Hugst!$R$5:$W$9,MATCH(ROUNDUP((L$1)/10,0)*10,[1]Hugst!$R$4:$W$4,0))))</f>
        <v>0</v>
      </c>
      <c r="M156" s="168">
        <f ca="1">IF($C156-M$1&lt;År1,0,L155*(1-VLOOKUP($A156,[1]Hugst!$R$5:$W$9,MATCH(ROUNDUP((M$1)/10,0)*10,[1]Hugst!$R$4:$W$4,0))))</f>
        <v>0</v>
      </c>
      <c r="N156" s="168">
        <f ca="1">IF($C156-N$1&lt;År1,0,M155*(1-VLOOKUP($A156,[1]Hugst!$R$5:$W$9,MATCH(ROUNDUP((N$1)/10,0)*10,[1]Hugst!$R$4:$W$4,0))))</f>
        <v>0</v>
      </c>
      <c r="O156" s="168">
        <f ca="1">IF($C156-O$1&lt;År1,0,N155*(1-VLOOKUP($A156,[1]Hugst!$R$5:$W$9,MATCH(ROUNDUP((O$1)/10,0)*10,[1]Hugst!$R$4:$W$4,0))))</f>
        <v>0</v>
      </c>
      <c r="P156" s="168">
        <f ca="1">IF($C156-P$1&lt;År1,0,O155*(1-VLOOKUP($A156,[1]Hugst!$R$5:$W$9,MATCH(ROUNDUP((P$1)/10,0)*10,[1]Hugst!$R$4:$W$4,0))))</f>
        <v>0</v>
      </c>
      <c r="Q156" s="168">
        <f ca="1">IF($C156-Q$1&lt;År1,0,P155*(1-VLOOKUP($A156,[1]Hugst!$R$5:$W$9,MATCH(ROUNDUP((Q$1)/10,0)*10,[1]Hugst!$R$4:$W$4,0))))</f>
        <v>0</v>
      </c>
      <c r="R156" s="168">
        <f ca="1">IF($C156-R$1&lt;År1,0,Q155*(1-VLOOKUP($A156,[1]Hugst!$R$5:$W$9,MATCH(ROUNDUP((R$1)/10,0)*10,[1]Hugst!$R$4:$W$4,0))))</f>
        <v>0</v>
      </c>
      <c r="S156" s="168">
        <f ca="1">IF($C156-S$1&lt;År1,0,R155*(1-VLOOKUP($A156,[1]Hugst!$R$5:$W$9,MATCH(ROUNDUP((S$1)/10,0)*10,[1]Hugst!$R$4:$W$4,0))))</f>
        <v>0</v>
      </c>
      <c r="T156" s="168">
        <f ca="1">IF($C156-T$1&lt;År1,0,S155*(1-VLOOKUP($A156,[1]Hugst!$R$5:$W$9,MATCH(ROUNDUP((T$1)/10,0)*10,[1]Hugst!$R$4:$W$4,0))))</f>
        <v>0</v>
      </c>
      <c r="U156" s="168">
        <f ca="1">IF($C156-U$1&lt;År1,0,T155*(1-VLOOKUP($A156,[1]Hugst!$R$5:$W$9,MATCH(ROUNDUP((U$1)/10,0)*10,[1]Hugst!$R$4:$W$4,0))))</f>
        <v>0</v>
      </c>
      <c r="V156" s="168">
        <f ca="1">IF($C156-V$1&lt;År1,0,U155*(1-VLOOKUP($A156,[1]Hugst!$R$5:$W$9,MATCH(ROUNDUP((V$1)/10,0)*10,[1]Hugst!$R$4:$W$4,0))))</f>
        <v>0</v>
      </c>
      <c r="W156" s="168">
        <f ca="1">IF($C156-W$1&lt;År1,0,V155*(1-VLOOKUP($A156,[1]Hugst!$R$5:$W$9,MATCH(ROUNDUP((W$1)/10,0)*10,[1]Hugst!$R$4:$W$4,0))))</f>
        <v>0</v>
      </c>
      <c r="X156" s="168">
        <f ca="1">IF($C156-X$1&lt;År1,0,W155*(1-VLOOKUP($A156,[1]Hugst!$R$5:$W$9,MATCH(ROUNDUP((X$1)/10,0)*10,[1]Hugst!$R$4:$W$4,0))))</f>
        <v>0</v>
      </c>
      <c r="Y156" s="168">
        <f ca="1">IF($C156-Y$1&lt;År1,0,X155*(1-VLOOKUP($A156,[1]Hugst!$R$5:$W$9,MATCH(ROUNDUP((Y$1)/10,0)*10,[1]Hugst!$R$4:$W$4,0))))</f>
        <v>0</v>
      </c>
      <c r="Z156" s="168">
        <f ca="1">IF($C156-Z$1&lt;År1,0,Y155*(1-VLOOKUP($A156,[1]Hugst!$R$5:$W$9,MATCH(ROUNDUP((Z$1)/10,0)*10,[1]Hugst!$R$4:$W$4,0))))</f>
        <v>0</v>
      </c>
      <c r="AA156" s="168">
        <f ca="1">IF($C156-AA$1&lt;År1,0,Z155*(1-VLOOKUP($A156,[1]Hugst!$R$5:$W$9,MATCH(ROUNDUP((AA$1)/10,0)*10,[1]Hugst!$R$4:$W$4,0))))</f>
        <v>0</v>
      </c>
      <c r="AB156" s="168">
        <f ca="1">IF($C156-AB$1&lt;År1,0,AA155*(1-VLOOKUP($A156,[1]Hugst!$R$5:$W$9,MATCH(ROUNDUP((AB$1)/10,0)*10,[1]Hugst!$R$4:$W$4,0))))</f>
        <v>0</v>
      </c>
      <c r="AC156" s="168">
        <f ca="1">IF($C156-AC$1&lt;År1,0,AB155*(1-VLOOKUP($A156,[1]Hugst!$R$5:$W$9,MATCH(ROUNDUP((AC$1)/10,0)*10,[1]Hugst!$R$4:$W$4,0))))</f>
        <v>0</v>
      </c>
      <c r="AD156" s="168">
        <f ca="1">IF($C156-AD$1&lt;År1,0,AC155*(1-VLOOKUP($A156,[1]Hugst!$R$5:$W$9,MATCH(ROUNDUP((AD$1)/10,0)*10,[1]Hugst!$R$4:$W$4,0))))</f>
        <v>0</v>
      </c>
      <c r="AE156" s="168">
        <f ca="1">IF($C156-AE$1&lt;År1,0,AD155*(1-VLOOKUP($A156,[1]Hugst!$R$5:$W$9,MATCH(ROUNDUP((AE$1)/10,0)*10,[1]Hugst!$R$4:$W$4,0))))</f>
        <v>0</v>
      </c>
      <c r="AF156" s="168">
        <f ca="1">IF($C156-AF$1&lt;År1,0,AE155*(1-VLOOKUP($A156,[1]Hugst!$R$5:$W$9,MATCH(ROUNDUP((AF$1)/10,0)*10,[1]Hugst!$R$4:$W$4,0))))</f>
        <v>0</v>
      </c>
      <c r="AG156" s="168">
        <f ca="1">IF($C156-AG$1&lt;År1,0,AF155*(1-VLOOKUP($A156,[1]Hugst!$R$5:$W$9,MATCH(ROUNDUP((AG$1)/10,0)*10,[1]Hugst!$R$4:$W$4,0))))</f>
        <v>0</v>
      </c>
      <c r="AH156" s="168">
        <f ca="1">IF($C156-AH$1&lt;År1,0,AG155*(1-VLOOKUP($A156,[1]Hugst!$R$5:$W$9,MATCH(ROUNDUP((AH$1)/10,0)*10,[1]Hugst!$R$4:$W$4,0))))</f>
        <v>0</v>
      </c>
      <c r="AI156" s="168">
        <f ca="1">IF($C156-AI$1&lt;År1,0,AH155*(1-VLOOKUP($A156,[1]Hugst!$R$5:$W$9,MATCH(ROUNDUP((AI$1)/10,0)*10,[1]Hugst!$R$4:$W$4,0))))</f>
        <v>0</v>
      </c>
      <c r="AJ156" s="168">
        <f ca="1">IF($C156-AJ$1&lt;År1,0,AI155*(1-VLOOKUP($A156,[1]Hugst!$R$5:$W$9,MATCH(ROUNDUP((AJ$1)/10,0)*10,[1]Hugst!$R$4:$W$4,0))))</f>
        <v>0</v>
      </c>
    </row>
    <row r="157" spans="1:36" x14ac:dyDescent="0.25">
      <c r="A157" s="168" t="s">
        <v>178</v>
      </c>
      <c r="B157" s="168" t="s">
        <v>24</v>
      </c>
      <c r="C157" s="168">
        <v>2020</v>
      </c>
      <c r="D157" s="168" cm="1">
        <f t="array" ref="D157">(IF(B157="Vestdanmark",Skovbrug!$C$22-(Skovbrug!$C$22)*(1-Skovbrug!$C$9)^(C157-Skovbrug!$B$12),Skovbrug!$F$22-(Skovbrug!$F$22)*(1-Skovbrug!$C$9)^(C157-Skovbrug!$B$12))*VLOOKUP(A157,Skovbrug!$A$13:$D$17,IF('Skovbrug-alder'!C157&lt;=År2,3,4),FALSE)-IF(C157&gt;2020,SUM(INDEX($C$1:$D$311,MATCH(1,(2020=$C$1:$C$311)*(B157=$B$1:$B$311)*(A157=$A$1:$A$311),0),2):D156),0))</f>
        <v>0</v>
      </c>
      <c r="E157" s="168">
        <f t="shared" si="3"/>
        <v>0</v>
      </c>
      <c r="F157" s="168">
        <f>IF(C157&lt;=År2,IF(B157="Vestdanmark",(Arealanvendelse!$M$27-Arealanvendelse!$J$27),(Arealanvendelse!$M$37-Arealanvendelse!$J$37))/(Arealanvendelse!$M$3-Arealanvendelse!$J$3),IF(B157="Vestdanmark",(Arealanvendelse!$P$27-Arealanvendelse!$M$27),(Arealanvendelse!$P$37-Arealanvendelse!$M$37))/(Arealanvendelse!$P$3-Arealanvendelse!$M$3))*VLOOKUP(A157,Skovbrug!$A$13:$D$17,IF('Skovbrug-alder'!C157&lt;=År2,3,4),FALSE)+D157+E157</f>
        <v>0</v>
      </c>
      <c r="G157" s="168">
        <f>IF($C157-G$1&lt;År1,0,F156*(1-VLOOKUP($A157,[1]Hugst!$R$5:$W$9,MATCH(ROUNDUP((G$1)/10,0)*10,[1]Hugst!$R$4:$W$4,0))))</f>
        <v>0</v>
      </c>
      <c r="H157" s="168">
        <f>IF($C157-H$1&lt;År1,0,G156*(1-VLOOKUP($A157,[1]Hugst!$R$5:$W$9,MATCH(ROUNDUP((H$1)/10,0)*10,[1]Hugst!$R$4:$W$4,0))))</f>
        <v>0</v>
      </c>
      <c r="I157" s="168">
        <f>IF($C157-I$1&lt;År1,0,H156*(1-VLOOKUP($A157,[1]Hugst!$R$5:$W$9,MATCH(ROUNDUP((I$1)/10,0)*10,[1]Hugst!$R$4:$W$4,0))))</f>
        <v>0</v>
      </c>
      <c r="J157" s="168">
        <f>IF($C157-J$1&lt;År1,0,I156*(1-VLOOKUP($A157,[1]Hugst!$R$5:$W$9,MATCH(ROUNDUP((J$1)/10,0)*10,[1]Hugst!$R$4:$W$4,0))))</f>
        <v>0</v>
      </c>
      <c r="K157" s="168">
        <f>IF($C157-K$1&lt;År1,0,J156*(1-VLOOKUP($A157,[1]Hugst!$R$5:$W$9,MATCH(ROUNDUP((K$1)/10,0)*10,[1]Hugst!$R$4:$W$4,0))))</f>
        <v>0</v>
      </c>
      <c r="L157" s="168">
        <f>IF($C157-L$1&lt;År1,0,K156*(1-VLOOKUP($A157,[1]Hugst!$R$5:$W$9,MATCH(ROUNDUP((L$1)/10,0)*10,[1]Hugst!$R$4:$W$4,0))))</f>
        <v>0</v>
      </c>
      <c r="M157" s="168">
        <f>IF($C157-M$1&lt;År1,0,L156*(1-VLOOKUP($A157,[1]Hugst!$R$5:$W$9,MATCH(ROUNDUP((M$1)/10,0)*10,[1]Hugst!$R$4:$W$4,0))))</f>
        <v>0</v>
      </c>
      <c r="N157" s="168">
        <f>IF($C157-N$1&lt;År1,0,M156*(1-VLOOKUP($A157,[1]Hugst!$R$5:$W$9,MATCH(ROUNDUP((N$1)/10,0)*10,[1]Hugst!$R$4:$W$4,0))))</f>
        <v>0</v>
      </c>
      <c r="O157" s="168">
        <f>IF($C157-O$1&lt;År1,0,N156*(1-VLOOKUP($A157,[1]Hugst!$R$5:$W$9,MATCH(ROUNDUP((O$1)/10,0)*10,[1]Hugst!$R$4:$W$4,0))))</f>
        <v>0</v>
      </c>
      <c r="P157" s="168">
        <f>IF($C157-P$1&lt;År1,0,O156*(1-VLOOKUP($A157,[1]Hugst!$R$5:$W$9,MATCH(ROUNDUP((P$1)/10,0)*10,[1]Hugst!$R$4:$W$4,0))))</f>
        <v>0</v>
      </c>
      <c r="Q157" s="168">
        <f>IF($C157-Q$1&lt;År1,0,P156*(1-VLOOKUP($A157,[1]Hugst!$R$5:$W$9,MATCH(ROUNDUP((Q$1)/10,0)*10,[1]Hugst!$R$4:$W$4,0))))</f>
        <v>0</v>
      </c>
      <c r="R157" s="168">
        <f>IF($C157-R$1&lt;År1,0,Q156*(1-VLOOKUP($A157,[1]Hugst!$R$5:$W$9,MATCH(ROUNDUP((R$1)/10,0)*10,[1]Hugst!$R$4:$W$4,0))))</f>
        <v>0</v>
      </c>
      <c r="S157" s="168">
        <f>IF($C157-S$1&lt;År1,0,R156*(1-VLOOKUP($A157,[1]Hugst!$R$5:$W$9,MATCH(ROUNDUP((S$1)/10,0)*10,[1]Hugst!$R$4:$W$4,0))))</f>
        <v>0</v>
      </c>
      <c r="T157" s="168">
        <f>IF($C157-T$1&lt;År1,0,S156*(1-VLOOKUP($A157,[1]Hugst!$R$5:$W$9,MATCH(ROUNDUP((T$1)/10,0)*10,[1]Hugst!$R$4:$W$4,0))))</f>
        <v>0</v>
      </c>
      <c r="U157" s="168">
        <f>IF($C157-U$1&lt;År1,0,T156*(1-VLOOKUP($A157,[1]Hugst!$R$5:$W$9,MATCH(ROUNDUP((U$1)/10,0)*10,[1]Hugst!$R$4:$W$4,0))))</f>
        <v>0</v>
      </c>
      <c r="V157" s="168">
        <f>IF($C157-V$1&lt;År1,0,U156*(1-VLOOKUP($A157,[1]Hugst!$R$5:$W$9,MATCH(ROUNDUP((V$1)/10,0)*10,[1]Hugst!$R$4:$W$4,0))))</f>
        <v>0</v>
      </c>
      <c r="W157" s="168">
        <f>IF($C157-W$1&lt;År1,0,V156*(1-VLOOKUP($A157,[1]Hugst!$R$5:$W$9,MATCH(ROUNDUP((W$1)/10,0)*10,[1]Hugst!$R$4:$W$4,0))))</f>
        <v>0</v>
      </c>
      <c r="X157" s="168">
        <f>IF($C157-X$1&lt;År1,0,W156*(1-VLOOKUP($A157,[1]Hugst!$R$5:$W$9,MATCH(ROUNDUP((X$1)/10,0)*10,[1]Hugst!$R$4:$W$4,0))))</f>
        <v>0</v>
      </c>
      <c r="Y157" s="168">
        <f>IF($C157-Y$1&lt;År1,0,X156*(1-VLOOKUP($A157,[1]Hugst!$R$5:$W$9,MATCH(ROUNDUP((Y$1)/10,0)*10,[1]Hugst!$R$4:$W$4,0))))</f>
        <v>0</v>
      </c>
      <c r="Z157" s="168">
        <f>IF($C157-Z$1&lt;År1,0,Y156*(1-VLOOKUP($A157,[1]Hugst!$R$5:$W$9,MATCH(ROUNDUP((Z$1)/10,0)*10,[1]Hugst!$R$4:$W$4,0))))</f>
        <v>0</v>
      </c>
      <c r="AA157" s="168">
        <f>IF($C157-AA$1&lt;År1,0,Z156*(1-VLOOKUP($A157,[1]Hugst!$R$5:$W$9,MATCH(ROUNDUP((AA$1)/10,0)*10,[1]Hugst!$R$4:$W$4,0))))</f>
        <v>0</v>
      </c>
      <c r="AB157" s="168">
        <f>IF($C157-AB$1&lt;År1,0,AA156*(1-VLOOKUP($A157,[1]Hugst!$R$5:$W$9,MATCH(ROUNDUP((AB$1)/10,0)*10,[1]Hugst!$R$4:$W$4,0))))</f>
        <v>0</v>
      </c>
      <c r="AC157" s="168">
        <f>IF($C157-AC$1&lt;År1,0,AB156*(1-VLOOKUP($A157,[1]Hugst!$R$5:$W$9,MATCH(ROUNDUP((AC$1)/10,0)*10,[1]Hugst!$R$4:$W$4,0))))</f>
        <v>0</v>
      </c>
      <c r="AD157" s="168">
        <f>IF($C157-AD$1&lt;År1,0,AC156*(1-VLOOKUP($A157,[1]Hugst!$R$5:$W$9,MATCH(ROUNDUP((AD$1)/10,0)*10,[1]Hugst!$R$4:$W$4,0))))</f>
        <v>0</v>
      </c>
      <c r="AE157" s="168">
        <f>IF($C157-AE$1&lt;År1,0,AD156*(1-VLOOKUP($A157,[1]Hugst!$R$5:$W$9,MATCH(ROUNDUP((AE$1)/10,0)*10,[1]Hugst!$R$4:$W$4,0))))</f>
        <v>0</v>
      </c>
      <c r="AF157" s="168">
        <f>IF($C157-AF$1&lt;År1,0,AE156*(1-VLOOKUP($A157,[1]Hugst!$R$5:$W$9,MATCH(ROUNDUP((AF$1)/10,0)*10,[1]Hugst!$R$4:$W$4,0))))</f>
        <v>0</v>
      </c>
      <c r="AG157" s="168">
        <f>IF($C157-AG$1&lt;År1,0,AF156*(1-VLOOKUP($A157,[1]Hugst!$R$5:$W$9,MATCH(ROUNDUP((AG$1)/10,0)*10,[1]Hugst!$R$4:$W$4,0))))</f>
        <v>0</v>
      </c>
      <c r="AH157" s="168">
        <f>IF($C157-AH$1&lt;År1,0,AG156*(1-VLOOKUP($A157,[1]Hugst!$R$5:$W$9,MATCH(ROUNDUP((AH$1)/10,0)*10,[1]Hugst!$R$4:$W$4,0))))</f>
        <v>0</v>
      </c>
      <c r="AI157" s="168">
        <f>IF($C157-AI$1&lt;År1,0,AH156*(1-VLOOKUP($A157,[1]Hugst!$R$5:$W$9,MATCH(ROUNDUP((AI$1)/10,0)*10,[1]Hugst!$R$4:$W$4,0))))</f>
        <v>0</v>
      </c>
      <c r="AJ157" s="168">
        <f>IF($C157-AJ$1&lt;År1,0,AI156*(1-VLOOKUP($A157,[1]Hugst!$R$5:$W$9,MATCH(ROUNDUP((AJ$1)/10,0)*10,[1]Hugst!$R$4:$W$4,0))))</f>
        <v>0</v>
      </c>
    </row>
    <row r="158" spans="1:36" x14ac:dyDescent="0.25">
      <c r="A158" s="168" t="s">
        <v>178</v>
      </c>
      <c r="B158" s="168" t="s">
        <v>24</v>
      </c>
      <c r="C158" s="168">
        <v>2021</v>
      </c>
      <c r="D158" s="168" cm="1">
        <f t="array" ref="D158">(IF(B158="Vestdanmark",Skovbrug!$C$22-(Skovbrug!$C$22)*(1-Skovbrug!$C$9)^(C158-Skovbrug!$B$12),Skovbrug!$F$22-(Skovbrug!$F$22)*(1-Skovbrug!$C$9)^(C158-Skovbrug!$B$12))*VLOOKUP(A158,Skovbrug!$A$13:$D$17,IF('Skovbrug-alder'!C158&lt;=År2,3,4),FALSE)-IF(C158&gt;2020,SUM(INDEX($C$1:$D$311,MATCH(1,(2020=$C$1:$C$311)*(B158=$B$1:$B$311)*(A158=$A$1:$A$311),0),2):D157),0))</f>
        <v>0</v>
      </c>
      <c r="E158" s="168">
        <f t="shared" ca="1" si="3"/>
        <v>0</v>
      </c>
      <c r="F158" s="168">
        <f ca="1">IF(C158&lt;=År2,IF(B158="Vestdanmark",(Arealanvendelse!$M$27-Arealanvendelse!$J$27),(Arealanvendelse!$M$37-Arealanvendelse!$J$37))/(Arealanvendelse!$M$3-Arealanvendelse!$J$3),IF(B158="Vestdanmark",(Arealanvendelse!$P$27-Arealanvendelse!$M$27),(Arealanvendelse!$P$37-Arealanvendelse!$M$37))/(Arealanvendelse!$P$3-Arealanvendelse!$M$3))*VLOOKUP(A158,Skovbrug!$A$13:$D$17,IF('Skovbrug-alder'!C158&lt;=År2,3,4),FALSE)+D158+E158</f>
        <v>0</v>
      </c>
      <c r="G158" s="168">
        <f ca="1">IF($C158-G$1&lt;År1,0,F157*(1-VLOOKUP($A158,[1]Hugst!$R$5:$W$9,MATCH(ROUNDUP((G$1)/10,0)*10,[1]Hugst!$R$4:$W$4,0))))</f>
        <v>0</v>
      </c>
      <c r="H158" s="168">
        <f>IF($C158-H$1&lt;År1,0,G157*(1-VLOOKUP($A158,[1]Hugst!$R$5:$W$9,MATCH(ROUNDUP((H$1)/10,0)*10,[1]Hugst!$R$4:$W$4,0))))</f>
        <v>0</v>
      </c>
      <c r="I158" s="168">
        <f>IF($C158-I$1&lt;År1,0,H157*(1-VLOOKUP($A158,[1]Hugst!$R$5:$W$9,MATCH(ROUNDUP((I$1)/10,0)*10,[1]Hugst!$R$4:$W$4,0))))</f>
        <v>0</v>
      </c>
      <c r="J158" s="168">
        <f>IF($C158-J$1&lt;År1,0,I157*(1-VLOOKUP($A158,[1]Hugst!$R$5:$W$9,MATCH(ROUNDUP((J$1)/10,0)*10,[1]Hugst!$R$4:$W$4,0))))</f>
        <v>0</v>
      </c>
      <c r="K158" s="168">
        <f>IF($C158-K$1&lt;År1,0,J157*(1-VLOOKUP($A158,[1]Hugst!$R$5:$W$9,MATCH(ROUNDUP((K$1)/10,0)*10,[1]Hugst!$R$4:$W$4,0))))</f>
        <v>0</v>
      </c>
      <c r="L158" s="168">
        <f>IF($C158-L$1&lt;År1,0,K157*(1-VLOOKUP($A158,[1]Hugst!$R$5:$W$9,MATCH(ROUNDUP((L$1)/10,0)*10,[1]Hugst!$R$4:$W$4,0))))</f>
        <v>0</v>
      </c>
      <c r="M158" s="168">
        <f>IF($C158-M$1&lt;År1,0,L157*(1-VLOOKUP($A158,[1]Hugst!$R$5:$W$9,MATCH(ROUNDUP((M$1)/10,0)*10,[1]Hugst!$R$4:$W$4,0))))</f>
        <v>0</v>
      </c>
      <c r="N158" s="168">
        <f>IF($C158-N$1&lt;År1,0,M157*(1-VLOOKUP($A158,[1]Hugst!$R$5:$W$9,MATCH(ROUNDUP((N$1)/10,0)*10,[1]Hugst!$R$4:$W$4,0))))</f>
        <v>0</v>
      </c>
      <c r="O158" s="168">
        <f>IF($C158-O$1&lt;År1,0,N157*(1-VLOOKUP($A158,[1]Hugst!$R$5:$W$9,MATCH(ROUNDUP((O$1)/10,0)*10,[1]Hugst!$R$4:$W$4,0))))</f>
        <v>0</v>
      </c>
      <c r="P158" s="168">
        <f>IF($C158-P$1&lt;År1,0,O157*(1-VLOOKUP($A158,[1]Hugst!$R$5:$W$9,MATCH(ROUNDUP((P$1)/10,0)*10,[1]Hugst!$R$4:$W$4,0))))</f>
        <v>0</v>
      </c>
      <c r="Q158" s="168">
        <f>IF($C158-Q$1&lt;År1,0,P157*(1-VLOOKUP($A158,[1]Hugst!$R$5:$W$9,MATCH(ROUNDUP((Q$1)/10,0)*10,[1]Hugst!$R$4:$W$4,0))))</f>
        <v>0</v>
      </c>
      <c r="R158" s="168">
        <f>IF($C158-R$1&lt;År1,0,Q157*(1-VLOOKUP($A158,[1]Hugst!$R$5:$W$9,MATCH(ROUNDUP((R$1)/10,0)*10,[1]Hugst!$R$4:$W$4,0))))</f>
        <v>0</v>
      </c>
      <c r="S158" s="168">
        <f>IF($C158-S$1&lt;År1,0,R157*(1-VLOOKUP($A158,[1]Hugst!$R$5:$W$9,MATCH(ROUNDUP((S$1)/10,0)*10,[1]Hugst!$R$4:$W$4,0))))</f>
        <v>0</v>
      </c>
      <c r="T158" s="168">
        <f>IF($C158-T$1&lt;År1,0,S157*(1-VLOOKUP($A158,[1]Hugst!$R$5:$W$9,MATCH(ROUNDUP((T$1)/10,0)*10,[1]Hugst!$R$4:$W$4,0))))</f>
        <v>0</v>
      </c>
      <c r="U158" s="168">
        <f>IF($C158-U$1&lt;År1,0,T157*(1-VLOOKUP($A158,[1]Hugst!$R$5:$W$9,MATCH(ROUNDUP((U$1)/10,0)*10,[1]Hugst!$R$4:$W$4,0))))</f>
        <v>0</v>
      </c>
      <c r="V158" s="168">
        <f>IF($C158-V$1&lt;År1,0,U157*(1-VLOOKUP($A158,[1]Hugst!$R$5:$W$9,MATCH(ROUNDUP((V$1)/10,0)*10,[1]Hugst!$R$4:$W$4,0))))</f>
        <v>0</v>
      </c>
      <c r="W158" s="168">
        <f>IF($C158-W$1&lt;År1,0,V157*(1-VLOOKUP($A158,[1]Hugst!$R$5:$W$9,MATCH(ROUNDUP((W$1)/10,0)*10,[1]Hugst!$R$4:$W$4,0))))</f>
        <v>0</v>
      </c>
      <c r="X158" s="168">
        <f>IF($C158-X$1&lt;År1,0,W157*(1-VLOOKUP($A158,[1]Hugst!$R$5:$W$9,MATCH(ROUNDUP((X$1)/10,0)*10,[1]Hugst!$R$4:$W$4,0))))</f>
        <v>0</v>
      </c>
      <c r="Y158" s="168">
        <f>IF($C158-Y$1&lt;År1,0,X157*(1-VLOOKUP($A158,[1]Hugst!$R$5:$W$9,MATCH(ROUNDUP((Y$1)/10,0)*10,[1]Hugst!$R$4:$W$4,0))))</f>
        <v>0</v>
      </c>
      <c r="Z158" s="168">
        <f>IF($C158-Z$1&lt;År1,0,Y157*(1-VLOOKUP($A158,[1]Hugst!$R$5:$W$9,MATCH(ROUNDUP((Z$1)/10,0)*10,[1]Hugst!$R$4:$W$4,0))))</f>
        <v>0</v>
      </c>
      <c r="AA158" s="168">
        <f>IF($C158-AA$1&lt;År1,0,Z157*(1-VLOOKUP($A158,[1]Hugst!$R$5:$W$9,MATCH(ROUNDUP((AA$1)/10,0)*10,[1]Hugst!$R$4:$W$4,0))))</f>
        <v>0</v>
      </c>
      <c r="AB158" s="168">
        <f>IF($C158-AB$1&lt;År1,0,AA157*(1-VLOOKUP($A158,[1]Hugst!$R$5:$W$9,MATCH(ROUNDUP((AB$1)/10,0)*10,[1]Hugst!$R$4:$W$4,0))))</f>
        <v>0</v>
      </c>
      <c r="AC158" s="168">
        <f>IF($C158-AC$1&lt;År1,0,AB157*(1-VLOOKUP($A158,[1]Hugst!$R$5:$W$9,MATCH(ROUNDUP((AC$1)/10,0)*10,[1]Hugst!$R$4:$W$4,0))))</f>
        <v>0</v>
      </c>
      <c r="AD158" s="168">
        <f>IF($C158-AD$1&lt;År1,0,AC157*(1-VLOOKUP($A158,[1]Hugst!$R$5:$W$9,MATCH(ROUNDUP((AD$1)/10,0)*10,[1]Hugst!$R$4:$W$4,0))))</f>
        <v>0</v>
      </c>
      <c r="AE158" s="168">
        <f>IF($C158-AE$1&lt;År1,0,AD157*(1-VLOOKUP($A158,[1]Hugst!$R$5:$W$9,MATCH(ROUNDUP((AE$1)/10,0)*10,[1]Hugst!$R$4:$W$4,0))))</f>
        <v>0</v>
      </c>
      <c r="AF158" s="168">
        <f>IF($C158-AF$1&lt;År1,0,AE157*(1-VLOOKUP($A158,[1]Hugst!$R$5:$W$9,MATCH(ROUNDUP((AF$1)/10,0)*10,[1]Hugst!$R$4:$W$4,0))))</f>
        <v>0</v>
      </c>
      <c r="AG158" s="168">
        <f>IF($C158-AG$1&lt;År1,0,AF157*(1-VLOOKUP($A158,[1]Hugst!$R$5:$W$9,MATCH(ROUNDUP((AG$1)/10,0)*10,[1]Hugst!$R$4:$W$4,0))))</f>
        <v>0</v>
      </c>
      <c r="AH158" s="168">
        <f>IF($C158-AH$1&lt;År1,0,AG157*(1-VLOOKUP($A158,[1]Hugst!$R$5:$W$9,MATCH(ROUNDUP((AH$1)/10,0)*10,[1]Hugst!$R$4:$W$4,0))))</f>
        <v>0</v>
      </c>
      <c r="AI158" s="168">
        <f>IF($C158-AI$1&lt;År1,0,AH157*(1-VLOOKUP($A158,[1]Hugst!$R$5:$W$9,MATCH(ROUNDUP((AI$1)/10,0)*10,[1]Hugst!$R$4:$W$4,0))))</f>
        <v>0</v>
      </c>
      <c r="AJ158" s="168">
        <f>IF($C158-AJ$1&lt;År1,0,AI157*(1-VLOOKUP($A158,[1]Hugst!$R$5:$W$9,MATCH(ROUNDUP((AJ$1)/10,0)*10,[1]Hugst!$R$4:$W$4,0))))</f>
        <v>0</v>
      </c>
    </row>
    <row r="159" spans="1:36" x14ac:dyDescent="0.25">
      <c r="A159" s="168" t="s">
        <v>178</v>
      </c>
      <c r="B159" s="168" t="s">
        <v>24</v>
      </c>
      <c r="C159" s="168">
        <v>2022</v>
      </c>
      <c r="D159" s="168" cm="1">
        <f t="array" ref="D159">(IF(B159="Vestdanmark",Skovbrug!$C$22-(Skovbrug!$C$22)*(1-Skovbrug!$C$9)^(C159-Skovbrug!$B$12),Skovbrug!$F$22-(Skovbrug!$F$22)*(1-Skovbrug!$C$9)^(C159-Skovbrug!$B$12))*VLOOKUP(A159,Skovbrug!$A$13:$D$17,IF('Skovbrug-alder'!C159&lt;=År2,3,4),FALSE)-IF(C159&gt;2020,SUM(INDEX($C$1:$D$311,MATCH(1,(2020=$C$1:$C$311)*(B159=$B$1:$B$311)*(A159=$A$1:$A$311),0),2):D158),0))</f>
        <v>0</v>
      </c>
      <c r="E159" s="168">
        <f t="shared" ca="1" si="3"/>
        <v>0</v>
      </c>
      <c r="F159" s="168">
        <f ca="1">IF(C159&lt;=År2,IF(B159="Vestdanmark",(Arealanvendelse!$M$27-Arealanvendelse!$J$27),(Arealanvendelse!$M$37-Arealanvendelse!$J$37))/(Arealanvendelse!$M$3-Arealanvendelse!$J$3),IF(B159="Vestdanmark",(Arealanvendelse!$P$27-Arealanvendelse!$M$27),(Arealanvendelse!$P$37-Arealanvendelse!$M$37))/(Arealanvendelse!$P$3-Arealanvendelse!$M$3))*VLOOKUP(A159,Skovbrug!$A$13:$D$17,IF('Skovbrug-alder'!C159&lt;=År2,3,4),FALSE)+D159+E159</f>
        <v>0</v>
      </c>
      <c r="G159" s="168">
        <f ca="1">IF($C159-G$1&lt;År1,0,F158*(1-VLOOKUP($A159,[1]Hugst!$R$5:$W$9,MATCH(ROUNDUP((G$1)/10,0)*10,[1]Hugst!$R$4:$W$4,0))))</f>
        <v>0</v>
      </c>
      <c r="H159" s="168">
        <f ca="1">IF($C159-H$1&lt;År1,0,G158*(1-VLOOKUP($A159,[1]Hugst!$R$5:$W$9,MATCH(ROUNDUP((H$1)/10,0)*10,[1]Hugst!$R$4:$W$4,0))))</f>
        <v>0</v>
      </c>
      <c r="I159" s="168">
        <f>IF($C159-I$1&lt;År1,0,H158*(1-VLOOKUP($A159,[1]Hugst!$R$5:$W$9,MATCH(ROUNDUP((I$1)/10,0)*10,[1]Hugst!$R$4:$W$4,0))))</f>
        <v>0</v>
      </c>
      <c r="J159" s="168">
        <f>IF($C159-J$1&lt;År1,0,I158*(1-VLOOKUP($A159,[1]Hugst!$R$5:$W$9,MATCH(ROUNDUP((J$1)/10,0)*10,[1]Hugst!$R$4:$W$4,0))))</f>
        <v>0</v>
      </c>
      <c r="K159" s="168">
        <f>IF($C159-K$1&lt;År1,0,J158*(1-VLOOKUP($A159,[1]Hugst!$R$5:$W$9,MATCH(ROUNDUP((K$1)/10,0)*10,[1]Hugst!$R$4:$W$4,0))))</f>
        <v>0</v>
      </c>
      <c r="L159" s="168">
        <f>IF($C159-L$1&lt;År1,0,K158*(1-VLOOKUP($A159,[1]Hugst!$R$5:$W$9,MATCH(ROUNDUP((L$1)/10,0)*10,[1]Hugst!$R$4:$W$4,0))))</f>
        <v>0</v>
      </c>
      <c r="M159" s="168">
        <f>IF($C159-M$1&lt;År1,0,L158*(1-VLOOKUP($A159,[1]Hugst!$R$5:$W$9,MATCH(ROUNDUP((M$1)/10,0)*10,[1]Hugst!$R$4:$W$4,0))))</f>
        <v>0</v>
      </c>
      <c r="N159" s="168">
        <f>IF($C159-N$1&lt;År1,0,M158*(1-VLOOKUP($A159,[1]Hugst!$R$5:$W$9,MATCH(ROUNDUP((N$1)/10,0)*10,[1]Hugst!$R$4:$W$4,0))))</f>
        <v>0</v>
      </c>
      <c r="O159" s="168">
        <f>IF($C159-O$1&lt;År1,0,N158*(1-VLOOKUP($A159,[1]Hugst!$R$5:$W$9,MATCH(ROUNDUP((O$1)/10,0)*10,[1]Hugst!$R$4:$W$4,0))))</f>
        <v>0</v>
      </c>
      <c r="P159" s="168">
        <f>IF($C159-P$1&lt;År1,0,O158*(1-VLOOKUP($A159,[1]Hugst!$R$5:$W$9,MATCH(ROUNDUP((P$1)/10,0)*10,[1]Hugst!$R$4:$W$4,0))))</f>
        <v>0</v>
      </c>
      <c r="Q159" s="168">
        <f>IF($C159-Q$1&lt;År1,0,P158*(1-VLOOKUP($A159,[1]Hugst!$R$5:$W$9,MATCH(ROUNDUP((Q$1)/10,0)*10,[1]Hugst!$R$4:$W$4,0))))</f>
        <v>0</v>
      </c>
      <c r="R159" s="168">
        <f>IF($C159-R$1&lt;År1,0,Q158*(1-VLOOKUP($A159,[1]Hugst!$R$5:$W$9,MATCH(ROUNDUP((R$1)/10,0)*10,[1]Hugst!$R$4:$W$4,0))))</f>
        <v>0</v>
      </c>
      <c r="S159" s="168">
        <f>IF($C159-S$1&lt;År1,0,R158*(1-VLOOKUP($A159,[1]Hugst!$R$5:$W$9,MATCH(ROUNDUP((S$1)/10,0)*10,[1]Hugst!$R$4:$W$4,0))))</f>
        <v>0</v>
      </c>
      <c r="T159" s="168">
        <f>IF($C159-T$1&lt;År1,0,S158*(1-VLOOKUP($A159,[1]Hugst!$R$5:$W$9,MATCH(ROUNDUP((T$1)/10,0)*10,[1]Hugst!$R$4:$W$4,0))))</f>
        <v>0</v>
      </c>
      <c r="U159" s="168">
        <f>IF($C159-U$1&lt;År1,0,T158*(1-VLOOKUP($A159,[1]Hugst!$R$5:$W$9,MATCH(ROUNDUP((U$1)/10,0)*10,[1]Hugst!$R$4:$W$4,0))))</f>
        <v>0</v>
      </c>
      <c r="V159" s="168">
        <f>IF($C159-V$1&lt;År1,0,U158*(1-VLOOKUP($A159,[1]Hugst!$R$5:$W$9,MATCH(ROUNDUP((V$1)/10,0)*10,[1]Hugst!$R$4:$W$4,0))))</f>
        <v>0</v>
      </c>
      <c r="W159" s="168">
        <f>IF($C159-W$1&lt;År1,0,V158*(1-VLOOKUP($A159,[1]Hugst!$R$5:$W$9,MATCH(ROUNDUP((W$1)/10,0)*10,[1]Hugst!$R$4:$W$4,0))))</f>
        <v>0</v>
      </c>
      <c r="X159" s="168">
        <f>IF($C159-X$1&lt;År1,0,W158*(1-VLOOKUP($A159,[1]Hugst!$R$5:$W$9,MATCH(ROUNDUP((X$1)/10,0)*10,[1]Hugst!$R$4:$W$4,0))))</f>
        <v>0</v>
      </c>
      <c r="Y159" s="168">
        <f>IF($C159-Y$1&lt;År1,0,X158*(1-VLOOKUP($A159,[1]Hugst!$R$5:$W$9,MATCH(ROUNDUP((Y$1)/10,0)*10,[1]Hugst!$R$4:$W$4,0))))</f>
        <v>0</v>
      </c>
      <c r="Z159" s="168">
        <f>IF($C159-Z$1&lt;År1,0,Y158*(1-VLOOKUP($A159,[1]Hugst!$R$5:$W$9,MATCH(ROUNDUP((Z$1)/10,0)*10,[1]Hugst!$R$4:$W$4,0))))</f>
        <v>0</v>
      </c>
      <c r="AA159" s="168">
        <f>IF($C159-AA$1&lt;År1,0,Z158*(1-VLOOKUP($A159,[1]Hugst!$R$5:$W$9,MATCH(ROUNDUP((AA$1)/10,0)*10,[1]Hugst!$R$4:$W$4,0))))</f>
        <v>0</v>
      </c>
      <c r="AB159" s="168">
        <f>IF($C159-AB$1&lt;År1,0,AA158*(1-VLOOKUP($A159,[1]Hugst!$R$5:$W$9,MATCH(ROUNDUP((AB$1)/10,0)*10,[1]Hugst!$R$4:$W$4,0))))</f>
        <v>0</v>
      </c>
      <c r="AC159" s="168">
        <f>IF($C159-AC$1&lt;År1,0,AB158*(1-VLOOKUP($A159,[1]Hugst!$R$5:$W$9,MATCH(ROUNDUP((AC$1)/10,0)*10,[1]Hugst!$R$4:$W$4,0))))</f>
        <v>0</v>
      </c>
      <c r="AD159" s="168">
        <f>IF($C159-AD$1&lt;År1,0,AC158*(1-VLOOKUP($A159,[1]Hugst!$R$5:$W$9,MATCH(ROUNDUP((AD$1)/10,0)*10,[1]Hugst!$R$4:$W$4,0))))</f>
        <v>0</v>
      </c>
      <c r="AE159" s="168">
        <f>IF($C159-AE$1&lt;År1,0,AD158*(1-VLOOKUP($A159,[1]Hugst!$R$5:$W$9,MATCH(ROUNDUP((AE$1)/10,0)*10,[1]Hugst!$R$4:$W$4,0))))</f>
        <v>0</v>
      </c>
      <c r="AF159" s="168">
        <f>IF($C159-AF$1&lt;År1,0,AE158*(1-VLOOKUP($A159,[1]Hugst!$R$5:$W$9,MATCH(ROUNDUP((AF$1)/10,0)*10,[1]Hugst!$R$4:$W$4,0))))</f>
        <v>0</v>
      </c>
      <c r="AG159" s="168">
        <f>IF($C159-AG$1&lt;År1,0,AF158*(1-VLOOKUP($A159,[1]Hugst!$R$5:$W$9,MATCH(ROUNDUP((AG$1)/10,0)*10,[1]Hugst!$R$4:$W$4,0))))</f>
        <v>0</v>
      </c>
      <c r="AH159" s="168">
        <f>IF($C159-AH$1&lt;År1,0,AG158*(1-VLOOKUP($A159,[1]Hugst!$R$5:$W$9,MATCH(ROUNDUP((AH$1)/10,0)*10,[1]Hugst!$R$4:$W$4,0))))</f>
        <v>0</v>
      </c>
      <c r="AI159" s="168">
        <f>IF($C159-AI$1&lt;År1,0,AH158*(1-VLOOKUP($A159,[1]Hugst!$R$5:$W$9,MATCH(ROUNDUP((AI$1)/10,0)*10,[1]Hugst!$R$4:$W$4,0))))</f>
        <v>0</v>
      </c>
      <c r="AJ159" s="168">
        <f>IF($C159-AJ$1&lt;År1,0,AI158*(1-VLOOKUP($A159,[1]Hugst!$R$5:$W$9,MATCH(ROUNDUP((AJ$1)/10,0)*10,[1]Hugst!$R$4:$W$4,0))))</f>
        <v>0</v>
      </c>
    </row>
    <row r="160" spans="1:36" x14ac:dyDescent="0.25">
      <c r="A160" s="168" t="s">
        <v>178</v>
      </c>
      <c r="B160" s="168" t="s">
        <v>24</v>
      </c>
      <c r="C160" s="168">
        <v>2023</v>
      </c>
      <c r="D160" s="168" cm="1">
        <f t="array" ref="D160">(IF(B160="Vestdanmark",Skovbrug!$C$22-(Skovbrug!$C$22)*(1-Skovbrug!$C$9)^(C160-Skovbrug!$B$12),Skovbrug!$F$22-(Skovbrug!$F$22)*(1-Skovbrug!$C$9)^(C160-Skovbrug!$B$12))*VLOOKUP(A160,Skovbrug!$A$13:$D$17,IF('Skovbrug-alder'!C160&lt;=År2,3,4),FALSE)-IF(C160&gt;2020,SUM(INDEX($C$1:$D$311,MATCH(1,(2020=$C$1:$C$311)*(B160=$B$1:$B$311)*(A160=$A$1:$A$311),0),2):D159),0))</f>
        <v>0</v>
      </c>
      <c r="E160" s="168">
        <f t="shared" ca="1" si="3"/>
        <v>0</v>
      </c>
      <c r="F160" s="168">
        <f ca="1">IF(C160&lt;=År2,IF(B160="Vestdanmark",(Arealanvendelse!$M$27-Arealanvendelse!$J$27),(Arealanvendelse!$M$37-Arealanvendelse!$J$37))/(Arealanvendelse!$M$3-Arealanvendelse!$J$3),IF(B160="Vestdanmark",(Arealanvendelse!$P$27-Arealanvendelse!$M$27),(Arealanvendelse!$P$37-Arealanvendelse!$M$37))/(Arealanvendelse!$P$3-Arealanvendelse!$M$3))*VLOOKUP(A160,Skovbrug!$A$13:$D$17,IF('Skovbrug-alder'!C160&lt;=År2,3,4),FALSE)+D160+E160</f>
        <v>0</v>
      </c>
      <c r="G160" s="168">
        <f ca="1">IF($C160-G$1&lt;År1,0,F159*(1-VLOOKUP($A160,[1]Hugst!$R$5:$W$9,MATCH(ROUNDUP((G$1)/10,0)*10,[1]Hugst!$R$4:$W$4,0))))</f>
        <v>0</v>
      </c>
      <c r="H160" s="168">
        <f ca="1">IF($C160-H$1&lt;År1,0,G159*(1-VLOOKUP($A160,[1]Hugst!$R$5:$W$9,MATCH(ROUNDUP((H$1)/10,0)*10,[1]Hugst!$R$4:$W$4,0))))</f>
        <v>0</v>
      </c>
      <c r="I160" s="168">
        <f ca="1">IF($C160-I$1&lt;År1,0,H159*(1-VLOOKUP($A160,[1]Hugst!$R$5:$W$9,MATCH(ROUNDUP((I$1)/10,0)*10,[1]Hugst!$R$4:$W$4,0))))</f>
        <v>0</v>
      </c>
      <c r="J160" s="168">
        <f>IF($C160-J$1&lt;År1,0,I159*(1-VLOOKUP($A160,[1]Hugst!$R$5:$W$9,MATCH(ROUNDUP((J$1)/10,0)*10,[1]Hugst!$R$4:$W$4,0))))</f>
        <v>0</v>
      </c>
      <c r="K160" s="168">
        <f>IF($C160-K$1&lt;År1,0,J159*(1-VLOOKUP($A160,[1]Hugst!$R$5:$W$9,MATCH(ROUNDUP((K$1)/10,0)*10,[1]Hugst!$R$4:$W$4,0))))</f>
        <v>0</v>
      </c>
      <c r="L160" s="168">
        <f>IF($C160-L$1&lt;År1,0,K159*(1-VLOOKUP($A160,[1]Hugst!$R$5:$W$9,MATCH(ROUNDUP((L$1)/10,0)*10,[1]Hugst!$R$4:$W$4,0))))</f>
        <v>0</v>
      </c>
      <c r="M160" s="168">
        <f>IF($C160-M$1&lt;År1,0,L159*(1-VLOOKUP($A160,[1]Hugst!$R$5:$W$9,MATCH(ROUNDUP((M$1)/10,0)*10,[1]Hugst!$R$4:$W$4,0))))</f>
        <v>0</v>
      </c>
      <c r="N160" s="168">
        <f>IF($C160-N$1&lt;År1,0,M159*(1-VLOOKUP($A160,[1]Hugst!$R$5:$W$9,MATCH(ROUNDUP((N$1)/10,0)*10,[1]Hugst!$R$4:$W$4,0))))</f>
        <v>0</v>
      </c>
      <c r="O160" s="168">
        <f>IF($C160-O$1&lt;År1,0,N159*(1-VLOOKUP($A160,[1]Hugst!$R$5:$W$9,MATCH(ROUNDUP((O$1)/10,0)*10,[1]Hugst!$R$4:$W$4,0))))</f>
        <v>0</v>
      </c>
      <c r="P160" s="168">
        <f>IF($C160-P$1&lt;År1,0,O159*(1-VLOOKUP($A160,[1]Hugst!$R$5:$W$9,MATCH(ROUNDUP((P$1)/10,0)*10,[1]Hugst!$R$4:$W$4,0))))</f>
        <v>0</v>
      </c>
      <c r="Q160" s="168">
        <f>IF($C160-Q$1&lt;År1,0,P159*(1-VLOOKUP($A160,[1]Hugst!$R$5:$W$9,MATCH(ROUNDUP((Q$1)/10,0)*10,[1]Hugst!$R$4:$W$4,0))))</f>
        <v>0</v>
      </c>
      <c r="R160" s="168">
        <f>IF($C160-R$1&lt;År1,0,Q159*(1-VLOOKUP($A160,[1]Hugst!$R$5:$W$9,MATCH(ROUNDUP((R$1)/10,0)*10,[1]Hugst!$R$4:$W$4,0))))</f>
        <v>0</v>
      </c>
      <c r="S160" s="168">
        <f>IF($C160-S$1&lt;År1,0,R159*(1-VLOOKUP($A160,[1]Hugst!$R$5:$W$9,MATCH(ROUNDUP((S$1)/10,0)*10,[1]Hugst!$R$4:$W$4,0))))</f>
        <v>0</v>
      </c>
      <c r="T160" s="168">
        <f>IF($C160-T$1&lt;År1,0,S159*(1-VLOOKUP($A160,[1]Hugst!$R$5:$W$9,MATCH(ROUNDUP((T$1)/10,0)*10,[1]Hugst!$R$4:$W$4,0))))</f>
        <v>0</v>
      </c>
      <c r="U160" s="168">
        <f>IF($C160-U$1&lt;År1,0,T159*(1-VLOOKUP($A160,[1]Hugst!$R$5:$W$9,MATCH(ROUNDUP((U$1)/10,0)*10,[1]Hugst!$R$4:$W$4,0))))</f>
        <v>0</v>
      </c>
      <c r="V160" s="168">
        <f>IF($C160-V$1&lt;År1,0,U159*(1-VLOOKUP($A160,[1]Hugst!$R$5:$W$9,MATCH(ROUNDUP((V$1)/10,0)*10,[1]Hugst!$R$4:$W$4,0))))</f>
        <v>0</v>
      </c>
      <c r="W160" s="168">
        <f>IF($C160-W$1&lt;År1,0,V159*(1-VLOOKUP($A160,[1]Hugst!$R$5:$W$9,MATCH(ROUNDUP((W$1)/10,0)*10,[1]Hugst!$R$4:$W$4,0))))</f>
        <v>0</v>
      </c>
      <c r="X160" s="168">
        <f>IF($C160-X$1&lt;År1,0,W159*(1-VLOOKUP($A160,[1]Hugst!$R$5:$W$9,MATCH(ROUNDUP((X$1)/10,0)*10,[1]Hugst!$R$4:$W$4,0))))</f>
        <v>0</v>
      </c>
      <c r="Y160" s="168">
        <f>IF($C160-Y$1&lt;År1,0,X159*(1-VLOOKUP($A160,[1]Hugst!$R$5:$W$9,MATCH(ROUNDUP((Y$1)/10,0)*10,[1]Hugst!$R$4:$W$4,0))))</f>
        <v>0</v>
      </c>
      <c r="Z160" s="168">
        <f>IF($C160-Z$1&lt;År1,0,Y159*(1-VLOOKUP($A160,[1]Hugst!$R$5:$W$9,MATCH(ROUNDUP((Z$1)/10,0)*10,[1]Hugst!$R$4:$W$4,0))))</f>
        <v>0</v>
      </c>
      <c r="AA160" s="168">
        <f>IF($C160-AA$1&lt;År1,0,Z159*(1-VLOOKUP($A160,[1]Hugst!$R$5:$W$9,MATCH(ROUNDUP((AA$1)/10,0)*10,[1]Hugst!$R$4:$W$4,0))))</f>
        <v>0</v>
      </c>
      <c r="AB160" s="168">
        <f>IF($C160-AB$1&lt;År1,0,AA159*(1-VLOOKUP($A160,[1]Hugst!$R$5:$W$9,MATCH(ROUNDUP((AB$1)/10,0)*10,[1]Hugst!$R$4:$W$4,0))))</f>
        <v>0</v>
      </c>
      <c r="AC160" s="168">
        <f>IF($C160-AC$1&lt;År1,0,AB159*(1-VLOOKUP($A160,[1]Hugst!$R$5:$W$9,MATCH(ROUNDUP((AC$1)/10,0)*10,[1]Hugst!$R$4:$W$4,0))))</f>
        <v>0</v>
      </c>
      <c r="AD160" s="168">
        <f>IF($C160-AD$1&lt;År1,0,AC159*(1-VLOOKUP($A160,[1]Hugst!$R$5:$W$9,MATCH(ROUNDUP((AD$1)/10,0)*10,[1]Hugst!$R$4:$W$4,0))))</f>
        <v>0</v>
      </c>
      <c r="AE160" s="168">
        <f>IF($C160-AE$1&lt;År1,0,AD159*(1-VLOOKUP($A160,[1]Hugst!$R$5:$W$9,MATCH(ROUNDUP((AE$1)/10,0)*10,[1]Hugst!$R$4:$W$4,0))))</f>
        <v>0</v>
      </c>
      <c r="AF160" s="168">
        <f>IF($C160-AF$1&lt;År1,0,AE159*(1-VLOOKUP($A160,[1]Hugst!$R$5:$W$9,MATCH(ROUNDUP((AF$1)/10,0)*10,[1]Hugst!$R$4:$W$4,0))))</f>
        <v>0</v>
      </c>
      <c r="AG160" s="168">
        <f>IF($C160-AG$1&lt;År1,0,AF159*(1-VLOOKUP($A160,[1]Hugst!$R$5:$W$9,MATCH(ROUNDUP((AG$1)/10,0)*10,[1]Hugst!$R$4:$W$4,0))))</f>
        <v>0</v>
      </c>
      <c r="AH160" s="168">
        <f>IF($C160-AH$1&lt;År1,0,AG159*(1-VLOOKUP($A160,[1]Hugst!$R$5:$W$9,MATCH(ROUNDUP((AH$1)/10,0)*10,[1]Hugst!$R$4:$W$4,0))))</f>
        <v>0</v>
      </c>
      <c r="AI160" s="168">
        <f>IF($C160-AI$1&lt;År1,0,AH159*(1-VLOOKUP($A160,[1]Hugst!$R$5:$W$9,MATCH(ROUNDUP((AI$1)/10,0)*10,[1]Hugst!$R$4:$W$4,0))))</f>
        <v>0</v>
      </c>
      <c r="AJ160" s="168">
        <f>IF($C160-AJ$1&lt;År1,0,AI159*(1-VLOOKUP($A160,[1]Hugst!$R$5:$W$9,MATCH(ROUNDUP((AJ$1)/10,0)*10,[1]Hugst!$R$4:$W$4,0))))</f>
        <v>0</v>
      </c>
    </row>
    <row r="161" spans="1:36" x14ac:dyDescent="0.25">
      <c r="A161" s="168" t="s">
        <v>178</v>
      </c>
      <c r="B161" s="168" t="s">
        <v>24</v>
      </c>
      <c r="C161" s="168">
        <v>2024</v>
      </c>
      <c r="D161" s="168" cm="1">
        <f t="array" ref="D161">(IF(B161="Vestdanmark",Skovbrug!$C$22-(Skovbrug!$C$22)*(1-Skovbrug!$C$9)^(C161-Skovbrug!$B$12),Skovbrug!$F$22-(Skovbrug!$F$22)*(1-Skovbrug!$C$9)^(C161-Skovbrug!$B$12))*VLOOKUP(A161,Skovbrug!$A$13:$D$17,IF('Skovbrug-alder'!C161&lt;=År2,3,4),FALSE)-IF(C161&gt;2020,SUM(INDEX($C$1:$D$311,MATCH(1,(2020=$C$1:$C$311)*(B161=$B$1:$B$311)*(A161=$A$1:$A$311),0),2):D160),0))</f>
        <v>0</v>
      </c>
      <c r="E161" s="168">
        <f t="shared" ca="1" si="3"/>
        <v>0</v>
      </c>
      <c r="F161" s="168">
        <f ca="1">IF(C161&lt;=År2,IF(B161="Vestdanmark",(Arealanvendelse!$M$27-Arealanvendelse!$J$27),(Arealanvendelse!$M$37-Arealanvendelse!$J$37))/(Arealanvendelse!$M$3-Arealanvendelse!$J$3),IF(B161="Vestdanmark",(Arealanvendelse!$P$27-Arealanvendelse!$M$27),(Arealanvendelse!$P$37-Arealanvendelse!$M$37))/(Arealanvendelse!$P$3-Arealanvendelse!$M$3))*VLOOKUP(A161,Skovbrug!$A$13:$D$17,IF('Skovbrug-alder'!C161&lt;=År2,3,4),FALSE)+D161+E161</f>
        <v>0</v>
      </c>
      <c r="G161" s="168">
        <f ca="1">IF($C161-G$1&lt;År1,0,F160*(1-VLOOKUP($A161,[1]Hugst!$R$5:$W$9,MATCH(ROUNDUP((G$1)/10,0)*10,[1]Hugst!$R$4:$W$4,0))))</f>
        <v>0</v>
      </c>
      <c r="H161" s="168">
        <f ca="1">IF($C161-H$1&lt;År1,0,G160*(1-VLOOKUP($A161,[1]Hugst!$R$5:$W$9,MATCH(ROUNDUP((H$1)/10,0)*10,[1]Hugst!$R$4:$W$4,0))))</f>
        <v>0</v>
      </c>
      <c r="I161" s="168">
        <f ca="1">IF($C161-I$1&lt;År1,0,H160*(1-VLOOKUP($A161,[1]Hugst!$R$5:$W$9,MATCH(ROUNDUP((I$1)/10,0)*10,[1]Hugst!$R$4:$W$4,0))))</f>
        <v>0</v>
      </c>
      <c r="J161" s="168">
        <f ca="1">IF($C161-J$1&lt;År1,0,I160*(1-VLOOKUP($A161,[1]Hugst!$R$5:$W$9,MATCH(ROUNDUP((J$1)/10,0)*10,[1]Hugst!$R$4:$W$4,0))))</f>
        <v>0</v>
      </c>
      <c r="K161" s="168">
        <f>IF($C161-K$1&lt;År1,0,J160*(1-VLOOKUP($A161,[1]Hugst!$R$5:$W$9,MATCH(ROUNDUP((K$1)/10,0)*10,[1]Hugst!$R$4:$W$4,0))))</f>
        <v>0</v>
      </c>
      <c r="L161" s="168">
        <f>IF($C161-L$1&lt;År1,0,K160*(1-VLOOKUP($A161,[1]Hugst!$R$5:$W$9,MATCH(ROUNDUP((L$1)/10,0)*10,[1]Hugst!$R$4:$W$4,0))))</f>
        <v>0</v>
      </c>
      <c r="M161" s="168">
        <f>IF($C161-M$1&lt;År1,0,L160*(1-VLOOKUP($A161,[1]Hugst!$R$5:$W$9,MATCH(ROUNDUP((M$1)/10,0)*10,[1]Hugst!$R$4:$W$4,0))))</f>
        <v>0</v>
      </c>
      <c r="N161" s="168">
        <f>IF($C161-N$1&lt;År1,0,M160*(1-VLOOKUP($A161,[1]Hugst!$R$5:$W$9,MATCH(ROUNDUP((N$1)/10,0)*10,[1]Hugst!$R$4:$W$4,0))))</f>
        <v>0</v>
      </c>
      <c r="O161" s="168">
        <f>IF($C161-O$1&lt;År1,0,N160*(1-VLOOKUP($A161,[1]Hugst!$R$5:$W$9,MATCH(ROUNDUP((O$1)/10,0)*10,[1]Hugst!$R$4:$W$4,0))))</f>
        <v>0</v>
      </c>
      <c r="P161" s="168">
        <f>IF($C161-P$1&lt;År1,0,O160*(1-VLOOKUP($A161,[1]Hugst!$R$5:$W$9,MATCH(ROUNDUP((P$1)/10,0)*10,[1]Hugst!$R$4:$W$4,0))))</f>
        <v>0</v>
      </c>
      <c r="Q161" s="168">
        <f>IF($C161-Q$1&lt;År1,0,P160*(1-VLOOKUP($A161,[1]Hugst!$R$5:$W$9,MATCH(ROUNDUP((Q$1)/10,0)*10,[1]Hugst!$R$4:$W$4,0))))</f>
        <v>0</v>
      </c>
      <c r="R161" s="168">
        <f>IF($C161-R$1&lt;År1,0,Q160*(1-VLOOKUP($A161,[1]Hugst!$R$5:$W$9,MATCH(ROUNDUP((R$1)/10,0)*10,[1]Hugst!$R$4:$W$4,0))))</f>
        <v>0</v>
      </c>
      <c r="S161" s="168">
        <f>IF($C161-S$1&lt;År1,0,R160*(1-VLOOKUP($A161,[1]Hugst!$R$5:$W$9,MATCH(ROUNDUP((S$1)/10,0)*10,[1]Hugst!$R$4:$W$4,0))))</f>
        <v>0</v>
      </c>
      <c r="T161" s="168">
        <f>IF($C161-T$1&lt;År1,0,S160*(1-VLOOKUP($A161,[1]Hugst!$R$5:$W$9,MATCH(ROUNDUP((T$1)/10,0)*10,[1]Hugst!$R$4:$W$4,0))))</f>
        <v>0</v>
      </c>
      <c r="U161" s="168">
        <f>IF($C161-U$1&lt;År1,0,T160*(1-VLOOKUP($A161,[1]Hugst!$R$5:$W$9,MATCH(ROUNDUP((U$1)/10,0)*10,[1]Hugst!$R$4:$W$4,0))))</f>
        <v>0</v>
      </c>
      <c r="V161" s="168">
        <f>IF($C161-V$1&lt;År1,0,U160*(1-VLOOKUP($A161,[1]Hugst!$R$5:$W$9,MATCH(ROUNDUP((V$1)/10,0)*10,[1]Hugst!$R$4:$W$4,0))))</f>
        <v>0</v>
      </c>
      <c r="W161" s="168">
        <f>IF($C161-W$1&lt;År1,0,V160*(1-VLOOKUP($A161,[1]Hugst!$R$5:$W$9,MATCH(ROUNDUP((W$1)/10,0)*10,[1]Hugst!$R$4:$W$4,0))))</f>
        <v>0</v>
      </c>
      <c r="X161" s="168">
        <f>IF($C161-X$1&lt;År1,0,W160*(1-VLOOKUP($A161,[1]Hugst!$R$5:$W$9,MATCH(ROUNDUP((X$1)/10,0)*10,[1]Hugst!$R$4:$W$4,0))))</f>
        <v>0</v>
      </c>
      <c r="Y161" s="168">
        <f>IF($C161-Y$1&lt;År1,0,X160*(1-VLOOKUP($A161,[1]Hugst!$R$5:$W$9,MATCH(ROUNDUP((Y$1)/10,0)*10,[1]Hugst!$R$4:$W$4,0))))</f>
        <v>0</v>
      </c>
      <c r="Z161" s="168">
        <f>IF($C161-Z$1&lt;År1,0,Y160*(1-VLOOKUP($A161,[1]Hugst!$R$5:$W$9,MATCH(ROUNDUP((Z$1)/10,0)*10,[1]Hugst!$R$4:$W$4,0))))</f>
        <v>0</v>
      </c>
      <c r="AA161" s="168">
        <f>IF($C161-AA$1&lt;År1,0,Z160*(1-VLOOKUP($A161,[1]Hugst!$R$5:$W$9,MATCH(ROUNDUP((AA$1)/10,0)*10,[1]Hugst!$R$4:$W$4,0))))</f>
        <v>0</v>
      </c>
      <c r="AB161" s="168">
        <f>IF($C161-AB$1&lt;År1,0,AA160*(1-VLOOKUP($A161,[1]Hugst!$R$5:$W$9,MATCH(ROUNDUP((AB$1)/10,0)*10,[1]Hugst!$R$4:$W$4,0))))</f>
        <v>0</v>
      </c>
      <c r="AC161" s="168">
        <f>IF($C161-AC$1&lt;År1,0,AB160*(1-VLOOKUP($A161,[1]Hugst!$R$5:$W$9,MATCH(ROUNDUP((AC$1)/10,0)*10,[1]Hugst!$R$4:$W$4,0))))</f>
        <v>0</v>
      </c>
      <c r="AD161" s="168">
        <f>IF($C161-AD$1&lt;År1,0,AC160*(1-VLOOKUP($A161,[1]Hugst!$R$5:$W$9,MATCH(ROUNDUP((AD$1)/10,0)*10,[1]Hugst!$R$4:$W$4,0))))</f>
        <v>0</v>
      </c>
      <c r="AE161" s="168">
        <f>IF($C161-AE$1&lt;År1,0,AD160*(1-VLOOKUP($A161,[1]Hugst!$R$5:$W$9,MATCH(ROUNDUP((AE$1)/10,0)*10,[1]Hugst!$R$4:$W$4,0))))</f>
        <v>0</v>
      </c>
      <c r="AF161" s="168">
        <f>IF($C161-AF$1&lt;År1,0,AE160*(1-VLOOKUP($A161,[1]Hugst!$R$5:$W$9,MATCH(ROUNDUP((AF$1)/10,0)*10,[1]Hugst!$R$4:$W$4,0))))</f>
        <v>0</v>
      </c>
      <c r="AG161" s="168">
        <f>IF($C161-AG$1&lt;År1,0,AF160*(1-VLOOKUP($A161,[1]Hugst!$R$5:$W$9,MATCH(ROUNDUP((AG$1)/10,0)*10,[1]Hugst!$R$4:$W$4,0))))</f>
        <v>0</v>
      </c>
      <c r="AH161" s="168">
        <f>IF($C161-AH$1&lt;År1,0,AG160*(1-VLOOKUP($A161,[1]Hugst!$R$5:$W$9,MATCH(ROUNDUP((AH$1)/10,0)*10,[1]Hugst!$R$4:$W$4,0))))</f>
        <v>0</v>
      </c>
      <c r="AI161" s="168">
        <f>IF($C161-AI$1&lt;År1,0,AH160*(1-VLOOKUP($A161,[1]Hugst!$R$5:$W$9,MATCH(ROUNDUP((AI$1)/10,0)*10,[1]Hugst!$R$4:$W$4,0))))</f>
        <v>0</v>
      </c>
      <c r="AJ161" s="168">
        <f>IF($C161-AJ$1&lt;År1,0,AI160*(1-VLOOKUP($A161,[1]Hugst!$R$5:$W$9,MATCH(ROUNDUP((AJ$1)/10,0)*10,[1]Hugst!$R$4:$W$4,0))))</f>
        <v>0</v>
      </c>
    </row>
    <row r="162" spans="1:36" x14ac:dyDescent="0.25">
      <c r="A162" s="168" t="s">
        <v>178</v>
      </c>
      <c r="B162" s="168" t="s">
        <v>24</v>
      </c>
      <c r="C162" s="168">
        <v>2025</v>
      </c>
      <c r="D162" s="168" cm="1">
        <f t="array" ref="D162">(IF(B162="Vestdanmark",Skovbrug!$C$22-(Skovbrug!$C$22)*(1-Skovbrug!$C$9)^(C162-Skovbrug!$B$12),Skovbrug!$F$22-(Skovbrug!$F$22)*(1-Skovbrug!$C$9)^(C162-Skovbrug!$B$12))*VLOOKUP(A162,Skovbrug!$A$13:$D$17,IF('Skovbrug-alder'!C162&lt;=År2,3,4),FALSE)-IF(C162&gt;2020,SUM(INDEX($C$1:$D$311,MATCH(1,(2020=$C$1:$C$311)*(B162=$B$1:$B$311)*(A162=$A$1:$A$311),0),2):D161),0))</f>
        <v>0</v>
      </c>
      <c r="E162" s="168">
        <f t="shared" ca="1" si="3"/>
        <v>0</v>
      </c>
      <c r="F162" s="168">
        <f ca="1">IF(C162&lt;=År2,IF(B162="Vestdanmark",(Arealanvendelse!$M$27-Arealanvendelse!$J$27),(Arealanvendelse!$M$37-Arealanvendelse!$J$37))/(Arealanvendelse!$M$3-Arealanvendelse!$J$3),IF(B162="Vestdanmark",(Arealanvendelse!$P$27-Arealanvendelse!$M$27),(Arealanvendelse!$P$37-Arealanvendelse!$M$37))/(Arealanvendelse!$P$3-Arealanvendelse!$M$3))*VLOOKUP(A162,Skovbrug!$A$13:$D$17,IF('Skovbrug-alder'!C162&lt;=År2,3,4),FALSE)+D162+E162</f>
        <v>0</v>
      </c>
      <c r="G162" s="168">
        <f ca="1">IF($C162-G$1&lt;År1,0,F161*(1-VLOOKUP($A162,[1]Hugst!$R$5:$W$9,MATCH(ROUNDUP((G$1)/10,0)*10,[1]Hugst!$R$4:$W$4,0))))</f>
        <v>0</v>
      </c>
      <c r="H162" s="168">
        <f ca="1">IF($C162-H$1&lt;År1,0,G161*(1-VLOOKUP($A162,[1]Hugst!$R$5:$W$9,MATCH(ROUNDUP((H$1)/10,0)*10,[1]Hugst!$R$4:$W$4,0))))</f>
        <v>0</v>
      </c>
      <c r="I162" s="168">
        <f ca="1">IF($C162-I$1&lt;År1,0,H161*(1-VLOOKUP($A162,[1]Hugst!$R$5:$W$9,MATCH(ROUNDUP((I$1)/10,0)*10,[1]Hugst!$R$4:$W$4,0))))</f>
        <v>0</v>
      </c>
      <c r="J162" s="168">
        <f ca="1">IF($C162-J$1&lt;År1,0,I161*(1-VLOOKUP($A162,[1]Hugst!$R$5:$W$9,MATCH(ROUNDUP((J$1)/10,0)*10,[1]Hugst!$R$4:$W$4,0))))</f>
        <v>0</v>
      </c>
      <c r="K162" s="168">
        <f ca="1">IF($C162-K$1&lt;År1,0,J161*(1-VLOOKUP($A162,[1]Hugst!$R$5:$W$9,MATCH(ROUNDUP((K$1)/10,0)*10,[1]Hugst!$R$4:$W$4,0))))</f>
        <v>0</v>
      </c>
      <c r="L162" s="168">
        <f>IF($C162-L$1&lt;År1,0,K161*(1-VLOOKUP($A162,[1]Hugst!$R$5:$W$9,MATCH(ROUNDUP((L$1)/10,0)*10,[1]Hugst!$R$4:$W$4,0))))</f>
        <v>0</v>
      </c>
      <c r="M162" s="168">
        <f>IF($C162-M$1&lt;År1,0,L161*(1-VLOOKUP($A162,[1]Hugst!$R$5:$W$9,MATCH(ROUNDUP((M$1)/10,0)*10,[1]Hugst!$R$4:$W$4,0))))</f>
        <v>0</v>
      </c>
      <c r="N162" s="168">
        <f>IF($C162-N$1&lt;År1,0,M161*(1-VLOOKUP($A162,[1]Hugst!$R$5:$W$9,MATCH(ROUNDUP((N$1)/10,0)*10,[1]Hugst!$R$4:$W$4,0))))</f>
        <v>0</v>
      </c>
      <c r="O162" s="168">
        <f>IF($C162-O$1&lt;År1,0,N161*(1-VLOOKUP($A162,[1]Hugst!$R$5:$W$9,MATCH(ROUNDUP((O$1)/10,0)*10,[1]Hugst!$R$4:$W$4,0))))</f>
        <v>0</v>
      </c>
      <c r="P162" s="168">
        <f>IF($C162-P$1&lt;År1,0,O161*(1-VLOOKUP($A162,[1]Hugst!$R$5:$W$9,MATCH(ROUNDUP((P$1)/10,0)*10,[1]Hugst!$R$4:$W$4,0))))</f>
        <v>0</v>
      </c>
      <c r="Q162" s="168">
        <f>IF($C162-Q$1&lt;År1,0,P161*(1-VLOOKUP($A162,[1]Hugst!$R$5:$W$9,MATCH(ROUNDUP((Q$1)/10,0)*10,[1]Hugst!$R$4:$W$4,0))))</f>
        <v>0</v>
      </c>
      <c r="R162" s="168">
        <f>IF($C162-R$1&lt;År1,0,Q161*(1-VLOOKUP($A162,[1]Hugst!$R$5:$W$9,MATCH(ROUNDUP((R$1)/10,0)*10,[1]Hugst!$R$4:$W$4,0))))</f>
        <v>0</v>
      </c>
      <c r="S162" s="168">
        <f>IF($C162-S$1&lt;År1,0,R161*(1-VLOOKUP($A162,[1]Hugst!$R$5:$W$9,MATCH(ROUNDUP((S$1)/10,0)*10,[1]Hugst!$R$4:$W$4,0))))</f>
        <v>0</v>
      </c>
      <c r="T162" s="168">
        <f>IF($C162-T$1&lt;År1,0,S161*(1-VLOOKUP($A162,[1]Hugst!$R$5:$W$9,MATCH(ROUNDUP((T$1)/10,0)*10,[1]Hugst!$R$4:$W$4,0))))</f>
        <v>0</v>
      </c>
      <c r="U162" s="168">
        <f>IF($C162-U$1&lt;År1,0,T161*(1-VLOOKUP($A162,[1]Hugst!$R$5:$W$9,MATCH(ROUNDUP((U$1)/10,0)*10,[1]Hugst!$R$4:$W$4,0))))</f>
        <v>0</v>
      </c>
      <c r="V162" s="168">
        <f>IF($C162-V$1&lt;År1,0,U161*(1-VLOOKUP($A162,[1]Hugst!$R$5:$W$9,MATCH(ROUNDUP((V$1)/10,0)*10,[1]Hugst!$R$4:$W$4,0))))</f>
        <v>0</v>
      </c>
      <c r="W162" s="168">
        <f>IF($C162-W$1&lt;År1,0,V161*(1-VLOOKUP($A162,[1]Hugst!$R$5:$W$9,MATCH(ROUNDUP((W$1)/10,0)*10,[1]Hugst!$R$4:$W$4,0))))</f>
        <v>0</v>
      </c>
      <c r="X162" s="168">
        <f>IF($C162-X$1&lt;År1,0,W161*(1-VLOOKUP($A162,[1]Hugst!$R$5:$W$9,MATCH(ROUNDUP((X$1)/10,0)*10,[1]Hugst!$R$4:$W$4,0))))</f>
        <v>0</v>
      </c>
      <c r="Y162" s="168">
        <f>IF($C162-Y$1&lt;År1,0,X161*(1-VLOOKUP($A162,[1]Hugst!$R$5:$W$9,MATCH(ROUNDUP((Y$1)/10,0)*10,[1]Hugst!$R$4:$W$4,0))))</f>
        <v>0</v>
      </c>
      <c r="Z162" s="168">
        <f>IF($C162-Z$1&lt;År1,0,Y161*(1-VLOOKUP($A162,[1]Hugst!$R$5:$W$9,MATCH(ROUNDUP((Z$1)/10,0)*10,[1]Hugst!$R$4:$W$4,0))))</f>
        <v>0</v>
      </c>
      <c r="AA162" s="168">
        <f>IF($C162-AA$1&lt;År1,0,Z161*(1-VLOOKUP($A162,[1]Hugst!$R$5:$W$9,MATCH(ROUNDUP((AA$1)/10,0)*10,[1]Hugst!$R$4:$W$4,0))))</f>
        <v>0</v>
      </c>
      <c r="AB162" s="168">
        <f>IF($C162-AB$1&lt;År1,0,AA161*(1-VLOOKUP($A162,[1]Hugst!$R$5:$W$9,MATCH(ROUNDUP((AB$1)/10,0)*10,[1]Hugst!$R$4:$W$4,0))))</f>
        <v>0</v>
      </c>
      <c r="AC162" s="168">
        <f>IF($C162-AC$1&lt;År1,0,AB161*(1-VLOOKUP($A162,[1]Hugst!$R$5:$W$9,MATCH(ROUNDUP((AC$1)/10,0)*10,[1]Hugst!$R$4:$W$4,0))))</f>
        <v>0</v>
      </c>
      <c r="AD162" s="168">
        <f>IF($C162-AD$1&lt;År1,0,AC161*(1-VLOOKUP($A162,[1]Hugst!$R$5:$W$9,MATCH(ROUNDUP((AD$1)/10,0)*10,[1]Hugst!$R$4:$W$4,0))))</f>
        <v>0</v>
      </c>
      <c r="AE162" s="168">
        <f>IF($C162-AE$1&lt;År1,0,AD161*(1-VLOOKUP($A162,[1]Hugst!$R$5:$W$9,MATCH(ROUNDUP((AE$1)/10,0)*10,[1]Hugst!$R$4:$W$4,0))))</f>
        <v>0</v>
      </c>
      <c r="AF162" s="168">
        <f>IF($C162-AF$1&lt;År1,0,AE161*(1-VLOOKUP($A162,[1]Hugst!$R$5:$W$9,MATCH(ROUNDUP((AF$1)/10,0)*10,[1]Hugst!$R$4:$W$4,0))))</f>
        <v>0</v>
      </c>
      <c r="AG162" s="168">
        <f>IF($C162-AG$1&lt;År1,0,AF161*(1-VLOOKUP($A162,[1]Hugst!$R$5:$W$9,MATCH(ROUNDUP((AG$1)/10,0)*10,[1]Hugst!$R$4:$W$4,0))))</f>
        <v>0</v>
      </c>
      <c r="AH162" s="168">
        <f>IF($C162-AH$1&lt;År1,0,AG161*(1-VLOOKUP($A162,[1]Hugst!$R$5:$W$9,MATCH(ROUNDUP((AH$1)/10,0)*10,[1]Hugst!$R$4:$W$4,0))))</f>
        <v>0</v>
      </c>
      <c r="AI162" s="168">
        <f>IF($C162-AI$1&lt;År1,0,AH161*(1-VLOOKUP($A162,[1]Hugst!$R$5:$W$9,MATCH(ROUNDUP((AI$1)/10,0)*10,[1]Hugst!$R$4:$W$4,0))))</f>
        <v>0</v>
      </c>
      <c r="AJ162" s="168">
        <f>IF($C162-AJ$1&lt;År1,0,AI161*(1-VLOOKUP($A162,[1]Hugst!$R$5:$W$9,MATCH(ROUNDUP((AJ$1)/10,0)*10,[1]Hugst!$R$4:$W$4,0))))</f>
        <v>0</v>
      </c>
    </row>
    <row r="163" spans="1:36" x14ac:dyDescent="0.25">
      <c r="A163" s="168" t="s">
        <v>178</v>
      </c>
      <c r="B163" s="168" t="s">
        <v>24</v>
      </c>
      <c r="C163" s="168">
        <v>2026</v>
      </c>
      <c r="D163" s="168" cm="1">
        <f t="array" ref="D163">(IF(B163="Vestdanmark",Skovbrug!$C$22-(Skovbrug!$C$22)*(1-Skovbrug!$C$9)^(C163-Skovbrug!$B$12),Skovbrug!$F$22-(Skovbrug!$F$22)*(1-Skovbrug!$C$9)^(C163-Skovbrug!$B$12))*VLOOKUP(A163,Skovbrug!$A$13:$D$17,IF('Skovbrug-alder'!C163&lt;=År2,3,4),FALSE)-IF(C163&gt;2020,SUM(INDEX($C$1:$D$311,MATCH(1,(2020=$C$1:$C$311)*(B163=$B$1:$B$311)*(A163=$A$1:$A$311),0),2):D162),0))</f>
        <v>0</v>
      </c>
      <c r="E163" s="168">
        <f t="shared" ca="1" si="3"/>
        <v>0</v>
      </c>
      <c r="F163" s="168">
        <f ca="1">IF(C163&lt;=År2,IF(B163="Vestdanmark",(Arealanvendelse!$M$27-Arealanvendelse!$J$27),(Arealanvendelse!$M$37-Arealanvendelse!$J$37))/(Arealanvendelse!$M$3-Arealanvendelse!$J$3),IF(B163="Vestdanmark",(Arealanvendelse!$P$27-Arealanvendelse!$M$27),(Arealanvendelse!$P$37-Arealanvendelse!$M$37))/(Arealanvendelse!$P$3-Arealanvendelse!$M$3))*VLOOKUP(A163,Skovbrug!$A$13:$D$17,IF('Skovbrug-alder'!C163&lt;=År2,3,4),FALSE)+D163+E163</f>
        <v>0</v>
      </c>
      <c r="G163" s="168">
        <f ca="1">IF($C163-G$1&lt;År1,0,F162*(1-VLOOKUP($A163,[1]Hugst!$R$5:$W$9,MATCH(ROUNDUP((G$1)/10,0)*10,[1]Hugst!$R$4:$W$4,0))))</f>
        <v>0</v>
      </c>
      <c r="H163" s="168">
        <f ca="1">IF($C163-H$1&lt;År1,0,G162*(1-VLOOKUP($A163,[1]Hugst!$R$5:$W$9,MATCH(ROUNDUP((H$1)/10,0)*10,[1]Hugst!$R$4:$W$4,0))))</f>
        <v>0</v>
      </c>
      <c r="I163" s="168">
        <f ca="1">IF($C163-I$1&lt;År1,0,H162*(1-VLOOKUP($A163,[1]Hugst!$R$5:$W$9,MATCH(ROUNDUP((I$1)/10,0)*10,[1]Hugst!$R$4:$W$4,0))))</f>
        <v>0</v>
      </c>
      <c r="J163" s="168">
        <f ca="1">IF($C163-J$1&lt;År1,0,I162*(1-VLOOKUP($A163,[1]Hugst!$R$5:$W$9,MATCH(ROUNDUP((J$1)/10,0)*10,[1]Hugst!$R$4:$W$4,0))))</f>
        <v>0</v>
      </c>
      <c r="K163" s="168">
        <f ca="1">IF($C163-K$1&lt;År1,0,J162*(1-VLOOKUP($A163,[1]Hugst!$R$5:$W$9,MATCH(ROUNDUP((K$1)/10,0)*10,[1]Hugst!$R$4:$W$4,0))))</f>
        <v>0</v>
      </c>
      <c r="L163" s="168">
        <f ca="1">IF($C163-L$1&lt;År1,0,K162*(1-VLOOKUP($A163,[1]Hugst!$R$5:$W$9,MATCH(ROUNDUP((L$1)/10,0)*10,[1]Hugst!$R$4:$W$4,0))))</f>
        <v>0</v>
      </c>
      <c r="M163" s="168">
        <f>IF($C163-M$1&lt;År1,0,L162*(1-VLOOKUP($A163,[1]Hugst!$R$5:$W$9,MATCH(ROUNDUP((M$1)/10,0)*10,[1]Hugst!$R$4:$W$4,0))))</f>
        <v>0</v>
      </c>
      <c r="N163" s="168">
        <f>IF($C163-N$1&lt;År1,0,M162*(1-VLOOKUP($A163,[1]Hugst!$R$5:$W$9,MATCH(ROUNDUP((N$1)/10,0)*10,[1]Hugst!$R$4:$W$4,0))))</f>
        <v>0</v>
      </c>
      <c r="O163" s="168">
        <f>IF($C163-O$1&lt;År1,0,N162*(1-VLOOKUP($A163,[1]Hugst!$R$5:$W$9,MATCH(ROUNDUP((O$1)/10,0)*10,[1]Hugst!$R$4:$W$4,0))))</f>
        <v>0</v>
      </c>
      <c r="P163" s="168">
        <f>IF($C163-P$1&lt;År1,0,O162*(1-VLOOKUP($A163,[1]Hugst!$R$5:$W$9,MATCH(ROUNDUP((P$1)/10,0)*10,[1]Hugst!$R$4:$W$4,0))))</f>
        <v>0</v>
      </c>
      <c r="Q163" s="168">
        <f>IF($C163-Q$1&lt;År1,0,P162*(1-VLOOKUP($A163,[1]Hugst!$R$5:$W$9,MATCH(ROUNDUP((Q$1)/10,0)*10,[1]Hugst!$R$4:$W$4,0))))</f>
        <v>0</v>
      </c>
      <c r="R163" s="168">
        <f>IF($C163-R$1&lt;År1,0,Q162*(1-VLOOKUP($A163,[1]Hugst!$R$5:$W$9,MATCH(ROUNDUP((R$1)/10,0)*10,[1]Hugst!$R$4:$W$4,0))))</f>
        <v>0</v>
      </c>
      <c r="S163" s="168">
        <f>IF($C163-S$1&lt;År1,0,R162*(1-VLOOKUP($A163,[1]Hugst!$R$5:$W$9,MATCH(ROUNDUP((S$1)/10,0)*10,[1]Hugst!$R$4:$W$4,0))))</f>
        <v>0</v>
      </c>
      <c r="T163" s="168">
        <f>IF($C163-T$1&lt;År1,0,S162*(1-VLOOKUP($A163,[1]Hugst!$R$5:$W$9,MATCH(ROUNDUP((T$1)/10,0)*10,[1]Hugst!$R$4:$W$4,0))))</f>
        <v>0</v>
      </c>
      <c r="U163" s="168">
        <f>IF($C163-U$1&lt;År1,0,T162*(1-VLOOKUP($A163,[1]Hugst!$R$5:$W$9,MATCH(ROUNDUP((U$1)/10,0)*10,[1]Hugst!$R$4:$W$4,0))))</f>
        <v>0</v>
      </c>
      <c r="V163" s="168">
        <f>IF($C163-V$1&lt;År1,0,U162*(1-VLOOKUP($A163,[1]Hugst!$R$5:$W$9,MATCH(ROUNDUP((V$1)/10,0)*10,[1]Hugst!$R$4:$W$4,0))))</f>
        <v>0</v>
      </c>
      <c r="W163" s="168">
        <f>IF($C163-W$1&lt;År1,0,V162*(1-VLOOKUP($A163,[1]Hugst!$R$5:$W$9,MATCH(ROUNDUP((W$1)/10,0)*10,[1]Hugst!$R$4:$W$4,0))))</f>
        <v>0</v>
      </c>
      <c r="X163" s="168">
        <f>IF($C163-X$1&lt;År1,0,W162*(1-VLOOKUP($A163,[1]Hugst!$R$5:$W$9,MATCH(ROUNDUP((X$1)/10,0)*10,[1]Hugst!$R$4:$W$4,0))))</f>
        <v>0</v>
      </c>
      <c r="Y163" s="168">
        <f>IF($C163-Y$1&lt;År1,0,X162*(1-VLOOKUP($A163,[1]Hugst!$R$5:$W$9,MATCH(ROUNDUP((Y$1)/10,0)*10,[1]Hugst!$R$4:$W$4,0))))</f>
        <v>0</v>
      </c>
      <c r="Z163" s="168">
        <f>IF($C163-Z$1&lt;År1,0,Y162*(1-VLOOKUP($A163,[1]Hugst!$R$5:$W$9,MATCH(ROUNDUP((Z$1)/10,0)*10,[1]Hugst!$R$4:$W$4,0))))</f>
        <v>0</v>
      </c>
      <c r="AA163" s="168">
        <f>IF($C163-AA$1&lt;År1,0,Z162*(1-VLOOKUP($A163,[1]Hugst!$R$5:$W$9,MATCH(ROUNDUP((AA$1)/10,0)*10,[1]Hugst!$R$4:$W$4,0))))</f>
        <v>0</v>
      </c>
      <c r="AB163" s="168">
        <f>IF($C163-AB$1&lt;År1,0,AA162*(1-VLOOKUP($A163,[1]Hugst!$R$5:$W$9,MATCH(ROUNDUP((AB$1)/10,0)*10,[1]Hugst!$R$4:$W$4,0))))</f>
        <v>0</v>
      </c>
      <c r="AC163" s="168">
        <f>IF($C163-AC$1&lt;År1,0,AB162*(1-VLOOKUP($A163,[1]Hugst!$R$5:$W$9,MATCH(ROUNDUP((AC$1)/10,0)*10,[1]Hugst!$R$4:$W$4,0))))</f>
        <v>0</v>
      </c>
      <c r="AD163" s="168">
        <f>IF($C163-AD$1&lt;År1,0,AC162*(1-VLOOKUP($A163,[1]Hugst!$R$5:$W$9,MATCH(ROUNDUP((AD$1)/10,0)*10,[1]Hugst!$R$4:$W$4,0))))</f>
        <v>0</v>
      </c>
      <c r="AE163" s="168">
        <f>IF($C163-AE$1&lt;År1,0,AD162*(1-VLOOKUP($A163,[1]Hugst!$R$5:$W$9,MATCH(ROUNDUP((AE$1)/10,0)*10,[1]Hugst!$R$4:$W$4,0))))</f>
        <v>0</v>
      </c>
      <c r="AF163" s="168">
        <f>IF($C163-AF$1&lt;År1,0,AE162*(1-VLOOKUP($A163,[1]Hugst!$R$5:$W$9,MATCH(ROUNDUP((AF$1)/10,0)*10,[1]Hugst!$R$4:$W$4,0))))</f>
        <v>0</v>
      </c>
      <c r="AG163" s="168">
        <f>IF($C163-AG$1&lt;År1,0,AF162*(1-VLOOKUP($A163,[1]Hugst!$R$5:$W$9,MATCH(ROUNDUP((AG$1)/10,0)*10,[1]Hugst!$R$4:$W$4,0))))</f>
        <v>0</v>
      </c>
      <c r="AH163" s="168">
        <f>IF($C163-AH$1&lt;År1,0,AG162*(1-VLOOKUP($A163,[1]Hugst!$R$5:$W$9,MATCH(ROUNDUP((AH$1)/10,0)*10,[1]Hugst!$R$4:$W$4,0))))</f>
        <v>0</v>
      </c>
      <c r="AI163" s="168">
        <f>IF($C163-AI$1&lt;År1,0,AH162*(1-VLOOKUP($A163,[1]Hugst!$R$5:$W$9,MATCH(ROUNDUP((AI$1)/10,0)*10,[1]Hugst!$R$4:$W$4,0))))</f>
        <v>0</v>
      </c>
      <c r="AJ163" s="168">
        <f>IF($C163-AJ$1&lt;År1,0,AI162*(1-VLOOKUP($A163,[1]Hugst!$R$5:$W$9,MATCH(ROUNDUP((AJ$1)/10,0)*10,[1]Hugst!$R$4:$W$4,0))))</f>
        <v>0</v>
      </c>
    </row>
    <row r="164" spans="1:36" x14ac:dyDescent="0.25">
      <c r="A164" s="168" t="s">
        <v>178</v>
      </c>
      <c r="B164" s="168" t="s">
        <v>24</v>
      </c>
      <c r="C164" s="168">
        <v>2027</v>
      </c>
      <c r="D164" s="168" cm="1">
        <f t="array" ref="D164">(IF(B164="Vestdanmark",Skovbrug!$C$22-(Skovbrug!$C$22)*(1-Skovbrug!$C$9)^(C164-Skovbrug!$B$12),Skovbrug!$F$22-(Skovbrug!$F$22)*(1-Skovbrug!$C$9)^(C164-Skovbrug!$B$12))*VLOOKUP(A164,Skovbrug!$A$13:$D$17,IF('Skovbrug-alder'!C164&lt;=År2,3,4),FALSE)-IF(C164&gt;2020,SUM(INDEX($C$1:$D$311,MATCH(1,(2020=$C$1:$C$311)*(B164=$B$1:$B$311)*(A164=$A$1:$A$311),0),2):D163),0))</f>
        <v>0</v>
      </c>
      <c r="E164" s="168">
        <f t="shared" ca="1" si="3"/>
        <v>0</v>
      </c>
      <c r="F164" s="168">
        <f ca="1">IF(C164&lt;=År2,IF(B164="Vestdanmark",(Arealanvendelse!$M$27-Arealanvendelse!$J$27),(Arealanvendelse!$M$37-Arealanvendelse!$J$37))/(Arealanvendelse!$M$3-Arealanvendelse!$J$3),IF(B164="Vestdanmark",(Arealanvendelse!$P$27-Arealanvendelse!$M$27),(Arealanvendelse!$P$37-Arealanvendelse!$M$37))/(Arealanvendelse!$P$3-Arealanvendelse!$M$3))*VLOOKUP(A164,Skovbrug!$A$13:$D$17,IF('Skovbrug-alder'!C164&lt;=År2,3,4),FALSE)+D164+E164</f>
        <v>0</v>
      </c>
      <c r="G164" s="168">
        <f ca="1">IF($C164-G$1&lt;År1,0,F163*(1-VLOOKUP($A164,[1]Hugst!$R$5:$W$9,MATCH(ROUNDUP((G$1)/10,0)*10,[1]Hugst!$R$4:$W$4,0))))</f>
        <v>0</v>
      </c>
      <c r="H164" s="168">
        <f ca="1">IF($C164-H$1&lt;År1,0,G163*(1-VLOOKUP($A164,[1]Hugst!$R$5:$W$9,MATCH(ROUNDUP((H$1)/10,0)*10,[1]Hugst!$R$4:$W$4,0))))</f>
        <v>0</v>
      </c>
      <c r="I164" s="168">
        <f ca="1">IF($C164-I$1&lt;År1,0,H163*(1-VLOOKUP($A164,[1]Hugst!$R$5:$W$9,MATCH(ROUNDUP((I$1)/10,0)*10,[1]Hugst!$R$4:$W$4,0))))</f>
        <v>0</v>
      </c>
      <c r="J164" s="168">
        <f ca="1">IF($C164-J$1&lt;År1,0,I163*(1-VLOOKUP($A164,[1]Hugst!$R$5:$W$9,MATCH(ROUNDUP((J$1)/10,0)*10,[1]Hugst!$R$4:$W$4,0))))</f>
        <v>0</v>
      </c>
      <c r="K164" s="168">
        <f ca="1">IF($C164-K$1&lt;År1,0,J163*(1-VLOOKUP($A164,[1]Hugst!$R$5:$W$9,MATCH(ROUNDUP((K$1)/10,0)*10,[1]Hugst!$R$4:$W$4,0))))</f>
        <v>0</v>
      </c>
      <c r="L164" s="168">
        <f ca="1">IF($C164-L$1&lt;År1,0,K163*(1-VLOOKUP($A164,[1]Hugst!$R$5:$W$9,MATCH(ROUNDUP((L$1)/10,0)*10,[1]Hugst!$R$4:$W$4,0))))</f>
        <v>0</v>
      </c>
      <c r="M164" s="168">
        <f ca="1">IF($C164-M$1&lt;År1,0,L163*(1-VLOOKUP($A164,[1]Hugst!$R$5:$W$9,MATCH(ROUNDUP((M$1)/10,0)*10,[1]Hugst!$R$4:$W$4,0))))</f>
        <v>0</v>
      </c>
      <c r="N164" s="168">
        <f>IF($C164-N$1&lt;År1,0,M163*(1-VLOOKUP($A164,[1]Hugst!$R$5:$W$9,MATCH(ROUNDUP((N$1)/10,0)*10,[1]Hugst!$R$4:$W$4,0))))</f>
        <v>0</v>
      </c>
      <c r="O164" s="168">
        <f>IF($C164-O$1&lt;År1,0,N163*(1-VLOOKUP($A164,[1]Hugst!$R$5:$W$9,MATCH(ROUNDUP((O$1)/10,0)*10,[1]Hugst!$R$4:$W$4,0))))</f>
        <v>0</v>
      </c>
      <c r="P164" s="168">
        <f>IF($C164-P$1&lt;År1,0,O163*(1-VLOOKUP($A164,[1]Hugst!$R$5:$W$9,MATCH(ROUNDUP((P$1)/10,0)*10,[1]Hugst!$R$4:$W$4,0))))</f>
        <v>0</v>
      </c>
      <c r="Q164" s="168">
        <f>IF($C164-Q$1&lt;År1,0,P163*(1-VLOOKUP($A164,[1]Hugst!$R$5:$W$9,MATCH(ROUNDUP((Q$1)/10,0)*10,[1]Hugst!$R$4:$W$4,0))))</f>
        <v>0</v>
      </c>
      <c r="R164" s="168">
        <f>IF($C164-R$1&lt;År1,0,Q163*(1-VLOOKUP($A164,[1]Hugst!$R$5:$W$9,MATCH(ROUNDUP((R$1)/10,0)*10,[1]Hugst!$R$4:$W$4,0))))</f>
        <v>0</v>
      </c>
      <c r="S164" s="168">
        <f>IF($C164-S$1&lt;År1,0,R163*(1-VLOOKUP($A164,[1]Hugst!$R$5:$W$9,MATCH(ROUNDUP((S$1)/10,0)*10,[1]Hugst!$R$4:$W$4,0))))</f>
        <v>0</v>
      </c>
      <c r="T164" s="168">
        <f>IF($C164-T$1&lt;År1,0,S163*(1-VLOOKUP($A164,[1]Hugst!$R$5:$W$9,MATCH(ROUNDUP((T$1)/10,0)*10,[1]Hugst!$R$4:$W$4,0))))</f>
        <v>0</v>
      </c>
      <c r="U164" s="168">
        <f>IF($C164-U$1&lt;År1,0,T163*(1-VLOOKUP($A164,[1]Hugst!$R$5:$W$9,MATCH(ROUNDUP((U$1)/10,0)*10,[1]Hugst!$R$4:$W$4,0))))</f>
        <v>0</v>
      </c>
      <c r="V164" s="168">
        <f>IF($C164-V$1&lt;År1,0,U163*(1-VLOOKUP($A164,[1]Hugst!$R$5:$W$9,MATCH(ROUNDUP((V$1)/10,0)*10,[1]Hugst!$R$4:$W$4,0))))</f>
        <v>0</v>
      </c>
      <c r="W164" s="168">
        <f>IF($C164-W$1&lt;År1,0,V163*(1-VLOOKUP($A164,[1]Hugst!$R$5:$W$9,MATCH(ROUNDUP((W$1)/10,0)*10,[1]Hugst!$R$4:$W$4,0))))</f>
        <v>0</v>
      </c>
      <c r="X164" s="168">
        <f>IF($C164-X$1&lt;År1,0,W163*(1-VLOOKUP($A164,[1]Hugst!$R$5:$W$9,MATCH(ROUNDUP((X$1)/10,0)*10,[1]Hugst!$R$4:$W$4,0))))</f>
        <v>0</v>
      </c>
      <c r="Y164" s="168">
        <f>IF($C164-Y$1&lt;År1,0,X163*(1-VLOOKUP($A164,[1]Hugst!$R$5:$W$9,MATCH(ROUNDUP((Y$1)/10,0)*10,[1]Hugst!$R$4:$W$4,0))))</f>
        <v>0</v>
      </c>
      <c r="Z164" s="168">
        <f>IF($C164-Z$1&lt;År1,0,Y163*(1-VLOOKUP($A164,[1]Hugst!$R$5:$W$9,MATCH(ROUNDUP((Z$1)/10,0)*10,[1]Hugst!$R$4:$W$4,0))))</f>
        <v>0</v>
      </c>
      <c r="AA164" s="168">
        <f>IF($C164-AA$1&lt;År1,0,Z163*(1-VLOOKUP($A164,[1]Hugst!$R$5:$W$9,MATCH(ROUNDUP((AA$1)/10,0)*10,[1]Hugst!$R$4:$W$4,0))))</f>
        <v>0</v>
      </c>
      <c r="AB164" s="168">
        <f>IF($C164-AB$1&lt;År1,0,AA163*(1-VLOOKUP($A164,[1]Hugst!$R$5:$W$9,MATCH(ROUNDUP((AB$1)/10,0)*10,[1]Hugst!$R$4:$W$4,0))))</f>
        <v>0</v>
      </c>
      <c r="AC164" s="168">
        <f>IF($C164-AC$1&lt;År1,0,AB163*(1-VLOOKUP($A164,[1]Hugst!$R$5:$W$9,MATCH(ROUNDUP((AC$1)/10,0)*10,[1]Hugst!$R$4:$W$4,0))))</f>
        <v>0</v>
      </c>
      <c r="AD164" s="168">
        <f>IF($C164-AD$1&lt;År1,0,AC163*(1-VLOOKUP($A164,[1]Hugst!$R$5:$W$9,MATCH(ROUNDUP((AD$1)/10,0)*10,[1]Hugst!$R$4:$W$4,0))))</f>
        <v>0</v>
      </c>
      <c r="AE164" s="168">
        <f>IF($C164-AE$1&lt;År1,0,AD163*(1-VLOOKUP($A164,[1]Hugst!$R$5:$W$9,MATCH(ROUNDUP((AE$1)/10,0)*10,[1]Hugst!$R$4:$W$4,0))))</f>
        <v>0</v>
      </c>
      <c r="AF164" s="168">
        <f>IF($C164-AF$1&lt;År1,0,AE163*(1-VLOOKUP($A164,[1]Hugst!$R$5:$W$9,MATCH(ROUNDUP((AF$1)/10,0)*10,[1]Hugst!$R$4:$W$4,0))))</f>
        <v>0</v>
      </c>
      <c r="AG164" s="168">
        <f>IF($C164-AG$1&lt;År1,0,AF163*(1-VLOOKUP($A164,[1]Hugst!$R$5:$W$9,MATCH(ROUNDUP((AG$1)/10,0)*10,[1]Hugst!$R$4:$W$4,0))))</f>
        <v>0</v>
      </c>
      <c r="AH164" s="168">
        <f>IF($C164-AH$1&lt;År1,0,AG163*(1-VLOOKUP($A164,[1]Hugst!$R$5:$W$9,MATCH(ROUNDUP((AH$1)/10,0)*10,[1]Hugst!$R$4:$W$4,0))))</f>
        <v>0</v>
      </c>
      <c r="AI164" s="168">
        <f>IF($C164-AI$1&lt;År1,0,AH163*(1-VLOOKUP($A164,[1]Hugst!$R$5:$W$9,MATCH(ROUNDUP((AI$1)/10,0)*10,[1]Hugst!$R$4:$W$4,0))))</f>
        <v>0</v>
      </c>
      <c r="AJ164" s="168">
        <f>IF($C164-AJ$1&lt;År1,0,AI163*(1-VLOOKUP($A164,[1]Hugst!$R$5:$W$9,MATCH(ROUNDUP((AJ$1)/10,0)*10,[1]Hugst!$R$4:$W$4,0))))</f>
        <v>0</v>
      </c>
    </row>
    <row r="165" spans="1:36" x14ac:dyDescent="0.25">
      <c r="A165" s="168" t="s">
        <v>178</v>
      </c>
      <c r="B165" s="168" t="s">
        <v>24</v>
      </c>
      <c r="C165" s="168">
        <v>2028</v>
      </c>
      <c r="D165" s="168" cm="1">
        <f t="array" ref="D165">(IF(B165="Vestdanmark",Skovbrug!$C$22-(Skovbrug!$C$22)*(1-Skovbrug!$C$9)^(C165-Skovbrug!$B$12),Skovbrug!$F$22-(Skovbrug!$F$22)*(1-Skovbrug!$C$9)^(C165-Skovbrug!$B$12))*VLOOKUP(A165,Skovbrug!$A$13:$D$17,IF('Skovbrug-alder'!C165&lt;=År2,3,4),FALSE)-IF(C165&gt;2020,SUM(INDEX($C$1:$D$311,MATCH(1,(2020=$C$1:$C$311)*(B165=$B$1:$B$311)*(A165=$A$1:$A$311),0),2):D164),0))</f>
        <v>0</v>
      </c>
      <c r="E165" s="168">
        <f t="shared" ca="1" si="3"/>
        <v>0</v>
      </c>
      <c r="F165" s="168">
        <f ca="1">IF(C165&lt;=År2,IF(B165="Vestdanmark",(Arealanvendelse!$M$27-Arealanvendelse!$J$27),(Arealanvendelse!$M$37-Arealanvendelse!$J$37))/(Arealanvendelse!$M$3-Arealanvendelse!$J$3),IF(B165="Vestdanmark",(Arealanvendelse!$P$27-Arealanvendelse!$M$27),(Arealanvendelse!$P$37-Arealanvendelse!$M$37))/(Arealanvendelse!$P$3-Arealanvendelse!$M$3))*VLOOKUP(A165,Skovbrug!$A$13:$D$17,IF('Skovbrug-alder'!C165&lt;=År2,3,4),FALSE)+D165+E165</f>
        <v>0</v>
      </c>
      <c r="G165" s="168">
        <f ca="1">IF($C165-G$1&lt;År1,0,F164*(1-VLOOKUP($A165,[1]Hugst!$R$5:$W$9,MATCH(ROUNDUP((G$1)/10,0)*10,[1]Hugst!$R$4:$W$4,0))))</f>
        <v>0</v>
      </c>
      <c r="H165" s="168">
        <f ca="1">IF($C165-H$1&lt;År1,0,G164*(1-VLOOKUP($A165,[1]Hugst!$R$5:$W$9,MATCH(ROUNDUP((H$1)/10,0)*10,[1]Hugst!$R$4:$W$4,0))))</f>
        <v>0</v>
      </c>
      <c r="I165" s="168">
        <f ca="1">IF($C165-I$1&lt;År1,0,H164*(1-VLOOKUP($A165,[1]Hugst!$R$5:$W$9,MATCH(ROUNDUP((I$1)/10,0)*10,[1]Hugst!$R$4:$W$4,0))))</f>
        <v>0</v>
      </c>
      <c r="J165" s="168">
        <f ca="1">IF($C165-J$1&lt;År1,0,I164*(1-VLOOKUP($A165,[1]Hugst!$R$5:$W$9,MATCH(ROUNDUP((J$1)/10,0)*10,[1]Hugst!$R$4:$W$4,0))))</f>
        <v>0</v>
      </c>
      <c r="K165" s="168">
        <f ca="1">IF($C165-K$1&lt;År1,0,J164*(1-VLOOKUP($A165,[1]Hugst!$R$5:$W$9,MATCH(ROUNDUP((K$1)/10,0)*10,[1]Hugst!$R$4:$W$4,0))))</f>
        <v>0</v>
      </c>
      <c r="L165" s="168">
        <f ca="1">IF($C165-L$1&lt;År1,0,K164*(1-VLOOKUP($A165,[1]Hugst!$R$5:$W$9,MATCH(ROUNDUP((L$1)/10,0)*10,[1]Hugst!$R$4:$W$4,0))))</f>
        <v>0</v>
      </c>
      <c r="M165" s="168">
        <f ca="1">IF($C165-M$1&lt;År1,0,L164*(1-VLOOKUP($A165,[1]Hugst!$R$5:$W$9,MATCH(ROUNDUP((M$1)/10,0)*10,[1]Hugst!$R$4:$W$4,0))))</f>
        <v>0</v>
      </c>
      <c r="N165" s="168">
        <f ca="1">IF($C165-N$1&lt;År1,0,M164*(1-VLOOKUP($A165,[1]Hugst!$R$5:$W$9,MATCH(ROUNDUP((N$1)/10,0)*10,[1]Hugst!$R$4:$W$4,0))))</f>
        <v>0</v>
      </c>
      <c r="O165" s="168">
        <f>IF($C165-O$1&lt;År1,0,N164*(1-VLOOKUP($A165,[1]Hugst!$R$5:$W$9,MATCH(ROUNDUP((O$1)/10,0)*10,[1]Hugst!$R$4:$W$4,0))))</f>
        <v>0</v>
      </c>
      <c r="P165" s="168">
        <f>IF($C165-P$1&lt;År1,0,O164*(1-VLOOKUP($A165,[1]Hugst!$R$5:$W$9,MATCH(ROUNDUP((P$1)/10,0)*10,[1]Hugst!$R$4:$W$4,0))))</f>
        <v>0</v>
      </c>
      <c r="Q165" s="168">
        <f>IF($C165-Q$1&lt;År1,0,P164*(1-VLOOKUP($A165,[1]Hugst!$R$5:$W$9,MATCH(ROUNDUP((Q$1)/10,0)*10,[1]Hugst!$R$4:$W$4,0))))</f>
        <v>0</v>
      </c>
      <c r="R165" s="168">
        <f>IF($C165-R$1&lt;År1,0,Q164*(1-VLOOKUP($A165,[1]Hugst!$R$5:$W$9,MATCH(ROUNDUP((R$1)/10,0)*10,[1]Hugst!$R$4:$W$4,0))))</f>
        <v>0</v>
      </c>
      <c r="S165" s="168">
        <f>IF($C165-S$1&lt;År1,0,R164*(1-VLOOKUP($A165,[1]Hugst!$R$5:$W$9,MATCH(ROUNDUP((S$1)/10,0)*10,[1]Hugst!$R$4:$W$4,0))))</f>
        <v>0</v>
      </c>
      <c r="T165" s="168">
        <f>IF($C165-T$1&lt;År1,0,S164*(1-VLOOKUP($A165,[1]Hugst!$R$5:$W$9,MATCH(ROUNDUP((T$1)/10,0)*10,[1]Hugst!$R$4:$W$4,0))))</f>
        <v>0</v>
      </c>
      <c r="U165" s="168">
        <f>IF($C165-U$1&lt;År1,0,T164*(1-VLOOKUP($A165,[1]Hugst!$R$5:$W$9,MATCH(ROUNDUP((U$1)/10,0)*10,[1]Hugst!$R$4:$W$4,0))))</f>
        <v>0</v>
      </c>
      <c r="V165" s="168">
        <f>IF($C165-V$1&lt;År1,0,U164*(1-VLOOKUP($A165,[1]Hugst!$R$5:$W$9,MATCH(ROUNDUP((V$1)/10,0)*10,[1]Hugst!$R$4:$W$4,0))))</f>
        <v>0</v>
      </c>
      <c r="W165" s="168">
        <f>IF($C165-W$1&lt;År1,0,V164*(1-VLOOKUP($A165,[1]Hugst!$R$5:$W$9,MATCH(ROUNDUP((W$1)/10,0)*10,[1]Hugst!$R$4:$W$4,0))))</f>
        <v>0</v>
      </c>
      <c r="X165" s="168">
        <f>IF($C165-X$1&lt;År1,0,W164*(1-VLOOKUP($A165,[1]Hugst!$R$5:$W$9,MATCH(ROUNDUP((X$1)/10,0)*10,[1]Hugst!$R$4:$W$4,0))))</f>
        <v>0</v>
      </c>
      <c r="Y165" s="168">
        <f>IF($C165-Y$1&lt;År1,0,X164*(1-VLOOKUP($A165,[1]Hugst!$R$5:$W$9,MATCH(ROUNDUP((Y$1)/10,0)*10,[1]Hugst!$R$4:$W$4,0))))</f>
        <v>0</v>
      </c>
      <c r="Z165" s="168">
        <f>IF($C165-Z$1&lt;År1,0,Y164*(1-VLOOKUP($A165,[1]Hugst!$R$5:$W$9,MATCH(ROUNDUP((Z$1)/10,0)*10,[1]Hugst!$R$4:$W$4,0))))</f>
        <v>0</v>
      </c>
      <c r="AA165" s="168">
        <f>IF($C165-AA$1&lt;År1,0,Z164*(1-VLOOKUP($A165,[1]Hugst!$R$5:$W$9,MATCH(ROUNDUP((AA$1)/10,0)*10,[1]Hugst!$R$4:$W$4,0))))</f>
        <v>0</v>
      </c>
      <c r="AB165" s="168">
        <f>IF($C165-AB$1&lt;År1,0,AA164*(1-VLOOKUP($A165,[1]Hugst!$R$5:$W$9,MATCH(ROUNDUP((AB$1)/10,0)*10,[1]Hugst!$R$4:$W$4,0))))</f>
        <v>0</v>
      </c>
      <c r="AC165" s="168">
        <f>IF($C165-AC$1&lt;År1,0,AB164*(1-VLOOKUP($A165,[1]Hugst!$R$5:$W$9,MATCH(ROUNDUP((AC$1)/10,0)*10,[1]Hugst!$R$4:$W$4,0))))</f>
        <v>0</v>
      </c>
      <c r="AD165" s="168">
        <f>IF($C165-AD$1&lt;År1,0,AC164*(1-VLOOKUP($A165,[1]Hugst!$R$5:$W$9,MATCH(ROUNDUP((AD$1)/10,0)*10,[1]Hugst!$R$4:$W$4,0))))</f>
        <v>0</v>
      </c>
      <c r="AE165" s="168">
        <f>IF($C165-AE$1&lt;År1,0,AD164*(1-VLOOKUP($A165,[1]Hugst!$R$5:$W$9,MATCH(ROUNDUP((AE$1)/10,0)*10,[1]Hugst!$R$4:$W$4,0))))</f>
        <v>0</v>
      </c>
      <c r="AF165" s="168">
        <f>IF($C165-AF$1&lt;År1,0,AE164*(1-VLOOKUP($A165,[1]Hugst!$R$5:$W$9,MATCH(ROUNDUP((AF$1)/10,0)*10,[1]Hugst!$R$4:$W$4,0))))</f>
        <v>0</v>
      </c>
      <c r="AG165" s="168">
        <f>IF($C165-AG$1&lt;År1,0,AF164*(1-VLOOKUP($A165,[1]Hugst!$R$5:$W$9,MATCH(ROUNDUP((AG$1)/10,0)*10,[1]Hugst!$R$4:$W$4,0))))</f>
        <v>0</v>
      </c>
      <c r="AH165" s="168">
        <f>IF($C165-AH$1&lt;År1,0,AG164*(1-VLOOKUP($A165,[1]Hugst!$R$5:$W$9,MATCH(ROUNDUP((AH$1)/10,0)*10,[1]Hugst!$R$4:$W$4,0))))</f>
        <v>0</v>
      </c>
      <c r="AI165" s="168">
        <f>IF($C165-AI$1&lt;År1,0,AH164*(1-VLOOKUP($A165,[1]Hugst!$R$5:$W$9,MATCH(ROUNDUP((AI$1)/10,0)*10,[1]Hugst!$R$4:$W$4,0))))</f>
        <v>0</v>
      </c>
      <c r="AJ165" s="168">
        <f>IF($C165-AJ$1&lt;År1,0,AI164*(1-VLOOKUP($A165,[1]Hugst!$R$5:$W$9,MATCH(ROUNDUP((AJ$1)/10,0)*10,[1]Hugst!$R$4:$W$4,0))))</f>
        <v>0</v>
      </c>
    </row>
    <row r="166" spans="1:36" x14ac:dyDescent="0.25">
      <c r="A166" s="168" t="s">
        <v>178</v>
      </c>
      <c r="B166" s="168" t="s">
        <v>24</v>
      </c>
      <c r="C166" s="168">
        <v>2029</v>
      </c>
      <c r="D166" s="168" cm="1">
        <f t="array" ref="D166">(IF(B166="Vestdanmark",Skovbrug!$C$22-(Skovbrug!$C$22)*(1-Skovbrug!$C$9)^(C166-Skovbrug!$B$12),Skovbrug!$F$22-(Skovbrug!$F$22)*(1-Skovbrug!$C$9)^(C166-Skovbrug!$B$12))*VLOOKUP(A166,Skovbrug!$A$13:$D$17,IF('Skovbrug-alder'!C166&lt;=År2,3,4),FALSE)-IF(C166&gt;2020,SUM(INDEX($C$1:$D$311,MATCH(1,(2020=$C$1:$C$311)*(B166=$B$1:$B$311)*(A166=$A$1:$A$311),0),2):D165),0))</f>
        <v>0</v>
      </c>
      <c r="E166" s="168">
        <f t="shared" ca="1" si="3"/>
        <v>0</v>
      </c>
      <c r="F166" s="168">
        <f ca="1">IF(C166&lt;=År2,IF(B166="Vestdanmark",(Arealanvendelse!$M$27-Arealanvendelse!$J$27),(Arealanvendelse!$M$37-Arealanvendelse!$J$37))/(Arealanvendelse!$M$3-Arealanvendelse!$J$3),IF(B166="Vestdanmark",(Arealanvendelse!$P$27-Arealanvendelse!$M$27),(Arealanvendelse!$P$37-Arealanvendelse!$M$37))/(Arealanvendelse!$P$3-Arealanvendelse!$M$3))*VLOOKUP(A166,Skovbrug!$A$13:$D$17,IF('Skovbrug-alder'!C166&lt;=År2,3,4),FALSE)+D166+E166</f>
        <v>0</v>
      </c>
      <c r="G166" s="168">
        <f ca="1">IF($C166-G$1&lt;År1,0,F165*(1-VLOOKUP($A166,[1]Hugst!$R$5:$W$9,MATCH(ROUNDUP((G$1)/10,0)*10,[1]Hugst!$R$4:$W$4,0))))</f>
        <v>0</v>
      </c>
      <c r="H166" s="168">
        <f ca="1">IF($C166-H$1&lt;År1,0,G165*(1-VLOOKUP($A166,[1]Hugst!$R$5:$W$9,MATCH(ROUNDUP((H$1)/10,0)*10,[1]Hugst!$R$4:$W$4,0))))</f>
        <v>0</v>
      </c>
      <c r="I166" s="168">
        <f ca="1">IF($C166-I$1&lt;År1,0,H165*(1-VLOOKUP($A166,[1]Hugst!$R$5:$W$9,MATCH(ROUNDUP((I$1)/10,0)*10,[1]Hugst!$R$4:$W$4,0))))</f>
        <v>0</v>
      </c>
      <c r="J166" s="168">
        <f ca="1">IF($C166-J$1&lt;År1,0,I165*(1-VLOOKUP($A166,[1]Hugst!$R$5:$W$9,MATCH(ROUNDUP((J$1)/10,0)*10,[1]Hugst!$R$4:$W$4,0))))</f>
        <v>0</v>
      </c>
      <c r="K166" s="168">
        <f ca="1">IF($C166-K$1&lt;År1,0,J165*(1-VLOOKUP($A166,[1]Hugst!$R$5:$W$9,MATCH(ROUNDUP((K$1)/10,0)*10,[1]Hugst!$R$4:$W$4,0))))</f>
        <v>0</v>
      </c>
      <c r="L166" s="168">
        <f ca="1">IF($C166-L$1&lt;År1,0,K165*(1-VLOOKUP($A166,[1]Hugst!$R$5:$W$9,MATCH(ROUNDUP((L$1)/10,0)*10,[1]Hugst!$R$4:$W$4,0))))</f>
        <v>0</v>
      </c>
      <c r="M166" s="168">
        <f ca="1">IF($C166-M$1&lt;År1,0,L165*(1-VLOOKUP($A166,[1]Hugst!$R$5:$W$9,MATCH(ROUNDUP((M$1)/10,0)*10,[1]Hugst!$R$4:$W$4,0))))</f>
        <v>0</v>
      </c>
      <c r="N166" s="168">
        <f ca="1">IF($C166-N$1&lt;År1,0,M165*(1-VLOOKUP($A166,[1]Hugst!$R$5:$W$9,MATCH(ROUNDUP((N$1)/10,0)*10,[1]Hugst!$R$4:$W$4,0))))</f>
        <v>0</v>
      </c>
      <c r="O166" s="168">
        <f ca="1">IF($C166-O$1&lt;År1,0,N165*(1-VLOOKUP($A166,[1]Hugst!$R$5:$W$9,MATCH(ROUNDUP((O$1)/10,0)*10,[1]Hugst!$R$4:$W$4,0))))</f>
        <v>0</v>
      </c>
      <c r="P166" s="168">
        <f>IF($C166-P$1&lt;År1,0,O165*(1-VLOOKUP($A166,[1]Hugst!$R$5:$W$9,MATCH(ROUNDUP((P$1)/10,0)*10,[1]Hugst!$R$4:$W$4,0))))</f>
        <v>0</v>
      </c>
      <c r="Q166" s="168">
        <f>IF($C166-Q$1&lt;År1,0,P165*(1-VLOOKUP($A166,[1]Hugst!$R$5:$W$9,MATCH(ROUNDUP((Q$1)/10,0)*10,[1]Hugst!$R$4:$W$4,0))))</f>
        <v>0</v>
      </c>
      <c r="R166" s="168">
        <f>IF($C166-R$1&lt;År1,0,Q165*(1-VLOOKUP($A166,[1]Hugst!$R$5:$W$9,MATCH(ROUNDUP((R$1)/10,0)*10,[1]Hugst!$R$4:$W$4,0))))</f>
        <v>0</v>
      </c>
      <c r="S166" s="168">
        <f>IF($C166-S$1&lt;År1,0,R165*(1-VLOOKUP($A166,[1]Hugst!$R$5:$W$9,MATCH(ROUNDUP((S$1)/10,0)*10,[1]Hugst!$R$4:$W$4,0))))</f>
        <v>0</v>
      </c>
      <c r="T166" s="168">
        <f>IF($C166-T$1&lt;År1,0,S165*(1-VLOOKUP($A166,[1]Hugst!$R$5:$W$9,MATCH(ROUNDUP((T$1)/10,0)*10,[1]Hugst!$R$4:$W$4,0))))</f>
        <v>0</v>
      </c>
      <c r="U166" s="168">
        <f>IF($C166-U$1&lt;År1,0,T165*(1-VLOOKUP($A166,[1]Hugst!$R$5:$W$9,MATCH(ROUNDUP((U$1)/10,0)*10,[1]Hugst!$R$4:$W$4,0))))</f>
        <v>0</v>
      </c>
      <c r="V166" s="168">
        <f>IF($C166-V$1&lt;År1,0,U165*(1-VLOOKUP($A166,[1]Hugst!$R$5:$W$9,MATCH(ROUNDUP((V$1)/10,0)*10,[1]Hugst!$R$4:$W$4,0))))</f>
        <v>0</v>
      </c>
      <c r="W166" s="168">
        <f>IF($C166-W$1&lt;År1,0,V165*(1-VLOOKUP($A166,[1]Hugst!$R$5:$W$9,MATCH(ROUNDUP((W$1)/10,0)*10,[1]Hugst!$R$4:$W$4,0))))</f>
        <v>0</v>
      </c>
      <c r="X166" s="168">
        <f>IF($C166-X$1&lt;År1,0,W165*(1-VLOOKUP($A166,[1]Hugst!$R$5:$W$9,MATCH(ROUNDUP((X$1)/10,0)*10,[1]Hugst!$R$4:$W$4,0))))</f>
        <v>0</v>
      </c>
      <c r="Y166" s="168">
        <f>IF($C166-Y$1&lt;År1,0,X165*(1-VLOOKUP($A166,[1]Hugst!$R$5:$W$9,MATCH(ROUNDUP((Y$1)/10,0)*10,[1]Hugst!$R$4:$W$4,0))))</f>
        <v>0</v>
      </c>
      <c r="Z166" s="168">
        <f>IF($C166-Z$1&lt;År1,0,Y165*(1-VLOOKUP($A166,[1]Hugst!$R$5:$W$9,MATCH(ROUNDUP((Z$1)/10,0)*10,[1]Hugst!$R$4:$W$4,0))))</f>
        <v>0</v>
      </c>
      <c r="AA166" s="168">
        <f>IF($C166-AA$1&lt;År1,0,Z165*(1-VLOOKUP($A166,[1]Hugst!$R$5:$W$9,MATCH(ROUNDUP((AA$1)/10,0)*10,[1]Hugst!$R$4:$W$4,0))))</f>
        <v>0</v>
      </c>
      <c r="AB166" s="168">
        <f>IF($C166-AB$1&lt;År1,0,AA165*(1-VLOOKUP($A166,[1]Hugst!$R$5:$W$9,MATCH(ROUNDUP((AB$1)/10,0)*10,[1]Hugst!$R$4:$W$4,0))))</f>
        <v>0</v>
      </c>
      <c r="AC166" s="168">
        <f>IF($C166-AC$1&lt;År1,0,AB165*(1-VLOOKUP($A166,[1]Hugst!$R$5:$W$9,MATCH(ROUNDUP((AC$1)/10,0)*10,[1]Hugst!$R$4:$W$4,0))))</f>
        <v>0</v>
      </c>
      <c r="AD166" s="168">
        <f>IF($C166-AD$1&lt;År1,0,AC165*(1-VLOOKUP($A166,[1]Hugst!$R$5:$W$9,MATCH(ROUNDUP((AD$1)/10,0)*10,[1]Hugst!$R$4:$W$4,0))))</f>
        <v>0</v>
      </c>
      <c r="AE166" s="168">
        <f>IF($C166-AE$1&lt;År1,0,AD165*(1-VLOOKUP($A166,[1]Hugst!$R$5:$W$9,MATCH(ROUNDUP((AE$1)/10,0)*10,[1]Hugst!$R$4:$W$4,0))))</f>
        <v>0</v>
      </c>
      <c r="AF166" s="168">
        <f>IF($C166-AF$1&lt;År1,0,AE165*(1-VLOOKUP($A166,[1]Hugst!$R$5:$W$9,MATCH(ROUNDUP((AF$1)/10,0)*10,[1]Hugst!$R$4:$W$4,0))))</f>
        <v>0</v>
      </c>
      <c r="AG166" s="168">
        <f>IF($C166-AG$1&lt;År1,0,AF165*(1-VLOOKUP($A166,[1]Hugst!$R$5:$W$9,MATCH(ROUNDUP((AG$1)/10,0)*10,[1]Hugst!$R$4:$W$4,0))))</f>
        <v>0</v>
      </c>
      <c r="AH166" s="168">
        <f>IF($C166-AH$1&lt;År1,0,AG165*(1-VLOOKUP($A166,[1]Hugst!$R$5:$W$9,MATCH(ROUNDUP((AH$1)/10,0)*10,[1]Hugst!$R$4:$W$4,0))))</f>
        <v>0</v>
      </c>
      <c r="AI166" s="168">
        <f>IF($C166-AI$1&lt;År1,0,AH165*(1-VLOOKUP($A166,[1]Hugst!$R$5:$W$9,MATCH(ROUNDUP((AI$1)/10,0)*10,[1]Hugst!$R$4:$W$4,0))))</f>
        <v>0</v>
      </c>
      <c r="AJ166" s="168">
        <f>IF($C166-AJ$1&lt;År1,0,AI165*(1-VLOOKUP($A166,[1]Hugst!$R$5:$W$9,MATCH(ROUNDUP((AJ$1)/10,0)*10,[1]Hugst!$R$4:$W$4,0))))</f>
        <v>0</v>
      </c>
    </row>
    <row r="167" spans="1:36" x14ac:dyDescent="0.25">
      <c r="A167" s="168" t="s">
        <v>178</v>
      </c>
      <c r="B167" s="168" t="s">
        <v>24</v>
      </c>
      <c r="C167" s="168">
        <v>2030</v>
      </c>
      <c r="D167" s="168" cm="1">
        <f t="array" ref="D167">(IF(B167="Vestdanmark",Skovbrug!$C$22-(Skovbrug!$C$22)*(1-Skovbrug!$C$9)^(C167-Skovbrug!$B$12),Skovbrug!$F$22-(Skovbrug!$F$22)*(1-Skovbrug!$C$9)^(C167-Skovbrug!$B$12))*VLOOKUP(A167,Skovbrug!$A$13:$D$17,IF('Skovbrug-alder'!C167&lt;=År2,3,4),FALSE)-IF(C167&gt;2020,SUM(INDEX($C$1:$D$311,MATCH(1,(2020=$C$1:$C$311)*(B167=$B$1:$B$311)*(A167=$A$1:$A$311),0),2):D166),0))</f>
        <v>0</v>
      </c>
      <c r="E167" s="168">
        <f t="shared" ca="1" si="3"/>
        <v>0</v>
      </c>
      <c r="F167" s="168">
        <f ca="1">IF(C167&lt;=År2,IF(B167="Vestdanmark",(Arealanvendelse!$M$27-Arealanvendelse!$J$27),(Arealanvendelse!$M$37-Arealanvendelse!$J$37))/(Arealanvendelse!$M$3-Arealanvendelse!$J$3),IF(B167="Vestdanmark",(Arealanvendelse!$P$27-Arealanvendelse!$M$27),(Arealanvendelse!$P$37-Arealanvendelse!$M$37))/(Arealanvendelse!$P$3-Arealanvendelse!$M$3))*VLOOKUP(A167,Skovbrug!$A$13:$D$17,IF('Skovbrug-alder'!C167&lt;=År2,3,4),FALSE)+D167+E167</f>
        <v>0</v>
      </c>
      <c r="G167" s="168">
        <f ca="1">IF($C167-G$1&lt;År1,0,F166*(1-VLOOKUP($A167,[1]Hugst!$R$5:$W$9,MATCH(ROUNDUP((G$1)/10,0)*10,[1]Hugst!$R$4:$W$4,0))))</f>
        <v>0</v>
      </c>
      <c r="H167" s="168">
        <f ca="1">IF($C167-H$1&lt;År1,0,G166*(1-VLOOKUP($A167,[1]Hugst!$R$5:$W$9,MATCH(ROUNDUP((H$1)/10,0)*10,[1]Hugst!$R$4:$W$4,0))))</f>
        <v>0</v>
      </c>
      <c r="I167" s="168">
        <f ca="1">IF($C167-I$1&lt;År1,0,H166*(1-VLOOKUP($A167,[1]Hugst!$R$5:$W$9,MATCH(ROUNDUP((I$1)/10,0)*10,[1]Hugst!$R$4:$W$4,0))))</f>
        <v>0</v>
      </c>
      <c r="J167" s="168">
        <f ca="1">IF($C167-J$1&lt;År1,0,I166*(1-VLOOKUP($A167,[1]Hugst!$R$5:$W$9,MATCH(ROUNDUP((J$1)/10,0)*10,[1]Hugst!$R$4:$W$4,0))))</f>
        <v>0</v>
      </c>
      <c r="K167" s="168">
        <f ca="1">IF($C167-K$1&lt;År1,0,J166*(1-VLOOKUP($A167,[1]Hugst!$R$5:$W$9,MATCH(ROUNDUP((K$1)/10,0)*10,[1]Hugst!$R$4:$W$4,0))))</f>
        <v>0</v>
      </c>
      <c r="L167" s="168">
        <f ca="1">IF($C167-L$1&lt;År1,0,K166*(1-VLOOKUP($A167,[1]Hugst!$R$5:$W$9,MATCH(ROUNDUP((L$1)/10,0)*10,[1]Hugst!$R$4:$W$4,0))))</f>
        <v>0</v>
      </c>
      <c r="M167" s="168">
        <f ca="1">IF($C167-M$1&lt;År1,0,L166*(1-VLOOKUP($A167,[1]Hugst!$R$5:$W$9,MATCH(ROUNDUP((M$1)/10,0)*10,[1]Hugst!$R$4:$W$4,0))))</f>
        <v>0</v>
      </c>
      <c r="N167" s="168">
        <f ca="1">IF($C167-N$1&lt;År1,0,M166*(1-VLOOKUP($A167,[1]Hugst!$R$5:$W$9,MATCH(ROUNDUP((N$1)/10,0)*10,[1]Hugst!$R$4:$W$4,0))))</f>
        <v>0</v>
      </c>
      <c r="O167" s="168">
        <f ca="1">IF($C167-O$1&lt;År1,0,N166*(1-VLOOKUP($A167,[1]Hugst!$R$5:$W$9,MATCH(ROUNDUP((O$1)/10,0)*10,[1]Hugst!$R$4:$W$4,0))))</f>
        <v>0</v>
      </c>
      <c r="P167" s="168">
        <f ca="1">IF($C167-P$1&lt;År1,0,O166*(1-VLOOKUP($A167,[1]Hugst!$R$5:$W$9,MATCH(ROUNDUP((P$1)/10,0)*10,[1]Hugst!$R$4:$W$4,0))))</f>
        <v>0</v>
      </c>
      <c r="Q167" s="168">
        <f>IF($C167-Q$1&lt;År1,0,P166*(1-VLOOKUP($A167,[1]Hugst!$R$5:$W$9,MATCH(ROUNDUP((Q$1)/10,0)*10,[1]Hugst!$R$4:$W$4,0))))</f>
        <v>0</v>
      </c>
      <c r="R167" s="168">
        <f>IF($C167-R$1&lt;År1,0,Q166*(1-VLOOKUP($A167,[1]Hugst!$R$5:$W$9,MATCH(ROUNDUP((R$1)/10,0)*10,[1]Hugst!$R$4:$W$4,0))))</f>
        <v>0</v>
      </c>
      <c r="S167" s="168">
        <f>IF($C167-S$1&lt;År1,0,R166*(1-VLOOKUP($A167,[1]Hugst!$R$5:$W$9,MATCH(ROUNDUP((S$1)/10,0)*10,[1]Hugst!$R$4:$W$4,0))))</f>
        <v>0</v>
      </c>
      <c r="T167" s="168">
        <f>IF($C167-T$1&lt;År1,0,S166*(1-VLOOKUP($A167,[1]Hugst!$R$5:$W$9,MATCH(ROUNDUP((T$1)/10,0)*10,[1]Hugst!$R$4:$W$4,0))))</f>
        <v>0</v>
      </c>
      <c r="U167" s="168">
        <f>IF($C167-U$1&lt;År1,0,T166*(1-VLOOKUP($A167,[1]Hugst!$R$5:$W$9,MATCH(ROUNDUP((U$1)/10,0)*10,[1]Hugst!$R$4:$W$4,0))))</f>
        <v>0</v>
      </c>
      <c r="V167" s="168">
        <f>IF($C167-V$1&lt;År1,0,U166*(1-VLOOKUP($A167,[1]Hugst!$R$5:$W$9,MATCH(ROUNDUP((V$1)/10,0)*10,[1]Hugst!$R$4:$W$4,0))))</f>
        <v>0</v>
      </c>
      <c r="W167" s="168">
        <f>IF($C167-W$1&lt;År1,0,V166*(1-VLOOKUP($A167,[1]Hugst!$R$5:$W$9,MATCH(ROUNDUP((W$1)/10,0)*10,[1]Hugst!$R$4:$W$4,0))))</f>
        <v>0</v>
      </c>
      <c r="X167" s="168">
        <f>IF($C167-X$1&lt;År1,0,W166*(1-VLOOKUP($A167,[1]Hugst!$R$5:$W$9,MATCH(ROUNDUP((X$1)/10,0)*10,[1]Hugst!$R$4:$W$4,0))))</f>
        <v>0</v>
      </c>
      <c r="Y167" s="168">
        <f>IF($C167-Y$1&lt;År1,0,X166*(1-VLOOKUP($A167,[1]Hugst!$R$5:$W$9,MATCH(ROUNDUP((Y$1)/10,0)*10,[1]Hugst!$R$4:$W$4,0))))</f>
        <v>0</v>
      </c>
      <c r="Z167" s="168">
        <f>IF($C167-Z$1&lt;År1,0,Y166*(1-VLOOKUP($A167,[1]Hugst!$R$5:$W$9,MATCH(ROUNDUP((Z$1)/10,0)*10,[1]Hugst!$R$4:$W$4,0))))</f>
        <v>0</v>
      </c>
      <c r="AA167" s="168">
        <f>IF($C167-AA$1&lt;År1,0,Z166*(1-VLOOKUP($A167,[1]Hugst!$R$5:$W$9,MATCH(ROUNDUP((AA$1)/10,0)*10,[1]Hugst!$R$4:$W$4,0))))</f>
        <v>0</v>
      </c>
      <c r="AB167" s="168">
        <f>IF($C167-AB$1&lt;År1,0,AA166*(1-VLOOKUP($A167,[1]Hugst!$R$5:$W$9,MATCH(ROUNDUP((AB$1)/10,0)*10,[1]Hugst!$R$4:$W$4,0))))</f>
        <v>0</v>
      </c>
      <c r="AC167" s="168">
        <f>IF($C167-AC$1&lt;År1,0,AB166*(1-VLOOKUP($A167,[1]Hugst!$R$5:$W$9,MATCH(ROUNDUP((AC$1)/10,0)*10,[1]Hugst!$R$4:$W$4,0))))</f>
        <v>0</v>
      </c>
      <c r="AD167" s="168">
        <f>IF($C167-AD$1&lt;År1,0,AC166*(1-VLOOKUP($A167,[1]Hugst!$R$5:$W$9,MATCH(ROUNDUP((AD$1)/10,0)*10,[1]Hugst!$R$4:$W$4,0))))</f>
        <v>0</v>
      </c>
      <c r="AE167" s="168">
        <f>IF($C167-AE$1&lt;År1,0,AD166*(1-VLOOKUP($A167,[1]Hugst!$R$5:$W$9,MATCH(ROUNDUP((AE$1)/10,0)*10,[1]Hugst!$R$4:$W$4,0))))</f>
        <v>0</v>
      </c>
      <c r="AF167" s="168">
        <f>IF($C167-AF$1&lt;År1,0,AE166*(1-VLOOKUP($A167,[1]Hugst!$R$5:$W$9,MATCH(ROUNDUP((AF$1)/10,0)*10,[1]Hugst!$R$4:$W$4,0))))</f>
        <v>0</v>
      </c>
      <c r="AG167" s="168">
        <f>IF($C167-AG$1&lt;År1,0,AF166*(1-VLOOKUP($A167,[1]Hugst!$R$5:$W$9,MATCH(ROUNDUP((AG$1)/10,0)*10,[1]Hugst!$R$4:$W$4,0))))</f>
        <v>0</v>
      </c>
      <c r="AH167" s="168">
        <f>IF($C167-AH$1&lt;År1,0,AG166*(1-VLOOKUP($A167,[1]Hugst!$R$5:$W$9,MATCH(ROUNDUP((AH$1)/10,0)*10,[1]Hugst!$R$4:$W$4,0))))</f>
        <v>0</v>
      </c>
      <c r="AI167" s="168">
        <f>IF($C167-AI$1&lt;År1,0,AH166*(1-VLOOKUP($A167,[1]Hugst!$R$5:$W$9,MATCH(ROUNDUP((AI$1)/10,0)*10,[1]Hugst!$R$4:$W$4,0))))</f>
        <v>0</v>
      </c>
      <c r="AJ167" s="168">
        <f>IF($C167-AJ$1&lt;År1,0,AI166*(1-VLOOKUP($A167,[1]Hugst!$R$5:$W$9,MATCH(ROUNDUP((AJ$1)/10,0)*10,[1]Hugst!$R$4:$W$4,0))))</f>
        <v>0</v>
      </c>
    </row>
    <row r="168" spans="1:36" x14ac:dyDescent="0.25">
      <c r="A168" s="168" t="s">
        <v>178</v>
      </c>
      <c r="B168" s="168" t="s">
        <v>24</v>
      </c>
      <c r="C168" s="168">
        <v>2031</v>
      </c>
      <c r="D168" s="168" cm="1">
        <f t="array" ref="D168">(IF(B168="Vestdanmark",Skovbrug!$C$22-(Skovbrug!$C$22)*(1-Skovbrug!$C$9)^(C168-Skovbrug!$B$12),Skovbrug!$F$22-(Skovbrug!$F$22)*(1-Skovbrug!$C$9)^(C168-Skovbrug!$B$12))*VLOOKUP(A168,Skovbrug!$A$13:$D$17,IF('Skovbrug-alder'!C168&lt;=År2,3,4),FALSE)-IF(C168&gt;2020,SUM(INDEX($C$1:$D$311,MATCH(1,(2020=$C$1:$C$311)*(B168=$B$1:$B$311)*(A168=$A$1:$A$311),0),2):D167),0))</f>
        <v>0</v>
      </c>
      <c r="E168" s="168">
        <f t="shared" ca="1" si="3"/>
        <v>0</v>
      </c>
      <c r="F168" s="168">
        <f ca="1">IF(C168&lt;=År2,IF(B168="Vestdanmark",(Arealanvendelse!$M$27-Arealanvendelse!$J$27),(Arealanvendelse!$M$37-Arealanvendelse!$J$37))/(Arealanvendelse!$M$3-Arealanvendelse!$J$3),IF(B168="Vestdanmark",(Arealanvendelse!$P$27-Arealanvendelse!$M$27),(Arealanvendelse!$P$37-Arealanvendelse!$M$37))/(Arealanvendelse!$P$3-Arealanvendelse!$M$3))*VLOOKUP(A168,Skovbrug!$A$13:$D$17,IF('Skovbrug-alder'!C168&lt;=År2,3,4),FALSE)+D168+E168</f>
        <v>0</v>
      </c>
      <c r="G168" s="168">
        <f ca="1">IF($C168-G$1&lt;År1,0,F167*(1-VLOOKUP($A168,[1]Hugst!$R$5:$W$9,MATCH(ROUNDUP((G$1)/10,0)*10,[1]Hugst!$R$4:$W$4,0))))</f>
        <v>0</v>
      </c>
      <c r="H168" s="168">
        <f ca="1">IF($C168-H$1&lt;År1,0,G167*(1-VLOOKUP($A168,[1]Hugst!$R$5:$W$9,MATCH(ROUNDUP((H$1)/10,0)*10,[1]Hugst!$R$4:$W$4,0))))</f>
        <v>0</v>
      </c>
      <c r="I168" s="168">
        <f ca="1">IF($C168-I$1&lt;År1,0,H167*(1-VLOOKUP($A168,[1]Hugst!$R$5:$W$9,MATCH(ROUNDUP((I$1)/10,0)*10,[1]Hugst!$R$4:$W$4,0))))</f>
        <v>0</v>
      </c>
      <c r="J168" s="168">
        <f ca="1">IF($C168-J$1&lt;År1,0,I167*(1-VLOOKUP($A168,[1]Hugst!$R$5:$W$9,MATCH(ROUNDUP((J$1)/10,0)*10,[1]Hugst!$R$4:$W$4,0))))</f>
        <v>0</v>
      </c>
      <c r="K168" s="168">
        <f ca="1">IF($C168-K$1&lt;År1,0,J167*(1-VLOOKUP($A168,[1]Hugst!$R$5:$W$9,MATCH(ROUNDUP((K$1)/10,0)*10,[1]Hugst!$R$4:$W$4,0))))</f>
        <v>0</v>
      </c>
      <c r="L168" s="168">
        <f ca="1">IF($C168-L$1&lt;År1,0,K167*(1-VLOOKUP($A168,[1]Hugst!$R$5:$W$9,MATCH(ROUNDUP((L$1)/10,0)*10,[1]Hugst!$R$4:$W$4,0))))</f>
        <v>0</v>
      </c>
      <c r="M168" s="168">
        <f ca="1">IF($C168-M$1&lt;År1,0,L167*(1-VLOOKUP($A168,[1]Hugst!$R$5:$W$9,MATCH(ROUNDUP((M$1)/10,0)*10,[1]Hugst!$R$4:$W$4,0))))</f>
        <v>0</v>
      </c>
      <c r="N168" s="168">
        <f ca="1">IF($C168-N$1&lt;År1,0,M167*(1-VLOOKUP($A168,[1]Hugst!$R$5:$W$9,MATCH(ROUNDUP((N$1)/10,0)*10,[1]Hugst!$R$4:$W$4,0))))</f>
        <v>0</v>
      </c>
      <c r="O168" s="168">
        <f ca="1">IF($C168-O$1&lt;År1,0,N167*(1-VLOOKUP($A168,[1]Hugst!$R$5:$W$9,MATCH(ROUNDUP((O$1)/10,0)*10,[1]Hugst!$R$4:$W$4,0))))</f>
        <v>0</v>
      </c>
      <c r="P168" s="168">
        <f ca="1">IF($C168-P$1&lt;År1,0,O167*(1-VLOOKUP($A168,[1]Hugst!$R$5:$W$9,MATCH(ROUNDUP((P$1)/10,0)*10,[1]Hugst!$R$4:$W$4,0))))</f>
        <v>0</v>
      </c>
      <c r="Q168" s="168">
        <f ca="1">IF($C168-Q$1&lt;År1,0,P167*(1-VLOOKUP($A168,[1]Hugst!$R$5:$W$9,MATCH(ROUNDUP((Q$1)/10,0)*10,[1]Hugst!$R$4:$W$4,0))))</f>
        <v>0</v>
      </c>
      <c r="R168" s="168">
        <f>IF($C168-R$1&lt;År1,0,Q167*(1-VLOOKUP($A168,[1]Hugst!$R$5:$W$9,MATCH(ROUNDUP((R$1)/10,0)*10,[1]Hugst!$R$4:$W$4,0))))</f>
        <v>0</v>
      </c>
      <c r="S168" s="168">
        <f>IF($C168-S$1&lt;År1,0,R167*(1-VLOOKUP($A168,[1]Hugst!$R$5:$W$9,MATCH(ROUNDUP((S$1)/10,0)*10,[1]Hugst!$R$4:$W$4,0))))</f>
        <v>0</v>
      </c>
      <c r="T168" s="168">
        <f>IF($C168-T$1&lt;År1,0,S167*(1-VLOOKUP($A168,[1]Hugst!$R$5:$W$9,MATCH(ROUNDUP((T$1)/10,0)*10,[1]Hugst!$R$4:$W$4,0))))</f>
        <v>0</v>
      </c>
      <c r="U168" s="168">
        <f>IF($C168-U$1&lt;År1,0,T167*(1-VLOOKUP($A168,[1]Hugst!$R$5:$W$9,MATCH(ROUNDUP((U$1)/10,0)*10,[1]Hugst!$R$4:$W$4,0))))</f>
        <v>0</v>
      </c>
      <c r="V168" s="168">
        <f>IF($C168-V$1&lt;År1,0,U167*(1-VLOOKUP($A168,[1]Hugst!$R$5:$W$9,MATCH(ROUNDUP((V$1)/10,0)*10,[1]Hugst!$R$4:$W$4,0))))</f>
        <v>0</v>
      </c>
      <c r="W168" s="168">
        <f>IF($C168-W$1&lt;År1,0,V167*(1-VLOOKUP($A168,[1]Hugst!$R$5:$W$9,MATCH(ROUNDUP((W$1)/10,0)*10,[1]Hugst!$R$4:$W$4,0))))</f>
        <v>0</v>
      </c>
      <c r="X168" s="168">
        <f>IF($C168-X$1&lt;År1,0,W167*(1-VLOOKUP($A168,[1]Hugst!$R$5:$W$9,MATCH(ROUNDUP((X$1)/10,0)*10,[1]Hugst!$R$4:$W$4,0))))</f>
        <v>0</v>
      </c>
      <c r="Y168" s="168">
        <f>IF($C168-Y$1&lt;År1,0,X167*(1-VLOOKUP($A168,[1]Hugst!$R$5:$W$9,MATCH(ROUNDUP((Y$1)/10,0)*10,[1]Hugst!$R$4:$W$4,0))))</f>
        <v>0</v>
      </c>
      <c r="Z168" s="168">
        <f>IF($C168-Z$1&lt;År1,0,Y167*(1-VLOOKUP($A168,[1]Hugst!$R$5:$W$9,MATCH(ROUNDUP((Z$1)/10,0)*10,[1]Hugst!$R$4:$W$4,0))))</f>
        <v>0</v>
      </c>
      <c r="AA168" s="168">
        <f>IF($C168-AA$1&lt;År1,0,Z167*(1-VLOOKUP($A168,[1]Hugst!$R$5:$W$9,MATCH(ROUNDUP((AA$1)/10,0)*10,[1]Hugst!$R$4:$W$4,0))))</f>
        <v>0</v>
      </c>
      <c r="AB168" s="168">
        <f>IF($C168-AB$1&lt;År1,0,AA167*(1-VLOOKUP($A168,[1]Hugst!$R$5:$W$9,MATCH(ROUNDUP((AB$1)/10,0)*10,[1]Hugst!$R$4:$W$4,0))))</f>
        <v>0</v>
      </c>
      <c r="AC168" s="168">
        <f>IF($C168-AC$1&lt;År1,0,AB167*(1-VLOOKUP($A168,[1]Hugst!$R$5:$W$9,MATCH(ROUNDUP((AC$1)/10,0)*10,[1]Hugst!$R$4:$W$4,0))))</f>
        <v>0</v>
      </c>
      <c r="AD168" s="168">
        <f>IF($C168-AD$1&lt;År1,0,AC167*(1-VLOOKUP($A168,[1]Hugst!$R$5:$W$9,MATCH(ROUNDUP((AD$1)/10,0)*10,[1]Hugst!$R$4:$W$4,0))))</f>
        <v>0</v>
      </c>
      <c r="AE168" s="168">
        <f>IF($C168-AE$1&lt;År1,0,AD167*(1-VLOOKUP($A168,[1]Hugst!$R$5:$W$9,MATCH(ROUNDUP((AE$1)/10,0)*10,[1]Hugst!$R$4:$W$4,0))))</f>
        <v>0</v>
      </c>
      <c r="AF168" s="168">
        <f>IF($C168-AF$1&lt;År1,0,AE167*(1-VLOOKUP($A168,[1]Hugst!$R$5:$W$9,MATCH(ROUNDUP((AF$1)/10,0)*10,[1]Hugst!$R$4:$W$4,0))))</f>
        <v>0</v>
      </c>
      <c r="AG168" s="168">
        <f>IF($C168-AG$1&lt;År1,0,AF167*(1-VLOOKUP($A168,[1]Hugst!$R$5:$W$9,MATCH(ROUNDUP((AG$1)/10,0)*10,[1]Hugst!$R$4:$W$4,0))))</f>
        <v>0</v>
      </c>
      <c r="AH168" s="168">
        <f>IF($C168-AH$1&lt;År1,0,AG167*(1-VLOOKUP($A168,[1]Hugst!$R$5:$W$9,MATCH(ROUNDUP((AH$1)/10,0)*10,[1]Hugst!$R$4:$W$4,0))))</f>
        <v>0</v>
      </c>
      <c r="AI168" s="168">
        <f>IF($C168-AI$1&lt;År1,0,AH167*(1-VLOOKUP($A168,[1]Hugst!$R$5:$W$9,MATCH(ROUNDUP((AI$1)/10,0)*10,[1]Hugst!$R$4:$W$4,0))))</f>
        <v>0</v>
      </c>
      <c r="AJ168" s="168">
        <f>IF($C168-AJ$1&lt;År1,0,AI167*(1-VLOOKUP($A168,[1]Hugst!$R$5:$W$9,MATCH(ROUNDUP((AJ$1)/10,0)*10,[1]Hugst!$R$4:$W$4,0))))</f>
        <v>0</v>
      </c>
    </row>
    <row r="169" spans="1:36" x14ac:dyDescent="0.25">
      <c r="A169" s="168" t="s">
        <v>178</v>
      </c>
      <c r="B169" s="168" t="s">
        <v>24</v>
      </c>
      <c r="C169" s="168">
        <v>2032</v>
      </c>
      <c r="D169" s="168" cm="1">
        <f t="array" ref="D169">(IF(B169="Vestdanmark",Skovbrug!$C$22-(Skovbrug!$C$22)*(1-Skovbrug!$C$9)^(C169-Skovbrug!$B$12),Skovbrug!$F$22-(Skovbrug!$F$22)*(1-Skovbrug!$C$9)^(C169-Skovbrug!$B$12))*VLOOKUP(A169,Skovbrug!$A$13:$D$17,IF('Skovbrug-alder'!C169&lt;=År2,3,4),FALSE)-IF(C169&gt;2020,SUM(INDEX($C$1:$D$311,MATCH(1,(2020=$C$1:$C$311)*(B169=$B$1:$B$311)*(A169=$A$1:$A$311),0),2):D168),0))</f>
        <v>0</v>
      </c>
      <c r="E169" s="168">
        <f t="shared" ca="1" si="3"/>
        <v>0</v>
      </c>
      <c r="F169" s="168">
        <f ca="1">IF(C169&lt;=År2,IF(B169="Vestdanmark",(Arealanvendelse!$M$27-Arealanvendelse!$J$27),(Arealanvendelse!$M$37-Arealanvendelse!$J$37))/(Arealanvendelse!$M$3-Arealanvendelse!$J$3),IF(B169="Vestdanmark",(Arealanvendelse!$P$27-Arealanvendelse!$M$27),(Arealanvendelse!$P$37-Arealanvendelse!$M$37))/(Arealanvendelse!$P$3-Arealanvendelse!$M$3))*VLOOKUP(A169,Skovbrug!$A$13:$D$17,IF('Skovbrug-alder'!C169&lt;=År2,3,4),FALSE)+D169+E169</f>
        <v>0</v>
      </c>
      <c r="G169" s="168">
        <f ca="1">IF($C169-G$1&lt;År1,0,F168*(1-VLOOKUP($A169,[1]Hugst!$R$5:$W$9,MATCH(ROUNDUP((G$1)/10,0)*10,[1]Hugst!$R$4:$W$4,0))))</f>
        <v>0</v>
      </c>
      <c r="H169" s="168">
        <f ca="1">IF($C169-H$1&lt;År1,0,G168*(1-VLOOKUP($A169,[1]Hugst!$R$5:$W$9,MATCH(ROUNDUP((H$1)/10,0)*10,[1]Hugst!$R$4:$W$4,0))))</f>
        <v>0</v>
      </c>
      <c r="I169" s="168">
        <f ca="1">IF($C169-I$1&lt;År1,0,H168*(1-VLOOKUP($A169,[1]Hugst!$R$5:$W$9,MATCH(ROUNDUP((I$1)/10,0)*10,[1]Hugst!$R$4:$W$4,0))))</f>
        <v>0</v>
      </c>
      <c r="J169" s="168">
        <f ca="1">IF($C169-J$1&lt;År1,0,I168*(1-VLOOKUP($A169,[1]Hugst!$R$5:$W$9,MATCH(ROUNDUP((J$1)/10,0)*10,[1]Hugst!$R$4:$W$4,0))))</f>
        <v>0</v>
      </c>
      <c r="K169" s="168">
        <f ca="1">IF($C169-K$1&lt;År1,0,J168*(1-VLOOKUP($A169,[1]Hugst!$R$5:$W$9,MATCH(ROUNDUP((K$1)/10,0)*10,[1]Hugst!$R$4:$W$4,0))))</f>
        <v>0</v>
      </c>
      <c r="L169" s="168">
        <f ca="1">IF($C169-L$1&lt;År1,0,K168*(1-VLOOKUP($A169,[1]Hugst!$R$5:$W$9,MATCH(ROUNDUP((L$1)/10,0)*10,[1]Hugst!$R$4:$W$4,0))))</f>
        <v>0</v>
      </c>
      <c r="M169" s="168">
        <f ca="1">IF($C169-M$1&lt;År1,0,L168*(1-VLOOKUP($A169,[1]Hugst!$R$5:$W$9,MATCH(ROUNDUP((M$1)/10,0)*10,[1]Hugst!$R$4:$W$4,0))))</f>
        <v>0</v>
      </c>
      <c r="N169" s="168">
        <f ca="1">IF($C169-N$1&lt;År1,0,M168*(1-VLOOKUP($A169,[1]Hugst!$R$5:$W$9,MATCH(ROUNDUP((N$1)/10,0)*10,[1]Hugst!$R$4:$W$4,0))))</f>
        <v>0</v>
      </c>
      <c r="O169" s="168">
        <f ca="1">IF($C169-O$1&lt;År1,0,N168*(1-VLOOKUP($A169,[1]Hugst!$R$5:$W$9,MATCH(ROUNDUP((O$1)/10,0)*10,[1]Hugst!$R$4:$W$4,0))))</f>
        <v>0</v>
      </c>
      <c r="P169" s="168">
        <f ca="1">IF($C169-P$1&lt;År1,0,O168*(1-VLOOKUP($A169,[1]Hugst!$R$5:$W$9,MATCH(ROUNDUP((P$1)/10,0)*10,[1]Hugst!$R$4:$W$4,0))))</f>
        <v>0</v>
      </c>
      <c r="Q169" s="168">
        <f ca="1">IF($C169-Q$1&lt;År1,0,P168*(1-VLOOKUP($A169,[1]Hugst!$R$5:$W$9,MATCH(ROUNDUP((Q$1)/10,0)*10,[1]Hugst!$R$4:$W$4,0))))</f>
        <v>0</v>
      </c>
      <c r="R169" s="168">
        <f ca="1">IF($C169-R$1&lt;År1,0,Q168*(1-VLOOKUP($A169,[1]Hugst!$R$5:$W$9,MATCH(ROUNDUP((R$1)/10,0)*10,[1]Hugst!$R$4:$W$4,0))))</f>
        <v>0</v>
      </c>
      <c r="S169" s="168">
        <f>IF($C169-S$1&lt;År1,0,R168*(1-VLOOKUP($A169,[1]Hugst!$R$5:$W$9,MATCH(ROUNDUP((S$1)/10,0)*10,[1]Hugst!$R$4:$W$4,0))))</f>
        <v>0</v>
      </c>
      <c r="T169" s="168">
        <f>IF($C169-T$1&lt;År1,0,S168*(1-VLOOKUP($A169,[1]Hugst!$R$5:$W$9,MATCH(ROUNDUP((T$1)/10,0)*10,[1]Hugst!$R$4:$W$4,0))))</f>
        <v>0</v>
      </c>
      <c r="U169" s="168">
        <f>IF($C169-U$1&lt;År1,0,T168*(1-VLOOKUP($A169,[1]Hugst!$R$5:$W$9,MATCH(ROUNDUP((U$1)/10,0)*10,[1]Hugst!$R$4:$W$4,0))))</f>
        <v>0</v>
      </c>
      <c r="V169" s="168">
        <f>IF($C169-V$1&lt;År1,0,U168*(1-VLOOKUP($A169,[1]Hugst!$R$5:$W$9,MATCH(ROUNDUP((V$1)/10,0)*10,[1]Hugst!$R$4:$W$4,0))))</f>
        <v>0</v>
      </c>
      <c r="W169" s="168">
        <f>IF($C169-W$1&lt;År1,0,V168*(1-VLOOKUP($A169,[1]Hugst!$R$5:$W$9,MATCH(ROUNDUP((W$1)/10,0)*10,[1]Hugst!$R$4:$W$4,0))))</f>
        <v>0</v>
      </c>
      <c r="X169" s="168">
        <f>IF($C169-X$1&lt;År1,0,W168*(1-VLOOKUP($A169,[1]Hugst!$R$5:$W$9,MATCH(ROUNDUP((X$1)/10,0)*10,[1]Hugst!$R$4:$W$4,0))))</f>
        <v>0</v>
      </c>
      <c r="Y169" s="168">
        <f>IF($C169-Y$1&lt;År1,0,X168*(1-VLOOKUP($A169,[1]Hugst!$R$5:$W$9,MATCH(ROUNDUP((Y$1)/10,0)*10,[1]Hugst!$R$4:$W$4,0))))</f>
        <v>0</v>
      </c>
      <c r="Z169" s="168">
        <f>IF($C169-Z$1&lt;År1,0,Y168*(1-VLOOKUP($A169,[1]Hugst!$R$5:$W$9,MATCH(ROUNDUP((Z$1)/10,0)*10,[1]Hugst!$R$4:$W$4,0))))</f>
        <v>0</v>
      </c>
      <c r="AA169" s="168">
        <f>IF($C169-AA$1&lt;År1,0,Z168*(1-VLOOKUP($A169,[1]Hugst!$R$5:$W$9,MATCH(ROUNDUP((AA$1)/10,0)*10,[1]Hugst!$R$4:$W$4,0))))</f>
        <v>0</v>
      </c>
      <c r="AB169" s="168">
        <f>IF($C169-AB$1&lt;År1,0,AA168*(1-VLOOKUP($A169,[1]Hugst!$R$5:$W$9,MATCH(ROUNDUP((AB$1)/10,0)*10,[1]Hugst!$R$4:$W$4,0))))</f>
        <v>0</v>
      </c>
      <c r="AC169" s="168">
        <f>IF($C169-AC$1&lt;År1,0,AB168*(1-VLOOKUP($A169,[1]Hugst!$R$5:$W$9,MATCH(ROUNDUP((AC$1)/10,0)*10,[1]Hugst!$R$4:$W$4,0))))</f>
        <v>0</v>
      </c>
      <c r="AD169" s="168">
        <f>IF($C169-AD$1&lt;År1,0,AC168*(1-VLOOKUP($A169,[1]Hugst!$R$5:$W$9,MATCH(ROUNDUP((AD$1)/10,0)*10,[1]Hugst!$R$4:$W$4,0))))</f>
        <v>0</v>
      </c>
      <c r="AE169" s="168">
        <f>IF($C169-AE$1&lt;År1,0,AD168*(1-VLOOKUP($A169,[1]Hugst!$R$5:$W$9,MATCH(ROUNDUP((AE$1)/10,0)*10,[1]Hugst!$R$4:$W$4,0))))</f>
        <v>0</v>
      </c>
      <c r="AF169" s="168">
        <f>IF($C169-AF$1&lt;År1,0,AE168*(1-VLOOKUP($A169,[1]Hugst!$R$5:$W$9,MATCH(ROUNDUP((AF$1)/10,0)*10,[1]Hugst!$R$4:$W$4,0))))</f>
        <v>0</v>
      </c>
      <c r="AG169" s="168">
        <f>IF($C169-AG$1&lt;År1,0,AF168*(1-VLOOKUP($A169,[1]Hugst!$R$5:$W$9,MATCH(ROUNDUP((AG$1)/10,0)*10,[1]Hugst!$R$4:$W$4,0))))</f>
        <v>0</v>
      </c>
      <c r="AH169" s="168">
        <f>IF($C169-AH$1&lt;År1,0,AG168*(1-VLOOKUP($A169,[1]Hugst!$R$5:$W$9,MATCH(ROUNDUP((AH$1)/10,0)*10,[1]Hugst!$R$4:$W$4,0))))</f>
        <v>0</v>
      </c>
      <c r="AI169" s="168">
        <f>IF($C169-AI$1&lt;År1,0,AH168*(1-VLOOKUP($A169,[1]Hugst!$R$5:$W$9,MATCH(ROUNDUP((AI$1)/10,0)*10,[1]Hugst!$R$4:$W$4,0))))</f>
        <v>0</v>
      </c>
      <c r="AJ169" s="168">
        <f>IF($C169-AJ$1&lt;År1,0,AI168*(1-VLOOKUP($A169,[1]Hugst!$R$5:$W$9,MATCH(ROUNDUP((AJ$1)/10,0)*10,[1]Hugst!$R$4:$W$4,0))))</f>
        <v>0</v>
      </c>
    </row>
    <row r="170" spans="1:36" x14ac:dyDescent="0.25">
      <c r="A170" s="168" t="s">
        <v>178</v>
      </c>
      <c r="B170" s="168" t="s">
        <v>24</v>
      </c>
      <c r="C170" s="168">
        <v>2033</v>
      </c>
      <c r="D170" s="168" cm="1">
        <f t="array" ref="D170">(IF(B170="Vestdanmark",Skovbrug!$C$22-(Skovbrug!$C$22)*(1-Skovbrug!$C$9)^(C170-Skovbrug!$B$12),Skovbrug!$F$22-(Skovbrug!$F$22)*(1-Skovbrug!$C$9)^(C170-Skovbrug!$B$12))*VLOOKUP(A170,Skovbrug!$A$13:$D$17,IF('Skovbrug-alder'!C170&lt;=År2,3,4),FALSE)-IF(C170&gt;2020,SUM(INDEX($C$1:$D$311,MATCH(1,(2020=$C$1:$C$311)*(B170=$B$1:$B$311)*(A170=$A$1:$A$311),0),2):D169),0))</f>
        <v>0</v>
      </c>
      <c r="E170" s="168">
        <f t="shared" ca="1" si="3"/>
        <v>0</v>
      </c>
      <c r="F170" s="168">
        <f ca="1">IF(C170&lt;=År2,IF(B170="Vestdanmark",(Arealanvendelse!$M$27-Arealanvendelse!$J$27),(Arealanvendelse!$M$37-Arealanvendelse!$J$37))/(Arealanvendelse!$M$3-Arealanvendelse!$J$3),IF(B170="Vestdanmark",(Arealanvendelse!$P$27-Arealanvendelse!$M$27),(Arealanvendelse!$P$37-Arealanvendelse!$M$37))/(Arealanvendelse!$P$3-Arealanvendelse!$M$3))*VLOOKUP(A170,Skovbrug!$A$13:$D$17,IF('Skovbrug-alder'!C170&lt;=År2,3,4),FALSE)+D170+E170</f>
        <v>0</v>
      </c>
      <c r="G170" s="168">
        <f ca="1">IF($C170-G$1&lt;År1,0,F169*(1-VLOOKUP($A170,[1]Hugst!$R$5:$W$9,MATCH(ROUNDUP((G$1)/10,0)*10,[1]Hugst!$R$4:$W$4,0))))</f>
        <v>0</v>
      </c>
      <c r="H170" s="168">
        <f ca="1">IF($C170-H$1&lt;År1,0,G169*(1-VLOOKUP($A170,[1]Hugst!$R$5:$W$9,MATCH(ROUNDUP((H$1)/10,0)*10,[1]Hugst!$R$4:$W$4,0))))</f>
        <v>0</v>
      </c>
      <c r="I170" s="168">
        <f ca="1">IF($C170-I$1&lt;År1,0,H169*(1-VLOOKUP($A170,[1]Hugst!$R$5:$W$9,MATCH(ROUNDUP((I$1)/10,0)*10,[1]Hugst!$R$4:$W$4,0))))</f>
        <v>0</v>
      </c>
      <c r="J170" s="168">
        <f ca="1">IF($C170-J$1&lt;År1,0,I169*(1-VLOOKUP($A170,[1]Hugst!$R$5:$W$9,MATCH(ROUNDUP((J$1)/10,0)*10,[1]Hugst!$R$4:$W$4,0))))</f>
        <v>0</v>
      </c>
      <c r="K170" s="168">
        <f ca="1">IF($C170-K$1&lt;År1,0,J169*(1-VLOOKUP($A170,[1]Hugst!$R$5:$W$9,MATCH(ROUNDUP((K$1)/10,0)*10,[1]Hugst!$R$4:$W$4,0))))</f>
        <v>0</v>
      </c>
      <c r="L170" s="168">
        <f ca="1">IF($C170-L$1&lt;År1,0,K169*(1-VLOOKUP($A170,[1]Hugst!$R$5:$W$9,MATCH(ROUNDUP((L$1)/10,0)*10,[1]Hugst!$R$4:$W$4,0))))</f>
        <v>0</v>
      </c>
      <c r="M170" s="168">
        <f ca="1">IF($C170-M$1&lt;År1,0,L169*(1-VLOOKUP($A170,[1]Hugst!$R$5:$W$9,MATCH(ROUNDUP((M$1)/10,0)*10,[1]Hugst!$R$4:$W$4,0))))</f>
        <v>0</v>
      </c>
      <c r="N170" s="168">
        <f ca="1">IF($C170-N$1&lt;År1,0,M169*(1-VLOOKUP($A170,[1]Hugst!$R$5:$W$9,MATCH(ROUNDUP((N$1)/10,0)*10,[1]Hugst!$R$4:$W$4,0))))</f>
        <v>0</v>
      </c>
      <c r="O170" s="168">
        <f ca="1">IF($C170-O$1&lt;År1,0,N169*(1-VLOOKUP($A170,[1]Hugst!$R$5:$W$9,MATCH(ROUNDUP((O$1)/10,0)*10,[1]Hugst!$R$4:$W$4,0))))</f>
        <v>0</v>
      </c>
      <c r="P170" s="168">
        <f ca="1">IF($C170-P$1&lt;År1,0,O169*(1-VLOOKUP($A170,[1]Hugst!$R$5:$W$9,MATCH(ROUNDUP((P$1)/10,0)*10,[1]Hugst!$R$4:$W$4,0))))</f>
        <v>0</v>
      </c>
      <c r="Q170" s="168">
        <f ca="1">IF($C170-Q$1&lt;År1,0,P169*(1-VLOOKUP($A170,[1]Hugst!$R$5:$W$9,MATCH(ROUNDUP((Q$1)/10,0)*10,[1]Hugst!$R$4:$W$4,0))))</f>
        <v>0</v>
      </c>
      <c r="R170" s="168">
        <f ca="1">IF($C170-R$1&lt;År1,0,Q169*(1-VLOOKUP($A170,[1]Hugst!$R$5:$W$9,MATCH(ROUNDUP((R$1)/10,0)*10,[1]Hugst!$R$4:$W$4,0))))</f>
        <v>0</v>
      </c>
      <c r="S170" s="168">
        <f ca="1">IF($C170-S$1&lt;År1,0,R169*(1-VLOOKUP($A170,[1]Hugst!$R$5:$W$9,MATCH(ROUNDUP((S$1)/10,0)*10,[1]Hugst!$R$4:$W$4,0))))</f>
        <v>0</v>
      </c>
      <c r="T170" s="168">
        <f>IF($C170-T$1&lt;År1,0,S169*(1-VLOOKUP($A170,[1]Hugst!$R$5:$W$9,MATCH(ROUNDUP((T$1)/10,0)*10,[1]Hugst!$R$4:$W$4,0))))</f>
        <v>0</v>
      </c>
      <c r="U170" s="168">
        <f>IF($C170-U$1&lt;År1,0,T169*(1-VLOOKUP($A170,[1]Hugst!$R$5:$W$9,MATCH(ROUNDUP((U$1)/10,0)*10,[1]Hugst!$R$4:$W$4,0))))</f>
        <v>0</v>
      </c>
      <c r="V170" s="168">
        <f>IF($C170-V$1&lt;År1,0,U169*(1-VLOOKUP($A170,[1]Hugst!$R$5:$W$9,MATCH(ROUNDUP((V$1)/10,0)*10,[1]Hugst!$R$4:$W$4,0))))</f>
        <v>0</v>
      </c>
      <c r="W170" s="168">
        <f>IF($C170-W$1&lt;År1,0,V169*(1-VLOOKUP($A170,[1]Hugst!$R$5:$W$9,MATCH(ROUNDUP((W$1)/10,0)*10,[1]Hugst!$R$4:$W$4,0))))</f>
        <v>0</v>
      </c>
      <c r="X170" s="168">
        <f>IF($C170-X$1&lt;År1,0,W169*(1-VLOOKUP($A170,[1]Hugst!$R$5:$W$9,MATCH(ROUNDUP((X$1)/10,0)*10,[1]Hugst!$R$4:$W$4,0))))</f>
        <v>0</v>
      </c>
      <c r="Y170" s="168">
        <f>IF($C170-Y$1&lt;År1,0,X169*(1-VLOOKUP($A170,[1]Hugst!$R$5:$W$9,MATCH(ROUNDUP((Y$1)/10,0)*10,[1]Hugst!$R$4:$W$4,0))))</f>
        <v>0</v>
      </c>
      <c r="Z170" s="168">
        <f>IF($C170-Z$1&lt;År1,0,Y169*(1-VLOOKUP($A170,[1]Hugst!$R$5:$W$9,MATCH(ROUNDUP((Z$1)/10,0)*10,[1]Hugst!$R$4:$W$4,0))))</f>
        <v>0</v>
      </c>
      <c r="AA170" s="168">
        <f>IF($C170-AA$1&lt;År1,0,Z169*(1-VLOOKUP($A170,[1]Hugst!$R$5:$W$9,MATCH(ROUNDUP((AA$1)/10,0)*10,[1]Hugst!$R$4:$W$4,0))))</f>
        <v>0</v>
      </c>
      <c r="AB170" s="168">
        <f>IF($C170-AB$1&lt;År1,0,AA169*(1-VLOOKUP($A170,[1]Hugst!$R$5:$W$9,MATCH(ROUNDUP((AB$1)/10,0)*10,[1]Hugst!$R$4:$W$4,0))))</f>
        <v>0</v>
      </c>
      <c r="AC170" s="168">
        <f>IF($C170-AC$1&lt;År1,0,AB169*(1-VLOOKUP($A170,[1]Hugst!$R$5:$W$9,MATCH(ROUNDUP((AC$1)/10,0)*10,[1]Hugst!$R$4:$W$4,0))))</f>
        <v>0</v>
      </c>
      <c r="AD170" s="168">
        <f>IF($C170-AD$1&lt;År1,0,AC169*(1-VLOOKUP($A170,[1]Hugst!$R$5:$W$9,MATCH(ROUNDUP((AD$1)/10,0)*10,[1]Hugst!$R$4:$W$4,0))))</f>
        <v>0</v>
      </c>
      <c r="AE170" s="168">
        <f>IF($C170-AE$1&lt;År1,0,AD169*(1-VLOOKUP($A170,[1]Hugst!$R$5:$W$9,MATCH(ROUNDUP((AE$1)/10,0)*10,[1]Hugst!$R$4:$W$4,0))))</f>
        <v>0</v>
      </c>
      <c r="AF170" s="168">
        <f>IF($C170-AF$1&lt;År1,0,AE169*(1-VLOOKUP($A170,[1]Hugst!$R$5:$W$9,MATCH(ROUNDUP((AF$1)/10,0)*10,[1]Hugst!$R$4:$W$4,0))))</f>
        <v>0</v>
      </c>
      <c r="AG170" s="168">
        <f>IF($C170-AG$1&lt;År1,0,AF169*(1-VLOOKUP($A170,[1]Hugst!$R$5:$W$9,MATCH(ROUNDUP((AG$1)/10,0)*10,[1]Hugst!$R$4:$W$4,0))))</f>
        <v>0</v>
      </c>
      <c r="AH170" s="168">
        <f>IF($C170-AH$1&lt;År1,0,AG169*(1-VLOOKUP($A170,[1]Hugst!$R$5:$W$9,MATCH(ROUNDUP((AH$1)/10,0)*10,[1]Hugst!$R$4:$W$4,0))))</f>
        <v>0</v>
      </c>
      <c r="AI170" s="168">
        <f>IF($C170-AI$1&lt;År1,0,AH169*(1-VLOOKUP($A170,[1]Hugst!$R$5:$W$9,MATCH(ROUNDUP((AI$1)/10,0)*10,[1]Hugst!$R$4:$W$4,0))))</f>
        <v>0</v>
      </c>
      <c r="AJ170" s="168">
        <f>IF($C170-AJ$1&lt;År1,0,AI169*(1-VLOOKUP($A170,[1]Hugst!$R$5:$W$9,MATCH(ROUNDUP((AJ$1)/10,0)*10,[1]Hugst!$R$4:$W$4,0))))</f>
        <v>0</v>
      </c>
    </row>
    <row r="171" spans="1:36" x14ac:dyDescent="0.25">
      <c r="A171" s="168" t="s">
        <v>178</v>
      </c>
      <c r="B171" s="168" t="s">
        <v>24</v>
      </c>
      <c r="C171" s="168">
        <v>2034</v>
      </c>
      <c r="D171" s="168" cm="1">
        <f t="array" ref="D171">(IF(B171="Vestdanmark",Skovbrug!$C$22-(Skovbrug!$C$22)*(1-Skovbrug!$C$9)^(C171-Skovbrug!$B$12),Skovbrug!$F$22-(Skovbrug!$F$22)*(1-Skovbrug!$C$9)^(C171-Skovbrug!$B$12))*VLOOKUP(A171,Skovbrug!$A$13:$D$17,IF('Skovbrug-alder'!C171&lt;=År2,3,4),FALSE)-IF(C171&gt;2020,SUM(INDEX($C$1:$D$311,MATCH(1,(2020=$C$1:$C$311)*(B171=$B$1:$B$311)*(A171=$A$1:$A$311),0),2):D170),0))</f>
        <v>0</v>
      </c>
      <c r="E171" s="168">
        <f t="shared" ca="1" si="3"/>
        <v>0</v>
      </c>
      <c r="F171" s="168">
        <f ca="1">IF(C171&lt;=År2,IF(B171="Vestdanmark",(Arealanvendelse!$M$27-Arealanvendelse!$J$27),(Arealanvendelse!$M$37-Arealanvendelse!$J$37))/(Arealanvendelse!$M$3-Arealanvendelse!$J$3),IF(B171="Vestdanmark",(Arealanvendelse!$P$27-Arealanvendelse!$M$27),(Arealanvendelse!$P$37-Arealanvendelse!$M$37))/(Arealanvendelse!$P$3-Arealanvendelse!$M$3))*VLOOKUP(A171,Skovbrug!$A$13:$D$17,IF('Skovbrug-alder'!C171&lt;=År2,3,4),FALSE)+D171+E171</f>
        <v>0</v>
      </c>
      <c r="G171" s="168">
        <f ca="1">IF($C171-G$1&lt;År1,0,F170*(1-VLOOKUP($A171,[1]Hugst!$R$5:$W$9,MATCH(ROUNDUP((G$1)/10,0)*10,[1]Hugst!$R$4:$W$4,0))))</f>
        <v>0</v>
      </c>
      <c r="H171" s="168">
        <f ca="1">IF($C171-H$1&lt;År1,0,G170*(1-VLOOKUP($A171,[1]Hugst!$R$5:$W$9,MATCH(ROUNDUP((H$1)/10,0)*10,[1]Hugst!$R$4:$W$4,0))))</f>
        <v>0</v>
      </c>
      <c r="I171" s="168">
        <f ca="1">IF($C171-I$1&lt;År1,0,H170*(1-VLOOKUP($A171,[1]Hugst!$R$5:$W$9,MATCH(ROUNDUP((I$1)/10,0)*10,[1]Hugst!$R$4:$W$4,0))))</f>
        <v>0</v>
      </c>
      <c r="J171" s="168">
        <f ca="1">IF($C171-J$1&lt;År1,0,I170*(1-VLOOKUP($A171,[1]Hugst!$R$5:$W$9,MATCH(ROUNDUP((J$1)/10,0)*10,[1]Hugst!$R$4:$W$4,0))))</f>
        <v>0</v>
      </c>
      <c r="K171" s="168">
        <f ca="1">IF($C171-K$1&lt;År1,0,J170*(1-VLOOKUP($A171,[1]Hugst!$R$5:$W$9,MATCH(ROUNDUP((K$1)/10,0)*10,[1]Hugst!$R$4:$W$4,0))))</f>
        <v>0</v>
      </c>
      <c r="L171" s="168">
        <f ca="1">IF($C171-L$1&lt;År1,0,K170*(1-VLOOKUP($A171,[1]Hugst!$R$5:$W$9,MATCH(ROUNDUP((L$1)/10,0)*10,[1]Hugst!$R$4:$W$4,0))))</f>
        <v>0</v>
      </c>
      <c r="M171" s="168">
        <f ca="1">IF($C171-M$1&lt;År1,0,L170*(1-VLOOKUP($A171,[1]Hugst!$R$5:$W$9,MATCH(ROUNDUP((M$1)/10,0)*10,[1]Hugst!$R$4:$W$4,0))))</f>
        <v>0</v>
      </c>
      <c r="N171" s="168">
        <f ca="1">IF($C171-N$1&lt;År1,0,M170*(1-VLOOKUP($A171,[1]Hugst!$R$5:$W$9,MATCH(ROUNDUP((N$1)/10,0)*10,[1]Hugst!$R$4:$W$4,0))))</f>
        <v>0</v>
      </c>
      <c r="O171" s="168">
        <f ca="1">IF($C171-O$1&lt;År1,0,N170*(1-VLOOKUP($A171,[1]Hugst!$R$5:$W$9,MATCH(ROUNDUP((O$1)/10,0)*10,[1]Hugst!$R$4:$W$4,0))))</f>
        <v>0</v>
      </c>
      <c r="P171" s="168">
        <f ca="1">IF($C171-P$1&lt;År1,0,O170*(1-VLOOKUP($A171,[1]Hugst!$R$5:$W$9,MATCH(ROUNDUP((P$1)/10,0)*10,[1]Hugst!$R$4:$W$4,0))))</f>
        <v>0</v>
      </c>
      <c r="Q171" s="168">
        <f ca="1">IF($C171-Q$1&lt;År1,0,P170*(1-VLOOKUP($A171,[1]Hugst!$R$5:$W$9,MATCH(ROUNDUP((Q$1)/10,0)*10,[1]Hugst!$R$4:$W$4,0))))</f>
        <v>0</v>
      </c>
      <c r="R171" s="168">
        <f ca="1">IF($C171-R$1&lt;År1,0,Q170*(1-VLOOKUP($A171,[1]Hugst!$R$5:$W$9,MATCH(ROUNDUP((R$1)/10,0)*10,[1]Hugst!$R$4:$W$4,0))))</f>
        <v>0</v>
      </c>
      <c r="S171" s="168">
        <f ca="1">IF($C171-S$1&lt;År1,0,R170*(1-VLOOKUP($A171,[1]Hugst!$R$5:$W$9,MATCH(ROUNDUP((S$1)/10,0)*10,[1]Hugst!$R$4:$W$4,0))))</f>
        <v>0</v>
      </c>
      <c r="T171" s="168">
        <f ca="1">IF($C171-T$1&lt;År1,0,S170*(1-VLOOKUP($A171,[1]Hugst!$R$5:$W$9,MATCH(ROUNDUP((T$1)/10,0)*10,[1]Hugst!$R$4:$W$4,0))))</f>
        <v>0</v>
      </c>
      <c r="U171" s="168">
        <f>IF($C171-U$1&lt;År1,0,T170*(1-VLOOKUP($A171,[1]Hugst!$R$5:$W$9,MATCH(ROUNDUP((U$1)/10,0)*10,[1]Hugst!$R$4:$W$4,0))))</f>
        <v>0</v>
      </c>
      <c r="V171" s="168">
        <f>IF($C171-V$1&lt;År1,0,U170*(1-VLOOKUP($A171,[1]Hugst!$R$5:$W$9,MATCH(ROUNDUP((V$1)/10,0)*10,[1]Hugst!$R$4:$W$4,0))))</f>
        <v>0</v>
      </c>
      <c r="W171" s="168">
        <f>IF($C171-W$1&lt;År1,0,V170*(1-VLOOKUP($A171,[1]Hugst!$R$5:$W$9,MATCH(ROUNDUP((W$1)/10,0)*10,[1]Hugst!$R$4:$W$4,0))))</f>
        <v>0</v>
      </c>
      <c r="X171" s="168">
        <f>IF($C171-X$1&lt;År1,0,W170*(1-VLOOKUP($A171,[1]Hugst!$R$5:$W$9,MATCH(ROUNDUP((X$1)/10,0)*10,[1]Hugst!$R$4:$W$4,0))))</f>
        <v>0</v>
      </c>
      <c r="Y171" s="168">
        <f>IF($C171-Y$1&lt;År1,0,X170*(1-VLOOKUP($A171,[1]Hugst!$R$5:$W$9,MATCH(ROUNDUP((Y$1)/10,0)*10,[1]Hugst!$R$4:$W$4,0))))</f>
        <v>0</v>
      </c>
      <c r="Z171" s="168">
        <f>IF($C171-Z$1&lt;År1,0,Y170*(1-VLOOKUP($A171,[1]Hugst!$R$5:$W$9,MATCH(ROUNDUP((Z$1)/10,0)*10,[1]Hugst!$R$4:$W$4,0))))</f>
        <v>0</v>
      </c>
      <c r="AA171" s="168">
        <f>IF($C171-AA$1&lt;År1,0,Z170*(1-VLOOKUP($A171,[1]Hugst!$R$5:$W$9,MATCH(ROUNDUP((AA$1)/10,0)*10,[1]Hugst!$R$4:$W$4,0))))</f>
        <v>0</v>
      </c>
      <c r="AB171" s="168">
        <f>IF($C171-AB$1&lt;År1,0,AA170*(1-VLOOKUP($A171,[1]Hugst!$R$5:$W$9,MATCH(ROUNDUP((AB$1)/10,0)*10,[1]Hugst!$R$4:$W$4,0))))</f>
        <v>0</v>
      </c>
      <c r="AC171" s="168">
        <f>IF($C171-AC$1&lt;År1,0,AB170*(1-VLOOKUP($A171,[1]Hugst!$R$5:$W$9,MATCH(ROUNDUP((AC$1)/10,0)*10,[1]Hugst!$R$4:$W$4,0))))</f>
        <v>0</v>
      </c>
      <c r="AD171" s="168">
        <f>IF($C171-AD$1&lt;År1,0,AC170*(1-VLOOKUP($A171,[1]Hugst!$R$5:$W$9,MATCH(ROUNDUP((AD$1)/10,0)*10,[1]Hugst!$R$4:$W$4,0))))</f>
        <v>0</v>
      </c>
      <c r="AE171" s="168">
        <f>IF($C171-AE$1&lt;År1,0,AD170*(1-VLOOKUP($A171,[1]Hugst!$R$5:$W$9,MATCH(ROUNDUP((AE$1)/10,0)*10,[1]Hugst!$R$4:$W$4,0))))</f>
        <v>0</v>
      </c>
      <c r="AF171" s="168">
        <f>IF($C171-AF$1&lt;År1,0,AE170*(1-VLOOKUP($A171,[1]Hugst!$R$5:$W$9,MATCH(ROUNDUP((AF$1)/10,0)*10,[1]Hugst!$R$4:$W$4,0))))</f>
        <v>0</v>
      </c>
      <c r="AG171" s="168">
        <f>IF($C171-AG$1&lt;År1,0,AF170*(1-VLOOKUP($A171,[1]Hugst!$R$5:$W$9,MATCH(ROUNDUP((AG$1)/10,0)*10,[1]Hugst!$R$4:$W$4,0))))</f>
        <v>0</v>
      </c>
      <c r="AH171" s="168">
        <f>IF($C171-AH$1&lt;År1,0,AG170*(1-VLOOKUP($A171,[1]Hugst!$R$5:$W$9,MATCH(ROUNDUP((AH$1)/10,0)*10,[1]Hugst!$R$4:$W$4,0))))</f>
        <v>0</v>
      </c>
      <c r="AI171" s="168">
        <f>IF($C171-AI$1&lt;År1,0,AH170*(1-VLOOKUP($A171,[1]Hugst!$R$5:$W$9,MATCH(ROUNDUP((AI$1)/10,0)*10,[1]Hugst!$R$4:$W$4,0))))</f>
        <v>0</v>
      </c>
      <c r="AJ171" s="168">
        <f>IF($C171-AJ$1&lt;År1,0,AI170*(1-VLOOKUP($A171,[1]Hugst!$R$5:$W$9,MATCH(ROUNDUP((AJ$1)/10,0)*10,[1]Hugst!$R$4:$W$4,0))))</f>
        <v>0</v>
      </c>
    </row>
    <row r="172" spans="1:36" x14ac:dyDescent="0.25">
      <c r="A172" s="168" t="s">
        <v>178</v>
      </c>
      <c r="B172" s="168" t="s">
        <v>24</v>
      </c>
      <c r="C172" s="168">
        <v>2035</v>
      </c>
      <c r="D172" s="168" cm="1">
        <f t="array" ref="D172">(IF(B172="Vestdanmark",Skovbrug!$C$22-(Skovbrug!$C$22)*(1-Skovbrug!$C$9)^(C172-Skovbrug!$B$12),Skovbrug!$F$22-(Skovbrug!$F$22)*(1-Skovbrug!$C$9)^(C172-Skovbrug!$B$12))*VLOOKUP(A172,Skovbrug!$A$13:$D$17,IF('Skovbrug-alder'!C172&lt;=År2,3,4),FALSE)-IF(C172&gt;2020,SUM(INDEX($C$1:$D$311,MATCH(1,(2020=$C$1:$C$311)*(B172=$B$1:$B$311)*(A172=$A$1:$A$311),0),2):D171),0))</f>
        <v>0</v>
      </c>
      <c r="E172" s="168">
        <f t="shared" ca="1" si="3"/>
        <v>0</v>
      </c>
      <c r="F172" s="168">
        <f ca="1">IF(C172&lt;=År2,IF(B172="Vestdanmark",(Arealanvendelse!$M$27-Arealanvendelse!$J$27),(Arealanvendelse!$M$37-Arealanvendelse!$J$37))/(Arealanvendelse!$M$3-Arealanvendelse!$J$3),IF(B172="Vestdanmark",(Arealanvendelse!$P$27-Arealanvendelse!$M$27),(Arealanvendelse!$P$37-Arealanvendelse!$M$37))/(Arealanvendelse!$P$3-Arealanvendelse!$M$3))*VLOOKUP(A172,Skovbrug!$A$13:$D$17,IF('Skovbrug-alder'!C172&lt;=År2,3,4),FALSE)+D172+E172</f>
        <v>0</v>
      </c>
      <c r="G172" s="168">
        <f ca="1">IF($C172-G$1&lt;År1,0,F171*(1-VLOOKUP($A172,[1]Hugst!$R$5:$W$9,MATCH(ROUNDUP((G$1)/10,0)*10,[1]Hugst!$R$4:$W$4,0))))</f>
        <v>0</v>
      </c>
      <c r="H172" s="168">
        <f ca="1">IF($C172-H$1&lt;År1,0,G171*(1-VLOOKUP($A172,[1]Hugst!$R$5:$W$9,MATCH(ROUNDUP((H$1)/10,0)*10,[1]Hugst!$R$4:$W$4,0))))</f>
        <v>0</v>
      </c>
      <c r="I172" s="168">
        <f ca="1">IF($C172-I$1&lt;År1,0,H171*(1-VLOOKUP($A172,[1]Hugst!$R$5:$W$9,MATCH(ROUNDUP((I$1)/10,0)*10,[1]Hugst!$R$4:$W$4,0))))</f>
        <v>0</v>
      </c>
      <c r="J172" s="168">
        <f ca="1">IF($C172-J$1&lt;År1,0,I171*(1-VLOOKUP($A172,[1]Hugst!$R$5:$W$9,MATCH(ROUNDUP((J$1)/10,0)*10,[1]Hugst!$R$4:$W$4,0))))</f>
        <v>0</v>
      </c>
      <c r="K172" s="168">
        <f ca="1">IF($C172-K$1&lt;År1,0,J171*(1-VLOOKUP($A172,[1]Hugst!$R$5:$W$9,MATCH(ROUNDUP((K$1)/10,0)*10,[1]Hugst!$R$4:$W$4,0))))</f>
        <v>0</v>
      </c>
      <c r="L172" s="168">
        <f ca="1">IF($C172-L$1&lt;År1,0,K171*(1-VLOOKUP($A172,[1]Hugst!$R$5:$W$9,MATCH(ROUNDUP((L$1)/10,0)*10,[1]Hugst!$R$4:$W$4,0))))</f>
        <v>0</v>
      </c>
      <c r="M172" s="168">
        <f ca="1">IF($C172-M$1&lt;År1,0,L171*(1-VLOOKUP($A172,[1]Hugst!$R$5:$W$9,MATCH(ROUNDUP((M$1)/10,0)*10,[1]Hugst!$R$4:$W$4,0))))</f>
        <v>0</v>
      </c>
      <c r="N172" s="168">
        <f ca="1">IF($C172-N$1&lt;År1,0,M171*(1-VLOOKUP($A172,[1]Hugst!$R$5:$W$9,MATCH(ROUNDUP((N$1)/10,0)*10,[1]Hugst!$R$4:$W$4,0))))</f>
        <v>0</v>
      </c>
      <c r="O172" s="168">
        <f ca="1">IF($C172-O$1&lt;År1,0,N171*(1-VLOOKUP($A172,[1]Hugst!$R$5:$W$9,MATCH(ROUNDUP((O$1)/10,0)*10,[1]Hugst!$R$4:$W$4,0))))</f>
        <v>0</v>
      </c>
      <c r="P172" s="168">
        <f ca="1">IF($C172-P$1&lt;År1,0,O171*(1-VLOOKUP($A172,[1]Hugst!$R$5:$W$9,MATCH(ROUNDUP((P$1)/10,0)*10,[1]Hugst!$R$4:$W$4,0))))</f>
        <v>0</v>
      </c>
      <c r="Q172" s="168">
        <f ca="1">IF($C172-Q$1&lt;År1,0,P171*(1-VLOOKUP($A172,[1]Hugst!$R$5:$W$9,MATCH(ROUNDUP((Q$1)/10,0)*10,[1]Hugst!$R$4:$W$4,0))))</f>
        <v>0</v>
      </c>
      <c r="R172" s="168">
        <f ca="1">IF($C172-R$1&lt;År1,0,Q171*(1-VLOOKUP($A172,[1]Hugst!$R$5:$W$9,MATCH(ROUNDUP((R$1)/10,0)*10,[1]Hugst!$R$4:$W$4,0))))</f>
        <v>0</v>
      </c>
      <c r="S172" s="168">
        <f ca="1">IF($C172-S$1&lt;År1,0,R171*(1-VLOOKUP($A172,[1]Hugst!$R$5:$W$9,MATCH(ROUNDUP((S$1)/10,0)*10,[1]Hugst!$R$4:$W$4,0))))</f>
        <v>0</v>
      </c>
      <c r="T172" s="168">
        <f ca="1">IF($C172-T$1&lt;År1,0,S171*(1-VLOOKUP($A172,[1]Hugst!$R$5:$W$9,MATCH(ROUNDUP((T$1)/10,0)*10,[1]Hugst!$R$4:$W$4,0))))</f>
        <v>0</v>
      </c>
      <c r="U172" s="168">
        <f ca="1">IF($C172-U$1&lt;År1,0,T171*(1-VLOOKUP($A172,[1]Hugst!$R$5:$W$9,MATCH(ROUNDUP((U$1)/10,0)*10,[1]Hugst!$R$4:$W$4,0))))</f>
        <v>0</v>
      </c>
      <c r="V172" s="168">
        <f>IF($C172-V$1&lt;År1,0,U171*(1-VLOOKUP($A172,[1]Hugst!$R$5:$W$9,MATCH(ROUNDUP((V$1)/10,0)*10,[1]Hugst!$R$4:$W$4,0))))</f>
        <v>0</v>
      </c>
      <c r="W172" s="168">
        <f>IF($C172-W$1&lt;År1,0,V171*(1-VLOOKUP($A172,[1]Hugst!$R$5:$W$9,MATCH(ROUNDUP((W$1)/10,0)*10,[1]Hugst!$R$4:$W$4,0))))</f>
        <v>0</v>
      </c>
      <c r="X172" s="168">
        <f>IF($C172-X$1&lt;År1,0,W171*(1-VLOOKUP($A172,[1]Hugst!$R$5:$W$9,MATCH(ROUNDUP((X$1)/10,0)*10,[1]Hugst!$R$4:$W$4,0))))</f>
        <v>0</v>
      </c>
      <c r="Y172" s="168">
        <f>IF($C172-Y$1&lt;År1,0,X171*(1-VLOOKUP($A172,[1]Hugst!$R$5:$W$9,MATCH(ROUNDUP((Y$1)/10,0)*10,[1]Hugst!$R$4:$W$4,0))))</f>
        <v>0</v>
      </c>
      <c r="Z172" s="168">
        <f>IF($C172-Z$1&lt;År1,0,Y171*(1-VLOOKUP($A172,[1]Hugst!$R$5:$W$9,MATCH(ROUNDUP((Z$1)/10,0)*10,[1]Hugst!$R$4:$W$4,0))))</f>
        <v>0</v>
      </c>
      <c r="AA172" s="168">
        <f>IF($C172-AA$1&lt;År1,0,Z171*(1-VLOOKUP($A172,[1]Hugst!$R$5:$W$9,MATCH(ROUNDUP((AA$1)/10,0)*10,[1]Hugst!$R$4:$W$4,0))))</f>
        <v>0</v>
      </c>
      <c r="AB172" s="168">
        <f>IF($C172-AB$1&lt;År1,0,AA171*(1-VLOOKUP($A172,[1]Hugst!$R$5:$W$9,MATCH(ROUNDUP((AB$1)/10,0)*10,[1]Hugst!$R$4:$W$4,0))))</f>
        <v>0</v>
      </c>
      <c r="AC172" s="168">
        <f>IF($C172-AC$1&lt;År1,0,AB171*(1-VLOOKUP($A172,[1]Hugst!$R$5:$W$9,MATCH(ROUNDUP((AC$1)/10,0)*10,[1]Hugst!$R$4:$W$4,0))))</f>
        <v>0</v>
      </c>
      <c r="AD172" s="168">
        <f>IF($C172-AD$1&lt;År1,0,AC171*(1-VLOOKUP($A172,[1]Hugst!$R$5:$W$9,MATCH(ROUNDUP((AD$1)/10,0)*10,[1]Hugst!$R$4:$W$4,0))))</f>
        <v>0</v>
      </c>
      <c r="AE172" s="168">
        <f>IF($C172-AE$1&lt;År1,0,AD171*(1-VLOOKUP($A172,[1]Hugst!$R$5:$W$9,MATCH(ROUNDUP((AE$1)/10,0)*10,[1]Hugst!$R$4:$W$4,0))))</f>
        <v>0</v>
      </c>
      <c r="AF172" s="168">
        <f>IF($C172-AF$1&lt;År1,0,AE171*(1-VLOOKUP($A172,[1]Hugst!$R$5:$W$9,MATCH(ROUNDUP((AF$1)/10,0)*10,[1]Hugst!$R$4:$W$4,0))))</f>
        <v>0</v>
      </c>
      <c r="AG172" s="168">
        <f>IF($C172-AG$1&lt;År1,0,AF171*(1-VLOOKUP($A172,[1]Hugst!$R$5:$W$9,MATCH(ROUNDUP((AG$1)/10,0)*10,[1]Hugst!$R$4:$W$4,0))))</f>
        <v>0</v>
      </c>
      <c r="AH172" s="168">
        <f>IF($C172-AH$1&lt;År1,0,AG171*(1-VLOOKUP($A172,[1]Hugst!$R$5:$W$9,MATCH(ROUNDUP((AH$1)/10,0)*10,[1]Hugst!$R$4:$W$4,0))))</f>
        <v>0</v>
      </c>
      <c r="AI172" s="168">
        <f>IF($C172-AI$1&lt;År1,0,AH171*(1-VLOOKUP($A172,[1]Hugst!$R$5:$W$9,MATCH(ROUNDUP((AI$1)/10,0)*10,[1]Hugst!$R$4:$W$4,0))))</f>
        <v>0</v>
      </c>
      <c r="AJ172" s="168">
        <f>IF($C172-AJ$1&lt;År1,0,AI171*(1-VLOOKUP($A172,[1]Hugst!$R$5:$W$9,MATCH(ROUNDUP((AJ$1)/10,0)*10,[1]Hugst!$R$4:$W$4,0))))</f>
        <v>0</v>
      </c>
    </row>
    <row r="173" spans="1:36" x14ac:dyDescent="0.25">
      <c r="A173" s="168" t="s">
        <v>178</v>
      </c>
      <c r="B173" s="168" t="s">
        <v>24</v>
      </c>
      <c r="C173" s="168">
        <v>2036</v>
      </c>
      <c r="D173" s="168" cm="1">
        <f t="array" ref="D173">(IF(B173="Vestdanmark",Skovbrug!$C$22-(Skovbrug!$C$22)*(1-Skovbrug!$C$9)^(C173-Skovbrug!$B$12),Skovbrug!$F$22-(Skovbrug!$F$22)*(1-Skovbrug!$C$9)^(C173-Skovbrug!$B$12))*VLOOKUP(A173,Skovbrug!$A$13:$D$17,IF('Skovbrug-alder'!C173&lt;=År2,3,4),FALSE)-IF(C173&gt;2020,SUM(INDEX($C$1:$D$311,MATCH(1,(2020=$C$1:$C$311)*(B173=$B$1:$B$311)*(A173=$A$1:$A$311),0),2):D172),0))</f>
        <v>0</v>
      </c>
      <c r="E173" s="168">
        <f t="shared" ca="1" si="3"/>
        <v>0</v>
      </c>
      <c r="F173" s="168">
        <f ca="1">IF(C173&lt;=År2,IF(B173="Vestdanmark",(Arealanvendelse!$M$27-Arealanvendelse!$J$27),(Arealanvendelse!$M$37-Arealanvendelse!$J$37))/(Arealanvendelse!$M$3-Arealanvendelse!$J$3),IF(B173="Vestdanmark",(Arealanvendelse!$P$27-Arealanvendelse!$M$27),(Arealanvendelse!$P$37-Arealanvendelse!$M$37))/(Arealanvendelse!$P$3-Arealanvendelse!$M$3))*VLOOKUP(A173,Skovbrug!$A$13:$D$17,IF('Skovbrug-alder'!C173&lt;=År2,3,4),FALSE)+D173+E173</f>
        <v>0</v>
      </c>
      <c r="G173" s="168">
        <f ca="1">IF($C173-G$1&lt;År1,0,F172*(1-VLOOKUP($A173,[1]Hugst!$R$5:$W$9,MATCH(ROUNDUP((G$1)/10,0)*10,[1]Hugst!$R$4:$W$4,0))))</f>
        <v>0</v>
      </c>
      <c r="H173" s="168">
        <f ca="1">IF($C173-H$1&lt;År1,0,G172*(1-VLOOKUP($A173,[1]Hugst!$R$5:$W$9,MATCH(ROUNDUP((H$1)/10,0)*10,[1]Hugst!$R$4:$W$4,0))))</f>
        <v>0</v>
      </c>
      <c r="I173" s="168">
        <f ca="1">IF($C173-I$1&lt;År1,0,H172*(1-VLOOKUP($A173,[1]Hugst!$R$5:$W$9,MATCH(ROUNDUP((I$1)/10,0)*10,[1]Hugst!$R$4:$W$4,0))))</f>
        <v>0</v>
      </c>
      <c r="J173" s="168">
        <f ca="1">IF($C173-J$1&lt;År1,0,I172*(1-VLOOKUP($A173,[1]Hugst!$R$5:$W$9,MATCH(ROUNDUP((J$1)/10,0)*10,[1]Hugst!$R$4:$W$4,0))))</f>
        <v>0</v>
      </c>
      <c r="K173" s="168">
        <f ca="1">IF($C173-K$1&lt;År1,0,J172*(1-VLOOKUP($A173,[1]Hugst!$R$5:$W$9,MATCH(ROUNDUP((K$1)/10,0)*10,[1]Hugst!$R$4:$W$4,0))))</f>
        <v>0</v>
      </c>
      <c r="L173" s="168">
        <f ca="1">IF($C173-L$1&lt;År1,0,K172*(1-VLOOKUP($A173,[1]Hugst!$R$5:$W$9,MATCH(ROUNDUP((L$1)/10,0)*10,[1]Hugst!$R$4:$W$4,0))))</f>
        <v>0</v>
      </c>
      <c r="M173" s="168">
        <f ca="1">IF($C173-M$1&lt;År1,0,L172*(1-VLOOKUP($A173,[1]Hugst!$R$5:$W$9,MATCH(ROUNDUP((M$1)/10,0)*10,[1]Hugst!$R$4:$W$4,0))))</f>
        <v>0</v>
      </c>
      <c r="N173" s="168">
        <f ca="1">IF($C173-N$1&lt;År1,0,M172*(1-VLOOKUP($A173,[1]Hugst!$R$5:$W$9,MATCH(ROUNDUP((N$1)/10,0)*10,[1]Hugst!$R$4:$W$4,0))))</f>
        <v>0</v>
      </c>
      <c r="O173" s="168">
        <f ca="1">IF($C173-O$1&lt;År1,0,N172*(1-VLOOKUP($A173,[1]Hugst!$R$5:$W$9,MATCH(ROUNDUP((O$1)/10,0)*10,[1]Hugst!$R$4:$W$4,0))))</f>
        <v>0</v>
      </c>
      <c r="P173" s="168">
        <f ca="1">IF($C173-P$1&lt;År1,0,O172*(1-VLOOKUP($A173,[1]Hugst!$R$5:$W$9,MATCH(ROUNDUP((P$1)/10,0)*10,[1]Hugst!$R$4:$W$4,0))))</f>
        <v>0</v>
      </c>
      <c r="Q173" s="168">
        <f ca="1">IF($C173-Q$1&lt;År1,0,P172*(1-VLOOKUP($A173,[1]Hugst!$R$5:$W$9,MATCH(ROUNDUP((Q$1)/10,0)*10,[1]Hugst!$R$4:$W$4,0))))</f>
        <v>0</v>
      </c>
      <c r="R173" s="168">
        <f ca="1">IF($C173-R$1&lt;År1,0,Q172*(1-VLOOKUP($A173,[1]Hugst!$R$5:$W$9,MATCH(ROUNDUP((R$1)/10,0)*10,[1]Hugst!$R$4:$W$4,0))))</f>
        <v>0</v>
      </c>
      <c r="S173" s="168">
        <f ca="1">IF($C173-S$1&lt;År1,0,R172*(1-VLOOKUP($A173,[1]Hugst!$R$5:$W$9,MATCH(ROUNDUP((S$1)/10,0)*10,[1]Hugst!$R$4:$W$4,0))))</f>
        <v>0</v>
      </c>
      <c r="T173" s="168">
        <f ca="1">IF($C173-T$1&lt;År1,0,S172*(1-VLOOKUP($A173,[1]Hugst!$R$5:$W$9,MATCH(ROUNDUP((T$1)/10,0)*10,[1]Hugst!$R$4:$W$4,0))))</f>
        <v>0</v>
      </c>
      <c r="U173" s="168">
        <f ca="1">IF($C173-U$1&lt;År1,0,T172*(1-VLOOKUP($A173,[1]Hugst!$R$5:$W$9,MATCH(ROUNDUP((U$1)/10,0)*10,[1]Hugst!$R$4:$W$4,0))))</f>
        <v>0</v>
      </c>
      <c r="V173" s="168">
        <f ca="1">IF($C173-V$1&lt;År1,0,U172*(1-VLOOKUP($A173,[1]Hugst!$R$5:$W$9,MATCH(ROUNDUP((V$1)/10,0)*10,[1]Hugst!$R$4:$W$4,0))))</f>
        <v>0</v>
      </c>
      <c r="W173" s="168">
        <f>IF($C173-W$1&lt;År1,0,V172*(1-VLOOKUP($A173,[1]Hugst!$R$5:$W$9,MATCH(ROUNDUP((W$1)/10,0)*10,[1]Hugst!$R$4:$W$4,0))))</f>
        <v>0</v>
      </c>
      <c r="X173" s="168">
        <f>IF($C173-X$1&lt;År1,0,W172*(1-VLOOKUP($A173,[1]Hugst!$R$5:$W$9,MATCH(ROUNDUP((X$1)/10,0)*10,[1]Hugst!$R$4:$W$4,0))))</f>
        <v>0</v>
      </c>
      <c r="Y173" s="168">
        <f>IF($C173-Y$1&lt;År1,0,X172*(1-VLOOKUP($A173,[1]Hugst!$R$5:$W$9,MATCH(ROUNDUP((Y$1)/10,0)*10,[1]Hugst!$R$4:$W$4,0))))</f>
        <v>0</v>
      </c>
      <c r="Z173" s="168">
        <f>IF($C173-Z$1&lt;År1,0,Y172*(1-VLOOKUP($A173,[1]Hugst!$R$5:$W$9,MATCH(ROUNDUP((Z$1)/10,0)*10,[1]Hugst!$R$4:$W$4,0))))</f>
        <v>0</v>
      </c>
      <c r="AA173" s="168">
        <f>IF($C173-AA$1&lt;År1,0,Z172*(1-VLOOKUP($A173,[1]Hugst!$R$5:$W$9,MATCH(ROUNDUP((AA$1)/10,0)*10,[1]Hugst!$R$4:$W$4,0))))</f>
        <v>0</v>
      </c>
      <c r="AB173" s="168">
        <f>IF($C173-AB$1&lt;År1,0,AA172*(1-VLOOKUP($A173,[1]Hugst!$R$5:$W$9,MATCH(ROUNDUP((AB$1)/10,0)*10,[1]Hugst!$R$4:$W$4,0))))</f>
        <v>0</v>
      </c>
      <c r="AC173" s="168">
        <f>IF($C173-AC$1&lt;År1,0,AB172*(1-VLOOKUP($A173,[1]Hugst!$R$5:$W$9,MATCH(ROUNDUP((AC$1)/10,0)*10,[1]Hugst!$R$4:$W$4,0))))</f>
        <v>0</v>
      </c>
      <c r="AD173" s="168">
        <f>IF($C173-AD$1&lt;År1,0,AC172*(1-VLOOKUP($A173,[1]Hugst!$R$5:$W$9,MATCH(ROUNDUP((AD$1)/10,0)*10,[1]Hugst!$R$4:$W$4,0))))</f>
        <v>0</v>
      </c>
      <c r="AE173" s="168">
        <f>IF($C173-AE$1&lt;År1,0,AD172*(1-VLOOKUP($A173,[1]Hugst!$R$5:$W$9,MATCH(ROUNDUP((AE$1)/10,0)*10,[1]Hugst!$R$4:$W$4,0))))</f>
        <v>0</v>
      </c>
      <c r="AF173" s="168">
        <f>IF($C173-AF$1&lt;År1,0,AE172*(1-VLOOKUP($A173,[1]Hugst!$R$5:$W$9,MATCH(ROUNDUP((AF$1)/10,0)*10,[1]Hugst!$R$4:$W$4,0))))</f>
        <v>0</v>
      </c>
      <c r="AG173" s="168">
        <f>IF($C173-AG$1&lt;År1,0,AF172*(1-VLOOKUP($A173,[1]Hugst!$R$5:$W$9,MATCH(ROUNDUP((AG$1)/10,0)*10,[1]Hugst!$R$4:$W$4,0))))</f>
        <v>0</v>
      </c>
      <c r="AH173" s="168">
        <f>IF($C173-AH$1&lt;År1,0,AG172*(1-VLOOKUP($A173,[1]Hugst!$R$5:$W$9,MATCH(ROUNDUP((AH$1)/10,0)*10,[1]Hugst!$R$4:$W$4,0))))</f>
        <v>0</v>
      </c>
      <c r="AI173" s="168">
        <f>IF($C173-AI$1&lt;År1,0,AH172*(1-VLOOKUP($A173,[1]Hugst!$R$5:$W$9,MATCH(ROUNDUP((AI$1)/10,0)*10,[1]Hugst!$R$4:$W$4,0))))</f>
        <v>0</v>
      </c>
      <c r="AJ173" s="168">
        <f>IF($C173-AJ$1&lt;År1,0,AI172*(1-VLOOKUP($A173,[1]Hugst!$R$5:$W$9,MATCH(ROUNDUP((AJ$1)/10,0)*10,[1]Hugst!$R$4:$W$4,0))))</f>
        <v>0</v>
      </c>
    </row>
    <row r="174" spans="1:36" x14ac:dyDescent="0.25">
      <c r="A174" s="168" t="s">
        <v>178</v>
      </c>
      <c r="B174" s="168" t="s">
        <v>24</v>
      </c>
      <c r="C174" s="168">
        <v>2037</v>
      </c>
      <c r="D174" s="168" cm="1">
        <f t="array" ref="D174">(IF(B174="Vestdanmark",Skovbrug!$C$22-(Skovbrug!$C$22)*(1-Skovbrug!$C$9)^(C174-Skovbrug!$B$12),Skovbrug!$F$22-(Skovbrug!$F$22)*(1-Skovbrug!$C$9)^(C174-Skovbrug!$B$12))*VLOOKUP(A174,Skovbrug!$A$13:$D$17,IF('Skovbrug-alder'!C174&lt;=År2,3,4),FALSE)-IF(C174&gt;2020,SUM(INDEX($C$1:$D$311,MATCH(1,(2020=$C$1:$C$311)*(B174=$B$1:$B$311)*(A174=$A$1:$A$311),0),2):D173),0))</f>
        <v>0</v>
      </c>
      <c r="E174" s="168">
        <f t="shared" ca="1" si="3"/>
        <v>0</v>
      </c>
      <c r="F174" s="168">
        <f ca="1">IF(C174&lt;=År2,IF(B174="Vestdanmark",(Arealanvendelse!$M$27-Arealanvendelse!$J$27),(Arealanvendelse!$M$37-Arealanvendelse!$J$37))/(Arealanvendelse!$M$3-Arealanvendelse!$J$3),IF(B174="Vestdanmark",(Arealanvendelse!$P$27-Arealanvendelse!$M$27),(Arealanvendelse!$P$37-Arealanvendelse!$M$37))/(Arealanvendelse!$P$3-Arealanvendelse!$M$3))*VLOOKUP(A174,Skovbrug!$A$13:$D$17,IF('Skovbrug-alder'!C174&lt;=År2,3,4),FALSE)+D174+E174</f>
        <v>0</v>
      </c>
      <c r="G174" s="168">
        <f ca="1">IF($C174-G$1&lt;År1,0,F173*(1-VLOOKUP($A174,[1]Hugst!$R$5:$W$9,MATCH(ROUNDUP((G$1)/10,0)*10,[1]Hugst!$R$4:$W$4,0))))</f>
        <v>0</v>
      </c>
      <c r="H174" s="168">
        <f ca="1">IF($C174-H$1&lt;År1,0,G173*(1-VLOOKUP($A174,[1]Hugst!$R$5:$W$9,MATCH(ROUNDUP((H$1)/10,0)*10,[1]Hugst!$R$4:$W$4,0))))</f>
        <v>0</v>
      </c>
      <c r="I174" s="168">
        <f ca="1">IF($C174-I$1&lt;År1,0,H173*(1-VLOOKUP($A174,[1]Hugst!$R$5:$W$9,MATCH(ROUNDUP((I$1)/10,0)*10,[1]Hugst!$R$4:$W$4,0))))</f>
        <v>0</v>
      </c>
      <c r="J174" s="168">
        <f ca="1">IF($C174-J$1&lt;År1,0,I173*(1-VLOOKUP($A174,[1]Hugst!$R$5:$W$9,MATCH(ROUNDUP((J$1)/10,0)*10,[1]Hugst!$R$4:$W$4,0))))</f>
        <v>0</v>
      </c>
      <c r="K174" s="168">
        <f ca="1">IF($C174-K$1&lt;År1,0,J173*(1-VLOOKUP($A174,[1]Hugst!$R$5:$W$9,MATCH(ROUNDUP((K$1)/10,0)*10,[1]Hugst!$R$4:$W$4,0))))</f>
        <v>0</v>
      </c>
      <c r="L174" s="168">
        <f ca="1">IF($C174-L$1&lt;År1,0,K173*(1-VLOOKUP($A174,[1]Hugst!$R$5:$W$9,MATCH(ROUNDUP((L$1)/10,0)*10,[1]Hugst!$R$4:$W$4,0))))</f>
        <v>0</v>
      </c>
      <c r="M174" s="168">
        <f ca="1">IF($C174-M$1&lt;År1,0,L173*(1-VLOOKUP($A174,[1]Hugst!$R$5:$W$9,MATCH(ROUNDUP((M$1)/10,0)*10,[1]Hugst!$R$4:$W$4,0))))</f>
        <v>0</v>
      </c>
      <c r="N174" s="168">
        <f ca="1">IF($C174-N$1&lt;År1,0,M173*(1-VLOOKUP($A174,[1]Hugst!$R$5:$W$9,MATCH(ROUNDUP((N$1)/10,0)*10,[1]Hugst!$R$4:$W$4,0))))</f>
        <v>0</v>
      </c>
      <c r="O174" s="168">
        <f ca="1">IF($C174-O$1&lt;År1,0,N173*(1-VLOOKUP($A174,[1]Hugst!$R$5:$W$9,MATCH(ROUNDUP((O$1)/10,0)*10,[1]Hugst!$R$4:$W$4,0))))</f>
        <v>0</v>
      </c>
      <c r="P174" s="168">
        <f ca="1">IF($C174-P$1&lt;År1,0,O173*(1-VLOOKUP($A174,[1]Hugst!$R$5:$W$9,MATCH(ROUNDUP((P$1)/10,0)*10,[1]Hugst!$R$4:$W$4,0))))</f>
        <v>0</v>
      </c>
      <c r="Q174" s="168">
        <f ca="1">IF($C174-Q$1&lt;År1,0,P173*(1-VLOOKUP($A174,[1]Hugst!$R$5:$W$9,MATCH(ROUNDUP((Q$1)/10,0)*10,[1]Hugst!$R$4:$W$4,0))))</f>
        <v>0</v>
      </c>
      <c r="R174" s="168">
        <f ca="1">IF($C174-R$1&lt;År1,0,Q173*(1-VLOOKUP($A174,[1]Hugst!$R$5:$W$9,MATCH(ROUNDUP((R$1)/10,0)*10,[1]Hugst!$R$4:$W$4,0))))</f>
        <v>0</v>
      </c>
      <c r="S174" s="168">
        <f ca="1">IF($C174-S$1&lt;År1,0,R173*(1-VLOOKUP($A174,[1]Hugst!$R$5:$W$9,MATCH(ROUNDUP((S$1)/10,0)*10,[1]Hugst!$R$4:$W$4,0))))</f>
        <v>0</v>
      </c>
      <c r="T174" s="168">
        <f ca="1">IF($C174-T$1&lt;År1,0,S173*(1-VLOOKUP($A174,[1]Hugst!$R$5:$W$9,MATCH(ROUNDUP((T$1)/10,0)*10,[1]Hugst!$R$4:$W$4,0))))</f>
        <v>0</v>
      </c>
      <c r="U174" s="168">
        <f ca="1">IF($C174-U$1&lt;År1,0,T173*(1-VLOOKUP($A174,[1]Hugst!$R$5:$W$9,MATCH(ROUNDUP((U$1)/10,0)*10,[1]Hugst!$R$4:$W$4,0))))</f>
        <v>0</v>
      </c>
      <c r="V174" s="168">
        <f ca="1">IF($C174-V$1&lt;År1,0,U173*(1-VLOOKUP($A174,[1]Hugst!$R$5:$W$9,MATCH(ROUNDUP((V$1)/10,0)*10,[1]Hugst!$R$4:$W$4,0))))</f>
        <v>0</v>
      </c>
      <c r="W174" s="168">
        <f ca="1">IF($C174-W$1&lt;År1,0,V173*(1-VLOOKUP($A174,[1]Hugst!$R$5:$W$9,MATCH(ROUNDUP((W$1)/10,0)*10,[1]Hugst!$R$4:$W$4,0))))</f>
        <v>0</v>
      </c>
      <c r="X174" s="168">
        <f>IF($C174-X$1&lt;År1,0,W173*(1-VLOOKUP($A174,[1]Hugst!$R$5:$W$9,MATCH(ROUNDUP((X$1)/10,0)*10,[1]Hugst!$R$4:$W$4,0))))</f>
        <v>0</v>
      </c>
      <c r="Y174" s="168">
        <f>IF($C174-Y$1&lt;År1,0,X173*(1-VLOOKUP($A174,[1]Hugst!$R$5:$W$9,MATCH(ROUNDUP((Y$1)/10,0)*10,[1]Hugst!$R$4:$W$4,0))))</f>
        <v>0</v>
      </c>
      <c r="Z174" s="168">
        <f>IF($C174-Z$1&lt;År1,0,Y173*(1-VLOOKUP($A174,[1]Hugst!$R$5:$W$9,MATCH(ROUNDUP((Z$1)/10,0)*10,[1]Hugst!$R$4:$W$4,0))))</f>
        <v>0</v>
      </c>
      <c r="AA174" s="168">
        <f>IF($C174-AA$1&lt;År1,0,Z173*(1-VLOOKUP($A174,[1]Hugst!$R$5:$W$9,MATCH(ROUNDUP((AA$1)/10,0)*10,[1]Hugst!$R$4:$W$4,0))))</f>
        <v>0</v>
      </c>
      <c r="AB174" s="168">
        <f>IF($C174-AB$1&lt;År1,0,AA173*(1-VLOOKUP($A174,[1]Hugst!$R$5:$W$9,MATCH(ROUNDUP((AB$1)/10,0)*10,[1]Hugst!$R$4:$W$4,0))))</f>
        <v>0</v>
      </c>
      <c r="AC174" s="168">
        <f>IF($C174-AC$1&lt;År1,0,AB173*(1-VLOOKUP($A174,[1]Hugst!$R$5:$W$9,MATCH(ROUNDUP((AC$1)/10,0)*10,[1]Hugst!$R$4:$W$4,0))))</f>
        <v>0</v>
      </c>
      <c r="AD174" s="168">
        <f>IF($C174-AD$1&lt;År1,0,AC173*(1-VLOOKUP($A174,[1]Hugst!$R$5:$W$9,MATCH(ROUNDUP((AD$1)/10,0)*10,[1]Hugst!$R$4:$W$4,0))))</f>
        <v>0</v>
      </c>
      <c r="AE174" s="168">
        <f>IF($C174-AE$1&lt;År1,0,AD173*(1-VLOOKUP($A174,[1]Hugst!$R$5:$W$9,MATCH(ROUNDUP((AE$1)/10,0)*10,[1]Hugst!$R$4:$W$4,0))))</f>
        <v>0</v>
      </c>
      <c r="AF174" s="168">
        <f>IF($C174-AF$1&lt;År1,0,AE173*(1-VLOOKUP($A174,[1]Hugst!$R$5:$W$9,MATCH(ROUNDUP((AF$1)/10,0)*10,[1]Hugst!$R$4:$W$4,0))))</f>
        <v>0</v>
      </c>
      <c r="AG174" s="168">
        <f>IF($C174-AG$1&lt;År1,0,AF173*(1-VLOOKUP($A174,[1]Hugst!$R$5:$W$9,MATCH(ROUNDUP((AG$1)/10,0)*10,[1]Hugst!$R$4:$W$4,0))))</f>
        <v>0</v>
      </c>
      <c r="AH174" s="168">
        <f>IF($C174-AH$1&lt;År1,0,AG173*(1-VLOOKUP($A174,[1]Hugst!$R$5:$W$9,MATCH(ROUNDUP((AH$1)/10,0)*10,[1]Hugst!$R$4:$W$4,0))))</f>
        <v>0</v>
      </c>
      <c r="AI174" s="168">
        <f>IF($C174-AI$1&lt;År1,0,AH173*(1-VLOOKUP($A174,[1]Hugst!$R$5:$W$9,MATCH(ROUNDUP((AI$1)/10,0)*10,[1]Hugst!$R$4:$W$4,0))))</f>
        <v>0</v>
      </c>
      <c r="AJ174" s="168">
        <f>IF($C174-AJ$1&lt;År1,0,AI173*(1-VLOOKUP($A174,[1]Hugst!$R$5:$W$9,MATCH(ROUNDUP((AJ$1)/10,0)*10,[1]Hugst!$R$4:$W$4,0))))</f>
        <v>0</v>
      </c>
    </row>
    <row r="175" spans="1:36" x14ac:dyDescent="0.25">
      <c r="A175" s="168" t="s">
        <v>178</v>
      </c>
      <c r="B175" s="168" t="s">
        <v>24</v>
      </c>
      <c r="C175" s="168">
        <v>2038</v>
      </c>
      <c r="D175" s="168" cm="1">
        <f t="array" ref="D175">(IF(B175="Vestdanmark",Skovbrug!$C$22-(Skovbrug!$C$22)*(1-Skovbrug!$C$9)^(C175-Skovbrug!$B$12),Skovbrug!$F$22-(Skovbrug!$F$22)*(1-Skovbrug!$C$9)^(C175-Skovbrug!$B$12))*VLOOKUP(A175,Skovbrug!$A$13:$D$17,IF('Skovbrug-alder'!C175&lt;=År2,3,4),FALSE)-IF(C175&gt;2020,SUM(INDEX($C$1:$D$311,MATCH(1,(2020=$C$1:$C$311)*(B175=$B$1:$B$311)*(A175=$A$1:$A$311),0),2):D174),0))</f>
        <v>0</v>
      </c>
      <c r="E175" s="168">
        <f t="shared" ca="1" si="3"/>
        <v>0</v>
      </c>
      <c r="F175" s="168">
        <f ca="1">IF(C175&lt;=År2,IF(B175="Vestdanmark",(Arealanvendelse!$M$27-Arealanvendelse!$J$27),(Arealanvendelse!$M$37-Arealanvendelse!$J$37))/(Arealanvendelse!$M$3-Arealanvendelse!$J$3),IF(B175="Vestdanmark",(Arealanvendelse!$P$27-Arealanvendelse!$M$27),(Arealanvendelse!$P$37-Arealanvendelse!$M$37))/(Arealanvendelse!$P$3-Arealanvendelse!$M$3))*VLOOKUP(A175,Skovbrug!$A$13:$D$17,IF('Skovbrug-alder'!C175&lt;=År2,3,4),FALSE)+D175+E175</f>
        <v>0</v>
      </c>
      <c r="G175" s="168">
        <f ca="1">IF($C175-G$1&lt;År1,0,F174*(1-VLOOKUP($A175,[1]Hugst!$R$5:$W$9,MATCH(ROUNDUP((G$1)/10,0)*10,[1]Hugst!$R$4:$W$4,0))))</f>
        <v>0</v>
      </c>
      <c r="H175" s="168">
        <f ca="1">IF($C175-H$1&lt;År1,0,G174*(1-VLOOKUP($A175,[1]Hugst!$R$5:$W$9,MATCH(ROUNDUP((H$1)/10,0)*10,[1]Hugst!$R$4:$W$4,0))))</f>
        <v>0</v>
      </c>
      <c r="I175" s="168">
        <f ca="1">IF($C175-I$1&lt;År1,0,H174*(1-VLOOKUP($A175,[1]Hugst!$R$5:$W$9,MATCH(ROUNDUP((I$1)/10,0)*10,[1]Hugst!$R$4:$W$4,0))))</f>
        <v>0</v>
      </c>
      <c r="J175" s="168">
        <f ca="1">IF($C175-J$1&lt;År1,0,I174*(1-VLOOKUP($A175,[1]Hugst!$R$5:$W$9,MATCH(ROUNDUP((J$1)/10,0)*10,[1]Hugst!$R$4:$W$4,0))))</f>
        <v>0</v>
      </c>
      <c r="K175" s="168">
        <f ca="1">IF($C175-K$1&lt;År1,0,J174*(1-VLOOKUP($A175,[1]Hugst!$R$5:$W$9,MATCH(ROUNDUP((K$1)/10,0)*10,[1]Hugst!$R$4:$W$4,0))))</f>
        <v>0</v>
      </c>
      <c r="L175" s="168">
        <f ca="1">IF($C175-L$1&lt;År1,0,K174*(1-VLOOKUP($A175,[1]Hugst!$R$5:$W$9,MATCH(ROUNDUP((L$1)/10,0)*10,[1]Hugst!$R$4:$W$4,0))))</f>
        <v>0</v>
      </c>
      <c r="M175" s="168">
        <f ca="1">IF($C175-M$1&lt;År1,0,L174*(1-VLOOKUP($A175,[1]Hugst!$R$5:$W$9,MATCH(ROUNDUP((M$1)/10,0)*10,[1]Hugst!$R$4:$W$4,0))))</f>
        <v>0</v>
      </c>
      <c r="N175" s="168">
        <f ca="1">IF($C175-N$1&lt;År1,0,M174*(1-VLOOKUP($A175,[1]Hugst!$R$5:$W$9,MATCH(ROUNDUP((N$1)/10,0)*10,[1]Hugst!$R$4:$W$4,0))))</f>
        <v>0</v>
      </c>
      <c r="O175" s="168">
        <f ca="1">IF($C175-O$1&lt;År1,0,N174*(1-VLOOKUP($A175,[1]Hugst!$R$5:$W$9,MATCH(ROUNDUP((O$1)/10,0)*10,[1]Hugst!$R$4:$W$4,0))))</f>
        <v>0</v>
      </c>
      <c r="P175" s="168">
        <f ca="1">IF($C175-P$1&lt;År1,0,O174*(1-VLOOKUP($A175,[1]Hugst!$R$5:$W$9,MATCH(ROUNDUP((P$1)/10,0)*10,[1]Hugst!$R$4:$W$4,0))))</f>
        <v>0</v>
      </c>
      <c r="Q175" s="168">
        <f ca="1">IF($C175-Q$1&lt;År1,0,P174*(1-VLOOKUP($A175,[1]Hugst!$R$5:$W$9,MATCH(ROUNDUP((Q$1)/10,0)*10,[1]Hugst!$R$4:$W$4,0))))</f>
        <v>0</v>
      </c>
      <c r="R175" s="168">
        <f ca="1">IF($C175-R$1&lt;År1,0,Q174*(1-VLOOKUP($A175,[1]Hugst!$R$5:$W$9,MATCH(ROUNDUP((R$1)/10,0)*10,[1]Hugst!$R$4:$W$4,0))))</f>
        <v>0</v>
      </c>
      <c r="S175" s="168">
        <f ca="1">IF($C175-S$1&lt;År1,0,R174*(1-VLOOKUP($A175,[1]Hugst!$R$5:$W$9,MATCH(ROUNDUP((S$1)/10,0)*10,[1]Hugst!$R$4:$W$4,0))))</f>
        <v>0</v>
      </c>
      <c r="T175" s="168">
        <f ca="1">IF($C175-T$1&lt;År1,0,S174*(1-VLOOKUP($A175,[1]Hugst!$R$5:$W$9,MATCH(ROUNDUP((T$1)/10,0)*10,[1]Hugst!$R$4:$W$4,0))))</f>
        <v>0</v>
      </c>
      <c r="U175" s="168">
        <f ca="1">IF($C175-U$1&lt;År1,0,T174*(1-VLOOKUP($A175,[1]Hugst!$R$5:$W$9,MATCH(ROUNDUP((U$1)/10,0)*10,[1]Hugst!$R$4:$W$4,0))))</f>
        <v>0</v>
      </c>
      <c r="V175" s="168">
        <f ca="1">IF($C175-V$1&lt;År1,0,U174*(1-VLOOKUP($A175,[1]Hugst!$R$5:$W$9,MATCH(ROUNDUP((V$1)/10,0)*10,[1]Hugst!$R$4:$W$4,0))))</f>
        <v>0</v>
      </c>
      <c r="W175" s="168">
        <f ca="1">IF($C175-W$1&lt;År1,0,V174*(1-VLOOKUP($A175,[1]Hugst!$R$5:$W$9,MATCH(ROUNDUP((W$1)/10,0)*10,[1]Hugst!$R$4:$W$4,0))))</f>
        <v>0</v>
      </c>
      <c r="X175" s="168">
        <f ca="1">IF($C175-X$1&lt;År1,0,W174*(1-VLOOKUP($A175,[1]Hugst!$R$5:$W$9,MATCH(ROUNDUP((X$1)/10,0)*10,[1]Hugst!$R$4:$W$4,0))))</f>
        <v>0</v>
      </c>
      <c r="Y175" s="168">
        <f>IF($C175-Y$1&lt;År1,0,X174*(1-VLOOKUP($A175,[1]Hugst!$R$5:$W$9,MATCH(ROUNDUP((Y$1)/10,0)*10,[1]Hugst!$R$4:$W$4,0))))</f>
        <v>0</v>
      </c>
      <c r="Z175" s="168">
        <f>IF($C175-Z$1&lt;År1,0,Y174*(1-VLOOKUP($A175,[1]Hugst!$R$5:$W$9,MATCH(ROUNDUP((Z$1)/10,0)*10,[1]Hugst!$R$4:$W$4,0))))</f>
        <v>0</v>
      </c>
      <c r="AA175" s="168">
        <f>IF($C175-AA$1&lt;År1,0,Z174*(1-VLOOKUP($A175,[1]Hugst!$R$5:$W$9,MATCH(ROUNDUP((AA$1)/10,0)*10,[1]Hugst!$R$4:$W$4,0))))</f>
        <v>0</v>
      </c>
      <c r="AB175" s="168">
        <f>IF($C175-AB$1&lt;År1,0,AA174*(1-VLOOKUP($A175,[1]Hugst!$R$5:$W$9,MATCH(ROUNDUP((AB$1)/10,0)*10,[1]Hugst!$R$4:$W$4,0))))</f>
        <v>0</v>
      </c>
      <c r="AC175" s="168">
        <f>IF($C175-AC$1&lt;År1,0,AB174*(1-VLOOKUP($A175,[1]Hugst!$R$5:$W$9,MATCH(ROUNDUP((AC$1)/10,0)*10,[1]Hugst!$R$4:$W$4,0))))</f>
        <v>0</v>
      </c>
      <c r="AD175" s="168">
        <f>IF($C175-AD$1&lt;År1,0,AC174*(1-VLOOKUP($A175,[1]Hugst!$R$5:$W$9,MATCH(ROUNDUP((AD$1)/10,0)*10,[1]Hugst!$R$4:$W$4,0))))</f>
        <v>0</v>
      </c>
      <c r="AE175" s="168">
        <f>IF($C175-AE$1&lt;År1,0,AD174*(1-VLOOKUP($A175,[1]Hugst!$R$5:$W$9,MATCH(ROUNDUP((AE$1)/10,0)*10,[1]Hugst!$R$4:$W$4,0))))</f>
        <v>0</v>
      </c>
      <c r="AF175" s="168">
        <f>IF($C175-AF$1&lt;År1,0,AE174*(1-VLOOKUP($A175,[1]Hugst!$R$5:$W$9,MATCH(ROUNDUP((AF$1)/10,0)*10,[1]Hugst!$R$4:$W$4,0))))</f>
        <v>0</v>
      </c>
      <c r="AG175" s="168">
        <f>IF($C175-AG$1&lt;År1,0,AF174*(1-VLOOKUP($A175,[1]Hugst!$R$5:$W$9,MATCH(ROUNDUP((AG$1)/10,0)*10,[1]Hugst!$R$4:$W$4,0))))</f>
        <v>0</v>
      </c>
      <c r="AH175" s="168">
        <f>IF($C175-AH$1&lt;År1,0,AG174*(1-VLOOKUP($A175,[1]Hugst!$R$5:$W$9,MATCH(ROUNDUP((AH$1)/10,0)*10,[1]Hugst!$R$4:$W$4,0))))</f>
        <v>0</v>
      </c>
      <c r="AI175" s="168">
        <f>IF($C175-AI$1&lt;År1,0,AH174*(1-VLOOKUP($A175,[1]Hugst!$R$5:$W$9,MATCH(ROUNDUP((AI$1)/10,0)*10,[1]Hugst!$R$4:$W$4,0))))</f>
        <v>0</v>
      </c>
      <c r="AJ175" s="168">
        <f>IF($C175-AJ$1&lt;År1,0,AI174*(1-VLOOKUP($A175,[1]Hugst!$R$5:$W$9,MATCH(ROUNDUP((AJ$1)/10,0)*10,[1]Hugst!$R$4:$W$4,0))))</f>
        <v>0</v>
      </c>
    </row>
    <row r="176" spans="1:36" x14ac:dyDescent="0.25">
      <c r="A176" s="168" t="s">
        <v>178</v>
      </c>
      <c r="B176" s="168" t="s">
        <v>24</v>
      </c>
      <c r="C176" s="168">
        <v>2039</v>
      </c>
      <c r="D176" s="168" cm="1">
        <f t="array" ref="D176">(IF(B176="Vestdanmark",Skovbrug!$C$22-(Skovbrug!$C$22)*(1-Skovbrug!$C$9)^(C176-Skovbrug!$B$12),Skovbrug!$F$22-(Skovbrug!$F$22)*(1-Skovbrug!$C$9)^(C176-Skovbrug!$B$12))*VLOOKUP(A176,Skovbrug!$A$13:$D$17,IF('Skovbrug-alder'!C176&lt;=År2,3,4),FALSE)-IF(C176&gt;2020,SUM(INDEX($C$1:$D$311,MATCH(1,(2020=$C$1:$C$311)*(B176=$B$1:$B$311)*(A176=$A$1:$A$311),0),2):D175),0))</f>
        <v>0</v>
      </c>
      <c r="E176" s="168">
        <f t="shared" ca="1" si="3"/>
        <v>0</v>
      </c>
      <c r="F176" s="168">
        <f ca="1">IF(C176&lt;=År2,IF(B176="Vestdanmark",(Arealanvendelse!$M$27-Arealanvendelse!$J$27),(Arealanvendelse!$M$37-Arealanvendelse!$J$37))/(Arealanvendelse!$M$3-Arealanvendelse!$J$3),IF(B176="Vestdanmark",(Arealanvendelse!$P$27-Arealanvendelse!$M$27),(Arealanvendelse!$P$37-Arealanvendelse!$M$37))/(Arealanvendelse!$P$3-Arealanvendelse!$M$3))*VLOOKUP(A176,Skovbrug!$A$13:$D$17,IF('Skovbrug-alder'!C176&lt;=År2,3,4),FALSE)+D176+E176</f>
        <v>0</v>
      </c>
      <c r="G176" s="168">
        <f ca="1">IF($C176-G$1&lt;År1,0,F175*(1-VLOOKUP($A176,[1]Hugst!$R$5:$W$9,MATCH(ROUNDUP((G$1)/10,0)*10,[1]Hugst!$R$4:$W$4,0))))</f>
        <v>0</v>
      </c>
      <c r="H176" s="168">
        <f ca="1">IF($C176-H$1&lt;År1,0,G175*(1-VLOOKUP($A176,[1]Hugst!$R$5:$W$9,MATCH(ROUNDUP((H$1)/10,0)*10,[1]Hugst!$R$4:$W$4,0))))</f>
        <v>0</v>
      </c>
      <c r="I176" s="168">
        <f ca="1">IF($C176-I$1&lt;År1,0,H175*(1-VLOOKUP($A176,[1]Hugst!$R$5:$W$9,MATCH(ROUNDUP((I$1)/10,0)*10,[1]Hugst!$R$4:$W$4,0))))</f>
        <v>0</v>
      </c>
      <c r="J176" s="168">
        <f ca="1">IF($C176-J$1&lt;År1,0,I175*(1-VLOOKUP($A176,[1]Hugst!$R$5:$W$9,MATCH(ROUNDUP((J$1)/10,0)*10,[1]Hugst!$R$4:$W$4,0))))</f>
        <v>0</v>
      </c>
      <c r="K176" s="168">
        <f ca="1">IF($C176-K$1&lt;År1,0,J175*(1-VLOOKUP($A176,[1]Hugst!$R$5:$W$9,MATCH(ROUNDUP((K$1)/10,0)*10,[1]Hugst!$R$4:$W$4,0))))</f>
        <v>0</v>
      </c>
      <c r="L176" s="168">
        <f ca="1">IF($C176-L$1&lt;År1,0,K175*(1-VLOOKUP($A176,[1]Hugst!$R$5:$W$9,MATCH(ROUNDUP((L$1)/10,0)*10,[1]Hugst!$R$4:$W$4,0))))</f>
        <v>0</v>
      </c>
      <c r="M176" s="168">
        <f ca="1">IF($C176-M$1&lt;År1,0,L175*(1-VLOOKUP($A176,[1]Hugst!$R$5:$W$9,MATCH(ROUNDUP((M$1)/10,0)*10,[1]Hugst!$R$4:$W$4,0))))</f>
        <v>0</v>
      </c>
      <c r="N176" s="168">
        <f ca="1">IF($C176-N$1&lt;År1,0,M175*(1-VLOOKUP($A176,[1]Hugst!$R$5:$W$9,MATCH(ROUNDUP((N$1)/10,0)*10,[1]Hugst!$R$4:$W$4,0))))</f>
        <v>0</v>
      </c>
      <c r="O176" s="168">
        <f ca="1">IF($C176-O$1&lt;År1,0,N175*(1-VLOOKUP($A176,[1]Hugst!$R$5:$W$9,MATCH(ROUNDUP((O$1)/10,0)*10,[1]Hugst!$R$4:$W$4,0))))</f>
        <v>0</v>
      </c>
      <c r="P176" s="168">
        <f ca="1">IF($C176-P$1&lt;År1,0,O175*(1-VLOOKUP($A176,[1]Hugst!$R$5:$W$9,MATCH(ROUNDUP((P$1)/10,0)*10,[1]Hugst!$R$4:$W$4,0))))</f>
        <v>0</v>
      </c>
      <c r="Q176" s="168">
        <f ca="1">IF($C176-Q$1&lt;År1,0,P175*(1-VLOOKUP($A176,[1]Hugst!$R$5:$W$9,MATCH(ROUNDUP((Q$1)/10,0)*10,[1]Hugst!$R$4:$W$4,0))))</f>
        <v>0</v>
      </c>
      <c r="R176" s="168">
        <f ca="1">IF($C176-R$1&lt;År1,0,Q175*(1-VLOOKUP($A176,[1]Hugst!$R$5:$W$9,MATCH(ROUNDUP((R$1)/10,0)*10,[1]Hugst!$R$4:$W$4,0))))</f>
        <v>0</v>
      </c>
      <c r="S176" s="168">
        <f ca="1">IF($C176-S$1&lt;År1,0,R175*(1-VLOOKUP($A176,[1]Hugst!$R$5:$W$9,MATCH(ROUNDUP((S$1)/10,0)*10,[1]Hugst!$R$4:$W$4,0))))</f>
        <v>0</v>
      </c>
      <c r="T176" s="168">
        <f ca="1">IF($C176-T$1&lt;År1,0,S175*(1-VLOOKUP($A176,[1]Hugst!$R$5:$W$9,MATCH(ROUNDUP((T$1)/10,0)*10,[1]Hugst!$R$4:$W$4,0))))</f>
        <v>0</v>
      </c>
      <c r="U176" s="168">
        <f ca="1">IF($C176-U$1&lt;År1,0,T175*(1-VLOOKUP($A176,[1]Hugst!$R$5:$W$9,MATCH(ROUNDUP((U$1)/10,0)*10,[1]Hugst!$R$4:$W$4,0))))</f>
        <v>0</v>
      </c>
      <c r="V176" s="168">
        <f ca="1">IF($C176-V$1&lt;År1,0,U175*(1-VLOOKUP($A176,[1]Hugst!$R$5:$W$9,MATCH(ROUNDUP((V$1)/10,0)*10,[1]Hugst!$R$4:$W$4,0))))</f>
        <v>0</v>
      </c>
      <c r="W176" s="168">
        <f ca="1">IF($C176-W$1&lt;År1,0,V175*(1-VLOOKUP($A176,[1]Hugst!$R$5:$W$9,MATCH(ROUNDUP((W$1)/10,0)*10,[1]Hugst!$R$4:$W$4,0))))</f>
        <v>0</v>
      </c>
      <c r="X176" s="168">
        <f ca="1">IF($C176-X$1&lt;År1,0,W175*(1-VLOOKUP($A176,[1]Hugst!$R$5:$W$9,MATCH(ROUNDUP((X$1)/10,0)*10,[1]Hugst!$R$4:$W$4,0))))</f>
        <v>0</v>
      </c>
      <c r="Y176" s="168">
        <f ca="1">IF($C176-Y$1&lt;År1,0,X175*(1-VLOOKUP($A176,[1]Hugst!$R$5:$W$9,MATCH(ROUNDUP((Y$1)/10,0)*10,[1]Hugst!$R$4:$W$4,0))))</f>
        <v>0</v>
      </c>
      <c r="Z176" s="168">
        <f>IF($C176-Z$1&lt;År1,0,Y175*(1-VLOOKUP($A176,[1]Hugst!$R$5:$W$9,MATCH(ROUNDUP((Z$1)/10,0)*10,[1]Hugst!$R$4:$W$4,0))))</f>
        <v>0</v>
      </c>
      <c r="AA176" s="168">
        <f>IF($C176-AA$1&lt;År1,0,Z175*(1-VLOOKUP($A176,[1]Hugst!$R$5:$W$9,MATCH(ROUNDUP((AA$1)/10,0)*10,[1]Hugst!$R$4:$W$4,0))))</f>
        <v>0</v>
      </c>
      <c r="AB176" s="168">
        <f>IF($C176-AB$1&lt;År1,0,AA175*(1-VLOOKUP($A176,[1]Hugst!$R$5:$W$9,MATCH(ROUNDUP((AB$1)/10,0)*10,[1]Hugst!$R$4:$W$4,0))))</f>
        <v>0</v>
      </c>
      <c r="AC176" s="168">
        <f>IF($C176-AC$1&lt;År1,0,AB175*(1-VLOOKUP($A176,[1]Hugst!$R$5:$W$9,MATCH(ROUNDUP((AC$1)/10,0)*10,[1]Hugst!$R$4:$W$4,0))))</f>
        <v>0</v>
      </c>
      <c r="AD176" s="168">
        <f>IF($C176-AD$1&lt;År1,0,AC175*(1-VLOOKUP($A176,[1]Hugst!$R$5:$W$9,MATCH(ROUNDUP((AD$1)/10,0)*10,[1]Hugst!$R$4:$W$4,0))))</f>
        <v>0</v>
      </c>
      <c r="AE176" s="168">
        <f>IF($C176-AE$1&lt;År1,0,AD175*(1-VLOOKUP($A176,[1]Hugst!$R$5:$W$9,MATCH(ROUNDUP((AE$1)/10,0)*10,[1]Hugst!$R$4:$W$4,0))))</f>
        <v>0</v>
      </c>
      <c r="AF176" s="168">
        <f>IF($C176-AF$1&lt;År1,0,AE175*(1-VLOOKUP($A176,[1]Hugst!$R$5:$W$9,MATCH(ROUNDUP((AF$1)/10,0)*10,[1]Hugst!$R$4:$W$4,0))))</f>
        <v>0</v>
      </c>
      <c r="AG176" s="168">
        <f>IF($C176-AG$1&lt;År1,0,AF175*(1-VLOOKUP($A176,[1]Hugst!$R$5:$W$9,MATCH(ROUNDUP((AG$1)/10,0)*10,[1]Hugst!$R$4:$W$4,0))))</f>
        <v>0</v>
      </c>
      <c r="AH176" s="168">
        <f>IF($C176-AH$1&lt;År1,0,AG175*(1-VLOOKUP($A176,[1]Hugst!$R$5:$W$9,MATCH(ROUNDUP((AH$1)/10,0)*10,[1]Hugst!$R$4:$W$4,0))))</f>
        <v>0</v>
      </c>
      <c r="AI176" s="168">
        <f>IF($C176-AI$1&lt;År1,0,AH175*(1-VLOOKUP($A176,[1]Hugst!$R$5:$W$9,MATCH(ROUNDUP((AI$1)/10,0)*10,[1]Hugst!$R$4:$W$4,0))))</f>
        <v>0</v>
      </c>
      <c r="AJ176" s="168">
        <f>IF($C176-AJ$1&lt;År1,0,AI175*(1-VLOOKUP($A176,[1]Hugst!$R$5:$W$9,MATCH(ROUNDUP((AJ$1)/10,0)*10,[1]Hugst!$R$4:$W$4,0))))</f>
        <v>0</v>
      </c>
    </row>
    <row r="177" spans="1:36" x14ac:dyDescent="0.25">
      <c r="A177" s="168" t="s">
        <v>178</v>
      </c>
      <c r="B177" s="168" t="s">
        <v>24</v>
      </c>
      <c r="C177" s="168">
        <v>2040</v>
      </c>
      <c r="D177" s="168" cm="1">
        <f t="array" ref="D177">(IF(B177="Vestdanmark",Skovbrug!$C$22-(Skovbrug!$C$22)*(1-Skovbrug!$C$9)^(C177-Skovbrug!$B$12),Skovbrug!$F$22-(Skovbrug!$F$22)*(1-Skovbrug!$C$9)^(C177-Skovbrug!$B$12))*VLOOKUP(A177,Skovbrug!$A$13:$D$17,IF('Skovbrug-alder'!C177&lt;=År2,3,4),FALSE)-IF(C177&gt;2020,SUM(INDEX($C$1:$D$311,MATCH(1,(2020=$C$1:$C$311)*(B177=$B$1:$B$311)*(A177=$A$1:$A$311),0),2):D176),0))</f>
        <v>0</v>
      </c>
      <c r="E177" s="168">
        <f t="shared" ca="1" si="3"/>
        <v>0</v>
      </c>
      <c r="F177" s="168">
        <f ca="1">IF(C177&lt;=År2,IF(B177="Vestdanmark",(Arealanvendelse!$M$27-Arealanvendelse!$J$27),(Arealanvendelse!$M$37-Arealanvendelse!$J$37))/(Arealanvendelse!$M$3-Arealanvendelse!$J$3),IF(B177="Vestdanmark",(Arealanvendelse!$P$27-Arealanvendelse!$M$27),(Arealanvendelse!$P$37-Arealanvendelse!$M$37))/(Arealanvendelse!$P$3-Arealanvendelse!$M$3))*VLOOKUP(A177,Skovbrug!$A$13:$D$17,IF('Skovbrug-alder'!C177&lt;=År2,3,4),FALSE)+D177+E177</f>
        <v>0</v>
      </c>
      <c r="G177" s="168">
        <f ca="1">IF($C177-G$1&lt;År1,0,F176*(1-VLOOKUP($A177,[1]Hugst!$R$5:$W$9,MATCH(ROUNDUP((G$1)/10,0)*10,[1]Hugst!$R$4:$W$4,0))))</f>
        <v>0</v>
      </c>
      <c r="H177" s="168">
        <f ca="1">IF($C177-H$1&lt;År1,0,G176*(1-VLOOKUP($A177,[1]Hugst!$R$5:$W$9,MATCH(ROUNDUP((H$1)/10,0)*10,[1]Hugst!$R$4:$W$4,0))))</f>
        <v>0</v>
      </c>
      <c r="I177" s="168">
        <f ca="1">IF($C177-I$1&lt;År1,0,H176*(1-VLOOKUP($A177,[1]Hugst!$R$5:$W$9,MATCH(ROUNDUP((I$1)/10,0)*10,[1]Hugst!$R$4:$W$4,0))))</f>
        <v>0</v>
      </c>
      <c r="J177" s="168">
        <f ca="1">IF($C177-J$1&lt;År1,0,I176*(1-VLOOKUP($A177,[1]Hugst!$R$5:$W$9,MATCH(ROUNDUP((J$1)/10,0)*10,[1]Hugst!$R$4:$W$4,0))))</f>
        <v>0</v>
      </c>
      <c r="K177" s="168">
        <f ca="1">IF($C177-K$1&lt;År1,0,J176*(1-VLOOKUP($A177,[1]Hugst!$R$5:$W$9,MATCH(ROUNDUP((K$1)/10,0)*10,[1]Hugst!$R$4:$W$4,0))))</f>
        <v>0</v>
      </c>
      <c r="L177" s="168">
        <f ca="1">IF($C177-L$1&lt;År1,0,K176*(1-VLOOKUP($A177,[1]Hugst!$R$5:$W$9,MATCH(ROUNDUP((L$1)/10,0)*10,[1]Hugst!$R$4:$W$4,0))))</f>
        <v>0</v>
      </c>
      <c r="M177" s="168">
        <f ca="1">IF($C177-M$1&lt;År1,0,L176*(1-VLOOKUP($A177,[1]Hugst!$R$5:$W$9,MATCH(ROUNDUP((M$1)/10,0)*10,[1]Hugst!$R$4:$W$4,0))))</f>
        <v>0</v>
      </c>
      <c r="N177" s="168">
        <f ca="1">IF($C177-N$1&lt;År1,0,M176*(1-VLOOKUP($A177,[1]Hugst!$R$5:$W$9,MATCH(ROUNDUP((N$1)/10,0)*10,[1]Hugst!$R$4:$W$4,0))))</f>
        <v>0</v>
      </c>
      <c r="O177" s="168">
        <f ca="1">IF($C177-O$1&lt;År1,0,N176*(1-VLOOKUP($A177,[1]Hugst!$R$5:$W$9,MATCH(ROUNDUP((O$1)/10,0)*10,[1]Hugst!$R$4:$W$4,0))))</f>
        <v>0</v>
      </c>
      <c r="P177" s="168">
        <f ca="1">IF($C177-P$1&lt;År1,0,O176*(1-VLOOKUP($A177,[1]Hugst!$R$5:$W$9,MATCH(ROUNDUP((P$1)/10,0)*10,[1]Hugst!$R$4:$W$4,0))))</f>
        <v>0</v>
      </c>
      <c r="Q177" s="168">
        <f ca="1">IF($C177-Q$1&lt;År1,0,P176*(1-VLOOKUP($A177,[1]Hugst!$R$5:$W$9,MATCH(ROUNDUP((Q$1)/10,0)*10,[1]Hugst!$R$4:$W$4,0))))</f>
        <v>0</v>
      </c>
      <c r="R177" s="168">
        <f ca="1">IF($C177-R$1&lt;År1,0,Q176*(1-VLOOKUP($A177,[1]Hugst!$R$5:$W$9,MATCH(ROUNDUP((R$1)/10,0)*10,[1]Hugst!$R$4:$W$4,0))))</f>
        <v>0</v>
      </c>
      <c r="S177" s="168">
        <f ca="1">IF($C177-S$1&lt;År1,0,R176*(1-VLOOKUP($A177,[1]Hugst!$R$5:$W$9,MATCH(ROUNDUP((S$1)/10,0)*10,[1]Hugst!$R$4:$W$4,0))))</f>
        <v>0</v>
      </c>
      <c r="T177" s="168">
        <f ca="1">IF($C177-T$1&lt;År1,0,S176*(1-VLOOKUP($A177,[1]Hugst!$R$5:$W$9,MATCH(ROUNDUP((T$1)/10,0)*10,[1]Hugst!$R$4:$W$4,0))))</f>
        <v>0</v>
      </c>
      <c r="U177" s="168">
        <f ca="1">IF($C177-U$1&lt;År1,0,T176*(1-VLOOKUP($A177,[1]Hugst!$R$5:$W$9,MATCH(ROUNDUP((U$1)/10,0)*10,[1]Hugst!$R$4:$W$4,0))))</f>
        <v>0</v>
      </c>
      <c r="V177" s="168">
        <f ca="1">IF($C177-V$1&lt;År1,0,U176*(1-VLOOKUP($A177,[1]Hugst!$R$5:$W$9,MATCH(ROUNDUP((V$1)/10,0)*10,[1]Hugst!$R$4:$W$4,0))))</f>
        <v>0</v>
      </c>
      <c r="W177" s="168">
        <f ca="1">IF($C177-W$1&lt;År1,0,V176*(1-VLOOKUP($A177,[1]Hugst!$R$5:$W$9,MATCH(ROUNDUP((W$1)/10,0)*10,[1]Hugst!$R$4:$W$4,0))))</f>
        <v>0</v>
      </c>
      <c r="X177" s="168">
        <f ca="1">IF($C177-X$1&lt;År1,0,W176*(1-VLOOKUP($A177,[1]Hugst!$R$5:$W$9,MATCH(ROUNDUP((X$1)/10,0)*10,[1]Hugst!$R$4:$W$4,0))))</f>
        <v>0</v>
      </c>
      <c r="Y177" s="168">
        <f ca="1">IF($C177-Y$1&lt;År1,0,X176*(1-VLOOKUP($A177,[1]Hugst!$R$5:$W$9,MATCH(ROUNDUP((Y$1)/10,0)*10,[1]Hugst!$R$4:$W$4,0))))</f>
        <v>0</v>
      </c>
      <c r="Z177" s="168">
        <f ca="1">IF($C177-Z$1&lt;År1,0,Y176*(1-VLOOKUP($A177,[1]Hugst!$R$5:$W$9,MATCH(ROUNDUP((Z$1)/10,0)*10,[1]Hugst!$R$4:$W$4,0))))</f>
        <v>0</v>
      </c>
      <c r="AA177" s="168">
        <f>IF($C177-AA$1&lt;År1,0,Z176*(1-VLOOKUP($A177,[1]Hugst!$R$5:$W$9,MATCH(ROUNDUP((AA$1)/10,0)*10,[1]Hugst!$R$4:$W$4,0))))</f>
        <v>0</v>
      </c>
      <c r="AB177" s="168">
        <f>IF($C177-AB$1&lt;År1,0,AA176*(1-VLOOKUP($A177,[1]Hugst!$R$5:$W$9,MATCH(ROUNDUP((AB$1)/10,0)*10,[1]Hugst!$R$4:$W$4,0))))</f>
        <v>0</v>
      </c>
      <c r="AC177" s="168">
        <f>IF($C177-AC$1&lt;År1,0,AB176*(1-VLOOKUP($A177,[1]Hugst!$R$5:$W$9,MATCH(ROUNDUP((AC$1)/10,0)*10,[1]Hugst!$R$4:$W$4,0))))</f>
        <v>0</v>
      </c>
      <c r="AD177" s="168">
        <f>IF($C177-AD$1&lt;År1,0,AC176*(1-VLOOKUP($A177,[1]Hugst!$R$5:$W$9,MATCH(ROUNDUP((AD$1)/10,0)*10,[1]Hugst!$R$4:$W$4,0))))</f>
        <v>0</v>
      </c>
      <c r="AE177" s="168">
        <f>IF($C177-AE$1&lt;År1,0,AD176*(1-VLOOKUP($A177,[1]Hugst!$R$5:$W$9,MATCH(ROUNDUP((AE$1)/10,0)*10,[1]Hugst!$R$4:$W$4,0))))</f>
        <v>0</v>
      </c>
      <c r="AF177" s="168">
        <f>IF($C177-AF$1&lt;År1,0,AE176*(1-VLOOKUP($A177,[1]Hugst!$R$5:$W$9,MATCH(ROUNDUP((AF$1)/10,0)*10,[1]Hugst!$R$4:$W$4,0))))</f>
        <v>0</v>
      </c>
      <c r="AG177" s="168">
        <f>IF($C177-AG$1&lt;År1,0,AF176*(1-VLOOKUP($A177,[1]Hugst!$R$5:$W$9,MATCH(ROUNDUP((AG$1)/10,0)*10,[1]Hugst!$R$4:$W$4,0))))</f>
        <v>0</v>
      </c>
      <c r="AH177" s="168">
        <f>IF($C177-AH$1&lt;År1,0,AG176*(1-VLOOKUP($A177,[1]Hugst!$R$5:$W$9,MATCH(ROUNDUP((AH$1)/10,0)*10,[1]Hugst!$R$4:$W$4,0))))</f>
        <v>0</v>
      </c>
      <c r="AI177" s="168">
        <f>IF($C177-AI$1&lt;År1,0,AH176*(1-VLOOKUP($A177,[1]Hugst!$R$5:$W$9,MATCH(ROUNDUP((AI$1)/10,0)*10,[1]Hugst!$R$4:$W$4,0))))</f>
        <v>0</v>
      </c>
      <c r="AJ177" s="168">
        <f>IF($C177-AJ$1&lt;År1,0,AI176*(1-VLOOKUP($A177,[1]Hugst!$R$5:$W$9,MATCH(ROUNDUP((AJ$1)/10,0)*10,[1]Hugst!$R$4:$W$4,0))))</f>
        <v>0</v>
      </c>
    </row>
    <row r="178" spans="1:36" x14ac:dyDescent="0.25">
      <c r="A178" s="168" t="s">
        <v>178</v>
      </c>
      <c r="B178" s="168" t="s">
        <v>24</v>
      </c>
      <c r="C178" s="168">
        <v>2041</v>
      </c>
      <c r="D178" s="168" cm="1">
        <f t="array" ref="D178">(IF(B178="Vestdanmark",Skovbrug!$C$22-(Skovbrug!$C$22)*(1-Skovbrug!$C$9)^(C178-Skovbrug!$B$12),Skovbrug!$F$22-(Skovbrug!$F$22)*(1-Skovbrug!$C$9)^(C178-Skovbrug!$B$12))*VLOOKUP(A178,Skovbrug!$A$13:$D$17,IF('Skovbrug-alder'!C178&lt;=År2,3,4),FALSE)-IF(C178&gt;2020,SUM(INDEX($C$1:$D$311,MATCH(1,(2020=$C$1:$C$311)*(B178=$B$1:$B$311)*(A178=$A$1:$A$311),0),2):D177),0))</f>
        <v>0</v>
      </c>
      <c r="E178" s="168">
        <f t="shared" ca="1" si="3"/>
        <v>0</v>
      </c>
      <c r="F178" s="168">
        <f ca="1">IF(C178&lt;=År2,IF(B178="Vestdanmark",(Arealanvendelse!$M$27-Arealanvendelse!$J$27),(Arealanvendelse!$M$37-Arealanvendelse!$J$37))/(Arealanvendelse!$M$3-Arealanvendelse!$J$3),IF(B178="Vestdanmark",(Arealanvendelse!$P$27-Arealanvendelse!$M$27),(Arealanvendelse!$P$37-Arealanvendelse!$M$37))/(Arealanvendelse!$P$3-Arealanvendelse!$M$3))*VLOOKUP(A178,Skovbrug!$A$13:$D$17,IF('Skovbrug-alder'!C178&lt;=År2,3,4),FALSE)+D178+E178</f>
        <v>0</v>
      </c>
      <c r="G178" s="168">
        <f ca="1">IF($C178-G$1&lt;År1,0,F177*(1-VLOOKUP($A178,[1]Hugst!$R$5:$W$9,MATCH(ROUNDUP((G$1)/10,0)*10,[1]Hugst!$R$4:$W$4,0))))</f>
        <v>0</v>
      </c>
      <c r="H178" s="168">
        <f ca="1">IF($C178-H$1&lt;År1,0,G177*(1-VLOOKUP($A178,[1]Hugst!$R$5:$W$9,MATCH(ROUNDUP((H$1)/10,0)*10,[1]Hugst!$R$4:$W$4,0))))</f>
        <v>0</v>
      </c>
      <c r="I178" s="168">
        <f ca="1">IF($C178-I$1&lt;År1,0,H177*(1-VLOOKUP($A178,[1]Hugst!$R$5:$W$9,MATCH(ROUNDUP((I$1)/10,0)*10,[1]Hugst!$R$4:$W$4,0))))</f>
        <v>0</v>
      </c>
      <c r="J178" s="168">
        <f ca="1">IF($C178-J$1&lt;År1,0,I177*(1-VLOOKUP($A178,[1]Hugst!$R$5:$W$9,MATCH(ROUNDUP((J$1)/10,0)*10,[1]Hugst!$R$4:$W$4,0))))</f>
        <v>0</v>
      </c>
      <c r="K178" s="168">
        <f ca="1">IF($C178-K$1&lt;År1,0,J177*(1-VLOOKUP($A178,[1]Hugst!$R$5:$W$9,MATCH(ROUNDUP((K$1)/10,0)*10,[1]Hugst!$R$4:$W$4,0))))</f>
        <v>0</v>
      </c>
      <c r="L178" s="168">
        <f ca="1">IF($C178-L$1&lt;År1,0,K177*(1-VLOOKUP($A178,[1]Hugst!$R$5:$W$9,MATCH(ROUNDUP((L$1)/10,0)*10,[1]Hugst!$R$4:$W$4,0))))</f>
        <v>0</v>
      </c>
      <c r="M178" s="168">
        <f ca="1">IF($C178-M$1&lt;År1,0,L177*(1-VLOOKUP($A178,[1]Hugst!$R$5:$W$9,MATCH(ROUNDUP((M$1)/10,0)*10,[1]Hugst!$R$4:$W$4,0))))</f>
        <v>0</v>
      </c>
      <c r="N178" s="168">
        <f ca="1">IF($C178-N$1&lt;År1,0,M177*(1-VLOOKUP($A178,[1]Hugst!$R$5:$W$9,MATCH(ROUNDUP((N$1)/10,0)*10,[1]Hugst!$R$4:$W$4,0))))</f>
        <v>0</v>
      </c>
      <c r="O178" s="168">
        <f ca="1">IF($C178-O$1&lt;År1,0,N177*(1-VLOOKUP($A178,[1]Hugst!$R$5:$W$9,MATCH(ROUNDUP((O$1)/10,0)*10,[1]Hugst!$R$4:$W$4,0))))</f>
        <v>0</v>
      </c>
      <c r="P178" s="168">
        <f ca="1">IF($C178-P$1&lt;År1,0,O177*(1-VLOOKUP($A178,[1]Hugst!$R$5:$W$9,MATCH(ROUNDUP((P$1)/10,0)*10,[1]Hugst!$R$4:$W$4,0))))</f>
        <v>0</v>
      </c>
      <c r="Q178" s="168">
        <f ca="1">IF($C178-Q$1&lt;År1,0,P177*(1-VLOOKUP($A178,[1]Hugst!$R$5:$W$9,MATCH(ROUNDUP((Q$1)/10,0)*10,[1]Hugst!$R$4:$W$4,0))))</f>
        <v>0</v>
      </c>
      <c r="R178" s="168">
        <f ca="1">IF($C178-R$1&lt;År1,0,Q177*(1-VLOOKUP($A178,[1]Hugst!$R$5:$W$9,MATCH(ROUNDUP((R$1)/10,0)*10,[1]Hugst!$R$4:$W$4,0))))</f>
        <v>0</v>
      </c>
      <c r="S178" s="168">
        <f ca="1">IF($C178-S$1&lt;År1,0,R177*(1-VLOOKUP($A178,[1]Hugst!$R$5:$W$9,MATCH(ROUNDUP((S$1)/10,0)*10,[1]Hugst!$R$4:$W$4,0))))</f>
        <v>0</v>
      </c>
      <c r="T178" s="168">
        <f ca="1">IF($C178-T$1&lt;År1,0,S177*(1-VLOOKUP($A178,[1]Hugst!$R$5:$W$9,MATCH(ROUNDUP((T$1)/10,0)*10,[1]Hugst!$R$4:$W$4,0))))</f>
        <v>0</v>
      </c>
      <c r="U178" s="168">
        <f ca="1">IF($C178-U$1&lt;År1,0,T177*(1-VLOOKUP($A178,[1]Hugst!$R$5:$W$9,MATCH(ROUNDUP((U$1)/10,0)*10,[1]Hugst!$R$4:$W$4,0))))</f>
        <v>0</v>
      </c>
      <c r="V178" s="168">
        <f ca="1">IF($C178-V$1&lt;År1,0,U177*(1-VLOOKUP($A178,[1]Hugst!$R$5:$W$9,MATCH(ROUNDUP((V$1)/10,0)*10,[1]Hugst!$R$4:$W$4,0))))</f>
        <v>0</v>
      </c>
      <c r="W178" s="168">
        <f ca="1">IF($C178-W$1&lt;År1,0,V177*(1-VLOOKUP($A178,[1]Hugst!$R$5:$W$9,MATCH(ROUNDUP((W$1)/10,0)*10,[1]Hugst!$R$4:$W$4,0))))</f>
        <v>0</v>
      </c>
      <c r="X178" s="168">
        <f ca="1">IF($C178-X$1&lt;År1,0,W177*(1-VLOOKUP($A178,[1]Hugst!$R$5:$W$9,MATCH(ROUNDUP((X$1)/10,0)*10,[1]Hugst!$R$4:$W$4,0))))</f>
        <v>0</v>
      </c>
      <c r="Y178" s="168">
        <f ca="1">IF($C178-Y$1&lt;År1,0,X177*(1-VLOOKUP($A178,[1]Hugst!$R$5:$W$9,MATCH(ROUNDUP((Y$1)/10,0)*10,[1]Hugst!$R$4:$W$4,0))))</f>
        <v>0</v>
      </c>
      <c r="Z178" s="168">
        <f ca="1">IF($C178-Z$1&lt;År1,0,Y177*(1-VLOOKUP($A178,[1]Hugst!$R$5:$W$9,MATCH(ROUNDUP((Z$1)/10,0)*10,[1]Hugst!$R$4:$W$4,0))))</f>
        <v>0</v>
      </c>
      <c r="AA178" s="168">
        <f ca="1">IF($C178-AA$1&lt;År1,0,Z177*(1-VLOOKUP($A178,[1]Hugst!$R$5:$W$9,MATCH(ROUNDUP((AA$1)/10,0)*10,[1]Hugst!$R$4:$W$4,0))))</f>
        <v>0</v>
      </c>
      <c r="AB178" s="168">
        <f>IF($C178-AB$1&lt;År1,0,AA177*(1-VLOOKUP($A178,[1]Hugst!$R$5:$W$9,MATCH(ROUNDUP((AB$1)/10,0)*10,[1]Hugst!$R$4:$W$4,0))))</f>
        <v>0</v>
      </c>
      <c r="AC178" s="168">
        <f>IF($C178-AC$1&lt;År1,0,AB177*(1-VLOOKUP($A178,[1]Hugst!$R$5:$W$9,MATCH(ROUNDUP((AC$1)/10,0)*10,[1]Hugst!$R$4:$W$4,0))))</f>
        <v>0</v>
      </c>
      <c r="AD178" s="168">
        <f>IF($C178-AD$1&lt;År1,0,AC177*(1-VLOOKUP($A178,[1]Hugst!$R$5:$W$9,MATCH(ROUNDUP((AD$1)/10,0)*10,[1]Hugst!$R$4:$W$4,0))))</f>
        <v>0</v>
      </c>
      <c r="AE178" s="168">
        <f>IF($C178-AE$1&lt;År1,0,AD177*(1-VLOOKUP($A178,[1]Hugst!$R$5:$W$9,MATCH(ROUNDUP((AE$1)/10,0)*10,[1]Hugst!$R$4:$W$4,0))))</f>
        <v>0</v>
      </c>
      <c r="AF178" s="168">
        <f>IF($C178-AF$1&lt;År1,0,AE177*(1-VLOOKUP($A178,[1]Hugst!$R$5:$W$9,MATCH(ROUNDUP((AF$1)/10,0)*10,[1]Hugst!$R$4:$W$4,0))))</f>
        <v>0</v>
      </c>
      <c r="AG178" s="168">
        <f>IF($C178-AG$1&lt;År1,0,AF177*(1-VLOOKUP($A178,[1]Hugst!$R$5:$W$9,MATCH(ROUNDUP((AG$1)/10,0)*10,[1]Hugst!$R$4:$W$4,0))))</f>
        <v>0</v>
      </c>
      <c r="AH178" s="168">
        <f>IF($C178-AH$1&lt;År1,0,AG177*(1-VLOOKUP($A178,[1]Hugst!$R$5:$W$9,MATCH(ROUNDUP((AH$1)/10,0)*10,[1]Hugst!$R$4:$W$4,0))))</f>
        <v>0</v>
      </c>
      <c r="AI178" s="168">
        <f>IF($C178-AI$1&lt;År1,0,AH177*(1-VLOOKUP($A178,[1]Hugst!$R$5:$W$9,MATCH(ROUNDUP((AI$1)/10,0)*10,[1]Hugst!$R$4:$W$4,0))))</f>
        <v>0</v>
      </c>
      <c r="AJ178" s="168">
        <f>IF($C178-AJ$1&lt;År1,0,AI177*(1-VLOOKUP($A178,[1]Hugst!$R$5:$W$9,MATCH(ROUNDUP((AJ$1)/10,0)*10,[1]Hugst!$R$4:$W$4,0))))</f>
        <v>0</v>
      </c>
    </row>
    <row r="179" spans="1:36" x14ac:dyDescent="0.25">
      <c r="A179" s="168" t="s">
        <v>178</v>
      </c>
      <c r="B179" s="168" t="s">
        <v>24</v>
      </c>
      <c r="C179" s="168">
        <v>2042</v>
      </c>
      <c r="D179" s="168" cm="1">
        <f t="array" ref="D179">(IF(B179="Vestdanmark",Skovbrug!$C$22-(Skovbrug!$C$22)*(1-Skovbrug!$C$9)^(C179-Skovbrug!$B$12),Skovbrug!$F$22-(Skovbrug!$F$22)*(1-Skovbrug!$C$9)^(C179-Skovbrug!$B$12))*VLOOKUP(A179,Skovbrug!$A$13:$D$17,IF('Skovbrug-alder'!C179&lt;=År2,3,4),FALSE)-IF(C179&gt;2020,SUM(INDEX($C$1:$D$311,MATCH(1,(2020=$C$1:$C$311)*(B179=$B$1:$B$311)*(A179=$A$1:$A$311),0),2):D178),0))</f>
        <v>0</v>
      </c>
      <c r="E179" s="168">
        <f t="shared" ca="1" si="3"/>
        <v>0</v>
      </c>
      <c r="F179" s="168">
        <f ca="1">IF(C179&lt;=År2,IF(B179="Vestdanmark",(Arealanvendelse!$M$27-Arealanvendelse!$J$27),(Arealanvendelse!$M$37-Arealanvendelse!$J$37))/(Arealanvendelse!$M$3-Arealanvendelse!$J$3),IF(B179="Vestdanmark",(Arealanvendelse!$P$27-Arealanvendelse!$M$27),(Arealanvendelse!$P$37-Arealanvendelse!$M$37))/(Arealanvendelse!$P$3-Arealanvendelse!$M$3))*VLOOKUP(A179,Skovbrug!$A$13:$D$17,IF('Skovbrug-alder'!C179&lt;=År2,3,4),FALSE)+D179+E179</f>
        <v>0</v>
      </c>
      <c r="G179" s="168">
        <f ca="1">IF($C179-G$1&lt;År1,0,F178*(1-VLOOKUP($A179,[1]Hugst!$R$5:$W$9,MATCH(ROUNDUP((G$1)/10,0)*10,[1]Hugst!$R$4:$W$4,0))))</f>
        <v>0</v>
      </c>
      <c r="H179" s="168">
        <f ca="1">IF($C179-H$1&lt;År1,0,G178*(1-VLOOKUP($A179,[1]Hugst!$R$5:$W$9,MATCH(ROUNDUP((H$1)/10,0)*10,[1]Hugst!$R$4:$W$4,0))))</f>
        <v>0</v>
      </c>
      <c r="I179" s="168">
        <f ca="1">IF($C179-I$1&lt;År1,0,H178*(1-VLOOKUP($A179,[1]Hugst!$R$5:$W$9,MATCH(ROUNDUP((I$1)/10,0)*10,[1]Hugst!$R$4:$W$4,0))))</f>
        <v>0</v>
      </c>
      <c r="J179" s="168">
        <f ca="1">IF($C179-J$1&lt;År1,0,I178*(1-VLOOKUP($A179,[1]Hugst!$R$5:$W$9,MATCH(ROUNDUP((J$1)/10,0)*10,[1]Hugst!$R$4:$W$4,0))))</f>
        <v>0</v>
      </c>
      <c r="K179" s="168">
        <f ca="1">IF($C179-K$1&lt;År1,0,J178*(1-VLOOKUP($A179,[1]Hugst!$R$5:$W$9,MATCH(ROUNDUP((K$1)/10,0)*10,[1]Hugst!$R$4:$W$4,0))))</f>
        <v>0</v>
      </c>
      <c r="L179" s="168">
        <f ca="1">IF($C179-L$1&lt;År1,0,K178*(1-VLOOKUP($A179,[1]Hugst!$R$5:$W$9,MATCH(ROUNDUP((L$1)/10,0)*10,[1]Hugst!$R$4:$W$4,0))))</f>
        <v>0</v>
      </c>
      <c r="M179" s="168">
        <f ca="1">IF($C179-M$1&lt;År1,0,L178*(1-VLOOKUP($A179,[1]Hugst!$R$5:$W$9,MATCH(ROUNDUP((M$1)/10,0)*10,[1]Hugst!$R$4:$W$4,0))))</f>
        <v>0</v>
      </c>
      <c r="N179" s="168">
        <f ca="1">IF($C179-N$1&lt;År1,0,M178*(1-VLOOKUP($A179,[1]Hugst!$R$5:$W$9,MATCH(ROUNDUP((N$1)/10,0)*10,[1]Hugst!$R$4:$W$4,0))))</f>
        <v>0</v>
      </c>
      <c r="O179" s="168">
        <f ca="1">IF($C179-O$1&lt;År1,0,N178*(1-VLOOKUP($A179,[1]Hugst!$R$5:$W$9,MATCH(ROUNDUP((O$1)/10,0)*10,[1]Hugst!$R$4:$W$4,0))))</f>
        <v>0</v>
      </c>
      <c r="P179" s="168">
        <f ca="1">IF($C179-P$1&lt;År1,0,O178*(1-VLOOKUP($A179,[1]Hugst!$R$5:$W$9,MATCH(ROUNDUP((P$1)/10,0)*10,[1]Hugst!$R$4:$W$4,0))))</f>
        <v>0</v>
      </c>
      <c r="Q179" s="168">
        <f ca="1">IF($C179-Q$1&lt;År1,0,P178*(1-VLOOKUP($A179,[1]Hugst!$R$5:$W$9,MATCH(ROUNDUP((Q$1)/10,0)*10,[1]Hugst!$R$4:$W$4,0))))</f>
        <v>0</v>
      </c>
      <c r="R179" s="168">
        <f ca="1">IF($C179-R$1&lt;År1,0,Q178*(1-VLOOKUP($A179,[1]Hugst!$R$5:$W$9,MATCH(ROUNDUP((R$1)/10,0)*10,[1]Hugst!$R$4:$W$4,0))))</f>
        <v>0</v>
      </c>
      <c r="S179" s="168">
        <f ca="1">IF($C179-S$1&lt;År1,0,R178*(1-VLOOKUP($A179,[1]Hugst!$R$5:$W$9,MATCH(ROUNDUP((S$1)/10,0)*10,[1]Hugst!$R$4:$W$4,0))))</f>
        <v>0</v>
      </c>
      <c r="T179" s="168">
        <f ca="1">IF($C179-T$1&lt;År1,0,S178*(1-VLOOKUP($A179,[1]Hugst!$R$5:$W$9,MATCH(ROUNDUP((T$1)/10,0)*10,[1]Hugst!$R$4:$W$4,0))))</f>
        <v>0</v>
      </c>
      <c r="U179" s="168">
        <f ca="1">IF($C179-U$1&lt;År1,0,T178*(1-VLOOKUP($A179,[1]Hugst!$R$5:$W$9,MATCH(ROUNDUP((U$1)/10,0)*10,[1]Hugst!$R$4:$W$4,0))))</f>
        <v>0</v>
      </c>
      <c r="V179" s="168">
        <f ca="1">IF($C179-V$1&lt;År1,0,U178*(1-VLOOKUP($A179,[1]Hugst!$R$5:$W$9,MATCH(ROUNDUP((V$1)/10,0)*10,[1]Hugst!$R$4:$W$4,0))))</f>
        <v>0</v>
      </c>
      <c r="W179" s="168">
        <f ca="1">IF($C179-W$1&lt;År1,0,V178*(1-VLOOKUP($A179,[1]Hugst!$R$5:$W$9,MATCH(ROUNDUP((W$1)/10,0)*10,[1]Hugst!$R$4:$W$4,0))))</f>
        <v>0</v>
      </c>
      <c r="X179" s="168">
        <f ca="1">IF($C179-X$1&lt;År1,0,W178*(1-VLOOKUP($A179,[1]Hugst!$R$5:$W$9,MATCH(ROUNDUP((X$1)/10,0)*10,[1]Hugst!$R$4:$W$4,0))))</f>
        <v>0</v>
      </c>
      <c r="Y179" s="168">
        <f ca="1">IF($C179-Y$1&lt;År1,0,X178*(1-VLOOKUP($A179,[1]Hugst!$R$5:$W$9,MATCH(ROUNDUP((Y$1)/10,0)*10,[1]Hugst!$R$4:$W$4,0))))</f>
        <v>0</v>
      </c>
      <c r="Z179" s="168">
        <f ca="1">IF($C179-Z$1&lt;År1,0,Y178*(1-VLOOKUP($A179,[1]Hugst!$R$5:$W$9,MATCH(ROUNDUP((Z$1)/10,0)*10,[1]Hugst!$R$4:$W$4,0))))</f>
        <v>0</v>
      </c>
      <c r="AA179" s="168">
        <f ca="1">IF($C179-AA$1&lt;År1,0,Z178*(1-VLOOKUP($A179,[1]Hugst!$R$5:$W$9,MATCH(ROUNDUP((AA$1)/10,0)*10,[1]Hugst!$R$4:$W$4,0))))</f>
        <v>0</v>
      </c>
      <c r="AB179" s="168">
        <f ca="1">IF($C179-AB$1&lt;År1,0,AA178*(1-VLOOKUP($A179,[1]Hugst!$R$5:$W$9,MATCH(ROUNDUP((AB$1)/10,0)*10,[1]Hugst!$R$4:$W$4,0))))</f>
        <v>0</v>
      </c>
      <c r="AC179" s="168">
        <f>IF($C179-AC$1&lt;År1,0,AB178*(1-VLOOKUP($A179,[1]Hugst!$R$5:$W$9,MATCH(ROUNDUP((AC$1)/10,0)*10,[1]Hugst!$R$4:$W$4,0))))</f>
        <v>0</v>
      </c>
      <c r="AD179" s="168">
        <f>IF($C179-AD$1&lt;År1,0,AC178*(1-VLOOKUP($A179,[1]Hugst!$R$5:$W$9,MATCH(ROUNDUP((AD$1)/10,0)*10,[1]Hugst!$R$4:$W$4,0))))</f>
        <v>0</v>
      </c>
      <c r="AE179" s="168">
        <f>IF($C179-AE$1&lt;År1,0,AD178*(1-VLOOKUP($A179,[1]Hugst!$R$5:$W$9,MATCH(ROUNDUP((AE$1)/10,0)*10,[1]Hugst!$R$4:$W$4,0))))</f>
        <v>0</v>
      </c>
      <c r="AF179" s="168">
        <f>IF($C179-AF$1&lt;År1,0,AE178*(1-VLOOKUP($A179,[1]Hugst!$R$5:$W$9,MATCH(ROUNDUP((AF$1)/10,0)*10,[1]Hugst!$R$4:$W$4,0))))</f>
        <v>0</v>
      </c>
      <c r="AG179" s="168">
        <f>IF($C179-AG$1&lt;År1,0,AF178*(1-VLOOKUP($A179,[1]Hugst!$R$5:$W$9,MATCH(ROUNDUP((AG$1)/10,0)*10,[1]Hugst!$R$4:$W$4,0))))</f>
        <v>0</v>
      </c>
      <c r="AH179" s="168">
        <f>IF($C179-AH$1&lt;År1,0,AG178*(1-VLOOKUP($A179,[1]Hugst!$R$5:$W$9,MATCH(ROUNDUP((AH$1)/10,0)*10,[1]Hugst!$R$4:$W$4,0))))</f>
        <v>0</v>
      </c>
      <c r="AI179" s="168">
        <f>IF($C179-AI$1&lt;År1,0,AH178*(1-VLOOKUP($A179,[1]Hugst!$R$5:$W$9,MATCH(ROUNDUP((AI$1)/10,0)*10,[1]Hugst!$R$4:$W$4,0))))</f>
        <v>0</v>
      </c>
      <c r="AJ179" s="168">
        <f>IF($C179-AJ$1&lt;År1,0,AI178*(1-VLOOKUP($A179,[1]Hugst!$R$5:$W$9,MATCH(ROUNDUP((AJ$1)/10,0)*10,[1]Hugst!$R$4:$W$4,0))))</f>
        <v>0</v>
      </c>
    </row>
    <row r="180" spans="1:36" x14ac:dyDescent="0.25">
      <c r="A180" s="168" t="s">
        <v>178</v>
      </c>
      <c r="B180" s="168" t="s">
        <v>24</v>
      </c>
      <c r="C180" s="168">
        <v>2043</v>
      </c>
      <c r="D180" s="168" cm="1">
        <f t="array" ref="D180">(IF(B180="Vestdanmark",Skovbrug!$C$22-(Skovbrug!$C$22)*(1-Skovbrug!$C$9)^(C180-Skovbrug!$B$12),Skovbrug!$F$22-(Skovbrug!$F$22)*(1-Skovbrug!$C$9)^(C180-Skovbrug!$B$12))*VLOOKUP(A180,Skovbrug!$A$13:$D$17,IF('Skovbrug-alder'!C180&lt;=År2,3,4),FALSE)-IF(C180&gt;2020,SUM(INDEX($C$1:$D$311,MATCH(1,(2020=$C$1:$C$311)*(B180=$B$1:$B$311)*(A180=$A$1:$A$311),0),2):D179),0))</f>
        <v>0</v>
      </c>
      <c r="E180" s="168">
        <f t="shared" ca="1" si="3"/>
        <v>0</v>
      </c>
      <c r="F180" s="168">
        <f ca="1">IF(C180&lt;=År2,IF(B180="Vestdanmark",(Arealanvendelse!$M$27-Arealanvendelse!$J$27),(Arealanvendelse!$M$37-Arealanvendelse!$J$37))/(Arealanvendelse!$M$3-Arealanvendelse!$J$3),IF(B180="Vestdanmark",(Arealanvendelse!$P$27-Arealanvendelse!$M$27),(Arealanvendelse!$P$37-Arealanvendelse!$M$37))/(Arealanvendelse!$P$3-Arealanvendelse!$M$3))*VLOOKUP(A180,Skovbrug!$A$13:$D$17,IF('Skovbrug-alder'!C180&lt;=År2,3,4),FALSE)+D180+E180</f>
        <v>0</v>
      </c>
      <c r="G180" s="168">
        <f ca="1">IF($C180-G$1&lt;År1,0,F179*(1-VLOOKUP($A180,[1]Hugst!$R$5:$W$9,MATCH(ROUNDUP((G$1)/10,0)*10,[1]Hugst!$R$4:$W$4,0))))</f>
        <v>0</v>
      </c>
      <c r="H180" s="168">
        <f ca="1">IF($C180-H$1&lt;År1,0,G179*(1-VLOOKUP($A180,[1]Hugst!$R$5:$W$9,MATCH(ROUNDUP((H$1)/10,0)*10,[1]Hugst!$R$4:$W$4,0))))</f>
        <v>0</v>
      </c>
      <c r="I180" s="168">
        <f ca="1">IF($C180-I$1&lt;År1,0,H179*(1-VLOOKUP($A180,[1]Hugst!$R$5:$W$9,MATCH(ROUNDUP((I$1)/10,0)*10,[1]Hugst!$R$4:$W$4,0))))</f>
        <v>0</v>
      </c>
      <c r="J180" s="168">
        <f ca="1">IF($C180-J$1&lt;År1,0,I179*(1-VLOOKUP($A180,[1]Hugst!$R$5:$W$9,MATCH(ROUNDUP((J$1)/10,0)*10,[1]Hugst!$R$4:$W$4,0))))</f>
        <v>0</v>
      </c>
      <c r="K180" s="168">
        <f ca="1">IF($C180-K$1&lt;År1,0,J179*(1-VLOOKUP($A180,[1]Hugst!$R$5:$W$9,MATCH(ROUNDUP((K$1)/10,0)*10,[1]Hugst!$R$4:$W$4,0))))</f>
        <v>0</v>
      </c>
      <c r="L180" s="168">
        <f ca="1">IF($C180-L$1&lt;År1,0,K179*(1-VLOOKUP($A180,[1]Hugst!$R$5:$W$9,MATCH(ROUNDUP((L$1)/10,0)*10,[1]Hugst!$R$4:$W$4,0))))</f>
        <v>0</v>
      </c>
      <c r="M180" s="168">
        <f ca="1">IF($C180-M$1&lt;År1,0,L179*(1-VLOOKUP($A180,[1]Hugst!$R$5:$W$9,MATCH(ROUNDUP((M$1)/10,0)*10,[1]Hugst!$R$4:$W$4,0))))</f>
        <v>0</v>
      </c>
      <c r="N180" s="168">
        <f ca="1">IF($C180-N$1&lt;År1,0,M179*(1-VLOOKUP($A180,[1]Hugst!$R$5:$W$9,MATCH(ROUNDUP((N$1)/10,0)*10,[1]Hugst!$R$4:$W$4,0))))</f>
        <v>0</v>
      </c>
      <c r="O180" s="168">
        <f ca="1">IF($C180-O$1&lt;År1,0,N179*(1-VLOOKUP($A180,[1]Hugst!$R$5:$W$9,MATCH(ROUNDUP((O$1)/10,0)*10,[1]Hugst!$R$4:$W$4,0))))</f>
        <v>0</v>
      </c>
      <c r="P180" s="168">
        <f ca="1">IF($C180-P$1&lt;År1,0,O179*(1-VLOOKUP($A180,[1]Hugst!$R$5:$W$9,MATCH(ROUNDUP((P$1)/10,0)*10,[1]Hugst!$R$4:$W$4,0))))</f>
        <v>0</v>
      </c>
      <c r="Q180" s="168">
        <f ca="1">IF($C180-Q$1&lt;År1,0,P179*(1-VLOOKUP($A180,[1]Hugst!$R$5:$W$9,MATCH(ROUNDUP((Q$1)/10,0)*10,[1]Hugst!$R$4:$W$4,0))))</f>
        <v>0</v>
      </c>
      <c r="R180" s="168">
        <f ca="1">IF($C180-R$1&lt;År1,0,Q179*(1-VLOOKUP($A180,[1]Hugst!$R$5:$W$9,MATCH(ROUNDUP((R$1)/10,0)*10,[1]Hugst!$R$4:$W$4,0))))</f>
        <v>0</v>
      </c>
      <c r="S180" s="168">
        <f ca="1">IF($C180-S$1&lt;År1,0,R179*(1-VLOOKUP($A180,[1]Hugst!$R$5:$W$9,MATCH(ROUNDUP((S$1)/10,0)*10,[1]Hugst!$R$4:$W$4,0))))</f>
        <v>0</v>
      </c>
      <c r="T180" s="168">
        <f ca="1">IF($C180-T$1&lt;År1,0,S179*(1-VLOOKUP($A180,[1]Hugst!$R$5:$W$9,MATCH(ROUNDUP((T$1)/10,0)*10,[1]Hugst!$R$4:$W$4,0))))</f>
        <v>0</v>
      </c>
      <c r="U180" s="168">
        <f ca="1">IF($C180-U$1&lt;År1,0,T179*(1-VLOOKUP($A180,[1]Hugst!$R$5:$W$9,MATCH(ROUNDUP((U$1)/10,0)*10,[1]Hugst!$R$4:$W$4,0))))</f>
        <v>0</v>
      </c>
      <c r="V180" s="168">
        <f ca="1">IF($C180-V$1&lt;År1,0,U179*(1-VLOOKUP($A180,[1]Hugst!$R$5:$W$9,MATCH(ROUNDUP((V$1)/10,0)*10,[1]Hugst!$R$4:$W$4,0))))</f>
        <v>0</v>
      </c>
      <c r="W180" s="168">
        <f ca="1">IF($C180-W$1&lt;År1,0,V179*(1-VLOOKUP($A180,[1]Hugst!$R$5:$W$9,MATCH(ROUNDUP((W$1)/10,0)*10,[1]Hugst!$R$4:$W$4,0))))</f>
        <v>0</v>
      </c>
      <c r="X180" s="168">
        <f ca="1">IF($C180-X$1&lt;År1,0,W179*(1-VLOOKUP($A180,[1]Hugst!$R$5:$W$9,MATCH(ROUNDUP((X$1)/10,0)*10,[1]Hugst!$R$4:$W$4,0))))</f>
        <v>0</v>
      </c>
      <c r="Y180" s="168">
        <f ca="1">IF($C180-Y$1&lt;År1,0,X179*(1-VLOOKUP($A180,[1]Hugst!$R$5:$W$9,MATCH(ROUNDUP((Y$1)/10,0)*10,[1]Hugst!$R$4:$W$4,0))))</f>
        <v>0</v>
      </c>
      <c r="Z180" s="168">
        <f ca="1">IF($C180-Z$1&lt;År1,0,Y179*(1-VLOOKUP($A180,[1]Hugst!$R$5:$W$9,MATCH(ROUNDUP((Z$1)/10,0)*10,[1]Hugst!$R$4:$W$4,0))))</f>
        <v>0</v>
      </c>
      <c r="AA180" s="168">
        <f ca="1">IF($C180-AA$1&lt;År1,0,Z179*(1-VLOOKUP($A180,[1]Hugst!$R$5:$W$9,MATCH(ROUNDUP((AA$1)/10,0)*10,[1]Hugst!$R$4:$W$4,0))))</f>
        <v>0</v>
      </c>
      <c r="AB180" s="168">
        <f ca="1">IF($C180-AB$1&lt;År1,0,AA179*(1-VLOOKUP($A180,[1]Hugst!$R$5:$W$9,MATCH(ROUNDUP((AB$1)/10,0)*10,[1]Hugst!$R$4:$W$4,0))))</f>
        <v>0</v>
      </c>
      <c r="AC180" s="168">
        <f ca="1">IF($C180-AC$1&lt;År1,0,AB179*(1-VLOOKUP($A180,[1]Hugst!$R$5:$W$9,MATCH(ROUNDUP((AC$1)/10,0)*10,[1]Hugst!$R$4:$W$4,0))))</f>
        <v>0</v>
      </c>
      <c r="AD180" s="168">
        <f>IF($C180-AD$1&lt;År1,0,AC179*(1-VLOOKUP($A180,[1]Hugst!$R$5:$W$9,MATCH(ROUNDUP((AD$1)/10,0)*10,[1]Hugst!$R$4:$W$4,0))))</f>
        <v>0</v>
      </c>
      <c r="AE180" s="168">
        <f>IF($C180-AE$1&lt;År1,0,AD179*(1-VLOOKUP($A180,[1]Hugst!$R$5:$W$9,MATCH(ROUNDUP((AE$1)/10,0)*10,[1]Hugst!$R$4:$W$4,0))))</f>
        <v>0</v>
      </c>
      <c r="AF180" s="168">
        <f>IF($C180-AF$1&lt;År1,0,AE179*(1-VLOOKUP($A180,[1]Hugst!$R$5:$W$9,MATCH(ROUNDUP((AF$1)/10,0)*10,[1]Hugst!$R$4:$W$4,0))))</f>
        <v>0</v>
      </c>
      <c r="AG180" s="168">
        <f>IF($C180-AG$1&lt;År1,0,AF179*(1-VLOOKUP($A180,[1]Hugst!$R$5:$W$9,MATCH(ROUNDUP((AG$1)/10,0)*10,[1]Hugst!$R$4:$W$4,0))))</f>
        <v>0</v>
      </c>
      <c r="AH180" s="168">
        <f>IF($C180-AH$1&lt;År1,0,AG179*(1-VLOOKUP($A180,[1]Hugst!$R$5:$W$9,MATCH(ROUNDUP((AH$1)/10,0)*10,[1]Hugst!$R$4:$W$4,0))))</f>
        <v>0</v>
      </c>
      <c r="AI180" s="168">
        <f>IF($C180-AI$1&lt;År1,0,AH179*(1-VLOOKUP($A180,[1]Hugst!$R$5:$W$9,MATCH(ROUNDUP((AI$1)/10,0)*10,[1]Hugst!$R$4:$W$4,0))))</f>
        <v>0</v>
      </c>
      <c r="AJ180" s="168">
        <f>IF($C180-AJ$1&lt;År1,0,AI179*(1-VLOOKUP($A180,[1]Hugst!$R$5:$W$9,MATCH(ROUNDUP((AJ$1)/10,0)*10,[1]Hugst!$R$4:$W$4,0))))</f>
        <v>0</v>
      </c>
    </row>
    <row r="181" spans="1:36" x14ac:dyDescent="0.25">
      <c r="A181" s="168" t="s">
        <v>178</v>
      </c>
      <c r="B181" s="168" t="s">
        <v>24</v>
      </c>
      <c r="C181" s="168">
        <v>2044</v>
      </c>
      <c r="D181" s="168" cm="1">
        <f t="array" ref="D181">(IF(B181="Vestdanmark",Skovbrug!$C$22-(Skovbrug!$C$22)*(1-Skovbrug!$C$9)^(C181-Skovbrug!$B$12),Skovbrug!$F$22-(Skovbrug!$F$22)*(1-Skovbrug!$C$9)^(C181-Skovbrug!$B$12))*VLOOKUP(A181,Skovbrug!$A$13:$D$17,IF('Skovbrug-alder'!C181&lt;=År2,3,4),FALSE)-IF(C181&gt;2020,SUM(INDEX($C$1:$D$311,MATCH(1,(2020=$C$1:$C$311)*(B181=$B$1:$B$311)*(A181=$A$1:$A$311),0),2):D180),0))</f>
        <v>0</v>
      </c>
      <c r="E181" s="168">
        <f t="shared" ca="1" si="3"/>
        <v>0</v>
      </c>
      <c r="F181" s="168">
        <f ca="1">IF(C181&lt;=År2,IF(B181="Vestdanmark",(Arealanvendelse!$M$27-Arealanvendelse!$J$27),(Arealanvendelse!$M$37-Arealanvendelse!$J$37))/(Arealanvendelse!$M$3-Arealanvendelse!$J$3),IF(B181="Vestdanmark",(Arealanvendelse!$P$27-Arealanvendelse!$M$27),(Arealanvendelse!$P$37-Arealanvendelse!$M$37))/(Arealanvendelse!$P$3-Arealanvendelse!$M$3))*VLOOKUP(A181,Skovbrug!$A$13:$D$17,IF('Skovbrug-alder'!C181&lt;=År2,3,4),FALSE)+D181+E181</f>
        <v>0</v>
      </c>
      <c r="G181" s="168">
        <f ca="1">IF($C181-G$1&lt;År1,0,F180*(1-VLOOKUP($A181,[1]Hugst!$R$5:$W$9,MATCH(ROUNDUP((G$1)/10,0)*10,[1]Hugst!$R$4:$W$4,0))))</f>
        <v>0</v>
      </c>
      <c r="H181" s="168">
        <f ca="1">IF($C181-H$1&lt;År1,0,G180*(1-VLOOKUP($A181,[1]Hugst!$R$5:$W$9,MATCH(ROUNDUP((H$1)/10,0)*10,[1]Hugst!$R$4:$W$4,0))))</f>
        <v>0</v>
      </c>
      <c r="I181" s="168">
        <f ca="1">IF($C181-I$1&lt;År1,0,H180*(1-VLOOKUP($A181,[1]Hugst!$R$5:$W$9,MATCH(ROUNDUP((I$1)/10,0)*10,[1]Hugst!$R$4:$W$4,0))))</f>
        <v>0</v>
      </c>
      <c r="J181" s="168">
        <f ca="1">IF($C181-J$1&lt;År1,0,I180*(1-VLOOKUP($A181,[1]Hugst!$R$5:$W$9,MATCH(ROUNDUP((J$1)/10,0)*10,[1]Hugst!$R$4:$W$4,0))))</f>
        <v>0</v>
      </c>
      <c r="K181" s="168">
        <f ca="1">IF($C181-K$1&lt;År1,0,J180*(1-VLOOKUP($A181,[1]Hugst!$R$5:$W$9,MATCH(ROUNDUP((K$1)/10,0)*10,[1]Hugst!$R$4:$W$4,0))))</f>
        <v>0</v>
      </c>
      <c r="L181" s="168">
        <f ca="1">IF($C181-L$1&lt;År1,0,K180*(1-VLOOKUP($A181,[1]Hugst!$R$5:$W$9,MATCH(ROUNDUP((L$1)/10,0)*10,[1]Hugst!$R$4:$W$4,0))))</f>
        <v>0</v>
      </c>
      <c r="M181" s="168">
        <f ca="1">IF($C181-M$1&lt;År1,0,L180*(1-VLOOKUP($A181,[1]Hugst!$R$5:$W$9,MATCH(ROUNDUP((M$1)/10,0)*10,[1]Hugst!$R$4:$W$4,0))))</f>
        <v>0</v>
      </c>
      <c r="N181" s="168">
        <f ca="1">IF($C181-N$1&lt;År1,0,M180*(1-VLOOKUP($A181,[1]Hugst!$R$5:$W$9,MATCH(ROUNDUP((N$1)/10,0)*10,[1]Hugst!$R$4:$W$4,0))))</f>
        <v>0</v>
      </c>
      <c r="O181" s="168">
        <f ca="1">IF($C181-O$1&lt;År1,0,N180*(1-VLOOKUP($A181,[1]Hugst!$R$5:$W$9,MATCH(ROUNDUP((O$1)/10,0)*10,[1]Hugst!$R$4:$W$4,0))))</f>
        <v>0</v>
      </c>
      <c r="P181" s="168">
        <f ca="1">IF($C181-P$1&lt;År1,0,O180*(1-VLOOKUP($A181,[1]Hugst!$R$5:$W$9,MATCH(ROUNDUP((P$1)/10,0)*10,[1]Hugst!$R$4:$W$4,0))))</f>
        <v>0</v>
      </c>
      <c r="Q181" s="168">
        <f ca="1">IF($C181-Q$1&lt;År1,0,P180*(1-VLOOKUP($A181,[1]Hugst!$R$5:$W$9,MATCH(ROUNDUP((Q$1)/10,0)*10,[1]Hugst!$R$4:$W$4,0))))</f>
        <v>0</v>
      </c>
      <c r="R181" s="168">
        <f ca="1">IF($C181-R$1&lt;År1,0,Q180*(1-VLOOKUP($A181,[1]Hugst!$R$5:$W$9,MATCH(ROUNDUP((R$1)/10,0)*10,[1]Hugst!$R$4:$W$4,0))))</f>
        <v>0</v>
      </c>
      <c r="S181" s="168">
        <f ca="1">IF($C181-S$1&lt;År1,0,R180*(1-VLOOKUP($A181,[1]Hugst!$R$5:$W$9,MATCH(ROUNDUP((S$1)/10,0)*10,[1]Hugst!$R$4:$W$4,0))))</f>
        <v>0</v>
      </c>
      <c r="T181" s="168">
        <f ca="1">IF($C181-T$1&lt;År1,0,S180*(1-VLOOKUP($A181,[1]Hugst!$R$5:$W$9,MATCH(ROUNDUP((T$1)/10,0)*10,[1]Hugst!$R$4:$W$4,0))))</f>
        <v>0</v>
      </c>
      <c r="U181" s="168">
        <f ca="1">IF($C181-U$1&lt;År1,0,T180*(1-VLOOKUP($A181,[1]Hugst!$R$5:$W$9,MATCH(ROUNDUP((U$1)/10,0)*10,[1]Hugst!$R$4:$W$4,0))))</f>
        <v>0</v>
      </c>
      <c r="V181" s="168">
        <f ca="1">IF($C181-V$1&lt;År1,0,U180*(1-VLOOKUP($A181,[1]Hugst!$R$5:$W$9,MATCH(ROUNDUP((V$1)/10,0)*10,[1]Hugst!$R$4:$W$4,0))))</f>
        <v>0</v>
      </c>
      <c r="W181" s="168">
        <f ca="1">IF($C181-W$1&lt;År1,0,V180*(1-VLOOKUP($A181,[1]Hugst!$R$5:$W$9,MATCH(ROUNDUP((W$1)/10,0)*10,[1]Hugst!$R$4:$W$4,0))))</f>
        <v>0</v>
      </c>
      <c r="X181" s="168">
        <f ca="1">IF($C181-X$1&lt;År1,0,W180*(1-VLOOKUP($A181,[1]Hugst!$R$5:$W$9,MATCH(ROUNDUP((X$1)/10,0)*10,[1]Hugst!$R$4:$W$4,0))))</f>
        <v>0</v>
      </c>
      <c r="Y181" s="168">
        <f ca="1">IF($C181-Y$1&lt;År1,0,X180*(1-VLOOKUP($A181,[1]Hugst!$R$5:$W$9,MATCH(ROUNDUP((Y$1)/10,0)*10,[1]Hugst!$R$4:$W$4,0))))</f>
        <v>0</v>
      </c>
      <c r="Z181" s="168">
        <f ca="1">IF($C181-Z$1&lt;År1,0,Y180*(1-VLOOKUP($A181,[1]Hugst!$R$5:$W$9,MATCH(ROUNDUP((Z$1)/10,0)*10,[1]Hugst!$R$4:$W$4,0))))</f>
        <v>0</v>
      </c>
      <c r="AA181" s="168">
        <f ca="1">IF($C181-AA$1&lt;År1,0,Z180*(1-VLOOKUP($A181,[1]Hugst!$R$5:$W$9,MATCH(ROUNDUP((AA$1)/10,0)*10,[1]Hugst!$R$4:$W$4,0))))</f>
        <v>0</v>
      </c>
      <c r="AB181" s="168">
        <f ca="1">IF($C181-AB$1&lt;År1,0,AA180*(1-VLOOKUP($A181,[1]Hugst!$R$5:$W$9,MATCH(ROUNDUP((AB$1)/10,0)*10,[1]Hugst!$R$4:$W$4,0))))</f>
        <v>0</v>
      </c>
      <c r="AC181" s="168">
        <f ca="1">IF($C181-AC$1&lt;År1,0,AB180*(1-VLOOKUP($A181,[1]Hugst!$R$5:$W$9,MATCH(ROUNDUP((AC$1)/10,0)*10,[1]Hugst!$R$4:$W$4,0))))</f>
        <v>0</v>
      </c>
      <c r="AD181" s="168">
        <f ca="1">IF($C181-AD$1&lt;År1,0,AC180*(1-VLOOKUP($A181,[1]Hugst!$R$5:$W$9,MATCH(ROUNDUP((AD$1)/10,0)*10,[1]Hugst!$R$4:$W$4,0))))</f>
        <v>0</v>
      </c>
      <c r="AE181" s="168">
        <f>IF($C181-AE$1&lt;År1,0,AD180*(1-VLOOKUP($A181,[1]Hugst!$R$5:$W$9,MATCH(ROUNDUP((AE$1)/10,0)*10,[1]Hugst!$R$4:$W$4,0))))</f>
        <v>0</v>
      </c>
      <c r="AF181" s="168">
        <f>IF($C181-AF$1&lt;År1,0,AE180*(1-VLOOKUP($A181,[1]Hugst!$R$5:$W$9,MATCH(ROUNDUP((AF$1)/10,0)*10,[1]Hugst!$R$4:$W$4,0))))</f>
        <v>0</v>
      </c>
      <c r="AG181" s="168">
        <f>IF($C181-AG$1&lt;År1,0,AF180*(1-VLOOKUP($A181,[1]Hugst!$R$5:$W$9,MATCH(ROUNDUP((AG$1)/10,0)*10,[1]Hugst!$R$4:$W$4,0))))</f>
        <v>0</v>
      </c>
      <c r="AH181" s="168">
        <f>IF($C181-AH$1&lt;År1,0,AG180*(1-VLOOKUP($A181,[1]Hugst!$R$5:$W$9,MATCH(ROUNDUP((AH$1)/10,0)*10,[1]Hugst!$R$4:$W$4,0))))</f>
        <v>0</v>
      </c>
      <c r="AI181" s="168">
        <f>IF($C181-AI$1&lt;År1,0,AH180*(1-VLOOKUP($A181,[1]Hugst!$R$5:$W$9,MATCH(ROUNDUP((AI$1)/10,0)*10,[1]Hugst!$R$4:$W$4,0))))</f>
        <v>0</v>
      </c>
      <c r="AJ181" s="168">
        <f>IF($C181-AJ$1&lt;År1,0,AI180*(1-VLOOKUP($A181,[1]Hugst!$R$5:$W$9,MATCH(ROUNDUP((AJ$1)/10,0)*10,[1]Hugst!$R$4:$W$4,0))))</f>
        <v>0</v>
      </c>
    </row>
    <row r="182" spans="1:36" x14ac:dyDescent="0.25">
      <c r="A182" s="168" t="s">
        <v>178</v>
      </c>
      <c r="B182" s="168" t="s">
        <v>24</v>
      </c>
      <c r="C182" s="168">
        <v>2045</v>
      </c>
      <c r="D182" s="168" cm="1">
        <f t="array" ref="D182">(IF(B182="Vestdanmark",Skovbrug!$C$22-(Skovbrug!$C$22)*(1-Skovbrug!$C$9)^(C182-Skovbrug!$B$12),Skovbrug!$F$22-(Skovbrug!$F$22)*(1-Skovbrug!$C$9)^(C182-Skovbrug!$B$12))*VLOOKUP(A182,Skovbrug!$A$13:$D$17,IF('Skovbrug-alder'!C182&lt;=År2,3,4),FALSE)-IF(C182&gt;2020,SUM(INDEX($C$1:$D$311,MATCH(1,(2020=$C$1:$C$311)*(B182=$B$1:$B$311)*(A182=$A$1:$A$311),0),2):D181),0))</f>
        <v>0</v>
      </c>
      <c r="E182" s="168">
        <f t="shared" ca="1" si="3"/>
        <v>0</v>
      </c>
      <c r="F182" s="168">
        <f ca="1">IF(C182&lt;=År2,IF(B182="Vestdanmark",(Arealanvendelse!$M$27-Arealanvendelse!$J$27),(Arealanvendelse!$M$37-Arealanvendelse!$J$37))/(Arealanvendelse!$M$3-Arealanvendelse!$J$3),IF(B182="Vestdanmark",(Arealanvendelse!$P$27-Arealanvendelse!$M$27),(Arealanvendelse!$P$37-Arealanvendelse!$M$37))/(Arealanvendelse!$P$3-Arealanvendelse!$M$3))*VLOOKUP(A182,Skovbrug!$A$13:$D$17,IF('Skovbrug-alder'!C182&lt;=År2,3,4),FALSE)+D182+E182</f>
        <v>0</v>
      </c>
      <c r="G182" s="168">
        <f ca="1">IF($C182-G$1&lt;År1,0,F181*(1-VLOOKUP($A182,[1]Hugst!$R$5:$W$9,MATCH(ROUNDUP((G$1)/10,0)*10,[1]Hugst!$R$4:$W$4,0))))</f>
        <v>0</v>
      </c>
      <c r="H182" s="168">
        <f ca="1">IF($C182-H$1&lt;År1,0,G181*(1-VLOOKUP($A182,[1]Hugst!$R$5:$W$9,MATCH(ROUNDUP((H$1)/10,0)*10,[1]Hugst!$R$4:$W$4,0))))</f>
        <v>0</v>
      </c>
      <c r="I182" s="168">
        <f ca="1">IF($C182-I$1&lt;År1,0,H181*(1-VLOOKUP($A182,[1]Hugst!$R$5:$W$9,MATCH(ROUNDUP((I$1)/10,0)*10,[1]Hugst!$R$4:$W$4,0))))</f>
        <v>0</v>
      </c>
      <c r="J182" s="168">
        <f ca="1">IF($C182-J$1&lt;År1,0,I181*(1-VLOOKUP($A182,[1]Hugst!$R$5:$W$9,MATCH(ROUNDUP((J$1)/10,0)*10,[1]Hugst!$R$4:$W$4,0))))</f>
        <v>0</v>
      </c>
      <c r="K182" s="168">
        <f ca="1">IF($C182-K$1&lt;År1,0,J181*(1-VLOOKUP($A182,[1]Hugst!$R$5:$W$9,MATCH(ROUNDUP((K$1)/10,0)*10,[1]Hugst!$R$4:$W$4,0))))</f>
        <v>0</v>
      </c>
      <c r="L182" s="168">
        <f ca="1">IF($C182-L$1&lt;År1,0,K181*(1-VLOOKUP($A182,[1]Hugst!$R$5:$W$9,MATCH(ROUNDUP((L$1)/10,0)*10,[1]Hugst!$R$4:$W$4,0))))</f>
        <v>0</v>
      </c>
      <c r="M182" s="168">
        <f ca="1">IF($C182-M$1&lt;År1,0,L181*(1-VLOOKUP($A182,[1]Hugst!$R$5:$W$9,MATCH(ROUNDUP((M$1)/10,0)*10,[1]Hugst!$R$4:$W$4,0))))</f>
        <v>0</v>
      </c>
      <c r="N182" s="168">
        <f ca="1">IF($C182-N$1&lt;År1,0,M181*(1-VLOOKUP($A182,[1]Hugst!$R$5:$W$9,MATCH(ROUNDUP((N$1)/10,0)*10,[1]Hugst!$R$4:$W$4,0))))</f>
        <v>0</v>
      </c>
      <c r="O182" s="168">
        <f ca="1">IF($C182-O$1&lt;År1,0,N181*(1-VLOOKUP($A182,[1]Hugst!$R$5:$W$9,MATCH(ROUNDUP((O$1)/10,0)*10,[1]Hugst!$R$4:$W$4,0))))</f>
        <v>0</v>
      </c>
      <c r="P182" s="168">
        <f ca="1">IF($C182-P$1&lt;År1,0,O181*(1-VLOOKUP($A182,[1]Hugst!$R$5:$W$9,MATCH(ROUNDUP((P$1)/10,0)*10,[1]Hugst!$R$4:$W$4,0))))</f>
        <v>0</v>
      </c>
      <c r="Q182" s="168">
        <f ca="1">IF($C182-Q$1&lt;År1,0,P181*(1-VLOOKUP($A182,[1]Hugst!$R$5:$W$9,MATCH(ROUNDUP((Q$1)/10,0)*10,[1]Hugst!$R$4:$W$4,0))))</f>
        <v>0</v>
      </c>
      <c r="R182" s="168">
        <f ca="1">IF($C182-R$1&lt;År1,0,Q181*(1-VLOOKUP($A182,[1]Hugst!$R$5:$W$9,MATCH(ROUNDUP((R$1)/10,0)*10,[1]Hugst!$R$4:$W$4,0))))</f>
        <v>0</v>
      </c>
      <c r="S182" s="168">
        <f ca="1">IF($C182-S$1&lt;År1,0,R181*(1-VLOOKUP($A182,[1]Hugst!$R$5:$W$9,MATCH(ROUNDUP((S$1)/10,0)*10,[1]Hugst!$R$4:$W$4,0))))</f>
        <v>0</v>
      </c>
      <c r="T182" s="168">
        <f ca="1">IF($C182-T$1&lt;År1,0,S181*(1-VLOOKUP($A182,[1]Hugst!$R$5:$W$9,MATCH(ROUNDUP((T$1)/10,0)*10,[1]Hugst!$R$4:$W$4,0))))</f>
        <v>0</v>
      </c>
      <c r="U182" s="168">
        <f ca="1">IF($C182-U$1&lt;År1,0,T181*(1-VLOOKUP($A182,[1]Hugst!$R$5:$W$9,MATCH(ROUNDUP((U$1)/10,0)*10,[1]Hugst!$R$4:$W$4,0))))</f>
        <v>0</v>
      </c>
      <c r="V182" s="168">
        <f ca="1">IF($C182-V$1&lt;År1,0,U181*(1-VLOOKUP($A182,[1]Hugst!$R$5:$W$9,MATCH(ROUNDUP((V$1)/10,0)*10,[1]Hugst!$R$4:$W$4,0))))</f>
        <v>0</v>
      </c>
      <c r="W182" s="168">
        <f ca="1">IF($C182-W$1&lt;År1,0,V181*(1-VLOOKUP($A182,[1]Hugst!$R$5:$W$9,MATCH(ROUNDUP((W$1)/10,0)*10,[1]Hugst!$R$4:$W$4,0))))</f>
        <v>0</v>
      </c>
      <c r="X182" s="168">
        <f ca="1">IF($C182-X$1&lt;År1,0,W181*(1-VLOOKUP($A182,[1]Hugst!$R$5:$W$9,MATCH(ROUNDUP((X$1)/10,0)*10,[1]Hugst!$R$4:$W$4,0))))</f>
        <v>0</v>
      </c>
      <c r="Y182" s="168">
        <f ca="1">IF($C182-Y$1&lt;År1,0,X181*(1-VLOOKUP($A182,[1]Hugst!$R$5:$W$9,MATCH(ROUNDUP((Y$1)/10,0)*10,[1]Hugst!$R$4:$W$4,0))))</f>
        <v>0</v>
      </c>
      <c r="Z182" s="168">
        <f ca="1">IF($C182-Z$1&lt;År1,0,Y181*(1-VLOOKUP($A182,[1]Hugst!$R$5:$W$9,MATCH(ROUNDUP((Z$1)/10,0)*10,[1]Hugst!$R$4:$W$4,0))))</f>
        <v>0</v>
      </c>
      <c r="AA182" s="168">
        <f ca="1">IF($C182-AA$1&lt;År1,0,Z181*(1-VLOOKUP($A182,[1]Hugst!$R$5:$W$9,MATCH(ROUNDUP((AA$1)/10,0)*10,[1]Hugst!$R$4:$W$4,0))))</f>
        <v>0</v>
      </c>
      <c r="AB182" s="168">
        <f ca="1">IF($C182-AB$1&lt;År1,0,AA181*(1-VLOOKUP($A182,[1]Hugst!$R$5:$W$9,MATCH(ROUNDUP((AB$1)/10,0)*10,[1]Hugst!$R$4:$W$4,0))))</f>
        <v>0</v>
      </c>
      <c r="AC182" s="168">
        <f ca="1">IF($C182-AC$1&lt;År1,0,AB181*(1-VLOOKUP($A182,[1]Hugst!$R$5:$W$9,MATCH(ROUNDUP((AC$1)/10,0)*10,[1]Hugst!$R$4:$W$4,0))))</f>
        <v>0</v>
      </c>
      <c r="AD182" s="168">
        <f ca="1">IF($C182-AD$1&lt;År1,0,AC181*(1-VLOOKUP($A182,[1]Hugst!$R$5:$W$9,MATCH(ROUNDUP((AD$1)/10,0)*10,[1]Hugst!$R$4:$W$4,0))))</f>
        <v>0</v>
      </c>
      <c r="AE182" s="168">
        <f ca="1">IF($C182-AE$1&lt;År1,0,AD181*(1-VLOOKUP($A182,[1]Hugst!$R$5:$W$9,MATCH(ROUNDUP((AE$1)/10,0)*10,[1]Hugst!$R$4:$W$4,0))))</f>
        <v>0</v>
      </c>
      <c r="AF182" s="168">
        <f>IF($C182-AF$1&lt;År1,0,AE181*(1-VLOOKUP($A182,[1]Hugst!$R$5:$W$9,MATCH(ROUNDUP((AF$1)/10,0)*10,[1]Hugst!$R$4:$W$4,0))))</f>
        <v>0</v>
      </c>
      <c r="AG182" s="168">
        <f>IF($C182-AG$1&lt;År1,0,AF181*(1-VLOOKUP($A182,[1]Hugst!$R$5:$W$9,MATCH(ROUNDUP((AG$1)/10,0)*10,[1]Hugst!$R$4:$W$4,0))))</f>
        <v>0</v>
      </c>
      <c r="AH182" s="168">
        <f>IF($C182-AH$1&lt;År1,0,AG181*(1-VLOOKUP($A182,[1]Hugst!$R$5:$W$9,MATCH(ROUNDUP((AH$1)/10,0)*10,[1]Hugst!$R$4:$W$4,0))))</f>
        <v>0</v>
      </c>
      <c r="AI182" s="168">
        <f>IF($C182-AI$1&lt;År1,0,AH181*(1-VLOOKUP($A182,[1]Hugst!$R$5:$W$9,MATCH(ROUNDUP((AI$1)/10,0)*10,[1]Hugst!$R$4:$W$4,0))))</f>
        <v>0</v>
      </c>
      <c r="AJ182" s="168">
        <f>IF($C182-AJ$1&lt;År1,0,AI181*(1-VLOOKUP($A182,[1]Hugst!$R$5:$W$9,MATCH(ROUNDUP((AJ$1)/10,0)*10,[1]Hugst!$R$4:$W$4,0))))</f>
        <v>0</v>
      </c>
    </row>
    <row r="183" spans="1:36" x14ac:dyDescent="0.25">
      <c r="A183" s="168" t="s">
        <v>178</v>
      </c>
      <c r="B183" s="168" t="s">
        <v>24</v>
      </c>
      <c r="C183" s="168">
        <v>2046</v>
      </c>
      <c r="D183" s="168" cm="1">
        <f t="array" ref="D183">(IF(B183="Vestdanmark",Skovbrug!$C$22-(Skovbrug!$C$22)*(1-Skovbrug!$C$9)^(C183-Skovbrug!$B$12),Skovbrug!$F$22-(Skovbrug!$F$22)*(1-Skovbrug!$C$9)^(C183-Skovbrug!$B$12))*VLOOKUP(A183,Skovbrug!$A$13:$D$17,IF('Skovbrug-alder'!C183&lt;=År2,3,4),FALSE)-IF(C183&gt;2020,SUM(INDEX($C$1:$D$311,MATCH(1,(2020=$C$1:$C$311)*(B183=$B$1:$B$311)*(A183=$A$1:$A$311),0),2):D182),0))</f>
        <v>0</v>
      </c>
      <c r="E183" s="168">
        <f t="shared" ca="1" si="3"/>
        <v>0</v>
      </c>
      <c r="F183" s="168">
        <f ca="1">IF(C183&lt;=År2,IF(B183="Vestdanmark",(Arealanvendelse!$M$27-Arealanvendelse!$J$27),(Arealanvendelse!$M$37-Arealanvendelse!$J$37))/(Arealanvendelse!$M$3-Arealanvendelse!$J$3),IF(B183="Vestdanmark",(Arealanvendelse!$P$27-Arealanvendelse!$M$27),(Arealanvendelse!$P$37-Arealanvendelse!$M$37))/(Arealanvendelse!$P$3-Arealanvendelse!$M$3))*VLOOKUP(A183,Skovbrug!$A$13:$D$17,IF('Skovbrug-alder'!C183&lt;=År2,3,4),FALSE)+D183+E183</f>
        <v>0</v>
      </c>
      <c r="G183" s="168">
        <f ca="1">IF($C183-G$1&lt;År1,0,F182*(1-VLOOKUP($A183,[1]Hugst!$R$5:$W$9,MATCH(ROUNDUP((G$1)/10,0)*10,[1]Hugst!$R$4:$W$4,0))))</f>
        <v>0</v>
      </c>
      <c r="H183" s="168">
        <f ca="1">IF($C183-H$1&lt;År1,0,G182*(1-VLOOKUP($A183,[1]Hugst!$R$5:$W$9,MATCH(ROUNDUP((H$1)/10,0)*10,[1]Hugst!$R$4:$W$4,0))))</f>
        <v>0</v>
      </c>
      <c r="I183" s="168">
        <f ca="1">IF($C183-I$1&lt;År1,0,H182*(1-VLOOKUP($A183,[1]Hugst!$R$5:$W$9,MATCH(ROUNDUP((I$1)/10,0)*10,[1]Hugst!$R$4:$W$4,0))))</f>
        <v>0</v>
      </c>
      <c r="J183" s="168">
        <f ca="1">IF($C183-J$1&lt;År1,0,I182*(1-VLOOKUP($A183,[1]Hugst!$R$5:$W$9,MATCH(ROUNDUP((J$1)/10,0)*10,[1]Hugst!$R$4:$W$4,0))))</f>
        <v>0</v>
      </c>
      <c r="K183" s="168">
        <f ca="1">IF($C183-K$1&lt;År1,0,J182*(1-VLOOKUP($A183,[1]Hugst!$R$5:$W$9,MATCH(ROUNDUP((K$1)/10,0)*10,[1]Hugst!$R$4:$W$4,0))))</f>
        <v>0</v>
      </c>
      <c r="L183" s="168">
        <f ca="1">IF($C183-L$1&lt;År1,0,K182*(1-VLOOKUP($A183,[1]Hugst!$R$5:$W$9,MATCH(ROUNDUP((L$1)/10,0)*10,[1]Hugst!$R$4:$W$4,0))))</f>
        <v>0</v>
      </c>
      <c r="M183" s="168">
        <f ca="1">IF($C183-M$1&lt;År1,0,L182*(1-VLOOKUP($A183,[1]Hugst!$R$5:$W$9,MATCH(ROUNDUP((M$1)/10,0)*10,[1]Hugst!$R$4:$W$4,0))))</f>
        <v>0</v>
      </c>
      <c r="N183" s="168">
        <f ca="1">IF($C183-N$1&lt;År1,0,M182*(1-VLOOKUP($A183,[1]Hugst!$R$5:$W$9,MATCH(ROUNDUP((N$1)/10,0)*10,[1]Hugst!$R$4:$W$4,0))))</f>
        <v>0</v>
      </c>
      <c r="O183" s="168">
        <f ca="1">IF($C183-O$1&lt;År1,0,N182*(1-VLOOKUP($A183,[1]Hugst!$R$5:$W$9,MATCH(ROUNDUP((O$1)/10,0)*10,[1]Hugst!$R$4:$W$4,0))))</f>
        <v>0</v>
      </c>
      <c r="P183" s="168">
        <f ca="1">IF($C183-P$1&lt;År1,0,O182*(1-VLOOKUP($A183,[1]Hugst!$R$5:$W$9,MATCH(ROUNDUP((P$1)/10,0)*10,[1]Hugst!$R$4:$W$4,0))))</f>
        <v>0</v>
      </c>
      <c r="Q183" s="168">
        <f ca="1">IF($C183-Q$1&lt;År1,0,P182*(1-VLOOKUP($A183,[1]Hugst!$R$5:$W$9,MATCH(ROUNDUP((Q$1)/10,0)*10,[1]Hugst!$R$4:$W$4,0))))</f>
        <v>0</v>
      </c>
      <c r="R183" s="168">
        <f ca="1">IF($C183-R$1&lt;År1,0,Q182*(1-VLOOKUP($A183,[1]Hugst!$R$5:$W$9,MATCH(ROUNDUP((R$1)/10,0)*10,[1]Hugst!$R$4:$W$4,0))))</f>
        <v>0</v>
      </c>
      <c r="S183" s="168">
        <f ca="1">IF($C183-S$1&lt;År1,0,R182*(1-VLOOKUP($A183,[1]Hugst!$R$5:$W$9,MATCH(ROUNDUP((S$1)/10,0)*10,[1]Hugst!$R$4:$W$4,0))))</f>
        <v>0</v>
      </c>
      <c r="T183" s="168">
        <f ca="1">IF($C183-T$1&lt;År1,0,S182*(1-VLOOKUP($A183,[1]Hugst!$R$5:$W$9,MATCH(ROUNDUP((T$1)/10,0)*10,[1]Hugst!$R$4:$W$4,0))))</f>
        <v>0</v>
      </c>
      <c r="U183" s="168">
        <f ca="1">IF($C183-U$1&lt;År1,0,T182*(1-VLOOKUP($A183,[1]Hugst!$R$5:$W$9,MATCH(ROUNDUP((U$1)/10,0)*10,[1]Hugst!$R$4:$W$4,0))))</f>
        <v>0</v>
      </c>
      <c r="V183" s="168">
        <f ca="1">IF($C183-V$1&lt;År1,0,U182*(1-VLOOKUP($A183,[1]Hugst!$R$5:$W$9,MATCH(ROUNDUP((V$1)/10,0)*10,[1]Hugst!$R$4:$W$4,0))))</f>
        <v>0</v>
      </c>
      <c r="W183" s="168">
        <f ca="1">IF($C183-W$1&lt;År1,0,V182*(1-VLOOKUP($A183,[1]Hugst!$R$5:$W$9,MATCH(ROUNDUP((W$1)/10,0)*10,[1]Hugst!$R$4:$W$4,0))))</f>
        <v>0</v>
      </c>
      <c r="X183" s="168">
        <f ca="1">IF($C183-X$1&lt;År1,0,W182*(1-VLOOKUP($A183,[1]Hugst!$R$5:$W$9,MATCH(ROUNDUP((X$1)/10,0)*10,[1]Hugst!$R$4:$W$4,0))))</f>
        <v>0</v>
      </c>
      <c r="Y183" s="168">
        <f ca="1">IF($C183-Y$1&lt;År1,0,X182*(1-VLOOKUP($A183,[1]Hugst!$R$5:$W$9,MATCH(ROUNDUP((Y$1)/10,0)*10,[1]Hugst!$R$4:$W$4,0))))</f>
        <v>0</v>
      </c>
      <c r="Z183" s="168">
        <f ca="1">IF($C183-Z$1&lt;År1,0,Y182*(1-VLOOKUP($A183,[1]Hugst!$R$5:$W$9,MATCH(ROUNDUP((Z$1)/10,0)*10,[1]Hugst!$R$4:$W$4,0))))</f>
        <v>0</v>
      </c>
      <c r="AA183" s="168">
        <f ca="1">IF($C183-AA$1&lt;År1,0,Z182*(1-VLOOKUP($A183,[1]Hugst!$R$5:$W$9,MATCH(ROUNDUP((AA$1)/10,0)*10,[1]Hugst!$R$4:$W$4,0))))</f>
        <v>0</v>
      </c>
      <c r="AB183" s="168">
        <f ca="1">IF($C183-AB$1&lt;År1,0,AA182*(1-VLOOKUP($A183,[1]Hugst!$R$5:$W$9,MATCH(ROUNDUP((AB$1)/10,0)*10,[1]Hugst!$R$4:$W$4,0))))</f>
        <v>0</v>
      </c>
      <c r="AC183" s="168">
        <f ca="1">IF($C183-AC$1&lt;År1,0,AB182*(1-VLOOKUP($A183,[1]Hugst!$R$5:$W$9,MATCH(ROUNDUP((AC$1)/10,0)*10,[1]Hugst!$R$4:$W$4,0))))</f>
        <v>0</v>
      </c>
      <c r="AD183" s="168">
        <f ca="1">IF($C183-AD$1&lt;År1,0,AC182*(1-VLOOKUP($A183,[1]Hugst!$R$5:$W$9,MATCH(ROUNDUP((AD$1)/10,0)*10,[1]Hugst!$R$4:$W$4,0))))</f>
        <v>0</v>
      </c>
      <c r="AE183" s="168">
        <f ca="1">IF($C183-AE$1&lt;År1,0,AD182*(1-VLOOKUP($A183,[1]Hugst!$R$5:$W$9,MATCH(ROUNDUP((AE$1)/10,0)*10,[1]Hugst!$R$4:$W$4,0))))</f>
        <v>0</v>
      </c>
      <c r="AF183" s="168">
        <f ca="1">IF($C183-AF$1&lt;År1,0,AE182*(1-VLOOKUP($A183,[1]Hugst!$R$5:$W$9,MATCH(ROUNDUP((AF$1)/10,0)*10,[1]Hugst!$R$4:$W$4,0))))</f>
        <v>0</v>
      </c>
      <c r="AG183" s="168">
        <f>IF($C183-AG$1&lt;År1,0,AF182*(1-VLOOKUP($A183,[1]Hugst!$R$5:$W$9,MATCH(ROUNDUP((AG$1)/10,0)*10,[1]Hugst!$R$4:$W$4,0))))</f>
        <v>0</v>
      </c>
      <c r="AH183" s="168">
        <f>IF($C183-AH$1&lt;År1,0,AG182*(1-VLOOKUP($A183,[1]Hugst!$R$5:$W$9,MATCH(ROUNDUP((AH$1)/10,0)*10,[1]Hugst!$R$4:$W$4,0))))</f>
        <v>0</v>
      </c>
      <c r="AI183" s="168">
        <f>IF($C183-AI$1&lt;År1,0,AH182*(1-VLOOKUP($A183,[1]Hugst!$R$5:$W$9,MATCH(ROUNDUP((AI$1)/10,0)*10,[1]Hugst!$R$4:$W$4,0))))</f>
        <v>0</v>
      </c>
      <c r="AJ183" s="168">
        <f>IF($C183-AJ$1&lt;År1,0,AI182*(1-VLOOKUP($A183,[1]Hugst!$R$5:$W$9,MATCH(ROUNDUP((AJ$1)/10,0)*10,[1]Hugst!$R$4:$W$4,0))))</f>
        <v>0</v>
      </c>
    </row>
    <row r="184" spans="1:36" x14ac:dyDescent="0.25">
      <c r="A184" s="168" t="s">
        <v>178</v>
      </c>
      <c r="B184" s="168" t="s">
        <v>24</v>
      </c>
      <c r="C184" s="168">
        <v>2047</v>
      </c>
      <c r="D184" s="168" cm="1">
        <f t="array" ref="D184">(IF(B184="Vestdanmark",Skovbrug!$C$22-(Skovbrug!$C$22)*(1-Skovbrug!$C$9)^(C184-Skovbrug!$B$12),Skovbrug!$F$22-(Skovbrug!$F$22)*(1-Skovbrug!$C$9)^(C184-Skovbrug!$B$12))*VLOOKUP(A184,Skovbrug!$A$13:$D$17,IF('Skovbrug-alder'!C184&lt;=År2,3,4),FALSE)-IF(C184&gt;2020,SUM(INDEX($C$1:$D$311,MATCH(1,(2020=$C$1:$C$311)*(B184=$B$1:$B$311)*(A184=$A$1:$A$311),0),2):D183),0))</f>
        <v>0</v>
      </c>
      <c r="E184" s="168">
        <f t="shared" ca="1" si="3"/>
        <v>0</v>
      </c>
      <c r="F184" s="168">
        <f ca="1">IF(C184&lt;=År2,IF(B184="Vestdanmark",(Arealanvendelse!$M$27-Arealanvendelse!$J$27),(Arealanvendelse!$M$37-Arealanvendelse!$J$37))/(Arealanvendelse!$M$3-Arealanvendelse!$J$3),IF(B184="Vestdanmark",(Arealanvendelse!$P$27-Arealanvendelse!$M$27),(Arealanvendelse!$P$37-Arealanvendelse!$M$37))/(Arealanvendelse!$P$3-Arealanvendelse!$M$3))*VLOOKUP(A184,Skovbrug!$A$13:$D$17,IF('Skovbrug-alder'!C184&lt;=År2,3,4),FALSE)+D184+E184</f>
        <v>0</v>
      </c>
      <c r="G184" s="168">
        <f ca="1">IF($C184-G$1&lt;År1,0,F183*(1-VLOOKUP($A184,[1]Hugst!$R$5:$W$9,MATCH(ROUNDUP((G$1)/10,0)*10,[1]Hugst!$R$4:$W$4,0))))</f>
        <v>0</v>
      </c>
      <c r="H184" s="168">
        <f ca="1">IF($C184-H$1&lt;År1,0,G183*(1-VLOOKUP($A184,[1]Hugst!$R$5:$W$9,MATCH(ROUNDUP((H$1)/10,0)*10,[1]Hugst!$R$4:$W$4,0))))</f>
        <v>0</v>
      </c>
      <c r="I184" s="168">
        <f ca="1">IF($C184-I$1&lt;År1,0,H183*(1-VLOOKUP($A184,[1]Hugst!$R$5:$W$9,MATCH(ROUNDUP((I$1)/10,0)*10,[1]Hugst!$R$4:$W$4,0))))</f>
        <v>0</v>
      </c>
      <c r="J184" s="168">
        <f ca="1">IF($C184-J$1&lt;År1,0,I183*(1-VLOOKUP($A184,[1]Hugst!$R$5:$W$9,MATCH(ROUNDUP((J$1)/10,0)*10,[1]Hugst!$R$4:$W$4,0))))</f>
        <v>0</v>
      </c>
      <c r="K184" s="168">
        <f ca="1">IF($C184-K$1&lt;År1,0,J183*(1-VLOOKUP($A184,[1]Hugst!$R$5:$W$9,MATCH(ROUNDUP((K$1)/10,0)*10,[1]Hugst!$R$4:$W$4,0))))</f>
        <v>0</v>
      </c>
      <c r="L184" s="168">
        <f ca="1">IF($C184-L$1&lt;År1,0,K183*(1-VLOOKUP($A184,[1]Hugst!$R$5:$W$9,MATCH(ROUNDUP((L$1)/10,0)*10,[1]Hugst!$R$4:$W$4,0))))</f>
        <v>0</v>
      </c>
      <c r="M184" s="168">
        <f ca="1">IF($C184-M$1&lt;År1,0,L183*(1-VLOOKUP($A184,[1]Hugst!$R$5:$W$9,MATCH(ROUNDUP((M$1)/10,0)*10,[1]Hugst!$R$4:$W$4,0))))</f>
        <v>0</v>
      </c>
      <c r="N184" s="168">
        <f ca="1">IF($C184-N$1&lt;År1,0,M183*(1-VLOOKUP($A184,[1]Hugst!$R$5:$W$9,MATCH(ROUNDUP((N$1)/10,0)*10,[1]Hugst!$R$4:$W$4,0))))</f>
        <v>0</v>
      </c>
      <c r="O184" s="168">
        <f ca="1">IF($C184-O$1&lt;År1,0,N183*(1-VLOOKUP($A184,[1]Hugst!$R$5:$W$9,MATCH(ROUNDUP((O$1)/10,0)*10,[1]Hugst!$R$4:$W$4,0))))</f>
        <v>0</v>
      </c>
      <c r="P184" s="168">
        <f ca="1">IF($C184-P$1&lt;År1,0,O183*(1-VLOOKUP($A184,[1]Hugst!$R$5:$W$9,MATCH(ROUNDUP((P$1)/10,0)*10,[1]Hugst!$R$4:$W$4,0))))</f>
        <v>0</v>
      </c>
      <c r="Q184" s="168">
        <f ca="1">IF($C184-Q$1&lt;År1,0,P183*(1-VLOOKUP($A184,[1]Hugst!$R$5:$W$9,MATCH(ROUNDUP((Q$1)/10,0)*10,[1]Hugst!$R$4:$W$4,0))))</f>
        <v>0</v>
      </c>
      <c r="R184" s="168">
        <f ca="1">IF($C184-R$1&lt;År1,0,Q183*(1-VLOOKUP($A184,[1]Hugst!$R$5:$W$9,MATCH(ROUNDUP((R$1)/10,0)*10,[1]Hugst!$R$4:$W$4,0))))</f>
        <v>0</v>
      </c>
      <c r="S184" s="168">
        <f ca="1">IF($C184-S$1&lt;År1,0,R183*(1-VLOOKUP($A184,[1]Hugst!$R$5:$W$9,MATCH(ROUNDUP((S$1)/10,0)*10,[1]Hugst!$R$4:$W$4,0))))</f>
        <v>0</v>
      </c>
      <c r="T184" s="168">
        <f ca="1">IF($C184-T$1&lt;År1,0,S183*(1-VLOOKUP($A184,[1]Hugst!$R$5:$W$9,MATCH(ROUNDUP((T$1)/10,0)*10,[1]Hugst!$R$4:$W$4,0))))</f>
        <v>0</v>
      </c>
      <c r="U184" s="168">
        <f ca="1">IF($C184-U$1&lt;År1,0,T183*(1-VLOOKUP($A184,[1]Hugst!$R$5:$W$9,MATCH(ROUNDUP((U$1)/10,0)*10,[1]Hugst!$R$4:$W$4,0))))</f>
        <v>0</v>
      </c>
      <c r="V184" s="168">
        <f ca="1">IF($C184-V$1&lt;År1,0,U183*(1-VLOOKUP($A184,[1]Hugst!$R$5:$W$9,MATCH(ROUNDUP((V$1)/10,0)*10,[1]Hugst!$R$4:$W$4,0))))</f>
        <v>0</v>
      </c>
      <c r="W184" s="168">
        <f ca="1">IF($C184-W$1&lt;År1,0,V183*(1-VLOOKUP($A184,[1]Hugst!$R$5:$W$9,MATCH(ROUNDUP((W$1)/10,0)*10,[1]Hugst!$R$4:$W$4,0))))</f>
        <v>0</v>
      </c>
      <c r="X184" s="168">
        <f ca="1">IF($C184-X$1&lt;År1,0,W183*(1-VLOOKUP($A184,[1]Hugst!$R$5:$W$9,MATCH(ROUNDUP((X$1)/10,0)*10,[1]Hugst!$R$4:$W$4,0))))</f>
        <v>0</v>
      </c>
      <c r="Y184" s="168">
        <f ca="1">IF($C184-Y$1&lt;År1,0,X183*(1-VLOOKUP($A184,[1]Hugst!$R$5:$W$9,MATCH(ROUNDUP((Y$1)/10,0)*10,[1]Hugst!$R$4:$W$4,0))))</f>
        <v>0</v>
      </c>
      <c r="Z184" s="168">
        <f ca="1">IF($C184-Z$1&lt;År1,0,Y183*(1-VLOOKUP($A184,[1]Hugst!$R$5:$W$9,MATCH(ROUNDUP((Z$1)/10,0)*10,[1]Hugst!$R$4:$W$4,0))))</f>
        <v>0</v>
      </c>
      <c r="AA184" s="168">
        <f ca="1">IF($C184-AA$1&lt;År1,0,Z183*(1-VLOOKUP($A184,[1]Hugst!$R$5:$W$9,MATCH(ROUNDUP((AA$1)/10,0)*10,[1]Hugst!$R$4:$W$4,0))))</f>
        <v>0</v>
      </c>
      <c r="AB184" s="168">
        <f ca="1">IF($C184-AB$1&lt;År1,0,AA183*(1-VLOOKUP($A184,[1]Hugst!$R$5:$W$9,MATCH(ROUNDUP((AB$1)/10,0)*10,[1]Hugst!$R$4:$W$4,0))))</f>
        <v>0</v>
      </c>
      <c r="AC184" s="168">
        <f ca="1">IF($C184-AC$1&lt;År1,0,AB183*(1-VLOOKUP($A184,[1]Hugst!$R$5:$W$9,MATCH(ROUNDUP((AC$1)/10,0)*10,[1]Hugst!$R$4:$W$4,0))))</f>
        <v>0</v>
      </c>
      <c r="AD184" s="168">
        <f ca="1">IF($C184-AD$1&lt;År1,0,AC183*(1-VLOOKUP($A184,[1]Hugst!$R$5:$W$9,MATCH(ROUNDUP((AD$1)/10,0)*10,[1]Hugst!$R$4:$W$4,0))))</f>
        <v>0</v>
      </c>
      <c r="AE184" s="168">
        <f ca="1">IF($C184-AE$1&lt;År1,0,AD183*(1-VLOOKUP($A184,[1]Hugst!$R$5:$W$9,MATCH(ROUNDUP((AE$1)/10,0)*10,[1]Hugst!$R$4:$W$4,0))))</f>
        <v>0</v>
      </c>
      <c r="AF184" s="168">
        <f ca="1">IF($C184-AF$1&lt;År1,0,AE183*(1-VLOOKUP($A184,[1]Hugst!$R$5:$W$9,MATCH(ROUNDUP((AF$1)/10,0)*10,[1]Hugst!$R$4:$W$4,0))))</f>
        <v>0</v>
      </c>
      <c r="AG184" s="168">
        <f ca="1">IF($C184-AG$1&lt;År1,0,AF183*(1-VLOOKUP($A184,[1]Hugst!$R$5:$W$9,MATCH(ROUNDUP((AG$1)/10,0)*10,[1]Hugst!$R$4:$W$4,0))))</f>
        <v>0</v>
      </c>
      <c r="AH184" s="168">
        <f>IF($C184-AH$1&lt;År1,0,AG183*(1-VLOOKUP($A184,[1]Hugst!$R$5:$W$9,MATCH(ROUNDUP((AH$1)/10,0)*10,[1]Hugst!$R$4:$W$4,0))))</f>
        <v>0</v>
      </c>
      <c r="AI184" s="168">
        <f>IF($C184-AI$1&lt;År1,0,AH183*(1-VLOOKUP($A184,[1]Hugst!$R$5:$W$9,MATCH(ROUNDUP((AI$1)/10,0)*10,[1]Hugst!$R$4:$W$4,0))))</f>
        <v>0</v>
      </c>
      <c r="AJ184" s="168">
        <f>IF($C184-AJ$1&lt;År1,0,AI183*(1-VLOOKUP($A184,[1]Hugst!$R$5:$W$9,MATCH(ROUNDUP((AJ$1)/10,0)*10,[1]Hugst!$R$4:$W$4,0))))</f>
        <v>0</v>
      </c>
    </row>
    <row r="185" spans="1:36" x14ac:dyDescent="0.25">
      <c r="A185" s="168" t="s">
        <v>178</v>
      </c>
      <c r="B185" s="168" t="s">
        <v>24</v>
      </c>
      <c r="C185" s="168">
        <v>2048</v>
      </c>
      <c r="D185" s="168" cm="1">
        <f t="array" ref="D185">(IF(B185="Vestdanmark",Skovbrug!$C$22-(Skovbrug!$C$22)*(1-Skovbrug!$C$9)^(C185-Skovbrug!$B$12),Skovbrug!$F$22-(Skovbrug!$F$22)*(1-Skovbrug!$C$9)^(C185-Skovbrug!$B$12))*VLOOKUP(A185,Skovbrug!$A$13:$D$17,IF('Skovbrug-alder'!C185&lt;=År2,3,4),FALSE)-IF(C185&gt;2020,SUM(INDEX($C$1:$D$311,MATCH(1,(2020=$C$1:$C$311)*(B185=$B$1:$B$311)*(A185=$A$1:$A$311),0),2):D184),0))</f>
        <v>0</v>
      </c>
      <c r="E185" s="168">
        <f t="shared" ca="1" si="3"/>
        <v>0</v>
      </c>
      <c r="F185" s="168">
        <f ca="1">IF(C185&lt;=År2,IF(B185="Vestdanmark",(Arealanvendelse!$M$27-Arealanvendelse!$J$27),(Arealanvendelse!$M$37-Arealanvendelse!$J$37))/(Arealanvendelse!$M$3-Arealanvendelse!$J$3),IF(B185="Vestdanmark",(Arealanvendelse!$P$27-Arealanvendelse!$M$27),(Arealanvendelse!$P$37-Arealanvendelse!$M$37))/(Arealanvendelse!$P$3-Arealanvendelse!$M$3))*VLOOKUP(A185,Skovbrug!$A$13:$D$17,IF('Skovbrug-alder'!C185&lt;=År2,3,4),FALSE)+D185+E185</f>
        <v>0</v>
      </c>
      <c r="G185" s="168">
        <f ca="1">IF($C185-G$1&lt;År1,0,F184*(1-VLOOKUP($A185,[1]Hugst!$R$5:$W$9,MATCH(ROUNDUP((G$1)/10,0)*10,[1]Hugst!$R$4:$W$4,0))))</f>
        <v>0</v>
      </c>
      <c r="H185" s="168">
        <f ca="1">IF($C185-H$1&lt;År1,0,G184*(1-VLOOKUP($A185,[1]Hugst!$R$5:$W$9,MATCH(ROUNDUP((H$1)/10,0)*10,[1]Hugst!$R$4:$W$4,0))))</f>
        <v>0</v>
      </c>
      <c r="I185" s="168">
        <f ca="1">IF($C185-I$1&lt;År1,0,H184*(1-VLOOKUP($A185,[1]Hugst!$R$5:$W$9,MATCH(ROUNDUP((I$1)/10,0)*10,[1]Hugst!$R$4:$W$4,0))))</f>
        <v>0</v>
      </c>
      <c r="J185" s="168">
        <f ca="1">IF($C185-J$1&lt;År1,0,I184*(1-VLOOKUP($A185,[1]Hugst!$R$5:$W$9,MATCH(ROUNDUP((J$1)/10,0)*10,[1]Hugst!$R$4:$W$4,0))))</f>
        <v>0</v>
      </c>
      <c r="K185" s="168">
        <f ca="1">IF($C185-K$1&lt;År1,0,J184*(1-VLOOKUP($A185,[1]Hugst!$R$5:$W$9,MATCH(ROUNDUP((K$1)/10,0)*10,[1]Hugst!$R$4:$W$4,0))))</f>
        <v>0</v>
      </c>
      <c r="L185" s="168">
        <f ca="1">IF($C185-L$1&lt;År1,0,K184*(1-VLOOKUP($A185,[1]Hugst!$R$5:$W$9,MATCH(ROUNDUP((L$1)/10,0)*10,[1]Hugst!$R$4:$W$4,0))))</f>
        <v>0</v>
      </c>
      <c r="M185" s="168">
        <f ca="1">IF($C185-M$1&lt;År1,0,L184*(1-VLOOKUP($A185,[1]Hugst!$R$5:$W$9,MATCH(ROUNDUP((M$1)/10,0)*10,[1]Hugst!$R$4:$W$4,0))))</f>
        <v>0</v>
      </c>
      <c r="N185" s="168">
        <f ca="1">IF($C185-N$1&lt;År1,0,M184*(1-VLOOKUP($A185,[1]Hugst!$R$5:$W$9,MATCH(ROUNDUP((N$1)/10,0)*10,[1]Hugst!$R$4:$W$4,0))))</f>
        <v>0</v>
      </c>
      <c r="O185" s="168">
        <f ca="1">IF($C185-O$1&lt;År1,0,N184*(1-VLOOKUP($A185,[1]Hugst!$R$5:$W$9,MATCH(ROUNDUP((O$1)/10,0)*10,[1]Hugst!$R$4:$W$4,0))))</f>
        <v>0</v>
      </c>
      <c r="P185" s="168">
        <f ca="1">IF($C185-P$1&lt;År1,0,O184*(1-VLOOKUP($A185,[1]Hugst!$R$5:$W$9,MATCH(ROUNDUP((P$1)/10,0)*10,[1]Hugst!$R$4:$W$4,0))))</f>
        <v>0</v>
      </c>
      <c r="Q185" s="168">
        <f ca="1">IF($C185-Q$1&lt;År1,0,P184*(1-VLOOKUP($A185,[1]Hugst!$R$5:$W$9,MATCH(ROUNDUP((Q$1)/10,0)*10,[1]Hugst!$R$4:$W$4,0))))</f>
        <v>0</v>
      </c>
      <c r="R185" s="168">
        <f ca="1">IF($C185-R$1&lt;År1,0,Q184*(1-VLOOKUP($A185,[1]Hugst!$R$5:$W$9,MATCH(ROUNDUP((R$1)/10,0)*10,[1]Hugst!$R$4:$W$4,0))))</f>
        <v>0</v>
      </c>
      <c r="S185" s="168">
        <f ca="1">IF($C185-S$1&lt;År1,0,R184*(1-VLOOKUP($A185,[1]Hugst!$R$5:$W$9,MATCH(ROUNDUP((S$1)/10,0)*10,[1]Hugst!$R$4:$W$4,0))))</f>
        <v>0</v>
      </c>
      <c r="T185" s="168">
        <f ca="1">IF($C185-T$1&lt;År1,0,S184*(1-VLOOKUP($A185,[1]Hugst!$R$5:$W$9,MATCH(ROUNDUP((T$1)/10,0)*10,[1]Hugst!$R$4:$W$4,0))))</f>
        <v>0</v>
      </c>
      <c r="U185" s="168">
        <f ca="1">IF($C185-U$1&lt;År1,0,T184*(1-VLOOKUP($A185,[1]Hugst!$R$5:$W$9,MATCH(ROUNDUP((U$1)/10,0)*10,[1]Hugst!$R$4:$W$4,0))))</f>
        <v>0</v>
      </c>
      <c r="V185" s="168">
        <f ca="1">IF($C185-V$1&lt;År1,0,U184*(1-VLOOKUP($A185,[1]Hugst!$R$5:$W$9,MATCH(ROUNDUP((V$1)/10,0)*10,[1]Hugst!$R$4:$W$4,0))))</f>
        <v>0</v>
      </c>
      <c r="W185" s="168">
        <f ca="1">IF($C185-W$1&lt;År1,0,V184*(1-VLOOKUP($A185,[1]Hugst!$R$5:$W$9,MATCH(ROUNDUP((W$1)/10,0)*10,[1]Hugst!$R$4:$W$4,0))))</f>
        <v>0</v>
      </c>
      <c r="X185" s="168">
        <f ca="1">IF($C185-X$1&lt;År1,0,W184*(1-VLOOKUP($A185,[1]Hugst!$R$5:$W$9,MATCH(ROUNDUP((X$1)/10,0)*10,[1]Hugst!$R$4:$W$4,0))))</f>
        <v>0</v>
      </c>
      <c r="Y185" s="168">
        <f ca="1">IF($C185-Y$1&lt;År1,0,X184*(1-VLOOKUP($A185,[1]Hugst!$R$5:$W$9,MATCH(ROUNDUP((Y$1)/10,0)*10,[1]Hugst!$R$4:$W$4,0))))</f>
        <v>0</v>
      </c>
      <c r="Z185" s="168">
        <f ca="1">IF($C185-Z$1&lt;År1,0,Y184*(1-VLOOKUP($A185,[1]Hugst!$R$5:$W$9,MATCH(ROUNDUP((Z$1)/10,0)*10,[1]Hugst!$R$4:$W$4,0))))</f>
        <v>0</v>
      </c>
      <c r="AA185" s="168">
        <f ca="1">IF($C185-AA$1&lt;År1,0,Z184*(1-VLOOKUP($A185,[1]Hugst!$R$5:$W$9,MATCH(ROUNDUP((AA$1)/10,0)*10,[1]Hugst!$R$4:$W$4,0))))</f>
        <v>0</v>
      </c>
      <c r="AB185" s="168">
        <f ca="1">IF($C185-AB$1&lt;År1,0,AA184*(1-VLOOKUP($A185,[1]Hugst!$R$5:$W$9,MATCH(ROUNDUP((AB$1)/10,0)*10,[1]Hugst!$R$4:$W$4,0))))</f>
        <v>0</v>
      </c>
      <c r="AC185" s="168">
        <f ca="1">IF($C185-AC$1&lt;År1,0,AB184*(1-VLOOKUP($A185,[1]Hugst!$R$5:$W$9,MATCH(ROUNDUP((AC$1)/10,0)*10,[1]Hugst!$R$4:$W$4,0))))</f>
        <v>0</v>
      </c>
      <c r="AD185" s="168">
        <f ca="1">IF($C185-AD$1&lt;År1,0,AC184*(1-VLOOKUP($A185,[1]Hugst!$R$5:$W$9,MATCH(ROUNDUP((AD$1)/10,0)*10,[1]Hugst!$R$4:$W$4,0))))</f>
        <v>0</v>
      </c>
      <c r="AE185" s="168">
        <f ca="1">IF($C185-AE$1&lt;År1,0,AD184*(1-VLOOKUP($A185,[1]Hugst!$R$5:$W$9,MATCH(ROUNDUP((AE$1)/10,0)*10,[1]Hugst!$R$4:$W$4,0))))</f>
        <v>0</v>
      </c>
      <c r="AF185" s="168">
        <f ca="1">IF($C185-AF$1&lt;År1,0,AE184*(1-VLOOKUP($A185,[1]Hugst!$R$5:$W$9,MATCH(ROUNDUP((AF$1)/10,0)*10,[1]Hugst!$R$4:$W$4,0))))</f>
        <v>0</v>
      </c>
      <c r="AG185" s="168">
        <f ca="1">IF($C185-AG$1&lt;År1,0,AF184*(1-VLOOKUP($A185,[1]Hugst!$R$5:$W$9,MATCH(ROUNDUP((AG$1)/10,0)*10,[1]Hugst!$R$4:$W$4,0))))</f>
        <v>0</v>
      </c>
      <c r="AH185" s="168">
        <f ca="1">IF($C185-AH$1&lt;År1,0,AG184*(1-VLOOKUP($A185,[1]Hugst!$R$5:$W$9,MATCH(ROUNDUP((AH$1)/10,0)*10,[1]Hugst!$R$4:$W$4,0))))</f>
        <v>0</v>
      </c>
      <c r="AI185" s="168">
        <f>IF($C185-AI$1&lt;År1,0,AH184*(1-VLOOKUP($A185,[1]Hugst!$R$5:$W$9,MATCH(ROUNDUP((AI$1)/10,0)*10,[1]Hugst!$R$4:$W$4,0))))</f>
        <v>0</v>
      </c>
      <c r="AJ185" s="168">
        <f>IF($C185-AJ$1&lt;År1,0,AI184*(1-VLOOKUP($A185,[1]Hugst!$R$5:$W$9,MATCH(ROUNDUP((AJ$1)/10,0)*10,[1]Hugst!$R$4:$W$4,0))))</f>
        <v>0</v>
      </c>
    </row>
    <row r="186" spans="1:36" x14ac:dyDescent="0.25">
      <c r="A186" s="168" t="s">
        <v>178</v>
      </c>
      <c r="B186" s="168" t="s">
        <v>24</v>
      </c>
      <c r="C186" s="168">
        <v>2049</v>
      </c>
      <c r="D186" s="168" cm="1">
        <f t="array" ref="D186">(IF(B186="Vestdanmark",Skovbrug!$C$22-(Skovbrug!$C$22)*(1-Skovbrug!$C$9)^(C186-Skovbrug!$B$12),Skovbrug!$F$22-(Skovbrug!$F$22)*(1-Skovbrug!$C$9)^(C186-Skovbrug!$B$12))*VLOOKUP(A186,Skovbrug!$A$13:$D$17,IF('Skovbrug-alder'!C186&lt;=År2,3,4),FALSE)-IF(C186&gt;2020,SUM(INDEX($C$1:$D$311,MATCH(1,(2020=$C$1:$C$311)*(B186=$B$1:$B$311)*(A186=$A$1:$A$311),0),2):D185),0))</f>
        <v>0</v>
      </c>
      <c r="E186" s="168">
        <f t="shared" ca="1" si="3"/>
        <v>0</v>
      </c>
      <c r="F186" s="168">
        <f ca="1">IF(C186&lt;=År2,IF(B186="Vestdanmark",(Arealanvendelse!$M$27-Arealanvendelse!$J$27),(Arealanvendelse!$M$37-Arealanvendelse!$J$37))/(Arealanvendelse!$M$3-Arealanvendelse!$J$3),IF(B186="Vestdanmark",(Arealanvendelse!$P$27-Arealanvendelse!$M$27),(Arealanvendelse!$P$37-Arealanvendelse!$M$37))/(Arealanvendelse!$P$3-Arealanvendelse!$M$3))*VLOOKUP(A186,Skovbrug!$A$13:$D$17,IF('Skovbrug-alder'!C186&lt;=År2,3,4),FALSE)+D186+E186</f>
        <v>0</v>
      </c>
      <c r="G186" s="168">
        <f ca="1">IF($C186-G$1&lt;År1,0,F185*(1-VLOOKUP($A186,[1]Hugst!$R$5:$W$9,MATCH(ROUNDUP((G$1)/10,0)*10,[1]Hugst!$R$4:$W$4,0))))</f>
        <v>0</v>
      </c>
      <c r="H186" s="168">
        <f ca="1">IF($C186-H$1&lt;År1,0,G185*(1-VLOOKUP($A186,[1]Hugst!$R$5:$W$9,MATCH(ROUNDUP((H$1)/10,0)*10,[1]Hugst!$R$4:$W$4,0))))</f>
        <v>0</v>
      </c>
      <c r="I186" s="168">
        <f ca="1">IF($C186-I$1&lt;År1,0,H185*(1-VLOOKUP($A186,[1]Hugst!$R$5:$W$9,MATCH(ROUNDUP((I$1)/10,0)*10,[1]Hugst!$R$4:$W$4,0))))</f>
        <v>0</v>
      </c>
      <c r="J186" s="168">
        <f ca="1">IF($C186-J$1&lt;År1,0,I185*(1-VLOOKUP($A186,[1]Hugst!$R$5:$W$9,MATCH(ROUNDUP((J$1)/10,0)*10,[1]Hugst!$R$4:$W$4,0))))</f>
        <v>0</v>
      </c>
      <c r="K186" s="168">
        <f ca="1">IF($C186-K$1&lt;År1,0,J185*(1-VLOOKUP($A186,[1]Hugst!$R$5:$W$9,MATCH(ROUNDUP((K$1)/10,0)*10,[1]Hugst!$R$4:$W$4,0))))</f>
        <v>0</v>
      </c>
      <c r="L186" s="168">
        <f ca="1">IF($C186-L$1&lt;År1,0,K185*(1-VLOOKUP($A186,[1]Hugst!$R$5:$W$9,MATCH(ROUNDUP((L$1)/10,0)*10,[1]Hugst!$R$4:$W$4,0))))</f>
        <v>0</v>
      </c>
      <c r="M186" s="168">
        <f ca="1">IF($C186-M$1&lt;År1,0,L185*(1-VLOOKUP($A186,[1]Hugst!$R$5:$W$9,MATCH(ROUNDUP((M$1)/10,0)*10,[1]Hugst!$R$4:$W$4,0))))</f>
        <v>0</v>
      </c>
      <c r="N186" s="168">
        <f ca="1">IF($C186-N$1&lt;År1,0,M185*(1-VLOOKUP($A186,[1]Hugst!$R$5:$W$9,MATCH(ROUNDUP((N$1)/10,0)*10,[1]Hugst!$R$4:$W$4,0))))</f>
        <v>0</v>
      </c>
      <c r="O186" s="168">
        <f ca="1">IF($C186-O$1&lt;År1,0,N185*(1-VLOOKUP($A186,[1]Hugst!$R$5:$W$9,MATCH(ROUNDUP((O$1)/10,0)*10,[1]Hugst!$R$4:$W$4,0))))</f>
        <v>0</v>
      </c>
      <c r="P186" s="168">
        <f ca="1">IF($C186-P$1&lt;År1,0,O185*(1-VLOOKUP($A186,[1]Hugst!$R$5:$W$9,MATCH(ROUNDUP((P$1)/10,0)*10,[1]Hugst!$R$4:$W$4,0))))</f>
        <v>0</v>
      </c>
      <c r="Q186" s="168">
        <f ca="1">IF($C186-Q$1&lt;År1,0,P185*(1-VLOOKUP($A186,[1]Hugst!$R$5:$W$9,MATCH(ROUNDUP((Q$1)/10,0)*10,[1]Hugst!$R$4:$W$4,0))))</f>
        <v>0</v>
      </c>
      <c r="R186" s="168">
        <f ca="1">IF($C186-R$1&lt;År1,0,Q185*(1-VLOOKUP($A186,[1]Hugst!$R$5:$W$9,MATCH(ROUNDUP((R$1)/10,0)*10,[1]Hugst!$R$4:$W$4,0))))</f>
        <v>0</v>
      </c>
      <c r="S186" s="168">
        <f ca="1">IF($C186-S$1&lt;År1,0,R185*(1-VLOOKUP($A186,[1]Hugst!$R$5:$W$9,MATCH(ROUNDUP((S$1)/10,0)*10,[1]Hugst!$R$4:$W$4,0))))</f>
        <v>0</v>
      </c>
      <c r="T186" s="168">
        <f ca="1">IF($C186-T$1&lt;År1,0,S185*(1-VLOOKUP($A186,[1]Hugst!$R$5:$W$9,MATCH(ROUNDUP((T$1)/10,0)*10,[1]Hugst!$R$4:$W$4,0))))</f>
        <v>0</v>
      </c>
      <c r="U186" s="168">
        <f ca="1">IF($C186-U$1&lt;År1,0,T185*(1-VLOOKUP($A186,[1]Hugst!$R$5:$W$9,MATCH(ROUNDUP((U$1)/10,0)*10,[1]Hugst!$R$4:$W$4,0))))</f>
        <v>0</v>
      </c>
      <c r="V186" s="168">
        <f ca="1">IF($C186-V$1&lt;År1,0,U185*(1-VLOOKUP($A186,[1]Hugst!$R$5:$W$9,MATCH(ROUNDUP((V$1)/10,0)*10,[1]Hugst!$R$4:$W$4,0))))</f>
        <v>0</v>
      </c>
      <c r="W186" s="168">
        <f ca="1">IF($C186-W$1&lt;År1,0,V185*(1-VLOOKUP($A186,[1]Hugst!$R$5:$W$9,MATCH(ROUNDUP((W$1)/10,0)*10,[1]Hugst!$R$4:$W$4,0))))</f>
        <v>0</v>
      </c>
      <c r="X186" s="168">
        <f ca="1">IF($C186-X$1&lt;År1,0,W185*(1-VLOOKUP($A186,[1]Hugst!$R$5:$W$9,MATCH(ROUNDUP((X$1)/10,0)*10,[1]Hugst!$R$4:$W$4,0))))</f>
        <v>0</v>
      </c>
      <c r="Y186" s="168">
        <f ca="1">IF($C186-Y$1&lt;År1,0,X185*(1-VLOOKUP($A186,[1]Hugst!$R$5:$W$9,MATCH(ROUNDUP((Y$1)/10,0)*10,[1]Hugst!$R$4:$W$4,0))))</f>
        <v>0</v>
      </c>
      <c r="Z186" s="168">
        <f ca="1">IF($C186-Z$1&lt;År1,0,Y185*(1-VLOOKUP($A186,[1]Hugst!$R$5:$W$9,MATCH(ROUNDUP((Z$1)/10,0)*10,[1]Hugst!$R$4:$W$4,0))))</f>
        <v>0</v>
      </c>
      <c r="AA186" s="168">
        <f ca="1">IF($C186-AA$1&lt;År1,0,Z185*(1-VLOOKUP($A186,[1]Hugst!$R$5:$W$9,MATCH(ROUNDUP((AA$1)/10,0)*10,[1]Hugst!$R$4:$W$4,0))))</f>
        <v>0</v>
      </c>
      <c r="AB186" s="168">
        <f ca="1">IF($C186-AB$1&lt;År1,0,AA185*(1-VLOOKUP($A186,[1]Hugst!$R$5:$W$9,MATCH(ROUNDUP((AB$1)/10,0)*10,[1]Hugst!$R$4:$W$4,0))))</f>
        <v>0</v>
      </c>
      <c r="AC186" s="168">
        <f ca="1">IF($C186-AC$1&lt;År1,0,AB185*(1-VLOOKUP($A186,[1]Hugst!$R$5:$W$9,MATCH(ROUNDUP((AC$1)/10,0)*10,[1]Hugst!$R$4:$W$4,0))))</f>
        <v>0</v>
      </c>
      <c r="AD186" s="168">
        <f ca="1">IF($C186-AD$1&lt;År1,0,AC185*(1-VLOOKUP($A186,[1]Hugst!$R$5:$W$9,MATCH(ROUNDUP((AD$1)/10,0)*10,[1]Hugst!$R$4:$W$4,0))))</f>
        <v>0</v>
      </c>
      <c r="AE186" s="168">
        <f ca="1">IF($C186-AE$1&lt;År1,0,AD185*(1-VLOOKUP($A186,[1]Hugst!$R$5:$W$9,MATCH(ROUNDUP((AE$1)/10,0)*10,[1]Hugst!$R$4:$W$4,0))))</f>
        <v>0</v>
      </c>
      <c r="AF186" s="168">
        <f ca="1">IF($C186-AF$1&lt;År1,0,AE185*(1-VLOOKUP($A186,[1]Hugst!$R$5:$W$9,MATCH(ROUNDUP((AF$1)/10,0)*10,[1]Hugst!$R$4:$W$4,0))))</f>
        <v>0</v>
      </c>
      <c r="AG186" s="168">
        <f ca="1">IF($C186-AG$1&lt;År1,0,AF185*(1-VLOOKUP($A186,[1]Hugst!$R$5:$W$9,MATCH(ROUNDUP((AG$1)/10,0)*10,[1]Hugst!$R$4:$W$4,0))))</f>
        <v>0</v>
      </c>
      <c r="AH186" s="168">
        <f ca="1">IF($C186-AH$1&lt;År1,0,AG185*(1-VLOOKUP($A186,[1]Hugst!$R$5:$W$9,MATCH(ROUNDUP((AH$1)/10,0)*10,[1]Hugst!$R$4:$W$4,0))))</f>
        <v>0</v>
      </c>
      <c r="AI186" s="168">
        <f ca="1">IF($C186-AI$1&lt;År1,0,AH185*(1-VLOOKUP($A186,[1]Hugst!$R$5:$W$9,MATCH(ROUNDUP((AI$1)/10,0)*10,[1]Hugst!$R$4:$W$4,0))))</f>
        <v>0</v>
      </c>
      <c r="AJ186" s="168">
        <f>IF($C186-AJ$1&lt;År1,0,AI185*(1-VLOOKUP($A186,[1]Hugst!$R$5:$W$9,MATCH(ROUNDUP((AJ$1)/10,0)*10,[1]Hugst!$R$4:$W$4,0))))</f>
        <v>0</v>
      </c>
    </row>
    <row r="187" spans="1:36" x14ac:dyDescent="0.25">
      <c r="A187" s="168" t="s">
        <v>178</v>
      </c>
      <c r="B187" s="168" t="s">
        <v>24</v>
      </c>
      <c r="C187" s="168">
        <v>2050</v>
      </c>
      <c r="D187" s="168" cm="1">
        <f t="array" ref="D187">(IF(B187="Vestdanmark",Skovbrug!$C$22-(Skovbrug!$C$22)*(1-Skovbrug!$C$9)^(C187-Skovbrug!$B$12),Skovbrug!$F$22-(Skovbrug!$F$22)*(1-Skovbrug!$C$9)^(C187-Skovbrug!$B$12))*VLOOKUP(A187,Skovbrug!$A$13:$D$17,IF('Skovbrug-alder'!C187&lt;=År2,3,4),FALSE)-IF(C187&gt;2020,SUM(INDEX($C$1:$D$311,MATCH(1,(2020=$C$1:$C$311)*(B187=$B$1:$B$311)*(A187=$A$1:$A$311),0),2):D186),0))</f>
        <v>0</v>
      </c>
      <c r="E187" s="168">
        <f t="shared" ca="1" si="3"/>
        <v>0</v>
      </c>
      <c r="F187" s="168">
        <f ca="1">IF(C187&lt;=År2,IF(B187="Vestdanmark",(Arealanvendelse!$M$27-Arealanvendelse!$J$27),(Arealanvendelse!$M$37-Arealanvendelse!$J$37))/(Arealanvendelse!$M$3-Arealanvendelse!$J$3),IF(B187="Vestdanmark",(Arealanvendelse!$P$27-Arealanvendelse!$M$27),(Arealanvendelse!$P$37-Arealanvendelse!$M$37))/(Arealanvendelse!$P$3-Arealanvendelse!$M$3))*VLOOKUP(A187,Skovbrug!$A$13:$D$17,IF('Skovbrug-alder'!C187&lt;=År2,3,4),FALSE)+D187+E187</f>
        <v>0</v>
      </c>
      <c r="G187" s="168">
        <f ca="1">IF($C187-G$1&lt;År1,0,F186*(1-VLOOKUP($A187,[1]Hugst!$R$5:$W$9,MATCH(ROUNDUP((G$1)/10,0)*10,[1]Hugst!$R$4:$W$4,0))))</f>
        <v>0</v>
      </c>
      <c r="H187" s="168">
        <f ca="1">IF($C187-H$1&lt;År1,0,G186*(1-VLOOKUP($A187,[1]Hugst!$R$5:$W$9,MATCH(ROUNDUP((H$1)/10,0)*10,[1]Hugst!$R$4:$W$4,0))))</f>
        <v>0</v>
      </c>
      <c r="I187" s="168">
        <f ca="1">IF($C187-I$1&lt;År1,0,H186*(1-VLOOKUP($A187,[1]Hugst!$R$5:$W$9,MATCH(ROUNDUP((I$1)/10,0)*10,[1]Hugst!$R$4:$W$4,0))))</f>
        <v>0</v>
      </c>
      <c r="J187" s="168">
        <f ca="1">IF($C187-J$1&lt;År1,0,I186*(1-VLOOKUP($A187,[1]Hugst!$R$5:$W$9,MATCH(ROUNDUP((J$1)/10,0)*10,[1]Hugst!$R$4:$W$4,0))))</f>
        <v>0</v>
      </c>
      <c r="K187" s="168">
        <f ca="1">IF($C187-K$1&lt;År1,0,J186*(1-VLOOKUP($A187,[1]Hugst!$R$5:$W$9,MATCH(ROUNDUP((K$1)/10,0)*10,[1]Hugst!$R$4:$W$4,0))))</f>
        <v>0</v>
      </c>
      <c r="L187" s="168">
        <f ca="1">IF($C187-L$1&lt;År1,0,K186*(1-VLOOKUP($A187,[1]Hugst!$R$5:$W$9,MATCH(ROUNDUP((L$1)/10,0)*10,[1]Hugst!$R$4:$W$4,0))))</f>
        <v>0</v>
      </c>
      <c r="M187" s="168">
        <f ca="1">IF($C187-M$1&lt;År1,0,L186*(1-VLOOKUP($A187,[1]Hugst!$R$5:$W$9,MATCH(ROUNDUP((M$1)/10,0)*10,[1]Hugst!$R$4:$W$4,0))))</f>
        <v>0</v>
      </c>
      <c r="N187" s="168">
        <f ca="1">IF($C187-N$1&lt;År1,0,M186*(1-VLOOKUP($A187,[1]Hugst!$R$5:$W$9,MATCH(ROUNDUP((N$1)/10,0)*10,[1]Hugst!$R$4:$W$4,0))))</f>
        <v>0</v>
      </c>
      <c r="O187" s="168">
        <f ca="1">IF($C187-O$1&lt;År1,0,N186*(1-VLOOKUP($A187,[1]Hugst!$R$5:$W$9,MATCH(ROUNDUP((O$1)/10,0)*10,[1]Hugst!$R$4:$W$4,0))))</f>
        <v>0</v>
      </c>
      <c r="P187" s="168">
        <f ca="1">IF($C187-P$1&lt;År1,0,O186*(1-VLOOKUP($A187,[1]Hugst!$R$5:$W$9,MATCH(ROUNDUP((P$1)/10,0)*10,[1]Hugst!$R$4:$W$4,0))))</f>
        <v>0</v>
      </c>
      <c r="Q187" s="168">
        <f ca="1">IF($C187-Q$1&lt;År1,0,P186*(1-VLOOKUP($A187,[1]Hugst!$R$5:$W$9,MATCH(ROUNDUP((Q$1)/10,0)*10,[1]Hugst!$R$4:$W$4,0))))</f>
        <v>0</v>
      </c>
      <c r="R187" s="168">
        <f ca="1">IF($C187-R$1&lt;År1,0,Q186*(1-VLOOKUP($A187,[1]Hugst!$R$5:$W$9,MATCH(ROUNDUP((R$1)/10,0)*10,[1]Hugst!$R$4:$W$4,0))))</f>
        <v>0</v>
      </c>
      <c r="S187" s="168">
        <f ca="1">IF($C187-S$1&lt;År1,0,R186*(1-VLOOKUP($A187,[1]Hugst!$R$5:$W$9,MATCH(ROUNDUP((S$1)/10,0)*10,[1]Hugst!$R$4:$W$4,0))))</f>
        <v>0</v>
      </c>
      <c r="T187" s="168">
        <f ca="1">IF($C187-T$1&lt;År1,0,S186*(1-VLOOKUP($A187,[1]Hugst!$R$5:$W$9,MATCH(ROUNDUP((T$1)/10,0)*10,[1]Hugst!$R$4:$W$4,0))))</f>
        <v>0</v>
      </c>
      <c r="U187" s="168">
        <f ca="1">IF($C187-U$1&lt;År1,0,T186*(1-VLOOKUP($A187,[1]Hugst!$R$5:$W$9,MATCH(ROUNDUP((U$1)/10,0)*10,[1]Hugst!$R$4:$W$4,0))))</f>
        <v>0</v>
      </c>
      <c r="V187" s="168">
        <f ca="1">IF($C187-V$1&lt;År1,0,U186*(1-VLOOKUP($A187,[1]Hugst!$R$5:$W$9,MATCH(ROUNDUP((V$1)/10,0)*10,[1]Hugst!$R$4:$W$4,0))))</f>
        <v>0</v>
      </c>
      <c r="W187" s="168">
        <f ca="1">IF($C187-W$1&lt;År1,0,V186*(1-VLOOKUP($A187,[1]Hugst!$R$5:$W$9,MATCH(ROUNDUP((W$1)/10,0)*10,[1]Hugst!$R$4:$W$4,0))))</f>
        <v>0</v>
      </c>
      <c r="X187" s="168">
        <f ca="1">IF($C187-X$1&lt;År1,0,W186*(1-VLOOKUP($A187,[1]Hugst!$R$5:$W$9,MATCH(ROUNDUP((X$1)/10,0)*10,[1]Hugst!$R$4:$W$4,0))))</f>
        <v>0</v>
      </c>
      <c r="Y187" s="168">
        <f ca="1">IF($C187-Y$1&lt;År1,0,X186*(1-VLOOKUP($A187,[1]Hugst!$R$5:$W$9,MATCH(ROUNDUP((Y$1)/10,0)*10,[1]Hugst!$R$4:$W$4,0))))</f>
        <v>0</v>
      </c>
      <c r="Z187" s="168">
        <f ca="1">IF($C187-Z$1&lt;År1,0,Y186*(1-VLOOKUP($A187,[1]Hugst!$R$5:$W$9,MATCH(ROUNDUP((Z$1)/10,0)*10,[1]Hugst!$R$4:$W$4,0))))</f>
        <v>0</v>
      </c>
      <c r="AA187" s="168">
        <f ca="1">IF($C187-AA$1&lt;År1,0,Z186*(1-VLOOKUP($A187,[1]Hugst!$R$5:$W$9,MATCH(ROUNDUP((AA$1)/10,0)*10,[1]Hugst!$R$4:$W$4,0))))</f>
        <v>0</v>
      </c>
      <c r="AB187" s="168">
        <f ca="1">IF($C187-AB$1&lt;År1,0,AA186*(1-VLOOKUP($A187,[1]Hugst!$R$5:$W$9,MATCH(ROUNDUP((AB$1)/10,0)*10,[1]Hugst!$R$4:$W$4,0))))</f>
        <v>0</v>
      </c>
      <c r="AC187" s="168">
        <f ca="1">IF($C187-AC$1&lt;År1,0,AB186*(1-VLOOKUP($A187,[1]Hugst!$R$5:$W$9,MATCH(ROUNDUP((AC$1)/10,0)*10,[1]Hugst!$R$4:$W$4,0))))</f>
        <v>0</v>
      </c>
      <c r="AD187" s="168">
        <f ca="1">IF($C187-AD$1&lt;År1,0,AC186*(1-VLOOKUP($A187,[1]Hugst!$R$5:$W$9,MATCH(ROUNDUP((AD$1)/10,0)*10,[1]Hugst!$R$4:$W$4,0))))</f>
        <v>0</v>
      </c>
      <c r="AE187" s="168">
        <f ca="1">IF($C187-AE$1&lt;År1,0,AD186*(1-VLOOKUP($A187,[1]Hugst!$R$5:$W$9,MATCH(ROUNDUP((AE$1)/10,0)*10,[1]Hugst!$R$4:$W$4,0))))</f>
        <v>0</v>
      </c>
      <c r="AF187" s="168">
        <f ca="1">IF($C187-AF$1&lt;År1,0,AE186*(1-VLOOKUP($A187,[1]Hugst!$R$5:$W$9,MATCH(ROUNDUP((AF$1)/10,0)*10,[1]Hugst!$R$4:$W$4,0))))</f>
        <v>0</v>
      </c>
      <c r="AG187" s="168">
        <f ca="1">IF($C187-AG$1&lt;År1,0,AF186*(1-VLOOKUP($A187,[1]Hugst!$R$5:$W$9,MATCH(ROUNDUP((AG$1)/10,0)*10,[1]Hugst!$R$4:$W$4,0))))</f>
        <v>0</v>
      </c>
      <c r="AH187" s="168">
        <f ca="1">IF($C187-AH$1&lt;År1,0,AG186*(1-VLOOKUP($A187,[1]Hugst!$R$5:$W$9,MATCH(ROUNDUP((AH$1)/10,0)*10,[1]Hugst!$R$4:$W$4,0))))</f>
        <v>0</v>
      </c>
      <c r="AI187" s="168">
        <f ca="1">IF($C187-AI$1&lt;År1,0,AH186*(1-VLOOKUP($A187,[1]Hugst!$R$5:$W$9,MATCH(ROUNDUP((AI$1)/10,0)*10,[1]Hugst!$R$4:$W$4,0))))</f>
        <v>0</v>
      </c>
      <c r="AJ187" s="168">
        <f ca="1">IF($C187-AJ$1&lt;År1,0,AI186*(1-VLOOKUP($A187,[1]Hugst!$R$5:$W$9,MATCH(ROUNDUP((AJ$1)/10,0)*10,[1]Hugst!$R$4:$W$4,0))))</f>
        <v>0</v>
      </c>
    </row>
    <row r="188" spans="1:36" x14ac:dyDescent="0.25">
      <c r="A188" s="168" t="s">
        <v>179</v>
      </c>
      <c r="B188" s="168" t="s">
        <v>23</v>
      </c>
      <c r="C188" s="168">
        <v>2020</v>
      </c>
      <c r="D188" s="168" cm="1">
        <f t="array" ref="D188">(IF(B188="Vestdanmark",Skovbrug!$C$22-(Skovbrug!$C$22)*(1-Skovbrug!$C$9)^(C188-Skovbrug!$B$12),Skovbrug!$F$22-(Skovbrug!$F$22)*(1-Skovbrug!$C$9)^(C188-Skovbrug!$B$12))*VLOOKUP(A188,Skovbrug!$A$13:$D$17,IF('Skovbrug-alder'!C188&lt;=År2,3,4),FALSE)-IF(C188&gt;2020,SUM(INDEX($C$1:$D$311,MATCH(1,(2020=$C$1:$C$311)*(B188=$B$1:$B$311)*(A188=$A$1:$A$311),0),2):D187),0))</f>
        <v>0</v>
      </c>
      <c r="E188" s="168">
        <f>IF(C188=2020,SUM(G188:AJ188),SUM(F187:AJ187)-SUM(G188:AJ188))</f>
        <v>0</v>
      </c>
      <c r="F188" s="168">
        <f>IF(C188&lt;=År2,IF(B188="Vestdanmark",(Arealanvendelse!$M$27-Arealanvendelse!$J$27),(Arealanvendelse!$M$37-Arealanvendelse!$J$37))/(Arealanvendelse!$M$3-Arealanvendelse!$J$3),IF(B188="Vestdanmark",(Arealanvendelse!$P$27-Arealanvendelse!$M$27),(Arealanvendelse!$P$37-Arealanvendelse!$M$37))/(Arealanvendelse!$P$3-Arealanvendelse!$M$3))*VLOOKUP(A188,Skovbrug!$A$13:$D$17,IF('Skovbrug-alder'!C188&lt;=År2,3,4),FALSE)+D188+E188</f>
        <v>0</v>
      </c>
      <c r="G188" s="168">
        <f>IF($C188-G$1&lt;År1,0,F187*(1-VLOOKUP($A188,[1]Hugst!$R$5:$W$9,MATCH(ROUNDUP((G$1)/10,0)*10,[1]Hugst!$R$4:$W$4,0))))</f>
        <v>0</v>
      </c>
      <c r="H188" s="168">
        <f>IF($C188-H$1&lt;År1,0,G187*(1-VLOOKUP($A188,[1]Hugst!$R$5:$W$9,MATCH(ROUNDUP((H$1)/10,0)*10,[1]Hugst!$R$4:$W$4,0))))</f>
        <v>0</v>
      </c>
      <c r="I188" s="168">
        <f>IF($C188-I$1&lt;År1,0,H187*(1-VLOOKUP($A188,[1]Hugst!$R$5:$W$9,MATCH(ROUNDUP((I$1)/10,0)*10,[1]Hugst!$R$4:$W$4,0))))</f>
        <v>0</v>
      </c>
      <c r="J188" s="168">
        <f>IF($C188-J$1&lt;År1,0,I187*(1-VLOOKUP($A188,[1]Hugst!$R$5:$W$9,MATCH(ROUNDUP((J$1)/10,0)*10,[1]Hugst!$R$4:$W$4,0))))</f>
        <v>0</v>
      </c>
      <c r="K188" s="168">
        <f>IF($C188-K$1&lt;År1,0,J187*(1-VLOOKUP($A188,[1]Hugst!$R$5:$W$9,MATCH(ROUNDUP((K$1)/10,0)*10,[1]Hugst!$R$4:$W$4,0))))</f>
        <v>0</v>
      </c>
      <c r="L188" s="168">
        <f>IF($C188-L$1&lt;År1,0,K187*(1-VLOOKUP($A188,[1]Hugst!$R$5:$W$9,MATCH(ROUNDUP((L$1)/10,0)*10,[1]Hugst!$R$4:$W$4,0))))</f>
        <v>0</v>
      </c>
      <c r="M188" s="168">
        <f>IF($C188-M$1&lt;År1,0,L187*(1-VLOOKUP($A188,[1]Hugst!$R$5:$W$9,MATCH(ROUNDUP((M$1)/10,0)*10,[1]Hugst!$R$4:$W$4,0))))</f>
        <v>0</v>
      </c>
      <c r="N188" s="168">
        <f>IF($C188-N$1&lt;År1,0,M187*(1-VLOOKUP($A188,[1]Hugst!$R$5:$W$9,MATCH(ROUNDUP((N$1)/10,0)*10,[1]Hugst!$R$4:$W$4,0))))</f>
        <v>0</v>
      </c>
      <c r="O188" s="168">
        <f>IF($C188-O$1&lt;År1,0,N187*(1-VLOOKUP($A188,[1]Hugst!$R$5:$W$9,MATCH(ROUNDUP((O$1)/10,0)*10,[1]Hugst!$R$4:$W$4,0))))</f>
        <v>0</v>
      </c>
      <c r="P188" s="168">
        <f>IF($C188-P$1&lt;År1,0,O187*(1-VLOOKUP($A188,[1]Hugst!$R$5:$W$9,MATCH(ROUNDUP((P$1)/10,0)*10,[1]Hugst!$R$4:$W$4,0))))</f>
        <v>0</v>
      </c>
      <c r="Q188" s="168">
        <f>IF($C188-Q$1&lt;År1,0,P187*(1-VLOOKUP($A188,[1]Hugst!$R$5:$W$9,MATCH(ROUNDUP((Q$1)/10,0)*10,[1]Hugst!$R$4:$W$4,0))))</f>
        <v>0</v>
      </c>
      <c r="R188" s="168">
        <f>IF($C188-R$1&lt;År1,0,Q187*(1-VLOOKUP($A188,[1]Hugst!$R$5:$W$9,MATCH(ROUNDUP((R$1)/10,0)*10,[1]Hugst!$R$4:$W$4,0))))</f>
        <v>0</v>
      </c>
      <c r="S188" s="168">
        <f>IF($C188-S$1&lt;År1,0,R187*(1-VLOOKUP($A188,[1]Hugst!$R$5:$W$9,MATCH(ROUNDUP((S$1)/10,0)*10,[1]Hugst!$R$4:$W$4,0))))</f>
        <v>0</v>
      </c>
      <c r="T188" s="168">
        <f>IF($C188-T$1&lt;År1,0,S187*(1-VLOOKUP($A188,[1]Hugst!$R$5:$W$9,MATCH(ROUNDUP((T$1)/10,0)*10,[1]Hugst!$R$4:$W$4,0))))</f>
        <v>0</v>
      </c>
      <c r="U188" s="168">
        <f>IF($C188-U$1&lt;År1,0,T187*(1-VLOOKUP($A188,[1]Hugst!$R$5:$W$9,MATCH(ROUNDUP((U$1)/10,0)*10,[1]Hugst!$R$4:$W$4,0))))</f>
        <v>0</v>
      </c>
      <c r="V188" s="168">
        <f>IF($C188-V$1&lt;År1,0,U187*(1-VLOOKUP($A188,[1]Hugst!$R$5:$W$9,MATCH(ROUNDUP((V$1)/10,0)*10,[1]Hugst!$R$4:$W$4,0))))</f>
        <v>0</v>
      </c>
      <c r="W188" s="168">
        <f>IF($C188-W$1&lt;År1,0,V187*(1-VLOOKUP($A188,[1]Hugst!$R$5:$W$9,MATCH(ROUNDUP((W$1)/10,0)*10,[1]Hugst!$R$4:$W$4,0))))</f>
        <v>0</v>
      </c>
      <c r="X188" s="168">
        <f>IF($C188-X$1&lt;År1,0,W187*(1-VLOOKUP($A188,[1]Hugst!$R$5:$W$9,MATCH(ROUNDUP((X$1)/10,0)*10,[1]Hugst!$R$4:$W$4,0))))</f>
        <v>0</v>
      </c>
      <c r="Y188" s="168">
        <f>IF($C188-Y$1&lt;År1,0,X187*(1-VLOOKUP($A188,[1]Hugst!$R$5:$W$9,MATCH(ROUNDUP((Y$1)/10,0)*10,[1]Hugst!$R$4:$W$4,0))))</f>
        <v>0</v>
      </c>
      <c r="Z188" s="168">
        <f>IF($C188-Z$1&lt;År1,0,Y187*(1-VLOOKUP($A188,[1]Hugst!$R$5:$W$9,MATCH(ROUNDUP((Z$1)/10,0)*10,[1]Hugst!$R$4:$W$4,0))))</f>
        <v>0</v>
      </c>
      <c r="AA188" s="168">
        <f>IF($C188-AA$1&lt;År1,0,Z187*(1-VLOOKUP($A188,[1]Hugst!$R$5:$W$9,MATCH(ROUNDUP((AA$1)/10,0)*10,[1]Hugst!$R$4:$W$4,0))))</f>
        <v>0</v>
      </c>
      <c r="AB188" s="168">
        <f>IF($C188-AB$1&lt;År1,0,AA187*(1-VLOOKUP($A188,[1]Hugst!$R$5:$W$9,MATCH(ROUNDUP((AB$1)/10,0)*10,[1]Hugst!$R$4:$W$4,0))))</f>
        <v>0</v>
      </c>
      <c r="AC188" s="168">
        <f>IF($C188-AC$1&lt;År1,0,AB187*(1-VLOOKUP($A188,[1]Hugst!$R$5:$W$9,MATCH(ROUNDUP((AC$1)/10,0)*10,[1]Hugst!$R$4:$W$4,0))))</f>
        <v>0</v>
      </c>
      <c r="AD188" s="168">
        <f>IF($C188-AD$1&lt;År1,0,AC187*(1-VLOOKUP($A188,[1]Hugst!$R$5:$W$9,MATCH(ROUNDUP((AD$1)/10,0)*10,[1]Hugst!$R$4:$W$4,0))))</f>
        <v>0</v>
      </c>
      <c r="AE188" s="168">
        <f>IF($C188-AE$1&lt;År1,0,AD187*(1-VLOOKUP($A188,[1]Hugst!$R$5:$W$9,MATCH(ROUNDUP((AE$1)/10,0)*10,[1]Hugst!$R$4:$W$4,0))))</f>
        <v>0</v>
      </c>
      <c r="AF188" s="168">
        <f>IF($C188-AF$1&lt;År1,0,AE187*(1-VLOOKUP($A188,[1]Hugst!$R$5:$W$9,MATCH(ROUNDUP((AF$1)/10,0)*10,[1]Hugst!$R$4:$W$4,0))))</f>
        <v>0</v>
      </c>
      <c r="AG188" s="168">
        <f>IF($C188-AG$1&lt;År1,0,AF187*(1-VLOOKUP($A188,[1]Hugst!$R$5:$W$9,MATCH(ROUNDUP((AG$1)/10,0)*10,[1]Hugst!$R$4:$W$4,0))))</f>
        <v>0</v>
      </c>
      <c r="AH188" s="168">
        <f>IF($C188-AH$1&lt;År1,0,AG187*(1-VLOOKUP($A188,[1]Hugst!$R$5:$W$9,MATCH(ROUNDUP((AH$1)/10,0)*10,[1]Hugst!$R$4:$W$4,0))))</f>
        <v>0</v>
      </c>
      <c r="AI188" s="168">
        <f>IF($C188-AI$1&lt;År1,0,AH187*(1-VLOOKUP($A188,[1]Hugst!$R$5:$W$9,MATCH(ROUNDUP((AI$1)/10,0)*10,[1]Hugst!$R$4:$W$4,0))))</f>
        <v>0</v>
      </c>
      <c r="AJ188" s="168">
        <f>IF($C188-AJ$1&lt;År1,0,AI187*(1-VLOOKUP($A188,[1]Hugst!$R$5:$W$9,MATCH(ROUNDUP((AJ$1)/10,0)*10,[1]Hugst!$R$4:$W$4,0))))</f>
        <v>0</v>
      </c>
    </row>
    <row r="189" spans="1:36" x14ac:dyDescent="0.25">
      <c r="A189" s="168" t="s">
        <v>179</v>
      </c>
      <c r="B189" s="168" t="s">
        <v>23</v>
      </c>
      <c r="C189" s="168">
        <v>2021</v>
      </c>
      <c r="D189" s="168" cm="1">
        <f t="array" ref="D189">(IF(B189="Vestdanmark",Skovbrug!$C$22-(Skovbrug!$C$22)*(1-Skovbrug!$C$9)^(C189-Skovbrug!$B$12),Skovbrug!$F$22-(Skovbrug!$F$22)*(1-Skovbrug!$C$9)^(C189-Skovbrug!$B$12))*VLOOKUP(A189,Skovbrug!$A$13:$D$17,IF('Skovbrug-alder'!C189&lt;=År2,3,4),FALSE)-IF(C189&gt;2020,SUM(INDEX($C$1:$D$311,MATCH(1,(2020=$C$1:$C$311)*(B189=$B$1:$B$311)*(A189=$A$1:$A$311),0),2):D188),0))</f>
        <v>0</v>
      </c>
      <c r="E189" s="168">
        <f t="shared" ref="E189:E218" ca="1" si="4">IF(C189=2020,SUM(G189:AJ189),SUM(F188:AJ188)-SUM(G189:AJ189))</f>
        <v>0</v>
      </c>
      <c r="F189" s="168">
        <f ca="1">IF(C189&lt;=År2,IF(B189="Vestdanmark",(Arealanvendelse!$M$27-Arealanvendelse!$J$27),(Arealanvendelse!$M$37-Arealanvendelse!$J$37))/(Arealanvendelse!$M$3-Arealanvendelse!$J$3),IF(B189="Vestdanmark",(Arealanvendelse!$P$27-Arealanvendelse!$M$27),(Arealanvendelse!$P$37-Arealanvendelse!$M$37))/(Arealanvendelse!$P$3-Arealanvendelse!$M$3))*VLOOKUP(A189,Skovbrug!$A$13:$D$17,IF('Skovbrug-alder'!C189&lt;=År2,3,4),FALSE)+D189+E189</f>
        <v>0</v>
      </c>
      <c r="G189" s="168">
        <f ca="1">IF($C189-G$1&lt;År1,0,F188*(1-VLOOKUP($A189,[1]Hugst!$R$5:$W$9,MATCH(ROUNDUP((G$1)/10,0)*10,[1]Hugst!$R$4:$W$4,0))))</f>
        <v>0</v>
      </c>
      <c r="H189" s="168">
        <f>IF($C189-H$1&lt;År1,0,G188*(1-VLOOKUP($A189,[1]Hugst!$R$5:$W$9,MATCH(ROUNDUP((H$1)/10,0)*10,[1]Hugst!$R$4:$W$4,0))))</f>
        <v>0</v>
      </c>
      <c r="I189" s="168">
        <f>IF($C189-I$1&lt;År1,0,H188*(1-VLOOKUP($A189,[1]Hugst!$R$5:$W$9,MATCH(ROUNDUP((I$1)/10,0)*10,[1]Hugst!$R$4:$W$4,0))))</f>
        <v>0</v>
      </c>
      <c r="J189" s="168">
        <f>IF($C189-J$1&lt;År1,0,I188*(1-VLOOKUP($A189,[1]Hugst!$R$5:$W$9,MATCH(ROUNDUP((J$1)/10,0)*10,[1]Hugst!$R$4:$W$4,0))))</f>
        <v>0</v>
      </c>
      <c r="K189" s="168">
        <f>IF($C189-K$1&lt;År1,0,J188*(1-VLOOKUP($A189,[1]Hugst!$R$5:$W$9,MATCH(ROUNDUP((K$1)/10,0)*10,[1]Hugst!$R$4:$W$4,0))))</f>
        <v>0</v>
      </c>
      <c r="L189" s="168">
        <f>IF($C189-L$1&lt;År1,0,K188*(1-VLOOKUP($A189,[1]Hugst!$R$5:$W$9,MATCH(ROUNDUP((L$1)/10,0)*10,[1]Hugst!$R$4:$W$4,0))))</f>
        <v>0</v>
      </c>
      <c r="M189" s="168">
        <f>IF($C189-M$1&lt;År1,0,L188*(1-VLOOKUP($A189,[1]Hugst!$R$5:$W$9,MATCH(ROUNDUP((M$1)/10,0)*10,[1]Hugst!$R$4:$W$4,0))))</f>
        <v>0</v>
      </c>
      <c r="N189" s="168">
        <f>IF($C189-N$1&lt;År1,0,M188*(1-VLOOKUP($A189,[1]Hugst!$R$5:$W$9,MATCH(ROUNDUP((N$1)/10,0)*10,[1]Hugst!$R$4:$W$4,0))))</f>
        <v>0</v>
      </c>
      <c r="O189" s="168">
        <f>IF($C189-O$1&lt;År1,0,N188*(1-VLOOKUP($A189,[1]Hugst!$R$5:$W$9,MATCH(ROUNDUP((O$1)/10,0)*10,[1]Hugst!$R$4:$W$4,0))))</f>
        <v>0</v>
      </c>
      <c r="P189" s="168">
        <f>IF($C189-P$1&lt;År1,0,O188*(1-VLOOKUP($A189,[1]Hugst!$R$5:$W$9,MATCH(ROUNDUP((P$1)/10,0)*10,[1]Hugst!$R$4:$W$4,0))))</f>
        <v>0</v>
      </c>
      <c r="Q189" s="168">
        <f>IF($C189-Q$1&lt;År1,0,P188*(1-VLOOKUP($A189,[1]Hugst!$R$5:$W$9,MATCH(ROUNDUP((Q$1)/10,0)*10,[1]Hugst!$R$4:$W$4,0))))</f>
        <v>0</v>
      </c>
      <c r="R189" s="168">
        <f>IF($C189-R$1&lt;År1,0,Q188*(1-VLOOKUP($A189,[1]Hugst!$R$5:$W$9,MATCH(ROUNDUP((R$1)/10,0)*10,[1]Hugst!$R$4:$W$4,0))))</f>
        <v>0</v>
      </c>
      <c r="S189" s="168">
        <f>IF($C189-S$1&lt;År1,0,R188*(1-VLOOKUP($A189,[1]Hugst!$R$5:$W$9,MATCH(ROUNDUP((S$1)/10,0)*10,[1]Hugst!$R$4:$W$4,0))))</f>
        <v>0</v>
      </c>
      <c r="T189" s="168">
        <f>IF($C189-T$1&lt;År1,0,S188*(1-VLOOKUP($A189,[1]Hugst!$R$5:$W$9,MATCH(ROUNDUP((T$1)/10,0)*10,[1]Hugst!$R$4:$W$4,0))))</f>
        <v>0</v>
      </c>
      <c r="U189" s="168">
        <f>IF($C189-U$1&lt;År1,0,T188*(1-VLOOKUP($A189,[1]Hugst!$R$5:$W$9,MATCH(ROUNDUP((U$1)/10,0)*10,[1]Hugst!$R$4:$W$4,0))))</f>
        <v>0</v>
      </c>
      <c r="V189" s="168">
        <f>IF($C189-V$1&lt;År1,0,U188*(1-VLOOKUP($A189,[1]Hugst!$R$5:$W$9,MATCH(ROUNDUP((V$1)/10,0)*10,[1]Hugst!$R$4:$W$4,0))))</f>
        <v>0</v>
      </c>
      <c r="W189" s="168">
        <f>IF($C189-W$1&lt;År1,0,V188*(1-VLOOKUP($A189,[1]Hugst!$R$5:$W$9,MATCH(ROUNDUP((W$1)/10,0)*10,[1]Hugst!$R$4:$W$4,0))))</f>
        <v>0</v>
      </c>
      <c r="X189" s="168">
        <f>IF($C189-X$1&lt;År1,0,W188*(1-VLOOKUP($A189,[1]Hugst!$R$5:$W$9,MATCH(ROUNDUP((X$1)/10,0)*10,[1]Hugst!$R$4:$W$4,0))))</f>
        <v>0</v>
      </c>
      <c r="Y189" s="168">
        <f>IF($C189-Y$1&lt;År1,0,X188*(1-VLOOKUP($A189,[1]Hugst!$R$5:$W$9,MATCH(ROUNDUP((Y$1)/10,0)*10,[1]Hugst!$R$4:$W$4,0))))</f>
        <v>0</v>
      </c>
      <c r="Z189" s="168">
        <f>IF($C189-Z$1&lt;År1,0,Y188*(1-VLOOKUP($A189,[1]Hugst!$R$5:$W$9,MATCH(ROUNDUP((Z$1)/10,0)*10,[1]Hugst!$R$4:$W$4,0))))</f>
        <v>0</v>
      </c>
      <c r="AA189" s="168">
        <f>IF($C189-AA$1&lt;År1,0,Z188*(1-VLOOKUP($A189,[1]Hugst!$R$5:$W$9,MATCH(ROUNDUP((AA$1)/10,0)*10,[1]Hugst!$R$4:$W$4,0))))</f>
        <v>0</v>
      </c>
      <c r="AB189" s="168">
        <f>IF($C189-AB$1&lt;År1,0,AA188*(1-VLOOKUP($A189,[1]Hugst!$R$5:$W$9,MATCH(ROUNDUP((AB$1)/10,0)*10,[1]Hugst!$R$4:$W$4,0))))</f>
        <v>0</v>
      </c>
      <c r="AC189" s="168">
        <f>IF($C189-AC$1&lt;År1,0,AB188*(1-VLOOKUP($A189,[1]Hugst!$R$5:$W$9,MATCH(ROUNDUP((AC$1)/10,0)*10,[1]Hugst!$R$4:$W$4,0))))</f>
        <v>0</v>
      </c>
      <c r="AD189" s="168">
        <f>IF($C189-AD$1&lt;År1,0,AC188*(1-VLOOKUP($A189,[1]Hugst!$R$5:$W$9,MATCH(ROUNDUP((AD$1)/10,0)*10,[1]Hugst!$R$4:$W$4,0))))</f>
        <v>0</v>
      </c>
      <c r="AE189" s="168">
        <f>IF($C189-AE$1&lt;År1,0,AD188*(1-VLOOKUP($A189,[1]Hugst!$R$5:$W$9,MATCH(ROUNDUP((AE$1)/10,0)*10,[1]Hugst!$R$4:$W$4,0))))</f>
        <v>0</v>
      </c>
      <c r="AF189" s="168">
        <f>IF($C189-AF$1&lt;År1,0,AE188*(1-VLOOKUP($A189,[1]Hugst!$R$5:$W$9,MATCH(ROUNDUP((AF$1)/10,0)*10,[1]Hugst!$R$4:$W$4,0))))</f>
        <v>0</v>
      </c>
      <c r="AG189" s="168">
        <f>IF($C189-AG$1&lt;År1,0,AF188*(1-VLOOKUP($A189,[1]Hugst!$R$5:$W$9,MATCH(ROUNDUP((AG$1)/10,0)*10,[1]Hugst!$R$4:$W$4,0))))</f>
        <v>0</v>
      </c>
      <c r="AH189" s="168">
        <f>IF($C189-AH$1&lt;År1,0,AG188*(1-VLOOKUP($A189,[1]Hugst!$R$5:$W$9,MATCH(ROUNDUP((AH$1)/10,0)*10,[1]Hugst!$R$4:$W$4,0))))</f>
        <v>0</v>
      </c>
      <c r="AI189" s="168">
        <f>IF($C189-AI$1&lt;År1,0,AH188*(1-VLOOKUP($A189,[1]Hugst!$R$5:$W$9,MATCH(ROUNDUP((AI$1)/10,0)*10,[1]Hugst!$R$4:$W$4,0))))</f>
        <v>0</v>
      </c>
      <c r="AJ189" s="168">
        <f>IF($C189-AJ$1&lt;År1,0,AI188*(1-VLOOKUP($A189,[1]Hugst!$R$5:$W$9,MATCH(ROUNDUP((AJ$1)/10,0)*10,[1]Hugst!$R$4:$W$4,0))))</f>
        <v>0</v>
      </c>
    </row>
    <row r="190" spans="1:36" x14ac:dyDescent="0.25">
      <c r="A190" s="168" t="s">
        <v>179</v>
      </c>
      <c r="B190" s="168" t="s">
        <v>23</v>
      </c>
      <c r="C190" s="168">
        <v>2022</v>
      </c>
      <c r="D190" s="168" cm="1">
        <f t="array" ref="D190">(IF(B190="Vestdanmark",Skovbrug!$C$22-(Skovbrug!$C$22)*(1-Skovbrug!$C$9)^(C190-Skovbrug!$B$12),Skovbrug!$F$22-(Skovbrug!$F$22)*(1-Skovbrug!$C$9)^(C190-Skovbrug!$B$12))*VLOOKUP(A190,Skovbrug!$A$13:$D$17,IF('Skovbrug-alder'!C190&lt;=År2,3,4),FALSE)-IF(C190&gt;2020,SUM(INDEX($C$1:$D$311,MATCH(1,(2020=$C$1:$C$311)*(B190=$B$1:$B$311)*(A190=$A$1:$A$311),0),2):D189),0))</f>
        <v>0</v>
      </c>
      <c r="E190" s="168">
        <f t="shared" ca="1" si="4"/>
        <v>0</v>
      </c>
      <c r="F190" s="168">
        <f ca="1">IF(C190&lt;=År2,IF(B190="Vestdanmark",(Arealanvendelse!$M$27-Arealanvendelse!$J$27),(Arealanvendelse!$M$37-Arealanvendelse!$J$37))/(Arealanvendelse!$M$3-Arealanvendelse!$J$3),IF(B190="Vestdanmark",(Arealanvendelse!$P$27-Arealanvendelse!$M$27),(Arealanvendelse!$P$37-Arealanvendelse!$M$37))/(Arealanvendelse!$P$3-Arealanvendelse!$M$3))*VLOOKUP(A190,Skovbrug!$A$13:$D$17,IF('Skovbrug-alder'!C190&lt;=År2,3,4),FALSE)+D190+E190</f>
        <v>0</v>
      </c>
      <c r="G190" s="168">
        <f ca="1">IF($C190-G$1&lt;År1,0,F189*(1-VLOOKUP($A190,[1]Hugst!$R$5:$W$9,MATCH(ROUNDUP((G$1)/10,0)*10,[1]Hugst!$R$4:$W$4,0))))</f>
        <v>0</v>
      </c>
      <c r="H190" s="168">
        <f ca="1">IF($C190-H$1&lt;År1,0,G189*(1-VLOOKUP($A190,[1]Hugst!$R$5:$W$9,MATCH(ROUNDUP((H$1)/10,0)*10,[1]Hugst!$R$4:$W$4,0))))</f>
        <v>0</v>
      </c>
      <c r="I190" s="168">
        <f>IF($C190-I$1&lt;År1,0,H189*(1-VLOOKUP($A190,[1]Hugst!$R$5:$W$9,MATCH(ROUNDUP((I$1)/10,0)*10,[1]Hugst!$R$4:$W$4,0))))</f>
        <v>0</v>
      </c>
      <c r="J190" s="168">
        <f>IF($C190-J$1&lt;År1,0,I189*(1-VLOOKUP($A190,[1]Hugst!$R$5:$W$9,MATCH(ROUNDUP((J$1)/10,0)*10,[1]Hugst!$R$4:$W$4,0))))</f>
        <v>0</v>
      </c>
      <c r="K190" s="168">
        <f>IF($C190-K$1&lt;År1,0,J189*(1-VLOOKUP($A190,[1]Hugst!$R$5:$W$9,MATCH(ROUNDUP((K$1)/10,0)*10,[1]Hugst!$R$4:$W$4,0))))</f>
        <v>0</v>
      </c>
      <c r="L190" s="168">
        <f>IF($C190-L$1&lt;År1,0,K189*(1-VLOOKUP($A190,[1]Hugst!$R$5:$W$9,MATCH(ROUNDUP((L$1)/10,0)*10,[1]Hugst!$R$4:$W$4,0))))</f>
        <v>0</v>
      </c>
      <c r="M190" s="168">
        <f>IF($C190-M$1&lt;År1,0,L189*(1-VLOOKUP($A190,[1]Hugst!$R$5:$W$9,MATCH(ROUNDUP((M$1)/10,0)*10,[1]Hugst!$R$4:$W$4,0))))</f>
        <v>0</v>
      </c>
      <c r="N190" s="168">
        <f>IF($C190-N$1&lt;År1,0,M189*(1-VLOOKUP($A190,[1]Hugst!$R$5:$W$9,MATCH(ROUNDUP((N$1)/10,0)*10,[1]Hugst!$R$4:$W$4,0))))</f>
        <v>0</v>
      </c>
      <c r="O190" s="168">
        <f>IF($C190-O$1&lt;År1,0,N189*(1-VLOOKUP($A190,[1]Hugst!$R$5:$W$9,MATCH(ROUNDUP((O$1)/10,0)*10,[1]Hugst!$R$4:$W$4,0))))</f>
        <v>0</v>
      </c>
      <c r="P190" s="168">
        <f>IF($C190-P$1&lt;År1,0,O189*(1-VLOOKUP($A190,[1]Hugst!$R$5:$W$9,MATCH(ROUNDUP((P$1)/10,0)*10,[1]Hugst!$R$4:$W$4,0))))</f>
        <v>0</v>
      </c>
      <c r="Q190" s="168">
        <f>IF($C190-Q$1&lt;År1,0,P189*(1-VLOOKUP($A190,[1]Hugst!$R$5:$W$9,MATCH(ROUNDUP((Q$1)/10,0)*10,[1]Hugst!$R$4:$W$4,0))))</f>
        <v>0</v>
      </c>
      <c r="R190" s="168">
        <f>IF($C190-R$1&lt;År1,0,Q189*(1-VLOOKUP($A190,[1]Hugst!$R$5:$W$9,MATCH(ROUNDUP((R$1)/10,0)*10,[1]Hugst!$R$4:$W$4,0))))</f>
        <v>0</v>
      </c>
      <c r="S190" s="168">
        <f>IF($C190-S$1&lt;År1,0,R189*(1-VLOOKUP($A190,[1]Hugst!$R$5:$W$9,MATCH(ROUNDUP((S$1)/10,0)*10,[1]Hugst!$R$4:$W$4,0))))</f>
        <v>0</v>
      </c>
      <c r="T190" s="168">
        <f>IF($C190-T$1&lt;År1,0,S189*(1-VLOOKUP($A190,[1]Hugst!$R$5:$W$9,MATCH(ROUNDUP((T$1)/10,0)*10,[1]Hugst!$R$4:$W$4,0))))</f>
        <v>0</v>
      </c>
      <c r="U190" s="168">
        <f>IF($C190-U$1&lt;År1,0,T189*(1-VLOOKUP($A190,[1]Hugst!$R$5:$W$9,MATCH(ROUNDUP((U$1)/10,0)*10,[1]Hugst!$R$4:$W$4,0))))</f>
        <v>0</v>
      </c>
      <c r="V190" s="168">
        <f>IF($C190-V$1&lt;År1,0,U189*(1-VLOOKUP($A190,[1]Hugst!$R$5:$W$9,MATCH(ROUNDUP((V$1)/10,0)*10,[1]Hugst!$R$4:$W$4,0))))</f>
        <v>0</v>
      </c>
      <c r="W190" s="168">
        <f>IF($C190-W$1&lt;År1,0,V189*(1-VLOOKUP($A190,[1]Hugst!$R$5:$W$9,MATCH(ROUNDUP((W$1)/10,0)*10,[1]Hugst!$R$4:$W$4,0))))</f>
        <v>0</v>
      </c>
      <c r="X190" s="168">
        <f>IF($C190-X$1&lt;År1,0,W189*(1-VLOOKUP($A190,[1]Hugst!$R$5:$W$9,MATCH(ROUNDUP((X$1)/10,0)*10,[1]Hugst!$R$4:$W$4,0))))</f>
        <v>0</v>
      </c>
      <c r="Y190" s="168">
        <f>IF($C190-Y$1&lt;År1,0,X189*(1-VLOOKUP($A190,[1]Hugst!$R$5:$W$9,MATCH(ROUNDUP((Y$1)/10,0)*10,[1]Hugst!$R$4:$W$4,0))))</f>
        <v>0</v>
      </c>
      <c r="Z190" s="168">
        <f>IF($C190-Z$1&lt;År1,0,Y189*(1-VLOOKUP($A190,[1]Hugst!$R$5:$W$9,MATCH(ROUNDUP((Z$1)/10,0)*10,[1]Hugst!$R$4:$W$4,0))))</f>
        <v>0</v>
      </c>
      <c r="AA190" s="168">
        <f>IF($C190-AA$1&lt;År1,0,Z189*(1-VLOOKUP($A190,[1]Hugst!$R$5:$W$9,MATCH(ROUNDUP((AA$1)/10,0)*10,[1]Hugst!$R$4:$W$4,0))))</f>
        <v>0</v>
      </c>
      <c r="AB190" s="168">
        <f>IF($C190-AB$1&lt;År1,0,AA189*(1-VLOOKUP($A190,[1]Hugst!$R$5:$W$9,MATCH(ROUNDUP((AB$1)/10,0)*10,[1]Hugst!$R$4:$W$4,0))))</f>
        <v>0</v>
      </c>
      <c r="AC190" s="168">
        <f>IF($C190-AC$1&lt;År1,0,AB189*(1-VLOOKUP($A190,[1]Hugst!$R$5:$W$9,MATCH(ROUNDUP((AC$1)/10,0)*10,[1]Hugst!$R$4:$W$4,0))))</f>
        <v>0</v>
      </c>
      <c r="AD190" s="168">
        <f>IF($C190-AD$1&lt;År1,0,AC189*(1-VLOOKUP($A190,[1]Hugst!$R$5:$W$9,MATCH(ROUNDUP((AD$1)/10,0)*10,[1]Hugst!$R$4:$W$4,0))))</f>
        <v>0</v>
      </c>
      <c r="AE190" s="168">
        <f>IF($C190-AE$1&lt;År1,0,AD189*(1-VLOOKUP($A190,[1]Hugst!$R$5:$W$9,MATCH(ROUNDUP((AE$1)/10,0)*10,[1]Hugst!$R$4:$W$4,0))))</f>
        <v>0</v>
      </c>
      <c r="AF190" s="168">
        <f>IF($C190-AF$1&lt;År1,0,AE189*(1-VLOOKUP($A190,[1]Hugst!$R$5:$W$9,MATCH(ROUNDUP((AF$1)/10,0)*10,[1]Hugst!$R$4:$W$4,0))))</f>
        <v>0</v>
      </c>
      <c r="AG190" s="168">
        <f>IF($C190-AG$1&lt;År1,0,AF189*(1-VLOOKUP($A190,[1]Hugst!$R$5:$W$9,MATCH(ROUNDUP((AG$1)/10,0)*10,[1]Hugst!$R$4:$W$4,0))))</f>
        <v>0</v>
      </c>
      <c r="AH190" s="168">
        <f>IF($C190-AH$1&lt;År1,0,AG189*(1-VLOOKUP($A190,[1]Hugst!$R$5:$W$9,MATCH(ROUNDUP((AH$1)/10,0)*10,[1]Hugst!$R$4:$W$4,0))))</f>
        <v>0</v>
      </c>
      <c r="AI190" s="168">
        <f>IF($C190-AI$1&lt;År1,0,AH189*(1-VLOOKUP($A190,[1]Hugst!$R$5:$W$9,MATCH(ROUNDUP((AI$1)/10,0)*10,[1]Hugst!$R$4:$W$4,0))))</f>
        <v>0</v>
      </c>
      <c r="AJ190" s="168">
        <f>IF($C190-AJ$1&lt;År1,0,AI189*(1-VLOOKUP($A190,[1]Hugst!$R$5:$W$9,MATCH(ROUNDUP((AJ$1)/10,0)*10,[1]Hugst!$R$4:$W$4,0))))</f>
        <v>0</v>
      </c>
    </row>
    <row r="191" spans="1:36" x14ac:dyDescent="0.25">
      <c r="A191" s="168" t="s">
        <v>179</v>
      </c>
      <c r="B191" s="168" t="s">
        <v>23</v>
      </c>
      <c r="C191" s="168">
        <v>2023</v>
      </c>
      <c r="D191" s="168" cm="1">
        <f t="array" ref="D191">(IF(B191="Vestdanmark",Skovbrug!$C$22-(Skovbrug!$C$22)*(1-Skovbrug!$C$9)^(C191-Skovbrug!$B$12),Skovbrug!$F$22-(Skovbrug!$F$22)*(1-Skovbrug!$C$9)^(C191-Skovbrug!$B$12))*VLOOKUP(A191,Skovbrug!$A$13:$D$17,IF('Skovbrug-alder'!C191&lt;=År2,3,4),FALSE)-IF(C191&gt;2020,SUM(INDEX($C$1:$D$311,MATCH(1,(2020=$C$1:$C$311)*(B191=$B$1:$B$311)*(A191=$A$1:$A$311),0),2):D190),0))</f>
        <v>0</v>
      </c>
      <c r="E191" s="168">
        <f t="shared" ca="1" si="4"/>
        <v>0</v>
      </c>
      <c r="F191" s="168">
        <f ca="1">IF(C191&lt;=År2,IF(B191="Vestdanmark",(Arealanvendelse!$M$27-Arealanvendelse!$J$27),(Arealanvendelse!$M$37-Arealanvendelse!$J$37))/(Arealanvendelse!$M$3-Arealanvendelse!$J$3),IF(B191="Vestdanmark",(Arealanvendelse!$P$27-Arealanvendelse!$M$27),(Arealanvendelse!$P$37-Arealanvendelse!$M$37))/(Arealanvendelse!$P$3-Arealanvendelse!$M$3))*VLOOKUP(A191,Skovbrug!$A$13:$D$17,IF('Skovbrug-alder'!C191&lt;=År2,3,4),FALSE)+D191+E191</f>
        <v>0</v>
      </c>
      <c r="G191" s="168">
        <f ca="1">IF($C191-G$1&lt;År1,0,F190*(1-VLOOKUP($A191,[1]Hugst!$R$5:$W$9,MATCH(ROUNDUP((G$1)/10,0)*10,[1]Hugst!$R$4:$W$4,0))))</f>
        <v>0</v>
      </c>
      <c r="H191" s="168">
        <f ca="1">IF($C191-H$1&lt;År1,0,G190*(1-VLOOKUP($A191,[1]Hugst!$R$5:$W$9,MATCH(ROUNDUP((H$1)/10,0)*10,[1]Hugst!$R$4:$W$4,0))))</f>
        <v>0</v>
      </c>
      <c r="I191" s="168">
        <f ca="1">IF($C191-I$1&lt;År1,0,H190*(1-VLOOKUP($A191,[1]Hugst!$R$5:$W$9,MATCH(ROUNDUP((I$1)/10,0)*10,[1]Hugst!$R$4:$W$4,0))))</f>
        <v>0</v>
      </c>
      <c r="J191" s="168">
        <f>IF($C191-J$1&lt;År1,0,I190*(1-VLOOKUP($A191,[1]Hugst!$R$5:$W$9,MATCH(ROUNDUP((J$1)/10,0)*10,[1]Hugst!$R$4:$W$4,0))))</f>
        <v>0</v>
      </c>
      <c r="K191" s="168">
        <f>IF($C191-K$1&lt;År1,0,J190*(1-VLOOKUP($A191,[1]Hugst!$R$5:$W$9,MATCH(ROUNDUP((K$1)/10,0)*10,[1]Hugst!$R$4:$W$4,0))))</f>
        <v>0</v>
      </c>
      <c r="L191" s="168">
        <f>IF($C191-L$1&lt;År1,0,K190*(1-VLOOKUP($A191,[1]Hugst!$R$5:$W$9,MATCH(ROUNDUP((L$1)/10,0)*10,[1]Hugst!$R$4:$W$4,0))))</f>
        <v>0</v>
      </c>
      <c r="M191" s="168">
        <f>IF($C191-M$1&lt;År1,0,L190*(1-VLOOKUP($A191,[1]Hugst!$R$5:$W$9,MATCH(ROUNDUP((M$1)/10,0)*10,[1]Hugst!$R$4:$W$4,0))))</f>
        <v>0</v>
      </c>
      <c r="N191" s="168">
        <f>IF($C191-N$1&lt;År1,0,M190*(1-VLOOKUP($A191,[1]Hugst!$R$5:$W$9,MATCH(ROUNDUP((N$1)/10,0)*10,[1]Hugst!$R$4:$W$4,0))))</f>
        <v>0</v>
      </c>
      <c r="O191" s="168">
        <f>IF($C191-O$1&lt;År1,0,N190*(1-VLOOKUP($A191,[1]Hugst!$R$5:$W$9,MATCH(ROUNDUP((O$1)/10,0)*10,[1]Hugst!$R$4:$W$4,0))))</f>
        <v>0</v>
      </c>
      <c r="P191" s="168">
        <f>IF($C191-P$1&lt;År1,0,O190*(1-VLOOKUP($A191,[1]Hugst!$R$5:$W$9,MATCH(ROUNDUP((P$1)/10,0)*10,[1]Hugst!$R$4:$W$4,0))))</f>
        <v>0</v>
      </c>
      <c r="Q191" s="168">
        <f>IF($C191-Q$1&lt;År1,0,P190*(1-VLOOKUP($A191,[1]Hugst!$R$5:$W$9,MATCH(ROUNDUP((Q$1)/10,0)*10,[1]Hugst!$R$4:$W$4,0))))</f>
        <v>0</v>
      </c>
      <c r="R191" s="168">
        <f>IF($C191-R$1&lt;År1,0,Q190*(1-VLOOKUP($A191,[1]Hugst!$R$5:$W$9,MATCH(ROUNDUP((R$1)/10,0)*10,[1]Hugst!$R$4:$W$4,0))))</f>
        <v>0</v>
      </c>
      <c r="S191" s="168">
        <f>IF($C191-S$1&lt;År1,0,R190*(1-VLOOKUP($A191,[1]Hugst!$R$5:$W$9,MATCH(ROUNDUP((S$1)/10,0)*10,[1]Hugst!$R$4:$W$4,0))))</f>
        <v>0</v>
      </c>
      <c r="T191" s="168">
        <f>IF($C191-T$1&lt;År1,0,S190*(1-VLOOKUP($A191,[1]Hugst!$R$5:$W$9,MATCH(ROUNDUP((T$1)/10,0)*10,[1]Hugst!$R$4:$W$4,0))))</f>
        <v>0</v>
      </c>
      <c r="U191" s="168">
        <f>IF($C191-U$1&lt;År1,0,T190*(1-VLOOKUP($A191,[1]Hugst!$R$5:$W$9,MATCH(ROUNDUP((U$1)/10,0)*10,[1]Hugst!$R$4:$W$4,0))))</f>
        <v>0</v>
      </c>
      <c r="V191" s="168">
        <f>IF($C191-V$1&lt;År1,0,U190*(1-VLOOKUP($A191,[1]Hugst!$R$5:$W$9,MATCH(ROUNDUP((V$1)/10,0)*10,[1]Hugst!$R$4:$W$4,0))))</f>
        <v>0</v>
      </c>
      <c r="W191" s="168">
        <f>IF($C191-W$1&lt;År1,0,V190*(1-VLOOKUP($A191,[1]Hugst!$R$5:$W$9,MATCH(ROUNDUP((W$1)/10,0)*10,[1]Hugst!$R$4:$W$4,0))))</f>
        <v>0</v>
      </c>
      <c r="X191" s="168">
        <f>IF($C191-X$1&lt;År1,0,W190*(1-VLOOKUP($A191,[1]Hugst!$R$5:$W$9,MATCH(ROUNDUP((X$1)/10,0)*10,[1]Hugst!$R$4:$W$4,0))))</f>
        <v>0</v>
      </c>
      <c r="Y191" s="168">
        <f>IF($C191-Y$1&lt;År1,0,X190*(1-VLOOKUP($A191,[1]Hugst!$R$5:$W$9,MATCH(ROUNDUP((Y$1)/10,0)*10,[1]Hugst!$R$4:$W$4,0))))</f>
        <v>0</v>
      </c>
      <c r="Z191" s="168">
        <f>IF($C191-Z$1&lt;År1,0,Y190*(1-VLOOKUP($A191,[1]Hugst!$R$5:$W$9,MATCH(ROUNDUP((Z$1)/10,0)*10,[1]Hugst!$R$4:$W$4,0))))</f>
        <v>0</v>
      </c>
      <c r="AA191" s="168">
        <f>IF($C191-AA$1&lt;År1,0,Z190*(1-VLOOKUP($A191,[1]Hugst!$R$5:$W$9,MATCH(ROUNDUP((AA$1)/10,0)*10,[1]Hugst!$R$4:$W$4,0))))</f>
        <v>0</v>
      </c>
      <c r="AB191" s="168">
        <f>IF($C191-AB$1&lt;År1,0,AA190*(1-VLOOKUP($A191,[1]Hugst!$R$5:$W$9,MATCH(ROUNDUP((AB$1)/10,0)*10,[1]Hugst!$R$4:$W$4,0))))</f>
        <v>0</v>
      </c>
      <c r="AC191" s="168">
        <f>IF($C191-AC$1&lt;År1,0,AB190*(1-VLOOKUP($A191,[1]Hugst!$R$5:$W$9,MATCH(ROUNDUP((AC$1)/10,0)*10,[1]Hugst!$R$4:$W$4,0))))</f>
        <v>0</v>
      </c>
      <c r="AD191" s="168">
        <f>IF($C191-AD$1&lt;År1,0,AC190*(1-VLOOKUP($A191,[1]Hugst!$R$5:$W$9,MATCH(ROUNDUP((AD$1)/10,0)*10,[1]Hugst!$R$4:$W$4,0))))</f>
        <v>0</v>
      </c>
      <c r="AE191" s="168">
        <f>IF($C191-AE$1&lt;År1,0,AD190*(1-VLOOKUP($A191,[1]Hugst!$R$5:$W$9,MATCH(ROUNDUP((AE$1)/10,0)*10,[1]Hugst!$R$4:$W$4,0))))</f>
        <v>0</v>
      </c>
      <c r="AF191" s="168">
        <f>IF($C191-AF$1&lt;År1,0,AE190*(1-VLOOKUP($A191,[1]Hugst!$R$5:$W$9,MATCH(ROUNDUP((AF$1)/10,0)*10,[1]Hugst!$R$4:$W$4,0))))</f>
        <v>0</v>
      </c>
      <c r="AG191" s="168">
        <f>IF($C191-AG$1&lt;År1,0,AF190*(1-VLOOKUP($A191,[1]Hugst!$R$5:$W$9,MATCH(ROUNDUP((AG$1)/10,0)*10,[1]Hugst!$R$4:$W$4,0))))</f>
        <v>0</v>
      </c>
      <c r="AH191" s="168">
        <f>IF($C191-AH$1&lt;År1,0,AG190*(1-VLOOKUP($A191,[1]Hugst!$R$5:$W$9,MATCH(ROUNDUP((AH$1)/10,0)*10,[1]Hugst!$R$4:$W$4,0))))</f>
        <v>0</v>
      </c>
      <c r="AI191" s="168">
        <f>IF($C191-AI$1&lt;År1,0,AH190*(1-VLOOKUP($A191,[1]Hugst!$R$5:$W$9,MATCH(ROUNDUP((AI$1)/10,0)*10,[1]Hugst!$R$4:$W$4,0))))</f>
        <v>0</v>
      </c>
      <c r="AJ191" s="168">
        <f>IF($C191-AJ$1&lt;År1,0,AI190*(1-VLOOKUP($A191,[1]Hugst!$R$5:$W$9,MATCH(ROUNDUP((AJ$1)/10,0)*10,[1]Hugst!$R$4:$W$4,0))))</f>
        <v>0</v>
      </c>
    </row>
    <row r="192" spans="1:36" x14ac:dyDescent="0.25">
      <c r="A192" s="168" t="s">
        <v>179</v>
      </c>
      <c r="B192" s="168" t="s">
        <v>23</v>
      </c>
      <c r="C192" s="168">
        <v>2024</v>
      </c>
      <c r="D192" s="168" cm="1">
        <f t="array" ref="D192">(IF(B192="Vestdanmark",Skovbrug!$C$22-(Skovbrug!$C$22)*(1-Skovbrug!$C$9)^(C192-Skovbrug!$B$12),Skovbrug!$F$22-(Skovbrug!$F$22)*(1-Skovbrug!$C$9)^(C192-Skovbrug!$B$12))*VLOOKUP(A192,Skovbrug!$A$13:$D$17,IF('Skovbrug-alder'!C192&lt;=År2,3,4),FALSE)-IF(C192&gt;2020,SUM(INDEX($C$1:$D$311,MATCH(1,(2020=$C$1:$C$311)*(B192=$B$1:$B$311)*(A192=$A$1:$A$311),0),2):D191),0))</f>
        <v>0</v>
      </c>
      <c r="E192" s="168">
        <f t="shared" ca="1" si="4"/>
        <v>0</v>
      </c>
      <c r="F192" s="168">
        <f ca="1">IF(C192&lt;=År2,IF(B192="Vestdanmark",(Arealanvendelse!$M$27-Arealanvendelse!$J$27),(Arealanvendelse!$M$37-Arealanvendelse!$J$37))/(Arealanvendelse!$M$3-Arealanvendelse!$J$3),IF(B192="Vestdanmark",(Arealanvendelse!$P$27-Arealanvendelse!$M$27),(Arealanvendelse!$P$37-Arealanvendelse!$M$37))/(Arealanvendelse!$P$3-Arealanvendelse!$M$3))*VLOOKUP(A192,Skovbrug!$A$13:$D$17,IF('Skovbrug-alder'!C192&lt;=År2,3,4),FALSE)+D192+E192</f>
        <v>0</v>
      </c>
      <c r="G192" s="168">
        <f ca="1">IF($C192-G$1&lt;År1,0,F191*(1-VLOOKUP($A192,[1]Hugst!$R$5:$W$9,MATCH(ROUNDUP((G$1)/10,0)*10,[1]Hugst!$R$4:$W$4,0))))</f>
        <v>0</v>
      </c>
      <c r="H192" s="168">
        <f ca="1">IF($C192-H$1&lt;År1,0,G191*(1-VLOOKUP($A192,[1]Hugst!$R$5:$W$9,MATCH(ROUNDUP((H$1)/10,0)*10,[1]Hugst!$R$4:$W$4,0))))</f>
        <v>0</v>
      </c>
      <c r="I192" s="168">
        <f ca="1">IF($C192-I$1&lt;År1,0,H191*(1-VLOOKUP($A192,[1]Hugst!$R$5:$W$9,MATCH(ROUNDUP((I$1)/10,0)*10,[1]Hugst!$R$4:$W$4,0))))</f>
        <v>0</v>
      </c>
      <c r="J192" s="168">
        <f ca="1">IF($C192-J$1&lt;År1,0,I191*(1-VLOOKUP($A192,[1]Hugst!$R$5:$W$9,MATCH(ROUNDUP((J$1)/10,0)*10,[1]Hugst!$R$4:$W$4,0))))</f>
        <v>0</v>
      </c>
      <c r="K192" s="168">
        <f>IF($C192-K$1&lt;År1,0,J191*(1-VLOOKUP($A192,[1]Hugst!$R$5:$W$9,MATCH(ROUNDUP((K$1)/10,0)*10,[1]Hugst!$R$4:$W$4,0))))</f>
        <v>0</v>
      </c>
      <c r="L192" s="168">
        <f>IF($C192-L$1&lt;År1,0,K191*(1-VLOOKUP($A192,[1]Hugst!$R$5:$W$9,MATCH(ROUNDUP((L$1)/10,0)*10,[1]Hugst!$R$4:$W$4,0))))</f>
        <v>0</v>
      </c>
      <c r="M192" s="168">
        <f>IF($C192-M$1&lt;År1,0,L191*(1-VLOOKUP($A192,[1]Hugst!$R$5:$W$9,MATCH(ROUNDUP((M$1)/10,0)*10,[1]Hugst!$R$4:$W$4,0))))</f>
        <v>0</v>
      </c>
      <c r="N192" s="168">
        <f>IF($C192-N$1&lt;År1,0,M191*(1-VLOOKUP($A192,[1]Hugst!$R$5:$W$9,MATCH(ROUNDUP((N$1)/10,0)*10,[1]Hugst!$R$4:$W$4,0))))</f>
        <v>0</v>
      </c>
      <c r="O192" s="168">
        <f>IF($C192-O$1&lt;År1,0,N191*(1-VLOOKUP($A192,[1]Hugst!$R$5:$W$9,MATCH(ROUNDUP((O$1)/10,0)*10,[1]Hugst!$R$4:$W$4,0))))</f>
        <v>0</v>
      </c>
      <c r="P192" s="168">
        <f>IF($C192-P$1&lt;År1,0,O191*(1-VLOOKUP($A192,[1]Hugst!$R$5:$W$9,MATCH(ROUNDUP((P$1)/10,0)*10,[1]Hugst!$R$4:$W$4,0))))</f>
        <v>0</v>
      </c>
      <c r="Q192" s="168">
        <f>IF($C192-Q$1&lt;År1,0,P191*(1-VLOOKUP($A192,[1]Hugst!$R$5:$W$9,MATCH(ROUNDUP((Q$1)/10,0)*10,[1]Hugst!$R$4:$W$4,0))))</f>
        <v>0</v>
      </c>
      <c r="R192" s="168">
        <f>IF($C192-R$1&lt;År1,0,Q191*(1-VLOOKUP($A192,[1]Hugst!$R$5:$W$9,MATCH(ROUNDUP((R$1)/10,0)*10,[1]Hugst!$R$4:$W$4,0))))</f>
        <v>0</v>
      </c>
      <c r="S192" s="168">
        <f>IF($C192-S$1&lt;År1,0,R191*(1-VLOOKUP($A192,[1]Hugst!$R$5:$W$9,MATCH(ROUNDUP((S$1)/10,0)*10,[1]Hugst!$R$4:$W$4,0))))</f>
        <v>0</v>
      </c>
      <c r="T192" s="168">
        <f>IF($C192-T$1&lt;År1,0,S191*(1-VLOOKUP($A192,[1]Hugst!$R$5:$W$9,MATCH(ROUNDUP((T$1)/10,0)*10,[1]Hugst!$R$4:$W$4,0))))</f>
        <v>0</v>
      </c>
      <c r="U192" s="168">
        <f>IF($C192-U$1&lt;År1,0,T191*(1-VLOOKUP($A192,[1]Hugst!$R$5:$W$9,MATCH(ROUNDUP((U$1)/10,0)*10,[1]Hugst!$R$4:$W$4,0))))</f>
        <v>0</v>
      </c>
      <c r="V192" s="168">
        <f>IF($C192-V$1&lt;År1,0,U191*(1-VLOOKUP($A192,[1]Hugst!$R$5:$W$9,MATCH(ROUNDUP((V$1)/10,0)*10,[1]Hugst!$R$4:$W$4,0))))</f>
        <v>0</v>
      </c>
      <c r="W192" s="168">
        <f>IF($C192-W$1&lt;År1,0,V191*(1-VLOOKUP($A192,[1]Hugst!$R$5:$W$9,MATCH(ROUNDUP((W$1)/10,0)*10,[1]Hugst!$R$4:$W$4,0))))</f>
        <v>0</v>
      </c>
      <c r="X192" s="168">
        <f>IF($C192-X$1&lt;År1,0,W191*(1-VLOOKUP($A192,[1]Hugst!$R$5:$W$9,MATCH(ROUNDUP((X$1)/10,0)*10,[1]Hugst!$R$4:$W$4,0))))</f>
        <v>0</v>
      </c>
      <c r="Y192" s="168">
        <f>IF($C192-Y$1&lt;År1,0,X191*(1-VLOOKUP($A192,[1]Hugst!$R$5:$W$9,MATCH(ROUNDUP((Y$1)/10,0)*10,[1]Hugst!$R$4:$W$4,0))))</f>
        <v>0</v>
      </c>
      <c r="Z192" s="168">
        <f>IF($C192-Z$1&lt;År1,0,Y191*(1-VLOOKUP($A192,[1]Hugst!$R$5:$W$9,MATCH(ROUNDUP((Z$1)/10,0)*10,[1]Hugst!$R$4:$W$4,0))))</f>
        <v>0</v>
      </c>
      <c r="AA192" s="168">
        <f>IF($C192-AA$1&lt;År1,0,Z191*(1-VLOOKUP($A192,[1]Hugst!$R$5:$W$9,MATCH(ROUNDUP((AA$1)/10,0)*10,[1]Hugst!$R$4:$W$4,0))))</f>
        <v>0</v>
      </c>
      <c r="AB192" s="168">
        <f>IF($C192-AB$1&lt;År1,0,AA191*(1-VLOOKUP($A192,[1]Hugst!$R$5:$W$9,MATCH(ROUNDUP((AB$1)/10,0)*10,[1]Hugst!$R$4:$W$4,0))))</f>
        <v>0</v>
      </c>
      <c r="AC192" s="168">
        <f>IF($C192-AC$1&lt;År1,0,AB191*(1-VLOOKUP($A192,[1]Hugst!$R$5:$W$9,MATCH(ROUNDUP((AC$1)/10,0)*10,[1]Hugst!$R$4:$W$4,0))))</f>
        <v>0</v>
      </c>
      <c r="AD192" s="168">
        <f>IF($C192-AD$1&lt;År1,0,AC191*(1-VLOOKUP($A192,[1]Hugst!$R$5:$W$9,MATCH(ROUNDUP((AD$1)/10,0)*10,[1]Hugst!$R$4:$W$4,0))))</f>
        <v>0</v>
      </c>
      <c r="AE192" s="168">
        <f>IF($C192-AE$1&lt;År1,0,AD191*(1-VLOOKUP($A192,[1]Hugst!$R$5:$W$9,MATCH(ROUNDUP((AE$1)/10,0)*10,[1]Hugst!$R$4:$W$4,0))))</f>
        <v>0</v>
      </c>
      <c r="AF192" s="168">
        <f>IF($C192-AF$1&lt;År1,0,AE191*(1-VLOOKUP($A192,[1]Hugst!$R$5:$W$9,MATCH(ROUNDUP((AF$1)/10,0)*10,[1]Hugst!$R$4:$W$4,0))))</f>
        <v>0</v>
      </c>
      <c r="AG192" s="168">
        <f>IF($C192-AG$1&lt;År1,0,AF191*(1-VLOOKUP($A192,[1]Hugst!$R$5:$W$9,MATCH(ROUNDUP((AG$1)/10,0)*10,[1]Hugst!$R$4:$W$4,0))))</f>
        <v>0</v>
      </c>
      <c r="AH192" s="168">
        <f>IF($C192-AH$1&lt;År1,0,AG191*(1-VLOOKUP($A192,[1]Hugst!$R$5:$W$9,MATCH(ROUNDUP((AH$1)/10,0)*10,[1]Hugst!$R$4:$W$4,0))))</f>
        <v>0</v>
      </c>
      <c r="AI192" s="168">
        <f>IF($C192-AI$1&lt;År1,0,AH191*(1-VLOOKUP($A192,[1]Hugst!$R$5:$W$9,MATCH(ROUNDUP((AI$1)/10,0)*10,[1]Hugst!$R$4:$W$4,0))))</f>
        <v>0</v>
      </c>
      <c r="AJ192" s="168">
        <f>IF($C192-AJ$1&lt;År1,0,AI191*(1-VLOOKUP($A192,[1]Hugst!$R$5:$W$9,MATCH(ROUNDUP((AJ$1)/10,0)*10,[1]Hugst!$R$4:$W$4,0))))</f>
        <v>0</v>
      </c>
    </row>
    <row r="193" spans="1:36" x14ac:dyDescent="0.25">
      <c r="A193" s="168" t="s">
        <v>179</v>
      </c>
      <c r="B193" s="168" t="s">
        <v>23</v>
      </c>
      <c r="C193" s="168">
        <v>2025</v>
      </c>
      <c r="D193" s="168" cm="1">
        <f t="array" ref="D193">(IF(B193="Vestdanmark",Skovbrug!$C$22-(Skovbrug!$C$22)*(1-Skovbrug!$C$9)^(C193-Skovbrug!$B$12),Skovbrug!$F$22-(Skovbrug!$F$22)*(1-Skovbrug!$C$9)^(C193-Skovbrug!$B$12))*VLOOKUP(A193,Skovbrug!$A$13:$D$17,IF('Skovbrug-alder'!C193&lt;=År2,3,4),FALSE)-IF(C193&gt;2020,SUM(INDEX($C$1:$D$311,MATCH(1,(2020=$C$1:$C$311)*(B193=$B$1:$B$311)*(A193=$A$1:$A$311),0),2):D192),0))</f>
        <v>0</v>
      </c>
      <c r="E193" s="168">
        <f t="shared" ca="1" si="4"/>
        <v>0</v>
      </c>
      <c r="F193" s="168">
        <f ca="1">IF(C193&lt;=År2,IF(B193="Vestdanmark",(Arealanvendelse!$M$27-Arealanvendelse!$J$27),(Arealanvendelse!$M$37-Arealanvendelse!$J$37))/(Arealanvendelse!$M$3-Arealanvendelse!$J$3),IF(B193="Vestdanmark",(Arealanvendelse!$P$27-Arealanvendelse!$M$27),(Arealanvendelse!$P$37-Arealanvendelse!$M$37))/(Arealanvendelse!$P$3-Arealanvendelse!$M$3))*VLOOKUP(A193,Skovbrug!$A$13:$D$17,IF('Skovbrug-alder'!C193&lt;=År2,3,4),FALSE)+D193+E193</f>
        <v>0</v>
      </c>
      <c r="G193" s="168">
        <f ca="1">IF($C193-G$1&lt;År1,0,F192*(1-VLOOKUP($A193,[1]Hugst!$R$5:$W$9,MATCH(ROUNDUP((G$1)/10,0)*10,[1]Hugst!$R$4:$W$4,0))))</f>
        <v>0</v>
      </c>
      <c r="H193" s="168">
        <f ca="1">IF($C193-H$1&lt;År1,0,G192*(1-VLOOKUP($A193,[1]Hugst!$R$5:$W$9,MATCH(ROUNDUP((H$1)/10,0)*10,[1]Hugst!$R$4:$W$4,0))))</f>
        <v>0</v>
      </c>
      <c r="I193" s="168">
        <f ca="1">IF($C193-I$1&lt;År1,0,H192*(1-VLOOKUP($A193,[1]Hugst!$R$5:$W$9,MATCH(ROUNDUP((I$1)/10,0)*10,[1]Hugst!$R$4:$W$4,0))))</f>
        <v>0</v>
      </c>
      <c r="J193" s="168">
        <f ca="1">IF($C193-J$1&lt;År1,0,I192*(1-VLOOKUP($A193,[1]Hugst!$R$5:$W$9,MATCH(ROUNDUP((J$1)/10,0)*10,[1]Hugst!$R$4:$W$4,0))))</f>
        <v>0</v>
      </c>
      <c r="K193" s="168">
        <f ca="1">IF($C193-K$1&lt;År1,0,J192*(1-VLOOKUP($A193,[1]Hugst!$R$5:$W$9,MATCH(ROUNDUP((K$1)/10,0)*10,[1]Hugst!$R$4:$W$4,0))))</f>
        <v>0</v>
      </c>
      <c r="L193" s="168">
        <f>IF($C193-L$1&lt;År1,0,K192*(1-VLOOKUP($A193,[1]Hugst!$R$5:$W$9,MATCH(ROUNDUP((L$1)/10,0)*10,[1]Hugst!$R$4:$W$4,0))))</f>
        <v>0</v>
      </c>
      <c r="M193" s="168">
        <f>IF($C193-M$1&lt;År1,0,L192*(1-VLOOKUP($A193,[1]Hugst!$R$5:$W$9,MATCH(ROUNDUP((M$1)/10,0)*10,[1]Hugst!$R$4:$W$4,0))))</f>
        <v>0</v>
      </c>
      <c r="N193" s="168">
        <f>IF($C193-N$1&lt;År1,0,M192*(1-VLOOKUP($A193,[1]Hugst!$R$5:$W$9,MATCH(ROUNDUP((N$1)/10,0)*10,[1]Hugst!$R$4:$W$4,0))))</f>
        <v>0</v>
      </c>
      <c r="O193" s="168">
        <f>IF($C193-O$1&lt;År1,0,N192*(1-VLOOKUP($A193,[1]Hugst!$R$5:$W$9,MATCH(ROUNDUP((O$1)/10,0)*10,[1]Hugst!$R$4:$W$4,0))))</f>
        <v>0</v>
      </c>
      <c r="P193" s="168">
        <f>IF($C193-P$1&lt;År1,0,O192*(1-VLOOKUP($A193,[1]Hugst!$R$5:$W$9,MATCH(ROUNDUP((P$1)/10,0)*10,[1]Hugst!$R$4:$W$4,0))))</f>
        <v>0</v>
      </c>
      <c r="Q193" s="168">
        <f>IF($C193-Q$1&lt;År1,0,P192*(1-VLOOKUP($A193,[1]Hugst!$R$5:$W$9,MATCH(ROUNDUP((Q$1)/10,0)*10,[1]Hugst!$R$4:$W$4,0))))</f>
        <v>0</v>
      </c>
      <c r="R193" s="168">
        <f>IF($C193-R$1&lt;År1,0,Q192*(1-VLOOKUP($A193,[1]Hugst!$R$5:$W$9,MATCH(ROUNDUP((R$1)/10,0)*10,[1]Hugst!$R$4:$W$4,0))))</f>
        <v>0</v>
      </c>
      <c r="S193" s="168">
        <f>IF($C193-S$1&lt;År1,0,R192*(1-VLOOKUP($A193,[1]Hugst!$R$5:$W$9,MATCH(ROUNDUP((S$1)/10,0)*10,[1]Hugst!$R$4:$W$4,0))))</f>
        <v>0</v>
      </c>
      <c r="T193" s="168">
        <f>IF($C193-T$1&lt;År1,0,S192*(1-VLOOKUP($A193,[1]Hugst!$R$5:$W$9,MATCH(ROUNDUP((T$1)/10,0)*10,[1]Hugst!$R$4:$W$4,0))))</f>
        <v>0</v>
      </c>
      <c r="U193" s="168">
        <f>IF($C193-U$1&lt;År1,0,T192*(1-VLOOKUP($A193,[1]Hugst!$R$5:$W$9,MATCH(ROUNDUP((U$1)/10,0)*10,[1]Hugst!$R$4:$W$4,0))))</f>
        <v>0</v>
      </c>
      <c r="V193" s="168">
        <f>IF($C193-V$1&lt;År1,0,U192*(1-VLOOKUP($A193,[1]Hugst!$R$5:$W$9,MATCH(ROUNDUP((V$1)/10,0)*10,[1]Hugst!$R$4:$W$4,0))))</f>
        <v>0</v>
      </c>
      <c r="W193" s="168">
        <f>IF($C193-W$1&lt;År1,0,V192*(1-VLOOKUP($A193,[1]Hugst!$R$5:$W$9,MATCH(ROUNDUP((W$1)/10,0)*10,[1]Hugst!$R$4:$W$4,0))))</f>
        <v>0</v>
      </c>
      <c r="X193" s="168">
        <f>IF($C193-X$1&lt;År1,0,W192*(1-VLOOKUP($A193,[1]Hugst!$R$5:$W$9,MATCH(ROUNDUP((X$1)/10,0)*10,[1]Hugst!$R$4:$W$4,0))))</f>
        <v>0</v>
      </c>
      <c r="Y193" s="168">
        <f>IF($C193-Y$1&lt;År1,0,X192*(1-VLOOKUP($A193,[1]Hugst!$R$5:$W$9,MATCH(ROUNDUP((Y$1)/10,0)*10,[1]Hugst!$R$4:$W$4,0))))</f>
        <v>0</v>
      </c>
      <c r="Z193" s="168">
        <f>IF($C193-Z$1&lt;År1,0,Y192*(1-VLOOKUP($A193,[1]Hugst!$R$5:$W$9,MATCH(ROUNDUP((Z$1)/10,0)*10,[1]Hugst!$R$4:$W$4,0))))</f>
        <v>0</v>
      </c>
      <c r="AA193" s="168">
        <f>IF($C193-AA$1&lt;År1,0,Z192*(1-VLOOKUP($A193,[1]Hugst!$R$5:$W$9,MATCH(ROUNDUP((AA$1)/10,0)*10,[1]Hugst!$R$4:$W$4,0))))</f>
        <v>0</v>
      </c>
      <c r="AB193" s="168">
        <f>IF($C193-AB$1&lt;År1,0,AA192*(1-VLOOKUP($A193,[1]Hugst!$R$5:$W$9,MATCH(ROUNDUP((AB$1)/10,0)*10,[1]Hugst!$R$4:$W$4,0))))</f>
        <v>0</v>
      </c>
      <c r="AC193" s="168">
        <f>IF($C193-AC$1&lt;År1,0,AB192*(1-VLOOKUP($A193,[1]Hugst!$R$5:$W$9,MATCH(ROUNDUP((AC$1)/10,0)*10,[1]Hugst!$R$4:$W$4,0))))</f>
        <v>0</v>
      </c>
      <c r="AD193" s="168">
        <f>IF($C193-AD$1&lt;År1,0,AC192*(1-VLOOKUP($A193,[1]Hugst!$R$5:$W$9,MATCH(ROUNDUP((AD$1)/10,0)*10,[1]Hugst!$R$4:$W$4,0))))</f>
        <v>0</v>
      </c>
      <c r="AE193" s="168">
        <f>IF($C193-AE$1&lt;År1,0,AD192*(1-VLOOKUP($A193,[1]Hugst!$R$5:$W$9,MATCH(ROUNDUP((AE$1)/10,0)*10,[1]Hugst!$R$4:$W$4,0))))</f>
        <v>0</v>
      </c>
      <c r="AF193" s="168">
        <f>IF($C193-AF$1&lt;År1,0,AE192*(1-VLOOKUP($A193,[1]Hugst!$R$5:$W$9,MATCH(ROUNDUP((AF$1)/10,0)*10,[1]Hugst!$R$4:$W$4,0))))</f>
        <v>0</v>
      </c>
      <c r="AG193" s="168">
        <f>IF($C193-AG$1&lt;År1,0,AF192*(1-VLOOKUP($A193,[1]Hugst!$R$5:$W$9,MATCH(ROUNDUP((AG$1)/10,0)*10,[1]Hugst!$R$4:$W$4,0))))</f>
        <v>0</v>
      </c>
      <c r="AH193" s="168">
        <f>IF($C193-AH$1&lt;År1,0,AG192*(1-VLOOKUP($A193,[1]Hugst!$R$5:$W$9,MATCH(ROUNDUP((AH$1)/10,0)*10,[1]Hugst!$R$4:$W$4,0))))</f>
        <v>0</v>
      </c>
      <c r="AI193" s="168">
        <f>IF($C193-AI$1&lt;År1,0,AH192*(1-VLOOKUP($A193,[1]Hugst!$R$5:$W$9,MATCH(ROUNDUP((AI$1)/10,0)*10,[1]Hugst!$R$4:$W$4,0))))</f>
        <v>0</v>
      </c>
      <c r="AJ193" s="168">
        <f>IF($C193-AJ$1&lt;År1,0,AI192*(1-VLOOKUP($A193,[1]Hugst!$R$5:$W$9,MATCH(ROUNDUP((AJ$1)/10,0)*10,[1]Hugst!$R$4:$W$4,0))))</f>
        <v>0</v>
      </c>
    </row>
    <row r="194" spans="1:36" x14ac:dyDescent="0.25">
      <c r="A194" s="168" t="s">
        <v>179</v>
      </c>
      <c r="B194" s="168" t="s">
        <v>23</v>
      </c>
      <c r="C194" s="168">
        <v>2026</v>
      </c>
      <c r="D194" s="168" cm="1">
        <f t="array" ref="D194">(IF(B194="Vestdanmark",Skovbrug!$C$22-(Skovbrug!$C$22)*(1-Skovbrug!$C$9)^(C194-Skovbrug!$B$12),Skovbrug!$F$22-(Skovbrug!$F$22)*(1-Skovbrug!$C$9)^(C194-Skovbrug!$B$12))*VLOOKUP(A194,Skovbrug!$A$13:$D$17,IF('Skovbrug-alder'!C194&lt;=År2,3,4),FALSE)-IF(C194&gt;2020,SUM(INDEX($C$1:$D$311,MATCH(1,(2020=$C$1:$C$311)*(B194=$B$1:$B$311)*(A194=$A$1:$A$311),0),2):D193),0))</f>
        <v>0</v>
      </c>
      <c r="E194" s="168">
        <f t="shared" ca="1" si="4"/>
        <v>0</v>
      </c>
      <c r="F194" s="168">
        <f ca="1">IF(C194&lt;=År2,IF(B194="Vestdanmark",(Arealanvendelse!$M$27-Arealanvendelse!$J$27),(Arealanvendelse!$M$37-Arealanvendelse!$J$37))/(Arealanvendelse!$M$3-Arealanvendelse!$J$3),IF(B194="Vestdanmark",(Arealanvendelse!$P$27-Arealanvendelse!$M$27),(Arealanvendelse!$P$37-Arealanvendelse!$M$37))/(Arealanvendelse!$P$3-Arealanvendelse!$M$3))*VLOOKUP(A194,Skovbrug!$A$13:$D$17,IF('Skovbrug-alder'!C194&lt;=År2,3,4),FALSE)+D194+E194</f>
        <v>0</v>
      </c>
      <c r="G194" s="168">
        <f ca="1">IF($C194-G$1&lt;År1,0,F193*(1-VLOOKUP($A194,[1]Hugst!$R$5:$W$9,MATCH(ROUNDUP((G$1)/10,0)*10,[1]Hugst!$R$4:$W$4,0))))</f>
        <v>0</v>
      </c>
      <c r="H194" s="168">
        <f ca="1">IF($C194-H$1&lt;År1,0,G193*(1-VLOOKUP($A194,[1]Hugst!$R$5:$W$9,MATCH(ROUNDUP((H$1)/10,0)*10,[1]Hugst!$R$4:$W$4,0))))</f>
        <v>0</v>
      </c>
      <c r="I194" s="168">
        <f ca="1">IF($C194-I$1&lt;År1,0,H193*(1-VLOOKUP($A194,[1]Hugst!$R$5:$W$9,MATCH(ROUNDUP((I$1)/10,0)*10,[1]Hugst!$R$4:$W$4,0))))</f>
        <v>0</v>
      </c>
      <c r="J194" s="168">
        <f ca="1">IF($C194-J$1&lt;År1,0,I193*(1-VLOOKUP($A194,[1]Hugst!$R$5:$W$9,MATCH(ROUNDUP((J$1)/10,0)*10,[1]Hugst!$R$4:$W$4,0))))</f>
        <v>0</v>
      </c>
      <c r="K194" s="168">
        <f ca="1">IF($C194-K$1&lt;År1,0,J193*(1-VLOOKUP($A194,[1]Hugst!$R$5:$W$9,MATCH(ROUNDUP((K$1)/10,0)*10,[1]Hugst!$R$4:$W$4,0))))</f>
        <v>0</v>
      </c>
      <c r="L194" s="168">
        <f ca="1">IF($C194-L$1&lt;År1,0,K193*(1-VLOOKUP($A194,[1]Hugst!$R$5:$W$9,MATCH(ROUNDUP((L$1)/10,0)*10,[1]Hugst!$R$4:$W$4,0))))</f>
        <v>0</v>
      </c>
      <c r="M194" s="168">
        <f>IF($C194-M$1&lt;År1,0,L193*(1-VLOOKUP($A194,[1]Hugst!$R$5:$W$9,MATCH(ROUNDUP((M$1)/10,0)*10,[1]Hugst!$R$4:$W$4,0))))</f>
        <v>0</v>
      </c>
      <c r="N194" s="168">
        <f>IF($C194-N$1&lt;År1,0,M193*(1-VLOOKUP($A194,[1]Hugst!$R$5:$W$9,MATCH(ROUNDUP((N$1)/10,0)*10,[1]Hugst!$R$4:$W$4,0))))</f>
        <v>0</v>
      </c>
      <c r="O194" s="168">
        <f>IF($C194-O$1&lt;År1,0,N193*(1-VLOOKUP($A194,[1]Hugst!$R$5:$W$9,MATCH(ROUNDUP((O$1)/10,0)*10,[1]Hugst!$R$4:$W$4,0))))</f>
        <v>0</v>
      </c>
      <c r="P194" s="168">
        <f>IF($C194-P$1&lt;År1,0,O193*(1-VLOOKUP($A194,[1]Hugst!$R$5:$W$9,MATCH(ROUNDUP((P$1)/10,0)*10,[1]Hugst!$R$4:$W$4,0))))</f>
        <v>0</v>
      </c>
      <c r="Q194" s="168">
        <f>IF($C194-Q$1&lt;År1,0,P193*(1-VLOOKUP($A194,[1]Hugst!$R$5:$W$9,MATCH(ROUNDUP((Q$1)/10,0)*10,[1]Hugst!$R$4:$W$4,0))))</f>
        <v>0</v>
      </c>
      <c r="R194" s="168">
        <f>IF($C194-R$1&lt;År1,0,Q193*(1-VLOOKUP($A194,[1]Hugst!$R$5:$W$9,MATCH(ROUNDUP((R$1)/10,0)*10,[1]Hugst!$R$4:$W$4,0))))</f>
        <v>0</v>
      </c>
      <c r="S194" s="168">
        <f>IF($C194-S$1&lt;År1,0,R193*(1-VLOOKUP($A194,[1]Hugst!$R$5:$W$9,MATCH(ROUNDUP((S$1)/10,0)*10,[1]Hugst!$R$4:$W$4,0))))</f>
        <v>0</v>
      </c>
      <c r="T194" s="168">
        <f>IF($C194-T$1&lt;År1,0,S193*(1-VLOOKUP($A194,[1]Hugst!$R$5:$W$9,MATCH(ROUNDUP((T$1)/10,0)*10,[1]Hugst!$R$4:$W$4,0))))</f>
        <v>0</v>
      </c>
      <c r="U194" s="168">
        <f>IF($C194-U$1&lt;År1,0,T193*(1-VLOOKUP($A194,[1]Hugst!$R$5:$W$9,MATCH(ROUNDUP((U$1)/10,0)*10,[1]Hugst!$R$4:$W$4,0))))</f>
        <v>0</v>
      </c>
      <c r="V194" s="168">
        <f>IF($C194-V$1&lt;År1,0,U193*(1-VLOOKUP($A194,[1]Hugst!$R$5:$W$9,MATCH(ROUNDUP((V$1)/10,0)*10,[1]Hugst!$R$4:$W$4,0))))</f>
        <v>0</v>
      </c>
      <c r="W194" s="168">
        <f>IF($C194-W$1&lt;År1,0,V193*(1-VLOOKUP($A194,[1]Hugst!$R$5:$W$9,MATCH(ROUNDUP((W$1)/10,0)*10,[1]Hugst!$R$4:$W$4,0))))</f>
        <v>0</v>
      </c>
      <c r="X194" s="168">
        <f>IF($C194-X$1&lt;År1,0,W193*(1-VLOOKUP($A194,[1]Hugst!$R$5:$W$9,MATCH(ROUNDUP((X$1)/10,0)*10,[1]Hugst!$R$4:$W$4,0))))</f>
        <v>0</v>
      </c>
      <c r="Y194" s="168">
        <f>IF($C194-Y$1&lt;År1,0,X193*(1-VLOOKUP($A194,[1]Hugst!$R$5:$W$9,MATCH(ROUNDUP((Y$1)/10,0)*10,[1]Hugst!$R$4:$W$4,0))))</f>
        <v>0</v>
      </c>
      <c r="Z194" s="168">
        <f>IF($C194-Z$1&lt;År1,0,Y193*(1-VLOOKUP($A194,[1]Hugst!$R$5:$W$9,MATCH(ROUNDUP((Z$1)/10,0)*10,[1]Hugst!$R$4:$W$4,0))))</f>
        <v>0</v>
      </c>
      <c r="AA194" s="168">
        <f>IF($C194-AA$1&lt;År1,0,Z193*(1-VLOOKUP($A194,[1]Hugst!$R$5:$W$9,MATCH(ROUNDUP((AA$1)/10,0)*10,[1]Hugst!$R$4:$W$4,0))))</f>
        <v>0</v>
      </c>
      <c r="AB194" s="168">
        <f>IF($C194-AB$1&lt;År1,0,AA193*(1-VLOOKUP($A194,[1]Hugst!$R$5:$W$9,MATCH(ROUNDUP((AB$1)/10,0)*10,[1]Hugst!$R$4:$W$4,0))))</f>
        <v>0</v>
      </c>
      <c r="AC194" s="168">
        <f>IF($C194-AC$1&lt;År1,0,AB193*(1-VLOOKUP($A194,[1]Hugst!$R$5:$W$9,MATCH(ROUNDUP((AC$1)/10,0)*10,[1]Hugst!$R$4:$W$4,0))))</f>
        <v>0</v>
      </c>
      <c r="AD194" s="168">
        <f>IF($C194-AD$1&lt;År1,0,AC193*(1-VLOOKUP($A194,[1]Hugst!$R$5:$W$9,MATCH(ROUNDUP((AD$1)/10,0)*10,[1]Hugst!$R$4:$W$4,0))))</f>
        <v>0</v>
      </c>
      <c r="AE194" s="168">
        <f>IF($C194-AE$1&lt;År1,0,AD193*(1-VLOOKUP($A194,[1]Hugst!$R$5:$W$9,MATCH(ROUNDUP((AE$1)/10,0)*10,[1]Hugst!$R$4:$W$4,0))))</f>
        <v>0</v>
      </c>
      <c r="AF194" s="168">
        <f>IF($C194-AF$1&lt;År1,0,AE193*(1-VLOOKUP($A194,[1]Hugst!$R$5:$W$9,MATCH(ROUNDUP((AF$1)/10,0)*10,[1]Hugst!$R$4:$W$4,0))))</f>
        <v>0</v>
      </c>
      <c r="AG194" s="168">
        <f>IF($C194-AG$1&lt;År1,0,AF193*(1-VLOOKUP($A194,[1]Hugst!$R$5:$W$9,MATCH(ROUNDUP((AG$1)/10,0)*10,[1]Hugst!$R$4:$W$4,0))))</f>
        <v>0</v>
      </c>
      <c r="AH194" s="168">
        <f>IF($C194-AH$1&lt;År1,0,AG193*(1-VLOOKUP($A194,[1]Hugst!$R$5:$W$9,MATCH(ROUNDUP((AH$1)/10,0)*10,[1]Hugst!$R$4:$W$4,0))))</f>
        <v>0</v>
      </c>
      <c r="AI194" s="168">
        <f>IF($C194-AI$1&lt;År1,0,AH193*(1-VLOOKUP($A194,[1]Hugst!$R$5:$W$9,MATCH(ROUNDUP((AI$1)/10,0)*10,[1]Hugst!$R$4:$W$4,0))))</f>
        <v>0</v>
      </c>
      <c r="AJ194" s="168">
        <f>IF($C194-AJ$1&lt;År1,0,AI193*(1-VLOOKUP($A194,[1]Hugst!$R$5:$W$9,MATCH(ROUNDUP((AJ$1)/10,0)*10,[1]Hugst!$R$4:$W$4,0))))</f>
        <v>0</v>
      </c>
    </row>
    <row r="195" spans="1:36" x14ac:dyDescent="0.25">
      <c r="A195" s="168" t="s">
        <v>179</v>
      </c>
      <c r="B195" s="168" t="s">
        <v>23</v>
      </c>
      <c r="C195" s="168">
        <v>2027</v>
      </c>
      <c r="D195" s="168" cm="1">
        <f t="array" ref="D195">(IF(B195="Vestdanmark",Skovbrug!$C$22-(Skovbrug!$C$22)*(1-Skovbrug!$C$9)^(C195-Skovbrug!$B$12),Skovbrug!$F$22-(Skovbrug!$F$22)*(1-Skovbrug!$C$9)^(C195-Skovbrug!$B$12))*VLOOKUP(A195,Skovbrug!$A$13:$D$17,IF('Skovbrug-alder'!C195&lt;=År2,3,4),FALSE)-IF(C195&gt;2020,SUM(INDEX($C$1:$D$311,MATCH(1,(2020=$C$1:$C$311)*(B195=$B$1:$B$311)*(A195=$A$1:$A$311),0),2):D194),0))</f>
        <v>0</v>
      </c>
      <c r="E195" s="168">
        <f t="shared" ca="1" si="4"/>
        <v>0</v>
      </c>
      <c r="F195" s="168">
        <f ca="1">IF(C195&lt;=År2,IF(B195="Vestdanmark",(Arealanvendelse!$M$27-Arealanvendelse!$J$27),(Arealanvendelse!$M$37-Arealanvendelse!$J$37))/(Arealanvendelse!$M$3-Arealanvendelse!$J$3),IF(B195="Vestdanmark",(Arealanvendelse!$P$27-Arealanvendelse!$M$27),(Arealanvendelse!$P$37-Arealanvendelse!$M$37))/(Arealanvendelse!$P$3-Arealanvendelse!$M$3))*VLOOKUP(A195,Skovbrug!$A$13:$D$17,IF('Skovbrug-alder'!C195&lt;=År2,3,4),FALSE)+D195+E195</f>
        <v>0</v>
      </c>
      <c r="G195" s="168">
        <f ca="1">IF($C195-G$1&lt;År1,0,F194*(1-VLOOKUP($A195,[1]Hugst!$R$5:$W$9,MATCH(ROUNDUP((G$1)/10,0)*10,[1]Hugst!$R$4:$W$4,0))))</f>
        <v>0</v>
      </c>
      <c r="H195" s="168">
        <f ca="1">IF($C195-H$1&lt;År1,0,G194*(1-VLOOKUP($A195,[1]Hugst!$R$5:$W$9,MATCH(ROUNDUP((H$1)/10,0)*10,[1]Hugst!$R$4:$W$4,0))))</f>
        <v>0</v>
      </c>
      <c r="I195" s="168">
        <f ca="1">IF($C195-I$1&lt;År1,0,H194*(1-VLOOKUP($A195,[1]Hugst!$R$5:$W$9,MATCH(ROUNDUP((I$1)/10,0)*10,[1]Hugst!$R$4:$W$4,0))))</f>
        <v>0</v>
      </c>
      <c r="J195" s="168">
        <f ca="1">IF($C195-J$1&lt;År1,0,I194*(1-VLOOKUP($A195,[1]Hugst!$R$5:$W$9,MATCH(ROUNDUP((J$1)/10,0)*10,[1]Hugst!$R$4:$W$4,0))))</f>
        <v>0</v>
      </c>
      <c r="K195" s="168">
        <f ca="1">IF($C195-K$1&lt;År1,0,J194*(1-VLOOKUP($A195,[1]Hugst!$R$5:$W$9,MATCH(ROUNDUP((K$1)/10,0)*10,[1]Hugst!$R$4:$W$4,0))))</f>
        <v>0</v>
      </c>
      <c r="L195" s="168">
        <f ca="1">IF($C195-L$1&lt;År1,0,K194*(1-VLOOKUP($A195,[1]Hugst!$R$5:$W$9,MATCH(ROUNDUP((L$1)/10,0)*10,[1]Hugst!$R$4:$W$4,0))))</f>
        <v>0</v>
      </c>
      <c r="M195" s="168">
        <f ca="1">IF($C195-M$1&lt;År1,0,L194*(1-VLOOKUP($A195,[1]Hugst!$R$5:$W$9,MATCH(ROUNDUP((M$1)/10,0)*10,[1]Hugst!$R$4:$W$4,0))))</f>
        <v>0</v>
      </c>
      <c r="N195" s="168">
        <f>IF($C195-N$1&lt;År1,0,M194*(1-VLOOKUP($A195,[1]Hugst!$R$5:$W$9,MATCH(ROUNDUP((N$1)/10,0)*10,[1]Hugst!$R$4:$W$4,0))))</f>
        <v>0</v>
      </c>
      <c r="O195" s="168">
        <f>IF($C195-O$1&lt;År1,0,N194*(1-VLOOKUP($A195,[1]Hugst!$R$5:$W$9,MATCH(ROUNDUP((O$1)/10,0)*10,[1]Hugst!$R$4:$W$4,0))))</f>
        <v>0</v>
      </c>
      <c r="P195" s="168">
        <f>IF($C195-P$1&lt;År1,0,O194*(1-VLOOKUP($A195,[1]Hugst!$R$5:$W$9,MATCH(ROUNDUP((P$1)/10,0)*10,[1]Hugst!$R$4:$W$4,0))))</f>
        <v>0</v>
      </c>
      <c r="Q195" s="168">
        <f>IF($C195-Q$1&lt;År1,0,P194*(1-VLOOKUP($A195,[1]Hugst!$R$5:$W$9,MATCH(ROUNDUP((Q$1)/10,0)*10,[1]Hugst!$R$4:$W$4,0))))</f>
        <v>0</v>
      </c>
      <c r="R195" s="168">
        <f>IF($C195-R$1&lt;År1,0,Q194*(1-VLOOKUP($A195,[1]Hugst!$R$5:$W$9,MATCH(ROUNDUP((R$1)/10,0)*10,[1]Hugst!$R$4:$W$4,0))))</f>
        <v>0</v>
      </c>
      <c r="S195" s="168">
        <f>IF($C195-S$1&lt;År1,0,R194*(1-VLOOKUP($A195,[1]Hugst!$R$5:$W$9,MATCH(ROUNDUP((S$1)/10,0)*10,[1]Hugst!$R$4:$W$4,0))))</f>
        <v>0</v>
      </c>
      <c r="T195" s="168">
        <f>IF($C195-T$1&lt;År1,0,S194*(1-VLOOKUP($A195,[1]Hugst!$R$5:$W$9,MATCH(ROUNDUP((T$1)/10,0)*10,[1]Hugst!$R$4:$W$4,0))))</f>
        <v>0</v>
      </c>
      <c r="U195" s="168">
        <f>IF($C195-U$1&lt;År1,0,T194*(1-VLOOKUP($A195,[1]Hugst!$R$5:$W$9,MATCH(ROUNDUP((U$1)/10,0)*10,[1]Hugst!$R$4:$W$4,0))))</f>
        <v>0</v>
      </c>
      <c r="V195" s="168">
        <f>IF($C195-V$1&lt;År1,0,U194*(1-VLOOKUP($A195,[1]Hugst!$R$5:$W$9,MATCH(ROUNDUP((V$1)/10,0)*10,[1]Hugst!$R$4:$W$4,0))))</f>
        <v>0</v>
      </c>
      <c r="W195" s="168">
        <f>IF($C195-W$1&lt;År1,0,V194*(1-VLOOKUP($A195,[1]Hugst!$R$5:$W$9,MATCH(ROUNDUP((W$1)/10,0)*10,[1]Hugst!$R$4:$W$4,0))))</f>
        <v>0</v>
      </c>
      <c r="X195" s="168">
        <f>IF($C195-X$1&lt;År1,0,W194*(1-VLOOKUP($A195,[1]Hugst!$R$5:$W$9,MATCH(ROUNDUP((X$1)/10,0)*10,[1]Hugst!$R$4:$W$4,0))))</f>
        <v>0</v>
      </c>
      <c r="Y195" s="168">
        <f>IF($C195-Y$1&lt;År1,0,X194*(1-VLOOKUP($A195,[1]Hugst!$R$5:$W$9,MATCH(ROUNDUP((Y$1)/10,0)*10,[1]Hugst!$R$4:$W$4,0))))</f>
        <v>0</v>
      </c>
      <c r="Z195" s="168">
        <f>IF($C195-Z$1&lt;År1,0,Y194*(1-VLOOKUP($A195,[1]Hugst!$R$5:$W$9,MATCH(ROUNDUP((Z$1)/10,0)*10,[1]Hugst!$R$4:$W$4,0))))</f>
        <v>0</v>
      </c>
      <c r="AA195" s="168">
        <f>IF($C195-AA$1&lt;År1,0,Z194*(1-VLOOKUP($A195,[1]Hugst!$R$5:$W$9,MATCH(ROUNDUP((AA$1)/10,0)*10,[1]Hugst!$R$4:$W$4,0))))</f>
        <v>0</v>
      </c>
      <c r="AB195" s="168">
        <f>IF($C195-AB$1&lt;År1,0,AA194*(1-VLOOKUP($A195,[1]Hugst!$R$5:$W$9,MATCH(ROUNDUP((AB$1)/10,0)*10,[1]Hugst!$R$4:$W$4,0))))</f>
        <v>0</v>
      </c>
      <c r="AC195" s="168">
        <f>IF($C195-AC$1&lt;År1,0,AB194*(1-VLOOKUP($A195,[1]Hugst!$R$5:$W$9,MATCH(ROUNDUP((AC$1)/10,0)*10,[1]Hugst!$R$4:$W$4,0))))</f>
        <v>0</v>
      </c>
      <c r="AD195" s="168">
        <f>IF($C195-AD$1&lt;År1,0,AC194*(1-VLOOKUP($A195,[1]Hugst!$R$5:$W$9,MATCH(ROUNDUP((AD$1)/10,0)*10,[1]Hugst!$R$4:$W$4,0))))</f>
        <v>0</v>
      </c>
      <c r="AE195" s="168">
        <f>IF($C195-AE$1&lt;År1,0,AD194*(1-VLOOKUP($A195,[1]Hugst!$R$5:$W$9,MATCH(ROUNDUP((AE$1)/10,0)*10,[1]Hugst!$R$4:$W$4,0))))</f>
        <v>0</v>
      </c>
      <c r="AF195" s="168">
        <f>IF($C195-AF$1&lt;År1,0,AE194*(1-VLOOKUP($A195,[1]Hugst!$R$5:$W$9,MATCH(ROUNDUP((AF$1)/10,0)*10,[1]Hugst!$R$4:$W$4,0))))</f>
        <v>0</v>
      </c>
      <c r="AG195" s="168">
        <f>IF($C195-AG$1&lt;År1,0,AF194*(1-VLOOKUP($A195,[1]Hugst!$R$5:$W$9,MATCH(ROUNDUP((AG$1)/10,0)*10,[1]Hugst!$R$4:$W$4,0))))</f>
        <v>0</v>
      </c>
      <c r="AH195" s="168">
        <f>IF($C195-AH$1&lt;År1,0,AG194*(1-VLOOKUP($A195,[1]Hugst!$R$5:$W$9,MATCH(ROUNDUP((AH$1)/10,0)*10,[1]Hugst!$R$4:$W$4,0))))</f>
        <v>0</v>
      </c>
      <c r="AI195" s="168">
        <f>IF($C195-AI$1&lt;År1,0,AH194*(1-VLOOKUP($A195,[1]Hugst!$R$5:$W$9,MATCH(ROUNDUP((AI$1)/10,0)*10,[1]Hugst!$R$4:$W$4,0))))</f>
        <v>0</v>
      </c>
      <c r="AJ195" s="168">
        <f>IF($C195-AJ$1&lt;År1,0,AI194*(1-VLOOKUP($A195,[1]Hugst!$R$5:$W$9,MATCH(ROUNDUP((AJ$1)/10,0)*10,[1]Hugst!$R$4:$W$4,0))))</f>
        <v>0</v>
      </c>
    </row>
    <row r="196" spans="1:36" x14ac:dyDescent="0.25">
      <c r="A196" s="168" t="s">
        <v>179</v>
      </c>
      <c r="B196" s="168" t="s">
        <v>23</v>
      </c>
      <c r="C196" s="168">
        <v>2028</v>
      </c>
      <c r="D196" s="168" cm="1">
        <f t="array" ref="D196">(IF(B196="Vestdanmark",Skovbrug!$C$22-(Skovbrug!$C$22)*(1-Skovbrug!$C$9)^(C196-Skovbrug!$B$12),Skovbrug!$F$22-(Skovbrug!$F$22)*(1-Skovbrug!$C$9)^(C196-Skovbrug!$B$12))*VLOOKUP(A196,Skovbrug!$A$13:$D$17,IF('Skovbrug-alder'!C196&lt;=År2,3,4),FALSE)-IF(C196&gt;2020,SUM(INDEX($C$1:$D$311,MATCH(1,(2020=$C$1:$C$311)*(B196=$B$1:$B$311)*(A196=$A$1:$A$311),0),2):D195),0))</f>
        <v>0</v>
      </c>
      <c r="E196" s="168">
        <f t="shared" ca="1" si="4"/>
        <v>0</v>
      </c>
      <c r="F196" s="168">
        <f ca="1">IF(C196&lt;=År2,IF(B196="Vestdanmark",(Arealanvendelse!$M$27-Arealanvendelse!$J$27),(Arealanvendelse!$M$37-Arealanvendelse!$J$37))/(Arealanvendelse!$M$3-Arealanvendelse!$J$3),IF(B196="Vestdanmark",(Arealanvendelse!$P$27-Arealanvendelse!$M$27),(Arealanvendelse!$P$37-Arealanvendelse!$M$37))/(Arealanvendelse!$P$3-Arealanvendelse!$M$3))*VLOOKUP(A196,Skovbrug!$A$13:$D$17,IF('Skovbrug-alder'!C196&lt;=År2,3,4),FALSE)+D196+E196</f>
        <v>0</v>
      </c>
      <c r="G196" s="168">
        <f ca="1">IF($C196-G$1&lt;År1,0,F195*(1-VLOOKUP($A196,[1]Hugst!$R$5:$W$9,MATCH(ROUNDUP((G$1)/10,0)*10,[1]Hugst!$R$4:$W$4,0))))</f>
        <v>0</v>
      </c>
      <c r="H196" s="168">
        <f ca="1">IF($C196-H$1&lt;År1,0,G195*(1-VLOOKUP($A196,[1]Hugst!$R$5:$W$9,MATCH(ROUNDUP((H$1)/10,0)*10,[1]Hugst!$R$4:$W$4,0))))</f>
        <v>0</v>
      </c>
      <c r="I196" s="168">
        <f ca="1">IF($C196-I$1&lt;År1,0,H195*(1-VLOOKUP($A196,[1]Hugst!$R$5:$W$9,MATCH(ROUNDUP((I$1)/10,0)*10,[1]Hugst!$R$4:$W$4,0))))</f>
        <v>0</v>
      </c>
      <c r="J196" s="168">
        <f ca="1">IF($C196-J$1&lt;År1,0,I195*(1-VLOOKUP($A196,[1]Hugst!$R$5:$W$9,MATCH(ROUNDUP((J$1)/10,0)*10,[1]Hugst!$R$4:$W$4,0))))</f>
        <v>0</v>
      </c>
      <c r="K196" s="168">
        <f ca="1">IF($C196-K$1&lt;År1,0,J195*(1-VLOOKUP($A196,[1]Hugst!$R$5:$W$9,MATCH(ROUNDUP((K$1)/10,0)*10,[1]Hugst!$R$4:$W$4,0))))</f>
        <v>0</v>
      </c>
      <c r="L196" s="168">
        <f ca="1">IF($C196-L$1&lt;År1,0,K195*(1-VLOOKUP($A196,[1]Hugst!$R$5:$W$9,MATCH(ROUNDUP((L$1)/10,0)*10,[1]Hugst!$R$4:$W$4,0))))</f>
        <v>0</v>
      </c>
      <c r="M196" s="168">
        <f ca="1">IF($C196-M$1&lt;År1,0,L195*(1-VLOOKUP($A196,[1]Hugst!$R$5:$W$9,MATCH(ROUNDUP((M$1)/10,0)*10,[1]Hugst!$R$4:$W$4,0))))</f>
        <v>0</v>
      </c>
      <c r="N196" s="168">
        <f ca="1">IF($C196-N$1&lt;År1,0,M195*(1-VLOOKUP($A196,[1]Hugst!$R$5:$W$9,MATCH(ROUNDUP((N$1)/10,0)*10,[1]Hugst!$R$4:$W$4,0))))</f>
        <v>0</v>
      </c>
      <c r="O196" s="168">
        <f>IF($C196-O$1&lt;År1,0,N195*(1-VLOOKUP($A196,[1]Hugst!$R$5:$W$9,MATCH(ROUNDUP((O$1)/10,0)*10,[1]Hugst!$R$4:$W$4,0))))</f>
        <v>0</v>
      </c>
      <c r="P196" s="168">
        <f>IF($C196-P$1&lt;År1,0,O195*(1-VLOOKUP($A196,[1]Hugst!$R$5:$W$9,MATCH(ROUNDUP((P$1)/10,0)*10,[1]Hugst!$R$4:$W$4,0))))</f>
        <v>0</v>
      </c>
      <c r="Q196" s="168">
        <f>IF($C196-Q$1&lt;År1,0,P195*(1-VLOOKUP($A196,[1]Hugst!$R$5:$W$9,MATCH(ROUNDUP((Q$1)/10,0)*10,[1]Hugst!$R$4:$W$4,0))))</f>
        <v>0</v>
      </c>
      <c r="R196" s="168">
        <f>IF($C196-R$1&lt;År1,0,Q195*(1-VLOOKUP($A196,[1]Hugst!$R$5:$W$9,MATCH(ROUNDUP((R$1)/10,0)*10,[1]Hugst!$R$4:$W$4,0))))</f>
        <v>0</v>
      </c>
      <c r="S196" s="168">
        <f>IF($C196-S$1&lt;År1,0,R195*(1-VLOOKUP($A196,[1]Hugst!$R$5:$W$9,MATCH(ROUNDUP((S$1)/10,0)*10,[1]Hugst!$R$4:$W$4,0))))</f>
        <v>0</v>
      </c>
      <c r="T196" s="168">
        <f>IF($C196-T$1&lt;År1,0,S195*(1-VLOOKUP($A196,[1]Hugst!$R$5:$W$9,MATCH(ROUNDUP((T$1)/10,0)*10,[1]Hugst!$R$4:$W$4,0))))</f>
        <v>0</v>
      </c>
      <c r="U196" s="168">
        <f>IF($C196-U$1&lt;År1,0,T195*(1-VLOOKUP($A196,[1]Hugst!$R$5:$W$9,MATCH(ROUNDUP((U$1)/10,0)*10,[1]Hugst!$R$4:$W$4,0))))</f>
        <v>0</v>
      </c>
      <c r="V196" s="168">
        <f>IF($C196-V$1&lt;År1,0,U195*(1-VLOOKUP($A196,[1]Hugst!$R$5:$W$9,MATCH(ROUNDUP((V$1)/10,0)*10,[1]Hugst!$R$4:$W$4,0))))</f>
        <v>0</v>
      </c>
      <c r="W196" s="168">
        <f>IF($C196-W$1&lt;År1,0,V195*(1-VLOOKUP($A196,[1]Hugst!$R$5:$W$9,MATCH(ROUNDUP((W$1)/10,0)*10,[1]Hugst!$R$4:$W$4,0))))</f>
        <v>0</v>
      </c>
      <c r="X196" s="168">
        <f>IF($C196-X$1&lt;År1,0,W195*(1-VLOOKUP($A196,[1]Hugst!$R$5:$W$9,MATCH(ROUNDUP((X$1)/10,0)*10,[1]Hugst!$R$4:$W$4,0))))</f>
        <v>0</v>
      </c>
      <c r="Y196" s="168">
        <f>IF($C196-Y$1&lt;År1,0,X195*(1-VLOOKUP($A196,[1]Hugst!$R$5:$W$9,MATCH(ROUNDUP((Y$1)/10,0)*10,[1]Hugst!$R$4:$W$4,0))))</f>
        <v>0</v>
      </c>
      <c r="Z196" s="168">
        <f>IF($C196-Z$1&lt;År1,0,Y195*(1-VLOOKUP($A196,[1]Hugst!$R$5:$W$9,MATCH(ROUNDUP((Z$1)/10,0)*10,[1]Hugst!$R$4:$W$4,0))))</f>
        <v>0</v>
      </c>
      <c r="AA196" s="168">
        <f>IF($C196-AA$1&lt;År1,0,Z195*(1-VLOOKUP($A196,[1]Hugst!$R$5:$W$9,MATCH(ROUNDUP((AA$1)/10,0)*10,[1]Hugst!$R$4:$W$4,0))))</f>
        <v>0</v>
      </c>
      <c r="AB196" s="168">
        <f>IF($C196-AB$1&lt;År1,0,AA195*(1-VLOOKUP($A196,[1]Hugst!$R$5:$W$9,MATCH(ROUNDUP((AB$1)/10,0)*10,[1]Hugst!$R$4:$W$4,0))))</f>
        <v>0</v>
      </c>
      <c r="AC196" s="168">
        <f>IF($C196-AC$1&lt;År1,0,AB195*(1-VLOOKUP($A196,[1]Hugst!$R$5:$W$9,MATCH(ROUNDUP((AC$1)/10,0)*10,[1]Hugst!$R$4:$W$4,0))))</f>
        <v>0</v>
      </c>
      <c r="AD196" s="168">
        <f>IF($C196-AD$1&lt;År1,0,AC195*(1-VLOOKUP($A196,[1]Hugst!$R$5:$W$9,MATCH(ROUNDUP((AD$1)/10,0)*10,[1]Hugst!$R$4:$W$4,0))))</f>
        <v>0</v>
      </c>
      <c r="AE196" s="168">
        <f>IF($C196-AE$1&lt;År1,0,AD195*(1-VLOOKUP($A196,[1]Hugst!$R$5:$W$9,MATCH(ROUNDUP((AE$1)/10,0)*10,[1]Hugst!$R$4:$W$4,0))))</f>
        <v>0</v>
      </c>
      <c r="AF196" s="168">
        <f>IF($C196-AF$1&lt;År1,0,AE195*(1-VLOOKUP($A196,[1]Hugst!$R$5:$W$9,MATCH(ROUNDUP((AF$1)/10,0)*10,[1]Hugst!$R$4:$W$4,0))))</f>
        <v>0</v>
      </c>
      <c r="AG196" s="168">
        <f>IF($C196-AG$1&lt;År1,0,AF195*(1-VLOOKUP($A196,[1]Hugst!$R$5:$W$9,MATCH(ROUNDUP((AG$1)/10,0)*10,[1]Hugst!$R$4:$W$4,0))))</f>
        <v>0</v>
      </c>
      <c r="AH196" s="168">
        <f>IF($C196-AH$1&lt;År1,0,AG195*(1-VLOOKUP($A196,[1]Hugst!$R$5:$W$9,MATCH(ROUNDUP((AH$1)/10,0)*10,[1]Hugst!$R$4:$W$4,0))))</f>
        <v>0</v>
      </c>
      <c r="AI196" s="168">
        <f>IF($C196-AI$1&lt;År1,0,AH195*(1-VLOOKUP($A196,[1]Hugst!$R$5:$W$9,MATCH(ROUNDUP((AI$1)/10,0)*10,[1]Hugst!$R$4:$W$4,0))))</f>
        <v>0</v>
      </c>
      <c r="AJ196" s="168">
        <f>IF($C196-AJ$1&lt;År1,0,AI195*(1-VLOOKUP($A196,[1]Hugst!$R$5:$W$9,MATCH(ROUNDUP((AJ$1)/10,0)*10,[1]Hugst!$R$4:$W$4,0))))</f>
        <v>0</v>
      </c>
    </row>
    <row r="197" spans="1:36" x14ac:dyDescent="0.25">
      <c r="A197" s="168" t="s">
        <v>179</v>
      </c>
      <c r="B197" s="168" t="s">
        <v>23</v>
      </c>
      <c r="C197" s="168">
        <v>2029</v>
      </c>
      <c r="D197" s="168" cm="1">
        <f t="array" ref="D197">(IF(B197="Vestdanmark",Skovbrug!$C$22-(Skovbrug!$C$22)*(1-Skovbrug!$C$9)^(C197-Skovbrug!$B$12),Skovbrug!$F$22-(Skovbrug!$F$22)*(1-Skovbrug!$C$9)^(C197-Skovbrug!$B$12))*VLOOKUP(A197,Skovbrug!$A$13:$D$17,IF('Skovbrug-alder'!C197&lt;=År2,3,4),FALSE)-IF(C197&gt;2020,SUM(INDEX($C$1:$D$311,MATCH(1,(2020=$C$1:$C$311)*(B197=$B$1:$B$311)*(A197=$A$1:$A$311),0),2):D196),0))</f>
        <v>0</v>
      </c>
      <c r="E197" s="168">
        <f t="shared" ca="1" si="4"/>
        <v>0</v>
      </c>
      <c r="F197" s="168">
        <f ca="1">IF(C197&lt;=År2,IF(B197="Vestdanmark",(Arealanvendelse!$M$27-Arealanvendelse!$J$27),(Arealanvendelse!$M$37-Arealanvendelse!$J$37))/(Arealanvendelse!$M$3-Arealanvendelse!$J$3),IF(B197="Vestdanmark",(Arealanvendelse!$P$27-Arealanvendelse!$M$27),(Arealanvendelse!$P$37-Arealanvendelse!$M$37))/(Arealanvendelse!$P$3-Arealanvendelse!$M$3))*VLOOKUP(A197,Skovbrug!$A$13:$D$17,IF('Skovbrug-alder'!C197&lt;=År2,3,4),FALSE)+D197+E197</f>
        <v>0</v>
      </c>
      <c r="G197" s="168">
        <f ca="1">IF($C197-G$1&lt;År1,0,F196*(1-VLOOKUP($A197,[1]Hugst!$R$5:$W$9,MATCH(ROUNDUP((G$1)/10,0)*10,[1]Hugst!$R$4:$W$4,0))))</f>
        <v>0</v>
      </c>
      <c r="H197" s="168">
        <f ca="1">IF($C197-H$1&lt;År1,0,G196*(1-VLOOKUP($A197,[1]Hugst!$R$5:$W$9,MATCH(ROUNDUP((H$1)/10,0)*10,[1]Hugst!$R$4:$W$4,0))))</f>
        <v>0</v>
      </c>
      <c r="I197" s="168">
        <f ca="1">IF($C197-I$1&lt;År1,0,H196*(1-VLOOKUP($A197,[1]Hugst!$R$5:$W$9,MATCH(ROUNDUP((I$1)/10,0)*10,[1]Hugst!$R$4:$W$4,0))))</f>
        <v>0</v>
      </c>
      <c r="J197" s="168">
        <f ca="1">IF($C197-J$1&lt;År1,0,I196*(1-VLOOKUP($A197,[1]Hugst!$R$5:$W$9,MATCH(ROUNDUP((J$1)/10,0)*10,[1]Hugst!$R$4:$W$4,0))))</f>
        <v>0</v>
      </c>
      <c r="K197" s="168">
        <f ca="1">IF($C197-K$1&lt;År1,0,J196*(1-VLOOKUP($A197,[1]Hugst!$R$5:$W$9,MATCH(ROUNDUP((K$1)/10,0)*10,[1]Hugst!$R$4:$W$4,0))))</f>
        <v>0</v>
      </c>
      <c r="L197" s="168">
        <f ca="1">IF($C197-L$1&lt;År1,0,K196*(1-VLOOKUP($A197,[1]Hugst!$R$5:$W$9,MATCH(ROUNDUP((L$1)/10,0)*10,[1]Hugst!$R$4:$W$4,0))))</f>
        <v>0</v>
      </c>
      <c r="M197" s="168">
        <f ca="1">IF($C197-M$1&lt;År1,0,L196*(1-VLOOKUP($A197,[1]Hugst!$R$5:$W$9,MATCH(ROUNDUP((M$1)/10,0)*10,[1]Hugst!$R$4:$W$4,0))))</f>
        <v>0</v>
      </c>
      <c r="N197" s="168">
        <f ca="1">IF($C197-N$1&lt;År1,0,M196*(1-VLOOKUP($A197,[1]Hugst!$R$5:$W$9,MATCH(ROUNDUP((N$1)/10,0)*10,[1]Hugst!$R$4:$W$4,0))))</f>
        <v>0</v>
      </c>
      <c r="O197" s="168">
        <f ca="1">IF($C197-O$1&lt;År1,0,N196*(1-VLOOKUP($A197,[1]Hugst!$R$5:$W$9,MATCH(ROUNDUP((O$1)/10,0)*10,[1]Hugst!$R$4:$W$4,0))))</f>
        <v>0</v>
      </c>
      <c r="P197" s="168">
        <f>IF($C197-P$1&lt;År1,0,O196*(1-VLOOKUP($A197,[1]Hugst!$R$5:$W$9,MATCH(ROUNDUP((P$1)/10,0)*10,[1]Hugst!$R$4:$W$4,0))))</f>
        <v>0</v>
      </c>
      <c r="Q197" s="168">
        <f>IF($C197-Q$1&lt;År1,0,P196*(1-VLOOKUP($A197,[1]Hugst!$R$5:$W$9,MATCH(ROUNDUP((Q$1)/10,0)*10,[1]Hugst!$R$4:$W$4,0))))</f>
        <v>0</v>
      </c>
      <c r="R197" s="168">
        <f>IF($C197-R$1&lt;År1,0,Q196*(1-VLOOKUP($A197,[1]Hugst!$R$5:$W$9,MATCH(ROUNDUP((R$1)/10,0)*10,[1]Hugst!$R$4:$W$4,0))))</f>
        <v>0</v>
      </c>
      <c r="S197" s="168">
        <f>IF($C197-S$1&lt;År1,0,R196*(1-VLOOKUP($A197,[1]Hugst!$R$5:$W$9,MATCH(ROUNDUP((S$1)/10,0)*10,[1]Hugst!$R$4:$W$4,0))))</f>
        <v>0</v>
      </c>
      <c r="T197" s="168">
        <f>IF($C197-T$1&lt;År1,0,S196*(1-VLOOKUP($A197,[1]Hugst!$R$5:$W$9,MATCH(ROUNDUP((T$1)/10,0)*10,[1]Hugst!$R$4:$W$4,0))))</f>
        <v>0</v>
      </c>
      <c r="U197" s="168">
        <f>IF($C197-U$1&lt;År1,0,T196*(1-VLOOKUP($A197,[1]Hugst!$R$5:$W$9,MATCH(ROUNDUP((U$1)/10,0)*10,[1]Hugst!$R$4:$W$4,0))))</f>
        <v>0</v>
      </c>
      <c r="V197" s="168">
        <f>IF($C197-V$1&lt;År1,0,U196*(1-VLOOKUP($A197,[1]Hugst!$R$5:$W$9,MATCH(ROUNDUP((V$1)/10,0)*10,[1]Hugst!$R$4:$W$4,0))))</f>
        <v>0</v>
      </c>
      <c r="W197" s="168">
        <f>IF($C197-W$1&lt;År1,0,V196*(1-VLOOKUP($A197,[1]Hugst!$R$5:$W$9,MATCH(ROUNDUP((W$1)/10,0)*10,[1]Hugst!$R$4:$W$4,0))))</f>
        <v>0</v>
      </c>
      <c r="X197" s="168">
        <f>IF($C197-X$1&lt;År1,0,W196*(1-VLOOKUP($A197,[1]Hugst!$R$5:$W$9,MATCH(ROUNDUP((X$1)/10,0)*10,[1]Hugst!$R$4:$W$4,0))))</f>
        <v>0</v>
      </c>
      <c r="Y197" s="168">
        <f>IF($C197-Y$1&lt;År1,0,X196*(1-VLOOKUP($A197,[1]Hugst!$R$5:$W$9,MATCH(ROUNDUP((Y$1)/10,0)*10,[1]Hugst!$R$4:$W$4,0))))</f>
        <v>0</v>
      </c>
      <c r="Z197" s="168">
        <f>IF($C197-Z$1&lt;År1,0,Y196*(1-VLOOKUP($A197,[1]Hugst!$R$5:$W$9,MATCH(ROUNDUP((Z$1)/10,0)*10,[1]Hugst!$R$4:$W$4,0))))</f>
        <v>0</v>
      </c>
      <c r="AA197" s="168">
        <f>IF($C197-AA$1&lt;År1,0,Z196*(1-VLOOKUP($A197,[1]Hugst!$R$5:$W$9,MATCH(ROUNDUP((AA$1)/10,0)*10,[1]Hugst!$R$4:$W$4,0))))</f>
        <v>0</v>
      </c>
      <c r="AB197" s="168">
        <f>IF($C197-AB$1&lt;År1,0,AA196*(1-VLOOKUP($A197,[1]Hugst!$R$5:$W$9,MATCH(ROUNDUP((AB$1)/10,0)*10,[1]Hugst!$R$4:$W$4,0))))</f>
        <v>0</v>
      </c>
      <c r="AC197" s="168">
        <f>IF($C197-AC$1&lt;År1,0,AB196*(1-VLOOKUP($A197,[1]Hugst!$R$5:$W$9,MATCH(ROUNDUP((AC$1)/10,0)*10,[1]Hugst!$R$4:$W$4,0))))</f>
        <v>0</v>
      </c>
      <c r="AD197" s="168">
        <f>IF($C197-AD$1&lt;År1,0,AC196*(1-VLOOKUP($A197,[1]Hugst!$R$5:$W$9,MATCH(ROUNDUP((AD$1)/10,0)*10,[1]Hugst!$R$4:$W$4,0))))</f>
        <v>0</v>
      </c>
      <c r="AE197" s="168">
        <f>IF($C197-AE$1&lt;År1,0,AD196*(1-VLOOKUP($A197,[1]Hugst!$R$5:$W$9,MATCH(ROUNDUP((AE$1)/10,0)*10,[1]Hugst!$R$4:$W$4,0))))</f>
        <v>0</v>
      </c>
      <c r="AF197" s="168">
        <f>IF($C197-AF$1&lt;År1,0,AE196*(1-VLOOKUP($A197,[1]Hugst!$R$5:$W$9,MATCH(ROUNDUP((AF$1)/10,0)*10,[1]Hugst!$R$4:$W$4,0))))</f>
        <v>0</v>
      </c>
      <c r="AG197" s="168">
        <f>IF($C197-AG$1&lt;År1,0,AF196*(1-VLOOKUP($A197,[1]Hugst!$R$5:$W$9,MATCH(ROUNDUP((AG$1)/10,0)*10,[1]Hugst!$R$4:$W$4,0))))</f>
        <v>0</v>
      </c>
      <c r="AH197" s="168">
        <f>IF($C197-AH$1&lt;År1,0,AG196*(1-VLOOKUP($A197,[1]Hugst!$R$5:$W$9,MATCH(ROUNDUP((AH$1)/10,0)*10,[1]Hugst!$R$4:$W$4,0))))</f>
        <v>0</v>
      </c>
      <c r="AI197" s="168">
        <f>IF($C197-AI$1&lt;År1,0,AH196*(1-VLOOKUP($A197,[1]Hugst!$R$5:$W$9,MATCH(ROUNDUP((AI$1)/10,0)*10,[1]Hugst!$R$4:$W$4,0))))</f>
        <v>0</v>
      </c>
      <c r="AJ197" s="168">
        <f>IF($C197-AJ$1&lt;År1,0,AI196*(1-VLOOKUP($A197,[1]Hugst!$R$5:$W$9,MATCH(ROUNDUP((AJ$1)/10,0)*10,[1]Hugst!$R$4:$W$4,0))))</f>
        <v>0</v>
      </c>
    </row>
    <row r="198" spans="1:36" x14ac:dyDescent="0.25">
      <c r="A198" s="168" t="s">
        <v>179</v>
      </c>
      <c r="B198" s="168" t="s">
        <v>23</v>
      </c>
      <c r="C198" s="168">
        <v>2030</v>
      </c>
      <c r="D198" s="168" cm="1">
        <f t="array" ref="D198">(IF(B198="Vestdanmark",Skovbrug!$C$22-(Skovbrug!$C$22)*(1-Skovbrug!$C$9)^(C198-Skovbrug!$B$12),Skovbrug!$F$22-(Skovbrug!$F$22)*(1-Skovbrug!$C$9)^(C198-Skovbrug!$B$12))*VLOOKUP(A198,Skovbrug!$A$13:$D$17,IF('Skovbrug-alder'!C198&lt;=År2,3,4),FALSE)-IF(C198&gt;2020,SUM(INDEX($C$1:$D$311,MATCH(1,(2020=$C$1:$C$311)*(B198=$B$1:$B$311)*(A198=$A$1:$A$311),0),2):D197),0))</f>
        <v>0</v>
      </c>
      <c r="E198" s="168">
        <f t="shared" ca="1" si="4"/>
        <v>0</v>
      </c>
      <c r="F198" s="168">
        <f ca="1">IF(C198&lt;=År2,IF(B198="Vestdanmark",(Arealanvendelse!$M$27-Arealanvendelse!$J$27),(Arealanvendelse!$M$37-Arealanvendelse!$J$37))/(Arealanvendelse!$M$3-Arealanvendelse!$J$3),IF(B198="Vestdanmark",(Arealanvendelse!$P$27-Arealanvendelse!$M$27),(Arealanvendelse!$P$37-Arealanvendelse!$M$37))/(Arealanvendelse!$P$3-Arealanvendelse!$M$3))*VLOOKUP(A198,Skovbrug!$A$13:$D$17,IF('Skovbrug-alder'!C198&lt;=År2,3,4),FALSE)+D198+E198</f>
        <v>0</v>
      </c>
      <c r="G198" s="168">
        <f ca="1">IF($C198-G$1&lt;År1,0,F197*(1-VLOOKUP($A198,[1]Hugst!$R$5:$W$9,MATCH(ROUNDUP((G$1)/10,0)*10,[1]Hugst!$R$4:$W$4,0))))</f>
        <v>0</v>
      </c>
      <c r="H198" s="168">
        <f ca="1">IF($C198-H$1&lt;År1,0,G197*(1-VLOOKUP($A198,[1]Hugst!$R$5:$W$9,MATCH(ROUNDUP((H$1)/10,0)*10,[1]Hugst!$R$4:$W$4,0))))</f>
        <v>0</v>
      </c>
      <c r="I198" s="168">
        <f ca="1">IF($C198-I$1&lt;År1,0,H197*(1-VLOOKUP($A198,[1]Hugst!$R$5:$W$9,MATCH(ROUNDUP((I$1)/10,0)*10,[1]Hugst!$R$4:$W$4,0))))</f>
        <v>0</v>
      </c>
      <c r="J198" s="168">
        <f ca="1">IF($C198-J$1&lt;År1,0,I197*(1-VLOOKUP($A198,[1]Hugst!$R$5:$W$9,MATCH(ROUNDUP((J$1)/10,0)*10,[1]Hugst!$R$4:$W$4,0))))</f>
        <v>0</v>
      </c>
      <c r="K198" s="168">
        <f ca="1">IF($C198-K$1&lt;År1,0,J197*(1-VLOOKUP($A198,[1]Hugst!$R$5:$W$9,MATCH(ROUNDUP((K$1)/10,0)*10,[1]Hugst!$R$4:$W$4,0))))</f>
        <v>0</v>
      </c>
      <c r="L198" s="168">
        <f ca="1">IF($C198-L$1&lt;År1,0,K197*(1-VLOOKUP($A198,[1]Hugst!$R$5:$W$9,MATCH(ROUNDUP((L$1)/10,0)*10,[1]Hugst!$R$4:$W$4,0))))</f>
        <v>0</v>
      </c>
      <c r="M198" s="168">
        <f ca="1">IF($C198-M$1&lt;År1,0,L197*(1-VLOOKUP($A198,[1]Hugst!$R$5:$W$9,MATCH(ROUNDUP((M$1)/10,0)*10,[1]Hugst!$R$4:$W$4,0))))</f>
        <v>0</v>
      </c>
      <c r="N198" s="168">
        <f ca="1">IF($C198-N$1&lt;År1,0,M197*(1-VLOOKUP($A198,[1]Hugst!$R$5:$W$9,MATCH(ROUNDUP((N$1)/10,0)*10,[1]Hugst!$R$4:$W$4,0))))</f>
        <v>0</v>
      </c>
      <c r="O198" s="168">
        <f ca="1">IF($C198-O$1&lt;År1,0,N197*(1-VLOOKUP($A198,[1]Hugst!$R$5:$W$9,MATCH(ROUNDUP((O$1)/10,0)*10,[1]Hugst!$R$4:$W$4,0))))</f>
        <v>0</v>
      </c>
      <c r="P198" s="168">
        <f ca="1">IF($C198-P$1&lt;År1,0,O197*(1-VLOOKUP($A198,[1]Hugst!$R$5:$W$9,MATCH(ROUNDUP((P$1)/10,0)*10,[1]Hugst!$R$4:$W$4,0))))</f>
        <v>0</v>
      </c>
      <c r="Q198" s="168">
        <f>IF($C198-Q$1&lt;År1,0,P197*(1-VLOOKUP($A198,[1]Hugst!$R$5:$W$9,MATCH(ROUNDUP((Q$1)/10,0)*10,[1]Hugst!$R$4:$W$4,0))))</f>
        <v>0</v>
      </c>
      <c r="R198" s="168">
        <f>IF($C198-R$1&lt;År1,0,Q197*(1-VLOOKUP($A198,[1]Hugst!$R$5:$W$9,MATCH(ROUNDUP((R$1)/10,0)*10,[1]Hugst!$R$4:$W$4,0))))</f>
        <v>0</v>
      </c>
      <c r="S198" s="168">
        <f>IF($C198-S$1&lt;År1,0,R197*(1-VLOOKUP($A198,[1]Hugst!$R$5:$W$9,MATCH(ROUNDUP((S$1)/10,0)*10,[1]Hugst!$R$4:$W$4,0))))</f>
        <v>0</v>
      </c>
      <c r="T198" s="168">
        <f>IF($C198-T$1&lt;År1,0,S197*(1-VLOOKUP($A198,[1]Hugst!$R$5:$W$9,MATCH(ROUNDUP((T$1)/10,0)*10,[1]Hugst!$R$4:$W$4,0))))</f>
        <v>0</v>
      </c>
      <c r="U198" s="168">
        <f>IF($C198-U$1&lt;År1,0,T197*(1-VLOOKUP($A198,[1]Hugst!$R$5:$W$9,MATCH(ROUNDUP((U$1)/10,0)*10,[1]Hugst!$R$4:$W$4,0))))</f>
        <v>0</v>
      </c>
      <c r="V198" s="168">
        <f>IF($C198-V$1&lt;År1,0,U197*(1-VLOOKUP($A198,[1]Hugst!$R$5:$W$9,MATCH(ROUNDUP((V$1)/10,0)*10,[1]Hugst!$R$4:$W$4,0))))</f>
        <v>0</v>
      </c>
      <c r="W198" s="168">
        <f>IF($C198-W$1&lt;År1,0,V197*(1-VLOOKUP($A198,[1]Hugst!$R$5:$W$9,MATCH(ROUNDUP((W$1)/10,0)*10,[1]Hugst!$R$4:$W$4,0))))</f>
        <v>0</v>
      </c>
      <c r="X198" s="168">
        <f>IF($C198-X$1&lt;År1,0,W197*(1-VLOOKUP($A198,[1]Hugst!$R$5:$W$9,MATCH(ROUNDUP((X$1)/10,0)*10,[1]Hugst!$R$4:$W$4,0))))</f>
        <v>0</v>
      </c>
      <c r="Y198" s="168">
        <f>IF($C198-Y$1&lt;År1,0,X197*(1-VLOOKUP($A198,[1]Hugst!$R$5:$W$9,MATCH(ROUNDUP((Y$1)/10,0)*10,[1]Hugst!$R$4:$W$4,0))))</f>
        <v>0</v>
      </c>
      <c r="Z198" s="168">
        <f>IF($C198-Z$1&lt;År1,0,Y197*(1-VLOOKUP($A198,[1]Hugst!$R$5:$W$9,MATCH(ROUNDUP((Z$1)/10,0)*10,[1]Hugst!$R$4:$W$4,0))))</f>
        <v>0</v>
      </c>
      <c r="AA198" s="168">
        <f>IF($C198-AA$1&lt;År1,0,Z197*(1-VLOOKUP($A198,[1]Hugst!$R$5:$W$9,MATCH(ROUNDUP((AA$1)/10,0)*10,[1]Hugst!$R$4:$W$4,0))))</f>
        <v>0</v>
      </c>
      <c r="AB198" s="168">
        <f>IF($C198-AB$1&lt;År1,0,AA197*(1-VLOOKUP($A198,[1]Hugst!$R$5:$W$9,MATCH(ROUNDUP((AB$1)/10,0)*10,[1]Hugst!$R$4:$W$4,0))))</f>
        <v>0</v>
      </c>
      <c r="AC198" s="168">
        <f>IF($C198-AC$1&lt;År1,0,AB197*(1-VLOOKUP($A198,[1]Hugst!$R$5:$W$9,MATCH(ROUNDUP((AC$1)/10,0)*10,[1]Hugst!$R$4:$W$4,0))))</f>
        <v>0</v>
      </c>
      <c r="AD198" s="168">
        <f>IF($C198-AD$1&lt;År1,0,AC197*(1-VLOOKUP($A198,[1]Hugst!$R$5:$W$9,MATCH(ROUNDUP((AD$1)/10,0)*10,[1]Hugst!$R$4:$W$4,0))))</f>
        <v>0</v>
      </c>
      <c r="AE198" s="168">
        <f>IF($C198-AE$1&lt;År1,0,AD197*(1-VLOOKUP($A198,[1]Hugst!$R$5:$W$9,MATCH(ROUNDUP((AE$1)/10,0)*10,[1]Hugst!$R$4:$W$4,0))))</f>
        <v>0</v>
      </c>
      <c r="AF198" s="168">
        <f>IF($C198-AF$1&lt;År1,0,AE197*(1-VLOOKUP($A198,[1]Hugst!$R$5:$W$9,MATCH(ROUNDUP((AF$1)/10,0)*10,[1]Hugst!$R$4:$W$4,0))))</f>
        <v>0</v>
      </c>
      <c r="AG198" s="168">
        <f>IF($C198-AG$1&lt;År1,0,AF197*(1-VLOOKUP($A198,[1]Hugst!$R$5:$W$9,MATCH(ROUNDUP((AG$1)/10,0)*10,[1]Hugst!$R$4:$W$4,0))))</f>
        <v>0</v>
      </c>
      <c r="AH198" s="168">
        <f>IF($C198-AH$1&lt;År1,0,AG197*(1-VLOOKUP($A198,[1]Hugst!$R$5:$W$9,MATCH(ROUNDUP((AH$1)/10,0)*10,[1]Hugst!$R$4:$W$4,0))))</f>
        <v>0</v>
      </c>
      <c r="AI198" s="168">
        <f>IF($C198-AI$1&lt;År1,0,AH197*(1-VLOOKUP($A198,[1]Hugst!$R$5:$W$9,MATCH(ROUNDUP((AI$1)/10,0)*10,[1]Hugst!$R$4:$W$4,0))))</f>
        <v>0</v>
      </c>
      <c r="AJ198" s="168">
        <f>IF($C198-AJ$1&lt;År1,0,AI197*(1-VLOOKUP($A198,[1]Hugst!$R$5:$W$9,MATCH(ROUNDUP((AJ$1)/10,0)*10,[1]Hugst!$R$4:$W$4,0))))</f>
        <v>0</v>
      </c>
    </row>
    <row r="199" spans="1:36" x14ac:dyDescent="0.25">
      <c r="A199" s="168" t="s">
        <v>179</v>
      </c>
      <c r="B199" s="168" t="s">
        <v>23</v>
      </c>
      <c r="C199" s="168">
        <v>2031</v>
      </c>
      <c r="D199" s="168" cm="1">
        <f t="array" ref="D199">(IF(B199="Vestdanmark",Skovbrug!$C$22-(Skovbrug!$C$22)*(1-Skovbrug!$C$9)^(C199-Skovbrug!$B$12),Skovbrug!$F$22-(Skovbrug!$F$22)*(1-Skovbrug!$C$9)^(C199-Skovbrug!$B$12))*VLOOKUP(A199,Skovbrug!$A$13:$D$17,IF('Skovbrug-alder'!C199&lt;=År2,3,4),FALSE)-IF(C199&gt;2020,SUM(INDEX($C$1:$D$311,MATCH(1,(2020=$C$1:$C$311)*(B199=$B$1:$B$311)*(A199=$A$1:$A$311),0),2):D198),0))</f>
        <v>0</v>
      </c>
      <c r="E199" s="168">
        <f t="shared" ca="1" si="4"/>
        <v>0</v>
      </c>
      <c r="F199" s="168">
        <f ca="1">IF(C199&lt;=År2,IF(B199="Vestdanmark",(Arealanvendelse!$M$27-Arealanvendelse!$J$27),(Arealanvendelse!$M$37-Arealanvendelse!$J$37))/(Arealanvendelse!$M$3-Arealanvendelse!$J$3),IF(B199="Vestdanmark",(Arealanvendelse!$P$27-Arealanvendelse!$M$27),(Arealanvendelse!$P$37-Arealanvendelse!$M$37))/(Arealanvendelse!$P$3-Arealanvendelse!$M$3))*VLOOKUP(A199,Skovbrug!$A$13:$D$17,IF('Skovbrug-alder'!C199&lt;=År2,3,4),FALSE)+D199+E199</f>
        <v>0</v>
      </c>
      <c r="G199" s="168">
        <f ca="1">IF($C199-G$1&lt;År1,0,F198*(1-VLOOKUP($A199,[1]Hugst!$R$5:$W$9,MATCH(ROUNDUP((G$1)/10,0)*10,[1]Hugst!$R$4:$W$4,0))))</f>
        <v>0</v>
      </c>
      <c r="H199" s="168">
        <f ca="1">IF($C199-H$1&lt;År1,0,G198*(1-VLOOKUP($A199,[1]Hugst!$R$5:$W$9,MATCH(ROUNDUP((H$1)/10,0)*10,[1]Hugst!$R$4:$W$4,0))))</f>
        <v>0</v>
      </c>
      <c r="I199" s="168">
        <f ca="1">IF($C199-I$1&lt;År1,0,H198*(1-VLOOKUP($A199,[1]Hugst!$R$5:$W$9,MATCH(ROUNDUP((I$1)/10,0)*10,[1]Hugst!$R$4:$W$4,0))))</f>
        <v>0</v>
      </c>
      <c r="J199" s="168">
        <f ca="1">IF($C199-J$1&lt;År1,0,I198*(1-VLOOKUP($A199,[1]Hugst!$R$5:$W$9,MATCH(ROUNDUP((J$1)/10,0)*10,[1]Hugst!$R$4:$W$4,0))))</f>
        <v>0</v>
      </c>
      <c r="K199" s="168">
        <f ca="1">IF($C199-K$1&lt;År1,0,J198*(1-VLOOKUP($A199,[1]Hugst!$R$5:$W$9,MATCH(ROUNDUP((K$1)/10,0)*10,[1]Hugst!$R$4:$W$4,0))))</f>
        <v>0</v>
      </c>
      <c r="L199" s="168">
        <f ca="1">IF($C199-L$1&lt;År1,0,K198*(1-VLOOKUP($A199,[1]Hugst!$R$5:$W$9,MATCH(ROUNDUP((L$1)/10,0)*10,[1]Hugst!$R$4:$W$4,0))))</f>
        <v>0</v>
      </c>
      <c r="M199" s="168">
        <f ca="1">IF($C199-M$1&lt;År1,0,L198*(1-VLOOKUP($A199,[1]Hugst!$R$5:$W$9,MATCH(ROUNDUP((M$1)/10,0)*10,[1]Hugst!$R$4:$W$4,0))))</f>
        <v>0</v>
      </c>
      <c r="N199" s="168">
        <f ca="1">IF($C199-N$1&lt;År1,0,M198*(1-VLOOKUP($A199,[1]Hugst!$R$5:$W$9,MATCH(ROUNDUP((N$1)/10,0)*10,[1]Hugst!$R$4:$W$4,0))))</f>
        <v>0</v>
      </c>
      <c r="O199" s="168">
        <f ca="1">IF($C199-O$1&lt;År1,0,N198*(1-VLOOKUP($A199,[1]Hugst!$R$5:$W$9,MATCH(ROUNDUP((O$1)/10,0)*10,[1]Hugst!$R$4:$W$4,0))))</f>
        <v>0</v>
      </c>
      <c r="P199" s="168">
        <f ca="1">IF($C199-P$1&lt;År1,0,O198*(1-VLOOKUP($A199,[1]Hugst!$R$5:$W$9,MATCH(ROUNDUP((P$1)/10,0)*10,[1]Hugst!$R$4:$W$4,0))))</f>
        <v>0</v>
      </c>
      <c r="Q199" s="168">
        <f ca="1">IF($C199-Q$1&lt;År1,0,P198*(1-VLOOKUP($A199,[1]Hugst!$R$5:$W$9,MATCH(ROUNDUP((Q$1)/10,0)*10,[1]Hugst!$R$4:$W$4,0))))</f>
        <v>0</v>
      </c>
      <c r="R199" s="168">
        <f>IF($C199-R$1&lt;År1,0,Q198*(1-VLOOKUP($A199,[1]Hugst!$R$5:$W$9,MATCH(ROUNDUP((R$1)/10,0)*10,[1]Hugst!$R$4:$W$4,0))))</f>
        <v>0</v>
      </c>
      <c r="S199" s="168">
        <f>IF($C199-S$1&lt;År1,0,R198*(1-VLOOKUP($A199,[1]Hugst!$R$5:$W$9,MATCH(ROUNDUP((S$1)/10,0)*10,[1]Hugst!$R$4:$W$4,0))))</f>
        <v>0</v>
      </c>
      <c r="T199" s="168">
        <f>IF($C199-T$1&lt;År1,0,S198*(1-VLOOKUP($A199,[1]Hugst!$R$5:$W$9,MATCH(ROUNDUP((T$1)/10,0)*10,[1]Hugst!$R$4:$W$4,0))))</f>
        <v>0</v>
      </c>
      <c r="U199" s="168">
        <f>IF($C199-U$1&lt;År1,0,T198*(1-VLOOKUP($A199,[1]Hugst!$R$5:$W$9,MATCH(ROUNDUP((U$1)/10,0)*10,[1]Hugst!$R$4:$W$4,0))))</f>
        <v>0</v>
      </c>
      <c r="V199" s="168">
        <f>IF($C199-V$1&lt;År1,0,U198*(1-VLOOKUP($A199,[1]Hugst!$R$5:$W$9,MATCH(ROUNDUP((V$1)/10,0)*10,[1]Hugst!$R$4:$W$4,0))))</f>
        <v>0</v>
      </c>
      <c r="W199" s="168">
        <f>IF($C199-W$1&lt;År1,0,V198*(1-VLOOKUP($A199,[1]Hugst!$R$5:$W$9,MATCH(ROUNDUP((W$1)/10,0)*10,[1]Hugst!$R$4:$W$4,0))))</f>
        <v>0</v>
      </c>
      <c r="X199" s="168">
        <f>IF($C199-X$1&lt;År1,0,W198*(1-VLOOKUP($A199,[1]Hugst!$R$5:$W$9,MATCH(ROUNDUP((X$1)/10,0)*10,[1]Hugst!$R$4:$W$4,0))))</f>
        <v>0</v>
      </c>
      <c r="Y199" s="168">
        <f>IF($C199-Y$1&lt;År1,0,X198*(1-VLOOKUP($A199,[1]Hugst!$R$5:$W$9,MATCH(ROUNDUP((Y$1)/10,0)*10,[1]Hugst!$R$4:$W$4,0))))</f>
        <v>0</v>
      </c>
      <c r="Z199" s="168">
        <f>IF($C199-Z$1&lt;År1,0,Y198*(1-VLOOKUP($A199,[1]Hugst!$R$5:$W$9,MATCH(ROUNDUP((Z$1)/10,0)*10,[1]Hugst!$R$4:$W$4,0))))</f>
        <v>0</v>
      </c>
      <c r="AA199" s="168">
        <f>IF($C199-AA$1&lt;År1,0,Z198*(1-VLOOKUP($A199,[1]Hugst!$R$5:$W$9,MATCH(ROUNDUP((AA$1)/10,0)*10,[1]Hugst!$R$4:$W$4,0))))</f>
        <v>0</v>
      </c>
      <c r="AB199" s="168">
        <f>IF($C199-AB$1&lt;År1,0,AA198*(1-VLOOKUP($A199,[1]Hugst!$R$5:$W$9,MATCH(ROUNDUP((AB$1)/10,0)*10,[1]Hugst!$R$4:$W$4,0))))</f>
        <v>0</v>
      </c>
      <c r="AC199" s="168">
        <f>IF($C199-AC$1&lt;År1,0,AB198*(1-VLOOKUP($A199,[1]Hugst!$R$5:$W$9,MATCH(ROUNDUP((AC$1)/10,0)*10,[1]Hugst!$R$4:$W$4,0))))</f>
        <v>0</v>
      </c>
      <c r="AD199" s="168">
        <f>IF($C199-AD$1&lt;År1,0,AC198*(1-VLOOKUP($A199,[1]Hugst!$R$5:$W$9,MATCH(ROUNDUP((AD$1)/10,0)*10,[1]Hugst!$R$4:$W$4,0))))</f>
        <v>0</v>
      </c>
      <c r="AE199" s="168">
        <f>IF($C199-AE$1&lt;År1,0,AD198*(1-VLOOKUP($A199,[1]Hugst!$R$5:$W$9,MATCH(ROUNDUP((AE$1)/10,0)*10,[1]Hugst!$R$4:$W$4,0))))</f>
        <v>0</v>
      </c>
      <c r="AF199" s="168">
        <f>IF($C199-AF$1&lt;År1,0,AE198*(1-VLOOKUP($A199,[1]Hugst!$R$5:$W$9,MATCH(ROUNDUP((AF$1)/10,0)*10,[1]Hugst!$R$4:$W$4,0))))</f>
        <v>0</v>
      </c>
      <c r="AG199" s="168">
        <f>IF($C199-AG$1&lt;År1,0,AF198*(1-VLOOKUP($A199,[1]Hugst!$R$5:$W$9,MATCH(ROUNDUP((AG$1)/10,0)*10,[1]Hugst!$R$4:$W$4,0))))</f>
        <v>0</v>
      </c>
      <c r="AH199" s="168">
        <f>IF($C199-AH$1&lt;År1,0,AG198*(1-VLOOKUP($A199,[1]Hugst!$R$5:$W$9,MATCH(ROUNDUP((AH$1)/10,0)*10,[1]Hugst!$R$4:$W$4,0))))</f>
        <v>0</v>
      </c>
      <c r="AI199" s="168">
        <f>IF($C199-AI$1&lt;År1,0,AH198*(1-VLOOKUP($A199,[1]Hugst!$R$5:$W$9,MATCH(ROUNDUP((AI$1)/10,0)*10,[1]Hugst!$R$4:$W$4,0))))</f>
        <v>0</v>
      </c>
      <c r="AJ199" s="168">
        <f>IF($C199-AJ$1&lt;År1,0,AI198*(1-VLOOKUP($A199,[1]Hugst!$R$5:$W$9,MATCH(ROUNDUP((AJ$1)/10,0)*10,[1]Hugst!$R$4:$W$4,0))))</f>
        <v>0</v>
      </c>
    </row>
    <row r="200" spans="1:36" x14ac:dyDescent="0.25">
      <c r="A200" s="168" t="s">
        <v>179</v>
      </c>
      <c r="B200" s="168" t="s">
        <v>23</v>
      </c>
      <c r="C200" s="168">
        <v>2032</v>
      </c>
      <c r="D200" s="168" cm="1">
        <f t="array" ref="D200">(IF(B200="Vestdanmark",Skovbrug!$C$22-(Skovbrug!$C$22)*(1-Skovbrug!$C$9)^(C200-Skovbrug!$B$12),Skovbrug!$F$22-(Skovbrug!$F$22)*(1-Skovbrug!$C$9)^(C200-Skovbrug!$B$12))*VLOOKUP(A200,Skovbrug!$A$13:$D$17,IF('Skovbrug-alder'!C200&lt;=År2,3,4),FALSE)-IF(C200&gt;2020,SUM(INDEX($C$1:$D$311,MATCH(1,(2020=$C$1:$C$311)*(B200=$B$1:$B$311)*(A200=$A$1:$A$311),0),2):D199),0))</f>
        <v>0</v>
      </c>
      <c r="E200" s="168">
        <f t="shared" ca="1" si="4"/>
        <v>0</v>
      </c>
      <c r="F200" s="168">
        <f ca="1">IF(C200&lt;=År2,IF(B200="Vestdanmark",(Arealanvendelse!$M$27-Arealanvendelse!$J$27),(Arealanvendelse!$M$37-Arealanvendelse!$J$37))/(Arealanvendelse!$M$3-Arealanvendelse!$J$3),IF(B200="Vestdanmark",(Arealanvendelse!$P$27-Arealanvendelse!$M$27),(Arealanvendelse!$P$37-Arealanvendelse!$M$37))/(Arealanvendelse!$P$3-Arealanvendelse!$M$3))*VLOOKUP(A200,Skovbrug!$A$13:$D$17,IF('Skovbrug-alder'!C200&lt;=År2,3,4),FALSE)+D200+E200</f>
        <v>0</v>
      </c>
      <c r="G200" s="168">
        <f ca="1">IF($C200-G$1&lt;År1,0,F199*(1-VLOOKUP($A200,[1]Hugst!$R$5:$W$9,MATCH(ROUNDUP((G$1)/10,0)*10,[1]Hugst!$R$4:$W$4,0))))</f>
        <v>0</v>
      </c>
      <c r="H200" s="168">
        <f ca="1">IF($C200-H$1&lt;År1,0,G199*(1-VLOOKUP($A200,[1]Hugst!$R$5:$W$9,MATCH(ROUNDUP((H$1)/10,0)*10,[1]Hugst!$R$4:$W$4,0))))</f>
        <v>0</v>
      </c>
      <c r="I200" s="168">
        <f ca="1">IF($C200-I$1&lt;År1,0,H199*(1-VLOOKUP($A200,[1]Hugst!$R$5:$W$9,MATCH(ROUNDUP((I$1)/10,0)*10,[1]Hugst!$R$4:$W$4,0))))</f>
        <v>0</v>
      </c>
      <c r="J200" s="168">
        <f ca="1">IF($C200-J$1&lt;År1,0,I199*(1-VLOOKUP($A200,[1]Hugst!$R$5:$W$9,MATCH(ROUNDUP((J$1)/10,0)*10,[1]Hugst!$R$4:$W$4,0))))</f>
        <v>0</v>
      </c>
      <c r="K200" s="168">
        <f ca="1">IF($C200-K$1&lt;År1,0,J199*(1-VLOOKUP($A200,[1]Hugst!$R$5:$W$9,MATCH(ROUNDUP((K$1)/10,0)*10,[1]Hugst!$R$4:$W$4,0))))</f>
        <v>0</v>
      </c>
      <c r="L200" s="168">
        <f ca="1">IF($C200-L$1&lt;År1,0,K199*(1-VLOOKUP($A200,[1]Hugst!$R$5:$W$9,MATCH(ROUNDUP((L$1)/10,0)*10,[1]Hugst!$R$4:$W$4,0))))</f>
        <v>0</v>
      </c>
      <c r="M200" s="168">
        <f ca="1">IF($C200-M$1&lt;År1,0,L199*(1-VLOOKUP($A200,[1]Hugst!$R$5:$W$9,MATCH(ROUNDUP((M$1)/10,0)*10,[1]Hugst!$R$4:$W$4,0))))</f>
        <v>0</v>
      </c>
      <c r="N200" s="168">
        <f ca="1">IF($C200-N$1&lt;År1,0,M199*(1-VLOOKUP($A200,[1]Hugst!$R$5:$W$9,MATCH(ROUNDUP((N$1)/10,0)*10,[1]Hugst!$R$4:$W$4,0))))</f>
        <v>0</v>
      </c>
      <c r="O200" s="168">
        <f ca="1">IF($C200-O$1&lt;År1,0,N199*(1-VLOOKUP($A200,[1]Hugst!$R$5:$W$9,MATCH(ROUNDUP((O$1)/10,0)*10,[1]Hugst!$R$4:$W$4,0))))</f>
        <v>0</v>
      </c>
      <c r="P200" s="168">
        <f ca="1">IF($C200-P$1&lt;År1,0,O199*(1-VLOOKUP($A200,[1]Hugst!$R$5:$W$9,MATCH(ROUNDUP((P$1)/10,0)*10,[1]Hugst!$R$4:$W$4,0))))</f>
        <v>0</v>
      </c>
      <c r="Q200" s="168">
        <f ca="1">IF($C200-Q$1&lt;År1,0,P199*(1-VLOOKUP($A200,[1]Hugst!$R$5:$W$9,MATCH(ROUNDUP((Q$1)/10,0)*10,[1]Hugst!$R$4:$W$4,0))))</f>
        <v>0</v>
      </c>
      <c r="R200" s="168">
        <f ca="1">IF($C200-R$1&lt;År1,0,Q199*(1-VLOOKUP($A200,[1]Hugst!$R$5:$W$9,MATCH(ROUNDUP((R$1)/10,0)*10,[1]Hugst!$R$4:$W$4,0))))</f>
        <v>0</v>
      </c>
      <c r="S200" s="168">
        <f>IF($C200-S$1&lt;År1,0,R199*(1-VLOOKUP($A200,[1]Hugst!$R$5:$W$9,MATCH(ROUNDUP((S$1)/10,0)*10,[1]Hugst!$R$4:$W$4,0))))</f>
        <v>0</v>
      </c>
      <c r="T200" s="168">
        <f>IF($C200-T$1&lt;År1,0,S199*(1-VLOOKUP($A200,[1]Hugst!$R$5:$W$9,MATCH(ROUNDUP((T$1)/10,0)*10,[1]Hugst!$R$4:$W$4,0))))</f>
        <v>0</v>
      </c>
      <c r="U200" s="168">
        <f>IF($C200-U$1&lt;År1,0,T199*(1-VLOOKUP($A200,[1]Hugst!$R$5:$W$9,MATCH(ROUNDUP((U$1)/10,0)*10,[1]Hugst!$R$4:$W$4,0))))</f>
        <v>0</v>
      </c>
      <c r="V200" s="168">
        <f>IF($C200-V$1&lt;År1,0,U199*(1-VLOOKUP($A200,[1]Hugst!$R$5:$W$9,MATCH(ROUNDUP((V$1)/10,0)*10,[1]Hugst!$R$4:$W$4,0))))</f>
        <v>0</v>
      </c>
      <c r="W200" s="168">
        <f>IF($C200-W$1&lt;År1,0,V199*(1-VLOOKUP($A200,[1]Hugst!$R$5:$W$9,MATCH(ROUNDUP((W$1)/10,0)*10,[1]Hugst!$R$4:$W$4,0))))</f>
        <v>0</v>
      </c>
      <c r="X200" s="168">
        <f>IF($C200-X$1&lt;År1,0,W199*(1-VLOOKUP($A200,[1]Hugst!$R$5:$W$9,MATCH(ROUNDUP((X$1)/10,0)*10,[1]Hugst!$R$4:$W$4,0))))</f>
        <v>0</v>
      </c>
      <c r="Y200" s="168">
        <f>IF($C200-Y$1&lt;År1,0,X199*(1-VLOOKUP($A200,[1]Hugst!$R$5:$W$9,MATCH(ROUNDUP((Y$1)/10,0)*10,[1]Hugst!$R$4:$W$4,0))))</f>
        <v>0</v>
      </c>
      <c r="Z200" s="168">
        <f>IF($C200-Z$1&lt;År1,0,Y199*(1-VLOOKUP($A200,[1]Hugst!$R$5:$W$9,MATCH(ROUNDUP((Z$1)/10,0)*10,[1]Hugst!$R$4:$W$4,0))))</f>
        <v>0</v>
      </c>
      <c r="AA200" s="168">
        <f>IF($C200-AA$1&lt;År1,0,Z199*(1-VLOOKUP($A200,[1]Hugst!$R$5:$W$9,MATCH(ROUNDUP((AA$1)/10,0)*10,[1]Hugst!$R$4:$W$4,0))))</f>
        <v>0</v>
      </c>
      <c r="AB200" s="168">
        <f>IF($C200-AB$1&lt;År1,0,AA199*(1-VLOOKUP($A200,[1]Hugst!$R$5:$W$9,MATCH(ROUNDUP((AB$1)/10,0)*10,[1]Hugst!$R$4:$W$4,0))))</f>
        <v>0</v>
      </c>
      <c r="AC200" s="168">
        <f>IF($C200-AC$1&lt;År1,0,AB199*(1-VLOOKUP($A200,[1]Hugst!$R$5:$W$9,MATCH(ROUNDUP((AC$1)/10,0)*10,[1]Hugst!$R$4:$W$4,0))))</f>
        <v>0</v>
      </c>
      <c r="AD200" s="168">
        <f>IF($C200-AD$1&lt;År1,0,AC199*(1-VLOOKUP($A200,[1]Hugst!$R$5:$W$9,MATCH(ROUNDUP((AD$1)/10,0)*10,[1]Hugst!$R$4:$W$4,0))))</f>
        <v>0</v>
      </c>
      <c r="AE200" s="168">
        <f>IF($C200-AE$1&lt;År1,0,AD199*(1-VLOOKUP($A200,[1]Hugst!$R$5:$W$9,MATCH(ROUNDUP((AE$1)/10,0)*10,[1]Hugst!$R$4:$W$4,0))))</f>
        <v>0</v>
      </c>
      <c r="AF200" s="168">
        <f>IF($C200-AF$1&lt;År1,0,AE199*(1-VLOOKUP($A200,[1]Hugst!$R$5:$W$9,MATCH(ROUNDUP((AF$1)/10,0)*10,[1]Hugst!$R$4:$W$4,0))))</f>
        <v>0</v>
      </c>
      <c r="AG200" s="168">
        <f>IF($C200-AG$1&lt;År1,0,AF199*(1-VLOOKUP($A200,[1]Hugst!$R$5:$W$9,MATCH(ROUNDUP((AG$1)/10,0)*10,[1]Hugst!$R$4:$W$4,0))))</f>
        <v>0</v>
      </c>
      <c r="AH200" s="168">
        <f>IF($C200-AH$1&lt;År1,0,AG199*(1-VLOOKUP($A200,[1]Hugst!$R$5:$W$9,MATCH(ROUNDUP((AH$1)/10,0)*10,[1]Hugst!$R$4:$W$4,0))))</f>
        <v>0</v>
      </c>
      <c r="AI200" s="168">
        <f>IF($C200-AI$1&lt;År1,0,AH199*(1-VLOOKUP($A200,[1]Hugst!$R$5:$W$9,MATCH(ROUNDUP((AI$1)/10,0)*10,[1]Hugst!$R$4:$W$4,0))))</f>
        <v>0</v>
      </c>
      <c r="AJ200" s="168">
        <f>IF($C200-AJ$1&lt;År1,0,AI199*(1-VLOOKUP($A200,[1]Hugst!$R$5:$W$9,MATCH(ROUNDUP((AJ$1)/10,0)*10,[1]Hugst!$R$4:$W$4,0))))</f>
        <v>0</v>
      </c>
    </row>
    <row r="201" spans="1:36" x14ac:dyDescent="0.25">
      <c r="A201" s="168" t="s">
        <v>179</v>
      </c>
      <c r="B201" s="168" t="s">
        <v>23</v>
      </c>
      <c r="C201" s="168">
        <v>2033</v>
      </c>
      <c r="D201" s="168" cm="1">
        <f t="array" ref="D201">(IF(B201="Vestdanmark",Skovbrug!$C$22-(Skovbrug!$C$22)*(1-Skovbrug!$C$9)^(C201-Skovbrug!$B$12),Skovbrug!$F$22-(Skovbrug!$F$22)*(1-Skovbrug!$C$9)^(C201-Skovbrug!$B$12))*VLOOKUP(A201,Skovbrug!$A$13:$D$17,IF('Skovbrug-alder'!C201&lt;=År2,3,4),FALSE)-IF(C201&gt;2020,SUM(INDEX($C$1:$D$311,MATCH(1,(2020=$C$1:$C$311)*(B201=$B$1:$B$311)*(A201=$A$1:$A$311),0),2):D200),0))</f>
        <v>0</v>
      </c>
      <c r="E201" s="168">
        <f t="shared" ca="1" si="4"/>
        <v>0</v>
      </c>
      <c r="F201" s="168">
        <f ca="1">IF(C201&lt;=År2,IF(B201="Vestdanmark",(Arealanvendelse!$M$27-Arealanvendelse!$J$27),(Arealanvendelse!$M$37-Arealanvendelse!$J$37))/(Arealanvendelse!$M$3-Arealanvendelse!$J$3),IF(B201="Vestdanmark",(Arealanvendelse!$P$27-Arealanvendelse!$M$27),(Arealanvendelse!$P$37-Arealanvendelse!$M$37))/(Arealanvendelse!$P$3-Arealanvendelse!$M$3))*VLOOKUP(A201,Skovbrug!$A$13:$D$17,IF('Skovbrug-alder'!C201&lt;=År2,3,4),FALSE)+D201+E201</f>
        <v>0</v>
      </c>
      <c r="G201" s="168">
        <f ca="1">IF($C201-G$1&lt;År1,0,F200*(1-VLOOKUP($A201,[1]Hugst!$R$5:$W$9,MATCH(ROUNDUP((G$1)/10,0)*10,[1]Hugst!$R$4:$W$4,0))))</f>
        <v>0</v>
      </c>
      <c r="H201" s="168">
        <f ca="1">IF($C201-H$1&lt;År1,0,G200*(1-VLOOKUP($A201,[1]Hugst!$R$5:$W$9,MATCH(ROUNDUP((H$1)/10,0)*10,[1]Hugst!$R$4:$W$4,0))))</f>
        <v>0</v>
      </c>
      <c r="I201" s="168">
        <f ca="1">IF($C201-I$1&lt;År1,0,H200*(1-VLOOKUP($A201,[1]Hugst!$R$5:$W$9,MATCH(ROUNDUP((I$1)/10,0)*10,[1]Hugst!$R$4:$W$4,0))))</f>
        <v>0</v>
      </c>
      <c r="J201" s="168">
        <f ca="1">IF($C201-J$1&lt;År1,0,I200*(1-VLOOKUP($A201,[1]Hugst!$R$5:$W$9,MATCH(ROUNDUP((J$1)/10,0)*10,[1]Hugst!$R$4:$W$4,0))))</f>
        <v>0</v>
      </c>
      <c r="K201" s="168">
        <f ca="1">IF($C201-K$1&lt;År1,0,J200*(1-VLOOKUP($A201,[1]Hugst!$R$5:$W$9,MATCH(ROUNDUP((K$1)/10,0)*10,[1]Hugst!$R$4:$W$4,0))))</f>
        <v>0</v>
      </c>
      <c r="L201" s="168">
        <f ca="1">IF($C201-L$1&lt;År1,0,K200*(1-VLOOKUP($A201,[1]Hugst!$R$5:$W$9,MATCH(ROUNDUP((L$1)/10,0)*10,[1]Hugst!$R$4:$W$4,0))))</f>
        <v>0</v>
      </c>
      <c r="M201" s="168">
        <f ca="1">IF($C201-M$1&lt;År1,0,L200*(1-VLOOKUP($A201,[1]Hugst!$R$5:$W$9,MATCH(ROUNDUP((M$1)/10,0)*10,[1]Hugst!$R$4:$W$4,0))))</f>
        <v>0</v>
      </c>
      <c r="N201" s="168">
        <f ca="1">IF($C201-N$1&lt;År1,0,M200*(1-VLOOKUP($A201,[1]Hugst!$R$5:$W$9,MATCH(ROUNDUP((N$1)/10,0)*10,[1]Hugst!$R$4:$W$4,0))))</f>
        <v>0</v>
      </c>
      <c r="O201" s="168">
        <f ca="1">IF($C201-O$1&lt;År1,0,N200*(1-VLOOKUP($A201,[1]Hugst!$R$5:$W$9,MATCH(ROUNDUP((O$1)/10,0)*10,[1]Hugst!$R$4:$W$4,0))))</f>
        <v>0</v>
      </c>
      <c r="P201" s="168">
        <f ca="1">IF($C201-P$1&lt;År1,0,O200*(1-VLOOKUP($A201,[1]Hugst!$R$5:$W$9,MATCH(ROUNDUP((P$1)/10,0)*10,[1]Hugst!$R$4:$W$4,0))))</f>
        <v>0</v>
      </c>
      <c r="Q201" s="168">
        <f ca="1">IF($C201-Q$1&lt;År1,0,P200*(1-VLOOKUP($A201,[1]Hugst!$R$5:$W$9,MATCH(ROUNDUP((Q$1)/10,0)*10,[1]Hugst!$R$4:$W$4,0))))</f>
        <v>0</v>
      </c>
      <c r="R201" s="168">
        <f ca="1">IF($C201-R$1&lt;År1,0,Q200*(1-VLOOKUP($A201,[1]Hugst!$R$5:$W$9,MATCH(ROUNDUP((R$1)/10,0)*10,[1]Hugst!$R$4:$W$4,0))))</f>
        <v>0</v>
      </c>
      <c r="S201" s="168">
        <f ca="1">IF($C201-S$1&lt;År1,0,R200*(1-VLOOKUP($A201,[1]Hugst!$R$5:$W$9,MATCH(ROUNDUP((S$1)/10,0)*10,[1]Hugst!$R$4:$W$4,0))))</f>
        <v>0</v>
      </c>
      <c r="T201" s="168">
        <f>IF($C201-T$1&lt;År1,0,S200*(1-VLOOKUP($A201,[1]Hugst!$R$5:$W$9,MATCH(ROUNDUP((T$1)/10,0)*10,[1]Hugst!$R$4:$W$4,0))))</f>
        <v>0</v>
      </c>
      <c r="U201" s="168">
        <f>IF($C201-U$1&lt;År1,0,T200*(1-VLOOKUP($A201,[1]Hugst!$R$5:$W$9,MATCH(ROUNDUP((U$1)/10,0)*10,[1]Hugst!$R$4:$W$4,0))))</f>
        <v>0</v>
      </c>
      <c r="V201" s="168">
        <f>IF($C201-V$1&lt;År1,0,U200*(1-VLOOKUP($A201,[1]Hugst!$R$5:$W$9,MATCH(ROUNDUP((V$1)/10,0)*10,[1]Hugst!$R$4:$W$4,0))))</f>
        <v>0</v>
      </c>
      <c r="W201" s="168">
        <f>IF($C201-W$1&lt;År1,0,V200*(1-VLOOKUP($A201,[1]Hugst!$R$5:$W$9,MATCH(ROUNDUP((W$1)/10,0)*10,[1]Hugst!$R$4:$W$4,0))))</f>
        <v>0</v>
      </c>
      <c r="X201" s="168">
        <f>IF($C201-X$1&lt;År1,0,W200*(1-VLOOKUP($A201,[1]Hugst!$R$5:$W$9,MATCH(ROUNDUP((X$1)/10,0)*10,[1]Hugst!$R$4:$W$4,0))))</f>
        <v>0</v>
      </c>
      <c r="Y201" s="168">
        <f>IF($C201-Y$1&lt;År1,0,X200*(1-VLOOKUP($A201,[1]Hugst!$R$5:$W$9,MATCH(ROUNDUP((Y$1)/10,0)*10,[1]Hugst!$R$4:$W$4,0))))</f>
        <v>0</v>
      </c>
      <c r="Z201" s="168">
        <f>IF($C201-Z$1&lt;År1,0,Y200*(1-VLOOKUP($A201,[1]Hugst!$R$5:$W$9,MATCH(ROUNDUP((Z$1)/10,0)*10,[1]Hugst!$R$4:$W$4,0))))</f>
        <v>0</v>
      </c>
      <c r="AA201" s="168">
        <f>IF($C201-AA$1&lt;År1,0,Z200*(1-VLOOKUP($A201,[1]Hugst!$R$5:$W$9,MATCH(ROUNDUP((AA$1)/10,0)*10,[1]Hugst!$R$4:$W$4,0))))</f>
        <v>0</v>
      </c>
      <c r="AB201" s="168">
        <f>IF($C201-AB$1&lt;År1,0,AA200*(1-VLOOKUP($A201,[1]Hugst!$R$5:$W$9,MATCH(ROUNDUP((AB$1)/10,0)*10,[1]Hugst!$R$4:$W$4,0))))</f>
        <v>0</v>
      </c>
      <c r="AC201" s="168">
        <f>IF($C201-AC$1&lt;År1,0,AB200*(1-VLOOKUP($A201,[1]Hugst!$R$5:$W$9,MATCH(ROUNDUP((AC$1)/10,0)*10,[1]Hugst!$R$4:$W$4,0))))</f>
        <v>0</v>
      </c>
      <c r="AD201" s="168">
        <f>IF($C201-AD$1&lt;År1,0,AC200*(1-VLOOKUP($A201,[1]Hugst!$R$5:$W$9,MATCH(ROUNDUP((AD$1)/10,0)*10,[1]Hugst!$R$4:$W$4,0))))</f>
        <v>0</v>
      </c>
      <c r="AE201" s="168">
        <f>IF($C201-AE$1&lt;År1,0,AD200*(1-VLOOKUP($A201,[1]Hugst!$R$5:$W$9,MATCH(ROUNDUP((AE$1)/10,0)*10,[1]Hugst!$R$4:$W$4,0))))</f>
        <v>0</v>
      </c>
      <c r="AF201" s="168">
        <f>IF($C201-AF$1&lt;År1,0,AE200*(1-VLOOKUP($A201,[1]Hugst!$R$5:$W$9,MATCH(ROUNDUP((AF$1)/10,0)*10,[1]Hugst!$R$4:$W$4,0))))</f>
        <v>0</v>
      </c>
      <c r="AG201" s="168">
        <f>IF($C201-AG$1&lt;År1,0,AF200*(1-VLOOKUP($A201,[1]Hugst!$R$5:$W$9,MATCH(ROUNDUP((AG$1)/10,0)*10,[1]Hugst!$R$4:$W$4,0))))</f>
        <v>0</v>
      </c>
      <c r="AH201" s="168">
        <f>IF($C201-AH$1&lt;År1,0,AG200*(1-VLOOKUP($A201,[1]Hugst!$R$5:$W$9,MATCH(ROUNDUP((AH$1)/10,0)*10,[1]Hugst!$R$4:$W$4,0))))</f>
        <v>0</v>
      </c>
      <c r="AI201" s="168">
        <f>IF($C201-AI$1&lt;År1,0,AH200*(1-VLOOKUP($A201,[1]Hugst!$R$5:$W$9,MATCH(ROUNDUP((AI$1)/10,0)*10,[1]Hugst!$R$4:$W$4,0))))</f>
        <v>0</v>
      </c>
      <c r="AJ201" s="168">
        <f>IF($C201-AJ$1&lt;År1,0,AI200*(1-VLOOKUP($A201,[1]Hugst!$R$5:$W$9,MATCH(ROUNDUP((AJ$1)/10,0)*10,[1]Hugst!$R$4:$W$4,0))))</f>
        <v>0</v>
      </c>
    </row>
    <row r="202" spans="1:36" x14ac:dyDescent="0.25">
      <c r="A202" s="168" t="s">
        <v>179</v>
      </c>
      <c r="B202" s="168" t="s">
        <v>23</v>
      </c>
      <c r="C202" s="168">
        <v>2034</v>
      </c>
      <c r="D202" s="168" cm="1">
        <f t="array" ref="D202">(IF(B202="Vestdanmark",Skovbrug!$C$22-(Skovbrug!$C$22)*(1-Skovbrug!$C$9)^(C202-Skovbrug!$B$12),Skovbrug!$F$22-(Skovbrug!$F$22)*(1-Skovbrug!$C$9)^(C202-Skovbrug!$B$12))*VLOOKUP(A202,Skovbrug!$A$13:$D$17,IF('Skovbrug-alder'!C202&lt;=År2,3,4),FALSE)-IF(C202&gt;2020,SUM(INDEX($C$1:$D$311,MATCH(1,(2020=$C$1:$C$311)*(B202=$B$1:$B$311)*(A202=$A$1:$A$311),0),2):D201),0))</f>
        <v>0</v>
      </c>
      <c r="E202" s="168">
        <f t="shared" ca="1" si="4"/>
        <v>0</v>
      </c>
      <c r="F202" s="168">
        <f ca="1">IF(C202&lt;=År2,IF(B202="Vestdanmark",(Arealanvendelse!$M$27-Arealanvendelse!$J$27),(Arealanvendelse!$M$37-Arealanvendelse!$J$37))/(Arealanvendelse!$M$3-Arealanvendelse!$J$3),IF(B202="Vestdanmark",(Arealanvendelse!$P$27-Arealanvendelse!$M$27),(Arealanvendelse!$P$37-Arealanvendelse!$M$37))/(Arealanvendelse!$P$3-Arealanvendelse!$M$3))*VLOOKUP(A202,Skovbrug!$A$13:$D$17,IF('Skovbrug-alder'!C202&lt;=År2,3,4),FALSE)+D202+E202</f>
        <v>0</v>
      </c>
      <c r="G202" s="168">
        <f ca="1">IF($C202-G$1&lt;År1,0,F201*(1-VLOOKUP($A202,[1]Hugst!$R$5:$W$9,MATCH(ROUNDUP((G$1)/10,0)*10,[1]Hugst!$R$4:$W$4,0))))</f>
        <v>0</v>
      </c>
      <c r="H202" s="168">
        <f ca="1">IF($C202-H$1&lt;År1,0,G201*(1-VLOOKUP($A202,[1]Hugst!$R$5:$W$9,MATCH(ROUNDUP((H$1)/10,0)*10,[1]Hugst!$R$4:$W$4,0))))</f>
        <v>0</v>
      </c>
      <c r="I202" s="168">
        <f ca="1">IF($C202-I$1&lt;År1,0,H201*(1-VLOOKUP($A202,[1]Hugst!$R$5:$W$9,MATCH(ROUNDUP((I$1)/10,0)*10,[1]Hugst!$R$4:$W$4,0))))</f>
        <v>0</v>
      </c>
      <c r="J202" s="168">
        <f ca="1">IF($C202-J$1&lt;År1,0,I201*(1-VLOOKUP($A202,[1]Hugst!$R$5:$W$9,MATCH(ROUNDUP((J$1)/10,0)*10,[1]Hugst!$R$4:$W$4,0))))</f>
        <v>0</v>
      </c>
      <c r="K202" s="168">
        <f ca="1">IF($C202-K$1&lt;År1,0,J201*(1-VLOOKUP($A202,[1]Hugst!$R$5:$W$9,MATCH(ROUNDUP((K$1)/10,0)*10,[1]Hugst!$R$4:$W$4,0))))</f>
        <v>0</v>
      </c>
      <c r="L202" s="168">
        <f ca="1">IF($C202-L$1&lt;År1,0,K201*(1-VLOOKUP($A202,[1]Hugst!$R$5:$W$9,MATCH(ROUNDUP((L$1)/10,0)*10,[1]Hugst!$R$4:$W$4,0))))</f>
        <v>0</v>
      </c>
      <c r="M202" s="168">
        <f ca="1">IF($C202-M$1&lt;År1,0,L201*(1-VLOOKUP($A202,[1]Hugst!$R$5:$W$9,MATCH(ROUNDUP((M$1)/10,0)*10,[1]Hugst!$R$4:$W$4,0))))</f>
        <v>0</v>
      </c>
      <c r="N202" s="168">
        <f ca="1">IF($C202-N$1&lt;År1,0,M201*(1-VLOOKUP($A202,[1]Hugst!$R$5:$W$9,MATCH(ROUNDUP((N$1)/10,0)*10,[1]Hugst!$R$4:$W$4,0))))</f>
        <v>0</v>
      </c>
      <c r="O202" s="168">
        <f ca="1">IF($C202-O$1&lt;År1,0,N201*(1-VLOOKUP($A202,[1]Hugst!$R$5:$W$9,MATCH(ROUNDUP((O$1)/10,0)*10,[1]Hugst!$R$4:$W$4,0))))</f>
        <v>0</v>
      </c>
      <c r="P202" s="168">
        <f ca="1">IF($C202-P$1&lt;År1,0,O201*(1-VLOOKUP($A202,[1]Hugst!$R$5:$W$9,MATCH(ROUNDUP((P$1)/10,0)*10,[1]Hugst!$R$4:$W$4,0))))</f>
        <v>0</v>
      </c>
      <c r="Q202" s="168">
        <f ca="1">IF($C202-Q$1&lt;År1,0,P201*(1-VLOOKUP($A202,[1]Hugst!$R$5:$W$9,MATCH(ROUNDUP((Q$1)/10,0)*10,[1]Hugst!$R$4:$W$4,0))))</f>
        <v>0</v>
      </c>
      <c r="R202" s="168">
        <f ca="1">IF($C202-R$1&lt;År1,0,Q201*(1-VLOOKUP($A202,[1]Hugst!$R$5:$W$9,MATCH(ROUNDUP((R$1)/10,0)*10,[1]Hugst!$R$4:$W$4,0))))</f>
        <v>0</v>
      </c>
      <c r="S202" s="168">
        <f ca="1">IF($C202-S$1&lt;År1,0,R201*(1-VLOOKUP($A202,[1]Hugst!$R$5:$W$9,MATCH(ROUNDUP((S$1)/10,0)*10,[1]Hugst!$R$4:$W$4,0))))</f>
        <v>0</v>
      </c>
      <c r="T202" s="168">
        <f ca="1">IF($C202-T$1&lt;År1,0,S201*(1-VLOOKUP($A202,[1]Hugst!$R$5:$W$9,MATCH(ROUNDUP((T$1)/10,0)*10,[1]Hugst!$R$4:$W$4,0))))</f>
        <v>0</v>
      </c>
      <c r="U202" s="168">
        <f>IF($C202-U$1&lt;År1,0,T201*(1-VLOOKUP($A202,[1]Hugst!$R$5:$W$9,MATCH(ROUNDUP((U$1)/10,0)*10,[1]Hugst!$R$4:$W$4,0))))</f>
        <v>0</v>
      </c>
      <c r="V202" s="168">
        <f>IF($C202-V$1&lt;År1,0,U201*(1-VLOOKUP($A202,[1]Hugst!$R$5:$W$9,MATCH(ROUNDUP((V$1)/10,0)*10,[1]Hugst!$R$4:$W$4,0))))</f>
        <v>0</v>
      </c>
      <c r="W202" s="168">
        <f>IF($C202-W$1&lt;År1,0,V201*(1-VLOOKUP($A202,[1]Hugst!$R$5:$W$9,MATCH(ROUNDUP((W$1)/10,0)*10,[1]Hugst!$R$4:$W$4,0))))</f>
        <v>0</v>
      </c>
      <c r="X202" s="168">
        <f>IF($C202-X$1&lt;År1,0,W201*(1-VLOOKUP($A202,[1]Hugst!$R$5:$W$9,MATCH(ROUNDUP((X$1)/10,0)*10,[1]Hugst!$R$4:$W$4,0))))</f>
        <v>0</v>
      </c>
      <c r="Y202" s="168">
        <f>IF($C202-Y$1&lt;År1,0,X201*(1-VLOOKUP($A202,[1]Hugst!$R$5:$W$9,MATCH(ROUNDUP((Y$1)/10,0)*10,[1]Hugst!$R$4:$W$4,0))))</f>
        <v>0</v>
      </c>
      <c r="Z202" s="168">
        <f>IF($C202-Z$1&lt;År1,0,Y201*(1-VLOOKUP($A202,[1]Hugst!$R$5:$W$9,MATCH(ROUNDUP((Z$1)/10,0)*10,[1]Hugst!$R$4:$W$4,0))))</f>
        <v>0</v>
      </c>
      <c r="AA202" s="168">
        <f>IF($C202-AA$1&lt;År1,0,Z201*(1-VLOOKUP($A202,[1]Hugst!$R$5:$W$9,MATCH(ROUNDUP((AA$1)/10,0)*10,[1]Hugst!$R$4:$W$4,0))))</f>
        <v>0</v>
      </c>
      <c r="AB202" s="168">
        <f>IF($C202-AB$1&lt;År1,0,AA201*(1-VLOOKUP($A202,[1]Hugst!$R$5:$W$9,MATCH(ROUNDUP((AB$1)/10,0)*10,[1]Hugst!$R$4:$W$4,0))))</f>
        <v>0</v>
      </c>
      <c r="AC202" s="168">
        <f>IF($C202-AC$1&lt;År1,0,AB201*(1-VLOOKUP($A202,[1]Hugst!$R$5:$W$9,MATCH(ROUNDUP((AC$1)/10,0)*10,[1]Hugst!$R$4:$W$4,0))))</f>
        <v>0</v>
      </c>
      <c r="AD202" s="168">
        <f>IF($C202-AD$1&lt;År1,0,AC201*(1-VLOOKUP($A202,[1]Hugst!$R$5:$W$9,MATCH(ROUNDUP((AD$1)/10,0)*10,[1]Hugst!$R$4:$W$4,0))))</f>
        <v>0</v>
      </c>
      <c r="AE202" s="168">
        <f>IF($C202-AE$1&lt;År1,0,AD201*(1-VLOOKUP($A202,[1]Hugst!$R$5:$W$9,MATCH(ROUNDUP((AE$1)/10,0)*10,[1]Hugst!$R$4:$W$4,0))))</f>
        <v>0</v>
      </c>
      <c r="AF202" s="168">
        <f>IF($C202-AF$1&lt;År1,0,AE201*(1-VLOOKUP($A202,[1]Hugst!$R$5:$W$9,MATCH(ROUNDUP((AF$1)/10,0)*10,[1]Hugst!$R$4:$W$4,0))))</f>
        <v>0</v>
      </c>
      <c r="AG202" s="168">
        <f>IF($C202-AG$1&lt;År1,0,AF201*(1-VLOOKUP($A202,[1]Hugst!$R$5:$W$9,MATCH(ROUNDUP((AG$1)/10,0)*10,[1]Hugst!$R$4:$W$4,0))))</f>
        <v>0</v>
      </c>
      <c r="AH202" s="168">
        <f>IF($C202-AH$1&lt;År1,0,AG201*(1-VLOOKUP($A202,[1]Hugst!$R$5:$W$9,MATCH(ROUNDUP((AH$1)/10,0)*10,[1]Hugst!$R$4:$W$4,0))))</f>
        <v>0</v>
      </c>
      <c r="AI202" s="168">
        <f>IF($C202-AI$1&lt;År1,0,AH201*(1-VLOOKUP($A202,[1]Hugst!$R$5:$W$9,MATCH(ROUNDUP((AI$1)/10,0)*10,[1]Hugst!$R$4:$W$4,0))))</f>
        <v>0</v>
      </c>
      <c r="AJ202" s="168">
        <f>IF($C202-AJ$1&lt;År1,0,AI201*(1-VLOOKUP($A202,[1]Hugst!$R$5:$W$9,MATCH(ROUNDUP((AJ$1)/10,0)*10,[1]Hugst!$R$4:$W$4,0))))</f>
        <v>0</v>
      </c>
    </row>
    <row r="203" spans="1:36" x14ac:dyDescent="0.25">
      <c r="A203" s="168" t="s">
        <v>179</v>
      </c>
      <c r="B203" s="168" t="s">
        <v>23</v>
      </c>
      <c r="C203" s="168">
        <v>2035</v>
      </c>
      <c r="D203" s="168" cm="1">
        <f t="array" ref="D203">(IF(B203="Vestdanmark",Skovbrug!$C$22-(Skovbrug!$C$22)*(1-Skovbrug!$C$9)^(C203-Skovbrug!$B$12),Skovbrug!$F$22-(Skovbrug!$F$22)*(1-Skovbrug!$C$9)^(C203-Skovbrug!$B$12))*VLOOKUP(A203,Skovbrug!$A$13:$D$17,IF('Skovbrug-alder'!C203&lt;=År2,3,4),FALSE)-IF(C203&gt;2020,SUM(INDEX($C$1:$D$311,MATCH(1,(2020=$C$1:$C$311)*(B203=$B$1:$B$311)*(A203=$A$1:$A$311),0),2):D202),0))</f>
        <v>0</v>
      </c>
      <c r="E203" s="168">
        <f t="shared" ca="1" si="4"/>
        <v>0</v>
      </c>
      <c r="F203" s="168">
        <f ca="1">IF(C203&lt;=År2,IF(B203="Vestdanmark",(Arealanvendelse!$M$27-Arealanvendelse!$J$27),(Arealanvendelse!$M$37-Arealanvendelse!$J$37))/(Arealanvendelse!$M$3-Arealanvendelse!$J$3),IF(B203="Vestdanmark",(Arealanvendelse!$P$27-Arealanvendelse!$M$27),(Arealanvendelse!$P$37-Arealanvendelse!$M$37))/(Arealanvendelse!$P$3-Arealanvendelse!$M$3))*VLOOKUP(A203,Skovbrug!$A$13:$D$17,IF('Skovbrug-alder'!C203&lt;=År2,3,4),FALSE)+D203+E203</f>
        <v>0</v>
      </c>
      <c r="G203" s="168">
        <f ca="1">IF($C203-G$1&lt;År1,0,F202*(1-VLOOKUP($A203,[1]Hugst!$R$5:$W$9,MATCH(ROUNDUP((G$1)/10,0)*10,[1]Hugst!$R$4:$W$4,0))))</f>
        <v>0</v>
      </c>
      <c r="H203" s="168">
        <f ca="1">IF($C203-H$1&lt;År1,0,G202*(1-VLOOKUP($A203,[1]Hugst!$R$5:$W$9,MATCH(ROUNDUP((H$1)/10,0)*10,[1]Hugst!$R$4:$W$4,0))))</f>
        <v>0</v>
      </c>
      <c r="I203" s="168">
        <f ca="1">IF($C203-I$1&lt;År1,0,H202*(1-VLOOKUP($A203,[1]Hugst!$R$5:$W$9,MATCH(ROUNDUP((I$1)/10,0)*10,[1]Hugst!$R$4:$W$4,0))))</f>
        <v>0</v>
      </c>
      <c r="J203" s="168">
        <f ca="1">IF($C203-J$1&lt;År1,0,I202*(1-VLOOKUP($A203,[1]Hugst!$R$5:$W$9,MATCH(ROUNDUP((J$1)/10,0)*10,[1]Hugst!$R$4:$W$4,0))))</f>
        <v>0</v>
      </c>
      <c r="K203" s="168">
        <f ca="1">IF($C203-K$1&lt;År1,0,J202*(1-VLOOKUP($A203,[1]Hugst!$R$5:$W$9,MATCH(ROUNDUP((K$1)/10,0)*10,[1]Hugst!$R$4:$W$4,0))))</f>
        <v>0</v>
      </c>
      <c r="L203" s="168">
        <f ca="1">IF($C203-L$1&lt;År1,0,K202*(1-VLOOKUP($A203,[1]Hugst!$R$5:$W$9,MATCH(ROUNDUP((L$1)/10,0)*10,[1]Hugst!$R$4:$W$4,0))))</f>
        <v>0</v>
      </c>
      <c r="M203" s="168">
        <f ca="1">IF($C203-M$1&lt;År1,0,L202*(1-VLOOKUP($A203,[1]Hugst!$R$5:$W$9,MATCH(ROUNDUP((M$1)/10,0)*10,[1]Hugst!$R$4:$W$4,0))))</f>
        <v>0</v>
      </c>
      <c r="N203" s="168">
        <f ca="1">IF($C203-N$1&lt;År1,0,M202*(1-VLOOKUP($A203,[1]Hugst!$R$5:$W$9,MATCH(ROUNDUP((N$1)/10,0)*10,[1]Hugst!$R$4:$W$4,0))))</f>
        <v>0</v>
      </c>
      <c r="O203" s="168">
        <f ca="1">IF($C203-O$1&lt;År1,0,N202*(1-VLOOKUP($A203,[1]Hugst!$R$5:$W$9,MATCH(ROUNDUP((O$1)/10,0)*10,[1]Hugst!$R$4:$W$4,0))))</f>
        <v>0</v>
      </c>
      <c r="P203" s="168">
        <f ca="1">IF($C203-P$1&lt;År1,0,O202*(1-VLOOKUP($A203,[1]Hugst!$R$5:$W$9,MATCH(ROUNDUP((P$1)/10,0)*10,[1]Hugst!$R$4:$W$4,0))))</f>
        <v>0</v>
      </c>
      <c r="Q203" s="168">
        <f ca="1">IF($C203-Q$1&lt;År1,0,P202*(1-VLOOKUP($A203,[1]Hugst!$R$5:$W$9,MATCH(ROUNDUP((Q$1)/10,0)*10,[1]Hugst!$R$4:$W$4,0))))</f>
        <v>0</v>
      </c>
      <c r="R203" s="168">
        <f ca="1">IF($C203-R$1&lt;År1,0,Q202*(1-VLOOKUP($A203,[1]Hugst!$R$5:$W$9,MATCH(ROUNDUP((R$1)/10,0)*10,[1]Hugst!$R$4:$W$4,0))))</f>
        <v>0</v>
      </c>
      <c r="S203" s="168">
        <f ca="1">IF($C203-S$1&lt;År1,0,R202*(1-VLOOKUP($A203,[1]Hugst!$R$5:$W$9,MATCH(ROUNDUP((S$1)/10,0)*10,[1]Hugst!$R$4:$W$4,0))))</f>
        <v>0</v>
      </c>
      <c r="T203" s="168">
        <f ca="1">IF($C203-T$1&lt;År1,0,S202*(1-VLOOKUP($A203,[1]Hugst!$R$5:$W$9,MATCH(ROUNDUP((T$1)/10,0)*10,[1]Hugst!$R$4:$W$4,0))))</f>
        <v>0</v>
      </c>
      <c r="U203" s="168">
        <f ca="1">IF($C203-U$1&lt;År1,0,T202*(1-VLOOKUP($A203,[1]Hugst!$R$5:$W$9,MATCH(ROUNDUP((U$1)/10,0)*10,[1]Hugst!$R$4:$W$4,0))))</f>
        <v>0</v>
      </c>
      <c r="V203" s="168">
        <f>IF($C203-V$1&lt;År1,0,U202*(1-VLOOKUP($A203,[1]Hugst!$R$5:$W$9,MATCH(ROUNDUP((V$1)/10,0)*10,[1]Hugst!$R$4:$W$4,0))))</f>
        <v>0</v>
      </c>
      <c r="W203" s="168">
        <f>IF($C203-W$1&lt;År1,0,V202*(1-VLOOKUP($A203,[1]Hugst!$R$5:$W$9,MATCH(ROUNDUP((W$1)/10,0)*10,[1]Hugst!$R$4:$W$4,0))))</f>
        <v>0</v>
      </c>
      <c r="X203" s="168">
        <f>IF($C203-X$1&lt;År1,0,W202*(1-VLOOKUP($A203,[1]Hugst!$R$5:$W$9,MATCH(ROUNDUP((X$1)/10,0)*10,[1]Hugst!$R$4:$W$4,0))))</f>
        <v>0</v>
      </c>
      <c r="Y203" s="168">
        <f>IF($C203-Y$1&lt;År1,0,X202*(1-VLOOKUP($A203,[1]Hugst!$R$5:$W$9,MATCH(ROUNDUP((Y$1)/10,0)*10,[1]Hugst!$R$4:$W$4,0))))</f>
        <v>0</v>
      </c>
      <c r="Z203" s="168">
        <f>IF($C203-Z$1&lt;År1,0,Y202*(1-VLOOKUP($A203,[1]Hugst!$R$5:$W$9,MATCH(ROUNDUP((Z$1)/10,0)*10,[1]Hugst!$R$4:$W$4,0))))</f>
        <v>0</v>
      </c>
      <c r="AA203" s="168">
        <f>IF($C203-AA$1&lt;År1,0,Z202*(1-VLOOKUP($A203,[1]Hugst!$R$5:$W$9,MATCH(ROUNDUP((AA$1)/10,0)*10,[1]Hugst!$R$4:$W$4,0))))</f>
        <v>0</v>
      </c>
      <c r="AB203" s="168">
        <f>IF($C203-AB$1&lt;År1,0,AA202*(1-VLOOKUP($A203,[1]Hugst!$R$5:$W$9,MATCH(ROUNDUP((AB$1)/10,0)*10,[1]Hugst!$R$4:$W$4,0))))</f>
        <v>0</v>
      </c>
      <c r="AC203" s="168">
        <f>IF($C203-AC$1&lt;År1,0,AB202*(1-VLOOKUP($A203,[1]Hugst!$R$5:$W$9,MATCH(ROUNDUP((AC$1)/10,0)*10,[1]Hugst!$R$4:$W$4,0))))</f>
        <v>0</v>
      </c>
      <c r="AD203" s="168">
        <f>IF($C203-AD$1&lt;År1,0,AC202*(1-VLOOKUP($A203,[1]Hugst!$R$5:$W$9,MATCH(ROUNDUP((AD$1)/10,0)*10,[1]Hugst!$R$4:$W$4,0))))</f>
        <v>0</v>
      </c>
      <c r="AE203" s="168">
        <f>IF($C203-AE$1&lt;År1,0,AD202*(1-VLOOKUP($A203,[1]Hugst!$R$5:$W$9,MATCH(ROUNDUP((AE$1)/10,0)*10,[1]Hugst!$R$4:$W$4,0))))</f>
        <v>0</v>
      </c>
      <c r="AF203" s="168">
        <f>IF($C203-AF$1&lt;År1,0,AE202*(1-VLOOKUP($A203,[1]Hugst!$R$5:$W$9,MATCH(ROUNDUP((AF$1)/10,0)*10,[1]Hugst!$R$4:$W$4,0))))</f>
        <v>0</v>
      </c>
      <c r="AG203" s="168">
        <f>IF($C203-AG$1&lt;År1,0,AF202*(1-VLOOKUP($A203,[1]Hugst!$R$5:$W$9,MATCH(ROUNDUP((AG$1)/10,0)*10,[1]Hugst!$R$4:$W$4,0))))</f>
        <v>0</v>
      </c>
      <c r="AH203" s="168">
        <f>IF($C203-AH$1&lt;År1,0,AG202*(1-VLOOKUP($A203,[1]Hugst!$R$5:$W$9,MATCH(ROUNDUP((AH$1)/10,0)*10,[1]Hugst!$R$4:$W$4,0))))</f>
        <v>0</v>
      </c>
      <c r="AI203" s="168">
        <f>IF($C203-AI$1&lt;År1,0,AH202*(1-VLOOKUP($A203,[1]Hugst!$R$5:$W$9,MATCH(ROUNDUP((AI$1)/10,0)*10,[1]Hugst!$R$4:$W$4,0))))</f>
        <v>0</v>
      </c>
      <c r="AJ203" s="168">
        <f>IF($C203-AJ$1&lt;År1,0,AI202*(1-VLOOKUP($A203,[1]Hugst!$R$5:$W$9,MATCH(ROUNDUP((AJ$1)/10,0)*10,[1]Hugst!$R$4:$W$4,0))))</f>
        <v>0</v>
      </c>
    </row>
    <row r="204" spans="1:36" x14ac:dyDescent="0.25">
      <c r="A204" s="168" t="s">
        <v>179</v>
      </c>
      <c r="B204" s="168" t="s">
        <v>23</v>
      </c>
      <c r="C204" s="168">
        <v>2036</v>
      </c>
      <c r="D204" s="168" cm="1">
        <f t="array" ref="D204">(IF(B204="Vestdanmark",Skovbrug!$C$22-(Skovbrug!$C$22)*(1-Skovbrug!$C$9)^(C204-Skovbrug!$B$12),Skovbrug!$F$22-(Skovbrug!$F$22)*(1-Skovbrug!$C$9)^(C204-Skovbrug!$B$12))*VLOOKUP(A204,Skovbrug!$A$13:$D$17,IF('Skovbrug-alder'!C204&lt;=År2,3,4),FALSE)-IF(C204&gt;2020,SUM(INDEX($C$1:$D$311,MATCH(1,(2020=$C$1:$C$311)*(B204=$B$1:$B$311)*(A204=$A$1:$A$311),0),2):D203),0))</f>
        <v>0</v>
      </c>
      <c r="E204" s="168">
        <f t="shared" ca="1" si="4"/>
        <v>0</v>
      </c>
      <c r="F204" s="168">
        <f ca="1">IF(C204&lt;=År2,IF(B204="Vestdanmark",(Arealanvendelse!$M$27-Arealanvendelse!$J$27),(Arealanvendelse!$M$37-Arealanvendelse!$J$37))/(Arealanvendelse!$M$3-Arealanvendelse!$J$3),IF(B204="Vestdanmark",(Arealanvendelse!$P$27-Arealanvendelse!$M$27),(Arealanvendelse!$P$37-Arealanvendelse!$M$37))/(Arealanvendelse!$P$3-Arealanvendelse!$M$3))*VLOOKUP(A204,Skovbrug!$A$13:$D$17,IF('Skovbrug-alder'!C204&lt;=År2,3,4),FALSE)+D204+E204</f>
        <v>0</v>
      </c>
      <c r="G204" s="168">
        <f ca="1">IF($C204-G$1&lt;År1,0,F203*(1-VLOOKUP($A204,[1]Hugst!$R$5:$W$9,MATCH(ROUNDUP((G$1)/10,0)*10,[1]Hugst!$R$4:$W$4,0))))</f>
        <v>0</v>
      </c>
      <c r="H204" s="168">
        <f ca="1">IF($C204-H$1&lt;År1,0,G203*(1-VLOOKUP($A204,[1]Hugst!$R$5:$W$9,MATCH(ROUNDUP((H$1)/10,0)*10,[1]Hugst!$R$4:$W$4,0))))</f>
        <v>0</v>
      </c>
      <c r="I204" s="168">
        <f ca="1">IF($C204-I$1&lt;År1,0,H203*(1-VLOOKUP($A204,[1]Hugst!$R$5:$W$9,MATCH(ROUNDUP((I$1)/10,0)*10,[1]Hugst!$R$4:$W$4,0))))</f>
        <v>0</v>
      </c>
      <c r="J204" s="168">
        <f ca="1">IF($C204-J$1&lt;År1,0,I203*(1-VLOOKUP($A204,[1]Hugst!$R$5:$W$9,MATCH(ROUNDUP((J$1)/10,0)*10,[1]Hugst!$R$4:$W$4,0))))</f>
        <v>0</v>
      </c>
      <c r="K204" s="168">
        <f ca="1">IF($C204-K$1&lt;År1,0,J203*(1-VLOOKUP($A204,[1]Hugst!$R$5:$W$9,MATCH(ROUNDUP((K$1)/10,0)*10,[1]Hugst!$R$4:$W$4,0))))</f>
        <v>0</v>
      </c>
      <c r="L204" s="168">
        <f ca="1">IF($C204-L$1&lt;År1,0,K203*(1-VLOOKUP($A204,[1]Hugst!$R$5:$W$9,MATCH(ROUNDUP((L$1)/10,0)*10,[1]Hugst!$R$4:$W$4,0))))</f>
        <v>0</v>
      </c>
      <c r="M204" s="168">
        <f ca="1">IF($C204-M$1&lt;År1,0,L203*(1-VLOOKUP($A204,[1]Hugst!$R$5:$W$9,MATCH(ROUNDUP((M$1)/10,0)*10,[1]Hugst!$R$4:$W$4,0))))</f>
        <v>0</v>
      </c>
      <c r="N204" s="168">
        <f ca="1">IF($C204-N$1&lt;År1,0,M203*(1-VLOOKUP($A204,[1]Hugst!$R$5:$W$9,MATCH(ROUNDUP((N$1)/10,0)*10,[1]Hugst!$R$4:$W$4,0))))</f>
        <v>0</v>
      </c>
      <c r="O204" s="168">
        <f ca="1">IF($C204-O$1&lt;År1,0,N203*(1-VLOOKUP($A204,[1]Hugst!$R$5:$W$9,MATCH(ROUNDUP((O$1)/10,0)*10,[1]Hugst!$R$4:$W$4,0))))</f>
        <v>0</v>
      </c>
      <c r="P204" s="168">
        <f ca="1">IF($C204-P$1&lt;År1,0,O203*(1-VLOOKUP($A204,[1]Hugst!$R$5:$W$9,MATCH(ROUNDUP((P$1)/10,0)*10,[1]Hugst!$R$4:$W$4,0))))</f>
        <v>0</v>
      </c>
      <c r="Q204" s="168">
        <f ca="1">IF($C204-Q$1&lt;År1,0,P203*(1-VLOOKUP($A204,[1]Hugst!$R$5:$W$9,MATCH(ROUNDUP((Q$1)/10,0)*10,[1]Hugst!$R$4:$W$4,0))))</f>
        <v>0</v>
      </c>
      <c r="R204" s="168">
        <f ca="1">IF($C204-R$1&lt;År1,0,Q203*(1-VLOOKUP($A204,[1]Hugst!$R$5:$W$9,MATCH(ROUNDUP((R$1)/10,0)*10,[1]Hugst!$R$4:$W$4,0))))</f>
        <v>0</v>
      </c>
      <c r="S204" s="168">
        <f ca="1">IF($C204-S$1&lt;År1,0,R203*(1-VLOOKUP($A204,[1]Hugst!$R$5:$W$9,MATCH(ROUNDUP((S$1)/10,0)*10,[1]Hugst!$R$4:$W$4,0))))</f>
        <v>0</v>
      </c>
      <c r="T204" s="168">
        <f ca="1">IF($C204-T$1&lt;År1,0,S203*(1-VLOOKUP($A204,[1]Hugst!$R$5:$W$9,MATCH(ROUNDUP((T$1)/10,0)*10,[1]Hugst!$R$4:$W$4,0))))</f>
        <v>0</v>
      </c>
      <c r="U204" s="168">
        <f ca="1">IF($C204-U$1&lt;År1,0,T203*(1-VLOOKUP($A204,[1]Hugst!$R$5:$W$9,MATCH(ROUNDUP((U$1)/10,0)*10,[1]Hugst!$R$4:$W$4,0))))</f>
        <v>0</v>
      </c>
      <c r="V204" s="168">
        <f ca="1">IF($C204-V$1&lt;År1,0,U203*(1-VLOOKUP($A204,[1]Hugst!$R$5:$W$9,MATCH(ROUNDUP((V$1)/10,0)*10,[1]Hugst!$R$4:$W$4,0))))</f>
        <v>0</v>
      </c>
      <c r="W204" s="168">
        <f>IF($C204-W$1&lt;År1,0,V203*(1-VLOOKUP($A204,[1]Hugst!$R$5:$W$9,MATCH(ROUNDUP((W$1)/10,0)*10,[1]Hugst!$R$4:$W$4,0))))</f>
        <v>0</v>
      </c>
      <c r="X204" s="168">
        <f>IF($C204-X$1&lt;År1,0,W203*(1-VLOOKUP($A204,[1]Hugst!$R$5:$W$9,MATCH(ROUNDUP((X$1)/10,0)*10,[1]Hugst!$R$4:$W$4,0))))</f>
        <v>0</v>
      </c>
      <c r="Y204" s="168">
        <f>IF($C204-Y$1&lt;År1,0,X203*(1-VLOOKUP($A204,[1]Hugst!$R$5:$W$9,MATCH(ROUNDUP((Y$1)/10,0)*10,[1]Hugst!$R$4:$W$4,0))))</f>
        <v>0</v>
      </c>
      <c r="Z204" s="168">
        <f>IF($C204-Z$1&lt;År1,0,Y203*(1-VLOOKUP($A204,[1]Hugst!$R$5:$W$9,MATCH(ROUNDUP((Z$1)/10,0)*10,[1]Hugst!$R$4:$W$4,0))))</f>
        <v>0</v>
      </c>
      <c r="AA204" s="168">
        <f>IF($C204-AA$1&lt;År1,0,Z203*(1-VLOOKUP($A204,[1]Hugst!$R$5:$W$9,MATCH(ROUNDUP((AA$1)/10,0)*10,[1]Hugst!$R$4:$W$4,0))))</f>
        <v>0</v>
      </c>
      <c r="AB204" s="168">
        <f>IF($C204-AB$1&lt;År1,0,AA203*(1-VLOOKUP($A204,[1]Hugst!$R$5:$W$9,MATCH(ROUNDUP((AB$1)/10,0)*10,[1]Hugst!$R$4:$W$4,0))))</f>
        <v>0</v>
      </c>
      <c r="AC204" s="168">
        <f>IF($C204-AC$1&lt;År1,0,AB203*(1-VLOOKUP($A204,[1]Hugst!$R$5:$W$9,MATCH(ROUNDUP((AC$1)/10,0)*10,[1]Hugst!$R$4:$W$4,0))))</f>
        <v>0</v>
      </c>
      <c r="AD204" s="168">
        <f>IF($C204-AD$1&lt;År1,0,AC203*(1-VLOOKUP($A204,[1]Hugst!$R$5:$W$9,MATCH(ROUNDUP((AD$1)/10,0)*10,[1]Hugst!$R$4:$W$4,0))))</f>
        <v>0</v>
      </c>
      <c r="AE204" s="168">
        <f>IF($C204-AE$1&lt;År1,0,AD203*(1-VLOOKUP($A204,[1]Hugst!$R$5:$W$9,MATCH(ROUNDUP((AE$1)/10,0)*10,[1]Hugst!$R$4:$W$4,0))))</f>
        <v>0</v>
      </c>
      <c r="AF204" s="168">
        <f>IF($C204-AF$1&lt;År1,0,AE203*(1-VLOOKUP($A204,[1]Hugst!$R$5:$W$9,MATCH(ROUNDUP((AF$1)/10,0)*10,[1]Hugst!$R$4:$W$4,0))))</f>
        <v>0</v>
      </c>
      <c r="AG204" s="168">
        <f>IF($C204-AG$1&lt;År1,0,AF203*(1-VLOOKUP($A204,[1]Hugst!$R$5:$W$9,MATCH(ROUNDUP((AG$1)/10,0)*10,[1]Hugst!$R$4:$W$4,0))))</f>
        <v>0</v>
      </c>
      <c r="AH204" s="168">
        <f>IF($C204-AH$1&lt;År1,0,AG203*(1-VLOOKUP($A204,[1]Hugst!$R$5:$W$9,MATCH(ROUNDUP((AH$1)/10,0)*10,[1]Hugst!$R$4:$W$4,0))))</f>
        <v>0</v>
      </c>
      <c r="AI204" s="168">
        <f>IF($C204-AI$1&lt;År1,0,AH203*(1-VLOOKUP($A204,[1]Hugst!$R$5:$W$9,MATCH(ROUNDUP((AI$1)/10,0)*10,[1]Hugst!$R$4:$W$4,0))))</f>
        <v>0</v>
      </c>
      <c r="AJ204" s="168">
        <f>IF($C204-AJ$1&lt;År1,0,AI203*(1-VLOOKUP($A204,[1]Hugst!$R$5:$W$9,MATCH(ROUNDUP((AJ$1)/10,0)*10,[1]Hugst!$R$4:$W$4,0))))</f>
        <v>0</v>
      </c>
    </row>
    <row r="205" spans="1:36" x14ac:dyDescent="0.25">
      <c r="A205" s="168" t="s">
        <v>179</v>
      </c>
      <c r="B205" s="168" t="s">
        <v>23</v>
      </c>
      <c r="C205" s="168">
        <v>2037</v>
      </c>
      <c r="D205" s="168" cm="1">
        <f t="array" ref="D205">(IF(B205="Vestdanmark",Skovbrug!$C$22-(Skovbrug!$C$22)*(1-Skovbrug!$C$9)^(C205-Skovbrug!$B$12),Skovbrug!$F$22-(Skovbrug!$F$22)*(1-Skovbrug!$C$9)^(C205-Skovbrug!$B$12))*VLOOKUP(A205,Skovbrug!$A$13:$D$17,IF('Skovbrug-alder'!C205&lt;=År2,3,4),FALSE)-IF(C205&gt;2020,SUM(INDEX($C$1:$D$311,MATCH(1,(2020=$C$1:$C$311)*(B205=$B$1:$B$311)*(A205=$A$1:$A$311),0),2):D204),0))</f>
        <v>0</v>
      </c>
      <c r="E205" s="168">
        <f t="shared" ca="1" si="4"/>
        <v>0</v>
      </c>
      <c r="F205" s="168">
        <f ca="1">IF(C205&lt;=År2,IF(B205="Vestdanmark",(Arealanvendelse!$M$27-Arealanvendelse!$J$27),(Arealanvendelse!$M$37-Arealanvendelse!$J$37))/(Arealanvendelse!$M$3-Arealanvendelse!$J$3),IF(B205="Vestdanmark",(Arealanvendelse!$P$27-Arealanvendelse!$M$27),(Arealanvendelse!$P$37-Arealanvendelse!$M$37))/(Arealanvendelse!$P$3-Arealanvendelse!$M$3))*VLOOKUP(A205,Skovbrug!$A$13:$D$17,IF('Skovbrug-alder'!C205&lt;=År2,3,4),FALSE)+D205+E205</f>
        <v>0</v>
      </c>
      <c r="G205" s="168">
        <f ca="1">IF($C205-G$1&lt;År1,0,F204*(1-VLOOKUP($A205,[1]Hugst!$R$5:$W$9,MATCH(ROUNDUP((G$1)/10,0)*10,[1]Hugst!$R$4:$W$4,0))))</f>
        <v>0</v>
      </c>
      <c r="H205" s="168">
        <f ca="1">IF($C205-H$1&lt;År1,0,G204*(1-VLOOKUP($A205,[1]Hugst!$R$5:$W$9,MATCH(ROUNDUP((H$1)/10,0)*10,[1]Hugst!$R$4:$W$4,0))))</f>
        <v>0</v>
      </c>
      <c r="I205" s="168">
        <f ca="1">IF($C205-I$1&lt;År1,0,H204*(1-VLOOKUP($A205,[1]Hugst!$R$5:$W$9,MATCH(ROUNDUP((I$1)/10,0)*10,[1]Hugst!$R$4:$W$4,0))))</f>
        <v>0</v>
      </c>
      <c r="J205" s="168">
        <f ca="1">IF($C205-J$1&lt;År1,0,I204*(1-VLOOKUP($A205,[1]Hugst!$R$5:$W$9,MATCH(ROUNDUP((J$1)/10,0)*10,[1]Hugst!$R$4:$W$4,0))))</f>
        <v>0</v>
      </c>
      <c r="K205" s="168">
        <f ca="1">IF($C205-K$1&lt;År1,0,J204*(1-VLOOKUP($A205,[1]Hugst!$R$5:$W$9,MATCH(ROUNDUP((K$1)/10,0)*10,[1]Hugst!$R$4:$W$4,0))))</f>
        <v>0</v>
      </c>
      <c r="L205" s="168">
        <f ca="1">IF($C205-L$1&lt;År1,0,K204*(1-VLOOKUP($A205,[1]Hugst!$R$5:$W$9,MATCH(ROUNDUP((L$1)/10,0)*10,[1]Hugst!$R$4:$W$4,0))))</f>
        <v>0</v>
      </c>
      <c r="M205" s="168">
        <f ca="1">IF($C205-M$1&lt;År1,0,L204*(1-VLOOKUP($A205,[1]Hugst!$R$5:$W$9,MATCH(ROUNDUP((M$1)/10,0)*10,[1]Hugst!$R$4:$W$4,0))))</f>
        <v>0</v>
      </c>
      <c r="N205" s="168">
        <f ca="1">IF($C205-N$1&lt;År1,0,M204*(1-VLOOKUP($A205,[1]Hugst!$R$5:$W$9,MATCH(ROUNDUP((N$1)/10,0)*10,[1]Hugst!$R$4:$W$4,0))))</f>
        <v>0</v>
      </c>
      <c r="O205" s="168">
        <f ca="1">IF($C205-O$1&lt;År1,0,N204*(1-VLOOKUP($A205,[1]Hugst!$R$5:$W$9,MATCH(ROUNDUP((O$1)/10,0)*10,[1]Hugst!$R$4:$W$4,0))))</f>
        <v>0</v>
      </c>
      <c r="P205" s="168">
        <f ca="1">IF($C205-P$1&lt;År1,0,O204*(1-VLOOKUP($A205,[1]Hugst!$R$5:$W$9,MATCH(ROUNDUP((P$1)/10,0)*10,[1]Hugst!$R$4:$W$4,0))))</f>
        <v>0</v>
      </c>
      <c r="Q205" s="168">
        <f ca="1">IF($C205-Q$1&lt;År1,0,P204*(1-VLOOKUP($A205,[1]Hugst!$R$5:$W$9,MATCH(ROUNDUP((Q$1)/10,0)*10,[1]Hugst!$R$4:$W$4,0))))</f>
        <v>0</v>
      </c>
      <c r="R205" s="168">
        <f ca="1">IF($C205-R$1&lt;År1,0,Q204*(1-VLOOKUP($A205,[1]Hugst!$R$5:$W$9,MATCH(ROUNDUP((R$1)/10,0)*10,[1]Hugst!$R$4:$W$4,0))))</f>
        <v>0</v>
      </c>
      <c r="S205" s="168">
        <f ca="1">IF($C205-S$1&lt;År1,0,R204*(1-VLOOKUP($A205,[1]Hugst!$R$5:$W$9,MATCH(ROUNDUP((S$1)/10,0)*10,[1]Hugst!$R$4:$W$4,0))))</f>
        <v>0</v>
      </c>
      <c r="T205" s="168">
        <f ca="1">IF($C205-T$1&lt;År1,0,S204*(1-VLOOKUP($A205,[1]Hugst!$R$5:$W$9,MATCH(ROUNDUP((T$1)/10,0)*10,[1]Hugst!$R$4:$W$4,0))))</f>
        <v>0</v>
      </c>
      <c r="U205" s="168">
        <f ca="1">IF($C205-U$1&lt;År1,0,T204*(1-VLOOKUP($A205,[1]Hugst!$R$5:$W$9,MATCH(ROUNDUP((U$1)/10,0)*10,[1]Hugst!$R$4:$W$4,0))))</f>
        <v>0</v>
      </c>
      <c r="V205" s="168">
        <f ca="1">IF($C205-V$1&lt;År1,0,U204*(1-VLOOKUP($A205,[1]Hugst!$R$5:$W$9,MATCH(ROUNDUP((V$1)/10,0)*10,[1]Hugst!$R$4:$W$4,0))))</f>
        <v>0</v>
      </c>
      <c r="W205" s="168">
        <f ca="1">IF($C205-W$1&lt;År1,0,V204*(1-VLOOKUP($A205,[1]Hugst!$R$5:$W$9,MATCH(ROUNDUP((W$1)/10,0)*10,[1]Hugst!$R$4:$W$4,0))))</f>
        <v>0</v>
      </c>
      <c r="X205" s="168">
        <f>IF($C205-X$1&lt;År1,0,W204*(1-VLOOKUP($A205,[1]Hugst!$R$5:$W$9,MATCH(ROUNDUP((X$1)/10,0)*10,[1]Hugst!$R$4:$W$4,0))))</f>
        <v>0</v>
      </c>
      <c r="Y205" s="168">
        <f>IF($C205-Y$1&lt;År1,0,X204*(1-VLOOKUP($A205,[1]Hugst!$R$5:$W$9,MATCH(ROUNDUP((Y$1)/10,0)*10,[1]Hugst!$R$4:$W$4,0))))</f>
        <v>0</v>
      </c>
      <c r="Z205" s="168">
        <f>IF($C205-Z$1&lt;År1,0,Y204*(1-VLOOKUP($A205,[1]Hugst!$R$5:$W$9,MATCH(ROUNDUP((Z$1)/10,0)*10,[1]Hugst!$R$4:$W$4,0))))</f>
        <v>0</v>
      </c>
      <c r="AA205" s="168">
        <f>IF($C205-AA$1&lt;År1,0,Z204*(1-VLOOKUP($A205,[1]Hugst!$R$5:$W$9,MATCH(ROUNDUP((AA$1)/10,0)*10,[1]Hugst!$R$4:$W$4,0))))</f>
        <v>0</v>
      </c>
      <c r="AB205" s="168">
        <f>IF($C205-AB$1&lt;År1,0,AA204*(1-VLOOKUP($A205,[1]Hugst!$R$5:$W$9,MATCH(ROUNDUP((AB$1)/10,0)*10,[1]Hugst!$R$4:$W$4,0))))</f>
        <v>0</v>
      </c>
      <c r="AC205" s="168">
        <f>IF($C205-AC$1&lt;År1,0,AB204*(1-VLOOKUP($A205,[1]Hugst!$R$5:$W$9,MATCH(ROUNDUP((AC$1)/10,0)*10,[1]Hugst!$R$4:$W$4,0))))</f>
        <v>0</v>
      </c>
      <c r="AD205" s="168">
        <f>IF($C205-AD$1&lt;År1,0,AC204*(1-VLOOKUP($A205,[1]Hugst!$R$5:$W$9,MATCH(ROUNDUP((AD$1)/10,0)*10,[1]Hugst!$R$4:$W$4,0))))</f>
        <v>0</v>
      </c>
      <c r="AE205" s="168">
        <f>IF($C205-AE$1&lt;År1,0,AD204*(1-VLOOKUP($A205,[1]Hugst!$R$5:$W$9,MATCH(ROUNDUP((AE$1)/10,0)*10,[1]Hugst!$R$4:$W$4,0))))</f>
        <v>0</v>
      </c>
      <c r="AF205" s="168">
        <f>IF($C205-AF$1&lt;År1,0,AE204*(1-VLOOKUP($A205,[1]Hugst!$R$5:$W$9,MATCH(ROUNDUP((AF$1)/10,0)*10,[1]Hugst!$R$4:$W$4,0))))</f>
        <v>0</v>
      </c>
      <c r="AG205" s="168">
        <f>IF($C205-AG$1&lt;År1,0,AF204*(1-VLOOKUP($A205,[1]Hugst!$R$5:$W$9,MATCH(ROUNDUP((AG$1)/10,0)*10,[1]Hugst!$R$4:$W$4,0))))</f>
        <v>0</v>
      </c>
      <c r="AH205" s="168">
        <f>IF($C205-AH$1&lt;År1,0,AG204*(1-VLOOKUP($A205,[1]Hugst!$R$5:$W$9,MATCH(ROUNDUP((AH$1)/10,0)*10,[1]Hugst!$R$4:$W$4,0))))</f>
        <v>0</v>
      </c>
      <c r="AI205" s="168">
        <f>IF($C205-AI$1&lt;År1,0,AH204*(1-VLOOKUP($A205,[1]Hugst!$R$5:$W$9,MATCH(ROUNDUP((AI$1)/10,0)*10,[1]Hugst!$R$4:$W$4,0))))</f>
        <v>0</v>
      </c>
      <c r="AJ205" s="168">
        <f>IF($C205-AJ$1&lt;År1,0,AI204*(1-VLOOKUP($A205,[1]Hugst!$R$5:$W$9,MATCH(ROUNDUP((AJ$1)/10,0)*10,[1]Hugst!$R$4:$W$4,0))))</f>
        <v>0</v>
      </c>
    </row>
    <row r="206" spans="1:36" x14ac:dyDescent="0.25">
      <c r="A206" s="168" t="s">
        <v>179</v>
      </c>
      <c r="B206" s="168" t="s">
        <v>23</v>
      </c>
      <c r="C206" s="168">
        <v>2038</v>
      </c>
      <c r="D206" s="168" cm="1">
        <f t="array" ref="D206">(IF(B206="Vestdanmark",Skovbrug!$C$22-(Skovbrug!$C$22)*(1-Skovbrug!$C$9)^(C206-Skovbrug!$B$12),Skovbrug!$F$22-(Skovbrug!$F$22)*(1-Skovbrug!$C$9)^(C206-Skovbrug!$B$12))*VLOOKUP(A206,Skovbrug!$A$13:$D$17,IF('Skovbrug-alder'!C206&lt;=År2,3,4),FALSE)-IF(C206&gt;2020,SUM(INDEX($C$1:$D$311,MATCH(1,(2020=$C$1:$C$311)*(B206=$B$1:$B$311)*(A206=$A$1:$A$311),0),2):D205),0))</f>
        <v>0</v>
      </c>
      <c r="E206" s="168">
        <f t="shared" ca="1" si="4"/>
        <v>0</v>
      </c>
      <c r="F206" s="168">
        <f ca="1">IF(C206&lt;=År2,IF(B206="Vestdanmark",(Arealanvendelse!$M$27-Arealanvendelse!$J$27),(Arealanvendelse!$M$37-Arealanvendelse!$J$37))/(Arealanvendelse!$M$3-Arealanvendelse!$J$3),IF(B206="Vestdanmark",(Arealanvendelse!$P$27-Arealanvendelse!$M$27),(Arealanvendelse!$P$37-Arealanvendelse!$M$37))/(Arealanvendelse!$P$3-Arealanvendelse!$M$3))*VLOOKUP(A206,Skovbrug!$A$13:$D$17,IF('Skovbrug-alder'!C206&lt;=År2,3,4),FALSE)+D206+E206</f>
        <v>0</v>
      </c>
      <c r="G206" s="168">
        <f ca="1">IF($C206-G$1&lt;År1,0,F205*(1-VLOOKUP($A206,[1]Hugst!$R$5:$W$9,MATCH(ROUNDUP((G$1)/10,0)*10,[1]Hugst!$R$4:$W$4,0))))</f>
        <v>0</v>
      </c>
      <c r="H206" s="168">
        <f ca="1">IF($C206-H$1&lt;År1,0,G205*(1-VLOOKUP($A206,[1]Hugst!$R$5:$W$9,MATCH(ROUNDUP((H$1)/10,0)*10,[1]Hugst!$R$4:$W$4,0))))</f>
        <v>0</v>
      </c>
      <c r="I206" s="168">
        <f ca="1">IF($C206-I$1&lt;År1,0,H205*(1-VLOOKUP($A206,[1]Hugst!$R$5:$W$9,MATCH(ROUNDUP((I$1)/10,0)*10,[1]Hugst!$R$4:$W$4,0))))</f>
        <v>0</v>
      </c>
      <c r="J206" s="168">
        <f ca="1">IF($C206-J$1&lt;År1,0,I205*(1-VLOOKUP($A206,[1]Hugst!$R$5:$W$9,MATCH(ROUNDUP((J$1)/10,0)*10,[1]Hugst!$R$4:$W$4,0))))</f>
        <v>0</v>
      </c>
      <c r="K206" s="168">
        <f ca="1">IF($C206-K$1&lt;År1,0,J205*(1-VLOOKUP($A206,[1]Hugst!$R$5:$W$9,MATCH(ROUNDUP((K$1)/10,0)*10,[1]Hugst!$R$4:$W$4,0))))</f>
        <v>0</v>
      </c>
      <c r="L206" s="168">
        <f ca="1">IF($C206-L$1&lt;År1,0,K205*(1-VLOOKUP($A206,[1]Hugst!$R$5:$W$9,MATCH(ROUNDUP((L$1)/10,0)*10,[1]Hugst!$R$4:$W$4,0))))</f>
        <v>0</v>
      </c>
      <c r="M206" s="168">
        <f ca="1">IF($C206-M$1&lt;År1,0,L205*(1-VLOOKUP($A206,[1]Hugst!$R$5:$W$9,MATCH(ROUNDUP((M$1)/10,0)*10,[1]Hugst!$R$4:$W$4,0))))</f>
        <v>0</v>
      </c>
      <c r="N206" s="168">
        <f ca="1">IF($C206-N$1&lt;År1,0,M205*(1-VLOOKUP($A206,[1]Hugst!$R$5:$W$9,MATCH(ROUNDUP((N$1)/10,0)*10,[1]Hugst!$R$4:$W$4,0))))</f>
        <v>0</v>
      </c>
      <c r="O206" s="168">
        <f ca="1">IF($C206-O$1&lt;År1,0,N205*(1-VLOOKUP($A206,[1]Hugst!$R$5:$W$9,MATCH(ROUNDUP((O$1)/10,0)*10,[1]Hugst!$R$4:$W$4,0))))</f>
        <v>0</v>
      </c>
      <c r="P206" s="168">
        <f ca="1">IF($C206-P$1&lt;År1,0,O205*(1-VLOOKUP($A206,[1]Hugst!$R$5:$W$9,MATCH(ROUNDUP((P$1)/10,0)*10,[1]Hugst!$R$4:$W$4,0))))</f>
        <v>0</v>
      </c>
      <c r="Q206" s="168">
        <f ca="1">IF($C206-Q$1&lt;År1,0,P205*(1-VLOOKUP($A206,[1]Hugst!$R$5:$W$9,MATCH(ROUNDUP((Q$1)/10,0)*10,[1]Hugst!$R$4:$W$4,0))))</f>
        <v>0</v>
      </c>
      <c r="R206" s="168">
        <f ca="1">IF($C206-R$1&lt;År1,0,Q205*(1-VLOOKUP($A206,[1]Hugst!$R$5:$W$9,MATCH(ROUNDUP((R$1)/10,0)*10,[1]Hugst!$R$4:$W$4,0))))</f>
        <v>0</v>
      </c>
      <c r="S206" s="168">
        <f ca="1">IF($C206-S$1&lt;År1,0,R205*(1-VLOOKUP($A206,[1]Hugst!$R$5:$W$9,MATCH(ROUNDUP((S$1)/10,0)*10,[1]Hugst!$R$4:$W$4,0))))</f>
        <v>0</v>
      </c>
      <c r="T206" s="168">
        <f ca="1">IF($C206-T$1&lt;År1,0,S205*(1-VLOOKUP($A206,[1]Hugst!$R$5:$W$9,MATCH(ROUNDUP((T$1)/10,0)*10,[1]Hugst!$R$4:$W$4,0))))</f>
        <v>0</v>
      </c>
      <c r="U206" s="168">
        <f ca="1">IF($C206-U$1&lt;År1,0,T205*(1-VLOOKUP($A206,[1]Hugst!$R$5:$W$9,MATCH(ROUNDUP((U$1)/10,0)*10,[1]Hugst!$R$4:$W$4,0))))</f>
        <v>0</v>
      </c>
      <c r="V206" s="168">
        <f ca="1">IF($C206-V$1&lt;År1,0,U205*(1-VLOOKUP($A206,[1]Hugst!$R$5:$W$9,MATCH(ROUNDUP((V$1)/10,0)*10,[1]Hugst!$R$4:$W$4,0))))</f>
        <v>0</v>
      </c>
      <c r="W206" s="168">
        <f ca="1">IF($C206-W$1&lt;År1,0,V205*(1-VLOOKUP($A206,[1]Hugst!$R$5:$W$9,MATCH(ROUNDUP((W$1)/10,0)*10,[1]Hugst!$R$4:$W$4,0))))</f>
        <v>0</v>
      </c>
      <c r="X206" s="168">
        <f ca="1">IF($C206-X$1&lt;År1,0,W205*(1-VLOOKUP($A206,[1]Hugst!$R$5:$W$9,MATCH(ROUNDUP((X$1)/10,0)*10,[1]Hugst!$R$4:$W$4,0))))</f>
        <v>0</v>
      </c>
      <c r="Y206" s="168">
        <f>IF($C206-Y$1&lt;År1,0,X205*(1-VLOOKUP($A206,[1]Hugst!$R$5:$W$9,MATCH(ROUNDUP((Y$1)/10,0)*10,[1]Hugst!$R$4:$W$4,0))))</f>
        <v>0</v>
      </c>
      <c r="Z206" s="168">
        <f>IF($C206-Z$1&lt;År1,0,Y205*(1-VLOOKUP($A206,[1]Hugst!$R$5:$W$9,MATCH(ROUNDUP((Z$1)/10,0)*10,[1]Hugst!$R$4:$W$4,0))))</f>
        <v>0</v>
      </c>
      <c r="AA206" s="168">
        <f>IF($C206-AA$1&lt;År1,0,Z205*(1-VLOOKUP($A206,[1]Hugst!$R$5:$W$9,MATCH(ROUNDUP((AA$1)/10,0)*10,[1]Hugst!$R$4:$W$4,0))))</f>
        <v>0</v>
      </c>
      <c r="AB206" s="168">
        <f>IF($C206-AB$1&lt;År1,0,AA205*(1-VLOOKUP($A206,[1]Hugst!$R$5:$W$9,MATCH(ROUNDUP((AB$1)/10,0)*10,[1]Hugst!$R$4:$W$4,0))))</f>
        <v>0</v>
      </c>
      <c r="AC206" s="168">
        <f>IF($C206-AC$1&lt;År1,0,AB205*(1-VLOOKUP($A206,[1]Hugst!$R$5:$W$9,MATCH(ROUNDUP((AC$1)/10,0)*10,[1]Hugst!$R$4:$W$4,0))))</f>
        <v>0</v>
      </c>
      <c r="AD206" s="168">
        <f>IF($C206-AD$1&lt;År1,0,AC205*(1-VLOOKUP($A206,[1]Hugst!$R$5:$W$9,MATCH(ROUNDUP((AD$1)/10,0)*10,[1]Hugst!$R$4:$W$4,0))))</f>
        <v>0</v>
      </c>
      <c r="AE206" s="168">
        <f>IF($C206-AE$1&lt;År1,0,AD205*(1-VLOOKUP($A206,[1]Hugst!$R$5:$W$9,MATCH(ROUNDUP((AE$1)/10,0)*10,[1]Hugst!$R$4:$W$4,0))))</f>
        <v>0</v>
      </c>
      <c r="AF206" s="168">
        <f>IF($C206-AF$1&lt;År1,0,AE205*(1-VLOOKUP($A206,[1]Hugst!$R$5:$W$9,MATCH(ROUNDUP((AF$1)/10,0)*10,[1]Hugst!$R$4:$W$4,0))))</f>
        <v>0</v>
      </c>
      <c r="AG206" s="168">
        <f>IF($C206-AG$1&lt;År1,0,AF205*(1-VLOOKUP($A206,[1]Hugst!$R$5:$W$9,MATCH(ROUNDUP((AG$1)/10,0)*10,[1]Hugst!$R$4:$W$4,0))))</f>
        <v>0</v>
      </c>
      <c r="AH206" s="168">
        <f>IF($C206-AH$1&lt;År1,0,AG205*(1-VLOOKUP($A206,[1]Hugst!$R$5:$W$9,MATCH(ROUNDUP((AH$1)/10,0)*10,[1]Hugst!$R$4:$W$4,0))))</f>
        <v>0</v>
      </c>
      <c r="AI206" s="168">
        <f>IF($C206-AI$1&lt;År1,0,AH205*(1-VLOOKUP($A206,[1]Hugst!$R$5:$W$9,MATCH(ROUNDUP((AI$1)/10,0)*10,[1]Hugst!$R$4:$W$4,0))))</f>
        <v>0</v>
      </c>
      <c r="AJ206" s="168">
        <f>IF($C206-AJ$1&lt;År1,0,AI205*(1-VLOOKUP($A206,[1]Hugst!$R$5:$W$9,MATCH(ROUNDUP((AJ$1)/10,0)*10,[1]Hugst!$R$4:$W$4,0))))</f>
        <v>0</v>
      </c>
    </row>
    <row r="207" spans="1:36" x14ac:dyDescent="0.25">
      <c r="A207" s="168" t="s">
        <v>179</v>
      </c>
      <c r="B207" s="168" t="s">
        <v>23</v>
      </c>
      <c r="C207" s="168">
        <v>2039</v>
      </c>
      <c r="D207" s="168" cm="1">
        <f t="array" ref="D207">(IF(B207="Vestdanmark",Skovbrug!$C$22-(Skovbrug!$C$22)*(1-Skovbrug!$C$9)^(C207-Skovbrug!$B$12),Skovbrug!$F$22-(Skovbrug!$F$22)*(1-Skovbrug!$C$9)^(C207-Skovbrug!$B$12))*VLOOKUP(A207,Skovbrug!$A$13:$D$17,IF('Skovbrug-alder'!C207&lt;=År2,3,4),FALSE)-IF(C207&gt;2020,SUM(INDEX($C$1:$D$311,MATCH(1,(2020=$C$1:$C$311)*(B207=$B$1:$B$311)*(A207=$A$1:$A$311),0),2):D206),0))</f>
        <v>0</v>
      </c>
      <c r="E207" s="168">
        <f t="shared" ca="1" si="4"/>
        <v>0</v>
      </c>
      <c r="F207" s="168">
        <f ca="1">IF(C207&lt;=År2,IF(B207="Vestdanmark",(Arealanvendelse!$M$27-Arealanvendelse!$J$27),(Arealanvendelse!$M$37-Arealanvendelse!$J$37))/(Arealanvendelse!$M$3-Arealanvendelse!$J$3),IF(B207="Vestdanmark",(Arealanvendelse!$P$27-Arealanvendelse!$M$27),(Arealanvendelse!$P$37-Arealanvendelse!$M$37))/(Arealanvendelse!$P$3-Arealanvendelse!$M$3))*VLOOKUP(A207,Skovbrug!$A$13:$D$17,IF('Skovbrug-alder'!C207&lt;=År2,3,4),FALSE)+D207+E207</f>
        <v>0</v>
      </c>
      <c r="G207" s="168">
        <f ca="1">IF($C207-G$1&lt;År1,0,F206*(1-VLOOKUP($A207,[1]Hugst!$R$5:$W$9,MATCH(ROUNDUP((G$1)/10,0)*10,[1]Hugst!$R$4:$W$4,0))))</f>
        <v>0</v>
      </c>
      <c r="H207" s="168">
        <f ca="1">IF($C207-H$1&lt;År1,0,G206*(1-VLOOKUP($A207,[1]Hugst!$R$5:$W$9,MATCH(ROUNDUP((H$1)/10,0)*10,[1]Hugst!$R$4:$W$4,0))))</f>
        <v>0</v>
      </c>
      <c r="I207" s="168">
        <f ca="1">IF($C207-I$1&lt;År1,0,H206*(1-VLOOKUP($A207,[1]Hugst!$R$5:$W$9,MATCH(ROUNDUP((I$1)/10,0)*10,[1]Hugst!$R$4:$W$4,0))))</f>
        <v>0</v>
      </c>
      <c r="J207" s="168">
        <f ca="1">IF($C207-J$1&lt;År1,0,I206*(1-VLOOKUP($A207,[1]Hugst!$R$5:$W$9,MATCH(ROUNDUP((J$1)/10,0)*10,[1]Hugst!$R$4:$W$4,0))))</f>
        <v>0</v>
      </c>
      <c r="K207" s="168">
        <f ca="1">IF($C207-K$1&lt;År1,0,J206*(1-VLOOKUP($A207,[1]Hugst!$R$5:$W$9,MATCH(ROUNDUP((K$1)/10,0)*10,[1]Hugst!$R$4:$W$4,0))))</f>
        <v>0</v>
      </c>
      <c r="L207" s="168">
        <f ca="1">IF($C207-L$1&lt;År1,0,K206*(1-VLOOKUP($A207,[1]Hugst!$R$5:$W$9,MATCH(ROUNDUP((L$1)/10,0)*10,[1]Hugst!$R$4:$W$4,0))))</f>
        <v>0</v>
      </c>
      <c r="M207" s="168">
        <f ca="1">IF($C207-M$1&lt;År1,0,L206*(1-VLOOKUP($A207,[1]Hugst!$R$5:$W$9,MATCH(ROUNDUP((M$1)/10,0)*10,[1]Hugst!$R$4:$W$4,0))))</f>
        <v>0</v>
      </c>
      <c r="N207" s="168">
        <f ca="1">IF($C207-N$1&lt;År1,0,M206*(1-VLOOKUP($A207,[1]Hugst!$R$5:$W$9,MATCH(ROUNDUP((N$1)/10,0)*10,[1]Hugst!$R$4:$W$4,0))))</f>
        <v>0</v>
      </c>
      <c r="O207" s="168">
        <f ca="1">IF($C207-O$1&lt;År1,0,N206*(1-VLOOKUP($A207,[1]Hugst!$R$5:$W$9,MATCH(ROUNDUP((O$1)/10,0)*10,[1]Hugst!$R$4:$W$4,0))))</f>
        <v>0</v>
      </c>
      <c r="P207" s="168">
        <f ca="1">IF($C207-P$1&lt;År1,0,O206*(1-VLOOKUP($A207,[1]Hugst!$R$5:$W$9,MATCH(ROUNDUP((P$1)/10,0)*10,[1]Hugst!$R$4:$W$4,0))))</f>
        <v>0</v>
      </c>
      <c r="Q207" s="168">
        <f ca="1">IF($C207-Q$1&lt;År1,0,P206*(1-VLOOKUP($A207,[1]Hugst!$R$5:$W$9,MATCH(ROUNDUP((Q$1)/10,0)*10,[1]Hugst!$R$4:$W$4,0))))</f>
        <v>0</v>
      </c>
      <c r="R207" s="168">
        <f ca="1">IF($C207-R$1&lt;År1,0,Q206*(1-VLOOKUP($A207,[1]Hugst!$R$5:$W$9,MATCH(ROUNDUP((R$1)/10,0)*10,[1]Hugst!$R$4:$W$4,0))))</f>
        <v>0</v>
      </c>
      <c r="S207" s="168">
        <f ca="1">IF($C207-S$1&lt;År1,0,R206*(1-VLOOKUP($A207,[1]Hugst!$R$5:$W$9,MATCH(ROUNDUP((S$1)/10,0)*10,[1]Hugst!$R$4:$W$4,0))))</f>
        <v>0</v>
      </c>
      <c r="T207" s="168">
        <f ca="1">IF($C207-T$1&lt;År1,0,S206*(1-VLOOKUP($A207,[1]Hugst!$R$5:$W$9,MATCH(ROUNDUP((T$1)/10,0)*10,[1]Hugst!$R$4:$W$4,0))))</f>
        <v>0</v>
      </c>
      <c r="U207" s="168">
        <f ca="1">IF($C207-U$1&lt;År1,0,T206*(1-VLOOKUP($A207,[1]Hugst!$R$5:$W$9,MATCH(ROUNDUP((U$1)/10,0)*10,[1]Hugst!$R$4:$W$4,0))))</f>
        <v>0</v>
      </c>
      <c r="V207" s="168">
        <f ca="1">IF($C207-V$1&lt;År1,0,U206*(1-VLOOKUP($A207,[1]Hugst!$R$5:$W$9,MATCH(ROUNDUP((V$1)/10,0)*10,[1]Hugst!$R$4:$W$4,0))))</f>
        <v>0</v>
      </c>
      <c r="W207" s="168">
        <f ca="1">IF($C207-W$1&lt;År1,0,V206*(1-VLOOKUP($A207,[1]Hugst!$R$5:$W$9,MATCH(ROUNDUP((W$1)/10,0)*10,[1]Hugst!$R$4:$W$4,0))))</f>
        <v>0</v>
      </c>
      <c r="X207" s="168">
        <f ca="1">IF($C207-X$1&lt;År1,0,W206*(1-VLOOKUP($A207,[1]Hugst!$R$5:$W$9,MATCH(ROUNDUP((X$1)/10,0)*10,[1]Hugst!$R$4:$W$4,0))))</f>
        <v>0</v>
      </c>
      <c r="Y207" s="168">
        <f ca="1">IF($C207-Y$1&lt;År1,0,X206*(1-VLOOKUP($A207,[1]Hugst!$R$5:$W$9,MATCH(ROUNDUP((Y$1)/10,0)*10,[1]Hugst!$R$4:$W$4,0))))</f>
        <v>0</v>
      </c>
      <c r="Z207" s="168">
        <f>IF($C207-Z$1&lt;År1,0,Y206*(1-VLOOKUP($A207,[1]Hugst!$R$5:$W$9,MATCH(ROUNDUP((Z$1)/10,0)*10,[1]Hugst!$R$4:$W$4,0))))</f>
        <v>0</v>
      </c>
      <c r="AA207" s="168">
        <f>IF($C207-AA$1&lt;År1,0,Z206*(1-VLOOKUP($A207,[1]Hugst!$R$5:$W$9,MATCH(ROUNDUP((AA$1)/10,0)*10,[1]Hugst!$R$4:$W$4,0))))</f>
        <v>0</v>
      </c>
      <c r="AB207" s="168">
        <f>IF($C207-AB$1&lt;År1,0,AA206*(1-VLOOKUP($A207,[1]Hugst!$R$5:$W$9,MATCH(ROUNDUP((AB$1)/10,0)*10,[1]Hugst!$R$4:$W$4,0))))</f>
        <v>0</v>
      </c>
      <c r="AC207" s="168">
        <f>IF($C207-AC$1&lt;År1,0,AB206*(1-VLOOKUP($A207,[1]Hugst!$R$5:$W$9,MATCH(ROUNDUP((AC$1)/10,0)*10,[1]Hugst!$R$4:$W$4,0))))</f>
        <v>0</v>
      </c>
      <c r="AD207" s="168">
        <f>IF($C207-AD$1&lt;År1,0,AC206*(1-VLOOKUP($A207,[1]Hugst!$R$5:$W$9,MATCH(ROUNDUP((AD$1)/10,0)*10,[1]Hugst!$R$4:$W$4,0))))</f>
        <v>0</v>
      </c>
      <c r="AE207" s="168">
        <f>IF($C207-AE$1&lt;År1,0,AD206*(1-VLOOKUP($A207,[1]Hugst!$R$5:$W$9,MATCH(ROUNDUP((AE$1)/10,0)*10,[1]Hugst!$R$4:$W$4,0))))</f>
        <v>0</v>
      </c>
      <c r="AF207" s="168">
        <f>IF($C207-AF$1&lt;År1,0,AE206*(1-VLOOKUP($A207,[1]Hugst!$R$5:$W$9,MATCH(ROUNDUP((AF$1)/10,0)*10,[1]Hugst!$R$4:$W$4,0))))</f>
        <v>0</v>
      </c>
      <c r="AG207" s="168">
        <f>IF($C207-AG$1&lt;År1,0,AF206*(1-VLOOKUP($A207,[1]Hugst!$R$5:$W$9,MATCH(ROUNDUP((AG$1)/10,0)*10,[1]Hugst!$R$4:$W$4,0))))</f>
        <v>0</v>
      </c>
      <c r="AH207" s="168">
        <f>IF($C207-AH$1&lt;År1,0,AG206*(1-VLOOKUP($A207,[1]Hugst!$R$5:$W$9,MATCH(ROUNDUP((AH$1)/10,0)*10,[1]Hugst!$R$4:$W$4,0))))</f>
        <v>0</v>
      </c>
      <c r="AI207" s="168">
        <f>IF($C207-AI$1&lt;År1,0,AH206*(1-VLOOKUP($A207,[1]Hugst!$R$5:$W$9,MATCH(ROUNDUP((AI$1)/10,0)*10,[1]Hugst!$R$4:$W$4,0))))</f>
        <v>0</v>
      </c>
      <c r="AJ207" s="168">
        <f>IF($C207-AJ$1&lt;År1,0,AI206*(1-VLOOKUP($A207,[1]Hugst!$R$5:$W$9,MATCH(ROUNDUP((AJ$1)/10,0)*10,[1]Hugst!$R$4:$W$4,0))))</f>
        <v>0</v>
      </c>
    </row>
    <row r="208" spans="1:36" x14ac:dyDescent="0.25">
      <c r="A208" s="168" t="s">
        <v>179</v>
      </c>
      <c r="B208" s="168" t="s">
        <v>23</v>
      </c>
      <c r="C208" s="168">
        <v>2040</v>
      </c>
      <c r="D208" s="168" cm="1">
        <f t="array" ref="D208">(IF(B208="Vestdanmark",Skovbrug!$C$22-(Skovbrug!$C$22)*(1-Skovbrug!$C$9)^(C208-Skovbrug!$B$12),Skovbrug!$F$22-(Skovbrug!$F$22)*(1-Skovbrug!$C$9)^(C208-Skovbrug!$B$12))*VLOOKUP(A208,Skovbrug!$A$13:$D$17,IF('Skovbrug-alder'!C208&lt;=År2,3,4),FALSE)-IF(C208&gt;2020,SUM(INDEX($C$1:$D$311,MATCH(1,(2020=$C$1:$C$311)*(B208=$B$1:$B$311)*(A208=$A$1:$A$311),0),2):D207),0))</f>
        <v>0</v>
      </c>
      <c r="E208" s="168">
        <f t="shared" ca="1" si="4"/>
        <v>0</v>
      </c>
      <c r="F208" s="168">
        <f ca="1">IF(C208&lt;=År2,IF(B208="Vestdanmark",(Arealanvendelse!$M$27-Arealanvendelse!$J$27),(Arealanvendelse!$M$37-Arealanvendelse!$J$37))/(Arealanvendelse!$M$3-Arealanvendelse!$J$3),IF(B208="Vestdanmark",(Arealanvendelse!$P$27-Arealanvendelse!$M$27),(Arealanvendelse!$P$37-Arealanvendelse!$M$37))/(Arealanvendelse!$P$3-Arealanvendelse!$M$3))*VLOOKUP(A208,Skovbrug!$A$13:$D$17,IF('Skovbrug-alder'!C208&lt;=År2,3,4),FALSE)+D208+E208</f>
        <v>0</v>
      </c>
      <c r="G208" s="168">
        <f ca="1">IF($C208-G$1&lt;År1,0,F207*(1-VLOOKUP($A208,[1]Hugst!$R$5:$W$9,MATCH(ROUNDUP((G$1)/10,0)*10,[1]Hugst!$R$4:$W$4,0))))</f>
        <v>0</v>
      </c>
      <c r="H208" s="168">
        <f ca="1">IF($C208-H$1&lt;År1,0,G207*(1-VLOOKUP($A208,[1]Hugst!$R$5:$W$9,MATCH(ROUNDUP((H$1)/10,0)*10,[1]Hugst!$R$4:$W$4,0))))</f>
        <v>0</v>
      </c>
      <c r="I208" s="168">
        <f ca="1">IF($C208-I$1&lt;År1,0,H207*(1-VLOOKUP($A208,[1]Hugst!$R$5:$W$9,MATCH(ROUNDUP((I$1)/10,0)*10,[1]Hugst!$R$4:$W$4,0))))</f>
        <v>0</v>
      </c>
      <c r="J208" s="168">
        <f ca="1">IF($C208-J$1&lt;År1,0,I207*(1-VLOOKUP($A208,[1]Hugst!$R$5:$W$9,MATCH(ROUNDUP((J$1)/10,0)*10,[1]Hugst!$R$4:$W$4,0))))</f>
        <v>0</v>
      </c>
      <c r="K208" s="168">
        <f ca="1">IF($C208-K$1&lt;År1,0,J207*(1-VLOOKUP($A208,[1]Hugst!$R$5:$W$9,MATCH(ROUNDUP((K$1)/10,0)*10,[1]Hugst!$R$4:$W$4,0))))</f>
        <v>0</v>
      </c>
      <c r="L208" s="168">
        <f ca="1">IF($C208-L$1&lt;År1,0,K207*(1-VLOOKUP($A208,[1]Hugst!$R$5:$W$9,MATCH(ROUNDUP((L$1)/10,0)*10,[1]Hugst!$R$4:$W$4,0))))</f>
        <v>0</v>
      </c>
      <c r="M208" s="168">
        <f ca="1">IF($C208-M$1&lt;År1,0,L207*(1-VLOOKUP($A208,[1]Hugst!$R$5:$W$9,MATCH(ROUNDUP((M$1)/10,0)*10,[1]Hugst!$R$4:$W$4,0))))</f>
        <v>0</v>
      </c>
      <c r="N208" s="168">
        <f ca="1">IF($C208-N$1&lt;År1,0,M207*(1-VLOOKUP($A208,[1]Hugst!$R$5:$W$9,MATCH(ROUNDUP((N$1)/10,0)*10,[1]Hugst!$R$4:$W$4,0))))</f>
        <v>0</v>
      </c>
      <c r="O208" s="168">
        <f ca="1">IF($C208-O$1&lt;År1,0,N207*(1-VLOOKUP($A208,[1]Hugst!$R$5:$W$9,MATCH(ROUNDUP((O$1)/10,0)*10,[1]Hugst!$R$4:$W$4,0))))</f>
        <v>0</v>
      </c>
      <c r="P208" s="168">
        <f ca="1">IF($C208-P$1&lt;År1,0,O207*(1-VLOOKUP($A208,[1]Hugst!$R$5:$W$9,MATCH(ROUNDUP((P$1)/10,0)*10,[1]Hugst!$R$4:$W$4,0))))</f>
        <v>0</v>
      </c>
      <c r="Q208" s="168">
        <f ca="1">IF($C208-Q$1&lt;År1,0,P207*(1-VLOOKUP($A208,[1]Hugst!$R$5:$W$9,MATCH(ROUNDUP((Q$1)/10,0)*10,[1]Hugst!$R$4:$W$4,0))))</f>
        <v>0</v>
      </c>
      <c r="R208" s="168">
        <f ca="1">IF($C208-R$1&lt;År1,0,Q207*(1-VLOOKUP($A208,[1]Hugst!$R$5:$W$9,MATCH(ROUNDUP((R$1)/10,0)*10,[1]Hugst!$R$4:$W$4,0))))</f>
        <v>0</v>
      </c>
      <c r="S208" s="168">
        <f ca="1">IF($C208-S$1&lt;År1,0,R207*(1-VLOOKUP($A208,[1]Hugst!$R$5:$W$9,MATCH(ROUNDUP((S$1)/10,0)*10,[1]Hugst!$R$4:$W$4,0))))</f>
        <v>0</v>
      </c>
      <c r="T208" s="168">
        <f ca="1">IF($C208-T$1&lt;År1,0,S207*(1-VLOOKUP($A208,[1]Hugst!$R$5:$W$9,MATCH(ROUNDUP((T$1)/10,0)*10,[1]Hugst!$R$4:$W$4,0))))</f>
        <v>0</v>
      </c>
      <c r="U208" s="168">
        <f ca="1">IF($C208-U$1&lt;År1,0,T207*(1-VLOOKUP($A208,[1]Hugst!$R$5:$W$9,MATCH(ROUNDUP((U$1)/10,0)*10,[1]Hugst!$R$4:$W$4,0))))</f>
        <v>0</v>
      </c>
      <c r="V208" s="168">
        <f ca="1">IF($C208-V$1&lt;År1,0,U207*(1-VLOOKUP($A208,[1]Hugst!$R$5:$W$9,MATCH(ROUNDUP((V$1)/10,0)*10,[1]Hugst!$R$4:$W$4,0))))</f>
        <v>0</v>
      </c>
      <c r="W208" s="168">
        <f ca="1">IF($C208-W$1&lt;År1,0,V207*(1-VLOOKUP($A208,[1]Hugst!$R$5:$W$9,MATCH(ROUNDUP((W$1)/10,0)*10,[1]Hugst!$R$4:$W$4,0))))</f>
        <v>0</v>
      </c>
      <c r="X208" s="168">
        <f ca="1">IF($C208-X$1&lt;År1,0,W207*(1-VLOOKUP($A208,[1]Hugst!$R$5:$W$9,MATCH(ROUNDUP((X$1)/10,0)*10,[1]Hugst!$R$4:$W$4,0))))</f>
        <v>0</v>
      </c>
      <c r="Y208" s="168">
        <f ca="1">IF($C208-Y$1&lt;År1,0,X207*(1-VLOOKUP($A208,[1]Hugst!$R$5:$W$9,MATCH(ROUNDUP((Y$1)/10,0)*10,[1]Hugst!$R$4:$W$4,0))))</f>
        <v>0</v>
      </c>
      <c r="Z208" s="168">
        <f ca="1">IF($C208-Z$1&lt;År1,0,Y207*(1-VLOOKUP($A208,[1]Hugst!$R$5:$W$9,MATCH(ROUNDUP((Z$1)/10,0)*10,[1]Hugst!$R$4:$W$4,0))))</f>
        <v>0</v>
      </c>
      <c r="AA208" s="168">
        <f>IF($C208-AA$1&lt;År1,0,Z207*(1-VLOOKUP($A208,[1]Hugst!$R$5:$W$9,MATCH(ROUNDUP((AA$1)/10,0)*10,[1]Hugst!$R$4:$W$4,0))))</f>
        <v>0</v>
      </c>
      <c r="AB208" s="168">
        <f>IF($C208-AB$1&lt;År1,0,AA207*(1-VLOOKUP($A208,[1]Hugst!$R$5:$W$9,MATCH(ROUNDUP((AB$1)/10,0)*10,[1]Hugst!$R$4:$W$4,0))))</f>
        <v>0</v>
      </c>
      <c r="AC208" s="168">
        <f>IF($C208-AC$1&lt;År1,0,AB207*(1-VLOOKUP($A208,[1]Hugst!$R$5:$W$9,MATCH(ROUNDUP((AC$1)/10,0)*10,[1]Hugst!$R$4:$W$4,0))))</f>
        <v>0</v>
      </c>
      <c r="AD208" s="168">
        <f>IF($C208-AD$1&lt;År1,0,AC207*(1-VLOOKUP($A208,[1]Hugst!$R$5:$W$9,MATCH(ROUNDUP((AD$1)/10,0)*10,[1]Hugst!$R$4:$W$4,0))))</f>
        <v>0</v>
      </c>
      <c r="AE208" s="168">
        <f>IF($C208-AE$1&lt;År1,0,AD207*(1-VLOOKUP($A208,[1]Hugst!$R$5:$W$9,MATCH(ROUNDUP((AE$1)/10,0)*10,[1]Hugst!$R$4:$W$4,0))))</f>
        <v>0</v>
      </c>
      <c r="AF208" s="168">
        <f>IF($C208-AF$1&lt;År1,0,AE207*(1-VLOOKUP($A208,[1]Hugst!$R$5:$W$9,MATCH(ROUNDUP((AF$1)/10,0)*10,[1]Hugst!$R$4:$W$4,0))))</f>
        <v>0</v>
      </c>
      <c r="AG208" s="168">
        <f>IF($C208-AG$1&lt;År1,0,AF207*(1-VLOOKUP($A208,[1]Hugst!$R$5:$W$9,MATCH(ROUNDUP((AG$1)/10,0)*10,[1]Hugst!$R$4:$W$4,0))))</f>
        <v>0</v>
      </c>
      <c r="AH208" s="168">
        <f>IF($C208-AH$1&lt;År1,0,AG207*(1-VLOOKUP($A208,[1]Hugst!$R$5:$W$9,MATCH(ROUNDUP((AH$1)/10,0)*10,[1]Hugst!$R$4:$W$4,0))))</f>
        <v>0</v>
      </c>
      <c r="AI208" s="168">
        <f>IF($C208-AI$1&lt;År1,0,AH207*(1-VLOOKUP($A208,[1]Hugst!$R$5:$W$9,MATCH(ROUNDUP((AI$1)/10,0)*10,[1]Hugst!$R$4:$W$4,0))))</f>
        <v>0</v>
      </c>
      <c r="AJ208" s="168">
        <f>IF($C208-AJ$1&lt;År1,0,AI207*(1-VLOOKUP($A208,[1]Hugst!$R$5:$W$9,MATCH(ROUNDUP((AJ$1)/10,0)*10,[1]Hugst!$R$4:$W$4,0))))</f>
        <v>0</v>
      </c>
    </row>
    <row r="209" spans="1:36" x14ac:dyDescent="0.25">
      <c r="A209" s="168" t="s">
        <v>179</v>
      </c>
      <c r="B209" s="168" t="s">
        <v>23</v>
      </c>
      <c r="C209" s="168">
        <v>2041</v>
      </c>
      <c r="D209" s="168" cm="1">
        <f t="array" ref="D209">(IF(B209="Vestdanmark",Skovbrug!$C$22-(Skovbrug!$C$22)*(1-Skovbrug!$C$9)^(C209-Skovbrug!$B$12),Skovbrug!$F$22-(Skovbrug!$F$22)*(1-Skovbrug!$C$9)^(C209-Skovbrug!$B$12))*VLOOKUP(A209,Skovbrug!$A$13:$D$17,IF('Skovbrug-alder'!C209&lt;=År2,3,4),FALSE)-IF(C209&gt;2020,SUM(INDEX($C$1:$D$311,MATCH(1,(2020=$C$1:$C$311)*(B209=$B$1:$B$311)*(A209=$A$1:$A$311),0),2):D208),0))</f>
        <v>0</v>
      </c>
      <c r="E209" s="168">
        <f t="shared" ca="1" si="4"/>
        <v>0</v>
      </c>
      <c r="F209" s="168">
        <f ca="1">IF(C209&lt;=År2,IF(B209="Vestdanmark",(Arealanvendelse!$M$27-Arealanvendelse!$J$27),(Arealanvendelse!$M$37-Arealanvendelse!$J$37))/(Arealanvendelse!$M$3-Arealanvendelse!$J$3),IF(B209="Vestdanmark",(Arealanvendelse!$P$27-Arealanvendelse!$M$27),(Arealanvendelse!$P$37-Arealanvendelse!$M$37))/(Arealanvendelse!$P$3-Arealanvendelse!$M$3))*VLOOKUP(A209,Skovbrug!$A$13:$D$17,IF('Skovbrug-alder'!C209&lt;=År2,3,4),FALSE)+D209+E209</f>
        <v>0</v>
      </c>
      <c r="G209" s="168">
        <f ca="1">IF($C209-G$1&lt;År1,0,F208*(1-VLOOKUP($A209,[1]Hugst!$R$5:$W$9,MATCH(ROUNDUP((G$1)/10,0)*10,[1]Hugst!$R$4:$W$4,0))))</f>
        <v>0</v>
      </c>
      <c r="H209" s="168">
        <f ca="1">IF($C209-H$1&lt;År1,0,G208*(1-VLOOKUP($A209,[1]Hugst!$R$5:$W$9,MATCH(ROUNDUP((H$1)/10,0)*10,[1]Hugst!$R$4:$W$4,0))))</f>
        <v>0</v>
      </c>
      <c r="I209" s="168">
        <f ca="1">IF($C209-I$1&lt;År1,0,H208*(1-VLOOKUP($A209,[1]Hugst!$R$5:$W$9,MATCH(ROUNDUP((I$1)/10,0)*10,[1]Hugst!$R$4:$W$4,0))))</f>
        <v>0</v>
      </c>
      <c r="J209" s="168">
        <f ca="1">IF($C209-J$1&lt;År1,0,I208*(1-VLOOKUP($A209,[1]Hugst!$R$5:$W$9,MATCH(ROUNDUP((J$1)/10,0)*10,[1]Hugst!$R$4:$W$4,0))))</f>
        <v>0</v>
      </c>
      <c r="K209" s="168">
        <f ca="1">IF($C209-K$1&lt;År1,0,J208*(1-VLOOKUP($A209,[1]Hugst!$R$5:$W$9,MATCH(ROUNDUP((K$1)/10,0)*10,[1]Hugst!$R$4:$W$4,0))))</f>
        <v>0</v>
      </c>
      <c r="L209" s="168">
        <f ca="1">IF($C209-L$1&lt;År1,0,K208*(1-VLOOKUP($A209,[1]Hugst!$R$5:$W$9,MATCH(ROUNDUP((L$1)/10,0)*10,[1]Hugst!$R$4:$W$4,0))))</f>
        <v>0</v>
      </c>
      <c r="M209" s="168">
        <f ca="1">IF($C209-M$1&lt;År1,0,L208*(1-VLOOKUP($A209,[1]Hugst!$R$5:$W$9,MATCH(ROUNDUP((M$1)/10,0)*10,[1]Hugst!$R$4:$W$4,0))))</f>
        <v>0</v>
      </c>
      <c r="N209" s="168">
        <f ca="1">IF($C209-N$1&lt;År1,0,M208*(1-VLOOKUP($A209,[1]Hugst!$R$5:$W$9,MATCH(ROUNDUP((N$1)/10,0)*10,[1]Hugst!$R$4:$W$4,0))))</f>
        <v>0</v>
      </c>
      <c r="O209" s="168">
        <f ca="1">IF($C209-O$1&lt;År1,0,N208*(1-VLOOKUP($A209,[1]Hugst!$R$5:$W$9,MATCH(ROUNDUP((O$1)/10,0)*10,[1]Hugst!$R$4:$W$4,0))))</f>
        <v>0</v>
      </c>
      <c r="P209" s="168">
        <f ca="1">IF($C209-P$1&lt;År1,0,O208*(1-VLOOKUP($A209,[1]Hugst!$R$5:$W$9,MATCH(ROUNDUP((P$1)/10,0)*10,[1]Hugst!$R$4:$W$4,0))))</f>
        <v>0</v>
      </c>
      <c r="Q209" s="168">
        <f ca="1">IF($C209-Q$1&lt;År1,0,P208*(1-VLOOKUP($A209,[1]Hugst!$R$5:$W$9,MATCH(ROUNDUP((Q$1)/10,0)*10,[1]Hugst!$R$4:$W$4,0))))</f>
        <v>0</v>
      </c>
      <c r="R209" s="168">
        <f ca="1">IF($C209-R$1&lt;År1,0,Q208*(1-VLOOKUP($A209,[1]Hugst!$R$5:$W$9,MATCH(ROUNDUP((R$1)/10,0)*10,[1]Hugst!$R$4:$W$4,0))))</f>
        <v>0</v>
      </c>
      <c r="S209" s="168">
        <f ca="1">IF($C209-S$1&lt;År1,0,R208*(1-VLOOKUP($A209,[1]Hugst!$R$5:$W$9,MATCH(ROUNDUP((S$1)/10,0)*10,[1]Hugst!$R$4:$W$4,0))))</f>
        <v>0</v>
      </c>
      <c r="T209" s="168">
        <f ca="1">IF($C209-T$1&lt;År1,0,S208*(1-VLOOKUP($A209,[1]Hugst!$R$5:$W$9,MATCH(ROUNDUP((T$1)/10,0)*10,[1]Hugst!$R$4:$W$4,0))))</f>
        <v>0</v>
      </c>
      <c r="U209" s="168">
        <f ca="1">IF($C209-U$1&lt;År1,0,T208*(1-VLOOKUP($A209,[1]Hugst!$R$5:$W$9,MATCH(ROUNDUP((U$1)/10,0)*10,[1]Hugst!$R$4:$W$4,0))))</f>
        <v>0</v>
      </c>
      <c r="V209" s="168">
        <f ca="1">IF($C209-V$1&lt;År1,0,U208*(1-VLOOKUP($A209,[1]Hugst!$R$5:$W$9,MATCH(ROUNDUP((V$1)/10,0)*10,[1]Hugst!$R$4:$W$4,0))))</f>
        <v>0</v>
      </c>
      <c r="W209" s="168">
        <f ca="1">IF($C209-W$1&lt;År1,0,V208*(1-VLOOKUP($A209,[1]Hugst!$R$5:$W$9,MATCH(ROUNDUP((W$1)/10,0)*10,[1]Hugst!$R$4:$W$4,0))))</f>
        <v>0</v>
      </c>
      <c r="X209" s="168">
        <f ca="1">IF($C209-X$1&lt;År1,0,W208*(1-VLOOKUP($A209,[1]Hugst!$R$5:$W$9,MATCH(ROUNDUP((X$1)/10,0)*10,[1]Hugst!$R$4:$W$4,0))))</f>
        <v>0</v>
      </c>
      <c r="Y209" s="168">
        <f ca="1">IF($C209-Y$1&lt;År1,0,X208*(1-VLOOKUP($A209,[1]Hugst!$R$5:$W$9,MATCH(ROUNDUP((Y$1)/10,0)*10,[1]Hugst!$R$4:$W$4,0))))</f>
        <v>0</v>
      </c>
      <c r="Z209" s="168">
        <f ca="1">IF($C209-Z$1&lt;År1,0,Y208*(1-VLOOKUP($A209,[1]Hugst!$R$5:$W$9,MATCH(ROUNDUP((Z$1)/10,0)*10,[1]Hugst!$R$4:$W$4,0))))</f>
        <v>0</v>
      </c>
      <c r="AA209" s="168">
        <f ca="1">IF($C209-AA$1&lt;År1,0,Z208*(1-VLOOKUP($A209,[1]Hugst!$R$5:$W$9,MATCH(ROUNDUP((AA$1)/10,0)*10,[1]Hugst!$R$4:$W$4,0))))</f>
        <v>0</v>
      </c>
      <c r="AB209" s="168">
        <f>IF($C209-AB$1&lt;År1,0,AA208*(1-VLOOKUP($A209,[1]Hugst!$R$5:$W$9,MATCH(ROUNDUP((AB$1)/10,0)*10,[1]Hugst!$R$4:$W$4,0))))</f>
        <v>0</v>
      </c>
      <c r="AC209" s="168">
        <f>IF($C209-AC$1&lt;År1,0,AB208*(1-VLOOKUP($A209,[1]Hugst!$R$5:$W$9,MATCH(ROUNDUP((AC$1)/10,0)*10,[1]Hugst!$R$4:$W$4,0))))</f>
        <v>0</v>
      </c>
      <c r="AD209" s="168">
        <f>IF($C209-AD$1&lt;År1,0,AC208*(1-VLOOKUP($A209,[1]Hugst!$R$5:$W$9,MATCH(ROUNDUP((AD$1)/10,0)*10,[1]Hugst!$R$4:$W$4,0))))</f>
        <v>0</v>
      </c>
      <c r="AE209" s="168">
        <f>IF($C209-AE$1&lt;År1,0,AD208*(1-VLOOKUP($A209,[1]Hugst!$R$5:$W$9,MATCH(ROUNDUP((AE$1)/10,0)*10,[1]Hugst!$R$4:$W$4,0))))</f>
        <v>0</v>
      </c>
      <c r="AF209" s="168">
        <f>IF($C209-AF$1&lt;År1,0,AE208*(1-VLOOKUP($A209,[1]Hugst!$R$5:$W$9,MATCH(ROUNDUP((AF$1)/10,0)*10,[1]Hugst!$R$4:$W$4,0))))</f>
        <v>0</v>
      </c>
      <c r="AG209" s="168">
        <f>IF($C209-AG$1&lt;År1,0,AF208*(1-VLOOKUP($A209,[1]Hugst!$R$5:$W$9,MATCH(ROUNDUP((AG$1)/10,0)*10,[1]Hugst!$R$4:$W$4,0))))</f>
        <v>0</v>
      </c>
      <c r="AH209" s="168">
        <f>IF($C209-AH$1&lt;År1,0,AG208*(1-VLOOKUP($A209,[1]Hugst!$R$5:$W$9,MATCH(ROUNDUP((AH$1)/10,0)*10,[1]Hugst!$R$4:$W$4,0))))</f>
        <v>0</v>
      </c>
      <c r="AI209" s="168">
        <f>IF($C209-AI$1&lt;År1,0,AH208*(1-VLOOKUP($A209,[1]Hugst!$R$5:$W$9,MATCH(ROUNDUP((AI$1)/10,0)*10,[1]Hugst!$R$4:$W$4,0))))</f>
        <v>0</v>
      </c>
      <c r="AJ209" s="168">
        <f>IF($C209-AJ$1&lt;År1,0,AI208*(1-VLOOKUP($A209,[1]Hugst!$R$5:$W$9,MATCH(ROUNDUP((AJ$1)/10,0)*10,[1]Hugst!$R$4:$W$4,0))))</f>
        <v>0</v>
      </c>
    </row>
    <row r="210" spans="1:36" x14ac:dyDescent="0.25">
      <c r="A210" s="168" t="s">
        <v>179</v>
      </c>
      <c r="B210" s="168" t="s">
        <v>23</v>
      </c>
      <c r="C210" s="168">
        <v>2042</v>
      </c>
      <c r="D210" s="168" cm="1">
        <f t="array" ref="D210">(IF(B210="Vestdanmark",Skovbrug!$C$22-(Skovbrug!$C$22)*(1-Skovbrug!$C$9)^(C210-Skovbrug!$B$12),Skovbrug!$F$22-(Skovbrug!$F$22)*(1-Skovbrug!$C$9)^(C210-Skovbrug!$B$12))*VLOOKUP(A210,Skovbrug!$A$13:$D$17,IF('Skovbrug-alder'!C210&lt;=År2,3,4),FALSE)-IF(C210&gt;2020,SUM(INDEX($C$1:$D$311,MATCH(1,(2020=$C$1:$C$311)*(B210=$B$1:$B$311)*(A210=$A$1:$A$311),0),2):D209),0))</f>
        <v>0</v>
      </c>
      <c r="E210" s="168">
        <f t="shared" ca="1" si="4"/>
        <v>0</v>
      </c>
      <c r="F210" s="168">
        <f ca="1">IF(C210&lt;=År2,IF(B210="Vestdanmark",(Arealanvendelse!$M$27-Arealanvendelse!$J$27),(Arealanvendelse!$M$37-Arealanvendelse!$J$37))/(Arealanvendelse!$M$3-Arealanvendelse!$J$3),IF(B210="Vestdanmark",(Arealanvendelse!$P$27-Arealanvendelse!$M$27),(Arealanvendelse!$P$37-Arealanvendelse!$M$37))/(Arealanvendelse!$P$3-Arealanvendelse!$M$3))*VLOOKUP(A210,Skovbrug!$A$13:$D$17,IF('Skovbrug-alder'!C210&lt;=År2,3,4),FALSE)+D210+E210</f>
        <v>0</v>
      </c>
      <c r="G210" s="168">
        <f ca="1">IF($C210-G$1&lt;År1,0,F209*(1-VLOOKUP($A210,[1]Hugst!$R$5:$W$9,MATCH(ROUNDUP((G$1)/10,0)*10,[1]Hugst!$R$4:$W$4,0))))</f>
        <v>0</v>
      </c>
      <c r="H210" s="168">
        <f ca="1">IF($C210-H$1&lt;År1,0,G209*(1-VLOOKUP($A210,[1]Hugst!$R$5:$W$9,MATCH(ROUNDUP((H$1)/10,0)*10,[1]Hugst!$R$4:$W$4,0))))</f>
        <v>0</v>
      </c>
      <c r="I210" s="168">
        <f ca="1">IF($C210-I$1&lt;År1,0,H209*(1-VLOOKUP($A210,[1]Hugst!$R$5:$W$9,MATCH(ROUNDUP((I$1)/10,0)*10,[1]Hugst!$R$4:$W$4,0))))</f>
        <v>0</v>
      </c>
      <c r="J210" s="168">
        <f ca="1">IF($C210-J$1&lt;År1,0,I209*(1-VLOOKUP($A210,[1]Hugst!$R$5:$W$9,MATCH(ROUNDUP((J$1)/10,0)*10,[1]Hugst!$R$4:$W$4,0))))</f>
        <v>0</v>
      </c>
      <c r="K210" s="168">
        <f ca="1">IF($C210-K$1&lt;År1,0,J209*(1-VLOOKUP($A210,[1]Hugst!$R$5:$W$9,MATCH(ROUNDUP((K$1)/10,0)*10,[1]Hugst!$R$4:$W$4,0))))</f>
        <v>0</v>
      </c>
      <c r="L210" s="168">
        <f ca="1">IF($C210-L$1&lt;År1,0,K209*(1-VLOOKUP($A210,[1]Hugst!$R$5:$W$9,MATCH(ROUNDUP((L$1)/10,0)*10,[1]Hugst!$R$4:$W$4,0))))</f>
        <v>0</v>
      </c>
      <c r="M210" s="168">
        <f ca="1">IF($C210-M$1&lt;År1,0,L209*(1-VLOOKUP($A210,[1]Hugst!$R$5:$W$9,MATCH(ROUNDUP((M$1)/10,0)*10,[1]Hugst!$R$4:$W$4,0))))</f>
        <v>0</v>
      </c>
      <c r="N210" s="168">
        <f ca="1">IF($C210-N$1&lt;År1,0,M209*(1-VLOOKUP($A210,[1]Hugst!$R$5:$W$9,MATCH(ROUNDUP((N$1)/10,0)*10,[1]Hugst!$R$4:$W$4,0))))</f>
        <v>0</v>
      </c>
      <c r="O210" s="168">
        <f ca="1">IF($C210-O$1&lt;År1,0,N209*(1-VLOOKUP($A210,[1]Hugst!$R$5:$W$9,MATCH(ROUNDUP((O$1)/10,0)*10,[1]Hugst!$R$4:$W$4,0))))</f>
        <v>0</v>
      </c>
      <c r="P210" s="168">
        <f ca="1">IF($C210-P$1&lt;År1,0,O209*(1-VLOOKUP($A210,[1]Hugst!$R$5:$W$9,MATCH(ROUNDUP((P$1)/10,0)*10,[1]Hugst!$R$4:$W$4,0))))</f>
        <v>0</v>
      </c>
      <c r="Q210" s="168">
        <f ca="1">IF($C210-Q$1&lt;År1,0,P209*(1-VLOOKUP($A210,[1]Hugst!$R$5:$W$9,MATCH(ROUNDUP((Q$1)/10,0)*10,[1]Hugst!$R$4:$W$4,0))))</f>
        <v>0</v>
      </c>
      <c r="R210" s="168">
        <f ca="1">IF($C210-R$1&lt;År1,0,Q209*(1-VLOOKUP($A210,[1]Hugst!$R$5:$W$9,MATCH(ROUNDUP((R$1)/10,0)*10,[1]Hugst!$R$4:$W$4,0))))</f>
        <v>0</v>
      </c>
      <c r="S210" s="168">
        <f ca="1">IF($C210-S$1&lt;År1,0,R209*(1-VLOOKUP($A210,[1]Hugst!$R$5:$W$9,MATCH(ROUNDUP((S$1)/10,0)*10,[1]Hugst!$R$4:$W$4,0))))</f>
        <v>0</v>
      </c>
      <c r="T210" s="168">
        <f ca="1">IF($C210-T$1&lt;År1,0,S209*(1-VLOOKUP($A210,[1]Hugst!$R$5:$W$9,MATCH(ROUNDUP((T$1)/10,0)*10,[1]Hugst!$R$4:$W$4,0))))</f>
        <v>0</v>
      </c>
      <c r="U210" s="168">
        <f ca="1">IF($C210-U$1&lt;År1,0,T209*(1-VLOOKUP($A210,[1]Hugst!$R$5:$W$9,MATCH(ROUNDUP((U$1)/10,0)*10,[1]Hugst!$R$4:$W$4,0))))</f>
        <v>0</v>
      </c>
      <c r="V210" s="168">
        <f ca="1">IF($C210-V$1&lt;År1,0,U209*(1-VLOOKUP($A210,[1]Hugst!$R$5:$W$9,MATCH(ROUNDUP((V$1)/10,0)*10,[1]Hugst!$R$4:$W$4,0))))</f>
        <v>0</v>
      </c>
      <c r="W210" s="168">
        <f ca="1">IF($C210-W$1&lt;År1,0,V209*(1-VLOOKUP($A210,[1]Hugst!$R$5:$W$9,MATCH(ROUNDUP((W$1)/10,0)*10,[1]Hugst!$R$4:$W$4,0))))</f>
        <v>0</v>
      </c>
      <c r="X210" s="168">
        <f ca="1">IF($C210-X$1&lt;År1,0,W209*(1-VLOOKUP($A210,[1]Hugst!$R$5:$W$9,MATCH(ROUNDUP((X$1)/10,0)*10,[1]Hugst!$R$4:$W$4,0))))</f>
        <v>0</v>
      </c>
      <c r="Y210" s="168">
        <f ca="1">IF($C210-Y$1&lt;År1,0,X209*(1-VLOOKUP($A210,[1]Hugst!$R$5:$W$9,MATCH(ROUNDUP((Y$1)/10,0)*10,[1]Hugst!$R$4:$W$4,0))))</f>
        <v>0</v>
      </c>
      <c r="Z210" s="168">
        <f ca="1">IF($C210-Z$1&lt;År1,0,Y209*(1-VLOOKUP($A210,[1]Hugst!$R$5:$W$9,MATCH(ROUNDUP((Z$1)/10,0)*10,[1]Hugst!$R$4:$W$4,0))))</f>
        <v>0</v>
      </c>
      <c r="AA210" s="168">
        <f ca="1">IF($C210-AA$1&lt;År1,0,Z209*(1-VLOOKUP($A210,[1]Hugst!$R$5:$W$9,MATCH(ROUNDUP((AA$1)/10,0)*10,[1]Hugst!$R$4:$W$4,0))))</f>
        <v>0</v>
      </c>
      <c r="AB210" s="168">
        <f ca="1">IF($C210-AB$1&lt;År1,0,AA209*(1-VLOOKUP($A210,[1]Hugst!$R$5:$W$9,MATCH(ROUNDUP((AB$1)/10,0)*10,[1]Hugst!$R$4:$W$4,0))))</f>
        <v>0</v>
      </c>
      <c r="AC210" s="168">
        <f>IF($C210-AC$1&lt;År1,0,AB209*(1-VLOOKUP($A210,[1]Hugst!$R$5:$W$9,MATCH(ROUNDUP((AC$1)/10,0)*10,[1]Hugst!$R$4:$W$4,0))))</f>
        <v>0</v>
      </c>
      <c r="AD210" s="168">
        <f>IF($C210-AD$1&lt;År1,0,AC209*(1-VLOOKUP($A210,[1]Hugst!$R$5:$W$9,MATCH(ROUNDUP((AD$1)/10,0)*10,[1]Hugst!$R$4:$W$4,0))))</f>
        <v>0</v>
      </c>
      <c r="AE210" s="168">
        <f>IF($C210-AE$1&lt;År1,0,AD209*(1-VLOOKUP($A210,[1]Hugst!$R$5:$W$9,MATCH(ROUNDUP((AE$1)/10,0)*10,[1]Hugst!$R$4:$W$4,0))))</f>
        <v>0</v>
      </c>
      <c r="AF210" s="168">
        <f>IF($C210-AF$1&lt;År1,0,AE209*(1-VLOOKUP($A210,[1]Hugst!$R$5:$W$9,MATCH(ROUNDUP((AF$1)/10,0)*10,[1]Hugst!$R$4:$W$4,0))))</f>
        <v>0</v>
      </c>
      <c r="AG210" s="168">
        <f>IF($C210-AG$1&lt;År1,0,AF209*(1-VLOOKUP($A210,[1]Hugst!$R$5:$W$9,MATCH(ROUNDUP((AG$1)/10,0)*10,[1]Hugst!$R$4:$W$4,0))))</f>
        <v>0</v>
      </c>
      <c r="AH210" s="168">
        <f>IF($C210-AH$1&lt;År1,0,AG209*(1-VLOOKUP($A210,[1]Hugst!$R$5:$W$9,MATCH(ROUNDUP((AH$1)/10,0)*10,[1]Hugst!$R$4:$W$4,0))))</f>
        <v>0</v>
      </c>
      <c r="AI210" s="168">
        <f>IF($C210-AI$1&lt;År1,0,AH209*(1-VLOOKUP($A210,[1]Hugst!$R$5:$W$9,MATCH(ROUNDUP((AI$1)/10,0)*10,[1]Hugst!$R$4:$W$4,0))))</f>
        <v>0</v>
      </c>
      <c r="AJ210" s="168">
        <f>IF($C210-AJ$1&lt;År1,0,AI209*(1-VLOOKUP($A210,[1]Hugst!$R$5:$W$9,MATCH(ROUNDUP((AJ$1)/10,0)*10,[1]Hugst!$R$4:$W$4,0))))</f>
        <v>0</v>
      </c>
    </row>
    <row r="211" spans="1:36" x14ac:dyDescent="0.25">
      <c r="A211" s="168" t="s">
        <v>179</v>
      </c>
      <c r="B211" s="168" t="s">
        <v>23</v>
      </c>
      <c r="C211" s="168">
        <v>2043</v>
      </c>
      <c r="D211" s="168" cm="1">
        <f t="array" ref="D211">(IF(B211="Vestdanmark",Skovbrug!$C$22-(Skovbrug!$C$22)*(1-Skovbrug!$C$9)^(C211-Skovbrug!$B$12),Skovbrug!$F$22-(Skovbrug!$F$22)*(1-Skovbrug!$C$9)^(C211-Skovbrug!$B$12))*VLOOKUP(A211,Skovbrug!$A$13:$D$17,IF('Skovbrug-alder'!C211&lt;=År2,3,4),FALSE)-IF(C211&gt;2020,SUM(INDEX($C$1:$D$311,MATCH(1,(2020=$C$1:$C$311)*(B211=$B$1:$B$311)*(A211=$A$1:$A$311),0),2):D210),0))</f>
        <v>0</v>
      </c>
      <c r="E211" s="168">
        <f t="shared" ca="1" si="4"/>
        <v>0</v>
      </c>
      <c r="F211" s="168">
        <f ca="1">IF(C211&lt;=År2,IF(B211="Vestdanmark",(Arealanvendelse!$M$27-Arealanvendelse!$J$27),(Arealanvendelse!$M$37-Arealanvendelse!$J$37))/(Arealanvendelse!$M$3-Arealanvendelse!$J$3),IF(B211="Vestdanmark",(Arealanvendelse!$P$27-Arealanvendelse!$M$27),(Arealanvendelse!$P$37-Arealanvendelse!$M$37))/(Arealanvendelse!$P$3-Arealanvendelse!$M$3))*VLOOKUP(A211,Skovbrug!$A$13:$D$17,IF('Skovbrug-alder'!C211&lt;=År2,3,4),FALSE)+D211+E211</f>
        <v>0</v>
      </c>
      <c r="G211" s="168">
        <f ca="1">IF($C211-G$1&lt;År1,0,F210*(1-VLOOKUP($A211,[1]Hugst!$R$5:$W$9,MATCH(ROUNDUP((G$1)/10,0)*10,[1]Hugst!$R$4:$W$4,0))))</f>
        <v>0</v>
      </c>
      <c r="H211" s="168">
        <f ca="1">IF($C211-H$1&lt;År1,0,G210*(1-VLOOKUP($A211,[1]Hugst!$R$5:$W$9,MATCH(ROUNDUP((H$1)/10,0)*10,[1]Hugst!$R$4:$W$4,0))))</f>
        <v>0</v>
      </c>
      <c r="I211" s="168">
        <f ca="1">IF($C211-I$1&lt;År1,0,H210*(1-VLOOKUP($A211,[1]Hugst!$R$5:$W$9,MATCH(ROUNDUP((I$1)/10,0)*10,[1]Hugst!$R$4:$W$4,0))))</f>
        <v>0</v>
      </c>
      <c r="J211" s="168">
        <f ca="1">IF($C211-J$1&lt;År1,0,I210*(1-VLOOKUP($A211,[1]Hugst!$R$5:$W$9,MATCH(ROUNDUP((J$1)/10,0)*10,[1]Hugst!$R$4:$W$4,0))))</f>
        <v>0</v>
      </c>
      <c r="K211" s="168">
        <f ca="1">IF($C211-K$1&lt;År1,0,J210*(1-VLOOKUP($A211,[1]Hugst!$R$5:$W$9,MATCH(ROUNDUP((K$1)/10,0)*10,[1]Hugst!$R$4:$W$4,0))))</f>
        <v>0</v>
      </c>
      <c r="L211" s="168">
        <f ca="1">IF($C211-L$1&lt;År1,0,K210*(1-VLOOKUP($A211,[1]Hugst!$R$5:$W$9,MATCH(ROUNDUP((L$1)/10,0)*10,[1]Hugst!$R$4:$W$4,0))))</f>
        <v>0</v>
      </c>
      <c r="M211" s="168">
        <f ca="1">IF($C211-M$1&lt;År1,0,L210*(1-VLOOKUP($A211,[1]Hugst!$R$5:$W$9,MATCH(ROUNDUP((M$1)/10,0)*10,[1]Hugst!$R$4:$W$4,0))))</f>
        <v>0</v>
      </c>
      <c r="N211" s="168">
        <f ca="1">IF($C211-N$1&lt;År1,0,M210*(1-VLOOKUP($A211,[1]Hugst!$R$5:$W$9,MATCH(ROUNDUP((N$1)/10,0)*10,[1]Hugst!$R$4:$W$4,0))))</f>
        <v>0</v>
      </c>
      <c r="O211" s="168">
        <f ca="1">IF($C211-O$1&lt;År1,0,N210*(1-VLOOKUP($A211,[1]Hugst!$R$5:$W$9,MATCH(ROUNDUP((O$1)/10,0)*10,[1]Hugst!$R$4:$W$4,0))))</f>
        <v>0</v>
      </c>
      <c r="P211" s="168">
        <f ca="1">IF($C211-P$1&lt;År1,0,O210*(1-VLOOKUP($A211,[1]Hugst!$R$5:$W$9,MATCH(ROUNDUP((P$1)/10,0)*10,[1]Hugst!$R$4:$W$4,0))))</f>
        <v>0</v>
      </c>
      <c r="Q211" s="168">
        <f ca="1">IF($C211-Q$1&lt;År1,0,P210*(1-VLOOKUP($A211,[1]Hugst!$R$5:$W$9,MATCH(ROUNDUP((Q$1)/10,0)*10,[1]Hugst!$R$4:$W$4,0))))</f>
        <v>0</v>
      </c>
      <c r="R211" s="168">
        <f ca="1">IF($C211-R$1&lt;År1,0,Q210*(1-VLOOKUP($A211,[1]Hugst!$R$5:$W$9,MATCH(ROUNDUP((R$1)/10,0)*10,[1]Hugst!$R$4:$W$4,0))))</f>
        <v>0</v>
      </c>
      <c r="S211" s="168">
        <f ca="1">IF($C211-S$1&lt;År1,0,R210*(1-VLOOKUP($A211,[1]Hugst!$R$5:$W$9,MATCH(ROUNDUP((S$1)/10,0)*10,[1]Hugst!$R$4:$W$4,0))))</f>
        <v>0</v>
      </c>
      <c r="T211" s="168">
        <f ca="1">IF($C211-T$1&lt;År1,0,S210*(1-VLOOKUP($A211,[1]Hugst!$R$5:$W$9,MATCH(ROUNDUP((T$1)/10,0)*10,[1]Hugst!$R$4:$W$4,0))))</f>
        <v>0</v>
      </c>
      <c r="U211" s="168">
        <f ca="1">IF($C211-U$1&lt;År1,0,T210*(1-VLOOKUP($A211,[1]Hugst!$R$5:$W$9,MATCH(ROUNDUP((U$1)/10,0)*10,[1]Hugst!$R$4:$W$4,0))))</f>
        <v>0</v>
      </c>
      <c r="V211" s="168">
        <f ca="1">IF($C211-V$1&lt;År1,0,U210*(1-VLOOKUP($A211,[1]Hugst!$R$5:$W$9,MATCH(ROUNDUP((V$1)/10,0)*10,[1]Hugst!$R$4:$W$4,0))))</f>
        <v>0</v>
      </c>
      <c r="W211" s="168">
        <f ca="1">IF($C211-W$1&lt;År1,0,V210*(1-VLOOKUP($A211,[1]Hugst!$R$5:$W$9,MATCH(ROUNDUP((W$1)/10,0)*10,[1]Hugst!$R$4:$W$4,0))))</f>
        <v>0</v>
      </c>
      <c r="X211" s="168">
        <f ca="1">IF($C211-X$1&lt;År1,0,W210*(1-VLOOKUP($A211,[1]Hugst!$R$5:$W$9,MATCH(ROUNDUP((X$1)/10,0)*10,[1]Hugst!$R$4:$W$4,0))))</f>
        <v>0</v>
      </c>
      <c r="Y211" s="168">
        <f ca="1">IF($C211-Y$1&lt;År1,0,X210*(1-VLOOKUP($A211,[1]Hugst!$R$5:$W$9,MATCH(ROUNDUP((Y$1)/10,0)*10,[1]Hugst!$R$4:$W$4,0))))</f>
        <v>0</v>
      </c>
      <c r="Z211" s="168">
        <f ca="1">IF($C211-Z$1&lt;År1,0,Y210*(1-VLOOKUP($A211,[1]Hugst!$R$5:$W$9,MATCH(ROUNDUP((Z$1)/10,0)*10,[1]Hugst!$R$4:$W$4,0))))</f>
        <v>0</v>
      </c>
      <c r="AA211" s="168">
        <f ca="1">IF($C211-AA$1&lt;År1,0,Z210*(1-VLOOKUP($A211,[1]Hugst!$R$5:$W$9,MATCH(ROUNDUP((AA$1)/10,0)*10,[1]Hugst!$R$4:$W$4,0))))</f>
        <v>0</v>
      </c>
      <c r="AB211" s="168">
        <f ca="1">IF($C211-AB$1&lt;År1,0,AA210*(1-VLOOKUP($A211,[1]Hugst!$R$5:$W$9,MATCH(ROUNDUP((AB$1)/10,0)*10,[1]Hugst!$R$4:$W$4,0))))</f>
        <v>0</v>
      </c>
      <c r="AC211" s="168">
        <f ca="1">IF($C211-AC$1&lt;År1,0,AB210*(1-VLOOKUP($A211,[1]Hugst!$R$5:$W$9,MATCH(ROUNDUP((AC$1)/10,0)*10,[1]Hugst!$R$4:$W$4,0))))</f>
        <v>0</v>
      </c>
      <c r="AD211" s="168">
        <f>IF($C211-AD$1&lt;År1,0,AC210*(1-VLOOKUP($A211,[1]Hugst!$R$5:$W$9,MATCH(ROUNDUP((AD$1)/10,0)*10,[1]Hugst!$R$4:$W$4,0))))</f>
        <v>0</v>
      </c>
      <c r="AE211" s="168">
        <f>IF($C211-AE$1&lt;År1,0,AD210*(1-VLOOKUP($A211,[1]Hugst!$R$5:$W$9,MATCH(ROUNDUP((AE$1)/10,0)*10,[1]Hugst!$R$4:$W$4,0))))</f>
        <v>0</v>
      </c>
      <c r="AF211" s="168">
        <f>IF($C211-AF$1&lt;År1,0,AE210*(1-VLOOKUP($A211,[1]Hugst!$R$5:$W$9,MATCH(ROUNDUP((AF$1)/10,0)*10,[1]Hugst!$R$4:$W$4,0))))</f>
        <v>0</v>
      </c>
      <c r="AG211" s="168">
        <f>IF($C211-AG$1&lt;År1,0,AF210*(1-VLOOKUP($A211,[1]Hugst!$R$5:$W$9,MATCH(ROUNDUP((AG$1)/10,0)*10,[1]Hugst!$R$4:$W$4,0))))</f>
        <v>0</v>
      </c>
      <c r="AH211" s="168">
        <f>IF($C211-AH$1&lt;År1,0,AG210*(1-VLOOKUP($A211,[1]Hugst!$R$5:$W$9,MATCH(ROUNDUP((AH$1)/10,0)*10,[1]Hugst!$R$4:$W$4,0))))</f>
        <v>0</v>
      </c>
      <c r="AI211" s="168">
        <f>IF($C211-AI$1&lt;År1,0,AH210*(1-VLOOKUP($A211,[1]Hugst!$R$5:$W$9,MATCH(ROUNDUP((AI$1)/10,0)*10,[1]Hugst!$R$4:$W$4,0))))</f>
        <v>0</v>
      </c>
      <c r="AJ211" s="168">
        <f>IF($C211-AJ$1&lt;År1,0,AI210*(1-VLOOKUP($A211,[1]Hugst!$R$5:$W$9,MATCH(ROUNDUP((AJ$1)/10,0)*10,[1]Hugst!$R$4:$W$4,0))))</f>
        <v>0</v>
      </c>
    </row>
    <row r="212" spans="1:36" x14ac:dyDescent="0.25">
      <c r="A212" s="168" t="s">
        <v>179</v>
      </c>
      <c r="B212" s="168" t="s">
        <v>23</v>
      </c>
      <c r="C212" s="168">
        <v>2044</v>
      </c>
      <c r="D212" s="168" cm="1">
        <f t="array" ref="D212">(IF(B212="Vestdanmark",Skovbrug!$C$22-(Skovbrug!$C$22)*(1-Skovbrug!$C$9)^(C212-Skovbrug!$B$12),Skovbrug!$F$22-(Skovbrug!$F$22)*(1-Skovbrug!$C$9)^(C212-Skovbrug!$B$12))*VLOOKUP(A212,Skovbrug!$A$13:$D$17,IF('Skovbrug-alder'!C212&lt;=År2,3,4),FALSE)-IF(C212&gt;2020,SUM(INDEX($C$1:$D$311,MATCH(1,(2020=$C$1:$C$311)*(B212=$B$1:$B$311)*(A212=$A$1:$A$311),0),2):D211),0))</f>
        <v>0</v>
      </c>
      <c r="E212" s="168">
        <f t="shared" ca="1" si="4"/>
        <v>0</v>
      </c>
      <c r="F212" s="168">
        <f ca="1">IF(C212&lt;=År2,IF(B212="Vestdanmark",(Arealanvendelse!$M$27-Arealanvendelse!$J$27),(Arealanvendelse!$M$37-Arealanvendelse!$J$37))/(Arealanvendelse!$M$3-Arealanvendelse!$J$3),IF(B212="Vestdanmark",(Arealanvendelse!$P$27-Arealanvendelse!$M$27),(Arealanvendelse!$P$37-Arealanvendelse!$M$37))/(Arealanvendelse!$P$3-Arealanvendelse!$M$3))*VLOOKUP(A212,Skovbrug!$A$13:$D$17,IF('Skovbrug-alder'!C212&lt;=År2,3,4),FALSE)+D212+E212</f>
        <v>0</v>
      </c>
      <c r="G212" s="168">
        <f ca="1">IF($C212-G$1&lt;År1,0,F211*(1-VLOOKUP($A212,[1]Hugst!$R$5:$W$9,MATCH(ROUNDUP((G$1)/10,0)*10,[1]Hugst!$R$4:$W$4,0))))</f>
        <v>0</v>
      </c>
      <c r="H212" s="168">
        <f ca="1">IF($C212-H$1&lt;År1,0,G211*(1-VLOOKUP($A212,[1]Hugst!$R$5:$W$9,MATCH(ROUNDUP((H$1)/10,0)*10,[1]Hugst!$R$4:$W$4,0))))</f>
        <v>0</v>
      </c>
      <c r="I212" s="168">
        <f ca="1">IF($C212-I$1&lt;År1,0,H211*(1-VLOOKUP($A212,[1]Hugst!$R$5:$W$9,MATCH(ROUNDUP((I$1)/10,0)*10,[1]Hugst!$R$4:$W$4,0))))</f>
        <v>0</v>
      </c>
      <c r="J212" s="168">
        <f ca="1">IF($C212-J$1&lt;År1,0,I211*(1-VLOOKUP($A212,[1]Hugst!$R$5:$W$9,MATCH(ROUNDUP((J$1)/10,0)*10,[1]Hugst!$R$4:$W$4,0))))</f>
        <v>0</v>
      </c>
      <c r="K212" s="168">
        <f ca="1">IF($C212-K$1&lt;År1,0,J211*(1-VLOOKUP($A212,[1]Hugst!$R$5:$W$9,MATCH(ROUNDUP((K$1)/10,0)*10,[1]Hugst!$R$4:$W$4,0))))</f>
        <v>0</v>
      </c>
      <c r="L212" s="168">
        <f ca="1">IF($C212-L$1&lt;År1,0,K211*(1-VLOOKUP($A212,[1]Hugst!$R$5:$W$9,MATCH(ROUNDUP((L$1)/10,0)*10,[1]Hugst!$R$4:$W$4,0))))</f>
        <v>0</v>
      </c>
      <c r="M212" s="168">
        <f ca="1">IF($C212-M$1&lt;År1,0,L211*(1-VLOOKUP($A212,[1]Hugst!$R$5:$W$9,MATCH(ROUNDUP((M$1)/10,0)*10,[1]Hugst!$R$4:$W$4,0))))</f>
        <v>0</v>
      </c>
      <c r="N212" s="168">
        <f ca="1">IF($C212-N$1&lt;År1,0,M211*(1-VLOOKUP($A212,[1]Hugst!$R$5:$W$9,MATCH(ROUNDUP((N$1)/10,0)*10,[1]Hugst!$R$4:$W$4,0))))</f>
        <v>0</v>
      </c>
      <c r="O212" s="168">
        <f ca="1">IF($C212-O$1&lt;År1,0,N211*(1-VLOOKUP($A212,[1]Hugst!$R$5:$W$9,MATCH(ROUNDUP((O$1)/10,0)*10,[1]Hugst!$R$4:$W$4,0))))</f>
        <v>0</v>
      </c>
      <c r="P212" s="168">
        <f ca="1">IF($C212-P$1&lt;År1,0,O211*(1-VLOOKUP($A212,[1]Hugst!$R$5:$W$9,MATCH(ROUNDUP((P$1)/10,0)*10,[1]Hugst!$R$4:$W$4,0))))</f>
        <v>0</v>
      </c>
      <c r="Q212" s="168">
        <f ca="1">IF($C212-Q$1&lt;År1,0,P211*(1-VLOOKUP($A212,[1]Hugst!$R$5:$W$9,MATCH(ROUNDUP((Q$1)/10,0)*10,[1]Hugst!$R$4:$W$4,0))))</f>
        <v>0</v>
      </c>
      <c r="R212" s="168">
        <f ca="1">IF($C212-R$1&lt;År1,0,Q211*(1-VLOOKUP($A212,[1]Hugst!$R$5:$W$9,MATCH(ROUNDUP((R$1)/10,0)*10,[1]Hugst!$R$4:$W$4,0))))</f>
        <v>0</v>
      </c>
      <c r="S212" s="168">
        <f ca="1">IF($C212-S$1&lt;År1,0,R211*(1-VLOOKUP($A212,[1]Hugst!$R$5:$W$9,MATCH(ROUNDUP((S$1)/10,0)*10,[1]Hugst!$R$4:$W$4,0))))</f>
        <v>0</v>
      </c>
      <c r="T212" s="168">
        <f ca="1">IF($C212-T$1&lt;År1,0,S211*(1-VLOOKUP($A212,[1]Hugst!$R$5:$W$9,MATCH(ROUNDUP((T$1)/10,0)*10,[1]Hugst!$R$4:$W$4,0))))</f>
        <v>0</v>
      </c>
      <c r="U212" s="168">
        <f ca="1">IF($C212-U$1&lt;År1,0,T211*(1-VLOOKUP($A212,[1]Hugst!$R$5:$W$9,MATCH(ROUNDUP((U$1)/10,0)*10,[1]Hugst!$R$4:$W$4,0))))</f>
        <v>0</v>
      </c>
      <c r="V212" s="168">
        <f ca="1">IF($C212-V$1&lt;År1,0,U211*(1-VLOOKUP($A212,[1]Hugst!$R$5:$W$9,MATCH(ROUNDUP((V$1)/10,0)*10,[1]Hugst!$R$4:$W$4,0))))</f>
        <v>0</v>
      </c>
      <c r="W212" s="168">
        <f ca="1">IF($C212-W$1&lt;År1,0,V211*(1-VLOOKUP($A212,[1]Hugst!$R$5:$W$9,MATCH(ROUNDUP((W$1)/10,0)*10,[1]Hugst!$R$4:$W$4,0))))</f>
        <v>0</v>
      </c>
      <c r="X212" s="168">
        <f ca="1">IF($C212-X$1&lt;År1,0,W211*(1-VLOOKUP($A212,[1]Hugst!$R$5:$W$9,MATCH(ROUNDUP((X$1)/10,0)*10,[1]Hugst!$R$4:$W$4,0))))</f>
        <v>0</v>
      </c>
      <c r="Y212" s="168">
        <f ca="1">IF($C212-Y$1&lt;År1,0,X211*(1-VLOOKUP($A212,[1]Hugst!$R$5:$W$9,MATCH(ROUNDUP((Y$1)/10,0)*10,[1]Hugst!$R$4:$W$4,0))))</f>
        <v>0</v>
      </c>
      <c r="Z212" s="168">
        <f ca="1">IF($C212-Z$1&lt;År1,0,Y211*(1-VLOOKUP($A212,[1]Hugst!$R$5:$W$9,MATCH(ROUNDUP((Z$1)/10,0)*10,[1]Hugst!$R$4:$W$4,0))))</f>
        <v>0</v>
      </c>
      <c r="AA212" s="168">
        <f ca="1">IF($C212-AA$1&lt;År1,0,Z211*(1-VLOOKUP($A212,[1]Hugst!$R$5:$W$9,MATCH(ROUNDUP((AA$1)/10,0)*10,[1]Hugst!$R$4:$W$4,0))))</f>
        <v>0</v>
      </c>
      <c r="AB212" s="168">
        <f ca="1">IF($C212-AB$1&lt;År1,0,AA211*(1-VLOOKUP($A212,[1]Hugst!$R$5:$W$9,MATCH(ROUNDUP((AB$1)/10,0)*10,[1]Hugst!$R$4:$W$4,0))))</f>
        <v>0</v>
      </c>
      <c r="AC212" s="168">
        <f ca="1">IF($C212-AC$1&lt;År1,0,AB211*(1-VLOOKUP($A212,[1]Hugst!$R$5:$W$9,MATCH(ROUNDUP((AC$1)/10,0)*10,[1]Hugst!$R$4:$W$4,0))))</f>
        <v>0</v>
      </c>
      <c r="AD212" s="168">
        <f ca="1">IF($C212-AD$1&lt;År1,0,AC211*(1-VLOOKUP($A212,[1]Hugst!$R$5:$W$9,MATCH(ROUNDUP((AD$1)/10,0)*10,[1]Hugst!$R$4:$W$4,0))))</f>
        <v>0</v>
      </c>
      <c r="AE212" s="168">
        <f>IF($C212-AE$1&lt;År1,0,AD211*(1-VLOOKUP($A212,[1]Hugst!$R$5:$W$9,MATCH(ROUNDUP((AE$1)/10,0)*10,[1]Hugst!$R$4:$W$4,0))))</f>
        <v>0</v>
      </c>
      <c r="AF212" s="168">
        <f>IF($C212-AF$1&lt;År1,0,AE211*(1-VLOOKUP($A212,[1]Hugst!$R$5:$W$9,MATCH(ROUNDUP((AF$1)/10,0)*10,[1]Hugst!$R$4:$W$4,0))))</f>
        <v>0</v>
      </c>
      <c r="AG212" s="168">
        <f>IF($C212-AG$1&lt;År1,0,AF211*(1-VLOOKUP($A212,[1]Hugst!$R$5:$W$9,MATCH(ROUNDUP((AG$1)/10,0)*10,[1]Hugst!$R$4:$W$4,0))))</f>
        <v>0</v>
      </c>
      <c r="AH212" s="168">
        <f>IF($C212-AH$1&lt;År1,0,AG211*(1-VLOOKUP($A212,[1]Hugst!$R$5:$W$9,MATCH(ROUNDUP((AH$1)/10,0)*10,[1]Hugst!$R$4:$W$4,0))))</f>
        <v>0</v>
      </c>
      <c r="AI212" s="168">
        <f>IF($C212-AI$1&lt;År1,0,AH211*(1-VLOOKUP($A212,[1]Hugst!$R$5:$W$9,MATCH(ROUNDUP((AI$1)/10,0)*10,[1]Hugst!$R$4:$W$4,0))))</f>
        <v>0</v>
      </c>
      <c r="AJ212" s="168">
        <f>IF($C212-AJ$1&lt;År1,0,AI211*(1-VLOOKUP($A212,[1]Hugst!$R$5:$W$9,MATCH(ROUNDUP((AJ$1)/10,0)*10,[1]Hugst!$R$4:$W$4,0))))</f>
        <v>0</v>
      </c>
    </row>
    <row r="213" spans="1:36" x14ac:dyDescent="0.25">
      <c r="A213" s="168" t="s">
        <v>179</v>
      </c>
      <c r="B213" s="168" t="s">
        <v>23</v>
      </c>
      <c r="C213" s="168">
        <v>2045</v>
      </c>
      <c r="D213" s="168" cm="1">
        <f t="array" ref="D213">(IF(B213="Vestdanmark",Skovbrug!$C$22-(Skovbrug!$C$22)*(1-Skovbrug!$C$9)^(C213-Skovbrug!$B$12),Skovbrug!$F$22-(Skovbrug!$F$22)*(1-Skovbrug!$C$9)^(C213-Skovbrug!$B$12))*VLOOKUP(A213,Skovbrug!$A$13:$D$17,IF('Skovbrug-alder'!C213&lt;=År2,3,4),FALSE)-IF(C213&gt;2020,SUM(INDEX($C$1:$D$311,MATCH(1,(2020=$C$1:$C$311)*(B213=$B$1:$B$311)*(A213=$A$1:$A$311),0),2):D212),0))</f>
        <v>0</v>
      </c>
      <c r="E213" s="168">
        <f t="shared" ca="1" si="4"/>
        <v>0</v>
      </c>
      <c r="F213" s="168">
        <f ca="1">IF(C213&lt;=År2,IF(B213="Vestdanmark",(Arealanvendelse!$M$27-Arealanvendelse!$J$27),(Arealanvendelse!$M$37-Arealanvendelse!$J$37))/(Arealanvendelse!$M$3-Arealanvendelse!$J$3),IF(B213="Vestdanmark",(Arealanvendelse!$P$27-Arealanvendelse!$M$27),(Arealanvendelse!$P$37-Arealanvendelse!$M$37))/(Arealanvendelse!$P$3-Arealanvendelse!$M$3))*VLOOKUP(A213,Skovbrug!$A$13:$D$17,IF('Skovbrug-alder'!C213&lt;=År2,3,4),FALSE)+D213+E213</f>
        <v>0</v>
      </c>
      <c r="G213" s="168">
        <f ca="1">IF($C213-G$1&lt;År1,0,F212*(1-VLOOKUP($A213,[1]Hugst!$R$5:$W$9,MATCH(ROUNDUP((G$1)/10,0)*10,[1]Hugst!$R$4:$W$4,0))))</f>
        <v>0</v>
      </c>
      <c r="H213" s="168">
        <f ca="1">IF($C213-H$1&lt;År1,0,G212*(1-VLOOKUP($A213,[1]Hugst!$R$5:$W$9,MATCH(ROUNDUP((H$1)/10,0)*10,[1]Hugst!$R$4:$W$4,0))))</f>
        <v>0</v>
      </c>
      <c r="I213" s="168">
        <f ca="1">IF($C213-I$1&lt;År1,0,H212*(1-VLOOKUP($A213,[1]Hugst!$R$5:$W$9,MATCH(ROUNDUP((I$1)/10,0)*10,[1]Hugst!$R$4:$W$4,0))))</f>
        <v>0</v>
      </c>
      <c r="J213" s="168">
        <f ca="1">IF($C213-J$1&lt;År1,0,I212*(1-VLOOKUP($A213,[1]Hugst!$R$5:$W$9,MATCH(ROUNDUP((J$1)/10,0)*10,[1]Hugst!$R$4:$W$4,0))))</f>
        <v>0</v>
      </c>
      <c r="K213" s="168">
        <f ca="1">IF($C213-K$1&lt;År1,0,J212*(1-VLOOKUP($A213,[1]Hugst!$R$5:$W$9,MATCH(ROUNDUP((K$1)/10,0)*10,[1]Hugst!$R$4:$W$4,0))))</f>
        <v>0</v>
      </c>
      <c r="L213" s="168">
        <f ca="1">IF($C213-L$1&lt;År1,0,K212*(1-VLOOKUP($A213,[1]Hugst!$R$5:$W$9,MATCH(ROUNDUP((L$1)/10,0)*10,[1]Hugst!$R$4:$W$4,0))))</f>
        <v>0</v>
      </c>
      <c r="M213" s="168">
        <f ca="1">IF($C213-M$1&lt;År1,0,L212*(1-VLOOKUP($A213,[1]Hugst!$R$5:$W$9,MATCH(ROUNDUP((M$1)/10,0)*10,[1]Hugst!$R$4:$W$4,0))))</f>
        <v>0</v>
      </c>
      <c r="N213" s="168">
        <f ca="1">IF($C213-N$1&lt;År1,0,M212*(1-VLOOKUP($A213,[1]Hugst!$R$5:$W$9,MATCH(ROUNDUP((N$1)/10,0)*10,[1]Hugst!$R$4:$W$4,0))))</f>
        <v>0</v>
      </c>
      <c r="O213" s="168">
        <f ca="1">IF($C213-O$1&lt;År1,0,N212*(1-VLOOKUP($A213,[1]Hugst!$R$5:$W$9,MATCH(ROUNDUP((O$1)/10,0)*10,[1]Hugst!$R$4:$W$4,0))))</f>
        <v>0</v>
      </c>
      <c r="P213" s="168">
        <f ca="1">IF($C213-P$1&lt;År1,0,O212*(1-VLOOKUP($A213,[1]Hugst!$R$5:$W$9,MATCH(ROUNDUP((P$1)/10,0)*10,[1]Hugst!$R$4:$W$4,0))))</f>
        <v>0</v>
      </c>
      <c r="Q213" s="168">
        <f ca="1">IF($C213-Q$1&lt;År1,0,P212*(1-VLOOKUP($A213,[1]Hugst!$R$5:$W$9,MATCH(ROUNDUP((Q$1)/10,0)*10,[1]Hugst!$R$4:$W$4,0))))</f>
        <v>0</v>
      </c>
      <c r="R213" s="168">
        <f ca="1">IF($C213-R$1&lt;År1,0,Q212*(1-VLOOKUP($A213,[1]Hugst!$R$5:$W$9,MATCH(ROUNDUP((R$1)/10,0)*10,[1]Hugst!$R$4:$W$4,0))))</f>
        <v>0</v>
      </c>
      <c r="S213" s="168">
        <f ca="1">IF($C213-S$1&lt;År1,0,R212*(1-VLOOKUP($A213,[1]Hugst!$R$5:$W$9,MATCH(ROUNDUP((S$1)/10,0)*10,[1]Hugst!$R$4:$W$4,0))))</f>
        <v>0</v>
      </c>
      <c r="T213" s="168">
        <f ca="1">IF($C213-T$1&lt;År1,0,S212*(1-VLOOKUP($A213,[1]Hugst!$R$5:$W$9,MATCH(ROUNDUP((T$1)/10,0)*10,[1]Hugst!$R$4:$W$4,0))))</f>
        <v>0</v>
      </c>
      <c r="U213" s="168">
        <f ca="1">IF($C213-U$1&lt;År1,0,T212*(1-VLOOKUP($A213,[1]Hugst!$R$5:$W$9,MATCH(ROUNDUP((U$1)/10,0)*10,[1]Hugst!$R$4:$W$4,0))))</f>
        <v>0</v>
      </c>
      <c r="V213" s="168">
        <f ca="1">IF($C213-V$1&lt;År1,0,U212*(1-VLOOKUP($A213,[1]Hugst!$R$5:$W$9,MATCH(ROUNDUP((V$1)/10,0)*10,[1]Hugst!$R$4:$W$4,0))))</f>
        <v>0</v>
      </c>
      <c r="W213" s="168">
        <f ca="1">IF($C213-W$1&lt;År1,0,V212*(1-VLOOKUP($A213,[1]Hugst!$R$5:$W$9,MATCH(ROUNDUP((W$1)/10,0)*10,[1]Hugst!$R$4:$W$4,0))))</f>
        <v>0</v>
      </c>
      <c r="X213" s="168">
        <f ca="1">IF($C213-X$1&lt;År1,0,W212*(1-VLOOKUP($A213,[1]Hugst!$R$5:$W$9,MATCH(ROUNDUP((X$1)/10,0)*10,[1]Hugst!$R$4:$W$4,0))))</f>
        <v>0</v>
      </c>
      <c r="Y213" s="168">
        <f ca="1">IF($C213-Y$1&lt;År1,0,X212*(1-VLOOKUP($A213,[1]Hugst!$R$5:$W$9,MATCH(ROUNDUP((Y$1)/10,0)*10,[1]Hugst!$R$4:$W$4,0))))</f>
        <v>0</v>
      </c>
      <c r="Z213" s="168">
        <f ca="1">IF($C213-Z$1&lt;År1,0,Y212*(1-VLOOKUP($A213,[1]Hugst!$R$5:$W$9,MATCH(ROUNDUP((Z$1)/10,0)*10,[1]Hugst!$R$4:$W$4,0))))</f>
        <v>0</v>
      </c>
      <c r="AA213" s="168">
        <f ca="1">IF($C213-AA$1&lt;År1,0,Z212*(1-VLOOKUP($A213,[1]Hugst!$R$5:$W$9,MATCH(ROUNDUP((AA$1)/10,0)*10,[1]Hugst!$R$4:$W$4,0))))</f>
        <v>0</v>
      </c>
      <c r="AB213" s="168">
        <f ca="1">IF($C213-AB$1&lt;År1,0,AA212*(1-VLOOKUP($A213,[1]Hugst!$R$5:$W$9,MATCH(ROUNDUP((AB$1)/10,0)*10,[1]Hugst!$R$4:$W$4,0))))</f>
        <v>0</v>
      </c>
      <c r="AC213" s="168">
        <f ca="1">IF($C213-AC$1&lt;År1,0,AB212*(1-VLOOKUP($A213,[1]Hugst!$R$5:$W$9,MATCH(ROUNDUP((AC$1)/10,0)*10,[1]Hugst!$R$4:$W$4,0))))</f>
        <v>0</v>
      </c>
      <c r="AD213" s="168">
        <f ca="1">IF($C213-AD$1&lt;År1,0,AC212*(1-VLOOKUP($A213,[1]Hugst!$R$5:$W$9,MATCH(ROUNDUP((AD$1)/10,0)*10,[1]Hugst!$R$4:$W$4,0))))</f>
        <v>0</v>
      </c>
      <c r="AE213" s="168">
        <f ca="1">IF($C213-AE$1&lt;År1,0,AD212*(1-VLOOKUP($A213,[1]Hugst!$R$5:$W$9,MATCH(ROUNDUP((AE$1)/10,0)*10,[1]Hugst!$R$4:$W$4,0))))</f>
        <v>0</v>
      </c>
      <c r="AF213" s="168">
        <f>IF($C213-AF$1&lt;År1,0,AE212*(1-VLOOKUP($A213,[1]Hugst!$R$5:$W$9,MATCH(ROUNDUP((AF$1)/10,0)*10,[1]Hugst!$R$4:$W$4,0))))</f>
        <v>0</v>
      </c>
      <c r="AG213" s="168">
        <f>IF($C213-AG$1&lt;År1,0,AF212*(1-VLOOKUP($A213,[1]Hugst!$R$5:$W$9,MATCH(ROUNDUP((AG$1)/10,0)*10,[1]Hugst!$R$4:$W$4,0))))</f>
        <v>0</v>
      </c>
      <c r="AH213" s="168">
        <f>IF($C213-AH$1&lt;År1,0,AG212*(1-VLOOKUP($A213,[1]Hugst!$R$5:$W$9,MATCH(ROUNDUP((AH$1)/10,0)*10,[1]Hugst!$R$4:$W$4,0))))</f>
        <v>0</v>
      </c>
      <c r="AI213" s="168">
        <f>IF($C213-AI$1&lt;År1,0,AH212*(1-VLOOKUP($A213,[1]Hugst!$R$5:$W$9,MATCH(ROUNDUP((AI$1)/10,0)*10,[1]Hugst!$R$4:$W$4,0))))</f>
        <v>0</v>
      </c>
      <c r="AJ213" s="168">
        <f>IF($C213-AJ$1&lt;År1,0,AI212*(1-VLOOKUP($A213,[1]Hugst!$R$5:$W$9,MATCH(ROUNDUP((AJ$1)/10,0)*10,[1]Hugst!$R$4:$W$4,0))))</f>
        <v>0</v>
      </c>
    </row>
    <row r="214" spans="1:36" x14ac:dyDescent="0.25">
      <c r="A214" s="168" t="s">
        <v>179</v>
      </c>
      <c r="B214" s="168" t="s">
        <v>23</v>
      </c>
      <c r="C214" s="168">
        <v>2046</v>
      </c>
      <c r="D214" s="168" cm="1">
        <f t="array" ref="D214">(IF(B214="Vestdanmark",Skovbrug!$C$22-(Skovbrug!$C$22)*(1-Skovbrug!$C$9)^(C214-Skovbrug!$B$12),Skovbrug!$F$22-(Skovbrug!$F$22)*(1-Skovbrug!$C$9)^(C214-Skovbrug!$B$12))*VLOOKUP(A214,Skovbrug!$A$13:$D$17,IF('Skovbrug-alder'!C214&lt;=År2,3,4),FALSE)-IF(C214&gt;2020,SUM(INDEX($C$1:$D$311,MATCH(1,(2020=$C$1:$C$311)*(B214=$B$1:$B$311)*(A214=$A$1:$A$311),0),2):D213),0))</f>
        <v>0</v>
      </c>
      <c r="E214" s="168">
        <f t="shared" ca="1" si="4"/>
        <v>0</v>
      </c>
      <c r="F214" s="168">
        <f ca="1">IF(C214&lt;=År2,IF(B214="Vestdanmark",(Arealanvendelse!$M$27-Arealanvendelse!$J$27),(Arealanvendelse!$M$37-Arealanvendelse!$J$37))/(Arealanvendelse!$M$3-Arealanvendelse!$J$3),IF(B214="Vestdanmark",(Arealanvendelse!$P$27-Arealanvendelse!$M$27),(Arealanvendelse!$P$37-Arealanvendelse!$M$37))/(Arealanvendelse!$P$3-Arealanvendelse!$M$3))*VLOOKUP(A214,Skovbrug!$A$13:$D$17,IF('Skovbrug-alder'!C214&lt;=År2,3,4),FALSE)+D214+E214</f>
        <v>0</v>
      </c>
      <c r="G214" s="168">
        <f ca="1">IF($C214-G$1&lt;År1,0,F213*(1-VLOOKUP($A214,[1]Hugst!$R$5:$W$9,MATCH(ROUNDUP((G$1)/10,0)*10,[1]Hugst!$R$4:$W$4,0))))</f>
        <v>0</v>
      </c>
      <c r="H214" s="168">
        <f ca="1">IF($C214-H$1&lt;År1,0,G213*(1-VLOOKUP($A214,[1]Hugst!$R$5:$W$9,MATCH(ROUNDUP((H$1)/10,0)*10,[1]Hugst!$R$4:$W$4,0))))</f>
        <v>0</v>
      </c>
      <c r="I214" s="168">
        <f ca="1">IF($C214-I$1&lt;År1,0,H213*(1-VLOOKUP($A214,[1]Hugst!$R$5:$W$9,MATCH(ROUNDUP((I$1)/10,0)*10,[1]Hugst!$R$4:$W$4,0))))</f>
        <v>0</v>
      </c>
      <c r="J214" s="168">
        <f ca="1">IF($C214-J$1&lt;År1,0,I213*(1-VLOOKUP($A214,[1]Hugst!$R$5:$W$9,MATCH(ROUNDUP((J$1)/10,0)*10,[1]Hugst!$R$4:$W$4,0))))</f>
        <v>0</v>
      </c>
      <c r="K214" s="168">
        <f ca="1">IF($C214-K$1&lt;År1,0,J213*(1-VLOOKUP($A214,[1]Hugst!$R$5:$W$9,MATCH(ROUNDUP((K$1)/10,0)*10,[1]Hugst!$R$4:$W$4,0))))</f>
        <v>0</v>
      </c>
      <c r="L214" s="168">
        <f ca="1">IF($C214-L$1&lt;År1,0,K213*(1-VLOOKUP($A214,[1]Hugst!$R$5:$W$9,MATCH(ROUNDUP((L$1)/10,0)*10,[1]Hugst!$R$4:$W$4,0))))</f>
        <v>0</v>
      </c>
      <c r="M214" s="168">
        <f ca="1">IF($C214-M$1&lt;År1,0,L213*(1-VLOOKUP($A214,[1]Hugst!$R$5:$W$9,MATCH(ROUNDUP((M$1)/10,0)*10,[1]Hugst!$R$4:$W$4,0))))</f>
        <v>0</v>
      </c>
      <c r="N214" s="168">
        <f ca="1">IF($C214-N$1&lt;År1,0,M213*(1-VLOOKUP($A214,[1]Hugst!$R$5:$W$9,MATCH(ROUNDUP((N$1)/10,0)*10,[1]Hugst!$R$4:$W$4,0))))</f>
        <v>0</v>
      </c>
      <c r="O214" s="168">
        <f ca="1">IF($C214-O$1&lt;År1,0,N213*(1-VLOOKUP($A214,[1]Hugst!$R$5:$W$9,MATCH(ROUNDUP((O$1)/10,0)*10,[1]Hugst!$R$4:$W$4,0))))</f>
        <v>0</v>
      </c>
      <c r="P214" s="168">
        <f ca="1">IF($C214-P$1&lt;År1,0,O213*(1-VLOOKUP($A214,[1]Hugst!$R$5:$W$9,MATCH(ROUNDUP((P$1)/10,0)*10,[1]Hugst!$R$4:$W$4,0))))</f>
        <v>0</v>
      </c>
      <c r="Q214" s="168">
        <f ca="1">IF($C214-Q$1&lt;År1,0,P213*(1-VLOOKUP($A214,[1]Hugst!$R$5:$W$9,MATCH(ROUNDUP((Q$1)/10,0)*10,[1]Hugst!$R$4:$W$4,0))))</f>
        <v>0</v>
      </c>
      <c r="R214" s="168">
        <f ca="1">IF($C214-R$1&lt;År1,0,Q213*(1-VLOOKUP($A214,[1]Hugst!$R$5:$W$9,MATCH(ROUNDUP((R$1)/10,0)*10,[1]Hugst!$R$4:$W$4,0))))</f>
        <v>0</v>
      </c>
      <c r="S214" s="168">
        <f ca="1">IF($C214-S$1&lt;År1,0,R213*(1-VLOOKUP($A214,[1]Hugst!$R$5:$W$9,MATCH(ROUNDUP((S$1)/10,0)*10,[1]Hugst!$R$4:$W$4,0))))</f>
        <v>0</v>
      </c>
      <c r="T214" s="168">
        <f ca="1">IF($C214-T$1&lt;År1,0,S213*(1-VLOOKUP($A214,[1]Hugst!$R$5:$W$9,MATCH(ROUNDUP((T$1)/10,0)*10,[1]Hugst!$R$4:$W$4,0))))</f>
        <v>0</v>
      </c>
      <c r="U214" s="168">
        <f ca="1">IF($C214-U$1&lt;År1,0,T213*(1-VLOOKUP($A214,[1]Hugst!$R$5:$W$9,MATCH(ROUNDUP((U$1)/10,0)*10,[1]Hugst!$R$4:$W$4,0))))</f>
        <v>0</v>
      </c>
      <c r="V214" s="168">
        <f ca="1">IF($C214-V$1&lt;År1,0,U213*(1-VLOOKUP($A214,[1]Hugst!$R$5:$W$9,MATCH(ROUNDUP((V$1)/10,0)*10,[1]Hugst!$R$4:$W$4,0))))</f>
        <v>0</v>
      </c>
      <c r="W214" s="168">
        <f ca="1">IF($C214-W$1&lt;År1,0,V213*(1-VLOOKUP($A214,[1]Hugst!$R$5:$W$9,MATCH(ROUNDUP((W$1)/10,0)*10,[1]Hugst!$R$4:$W$4,0))))</f>
        <v>0</v>
      </c>
      <c r="X214" s="168">
        <f ca="1">IF($C214-X$1&lt;År1,0,W213*(1-VLOOKUP($A214,[1]Hugst!$R$5:$W$9,MATCH(ROUNDUP((X$1)/10,0)*10,[1]Hugst!$R$4:$W$4,0))))</f>
        <v>0</v>
      </c>
      <c r="Y214" s="168">
        <f ca="1">IF($C214-Y$1&lt;År1,0,X213*(1-VLOOKUP($A214,[1]Hugst!$R$5:$W$9,MATCH(ROUNDUP((Y$1)/10,0)*10,[1]Hugst!$R$4:$W$4,0))))</f>
        <v>0</v>
      </c>
      <c r="Z214" s="168">
        <f ca="1">IF($C214-Z$1&lt;År1,0,Y213*(1-VLOOKUP($A214,[1]Hugst!$R$5:$W$9,MATCH(ROUNDUP((Z$1)/10,0)*10,[1]Hugst!$R$4:$W$4,0))))</f>
        <v>0</v>
      </c>
      <c r="AA214" s="168">
        <f ca="1">IF($C214-AA$1&lt;År1,0,Z213*(1-VLOOKUP($A214,[1]Hugst!$R$5:$W$9,MATCH(ROUNDUP((AA$1)/10,0)*10,[1]Hugst!$R$4:$W$4,0))))</f>
        <v>0</v>
      </c>
      <c r="AB214" s="168">
        <f ca="1">IF($C214-AB$1&lt;År1,0,AA213*(1-VLOOKUP($A214,[1]Hugst!$R$5:$W$9,MATCH(ROUNDUP((AB$1)/10,0)*10,[1]Hugst!$R$4:$W$4,0))))</f>
        <v>0</v>
      </c>
      <c r="AC214" s="168">
        <f ca="1">IF($C214-AC$1&lt;År1,0,AB213*(1-VLOOKUP($A214,[1]Hugst!$R$5:$W$9,MATCH(ROUNDUP((AC$1)/10,0)*10,[1]Hugst!$R$4:$W$4,0))))</f>
        <v>0</v>
      </c>
      <c r="AD214" s="168">
        <f ca="1">IF($C214-AD$1&lt;År1,0,AC213*(1-VLOOKUP($A214,[1]Hugst!$R$5:$W$9,MATCH(ROUNDUP((AD$1)/10,0)*10,[1]Hugst!$R$4:$W$4,0))))</f>
        <v>0</v>
      </c>
      <c r="AE214" s="168">
        <f ca="1">IF($C214-AE$1&lt;År1,0,AD213*(1-VLOOKUP($A214,[1]Hugst!$R$5:$W$9,MATCH(ROUNDUP((AE$1)/10,0)*10,[1]Hugst!$R$4:$W$4,0))))</f>
        <v>0</v>
      </c>
      <c r="AF214" s="168">
        <f ca="1">IF($C214-AF$1&lt;År1,0,AE213*(1-VLOOKUP($A214,[1]Hugst!$R$5:$W$9,MATCH(ROUNDUP((AF$1)/10,0)*10,[1]Hugst!$R$4:$W$4,0))))</f>
        <v>0</v>
      </c>
      <c r="AG214" s="168">
        <f>IF($C214-AG$1&lt;År1,0,AF213*(1-VLOOKUP($A214,[1]Hugst!$R$5:$W$9,MATCH(ROUNDUP((AG$1)/10,0)*10,[1]Hugst!$R$4:$W$4,0))))</f>
        <v>0</v>
      </c>
      <c r="AH214" s="168">
        <f>IF($C214-AH$1&lt;År1,0,AG213*(1-VLOOKUP($A214,[1]Hugst!$R$5:$W$9,MATCH(ROUNDUP((AH$1)/10,0)*10,[1]Hugst!$R$4:$W$4,0))))</f>
        <v>0</v>
      </c>
      <c r="AI214" s="168">
        <f>IF($C214-AI$1&lt;År1,0,AH213*(1-VLOOKUP($A214,[1]Hugst!$R$5:$W$9,MATCH(ROUNDUP((AI$1)/10,0)*10,[1]Hugst!$R$4:$W$4,0))))</f>
        <v>0</v>
      </c>
      <c r="AJ214" s="168">
        <f>IF($C214-AJ$1&lt;År1,0,AI213*(1-VLOOKUP($A214,[1]Hugst!$R$5:$W$9,MATCH(ROUNDUP((AJ$1)/10,0)*10,[1]Hugst!$R$4:$W$4,0))))</f>
        <v>0</v>
      </c>
    </row>
    <row r="215" spans="1:36" x14ac:dyDescent="0.25">
      <c r="A215" s="168" t="s">
        <v>179</v>
      </c>
      <c r="B215" s="168" t="s">
        <v>23</v>
      </c>
      <c r="C215" s="168">
        <v>2047</v>
      </c>
      <c r="D215" s="168" cm="1">
        <f t="array" ref="D215">(IF(B215="Vestdanmark",Skovbrug!$C$22-(Skovbrug!$C$22)*(1-Skovbrug!$C$9)^(C215-Skovbrug!$B$12),Skovbrug!$F$22-(Skovbrug!$F$22)*(1-Skovbrug!$C$9)^(C215-Skovbrug!$B$12))*VLOOKUP(A215,Skovbrug!$A$13:$D$17,IF('Skovbrug-alder'!C215&lt;=År2,3,4),FALSE)-IF(C215&gt;2020,SUM(INDEX($C$1:$D$311,MATCH(1,(2020=$C$1:$C$311)*(B215=$B$1:$B$311)*(A215=$A$1:$A$311),0),2):D214),0))</f>
        <v>0</v>
      </c>
      <c r="E215" s="168">
        <f t="shared" ca="1" si="4"/>
        <v>0</v>
      </c>
      <c r="F215" s="168">
        <f ca="1">IF(C215&lt;=År2,IF(B215="Vestdanmark",(Arealanvendelse!$M$27-Arealanvendelse!$J$27),(Arealanvendelse!$M$37-Arealanvendelse!$J$37))/(Arealanvendelse!$M$3-Arealanvendelse!$J$3),IF(B215="Vestdanmark",(Arealanvendelse!$P$27-Arealanvendelse!$M$27),(Arealanvendelse!$P$37-Arealanvendelse!$M$37))/(Arealanvendelse!$P$3-Arealanvendelse!$M$3))*VLOOKUP(A215,Skovbrug!$A$13:$D$17,IF('Skovbrug-alder'!C215&lt;=År2,3,4),FALSE)+D215+E215</f>
        <v>0</v>
      </c>
      <c r="G215" s="168">
        <f ca="1">IF($C215-G$1&lt;År1,0,F214*(1-VLOOKUP($A215,[1]Hugst!$R$5:$W$9,MATCH(ROUNDUP((G$1)/10,0)*10,[1]Hugst!$R$4:$W$4,0))))</f>
        <v>0</v>
      </c>
      <c r="H215" s="168">
        <f ca="1">IF($C215-H$1&lt;År1,0,G214*(1-VLOOKUP($A215,[1]Hugst!$R$5:$W$9,MATCH(ROUNDUP((H$1)/10,0)*10,[1]Hugst!$R$4:$W$4,0))))</f>
        <v>0</v>
      </c>
      <c r="I215" s="168">
        <f ca="1">IF($C215-I$1&lt;År1,0,H214*(1-VLOOKUP($A215,[1]Hugst!$R$5:$W$9,MATCH(ROUNDUP((I$1)/10,0)*10,[1]Hugst!$R$4:$W$4,0))))</f>
        <v>0</v>
      </c>
      <c r="J215" s="168">
        <f ca="1">IF($C215-J$1&lt;År1,0,I214*(1-VLOOKUP($A215,[1]Hugst!$R$5:$W$9,MATCH(ROUNDUP((J$1)/10,0)*10,[1]Hugst!$R$4:$W$4,0))))</f>
        <v>0</v>
      </c>
      <c r="K215" s="168">
        <f ca="1">IF($C215-K$1&lt;År1,0,J214*(1-VLOOKUP($A215,[1]Hugst!$R$5:$W$9,MATCH(ROUNDUP((K$1)/10,0)*10,[1]Hugst!$R$4:$W$4,0))))</f>
        <v>0</v>
      </c>
      <c r="L215" s="168">
        <f ca="1">IF($C215-L$1&lt;År1,0,K214*(1-VLOOKUP($A215,[1]Hugst!$R$5:$W$9,MATCH(ROUNDUP((L$1)/10,0)*10,[1]Hugst!$R$4:$W$4,0))))</f>
        <v>0</v>
      </c>
      <c r="M215" s="168">
        <f ca="1">IF($C215-M$1&lt;År1,0,L214*(1-VLOOKUP($A215,[1]Hugst!$R$5:$W$9,MATCH(ROUNDUP((M$1)/10,0)*10,[1]Hugst!$R$4:$W$4,0))))</f>
        <v>0</v>
      </c>
      <c r="N215" s="168">
        <f ca="1">IF($C215-N$1&lt;År1,0,M214*(1-VLOOKUP($A215,[1]Hugst!$R$5:$W$9,MATCH(ROUNDUP((N$1)/10,0)*10,[1]Hugst!$R$4:$W$4,0))))</f>
        <v>0</v>
      </c>
      <c r="O215" s="168">
        <f ca="1">IF($C215-O$1&lt;År1,0,N214*(1-VLOOKUP($A215,[1]Hugst!$R$5:$W$9,MATCH(ROUNDUP((O$1)/10,0)*10,[1]Hugst!$R$4:$W$4,0))))</f>
        <v>0</v>
      </c>
      <c r="P215" s="168">
        <f ca="1">IF($C215-P$1&lt;År1,0,O214*(1-VLOOKUP($A215,[1]Hugst!$R$5:$W$9,MATCH(ROUNDUP((P$1)/10,0)*10,[1]Hugst!$R$4:$W$4,0))))</f>
        <v>0</v>
      </c>
      <c r="Q215" s="168">
        <f ca="1">IF($C215-Q$1&lt;År1,0,P214*(1-VLOOKUP($A215,[1]Hugst!$R$5:$W$9,MATCH(ROUNDUP((Q$1)/10,0)*10,[1]Hugst!$R$4:$W$4,0))))</f>
        <v>0</v>
      </c>
      <c r="R215" s="168">
        <f ca="1">IF($C215-R$1&lt;År1,0,Q214*(1-VLOOKUP($A215,[1]Hugst!$R$5:$W$9,MATCH(ROUNDUP((R$1)/10,0)*10,[1]Hugst!$R$4:$W$4,0))))</f>
        <v>0</v>
      </c>
      <c r="S215" s="168">
        <f ca="1">IF($C215-S$1&lt;År1,0,R214*(1-VLOOKUP($A215,[1]Hugst!$R$5:$W$9,MATCH(ROUNDUP((S$1)/10,0)*10,[1]Hugst!$R$4:$W$4,0))))</f>
        <v>0</v>
      </c>
      <c r="T215" s="168">
        <f ca="1">IF($C215-T$1&lt;År1,0,S214*(1-VLOOKUP($A215,[1]Hugst!$R$5:$W$9,MATCH(ROUNDUP((T$1)/10,0)*10,[1]Hugst!$R$4:$W$4,0))))</f>
        <v>0</v>
      </c>
      <c r="U215" s="168">
        <f ca="1">IF($C215-U$1&lt;År1,0,T214*(1-VLOOKUP($A215,[1]Hugst!$R$5:$W$9,MATCH(ROUNDUP((U$1)/10,0)*10,[1]Hugst!$R$4:$W$4,0))))</f>
        <v>0</v>
      </c>
      <c r="V215" s="168">
        <f ca="1">IF($C215-V$1&lt;År1,0,U214*(1-VLOOKUP($A215,[1]Hugst!$R$5:$W$9,MATCH(ROUNDUP((V$1)/10,0)*10,[1]Hugst!$R$4:$W$4,0))))</f>
        <v>0</v>
      </c>
      <c r="W215" s="168">
        <f ca="1">IF($C215-W$1&lt;År1,0,V214*(1-VLOOKUP($A215,[1]Hugst!$R$5:$W$9,MATCH(ROUNDUP((W$1)/10,0)*10,[1]Hugst!$R$4:$W$4,0))))</f>
        <v>0</v>
      </c>
      <c r="X215" s="168">
        <f ca="1">IF($C215-X$1&lt;År1,0,W214*(1-VLOOKUP($A215,[1]Hugst!$R$5:$W$9,MATCH(ROUNDUP((X$1)/10,0)*10,[1]Hugst!$R$4:$W$4,0))))</f>
        <v>0</v>
      </c>
      <c r="Y215" s="168">
        <f ca="1">IF($C215-Y$1&lt;År1,0,X214*(1-VLOOKUP($A215,[1]Hugst!$R$5:$W$9,MATCH(ROUNDUP((Y$1)/10,0)*10,[1]Hugst!$R$4:$W$4,0))))</f>
        <v>0</v>
      </c>
      <c r="Z215" s="168">
        <f ca="1">IF($C215-Z$1&lt;År1,0,Y214*(1-VLOOKUP($A215,[1]Hugst!$R$5:$W$9,MATCH(ROUNDUP((Z$1)/10,0)*10,[1]Hugst!$R$4:$W$4,0))))</f>
        <v>0</v>
      </c>
      <c r="AA215" s="168">
        <f ca="1">IF($C215-AA$1&lt;År1,0,Z214*(1-VLOOKUP($A215,[1]Hugst!$R$5:$W$9,MATCH(ROUNDUP((AA$1)/10,0)*10,[1]Hugst!$R$4:$W$4,0))))</f>
        <v>0</v>
      </c>
      <c r="AB215" s="168">
        <f ca="1">IF($C215-AB$1&lt;År1,0,AA214*(1-VLOOKUP($A215,[1]Hugst!$R$5:$W$9,MATCH(ROUNDUP((AB$1)/10,0)*10,[1]Hugst!$R$4:$W$4,0))))</f>
        <v>0</v>
      </c>
      <c r="AC215" s="168">
        <f ca="1">IF($C215-AC$1&lt;År1,0,AB214*(1-VLOOKUP($A215,[1]Hugst!$R$5:$W$9,MATCH(ROUNDUP((AC$1)/10,0)*10,[1]Hugst!$R$4:$W$4,0))))</f>
        <v>0</v>
      </c>
      <c r="AD215" s="168">
        <f ca="1">IF($C215-AD$1&lt;År1,0,AC214*(1-VLOOKUP($A215,[1]Hugst!$R$5:$W$9,MATCH(ROUNDUP((AD$1)/10,0)*10,[1]Hugst!$R$4:$W$4,0))))</f>
        <v>0</v>
      </c>
      <c r="AE215" s="168">
        <f ca="1">IF($C215-AE$1&lt;År1,0,AD214*(1-VLOOKUP($A215,[1]Hugst!$R$5:$W$9,MATCH(ROUNDUP((AE$1)/10,0)*10,[1]Hugst!$R$4:$W$4,0))))</f>
        <v>0</v>
      </c>
      <c r="AF215" s="168">
        <f ca="1">IF($C215-AF$1&lt;År1,0,AE214*(1-VLOOKUP($A215,[1]Hugst!$R$5:$W$9,MATCH(ROUNDUP((AF$1)/10,0)*10,[1]Hugst!$R$4:$W$4,0))))</f>
        <v>0</v>
      </c>
      <c r="AG215" s="168">
        <f ca="1">IF($C215-AG$1&lt;År1,0,AF214*(1-VLOOKUP($A215,[1]Hugst!$R$5:$W$9,MATCH(ROUNDUP((AG$1)/10,0)*10,[1]Hugst!$R$4:$W$4,0))))</f>
        <v>0</v>
      </c>
      <c r="AH215" s="168">
        <f>IF($C215-AH$1&lt;År1,0,AG214*(1-VLOOKUP($A215,[1]Hugst!$R$5:$W$9,MATCH(ROUNDUP((AH$1)/10,0)*10,[1]Hugst!$R$4:$W$4,0))))</f>
        <v>0</v>
      </c>
      <c r="AI215" s="168">
        <f>IF($C215-AI$1&lt;År1,0,AH214*(1-VLOOKUP($A215,[1]Hugst!$R$5:$W$9,MATCH(ROUNDUP((AI$1)/10,0)*10,[1]Hugst!$R$4:$W$4,0))))</f>
        <v>0</v>
      </c>
      <c r="AJ215" s="168">
        <f>IF($C215-AJ$1&lt;År1,0,AI214*(1-VLOOKUP($A215,[1]Hugst!$R$5:$W$9,MATCH(ROUNDUP((AJ$1)/10,0)*10,[1]Hugst!$R$4:$W$4,0))))</f>
        <v>0</v>
      </c>
    </row>
    <row r="216" spans="1:36" x14ac:dyDescent="0.25">
      <c r="A216" s="168" t="s">
        <v>179</v>
      </c>
      <c r="B216" s="168" t="s">
        <v>23</v>
      </c>
      <c r="C216" s="168">
        <v>2048</v>
      </c>
      <c r="D216" s="168" cm="1">
        <f t="array" ref="D216">(IF(B216="Vestdanmark",Skovbrug!$C$22-(Skovbrug!$C$22)*(1-Skovbrug!$C$9)^(C216-Skovbrug!$B$12),Skovbrug!$F$22-(Skovbrug!$F$22)*(1-Skovbrug!$C$9)^(C216-Skovbrug!$B$12))*VLOOKUP(A216,Skovbrug!$A$13:$D$17,IF('Skovbrug-alder'!C216&lt;=År2,3,4),FALSE)-IF(C216&gt;2020,SUM(INDEX($C$1:$D$311,MATCH(1,(2020=$C$1:$C$311)*(B216=$B$1:$B$311)*(A216=$A$1:$A$311),0),2):D215),0))</f>
        <v>0</v>
      </c>
      <c r="E216" s="168">
        <f t="shared" ca="1" si="4"/>
        <v>0</v>
      </c>
      <c r="F216" s="168">
        <f ca="1">IF(C216&lt;=År2,IF(B216="Vestdanmark",(Arealanvendelse!$M$27-Arealanvendelse!$J$27),(Arealanvendelse!$M$37-Arealanvendelse!$J$37))/(Arealanvendelse!$M$3-Arealanvendelse!$J$3),IF(B216="Vestdanmark",(Arealanvendelse!$P$27-Arealanvendelse!$M$27),(Arealanvendelse!$P$37-Arealanvendelse!$M$37))/(Arealanvendelse!$P$3-Arealanvendelse!$M$3))*VLOOKUP(A216,Skovbrug!$A$13:$D$17,IF('Skovbrug-alder'!C216&lt;=År2,3,4),FALSE)+D216+E216</f>
        <v>0</v>
      </c>
      <c r="G216" s="168">
        <f ca="1">IF($C216-G$1&lt;År1,0,F215*(1-VLOOKUP($A216,[1]Hugst!$R$5:$W$9,MATCH(ROUNDUP((G$1)/10,0)*10,[1]Hugst!$R$4:$W$4,0))))</f>
        <v>0</v>
      </c>
      <c r="H216" s="168">
        <f ca="1">IF($C216-H$1&lt;År1,0,G215*(1-VLOOKUP($A216,[1]Hugst!$R$5:$W$9,MATCH(ROUNDUP((H$1)/10,0)*10,[1]Hugst!$R$4:$W$4,0))))</f>
        <v>0</v>
      </c>
      <c r="I216" s="168">
        <f ca="1">IF($C216-I$1&lt;År1,0,H215*(1-VLOOKUP($A216,[1]Hugst!$R$5:$W$9,MATCH(ROUNDUP((I$1)/10,0)*10,[1]Hugst!$R$4:$W$4,0))))</f>
        <v>0</v>
      </c>
      <c r="J216" s="168">
        <f ca="1">IF($C216-J$1&lt;År1,0,I215*(1-VLOOKUP($A216,[1]Hugst!$R$5:$W$9,MATCH(ROUNDUP((J$1)/10,0)*10,[1]Hugst!$R$4:$W$4,0))))</f>
        <v>0</v>
      </c>
      <c r="K216" s="168">
        <f ca="1">IF($C216-K$1&lt;År1,0,J215*(1-VLOOKUP($A216,[1]Hugst!$R$5:$W$9,MATCH(ROUNDUP((K$1)/10,0)*10,[1]Hugst!$R$4:$W$4,0))))</f>
        <v>0</v>
      </c>
      <c r="L216" s="168">
        <f ca="1">IF($C216-L$1&lt;År1,0,K215*(1-VLOOKUP($A216,[1]Hugst!$R$5:$W$9,MATCH(ROUNDUP((L$1)/10,0)*10,[1]Hugst!$R$4:$W$4,0))))</f>
        <v>0</v>
      </c>
      <c r="M216" s="168">
        <f ca="1">IF($C216-M$1&lt;År1,0,L215*(1-VLOOKUP($A216,[1]Hugst!$R$5:$W$9,MATCH(ROUNDUP((M$1)/10,0)*10,[1]Hugst!$R$4:$W$4,0))))</f>
        <v>0</v>
      </c>
      <c r="N216" s="168">
        <f ca="1">IF($C216-N$1&lt;År1,0,M215*(1-VLOOKUP($A216,[1]Hugst!$R$5:$W$9,MATCH(ROUNDUP((N$1)/10,0)*10,[1]Hugst!$R$4:$W$4,0))))</f>
        <v>0</v>
      </c>
      <c r="O216" s="168">
        <f ca="1">IF($C216-O$1&lt;År1,0,N215*(1-VLOOKUP($A216,[1]Hugst!$R$5:$W$9,MATCH(ROUNDUP((O$1)/10,0)*10,[1]Hugst!$R$4:$W$4,0))))</f>
        <v>0</v>
      </c>
      <c r="P216" s="168">
        <f ca="1">IF($C216-P$1&lt;År1,0,O215*(1-VLOOKUP($A216,[1]Hugst!$R$5:$W$9,MATCH(ROUNDUP((P$1)/10,0)*10,[1]Hugst!$R$4:$W$4,0))))</f>
        <v>0</v>
      </c>
      <c r="Q216" s="168">
        <f ca="1">IF($C216-Q$1&lt;År1,0,P215*(1-VLOOKUP($A216,[1]Hugst!$R$5:$W$9,MATCH(ROUNDUP((Q$1)/10,0)*10,[1]Hugst!$R$4:$W$4,0))))</f>
        <v>0</v>
      </c>
      <c r="R216" s="168">
        <f ca="1">IF($C216-R$1&lt;År1,0,Q215*(1-VLOOKUP($A216,[1]Hugst!$R$5:$W$9,MATCH(ROUNDUP((R$1)/10,0)*10,[1]Hugst!$R$4:$W$4,0))))</f>
        <v>0</v>
      </c>
      <c r="S216" s="168">
        <f ca="1">IF($C216-S$1&lt;År1,0,R215*(1-VLOOKUP($A216,[1]Hugst!$R$5:$W$9,MATCH(ROUNDUP((S$1)/10,0)*10,[1]Hugst!$R$4:$W$4,0))))</f>
        <v>0</v>
      </c>
      <c r="T216" s="168">
        <f ca="1">IF($C216-T$1&lt;År1,0,S215*(1-VLOOKUP($A216,[1]Hugst!$R$5:$W$9,MATCH(ROUNDUP((T$1)/10,0)*10,[1]Hugst!$R$4:$W$4,0))))</f>
        <v>0</v>
      </c>
      <c r="U216" s="168">
        <f ca="1">IF($C216-U$1&lt;År1,0,T215*(1-VLOOKUP($A216,[1]Hugst!$R$5:$W$9,MATCH(ROUNDUP((U$1)/10,0)*10,[1]Hugst!$R$4:$W$4,0))))</f>
        <v>0</v>
      </c>
      <c r="V216" s="168">
        <f ca="1">IF($C216-V$1&lt;År1,0,U215*(1-VLOOKUP($A216,[1]Hugst!$R$5:$W$9,MATCH(ROUNDUP((V$1)/10,0)*10,[1]Hugst!$R$4:$W$4,0))))</f>
        <v>0</v>
      </c>
      <c r="W216" s="168">
        <f ca="1">IF($C216-W$1&lt;År1,0,V215*(1-VLOOKUP($A216,[1]Hugst!$R$5:$W$9,MATCH(ROUNDUP((W$1)/10,0)*10,[1]Hugst!$R$4:$W$4,0))))</f>
        <v>0</v>
      </c>
      <c r="X216" s="168">
        <f ca="1">IF($C216-X$1&lt;År1,0,W215*(1-VLOOKUP($A216,[1]Hugst!$R$5:$W$9,MATCH(ROUNDUP((X$1)/10,0)*10,[1]Hugst!$R$4:$W$4,0))))</f>
        <v>0</v>
      </c>
      <c r="Y216" s="168">
        <f ca="1">IF($C216-Y$1&lt;År1,0,X215*(1-VLOOKUP($A216,[1]Hugst!$R$5:$W$9,MATCH(ROUNDUP((Y$1)/10,0)*10,[1]Hugst!$R$4:$W$4,0))))</f>
        <v>0</v>
      </c>
      <c r="Z216" s="168">
        <f ca="1">IF($C216-Z$1&lt;År1,0,Y215*(1-VLOOKUP($A216,[1]Hugst!$R$5:$W$9,MATCH(ROUNDUP((Z$1)/10,0)*10,[1]Hugst!$R$4:$W$4,0))))</f>
        <v>0</v>
      </c>
      <c r="AA216" s="168">
        <f ca="1">IF($C216-AA$1&lt;År1,0,Z215*(1-VLOOKUP($A216,[1]Hugst!$R$5:$W$9,MATCH(ROUNDUP((AA$1)/10,0)*10,[1]Hugst!$R$4:$W$4,0))))</f>
        <v>0</v>
      </c>
      <c r="AB216" s="168">
        <f ca="1">IF($C216-AB$1&lt;År1,0,AA215*(1-VLOOKUP($A216,[1]Hugst!$R$5:$W$9,MATCH(ROUNDUP((AB$1)/10,0)*10,[1]Hugst!$R$4:$W$4,0))))</f>
        <v>0</v>
      </c>
      <c r="AC216" s="168">
        <f ca="1">IF($C216-AC$1&lt;År1,0,AB215*(1-VLOOKUP($A216,[1]Hugst!$R$5:$W$9,MATCH(ROUNDUP((AC$1)/10,0)*10,[1]Hugst!$R$4:$W$4,0))))</f>
        <v>0</v>
      </c>
      <c r="AD216" s="168">
        <f ca="1">IF($C216-AD$1&lt;År1,0,AC215*(1-VLOOKUP($A216,[1]Hugst!$R$5:$W$9,MATCH(ROUNDUP((AD$1)/10,0)*10,[1]Hugst!$R$4:$W$4,0))))</f>
        <v>0</v>
      </c>
      <c r="AE216" s="168">
        <f ca="1">IF($C216-AE$1&lt;År1,0,AD215*(1-VLOOKUP($A216,[1]Hugst!$R$5:$W$9,MATCH(ROUNDUP((AE$1)/10,0)*10,[1]Hugst!$R$4:$W$4,0))))</f>
        <v>0</v>
      </c>
      <c r="AF216" s="168">
        <f ca="1">IF($C216-AF$1&lt;År1,0,AE215*(1-VLOOKUP($A216,[1]Hugst!$R$5:$W$9,MATCH(ROUNDUP((AF$1)/10,0)*10,[1]Hugst!$R$4:$W$4,0))))</f>
        <v>0</v>
      </c>
      <c r="AG216" s="168">
        <f ca="1">IF($C216-AG$1&lt;År1,0,AF215*(1-VLOOKUP($A216,[1]Hugst!$R$5:$W$9,MATCH(ROUNDUP((AG$1)/10,0)*10,[1]Hugst!$R$4:$W$4,0))))</f>
        <v>0</v>
      </c>
      <c r="AH216" s="168">
        <f ca="1">IF($C216-AH$1&lt;År1,0,AG215*(1-VLOOKUP($A216,[1]Hugst!$R$5:$W$9,MATCH(ROUNDUP((AH$1)/10,0)*10,[1]Hugst!$R$4:$W$4,0))))</f>
        <v>0</v>
      </c>
      <c r="AI216" s="168">
        <f>IF($C216-AI$1&lt;År1,0,AH215*(1-VLOOKUP($A216,[1]Hugst!$R$5:$W$9,MATCH(ROUNDUP((AI$1)/10,0)*10,[1]Hugst!$R$4:$W$4,0))))</f>
        <v>0</v>
      </c>
      <c r="AJ216" s="168">
        <f>IF($C216-AJ$1&lt;År1,0,AI215*(1-VLOOKUP($A216,[1]Hugst!$R$5:$W$9,MATCH(ROUNDUP((AJ$1)/10,0)*10,[1]Hugst!$R$4:$W$4,0))))</f>
        <v>0</v>
      </c>
    </row>
    <row r="217" spans="1:36" x14ac:dyDescent="0.25">
      <c r="A217" s="168" t="s">
        <v>179</v>
      </c>
      <c r="B217" s="168" t="s">
        <v>23</v>
      </c>
      <c r="C217" s="168">
        <v>2049</v>
      </c>
      <c r="D217" s="168" cm="1">
        <f t="array" ref="D217">(IF(B217="Vestdanmark",Skovbrug!$C$22-(Skovbrug!$C$22)*(1-Skovbrug!$C$9)^(C217-Skovbrug!$B$12),Skovbrug!$F$22-(Skovbrug!$F$22)*(1-Skovbrug!$C$9)^(C217-Skovbrug!$B$12))*VLOOKUP(A217,Skovbrug!$A$13:$D$17,IF('Skovbrug-alder'!C217&lt;=År2,3,4),FALSE)-IF(C217&gt;2020,SUM(INDEX($C$1:$D$311,MATCH(1,(2020=$C$1:$C$311)*(B217=$B$1:$B$311)*(A217=$A$1:$A$311),0),2):D216),0))</f>
        <v>0</v>
      </c>
      <c r="E217" s="168">
        <f t="shared" ca="1" si="4"/>
        <v>0</v>
      </c>
      <c r="F217" s="168">
        <f ca="1">IF(C217&lt;=År2,IF(B217="Vestdanmark",(Arealanvendelse!$M$27-Arealanvendelse!$J$27),(Arealanvendelse!$M$37-Arealanvendelse!$J$37))/(Arealanvendelse!$M$3-Arealanvendelse!$J$3),IF(B217="Vestdanmark",(Arealanvendelse!$P$27-Arealanvendelse!$M$27),(Arealanvendelse!$P$37-Arealanvendelse!$M$37))/(Arealanvendelse!$P$3-Arealanvendelse!$M$3))*VLOOKUP(A217,Skovbrug!$A$13:$D$17,IF('Skovbrug-alder'!C217&lt;=År2,3,4),FALSE)+D217+E217</f>
        <v>0</v>
      </c>
      <c r="G217" s="168">
        <f ca="1">IF($C217-G$1&lt;År1,0,F216*(1-VLOOKUP($A217,[1]Hugst!$R$5:$W$9,MATCH(ROUNDUP((G$1)/10,0)*10,[1]Hugst!$R$4:$W$4,0))))</f>
        <v>0</v>
      </c>
      <c r="H217" s="168">
        <f ca="1">IF($C217-H$1&lt;År1,0,G216*(1-VLOOKUP($A217,[1]Hugst!$R$5:$W$9,MATCH(ROUNDUP((H$1)/10,0)*10,[1]Hugst!$R$4:$W$4,0))))</f>
        <v>0</v>
      </c>
      <c r="I217" s="168">
        <f ca="1">IF($C217-I$1&lt;År1,0,H216*(1-VLOOKUP($A217,[1]Hugst!$R$5:$W$9,MATCH(ROUNDUP((I$1)/10,0)*10,[1]Hugst!$R$4:$W$4,0))))</f>
        <v>0</v>
      </c>
      <c r="J217" s="168">
        <f ca="1">IF($C217-J$1&lt;År1,0,I216*(1-VLOOKUP($A217,[1]Hugst!$R$5:$W$9,MATCH(ROUNDUP((J$1)/10,0)*10,[1]Hugst!$R$4:$W$4,0))))</f>
        <v>0</v>
      </c>
      <c r="K217" s="168">
        <f ca="1">IF($C217-K$1&lt;År1,0,J216*(1-VLOOKUP($A217,[1]Hugst!$R$5:$W$9,MATCH(ROUNDUP((K$1)/10,0)*10,[1]Hugst!$R$4:$W$4,0))))</f>
        <v>0</v>
      </c>
      <c r="L217" s="168">
        <f ca="1">IF($C217-L$1&lt;År1,0,K216*(1-VLOOKUP($A217,[1]Hugst!$R$5:$W$9,MATCH(ROUNDUP((L$1)/10,0)*10,[1]Hugst!$R$4:$W$4,0))))</f>
        <v>0</v>
      </c>
      <c r="M217" s="168">
        <f ca="1">IF($C217-M$1&lt;År1,0,L216*(1-VLOOKUP($A217,[1]Hugst!$R$5:$W$9,MATCH(ROUNDUP((M$1)/10,0)*10,[1]Hugst!$R$4:$W$4,0))))</f>
        <v>0</v>
      </c>
      <c r="N217" s="168">
        <f ca="1">IF($C217-N$1&lt;År1,0,M216*(1-VLOOKUP($A217,[1]Hugst!$R$5:$W$9,MATCH(ROUNDUP((N$1)/10,0)*10,[1]Hugst!$R$4:$W$4,0))))</f>
        <v>0</v>
      </c>
      <c r="O217" s="168">
        <f ca="1">IF($C217-O$1&lt;År1,0,N216*(1-VLOOKUP($A217,[1]Hugst!$R$5:$W$9,MATCH(ROUNDUP((O$1)/10,0)*10,[1]Hugst!$R$4:$W$4,0))))</f>
        <v>0</v>
      </c>
      <c r="P217" s="168">
        <f ca="1">IF($C217-P$1&lt;År1,0,O216*(1-VLOOKUP($A217,[1]Hugst!$R$5:$W$9,MATCH(ROUNDUP((P$1)/10,0)*10,[1]Hugst!$R$4:$W$4,0))))</f>
        <v>0</v>
      </c>
      <c r="Q217" s="168">
        <f ca="1">IF($C217-Q$1&lt;År1,0,P216*(1-VLOOKUP($A217,[1]Hugst!$R$5:$W$9,MATCH(ROUNDUP((Q$1)/10,0)*10,[1]Hugst!$R$4:$W$4,0))))</f>
        <v>0</v>
      </c>
      <c r="R217" s="168">
        <f ca="1">IF($C217-R$1&lt;År1,0,Q216*(1-VLOOKUP($A217,[1]Hugst!$R$5:$W$9,MATCH(ROUNDUP((R$1)/10,0)*10,[1]Hugst!$R$4:$W$4,0))))</f>
        <v>0</v>
      </c>
      <c r="S217" s="168">
        <f ca="1">IF($C217-S$1&lt;År1,0,R216*(1-VLOOKUP($A217,[1]Hugst!$R$5:$W$9,MATCH(ROUNDUP((S$1)/10,0)*10,[1]Hugst!$R$4:$W$4,0))))</f>
        <v>0</v>
      </c>
      <c r="T217" s="168">
        <f ca="1">IF($C217-T$1&lt;År1,0,S216*(1-VLOOKUP($A217,[1]Hugst!$R$5:$W$9,MATCH(ROUNDUP((T$1)/10,0)*10,[1]Hugst!$R$4:$W$4,0))))</f>
        <v>0</v>
      </c>
      <c r="U217" s="168">
        <f ca="1">IF($C217-U$1&lt;År1,0,T216*(1-VLOOKUP($A217,[1]Hugst!$R$5:$W$9,MATCH(ROUNDUP((U$1)/10,0)*10,[1]Hugst!$R$4:$W$4,0))))</f>
        <v>0</v>
      </c>
      <c r="V217" s="168">
        <f ca="1">IF($C217-V$1&lt;År1,0,U216*(1-VLOOKUP($A217,[1]Hugst!$R$5:$W$9,MATCH(ROUNDUP((V$1)/10,0)*10,[1]Hugst!$R$4:$W$4,0))))</f>
        <v>0</v>
      </c>
      <c r="W217" s="168">
        <f ca="1">IF($C217-W$1&lt;År1,0,V216*(1-VLOOKUP($A217,[1]Hugst!$R$5:$W$9,MATCH(ROUNDUP((W$1)/10,0)*10,[1]Hugst!$R$4:$W$4,0))))</f>
        <v>0</v>
      </c>
      <c r="X217" s="168">
        <f ca="1">IF($C217-X$1&lt;År1,0,W216*(1-VLOOKUP($A217,[1]Hugst!$R$5:$W$9,MATCH(ROUNDUP((X$1)/10,0)*10,[1]Hugst!$R$4:$W$4,0))))</f>
        <v>0</v>
      </c>
      <c r="Y217" s="168">
        <f ca="1">IF($C217-Y$1&lt;År1,0,X216*(1-VLOOKUP($A217,[1]Hugst!$R$5:$W$9,MATCH(ROUNDUP((Y$1)/10,0)*10,[1]Hugst!$R$4:$W$4,0))))</f>
        <v>0</v>
      </c>
      <c r="Z217" s="168">
        <f ca="1">IF($C217-Z$1&lt;År1,0,Y216*(1-VLOOKUP($A217,[1]Hugst!$R$5:$W$9,MATCH(ROUNDUP((Z$1)/10,0)*10,[1]Hugst!$R$4:$W$4,0))))</f>
        <v>0</v>
      </c>
      <c r="AA217" s="168">
        <f ca="1">IF($C217-AA$1&lt;År1,0,Z216*(1-VLOOKUP($A217,[1]Hugst!$R$5:$W$9,MATCH(ROUNDUP((AA$1)/10,0)*10,[1]Hugst!$R$4:$W$4,0))))</f>
        <v>0</v>
      </c>
      <c r="AB217" s="168">
        <f ca="1">IF($C217-AB$1&lt;År1,0,AA216*(1-VLOOKUP($A217,[1]Hugst!$R$5:$W$9,MATCH(ROUNDUP((AB$1)/10,0)*10,[1]Hugst!$R$4:$W$4,0))))</f>
        <v>0</v>
      </c>
      <c r="AC217" s="168">
        <f ca="1">IF($C217-AC$1&lt;År1,0,AB216*(1-VLOOKUP($A217,[1]Hugst!$R$5:$W$9,MATCH(ROUNDUP((AC$1)/10,0)*10,[1]Hugst!$R$4:$W$4,0))))</f>
        <v>0</v>
      </c>
      <c r="AD217" s="168">
        <f ca="1">IF($C217-AD$1&lt;År1,0,AC216*(1-VLOOKUP($A217,[1]Hugst!$R$5:$W$9,MATCH(ROUNDUP((AD$1)/10,0)*10,[1]Hugst!$R$4:$W$4,0))))</f>
        <v>0</v>
      </c>
      <c r="AE217" s="168">
        <f ca="1">IF($C217-AE$1&lt;År1,0,AD216*(1-VLOOKUP($A217,[1]Hugst!$R$5:$W$9,MATCH(ROUNDUP((AE$1)/10,0)*10,[1]Hugst!$R$4:$W$4,0))))</f>
        <v>0</v>
      </c>
      <c r="AF217" s="168">
        <f ca="1">IF($C217-AF$1&lt;År1,0,AE216*(1-VLOOKUP($A217,[1]Hugst!$R$5:$W$9,MATCH(ROUNDUP((AF$1)/10,0)*10,[1]Hugst!$R$4:$W$4,0))))</f>
        <v>0</v>
      </c>
      <c r="AG217" s="168">
        <f ca="1">IF($C217-AG$1&lt;År1,0,AF216*(1-VLOOKUP($A217,[1]Hugst!$R$5:$W$9,MATCH(ROUNDUP((AG$1)/10,0)*10,[1]Hugst!$R$4:$W$4,0))))</f>
        <v>0</v>
      </c>
      <c r="AH217" s="168">
        <f ca="1">IF($C217-AH$1&lt;År1,0,AG216*(1-VLOOKUP($A217,[1]Hugst!$R$5:$W$9,MATCH(ROUNDUP((AH$1)/10,0)*10,[1]Hugst!$R$4:$W$4,0))))</f>
        <v>0</v>
      </c>
      <c r="AI217" s="168">
        <f ca="1">IF($C217-AI$1&lt;År1,0,AH216*(1-VLOOKUP($A217,[1]Hugst!$R$5:$W$9,MATCH(ROUNDUP((AI$1)/10,0)*10,[1]Hugst!$R$4:$W$4,0))))</f>
        <v>0</v>
      </c>
      <c r="AJ217" s="168">
        <f>IF($C217-AJ$1&lt;År1,0,AI216*(1-VLOOKUP($A217,[1]Hugst!$R$5:$W$9,MATCH(ROUNDUP((AJ$1)/10,0)*10,[1]Hugst!$R$4:$W$4,0))))</f>
        <v>0</v>
      </c>
    </row>
    <row r="218" spans="1:36" x14ac:dyDescent="0.25">
      <c r="A218" s="168" t="s">
        <v>179</v>
      </c>
      <c r="B218" s="168" t="s">
        <v>23</v>
      </c>
      <c r="C218" s="168">
        <v>2050</v>
      </c>
      <c r="D218" s="168" cm="1">
        <f t="array" ref="D218">(IF(B218="Vestdanmark",Skovbrug!$C$22-(Skovbrug!$C$22)*(1-Skovbrug!$C$9)^(C218-Skovbrug!$B$12),Skovbrug!$F$22-(Skovbrug!$F$22)*(1-Skovbrug!$C$9)^(C218-Skovbrug!$B$12))*VLOOKUP(A218,Skovbrug!$A$13:$D$17,IF('Skovbrug-alder'!C218&lt;=År2,3,4),FALSE)-IF(C218&gt;2020,SUM(INDEX($C$1:$D$311,MATCH(1,(2020=$C$1:$C$311)*(B218=$B$1:$B$311)*(A218=$A$1:$A$311),0),2):D217),0))</f>
        <v>0</v>
      </c>
      <c r="E218" s="168">
        <f t="shared" ca="1" si="4"/>
        <v>0</v>
      </c>
      <c r="F218" s="168">
        <f ca="1">IF(C218&lt;=År2,IF(B218="Vestdanmark",(Arealanvendelse!$M$27-Arealanvendelse!$J$27),(Arealanvendelse!$M$37-Arealanvendelse!$J$37))/(Arealanvendelse!$M$3-Arealanvendelse!$J$3),IF(B218="Vestdanmark",(Arealanvendelse!$P$27-Arealanvendelse!$M$27),(Arealanvendelse!$P$37-Arealanvendelse!$M$37))/(Arealanvendelse!$P$3-Arealanvendelse!$M$3))*VLOOKUP(A218,Skovbrug!$A$13:$D$17,IF('Skovbrug-alder'!C218&lt;=År2,3,4),FALSE)+D218+E218</f>
        <v>0</v>
      </c>
      <c r="G218" s="168">
        <f ca="1">IF($C218-G$1&lt;År1,0,F217*(1-VLOOKUP($A218,[1]Hugst!$R$5:$W$9,MATCH(ROUNDUP((G$1)/10,0)*10,[1]Hugst!$R$4:$W$4,0))))</f>
        <v>0</v>
      </c>
      <c r="H218" s="168">
        <f ca="1">IF($C218-H$1&lt;År1,0,G217*(1-VLOOKUP($A218,[1]Hugst!$R$5:$W$9,MATCH(ROUNDUP((H$1)/10,0)*10,[1]Hugst!$R$4:$W$4,0))))</f>
        <v>0</v>
      </c>
      <c r="I218" s="168">
        <f ca="1">IF($C218-I$1&lt;År1,0,H217*(1-VLOOKUP($A218,[1]Hugst!$R$5:$W$9,MATCH(ROUNDUP((I$1)/10,0)*10,[1]Hugst!$R$4:$W$4,0))))</f>
        <v>0</v>
      </c>
      <c r="J218" s="168">
        <f ca="1">IF($C218-J$1&lt;År1,0,I217*(1-VLOOKUP($A218,[1]Hugst!$R$5:$W$9,MATCH(ROUNDUP((J$1)/10,0)*10,[1]Hugst!$R$4:$W$4,0))))</f>
        <v>0</v>
      </c>
      <c r="K218" s="168">
        <f ca="1">IF($C218-K$1&lt;År1,0,J217*(1-VLOOKUP($A218,[1]Hugst!$R$5:$W$9,MATCH(ROUNDUP((K$1)/10,0)*10,[1]Hugst!$R$4:$W$4,0))))</f>
        <v>0</v>
      </c>
      <c r="L218" s="168">
        <f ca="1">IF($C218-L$1&lt;År1,0,K217*(1-VLOOKUP($A218,[1]Hugst!$R$5:$W$9,MATCH(ROUNDUP((L$1)/10,0)*10,[1]Hugst!$R$4:$W$4,0))))</f>
        <v>0</v>
      </c>
      <c r="M218" s="168">
        <f ca="1">IF($C218-M$1&lt;År1,0,L217*(1-VLOOKUP($A218,[1]Hugst!$R$5:$W$9,MATCH(ROUNDUP((M$1)/10,0)*10,[1]Hugst!$R$4:$W$4,0))))</f>
        <v>0</v>
      </c>
      <c r="N218" s="168">
        <f ca="1">IF($C218-N$1&lt;År1,0,M217*(1-VLOOKUP($A218,[1]Hugst!$R$5:$W$9,MATCH(ROUNDUP((N$1)/10,0)*10,[1]Hugst!$R$4:$W$4,0))))</f>
        <v>0</v>
      </c>
      <c r="O218" s="168">
        <f ca="1">IF($C218-O$1&lt;År1,0,N217*(1-VLOOKUP($A218,[1]Hugst!$R$5:$W$9,MATCH(ROUNDUP((O$1)/10,0)*10,[1]Hugst!$R$4:$W$4,0))))</f>
        <v>0</v>
      </c>
      <c r="P218" s="168">
        <f ca="1">IF($C218-P$1&lt;År1,0,O217*(1-VLOOKUP($A218,[1]Hugst!$R$5:$W$9,MATCH(ROUNDUP((P$1)/10,0)*10,[1]Hugst!$R$4:$W$4,0))))</f>
        <v>0</v>
      </c>
      <c r="Q218" s="168">
        <f ca="1">IF($C218-Q$1&lt;År1,0,P217*(1-VLOOKUP($A218,[1]Hugst!$R$5:$W$9,MATCH(ROUNDUP((Q$1)/10,0)*10,[1]Hugst!$R$4:$W$4,0))))</f>
        <v>0</v>
      </c>
      <c r="R218" s="168">
        <f ca="1">IF($C218-R$1&lt;År1,0,Q217*(1-VLOOKUP($A218,[1]Hugst!$R$5:$W$9,MATCH(ROUNDUP((R$1)/10,0)*10,[1]Hugst!$R$4:$W$4,0))))</f>
        <v>0</v>
      </c>
      <c r="S218" s="168">
        <f ca="1">IF($C218-S$1&lt;År1,0,R217*(1-VLOOKUP($A218,[1]Hugst!$R$5:$W$9,MATCH(ROUNDUP((S$1)/10,0)*10,[1]Hugst!$R$4:$W$4,0))))</f>
        <v>0</v>
      </c>
      <c r="T218" s="168">
        <f ca="1">IF($C218-T$1&lt;År1,0,S217*(1-VLOOKUP($A218,[1]Hugst!$R$5:$W$9,MATCH(ROUNDUP((T$1)/10,0)*10,[1]Hugst!$R$4:$W$4,0))))</f>
        <v>0</v>
      </c>
      <c r="U218" s="168">
        <f ca="1">IF($C218-U$1&lt;År1,0,T217*(1-VLOOKUP($A218,[1]Hugst!$R$5:$W$9,MATCH(ROUNDUP((U$1)/10,0)*10,[1]Hugst!$R$4:$W$4,0))))</f>
        <v>0</v>
      </c>
      <c r="V218" s="168">
        <f ca="1">IF($C218-V$1&lt;År1,0,U217*(1-VLOOKUP($A218,[1]Hugst!$R$5:$W$9,MATCH(ROUNDUP((V$1)/10,0)*10,[1]Hugst!$R$4:$W$4,0))))</f>
        <v>0</v>
      </c>
      <c r="W218" s="168">
        <f ca="1">IF($C218-W$1&lt;År1,0,V217*(1-VLOOKUP($A218,[1]Hugst!$R$5:$W$9,MATCH(ROUNDUP((W$1)/10,0)*10,[1]Hugst!$R$4:$W$4,0))))</f>
        <v>0</v>
      </c>
      <c r="X218" s="168">
        <f ca="1">IF($C218-X$1&lt;År1,0,W217*(1-VLOOKUP($A218,[1]Hugst!$R$5:$W$9,MATCH(ROUNDUP((X$1)/10,0)*10,[1]Hugst!$R$4:$W$4,0))))</f>
        <v>0</v>
      </c>
      <c r="Y218" s="168">
        <f ca="1">IF($C218-Y$1&lt;År1,0,X217*(1-VLOOKUP($A218,[1]Hugst!$R$5:$W$9,MATCH(ROUNDUP((Y$1)/10,0)*10,[1]Hugst!$R$4:$W$4,0))))</f>
        <v>0</v>
      </c>
      <c r="Z218" s="168">
        <f ca="1">IF($C218-Z$1&lt;År1,0,Y217*(1-VLOOKUP($A218,[1]Hugst!$R$5:$W$9,MATCH(ROUNDUP((Z$1)/10,0)*10,[1]Hugst!$R$4:$W$4,0))))</f>
        <v>0</v>
      </c>
      <c r="AA218" s="168">
        <f ca="1">IF($C218-AA$1&lt;År1,0,Z217*(1-VLOOKUP($A218,[1]Hugst!$R$5:$W$9,MATCH(ROUNDUP((AA$1)/10,0)*10,[1]Hugst!$R$4:$W$4,0))))</f>
        <v>0</v>
      </c>
      <c r="AB218" s="168">
        <f ca="1">IF($C218-AB$1&lt;År1,0,AA217*(1-VLOOKUP($A218,[1]Hugst!$R$5:$W$9,MATCH(ROUNDUP((AB$1)/10,0)*10,[1]Hugst!$R$4:$W$4,0))))</f>
        <v>0</v>
      </c>
      <c r="AC218" s="168">
        <f ca="1">IF($C218-AC$1&lt;År1,0,AB217*(1-VLOOKUP($A218,[1]Hugst!$R$5:$W$9,MATCH(ROUNDUP((AC$1)/10,0)*10,[1]Hugst!$R$4:$W$4,0))))</f>
        <v>0</v>
      </c>
      <c r="AD218" s="168">
        <f ca="1">IF($C218-AD$1&lt;År1,0,AC217*(1-VLOOKUP($A218,[1]Hugst!$R$5:$W$9,MATCH(ROUNDUP((AD$1)/10,0)*10,[1]Hugst!$R$4:$W$4,0))))</f>
        <v>0</v>
      </c>
      <c r="AE218" s="168">
        <f ca="1">IF($C218-AE$1&lt;År1,0,AD217*(1-VLOOKUP($A218,[1]Hugst!$R$5:$W$9,MATCH(ROUNDUP((AE$1)/10,0)*10,[1]Hugst!$R$4:$W$4,0))))</f>
        <v>0</v>
      </c>
      <c r="AF218" s="168">
        <f ca="1">IF($C218-AF$1&lt;År1,0,AE217*(1-VLOOKUP($A218,[1]Hugst!$R$5:$W$9,MATCH(ROUNDUP((AF$1)/10,0)*10,[1]Hugst!$R$4:$W$4,0))))</f>
        <v>0</v>
      </c>
      <c r="AG218" s="168">
        <f ca="1">IF($C218-AG$1&lt;År1,0,AF217*(1-VLOOKUP($A218,[1]Hugst!$R$5:$W$9,MATCH(ROUNDUP((AG$1)/10,0)*10,[1]Hugst!$R$4:$W$4,0))))</f>
        <v>0</v>
      </c>
      <c r="AH218" s="168">
        <f ca="1">IF($C218-AH$1&lt;År1,0,AG217*(1-VLOOKUP($A218,[1]Hugst!$R$5:$W$9,MATCH(ROUNDUP((AH$1)/10,0)*10,[1]Hugst!$R$4:$W$4,0))))</f>
        <v>0</v>
      </c>
      <c r="AI218" s="168">
        <f ca="1">IF($C218-AI$1&lt;År1,0,AH217*(1-VLOOKUP($A218,[1]Hugst!$R$5:$W$9,MATCH(ROUNDUP((AI$1)/10,0)*10,[1]Hugst!$R$4:$W$4,0))))</f>
        <v>0</v>
      </c>
      <c r="AJ218" s="168">
        <f ca="1">IF($C218-AJ$1&lt;År1,0,AI217*(1-VLOOKUP($A218,[1]Hugst!$R$5:$W$9,MATCH(ROUNDUP((AJ$1)/10,0)*10,[1]Hugst!$R$4:$W$4,0))))</f>
        <v>0</v>
      </c>
    </row>
    <row r="219" spans="1:36" x14ac:dyDescent="0.25">
      <c r="A219" s="168" t="s">
        <v>179</v>
      </c>
      <c r="B219" s="168" t="s">
        <v>24</v>
      </c>
      <c r="C219" s="168">
        <v>2020</v>
      </c>
      <c r="D219" s="168" cm="1">
        <f t="array" ref="D219">(IF(B219="Vestdanmark",Skovbrug!$C$22-(Skovbrug!$C$22)*(1-Skovbrug!$C$9)^(C219-Skovbrug!$B$12),Skovbrug!$F$22-(Skovbrug!$F$22)*(1-Skovbrug!$C$9)^(C219-Skovbrug!$B$12))*VLOOKUP(A219,Skovbrug!$A$13:$D$17,IF('Skovbrug-alder'!C219&lt;=År2,3,4),FALSE)-IF(C219&gt;2020,SUM(INDEX($C$1:$D$311,MATCH(1,(2020=$C$1:$C$311)*(B219=$B$1:$B$311)*(A219=$A$1:$A$311),0),2):D218),0))</f>
        <v>0</v>
      </c>
      <c r="E219" s="168">
        <f>IF(C219=2020,SUM(G219:AJ219),SUM(F218:AJ218)-SUM(G219:AJ219))</f>
        <v>0</v>
      </c>
      <c r="F219" s="168">
        <f>IF(C219&lt;=År2,IF(B219="Vestdanmark",(Arealanvendelse!$M$27-Arealanvendelse!$J$27),(Arealanvendelse!$M$37-Arealanvendelse!$J$37))/(Arealanvendelse!$M$3-Arealanvendelse!$J$3),IF(B219="Vestdanmark",(Arealanvendelse!$P$27-Arealanvendelse!$M$27),(Arealanvendelse!$P$37-Arealanvendelse!$M$37))/(Arealanvendelse!$P$3-Arealanvendelse!$M$3))*VLOOKUP(A219,Skovbrug!$A$13:$D$17,IF('Skovbrug-alder'!C219&lt;=År2,3,4),FALSE)+D219+E219</f>
        <v>0</v>
      </c>
      <c r="G219" s="168">
        <f>IF($C219-G$1&lt;År1,0,F218*(1-VLOOKUP($A219,[1]Hugst!$R$5:$W$9,MATCH(ROUNDUP((G$1)/10,0)*10,[1]Hugst!$R$4:$W$4,0))))</f>
        <v>0</v>
      </c>
      <c r="H219" s="168">
        <f>IF($C219-H$1&lt;År1,0,G218*(1-VLOOKUP($A219,[1]Hugst!$R$5:$W$9,MATCH(ROUNDUP((H$1)/10,0)*10,[1]Hugst!$R$4:$W$4,0))))</f>
        <v>0</v>
      </c>
      <c r="I219" s="168">
        <f>IF($C219-I$1&lt;År1,0,H218*(1-VLOOKUP($A219,[1]Hugst!$R$5:$W$9,MATCH(ROUNDUP((I$1)/10,0)*10,[1]Hugst!$R$4:$W$4,0))))</f>
        <v>0</v>
      </c>
      <c r="J219" s="168">
        <f>IF($C219-J$1&lt;År1,0,I218*(1-VLOOKUP($A219,[1]Hugst!$R$5:$W$9,MATCH(ROUNDUP((J$1)/10,0)*10,[1]Hugst!$R$4:$W$4,0))))</f>
        <v>0</v>
      </c>
      <c r="K219" s="168">
        <f>IF($C219-K$1&lt;År1,0,J218*(1-VLOOKUP($A219,[1]Hugst!$R$5:$W$9,MATCH(ROUNDUP((K$1)/10,0)*10,[1]Hugst!$R$4:$W$4,0))))</f>
        <v>0</v>
      </c>
      <c r="L219" s="168">
        <f>IF($C219-L$1&lt;År1,0,K218*(1-VLOOKUP($A219,[1]Hugst!$R$5:$W$9,MATCH(ROUNDUP((L$1)/10,0)*10,[1]Hugst!$R$4:$W$4,0))))</f>
        <v>0</v>
      </c>
      <c r="M219" s="168">
        <f>IF($C219-M$1&lt;År1,0,L218*(1-VLOOKUP($A219,[1]Hugst!$R$5:$W$9,MATCH(ROUNDUP((M$1)/10,0)*10,[1]Hugst!$R$4:$W$4,0))))</f>
        <v>0</v>
      </c>
      <c r="N219" s="168">
        <f>IF($C219-N$1&lt;År1,0,M218*(1-VLOOKUP($A219,[1]Hugst!$R$5:$W$9,MATCH(ROUNDUP((N$1)/10,0)*10,[1]Hugst!$R$4:$W$4,0))))</f>
        <v>0</v>
      </c>
      <c r="O219" s="168">
        <f>IF($C219-O$1&lt;År1,0,N218*(1-VLOOKUP($A219,[1]Hugst!$R$5:$W$9,MATCH(ROUNDUP((O$1)/10,0)*10,[1]Hugst!$R$4:$W$4,0))))</f>
        <v>0</v>
      </c>
      <c r="P219" s="168">
        <f>IF($C219-P$1&lt;År1,0,O218*(1-VLOOKUP($A219,[1]Hugst!$R$5:$W$9,MATCH(ROUNDUP((P$1)/10,0)*10,[1]Hugst!$R$4:$W$4,0))))</f>
        <v>0</v>
      </c>
      <c r="Q219" s="168">
        <f>IF($C219-Q$1&lt;År1,0,P218*(1-VLOOKUP($A219,[1]Hugst!$R$5:$W$9,MATCH(ROUNDUP((Q$1)/10,0)*10,[1]Hugst!$R$4:$W$4,0))))</f>
        <v>0</v>
      </c>
      <c r="R219" s="168">
        <f>IF($C219-R$1&lt;År1,0,Q218*(1-VLOOKUP($A219,[1]Hugst!$R$5:$W$9,MATCH(ROUNDUP((R$1)/10,0)*10,[1]Hugst!$R$4:$W$4,0))))</f>
        <v>0</v>
      </c>
      <c r="S219" s="168">
        <f>IF($C219-S$1&lt;År1,0,R218*(1-VLOOKUP($A219,[1]Hugst!$R$5:$W$9,MATCH(ROUNDUP((S$1)/10,0)*10,[1]Hugst!$R$4:$W$4,0))))</f>
        <v>0</v>
      </c>
      <c r="T219" s="168">
        <f>IF($C219-T$1&lt;År1,0,S218*(1-VLOOKUP($A219,[1]Hugst!$R$5:$W$9,MATCH(ROUNDUP((T$1)/10,0)*10,[1]Hugst!$R$4:$W$4,0))))</f>
        <v>0</v>
      </c>
      <c r="U219" s="168">
        <f>IF($C219-U$1&lt;År1,0,T218*(1-VLOOKUP($A219,[1]Hugst!$R$5:$W$9,MATCH(ROUNDUP((U$1)/10,0)*10,[1]Hugst!$R$4:$W$4,0))))</f>
        <v>0</v>
      </c>
      <c r="V219" s="168">
        <f>IF($C219-V$1&lt;År1,0,U218*(1-VLOOKUP($A219,[1]Hugst!$R$5:$W$9,MATCH(ROUNDUP((V$1)/10,0)*10,[1]Hugst!$R$4:$W$4,0))))</f>
        <v>0</v>
      </c>
      <c r="W219" s="168">
        <f>IF($C219-W$1&lt;År1,0,V218*(1-VLOOKUP($A219,[1]Hugst!$R$5:$W$9,MATCH(ROUNDUP((W$1)/10,0)*10,[1]Hugst!$R$4:$W$4,0))))</f>
        <v>0</v>
      </c>
      <c r="X219" s="168">
        <f>IF($C219-X$1&lt;År1,0,W218*(1-VLOOKUP($A219,[1]Hugst!$R$5:$W$9,MATCH(ROUNDUP((X$1)/10,0)*10,[1]Hugst!$R$4:$W$4,0))))</f>
        <v>0</v>
      </c>
      <c r="Y219" s="168">
        <f>IF($C219-Y$1&lt;År1,0,X218*(1-VLOOKUP($A219,[1]Hugst!$R$5:$W$9,MATCH(ROUNDUP((Y$1)/10,0)*10,[1]Hugst!$R$4:$W$4,0))))</f>
        <v>0</v>
      </c>
      <c r="Z219" s="168">
        <f>IF($C219-Z$1&lt;År1,0,Y218*(1-VLOOKUP($A219,[1]Hugst!$R$5:$W$9,MATCH(ROUNDUP((Z$1)/10,0)*10,[1]Hugst!$R$4:$W$4,0))))</f>
        <v>0</v>
      </c>
      <c r="AA219" s="168">
        <f>IF($C219-AA$1&lt;År1,0,Z218*(1-VLOOKUP($A219,[1]Hugst!$R$5:$W$9,MATCH(ROUNDUP((AA$1)/10,0)*10,[1]Hugst!$R$4:$W$4,0))))</f>
        <v>0</v>
      </c>
      <c r="AB219" s="168">
        <f>IF($C219-AB$1&lt;År1,0,AA218*(1-VLOOKUP($A219,[1]Hugst!$R$5:$W$9,MATCH(ROUNDUP((AB$1)/10,0)*10,[1]Hugst!$R$4:$W$4,0))))</f>
        <v>0</v>
      </c>
      <c r="AC219" s="168">
        <f>IF($C219-AC$1&lt;År1,0,AB218*(1-VLOOKUP($A219,[1]Hugst!$R$5:$W$9,MATCH(ROUNDUP((AC$1)/10,0)*10,[1]Hugst!$R$4:$W$4,0))))</f>
        <v>0</v>
      </c>
      <c r="AD219" s="168">
        <f>IF($C219-AD$1&lt;År1,0,AC218*(1-VLOOKUP($A219,[1]Hugst!$R$5:$W$9,MATCH(ROUNDUP((AD$1)/10,0)*10,[1]Hugst!$R$4:$W$4,0))))</f>
        <v>0</v>
      </c>
      <c r="AE219" s="168">
        <f>IF($C219-AE$1&lt;År1,0,AD218*(1-VLOOKUP($A219,[1]Hugst!$R$5:$W$9,MATCH(ROUNDUP((AE$1)/10,0)*10,[1]Hugst!$R$4:$W$4,0))))</f>
        <v>0</v>
      </c>
      <c r="AF219" s="168">
        <f>IF($C219-AF$1&lt;År1,0,AE218*(1-VLOOKUP($A219,[1]Hugst!$R$5:$W$9,MATCH(ROUNDUP((AF$1)/10,0)*10,[1]Hugst!$R$4:$W$4,0))))</f>
        <v>0</v>
      </c>
      <c r="AG219" s="168">
        <f>IF($C219-AG$1&lt;År1,0,AF218*(1-VLOOKUP($A219,[1]Hugst!$R$5:$W$9,MATCH(ROUNDUP((AG$1)/10,0)*10,[1]Hugst!$R$4:$W$4,0))))</f>
        <v>0</v>
      </c>
      <c r="AH219" s="168">
        <f>IF($C219-AH$1&lt;År1,0,AG218*(1-VLOOKUP($A219,[1]Hugst!$R$5:$W$9,MATCH(ROUNDUP((AH$1)/10,0)*10,[1]Hugst!$R$4:$W$4,0))))</f>
        <v>0</v>
      </c>
      <c r="AI219" s="168">
        <f>IF($C219-AI$1&lt;År1,0,AH218*(1-VLOOKUP($A219,[1]Hugst!$R$5:$W$9,MATCH(ROUNDUP((AI$1)/10,0)*10,[1]Hugst!$R$4:$W$4,0))))</f>
        <v>0</v>
      </c>
      <c r="AJ219" s="168">
        <f>IF($C219-AJ$1&lt;År1,0,AI218*(1-VLOOKUP($A219,[1]Hugst!$R$5:$W$9,MATCH(ROUNDUP((AJ$1)/10,0)*10,[1]Hugst!$R$4:$W$4,0))))</f>
        <v>0</v>
      </c>
    </row>
    <row r="220" spans="1:36" x14ac:dyDescent="0.25">
      <c r="A220" s="168" t="s">
        <v>179</v>
      </c>
      <c r="B220" s="168" t="s">
        <v>24</v>
      </c>
      <c r="C220" s="168">
        <v>2021</v>
      </c>
      <c r="D220" s="168" cm="1">
        <f t="array" ref="D220">(IF(B220="Vestdanmark",Skovbrug!$C$22-(Skovbrug!$C$22)*(1-Skovbrug!$C$9)^(C220-Skovbrug!$B$12),Skovbrug!$F$22-(Skovbrug!$F$22)*(1-Skovbrug!$C$9)^(C220-Skovbrug!$B$12))*VLOOKUP(A220,Skovbrug!$A$13:$D$17,IF('Skovbrug-alder'!C220&lt;=År2,3,4),FALSE)-IF(C220&gt;2020,SUM(INDEX($C$1:$D$311,MATCH(1,(2020=$C$1:$C$311)*(B220=$B$1:$B$311)*(A220=$A$1:$A$311),0),2):D219),0))</f>
        <v>0</v>
      </c>
      <c r="E220" s="168">
        <f t="shared" ref="E220:E248" ca="1" si="5">IF(C220=2020,SUM(G220:AJ220),SUM(F219:AJ219)-SUM(G220:AJ220))</f>
        <v>0</v>
      </c>
      <c r="F220" s="168">
        <f ca="1">IF(C220&lt;=År2,IF(B220="Vestdanmark",(Arealanvendelse!$M$27-Arealanvendelse!$J$27),(Arealanvendelse!$M$37-Arealanvendelse!$J$37))/(Arealanvendelse!$M$3-Arealanvendelse!$J$3),IF(B220="Vestdanmark",(Arealanvendelse!$P$27-Arealanvendelse!$M$27),(Arealanvendelse!$P$37-Arealanvendelse!$M$37))/(Arealanvendelse!$P$3-Arealanvendelse!$M$3))*VLOOKUP(A220,Skovbrug!$A$13:$D$17,IF('Skovbrug-alder'!C220&lt;=År2,3,4),FALSE)+D220+E220</f>
        <v>0</v>
      </c>
      <c r="G220" s="168">
        <f ca="1">IF($C220-G$1&lt;År1,0,F219*(1-VLOOKUP($A220,[1]Hugst!$R$5:$W$9,MATCH(ROUNDUP((G$1)/10,0)*10,[1]Hugst!$R$4:$W$4,0))))</f>
        <v>0</v>
      </c>
      <c r="H220" s="168">
        <f>IF($C220-H$1&lt;År1,0,G219*(1-VLOOKUP($A220,[1]Hugst!$R$5:$W$9,MATCH(ROUNDUP((H$1)/10,0)*10,[1]Hugst!$R$4:$W$4,0))))</f>
        <v>0</v>
      </c>
      <c r="I220" s="168">
        <f>IF($C220-I$1&lt;År1,0,H219*(1-VLOOKUP($A220,[1]Hugst!$R$5:$W$9,MATCH(ROUNDUP((I$1)/10,0)*10,[1]Hugst!$R$4:$W$4,0))))</f>
        <v>0</v>
      </c>
      <c r="J220" s="168">
        <f>IF($C220-J$1&lt;År1,0,I219*(1-VLOOKUP($A220,[1]Hugst!$R$5:$W$9,MATCH(ROUNDUP((J$1)/10,0)*10,[1]Hugst!$R$4:$W$4,0))))</f>
        <v>0</v>
      </c>
      <c r="K220" s="168">
        <f>IF($C220-K$1&lt;År1,0,J219*(1-VLOOKUP($A220,[1]Hugst!$R$5:$W$9,MATCH(ROUNDUP((K$1)/10,0)*10,[1]Hugst!$R$4:$W$4,0))))</f>
        <v>0</v>
      </c>
      <c r="L220" s="168">
        <f>IF($C220-L$1&lt;År1,0,K219*(1-VLOOKUP($A220,[1]Hugst!$R$5:$W$9,MATCH(ROUNDUP((L$1)/10,0)*10,[1]Hugst!$R$4:$W$4,0))))</f>
        <v>0</v>
      </c>
      <c r="M220" s="168">
        <f>IF($C220-M$1&lt;År1,0,L219*(1-VLOOKUP($A220,[1]Hugst!$R$5:$W$9,MATCH(ROUNDUP((M$1)/10,0)*10,[1]Hugst!$R$4:$W$4,0))))</f>
        <v>0</v>
      </c>
      <c r="N220" s="168">
        <f>IF($C220-N$1&lt;År1,0,M219*(1-VLOOKUP($A220,[1]Hugst!$R$5:$W$9,MATCH(ROUNDUP((N$1)/10,0)*10,[1]Hugst!$R$4:$W$4,0))))</f>
        <v>0</v>
      </c>
      <c r="O220" s="168">
        <f>IF($C220-O$1&lt;År1,0,N219*(1-VLOOKUP($A220,[1]Hugst!$R$5:$W$9,MATCH(ROUNDUP((O$1)/10,0)*10,[1]Hugst!$R$4:$W$4,0))))</f>
        <v>0</v>
      </c>
      <c r="P220" s="168">
        <f>IF($C220-P$1&lt;År1,0,O219*(1-VLOOKUP($A220,[1]Hugst!$R$5:$W$9,MATCH(ROUNDUP((P$1)/10,0)*10,[1]Hugst!$R$4:$W$4,0))))</f>
        <v>0</v>
      </c>
      <c r="Q220" s="168">
        <f>IF($C220-Q$1&lt;År1,0,P219*(1-VLOOKUP($A220,[1]Hugst!$R$5:$W$9,MATCH(ROUNDUP((Q$1)/10,0)*10,[1]Hugst!$R$4:$W$4,0))))</f>
        <v>0</v>
      </c>
      <c r="R220" s="168">
        <f>IF($C220-R$1&lt;År1,0,Q219*(1-VLOOKUP($A220,[1]Hugst!$R$5:$W$9,MATCH(ROUNDUP((R$1)/10,0)*10,[1]Hugst!$R$4:$W$4,0))))</f>
        <v>0</v>
      </c>
      <c r="S220" s="168">
        <f>IF($C220-S$1&lt;År1,0,R219*(1-VLOOKUP($A220,[1]Hugst!$R$5:$W$9,MATCH(ROUNDUP((S$1)/10,0)*10,[1]Hugst!$R$4:$W$4,0))))</f>
        <v>0</v>
      </c>
      <c r="T220" s="168">
        <f>IF($C220-T$1&lt;År1,0,S219*(1-VLOOKUP($A220,[1]Hugst!$R$5:$W$9,MATCH(ROUNDUP((T$1)/10,0)*10,[1]Hugst!$R$4:$W$4,0))))</f>
        <v>0</v>
      </c>
      <c r="U220" s="168">
        <f>IF($C220-U$1&lt;År1,0,T219*(1-VLOOKUP($A220,[1]Hugst!$R$5:$W$9,MATCH(ROUNDUP((U$1)/10,0)*10,[1]Hugst!$R$4:$W$4,0))))</f>
        <v>0</v>
      </c>
      <c r="V220" s="168">
        <f>IF($C220-V$1&lt;År1,0,U219*(1-VLOOKUP($A220,[1]Hugst!$R$5:$W$9,MATCH(ROUNDUP((V$1)/10,0)*10,[1]Hugst!$R$4:$W$4,0))))</f>
        <v>0</v>
      </c>
      <c r="W220" s="168">
        <f>IF($C220-W$1&lt;År1,0,V219*(1-VLOOKUP($A220,[1]Hugst!$R$5:$W$9,MATCH(ROUNDUP((W$1)/10,0)*10,[1]Hugst!$R$4:$W$4,0))))</f>
        <v>0</v>
      </c>
      <c r="X220" s="168">
        <f>IF($C220-X$1&lt;År1,0,W219*(1-VLOOKUP($A220,[1]Hugst!$R$5:$W$9,MATCH(ROUNDUP((X$1)/10,0)*10,[1]Hugst!$R$4:$W$4,0))))</f>
        <v>0</v>
      </c>
      <c r="Y220" s="168">
        <f>IF($C220-Y$1&lt;År1,0,X219*(1-VLOOKUP($A220,[1]Hugst!$R$5:$W$9,MATCH(ROUNDUP((Y$1)/10,0)*10,[1]Hugst!$R$4:$W$4,0))))</f>
        <v>0</v>
      </c>
      <c r="Z220" s="168">
        <f>IF($C220-Z$1&lt;År1,0,Y219*(1-VLOOKUP($A220,[1]Hugst!$R$5:$W$9,MATCH(ROUNDUP((Z$1)/10,0)*10,[1]Hugst!$R$4:$W$4,0))))</f>
        <v>0</v>
      </c>
      <c r="AA220" s="168">
        <f>IF($C220-AA$1&lt;År1,0,Z219*(1-VLOOKUP($A220,[1]Hugst!$R$5:$W$9,MATCH(ROUNDUP((AA$1)/10,0)*10,[1]Hugst!$R$4:$W$4,0))))</f>
        <v>0</v>
      </c>
      <c r="AB220" s="168">
        <f>IF($C220-AB$1&lt;År1,0,AA219*(1-VLOOKUP($A220,[1]Hugst!$R$5:$W$9,MATCH(ROUNDUP((AB$1)/10,0)*10,[1]Hugst!$R$4:$W$4,0))))</f>
        <v>0</v>
      </c>
      <c r="AC220" s="168">
        <f>IF($C220-AC$1&lt;År1,0,AB219*(1-VLOOKUP($A220,[1]Hugst!$R$5:$W$9,MATCH(ROUNDUP((AC$1)/10,0)*10,[1]Hugst!$R$4:$W$4,0))))</f>
        <v>0</v>
      </c>
      <c r="AD220" s="168">
        <f>IF($C220-AD$1&lt;År1,0,AC219*(1-VLOOKUP($A220,[1]Hugst!$R$5:$W$9,MATCH(ROUNDUP((AD$1)/10,0)*10,[1]Hugst!$R$4:$W$4,0))))</f>
        <v>0</v>
      </c>
      <c r="AE220" s="168">
        <f>IF($C220-AE$1&lt;År1,0,AD219*(1-VLOOKUP($A220,[1]Hugst!$R$5:$W$9,MATCH(ROUNDUP((AE$1)/10,0)*10,[1]Hugst!$R$4:$W$4,0))))</f>
        <v>0</v>
      </c>
      <c r="AF220" s="168">
        <f>IF($C220-AF$1&lt;År1,0,AE219*(1-VLOOKUP($A220,[1]Hugst!$R$5:$W$9,MATCH(ROUNDUP((AF$1)/10,0)*10,[1]Hugst!$R$4:$W$4,0))))</f>
        <v>0</v>
      </c>
      <c r="AG220" s="168">
        <f>IF($C220-AG$1&lt;År1,0,AF219*(1-VLOOKUP($A220,[1]Hugst!$R$5:$W$9,MATCH(ROUNDUP((AG$1)/10,0)*10,[1]Hugst!$R$4:$W$4,0))))</f>
        <v>0</v>
      </c>
      <c r="AH220" s="168">
        <f>IF($C220-AH$1&lt;År1,0,AG219*(1-VLOOKUP($A220,[1]Hugst!$R$5:$W$9,MATCH(ROUNDUP((AH$1)/10,0)*10,[1]Hugst!$R$4:$W$4,0))))</f>
        <v>0</v>
      </c>
      <c r="AI220" s="168">
        <f>IF($C220-AI$1&lt;År1,0,AH219*(1-VLOOKUP($A220,[1]Hugst!$R$5:$W$9,MATCH(ROUNDUP((AI$1)/10,0)*10,[1]Hugst!$R$4:$W$4,0))))</f>
        <v>0</v>
      </c>
      <c r="AJ220" s="168">
        <f>IF($C220-AJ$1&lt;År1,0,AI219*(1-VLOOKUP($A220,[1]Hugst!$R$5:$W$9,MATCH(ROUNDUP((AJ$1)/10,0)*10,[1]Hugst!$R$4:$W$4,0))))</f>
        <v>0</v>
      </c>
    </row>
    <row r="221" spans="1:36" x14ac:dyDescent="0.25">
      <c r="A221" s="168" t="s">
        <v>179</v>
      </c>
      <c r="B221" s="168" t="s">
        <v>24</v>
      </c>
      <c r="C221" s="168">
        <v>2022</v>
      </c>
      <c r="D221" s="168" cm="1">
        <f t="array" ref="D221">(IF(B221="Vestdanmark",Skovbrug!$C$22-(Skovbrug!$C$22)*(1-Skovbrug!$C$9)^(C221-Skovbrug!$B$12),Skovbrug!$F$22-(Skovbrug!$F$22)*(1-Skovbrug!$C$9)^(C221-Skovbrug!$B$12))*VLOOKUP(A221,Skovbrug!$A$13:$D$17,IF('Skovbrug-alder'!C221&lt;=År2,3,4),FALSE)-IF(C221&gt;2020,SUM(INDEX($C$1:$D$311,MATCH(1,(2020=$C$1:$C$311)*(B221=$B$1:$B$311)*(A221=$A$1:$A$311),0),2):D220),0))</f>
        <v>0</v>
      </c>
      <c r="E221" s="168">
        <f t="shared" ca="1" si="5"/>
        <v>0</v>
      </c>
      <c r="F221" s="168">
        <f ca="1">IF(C221&lt;=År2,IF(B221="Vestdanmark",(Arealanvendelse!$M$27-Arealanvendelse!$J$27),(Arealanvendelse!$M$37-Arealanvendelse!$J$37))/(Arealanvendelse!$M$3-Arealanvendelse!$J$3),IF(B221="Vestdanmark",(Arealanvendelse!$P$27-Arealanvendelse!$M$27),(Arealanvendelse!$P$37-Arealanvendelse!$M$37))/(Arealanvendelse!$P$3-Arealanvendelse!$M$3))*VLOOKUP(A221,Skovbrug!$A$13:$D$17,IF('Skovbrug-alder'!C221&lt;=År2,3,4),FALSE)+D221+E221</f>
        <v>0</v>
      </c>
      <c r="G221" s="168">
        <f ca="1">IF($C221-G$1&lt;År1,0,F220*(1-VLOOKUP($A221,[1]Hugst!$R$5:$W$9,MATCH(ROUNDUP((G$1)/10,0)*10,[1]Hugst!$R$4:$W$4,0))))</f>
        <v>0</v>
      </c>
      <c r="H221" s="168">
        <f ca="1">IF($C221-H$1&lt;År1,0,G220*(1-VLOOKUP($A221,[1]Hugst!$R$5:$W$9,MATCH(ROUNDUP((H$1)/10,0)*10,[1]Hugst!$R$4:$W$4,0))))</f>
        <v>0</v>
      </c>
      <c r="I221" s="168">
        <f>IF($C221-I$1&lt;År1,0,H220*(1-VLOOKUP($A221,[1]Hugst!$R$5:$W$9,MATCH(ROUNDUP((I$1)/10,0)*10,[1]Hugst!$R$4:$W$4,0))))</f>
        <v>0</v>
      </c>
      <c r="J221" s="168">
        <f>IF($C221-J$1&lt;År1,0,I220*(1-VLOOKUP($A221,[1]Hugst!$R$5:$W$9,MATCH(ROUNDUP((J$1)/10,0)*10,[1]Hugst!$R$4:$W$4,0))))</f>
        <v>0</v>
      </c>
      <c r="K221" s="168">
        <f>IF($C221-K$1&lt;År1,0,J220*(1-VLOOKUP($A221,[1]Hugst!$R$5:$W$9,MATCH(ROUNDUP((K$1)/10,0)*10,[1]Hugst!$R$4:$W$4,0))))</f>
        <v>0</v>
      </c>
      <c r="L221" s="168">
        <f>IF($C221-L$1&lt;År1,0,K220*(1-VLOOKUP($A221,[1]Hugst!$R$5:$W$9,MATCH(ROUNDUP((L$1)/10,0)*10,[1]Hugst!$R$4:$W$4,0))))</f>
        <v>0</v>
      </c>
      <c r="M221" s="168">
        <f>IF($C221-M$1&lt;År1,0,L220*(1-VLOOKUP($A221,[1]Hugst!$R$5:$W$9,MATCH(ROUNDUP((M$1)/10,0)*10,[1]Hugst!$R$4:$W$4,0))))</f>
        <v>0</v>
      </c>
      <c r="N221" s="168">
        <f>IF($C221-N$1&lt;År1,0,M220*(1-VLOOKUP($A221,[1]Hugst!$R$5:$W$9,MATCH(ROUNDUP((N$1)/10,0)*10,[1]Hugst!$R$4:$W$4,0))))</f>
        <v>0</v>
      </c>
      <c r="O221" s="168">
        <f>IF($C221-O$1&lt;År1,0,N220*(1-VLOOKUP($A221,[1]Hugst!$R$5:$W$9,MATCH(ROUNDUP((O$1)/10,0)*10,[1]Hugst!$R$4:$W$4,0))))</f>
        <v>0</v>
      </c>
      <c r="P221" s="168">
        <f>IF($C221-P$1&lt;År1,0,O220*(1-VLOOKUP($A221,[1]Hugst!$R$5:$W$9,MATCH(ROUNDUP((P$1)/10,0)*10,[1]Hugst!$R$4:$W$4,0))))</f>
        <v>0</v>
      </c>
      <c r="Q221" s="168">
        <f>IF($C221-Q$1&lt;År1,0,P220*(1-VLOOKUP($A221,[1]Hugst!$R$5:$W$9,MATCH(ROUNDUP((Q$1)/10,0)*10,[1]Hugst!$R$4:$W$4,0))))</f>
        <v>0</v>
      </c>
      <c r="R221" s="168">
        <f>IF($C221-R$1&lt;År1,0,Q220*(1-VLOOKUP($A221,[1]Hugst!$R$5:$W$9,MATCH(ROUNDUP((R$1)/10,0)*10,[1]Hugst!$R$4:$W$4,0))))</f>
        <v>0</v>
      </c>
      <c r="S221" s="168">
        <f>IF($C221-S$1&lt;År1,0,R220*(1-VLOOKUP($A221,[1]Hugst!$R$5:$W$9,MATCH(ROUNDUP((S$1)/10,0)*10,[1]Hugst!$R$4:$W$4,0))))</f>
        <v>0</v>
      </c>
      <c r="T221" s="168">
        <f>IF($C221-T$1&lt;År1,0,S220*(1-VLOOKUP($A221,[1]Hugst!$R$5:$W$9,MATCH(ROUNDUP((T$1)/10,0)*10,[1]Hugst!$R$4:$W$4,0))))</f>
        <v>0</v>
      </c>
      <c r="U221" s="168">
        <f>IF($C221-U$1&lt;År1,0,T220*(1-VLOOKUP($A221,[1]Hugst!$R$5:$W$9,MATCH(ROUNDUP((U$1)/10,0)*10,[1]Hugst!$R$4:$W$4,0))))</f>
        <v>0</v>
      </c>
      <c r="V221" s="168">
        <f>IF($C221-V$1&lt;År1,0,U220*(1-VLOOKUP($A221,[1]Hugst!$R$5:$W$9,MATCH(ROUNDUP((V$1)/10,0)*10,[1]Hugst!$R$4:$W$4,0))))</f>
        <v>0</v>
      </c>
      <c r="W221" s="168">
        <f>IF($C221-W$1&lt;År1,0,V220*(1-VLOOKUP($A221,[1]Hugst!$R$5:$W$9,MATCH(ROUNDUP((W$1)/10,0)*10,[1]Hugst!$R$4:$W$4,0))))</f>
        <v>0</v>
      </c>
      <c r="X221" s="168">
        <f>IF($C221-X$1&lt;År1,0,W220*(1-VLOOKUP($A221,[1]Hugst!$R$5:$W$9,MATCH(ROUNDUP((X$1)/10,0)*10,[1]Hugst!$R$4:$W$4,0))))</f>
        <v>0</v>
      </c>
      <c r="Y221" s="168">
        <f>IF($C221-Y$1&lt;År1,0,X220*(1-VLOOKUP($A221,[1]Hugst!$R$5:$W$9,MATCH(ROUNDUP((Y$1)/10,0)*10,[1]Hugst!$R$4:$W$4,0))))</f>
        <v>0</v>
      </c>
      <c r="Z221" s="168">
        <f>IF($C221-Z$1&lt;År1,0,Y220*(1-VLOOKUP($A221,[1]Hugst!$R$5:$W$9,MATCH(ROUNDUP((Z$1)/10,0)*10,[1]Hugst!$R$4:$W$4,0))))</f>
        <v>0</v>
      </c>
      <c r="AA221" s="168">
        <f>IF($C221-AA$1&lt;År1,0,Z220*(1-VLOOKUP($A221,[1]Hugst!$R$5:$W$9,MATCH(ROUNDUP((AA$1)/10,0)*10,[1]Hugst!$R$4:$W$4,0))))</f>
        <v>0</v>
      </c>
      <c r="AB221" s="168">
        <f>IF($C221-AB$1&lt;År1,0,AA220*(1-VLOOKUP($A221,[1]Hugst!$R$5:$W$9,MATCH(ROUNDUP((AB$1)/10,0)*10,[1]Hugst!$R$4:$W$4,0))))</f>
        <v>0</v>
      </c>
      <c r="AC221" s="168">
        <f>IF($C221-AC$1&lt;År1,0,AB220*(1-VLOOKUP($A221,[1]Hugst!$R$5:$W$9,MATCH(ROUNDUP((AC$1)/10,0)*10,[1]Hugst!$R$4:$W$4,0))))</f>
        <v>0</v>
      </c>
      <c r="AD221" s="168">
        <f>IF($C221-AD$1&lt;År1,0,AC220*(1-VLOOKUP($A221,[1]Hugst!$R$5:$W$9,MATCH(ROUNDUP((AD$1)/10,0)*10,[1]Hugst!$R$4:$W$4,0))))</f>
        <v>0</v>
      </c>
      <c r="AE221" s="168">
        <f>IF($C221-AE$1&lt;År1,0,AD220*(1-VLOOKUP($A221,[1]Hugst!$R$5:$W$9,MATCH(ROUNDUP((AE$1)/10,0)*10,[1]Hugst!$R$4:$W$4,0))))</f>
        <v>0</v>
      </c>
      <c r="AF221" s="168">
        <f>IF($C221-AF$1&lt;År1,0,AE220*(1-VLOOKUP($A221,[1]Hugst!$R$5:$W$9,MATCH(ROUNDUP((AF$1)/10,0)*10,[1]Hugst!$R$4:$W$4,0))))</f>
        <v>0</v>
      </c>
      <c r="AG221" s="168">
        <f>IF($C221-AG$1&lt;År1,0,AF220*(1-VLOOKUP($A221,[1]Hugst!$R$5:$W$9,MATCH(ROUNDUP((AG$1)/10,0)*10,[1]Hugst!$R$4:$W$4,0))))</f>
        <v>0</v>
      </c>
      <c r="AH221" s="168">
        <f>IF($C221-AH$1&lt;År1,0,AG220*(1-VLOOKUP($A221,[1]Hugst!$R$5:$W$9,MATCH(ROUNDUP((AH$1)/10,0)*10,[1]Hugst!$R$4:$W$4,0))))</f>
        <v>0</v>
      </c>
      <c r="AI221" s="168">
        <f>IF($C221-AI$1&lt;År1,0,AH220*(1-VLOOKUP($A221,[1]Hugst!$R$5:$W$9,MATCH(ROUNDUP((AI$1)/10,0)*10,[1]Hugst!$R$4:$W$4,0))))</f>
        <v>0</v>
      </c>
      <c r="AJ221" s="168">
        <f>IF($C221-AJ$1&lt;År1,0,AI220*(1-VLOOKUP($A221,[1]Hugst!$R$5:$W$9,MATCH(ROUNDUP((AJ$1)/10,0)*10,[1]Hugst!$R$4:$W$4,0))))</f>
        <v>0</v>
      </c>
    </row>
    <row r="222" spans="1:36" x14ac:dyDescent="0.25">
      <c r="A222" s="168" t="s">
        <v>179</v>
      </c>
      <c r="B222" s="168" t="s">
        <v>24</v>
      </c>
      <c r="C222" s="168">
        <v>2023</v>
      </c>
      <c r="D222" s="168" cm="1">
        <f t="array" ref="D222">(IF(B222="Vestdanmark",Skovbrug!$C$22-(Skovbrug!$C$22)*(1-Skovbrug!$C$9)^(C222-Skovbrug!$B$12),Skovbrug!$F$22-(Skovbrug!$F$22)*(1-Skovbrug!$C$9)^(C222-Skovbrug!$B$12))*VLOOKUP(A222,Skovbrug!$A$13:$D$17,IF('Skovbrug-alder'!C222&lt;=År2,3,4),FALSE)-IF(C222&gt;2020,SUM(INDEX($C$1:$D$311,MATCH(1,(2020=$C$1:$C$311)*(B222=$B$1:$B$311)*(A222=$A$1:$A$311),0),2):D221),0))</f>
        <v>0</v>
      </c>
      <c r="E222" s="168">
        <f t="shared" ca="1" si="5"/>
        <v>0</v>
      </c>
      <c r="F222" s="168">
        <f ca="1">IF(C222&lt;=År2,IF(B222="Vestdanmark",(Arealanvendelse!$M$27-Arealanvendelse!$J$27),(Arealanvendelse!$M$37-Arealanvendelse!$J$37))/(Arealanvendelse!$M$3-Arealanvendelse!$J$3),IF(B222="Vestdanmark",(Arealanvendelse!$P$27-Arealanvendelse!$M$27),(Arealanvendelse!$P$37-Arealanvendelse!$M$37))/(Arealanvendelse!$P$3-Arealanvendelse!$M$3))*VLOOKUP(A222,Skovbrug!$A$13:$D$17,IF('Skovbrug-alder'!C222&lt;=År2,3,4),FALSE)+D222+E222</f>
        <v>0</v>
      </c>
      <c r="G222" s="168">
        <f ca="1">IF($C222-G$1&lt;År1,0,F221*(1-VLOOKUP($A222,[1]Hugst!$R$5:$W$9,MATCH(ROUNDUP((G$1)/10,0)*10,[1]Hugst!$R$4:$W$4,0))))</f>
        <v>0</v>
      </c>
      <c r="H222" s="168">
        <f ca="1">IF($C222-H$1&lt;År1,0,G221*(1-VLOOKUP($A222,[1]Hugst!$R$5:$W$9,MATCH(ROUNDUP((H$1)/10,0)*10,[1]Hugst!$R$4:$W$4,0))))</f>
        <v>0</v>
      </c>
      <c r="I222" s="168">
        <f ca="1">IF($C222-I$1&lt;År1,0,H221*(1-VLOOKUP($A222,[1]Hugst!$R$5:$W$9,MATCH(ROUNDUP((I$1)/10,0)*10,[1]Hugst!$R$4:$W$4,0))))</f>
        <v>0</v>
      </c>
      <c r="J222" s="168">
        <f>IF($C222-J$1&lt;År1,0,I221*(1-VLOOKUP($A222,[1]Hugst!$R$5:$W$9,MATCH(ROUNDUP((J$1)/10,0)*10,[1]Hugst!$R$4:$W$4,0))))</f>
        <v>0</v>
      </c>
      <c r="K222" s="168">
        <f>IF($C222-K$1&lt;År1,0,J221*(1-VLOOKUP($A222,[1]Hugst!$R$5:$W$9,MATCH(ROUNDUP((K$1)/10,0)*10,[1]Hugst!$R$4:$W$4,0))))</f>
        <v>0</v>
      </c>
      <c r="L222" s="168">
        <f>IF($C222-L$1&lt;År1,0,K221*(1-VLOOKUP($A222,[1]Hugst!$R$5:$W$9,MATCH(ROUNDUP((L$1)/10,0)*10,[1]Hugst!$R$4:$W$4,0))))</f>
        <v>0</v>
      </c>
      <c r="M222" s="168">
        <f>IF($C222-M$1&lt;År1,0,L221*(1-VLOOKUP($A222,[1]Hugst!$R$5:$W$9,MATCH(ROUNDUP((M$1)/10,0)*10,[1]Hugst!$R$4:$W$4,0))))</f>
        <v>0</v>
      </c>
      <c r="N222" s="168">
        <f>IF($C222-N$1&lt;År1,0,M221*(1-VLOOKUP($A222,[1]Hugst!$R$5:$W$9,MATCH(ROUNDUP((N$1)/10,0)*10,[1]Hugst!$R$4:$W$4,0))))</f>
        <v>0</v>
      </c>
      <c r="O222" s="168">
        <f>IF($C222-O$1&lt;År1,0,N221*(1-VLOOKUP($A222,[1]Hugst!$R$5:$W$9,MATCH(ROUNDUP((O$1)/10,0)*10,[1]Hugst!$R$4:$W$4,0))))</f>
        <v>0</v>
      </c>
      <c r="P222" s="168">
        <f>IF($C222-P$1&lt;År1,0,O221*(1-VLOOKUP($A222,[1]Hugst!$R$5:$W$9,MATCH(ROUNDUP((P$1)/10,0)*10,[1]Hugst!$R$4:$W$4,0))))</f>
        <v>0</v>
      </c>
      <c r="Q222" s="168">
        <f>IF($C222-Q$1&lt;År1,0,P221*(1-VLOOKUP($A222,[1]Hugst!$R$5:$W$9,MATCH(ROUNDUP((Q$1)/10,0)*10,[1]Hugst!$R$4:$W$4,0))))</f>
        <v>0</v>
      </c>
      <c r="R222" s="168">
        <f>IF($C222-R$1&lt;År1,0,Q221*(1-VLOOKUP($A222,[1]Hugst!$R$5:$W$9,MATCH(ROUNDUP((R$1)/10,0)*10,[1]Hugst!$R$4:$W$4,0))))</f>
        <v>0</v>
      </c>
      <c r="S222" s="168">
        <f>IF($C222-S$1&lt;År1,0,R221*(1-VLOOKUP($A222,[1]Hugst!$R$5:$W$9,MATCH(ROUNDUP((S$1)/10,0)*10,[1]Hugst!$R$4:$W$4,0))))</f>
        <v>0</v>
      </c>
      <c r="T222" s="168">
        <f>IF($C222-T$1&lt;År1,0,S221*(1-VLOOKUP($A222,[1]Hugst!$R$5:$W$9,MATCH(ROUNDUP((T$1)/10,0)*10,[1]Hugst!$R$4:$W$4,0))))</f>
        <v>0</v>
      </c>
      <c r="U222" s="168">
        <f>IF($C222-U$1&lt;År1,0,T221*(1-VLOOKUP($A222,[1]Hugst!$R$5:$W$9,MATCH(ROUNDUP((U$1)/10,0)*10,[1]Hugst!$R$4:$W$4,0))))</f>
        <v>0</v>
      </c>
      <c r="V222" s="168">
        <f>IF($C222-V$1&lt;År1,0,U221*(1-VLOOKUP($A222,[1]Hugst!$R$5:$W$9,MATCH(ROUNDUP((V$1)/10,0)*10,[1]Hugst!$R$4:$W$4,0))))</f>
        <v>0</v>
      </c>
      <c r="W222" s="168">
        <f>IF($C222-W$1&lt;År1,0,V221*(1-VLOOKUP($A222,[1]Hugst!$R$5:$W$9,MATCH(ROUNDUP((W$1)/10,0)*10,[1]Hugst!$R$4:$W$4,0))))</f>
        <v>0</v>
      </c>
      <c r="X222" s="168">
        <f>IF($C222-X$1&lt;År1,0,W221*(1-VLOOKUP($A222,[1]Hugst!$R$5:$W$9,MATCH(ROUNDUP((X$1)/10,0)*10,[1]Hugst!$R$4:$W$4,0))))</f>
        <v>0</v>
      </c>
      <c r="Y222" s="168">
        <f>IF($C222-Y$1&lt;År1,0,X221*(1-VLOOKUP($A222,[1]Hugst!$R$5:$W$9,MATCH(ROUNDUP((Y$1)/10,0)*10,[1]Hugst!$R$4:$W$4,0))))</f>
        <v>0</v>
      </c>
      <c r="Z222" s="168">
        <f>IF($C222-Z$1&lt;År1,0,Y221*(1-VLOOKUP($A222,[1]Hugst!$R$5:$W$9,MATCH(ROUNDUP((Z$1)/10,0)*10,[1]Hugst!$R$4:$W$4,0))))</f>
        <v>0</v>
      </c>
      <c r="AA222" s="168">
        <f>IF($C222-AA$1&lt;År1,0,Z221*(1-VLOOKUP($A222,[1]Hugst!$R$5:$W$9,MATCH(ROUNDUP((AA$1)/10,0)*10,[1]Hugst!$R$4:$W$4,0))))</f>
        <v>0</v>
      </c>
      <c r="AB222" s="168">
        <f>IF($C222-AB$1&lt;År1,0,AA221*(1-VLOOKUP($A222,[1]Hugst!$R$5:$W$9,MATCH(ROUNDUP((AB$1)/10,0)*10,[1]Hugst!$R$4:$W$4,0))))</f>
        <v>0</v>
      </c>
      <c r="AC222" s="168">
        <f>IF($C222-AC$1&lt;År1,0,AB221*(1-VLOOKUP($A222,[1]Hugst!$R$5:$W$9,MATCH(ROUNDUP((AC$1)/10,0)*10,[1]Hugst!$R$4:$W$4,0))))</f>
        <v>0</v>
      </c>
      <c r="AD222" s="168">
        <f>IF($C222-AD$1&lt;År1,0,AC221*(1-VLOOKUP($A222,[1]Hugst!$R$5:$W$9,MATCH(ROUNDUP((AD$1)/10,0)*10,[1]Hugst!$R$4:$W$4,0))))</f>
        <v>0</v>
      </c>
      <c r="AE222" s="168">
        <f>IF($C222-AE$1&lt;År1,0,AD221*(1-VLOOKUP($A222,[1]Hugst!$R$5:$W$9,MATCH(ROUNDUP((AE$1)/10,0)*10,[1]Hugst!$R$4:$W$4,0))))</f>
        <v>0</v>
      </c>
      <c r="AF222" s="168">
        <f>IF($C222-AF$1&lt;År1,0,AE221*(1-VLOOKUP($A222,[1]Hugst!$R$5:$W$9,MATCH(ROUNDUP((AF$1)/10,0)*10,[1]Hugst!$R$4:$W$4,0))))</f>
        <v>0</v>
      </c>
      <c r="AG222" s="168">
        <f>IF($C222-AG$1&lt;År1,0,AF221*(1-VLOOKUP($A222,[1]Hugst!$R$5:$W$9,MATCH(ROUNDUP((AG$1)/10,0)*10,[1]Hugst!$R$4:$W$4,0))))</f>
        <v>0</v>
      </c>
      <c r="AH222" s="168">
        <f>IF($C222-AH$1&lt;År1,0,AG221*(1-VLOOKUP($A222,[1]Hugst!$R$5:$W$9,MATCH(ROUNDUP((AH$1)/10,0)*10,[1]Hugst!$R$4:$W$4,0))))</f>
        <v>0</v>
      </c>
      <c r="AI222" s="168">
        <f>IF($C222-AI$1&lt;År1,0,AH221*(1-VLOOKUP($A222,[1]Hugst!$R$5:$W$9,MATCH(ROUNDUP((AI$1)/10,0)*10,[1]Hugst!$R$4:$W$4,0))))</f>
        <v>0</v>
      </c>
      <c r="AJ222" s="168">
        <f>IF($C222-AJ$1&lt;År1,0,AI221*(1-VLOOKUP($A222,[1]Hugst!$R$5:$W$9,MATCH(ROUNDUP((AJ$1)/10,0)*10,[1]Hugst!$R$4:$W$4,0))))</f>
        <v>0</v>
      </c>
    </row>
    <row r="223" spans="1:36" x14ac:dyDescent="0.25">
      <c r="A223" s="168" t="s">
        <v>179</v>
      </c>
      <c r="B223" s="168" t="s">
        <v>24</v>
      </c>
      <c r="C223" s="168">
        <v>2024</v>
      </c>
      <c r="D223" s="168" cm="1">
        <f t="array" ref="D223">(IF(B223="Vestdanmark",Skovbrug!$C$22-(Skovbrug!$C$22)*(1-Skovbrug!$C$9)^(C223-Skovbrug!$B$12),Skovbrug!$F$22-(Skovbrug!$F$22)*(1-Skovbrug!$C$9)^(C223-Skovbrug!$B$12))*VLOOKUP(A223,Skovbrug!$A$13:$D$17,IF('Skovbrug-alder'!C223&lt;=År2,3,4),FALSE)-IF(C223&gt;2020,SUM(INDEX($C$1:$D$311,MATCH(1,(2020=$C$1:$C$311)*(B223=$B$1:$B$311)*(A223=$A$1:$A$311),0),2):D222),0))</f>
        <v>0</v>
      </c>
      <c r="E223" s="168">
        <f t="shared" ca="1" si="5"/>
        <v>0</v>
      </c>
      <c r="F223" s="168">
        <f ca="1">IF(C223&lt;=År2,IF(B223="Vestdanmark",(Arealanvendelse!$M$27-Arealanvendelse!$J$27),(Arealanvendelse!$M$37-Arealanvendelse!$J$37))/(Arealanvendelse!$M$3-Arealanvendelse!$J$3),IF(B223="Vestdanmark",(Arealanvendelse!$P$27-Arealanvendelse!$M$27),(Arealanvendelse!$P$37-Arealanvendelse!$M$37))/(Arealanvendelse!$P$3-Arealanvendelse!$M$3))*VLOOKUP(A223,Skovbrug!$A$13:$D$17,IF('Skovbrug-alder'!C223&lt;=År2,3,4),FALSE)+D223+E223</f>
        <v>0</v>
      </c>
      <c r="G223" s="168">
        <f ca="1">IF($C223-G$1&lt;År1,0,F222*(1-VLOOKUP($A223,[1]Hugst!$R$5:$W$9,MATCH(ROUNDUP((G$1)/10,0)*10,[1]Hugst!$R$4:$W$4,0))))</f>
        <v>0</v>
      </c>
      <c r="H223" s="168">
        <f ca="1">IF($C223-H$1&lt;År1,0,G222*(1-VLOOKUP($A223,[1]Hugst!$R$5:$W$9,MATCH(ROUNDUP((H$1)/10,0)*10,[1]Hugst!$R$4:$W$4,0))))</f>
        <v>0</v>
      </c>
      <c r="I223" s="168">
        <f ca="1">IF($C223-I$1&lt;År1,0,H222*(1-VLOOKUP($A223,[1]Hugst!$R$5:$W$9,MATCH(ROUNDUP((I$1)/10,0)*10,[1]Hugst!$R$4:$W$4,0))))</f>
        <v>0</v>
      </c>
      <c r="J223" s="168">
        <f ca="1">IF($C223-J$1&lt;År1,0,I222*(1-VLOOKUP($A223,[1]Hugst!$R$5:$W$9,MATCH(ROUNDUP((J$1)/10,0)*10,[1]Hugst!$R$4:$W$4,0))))</f>
        <v>0</v>
      </c>
      <c r="K223" s="168">
        <f>IF($C223-K$1&lt;År1,0,J222*(1-VLOOKUP($A223,[1]Hugst!$R$5:$W$9,MATCH(ROUNDUP((K$1)/10,0)*10,[1]Hugst!$R$4:$W$4,0))))</f>
        <v>0</v>
      </c>
      <c r="L223" s="168">
        <f>IF($C223-L$1&lt;År1,0,K222*(1-VLOOKUP($A223,[1]Hugst!$R$5:$W$9,MATCH(ROUNDUP((L$1)/10,0)*10,[1]Hugst!$R$4:$W$4,0))))</f>
        <v>0</v>
      </c>
      <c r="M223" s="168">
        <f>IF($C223-M$1&lt;År1,0,L222*(1-VLOOKUP($A223,[1]Hugst!$R$5:$W$9,MATCH(ROUNDUP((M$1)/10,0)*10,[1]Hugst!$R$4:$W$4,0))))</f>
        <v>0</v>
      </c>
      <c r="N223" s="168">
        <f>IF($C223-N$1&lt;År1,0,M222*(1-VLOOKUP($A223,[1]Hugst!$R$5:$W$9,MATCH(ROUNDUP((N$1)/10,0)*10,[1]Hugst!$R$4:$W$4,0))))</f>
        <v>0</v>
      </c>
      <c r="O223" s="168">
        <f>IF($C223-O$1&lt;År1,0,N222*(1-VLOOKUP($A223,[1]Hugst!$R$5:$W$9,MATCH(ROUNDUP((O$1)/10,0)*10,[1]Hugst!$R$4:$W$4,0))))</f>
        <v>0</v>
      </c>
      <c r="P223" s="168">
        <f>IF($C223-P$1&lt;År1,0,O222*(1-VLOOKUP($A223,[1]Hugst!$R$5:$W$9,MATCH(ROUNDUP((P$1)/10,0)*10,[1]Hugst!$R$4:$W$4,0))))</f>
        <v>0</v>
      </c>
      <c r="Q223" s="168">
        <f>IF($C223-Q$1&lt;År1,0,P222*(1-VLOOKUP($A223,[1]Hugst!$R$5:$W$9,MATCH(ROUNDUP((Q$1)/10,0)*10,[1]Hugst!$R$4:$W$4,0))))</f>
        <v>0</v>
      </c>
      <c r="R223" s="168">
        <f>IF($C223-R$1&lt;År1,0,Q222*(1-VLOOKUP($A223,[1]Hugst!$R$5:$W$9,MATCH(ROUNDUP((R$1)/10,0)*10,[1]Hugst!$R$4:$W$4,0))))</f>
        <v>0</v>
      </c>
      <c r="S223" s="168">
        <f>IF($C223-S$1&lt;År1,0,R222*(1-VLOOKUP($A223,[1]Hugst!$R$5:$W$9,MATCH(ROUNDUP((S$1)/10,0)*10,[1]Hugst!$R$4:$W$4,0))))</f>
        <v>0</v>
      </c>
      <c r="T223" s="168">
        <f>IF($C223-T$1&lt;År1,0,S222*(1-VLOOKUP($A223,[1]Hugst!$R$5:$W$9,MATCH(ROUNDUP((T$1)/10,0)*10,[1]Hugst!$R$4:$W$4,0))))</f>
        <v>0</v>
      </c>
      <c r="U223" s="168">
        <f>IF($C223-U$1&lt;År1,0,T222*(1-VLOOKUP($A223,[1]Hugst!$R$5:$W$9,MATCH(ROUNDUP((U$1)/10,0)*10,[1]Hugst!$R$4:$W$4,0))))</f>
        <v>0</v>
      </c>
      <c r="V223" s="168">
        <f>IF($C223-V$1&lt;År1,0,U222*(1-VLOOKUP($A223,[1]Hugst!$R$5:$W$9,MATCH(ROUNDUP((V$1)/10,0)*10,[1]Hugst!$R$4:$W$4,0))))</f>
        <v>0</v>
      </c>
      <c r="W223" s="168">
        <f>IF($C223-W$1&lt;År1,0,V222*(1-VLOOKUP($A223,[1]Hugst!$R$5:$W$9,MATCH(ROUNDUP((W$1)/10,0)*10,[1]Hugst!$R$4:$W$4,0))))</f>
        <v>0</v>
      </c>
      <c r="X223" s="168">
        <f>IF($C223-X$1&lt;År1,0,W222*(1-VLOOKUP($A223,[1]Hugst!$R$5:$W$9,MATCH(ROUNDUP((X$1)/10,0)*10,[1]Hugst!$R$4:$W$4,0))))</f>
        <v>0</v>
      </c>
      <c r="Y223" s="168">
        <f>IF($C223-Y$1&lt;År1,0,X222*(1-VLOOKUP($A223,[1]Hugst!$R$5:$W$9,MATCH(ROUNDUP((Y$1)/10,0)*10,[1]Hugst!$R$4:$W$4,0))))</f>
        <v>0</v>
      </c>
      <c r="Z223" s="168">
        <f>IF($C223-Z$1&lt;År1,0,Y222*(1-VLOOKUP($A223,[1]Hugst!$R$5:$W$9,MATCH(ROUNDUP((Z$1)/10,0)*10,[1]Hugst!$R$4:$W$4,0))))</f>
        <v>0</v>
      </c>
      <c r="AA223" s="168">
        <f>IF($C223-AA$1&lt;År1,0,Z222*(1-VLOOKUP($A223,[1]Hugst!$R$5:$W$9,MATCH(ROUNDUP((AA$1)/10,0)*10,[1]Hugst!$R$4:$W$4,0))))</f>
        <v>0</v>
      </c>
      <c r="AB223" s="168">
        <f>IF($C223-AB$1&lt;År1,0,AA222*(1-VLOOKUP($A223,[1]Hugst!$R$5:$W$9,MATCH(ROUNDUP((AB$1)/10,0)*10,[1]Hugst!$R$4:$W$4,0))))</f>
        <v>0</v>
      </c>
      <c r="AC223" s="168">
        <f>IF($C223-AC$1&lt;År1,0,AB222*(1-VLOOKUP($A223,[1]Hugst!$R$5:$W$9,MATCH(ROUNDUP((AC$1)/10,0)*10,[1]Hugst!$R$4:$W$4,0))))</f>
        <v>0</v>
      </c>
      <c r="AD223" s="168">
        <f>IF($C223-AD$1&lt;År1,0,AC222*(1-VLOOKUP($A223,[1]Hugst!$R$5:$W$9,MATCH(ROUNDUP((AD$1)/10,0)*10,[1]Hugst!$R$4:$W$4,0))))</f>
        <v>0</v>
      </c>
      <c r="AE223" s="168">
        <f>IF($C223-AE$1&lt;År1,0,AD222*(1-VLOOKUP($A223,[1]Hugst!$R$5:$W$9,MATCH(ROUNDUP((AE$1)/10,0)*10,[1]Hugst!$R$4:$W$4,0))))</f>
        <v>0</v>
      </c>
      <c r="AF223" s="168">
        <f>IF($C223-AF$1&lt;År1,0,AE222*(1-VLOOKUP($A223,[1]Hugst!$R$5:$W$9,MATCH(ROUNDUP((AF$1)/10,0)*10,[1]Hugst!$R$4:$W$4,0))))</f>
        <v>0</v>
      </c>
      <c r="AG223" s="168">
        <f>IF($C223-AG$1&lt;År1,0,AF222*(1-VLOOKUP($A223,[1]Hugst!$R$5:$W$9,MATCH(ROUNDUP((AG$1)/10,0)*10,[1]Hugst!$R$4:$W$4,0))))</f>
        <v>0</v>
      </c>
      <c r="AH223" s="168">
        <f>IF($C223-AH$1&lt;År1,0,AG222*(1-VLOOKUP($A223,[1]Hugst!$R$5:$W$9,MATCH(ROUNDUP((AH$1)/10,0)*10,[1]Hugst!$R$4:$W$4,0))))</f>
        <v>0</v>
      </c>
      <c r="AI223" s="168">
        <f>IF($C223-AI$1&lt;År1,0,AH222*(1-VLOOKUP($A223,[1]Hugst!$R$5:$W$9,MATCH(ROUNDUP((AI$1)/10,0)*10,[1]Hugst!$R$4:$W$4,0))))</f>
        <v>0</v>
      </c>
      <c r="AJ223" s="168">
        <f>IF($C223-AJ$1&lt;År1,0,AI222*(1-VLOOKUP($A223,[1]Hugst!$R$5:$W$9,MATCH(ROUNDUP((AJ$1)/10,0)*10,[1]Hugst!$R$4:$W$4,0))))</f>
        <v>0</v>
      </c>
    </row>
    <row r="224" spans="1:36" x14ac:dyDescent="0.25">
      <c r="A224" s="168" t="s">
        <v>179</v>
      </c>
      <c r="B224" s="168" t="s">
        <v>24</v>
      </c>
      <c r="C224" s="168">
        <v>2025</v>
      </c>
      <c r="D224" s="168" cm="1">
        <f t="array" ref="D224">(IF(B224="Vestdanmark",Skovbrug!$C$22-(Skovbrug!$C$22)*(1-Skovbrug!$C$9)^(C224-Skovbrug!$B$12),Skovbrug!$F$22-(Skovbrug!$F$22)*(1-Skovbrug!$C$9)^(C224-Skovbrug!$B$12))*VLOOKUP(A224,Skovbrug!$A$13:$D$17,IF('Skovbrug-alder'!C224&lt;=År2,3,4),FALSE)-IF(C224&gt;2020,SUM(INDEX($C$1:$D$311,MATCH(1,(2020=$C$1:$C$311)*(B224=$B$1:$B$311)*(A224=$A$1:$A$311),0),2):D223),0))</f>
        <v>0</v>
      </c>
      <c r="E224" s="168">
        <f t="shared" ca="1" si="5"/>
        <v>0</v>
      </c>
      <c r="F224" s="168">
        <f ca="1">IF(C224&lt;=År2,IF(B224="Vestdanmark",(Arealanvendelse!$M$27-Arealanvendelse!$J$27),(Arealanvendelse!$M$37-Arealanvendelse!$J$37))/(Arealanvendelse!$M$3-Arealanvendelse!$J$3),IF(B224="Vestdanmark",(Arealanvendelse!$P$27-Arealanvendelse!$M$27),(Arealanvendelse!$P$37-Arealanvendelse!$M$37))/(Arealanvendelse!$P$3-Arealanvendelse!$M$3))*VLOOKUP(A224,Skovbrug!$A$13:$D$17,IF('Skovbrug-alder'!C224&lt;=År2,3,4),FALSE)+D224+E224</f>
        <v>0</v>
      </c>
      <c r="G224" s="168">
        <f ca="1">IF($C224-G$1&lt;År1,0,F223*(1-VLOOKUP($A224,[1]Hugst!$R$5:$W$9,MATCH(ROUNDUP((G$1)/10,0)*10,[1]Hugst!$R$4:$W$4,0))))</f>
        <v>0</v>
      </c>
      <c r="H224" s="168">
        <f ca="1">IF($C224-H$1&lt;År1,0,G223*(1-VLOOKUP($A224,[1]Hugst!$R$5:$W$9,MATCH(ROUNDUP((H$1)/10,0)*10,[1]Hugst!$R$4:$W$4,0))))</f>
        <v>0</v>
      </c>
      <c r="I224" s="168">
        <f ca="1">IF($C224-I$1&lt;År1,0,H223*(1-VLOOKUP($A224,[1]Hugst!$R$5:$W$9,MATCH(ROUNDUP((I$1)/10,0)*10,[1]Hugst!$R$4:$W$4,0))))</f>
        <v>0</v>
      </c>
      <c r="J224" s="168">
        <f ca="1">IF($C224-J$1&lt;År1,0,I223*(1-VLOOKUP($A224,[1]Hugst!$R$5:$W$9,MATCH(ROUNDUP((J$1)/10,0)*10,[1]Hugst!$R$4:$W$4,0))))</f>
        <v>0</v>
      </c>
      <c r="K224" s="168">
        <f ca="1">IF($C224-K$1&lt;År1,0,J223*(1-VLOOKUP($A224,[1]Hugst!$R$5:$W$9,MATCH(ROUNDUP((K$1)/10,0)*10,[1]Hugst!$R$4:$W$4,0))))</f>
        <v>0</v>
      </c>
      <c r="L224" s="168">
        <f>IF($C224-L$1&lt;År1,0,K223*(1-VLOOKUP($A224,[1]Hugst!$R$5:$W$9,MATCH(ROUNDUP((L$1)/10,0)*10,[1]Hugst!$R$4:$W$4,0))))</f>
        <v>0</v>
      </c>
      <c r="M224" s="168">
        <f>IF($C224-M$1&lt;År1,0,L223*(1-VLOOKUP($A224,[1]Hugst!$R$5:$W$9,MATCH(ROUNDUP((M$1)/10,0)*10,[1]Hugst!$R$4:$W$4,0))))</f>
        <v>0</v>
      </c>
      <c r="N224" s="168">
        <f>IF($C224-N$1&lt;År1,0,M223*(1-VLOOKUP($A224,[1]Hugst!$R$5:$W$9,MATCH(ROUNDUP((N$1)/10,0)*10,[1]Hugst!$R$4:$W$4,0))))</f>
        <v>0</v>
      </c>
      <c r="O224" s="168">
        <f>IF($C224-O$1&lt;År1,0,N223*(1-VLOOKUP($A224,[1]Hugst!$R$5:$W$9,MATCH(ROUNDUP((O$1)/10,0)*10,[1]Hugst!$R$4:$W$4,0))))</f>
        <v>0</v>
      </c>
      <c r="P224" s="168">
        <f>IF($C224-P$1&lt;År1,0,O223*(1-VLOOKUP($A224,[1]Hugst!$R$5:$W$9,MATCH(ROUNDUP((P$1)/10,0)*10,[1]Hugst!$R$4:$W$4,0))))</f>
        <v>0</v>
      </c>
      <c r="Q224" s="168">
        <f>IF($C224-Q$1&lt;År1,0,P223*(1-VLOOKUP($A224,[1]Hugst!$R$5:$W$9,MATCH(ROUNDUP((Q$1)/10,0)*10,[1]Hugst!$R$4:$W$4,0))))</f>
        <v>0</v>
      </c>
      <c r="R224" s="168">
        <f>IF($C224-R$1&lt;År1,0,Q223*(1-VLOOKUP($A224,[1]Hugst!$R$5:$W$9,MATCH(ROUNDUP((R$1)/10,0)*10,[1]Hugst!$R$4:$W$4,0))))</f>
        <v>0</v>
      </c>
      <c r="S224" s="168">
        <f>IF($C224-S$1&lt;År1,0,R223*(1-VLOOKUP($A224,[1]Hugst!$R$5:$W$9,MATCH(ROUNDUP((S$1)/10,0)*10,[1]Hugst!$R$4:$W$4,0))))</f>
        <v>0</v>
      </c>
      <c r="T224" s="168">
        <f>IF($C224-T$1&lt;År1,0,S223*(1-VLOOKUP($A224,[1]Hugst!$R$5:$W$9,MATCH(ROUNDUP((T$1)/10,0)*10,[1]Hugst!$R$4:$W$4,0))))</f>
        <v>0</v>
      </c>
      <c r="U224" s="168">
        <f>IF($C224-U$1&lt;År1,0,T223*(1-VLOOKUP($A224,[1]Hugst!$R$5:$W$9,MATCH(ROUNDUP((U$1)/10,0)*10,[1]Hugst!$R$4:$W$4,0))))</f>
        <v>0</v>
      </c>
      <c r="V224" s="168">
        <f>IF($C224-V$1&lt;År1,0,U223*(1-VLOOKUP($A224,[1]Hugst!$R$5:$W$9,MATCH(ROUNDUP((V$1)/10,0)*10,[1]Hugst!$R$4:$W$4,0))))</f>
        <v>0</v>
      </c>
      <c r="W224" s="168">
        <f>IF($C224-W$1&lt;År1,0,V223*(1-VLOOKUP($A224,[1]Hugst!$R$5:$W$9,MATCH(ROUNDUP((W$1)/10,0)*10,[1]Hugst!$R$4:$W$4,0))))</f>
        <v>0</v>
      </c>
      <c r="X224" s="168">
        <f>IF($C224-X$1&lt;År1,0,W223*(1-VLOOKUP($A224,[1]Hugst!$R$5:$W$9,MATCH(ROUNDUP((X$1)/10,0)*10,[1]Hugst!$R$4:$W$4,0))))</f>
        <v>0</v>
      </c>
      <c r="Y224" s="168">
        <f>IF($C224-Y$1&lt;År1,0,X223*(1-VLOOKUP($A224,[1]Hugst!$R$5:$W$9,MATCH(ROUNDUP((Y$1)/10,0)*10,[1]Hugst!$R$4:$W$4,0))))</f>
        <v>0</v>
      </c>
      <c r="Z224" s="168">
        <f>IF($C224-Z$1&lt;År1,0,Y223*(1-VLOOKUP($A224,[1]Hugst!$R$5:$W$9,MATCH(ROUNDUP((Z$1)/10,0)*10,[1]Hugst!$R$4:$W$4,0))))</f>
        <v>0</v>
      </c>
      <c r="AA224" s="168">
        <f>IF($C224-AA$1&lt;År1,0,Z223*(1-VLOOKUP($A224,[1]Hugst!$R$5:$W$9,MATCH(ROUNDUP((AA$1)/10,0)*10,[1]Hugst!$R$4:$W$4,0))))</f>
        <v>0</v>
      </c>
      <c r="AB224" s="168">
        <f>IF($C224-AB$1&lt;År1,0,AA223*(1-VLOOKUP($A224,[1]Hugst!$R$5:$W$9,MATCH(ROUNDUP((AB$1)/10,0)*10,[1]Hugst!$R$4:$W$4,0))))</f>
        <v>0</v>
      </c>
      <c r="AC224" s="168">
        <f>IF($C224-AC$1&lt;År1,0,AB223*(1-VLOOKUP($A224,[1]Hugst!$R$5:$W$9,MATCH(ROUNDUP((AC$1)/10,0)*10,[1]Hugst!$R$4:$W$4,0))))</f>
        <v>0</v>
      </c>
      <c r="AD224" s="168">
        <f>IF($C224-AD$1&lt;År1,0,AC223*(1-VLOOKUP($A224,[1]Hugst!$R$5:$W$9,MATCH(ROUNDUP((AD$1)/10,0)*10,[1]Hugst!$R$4:$W$4,0))))</f>
        <v>0</v>
      </c>
      <c r="AE224" s="168">
        <f>IF($C224-AE$1&lt;År1,0,AD223*(1-VLOOKUP($A224,[1]Hugst!$R$5:$W$9,MATCH(ROUNDUP((AE$1)/10,0)*10,[1]Hugst!$R$4:$W$4,0))))</f>
        <v>0</v>
      </c>
      <c r="AF224" s="168">
        <f>IF($C224-AF$1&lt;År1,0,AE223*(1-VLOOKUP($A224,[1]Hugst!$R$5:$W$9,MATCH(ROUNDUP((AF$1)/10,0)*10,[1]Hugst!$R$4:$W$4,0))))</f>
        <v>0</v>
      </c>
      <c r="AG224" s="168">
        <f>IF($C224-AG$1&lt;År1,0,AF223*(1-VLOOKUP($A224,[1]Hugst!$R$5:$W$9,MATCH(ROUNDUP((AG$1)/10,0)*10,[1]Hugst!$R$4:$W$4,0))))</f>
        <v>0</v>
      </c>
      <c r="AH224" s="168">
        <f>IF($C224-AH$1&lt;År1,0,AG223*(1-VLOOKUP($A224,[1]Hugst!$R$5:$W$9,MATCH(ROUNDUP((AH$1)/10,0)*10,[1]Hugst!$R$4:$W$4,0))))</f>
        <v>0</v>
      </c>
      <c r="AI224" s="168">
        <f>IF($C224-AI$1&lt;År1,0,AH223*(1-VLOOKUP($A224,[1]Hugst!$R$5:$W$9,MATCH(ROUNDUP((AI$1)/10,0)*10,[1]Hugst!$R$4:$W$4,0))))</f>
        <v>0</v>
      </c>
      <c r="AJ224" s="168">
        <f>IF($C224-AJ$1&lt;År1,0,AI223*(1-VLOOKUP($A224,[1]Hugst!$R$5:$W$9,MATCH(ROUNDUP((AJ$1)/10,0)*10,[1]Hugst!$R$4:$W$4,0))))</f>
        <v>0</v>
      </c>
    </row>
    <row r="225" spans="1:36" x14ac:dyDescent="0.25">
      <c r="A225" s="168" t="s">
        <v>179</v>
      </c>
      <c r="B225" s="168" t="s">
        <v>24</v>
      </c>
      <c r="C225" s="168">
        <v>2026</v>
      </c>
      <c r="D225" s="168" cm="1">
        <f t="array" ref="D225">(IF(B225="Vestdanmark",Skovbrug!$C$22-(Skovbrug!$C$22)*(1-Skovbrug!$C$9)^(C225-Skovbrug!$B$12),Skovbrug!$F$22-(Skovbrug!$F$22)*(1-Skovbrug!$C$9)^(C225-Skovbrug!$B$12))*VLOOKUP(A225,Skovbrug!$A$13:$D$17,IF('Skovbrug-alder'!C225&lt;=År2,3,4),FALSE)-IF(C225&gt;2020,SUM(INDEX($C$1:$D$311,MATCH(1,(2020=$C$1:$C$311)*(B225=$B$1:$B$311)*(A225=$A$1:$A$311),0),2):D224),0))</f>
        <v>0</v>
      </c>
      <c r="E225" s="168">
        <f t="shared" ca="1" si="5"/>
        <v>0</v>
      </c>
      <c r="F225" s="168">
        <f ca="1">IF(C225&lt;=År2,IF(B225="Vestdanmark",(Arealanvendelse!$M$27-Arealanvendelse!$J$27),(Arealanvendelse!$M$37-Arealanvendelse!$J$37))/(Arealanvendelse!$M$3-Arealanvendelse!$J$3),IF(B225="Vestdanmark",(Arealanvendelse!$P$27-Arealanvendelse!$M$27),(Arealanvendelse!$P$37-Arealanvendelse!$M$37))/(Arealanvendelse!$P$3-Arealanvendelse!$M$3))*VLOOKUP(A225,Skovbrug!$A$13:$D$17,IF('Skovbrug-alder'!C225&lt;=År2,3,4),FALSE)+D225+E225</f>
        <v>0</v>
      </c>
      <c r="G225" s="168">
        <f ca="1">IF($C225-G$1&lt;År1,0,F224*(1-VLOOKUP($A225,[1]Hugst!$R$5:$W$9,MATCH(ROUNDUP((G$1)/10,0)*10,[1]Hugst!$R$4:$W$4,0))))</f>
        <v>0</v>
      </c>
      <c r="H225" s="168">
        <f ca="1">IF($C225-H$1&lt;År1,0,G224*(1-VLOOKUP($A225,[1]Hugst!$R$5:$W$9,MATCH(ROUNDUP((H$1)/10,0)*10,[1]Hugst!$R$4:$W$4,0))))</f>
        <v>0</v>
      </c>
      <c r="I225" s="168">
        <f ca="1">IF($C225-I$1&lt;År1,0,H224*(1-VLOOKUP($A225,[1]Hugst!$R$5:$W$9,MATCH(ROUNDUP((I$1)/10,0)*10,[1]Hugst!$R$4:$W$4,0))))</f>
        <v>0</v>
      </c>
      <c r="J225" s="168">
        <f ca="1">IF($C225-J$1&lt;År1,0,I224*(1-VLOOKUP($A225,[1]Hugst!$R$5:$W$9,MATCH(ROUNDUP((J$1)/10,0)*10,[1]Hugst!$R$4:$W$4,0))))</f>
        <v>0</v>
      </c>
      <c r="K225" s="168">
        <f ca="1">IF($C225-K$1&lt;År1,0,J224*(1-VLOOKUP($A225,[1]Hugst!$R$5:$W$9,MATCH(ROUNDUP((K$1)/10,0)*10,[1]Hugst!$R$4:$W$4,0))))</f>
        <v>0</v>
      </c>
      <c r="L225" s="168">
        <f ca="1">IF($C225-L$1&lt;År1,0,K224*(1-VLOOKUP($A225,[1]Hugst!$R$5:$W$9,MATCH(ROUNDUP((L$1)/10,0)*10,[1]Hugst!$R$4:$W$4,0))))</f>
        <v>0</v>
      </c>
      <c r="M225" s="168">
        <f>IF($C225-M$1&lt;År1,0,L224*(1-VLOOKUP($A225,[1]Hugst!$R$5:$W$9,MATCH(ROUNDUP((M$1)/10,0)*10,[1]Hugst!$R$4:$W$4,0))))</f>
        <v>0</v>
      </c>
      <c r="N225" s="168">
        <f>IF($C225-N$1&lt;År1,0,M224*(1-VLOOKUP($A225,[1]Hugst!$R$5:$W$9,MATCH(ROUNDUP((N$1)/10,0)*10,[1]Hugst!$R$4:$W$4,0))))</f>
        <v>0</v>
      </c>
      <c r="O225" s="168">
        <f>IF($C225-O$1&lt;År1,0,N224*(1-VLOOKUP($A225,[1]Hugst!$R$5:$W$9,MATCH(ROUNDUP((O$1)/10,0)*10,[1]Hugst!$R$4:$W$4,0))))</f>
        <v>0</v>
      </c>
      <c r="P225" s="168">
        <f>IF($C225-P$1&lt;År1,0,O224*(1-VLOOKUP($A225,[1]Hugst!$R$5:$W$9,MATCH(ROUNDUP((P$1)/10,0)*10,[1]Hugst!$R$4:$W$4,0))))</f>
        <v>0</v>
      </c>
      <c r="Q225" s="168">
        <f>IF($C225-Q$1&lt;År1,0,P224*(1-VLOOKUP($A225,[1]Hugst!$R$5:$W$9,MATCH(ROUNDUP((Q$1)/10,0)*10,[1]Hugst!$R$4:$W$4,0))))</f>
        <v>0</v>
      </c>
      <c r="R225" s="168">
        <f>IF($C225-R$1&lt;År1,0,Q224*(1-VLOOKUP($A225,[1]Hugst!$R$5:$W$9,MATCH(ROUNDUP((R$1)/10,0)*10,[1]Hugst!$R$4:$W$4,0))))</f>
        <v>0</v>
      </c>
      <c r="S225" s="168">
        <f>IF($C225-S$1&lt;År1,0,R224*(1-VLOOKUP($A225,[1]Hugst!$R$5:$W$9,MATCH(ROUNDUP((S$1)/10,0)*10,[1]Hugst!$R$4:$W$4,0))))</f>
        <v>0</v>
      </c>
      <c r="T225" s="168">
        <f>IF($C225-T$1&lt;År1,0,S224*(1-VLOOKUP($A225,[1]Hugst!$R$5:$W$9,MATCH(ROUNDUP((T$1)/10,0)*10,[1]Hugst!$R$4:$W$4,0))))</f>
        <v>0</v>
      </c>
      <c r="U225" s="168">
        <f>IF($C225-U$1&lt;År1,0,T224*(1-VLOOKUP($A225,[1]Hugst!$R$5:$W$9,MATCH(ROUNDUP((U$1)/10,0)*10,[1]Hugst!$R$4:$W$4,0))))</f>
        <v>0</v>
      </c>
      <c r="V225" s="168">
        <f>IF($C225-V$1&lt;År1,0,U224*(1-VLOOKUP($A225,[1]Hugst!$R$5:$W$9,MATCH(ROUNDUP((V$1)/10,0)*10,[1]Hugst!$R$4:$W$4,0))))</f>
        <v>0</v>
      </c>
      <c r="W225" s="168">
        <f>IF($C225-W$1&lt;År1,0,V224*(1-VLOOKUP($A225,[1]Hugst!$R$5:$W$9,MATCH(ROUNDUP((W$1)/10,0)*10,[1]Hugst!$R$4:$W$4,0))))</f>
        <v>0</v>
      </c>
      <c r="X225" s="168">
        <f>IF($C225-X$1&lt;År1,0,W224*(1-VLOOKUP($A225,[1]Hugst!$R$5:$W$9,MATCH(ROUNDUP((X$1)/10,0)*10,[1]Hugst!$R$4:$W$4,0))))</f>
        <v>0</v>
      </c>
      <c r="Y225" s="168">
        <f>IF($C225-Y$1&lt;År1,0,X224*(1-VLOOKUP($A225,[1]Hugst!$R$5:$W$9,MATCH(ROUNDUP((Y$1)/10,0)*10,[1]Hugst!$R$4:$W$4,0))))</f>
        <v>0</v>
      </c>
      <c r="Z225" s="168">
        <f>IF($C225-Z$1&lt;År1,0,Y224*(1-VLOOKUP($A225,[1]Hugst!$R$5:$W$9,MATCH(ROUNDUP((Z$1)/10,0)*10,[1]Hugst!$R$4:$W$4,0))))</f>
        <v>0</v>
      </c>
      <c r="AA225" s="168">
        <f>IF($C225-AA$1&lt;År1,0,Z224*(1-VLOOKUP($A225,[1]Hugst!$R$5:$W$9,MATCH(ROUNDUP((AA$1)/10,0)*10,[1]Hugst!$R$4:$W$4,0))))</f>
        <v>0</v>
      </c>
      <c r="AB225" s="168">
        <f>IF($C225-AB$1&lt;År1,0,AA224*(1-VLOOKUP($A225,[1]Hugst!$R$5:$W$9,MATCH(ROUNDUP((AB$1)/10,0)*10,[1]Hugst!$R$4:$W$4,0))))</f>
        <v>0</v>
      </c>
      <c r="AC225" s="168">
        <f>IF($C225-AC$1&lt;År1,0,AB224*(1-VLOOKUP($A225,[1]Hugst!$R$5:$W$9,MATCH(ROUNDUP((AC$1)/10,0)*10,[1]Hugst!$R$4:$W$4,0))))</f>
        <v>0</v>
      </c>
      <c r="AD225" s="168">
        <f>IF($C225-AD$1&lt;År1,0,AC224*(1-VLOOKUP($A225,[1]Hugst!$R$5:$W$9,MATCH(ROUNDUP((AD$1)/10,0)*10,[1]Hugst!$R$4:$W$4,0))))</f>
        <v>0</v>
      </c>
      <c r="AE225" s="168">
        <f>IF($C225-AE$1&lt;År1,0,AD224*(1-VLOOKUP($A225,[1]Hugst!$R$5:$W$9,MATCH(ROUNDUP((AE$1)/10,0)*10,[1]Hugst!$R$4:$W$4,0))))</f>
        <v>0</v>
      </c>
      <c r="AF225" s="168">
        <f>IF($C225-AF$1&lt;År1,0,AE224*(1-VLOOKUP($A225,[1]Hugst!$R$5:$W$9,MATCH(ROUNDUP((AF$1)/10,0)*10,[1]Hugst!$R$4:$W$4,0))))</f>
        <v>0</v>
      </c>
      <c r="AG225" s="168">
        <f>IF($C225-AG$1&lt;År1,0,AF224*(1-VLOOKUP($A225,[1]Hugst!$R$5:$W$9,MATCH(ROUNDUP((AG$1)/10,0)*10,[1]Hugst!$R$4:$W$4,0))))</f>
        <v>0</v>
      </c>
      <c r="AH225" s="168">
        <f>IF($C225-AH$1&lt;År1,0,AG224*(1-VLOOKUP($A225,[1]Hugst!$R$5:$W$9,MATCH(ROUNDUP((AH$1)/10,0)*10,[1]Hugst!$R$4:$W$4,0))))</f>
        <v>0</v>
      </c>
      <c r="AI225" s="168">
        <f>IF($C225-AI$1&lt;År1,0,AH224*(1-VLOOKUP($A225,[1]Hugst!$R$5:$W$9,MATCH(ROUNDUP((AI$1)/10,0)*10,[1]Hugst!$R$4:$W$4,0))))</f>
        <v>0</v>
      </c>
      <c r="AJ225" s="168">
        <f>IF($C225-AJ$1&lt;År1,0,AI224*(1-VLOOKUP($A225,[1]Hugst!$R$5:$W$9,MATCH(ROUNDUP((AJ$1)/10,0)*10,[1]Hugst!$R$4:$W$4,0))))</f>
        <v>0</v>
      </c>
    </row>
    <row r="226" spans="1:36" x14ac:dyDescent="0.25">
      <c r="A226" s="168" t="s">
        <v>179</v>
      </c>
      <c r="B226" s="168" t="s">
        <v>24</v>
      </c>
      <c r="C226" s="168">
        <v>2027</v>
      </c>
      <c r="D226" s="168" cm="1">
        <f t="array" ref="D226">(IF(B226="Vestdanmark",Skovbrug!$C$22-(Skovbrug!$C$22)*(1-Skovbrug!$C$9)^(C226-Skovbrug!$B$12),Skovbrug!$F$22-(Skovbrug!$F$22)*(1-Skovbrug!$C$9)^(C226-Skovbrug!$B$12))*VLOOKUP(A226,Skovbrug!$A$13:$D$17,IF('Skovbrug-alder'!C226&lt;=År2,3,4),FALSE)-IF(C226&gt;2020,SUM(INDEX($C$1:$D$311,MATCH(1,(2020=$C$1:$C$311)*(B226=$B$1:$B$311)*(A226=$A$1:$A$311),0),2):D225),0))</f>
        <v>0</v>
      </c>
      <c r="E226" s="168">
        <f t="shared" ca="1" si="5"/>
        <v>0</v>
      </c>
      <c r="F226" s="168">
        <f ca="1">IF(C226&lt;=År2,IF(B226="Vestdanmark",(Arealanvendelse!$M$27-Arealanvendelse!$J$27),(Arealanvendelse!$M$37-Arealanvendelse!$J$37))/(Arealanvendelse!$M$3-Arealanvendelse!$J$3),IF(B226="Vestdanmark",(Arealanvendelse!$P$27-Arealanvendelse!$M$27),(Arealanvendelse!$P$37-Arealanvendelse!$M$37))/(Arealanvendelse!$P$3-Arealanvendelse!$M$3))*VLOOKUP(A226,Skovbrug!$A$13:$D$17,IF('Skovbrug-alder'!C226&lt;=År2,3,4),FALSE)+D226+E226</f>
        <v>0</v>
      </c>
      <c r="G226" s="168">
        <f ca="1">IF($C226-G$1&lt;År1,0,F225*(1-VLOOKUP($A226,[1]Hugst!$R$5:$W$9,MATCH(ROUNDUP((G$1)/10,0)*10,[1]Hugst!$R$4:$W$4,0))))</f>
        <v>0</v>
      </c>
      <c r="H226" s="168">
        <f ca="1">IF($C226-H$1&lt;År1,0,G225*(1-VLOOKUP($A226,[1]Hugst!$R$5:$W$9,MATCH(ROUNDUP((H$1)/10,0)*10,[1]Hugst!$R$4:$W$4,0))))</f>
        <v>0</v>
      </c>
      <c r="I226" s="168">
        <f ca="1">IF($C226-I$1&lt;År1,0,H225*(1-VLOOKUP($A226,[1]Hugst!$R$5:$W$9,MATCH(ROUNDUP((I$1)/10,0)*10,[1]Hugst!$R$4:$W$4,0))))</f>
        <v>0</v>
      </c>
      <c r="J226" s="168">
        <f ca="1">IF($C226-J$1&lt;År1,0,I225*(1-VLOOKUP($A226,[1]Hugst!$R$5:$W$9,MATCH(ROUNDUP((J$1)/10,0)*10,[1]Hugst!$R$4:$W$4,0))))</f>
        <v>0</v>
      </c>
      <c r="K226" s="168">
        <f ca="1">IF($C226-K$1&lt;År1,0,J225*(1-VLOOKUP($A226,[1]Hugst!$R$5:$W$9,MATCH(ROUNDUP((K$1)/10,0)*10,[1]Hugst!$R$4:$W$4,0))))</f>
        <v>0</v>
      </c>
      <c r="L226" s="168">
        <f ca="1">IF($C226-L$1&lt;År1,0,K225*(1-VLOOKUP($A226,[1]Hugst!$R$5:$W$9,MATCH(ROUNDUP((L$1)/10,0)*10,[1]Hugst!$R$4:$W$4,0))))</f>
        <v>0</v>
      </c>
      <c r="M226" s="168">
        <f ca="1">IF($C226-M$1&lt;År1,0,L225*(1-VLOOKUP($A226,[1]Hugst!$R$5:$W$9,MATCH(ROUNDUP((M$1)/10,0)*10,[1]Hugst!$R$4:$W$4,0))))</f>
        <v>0</v>
      </c>
      <c r="N226" s="168">
        <f>IF($C226-N$1&lt;År1,0,M225*(1-VLOOKUP($A226,[1]Hugst!$R$5:$W$9,MATCH(ROUNDUP((N$1)/10,0)*10,[1]Hugst!$R$4:$W$4,0))))</f>
        <v>0</v>
      </c>
      <c r="O226" s="168">
        <f>IF($C226-O$1&lt;År1,0,N225*(1-VLOOKUP($A226,[1]Hugst!$R$5:$W$9,MATCH(ROUNDUP((O$1)/10,0)*10,[1]Hugst!$R$4:$W$4,0))))</f>
        <v>0</v>
      </c>
      <c r="P226" s="168">
        <f>IF($C226-P$1&lt;År1,0,O225*(1-VLOOKUP($A226,[1]Hugst!$R$5:$W$9,MATCH(ROUNDUP((P$1)/10,0)*10,[1]Hugst!$R$4:$W$4,0))))</f>
        <v>0</v>
      </c>
      <c r="Q226" s="168">
        <f>IF($C226-Q$1&lt;År1,0,P225*(1-VLOOKUP($A226,[1]Hugst!$R$5:$W$9,MATCH(ROUNDUP((Q$1)/10,0)*10,[1]Hugst!$R$4:$W$4,0))))</f>
        <v>0</v>
      </c>
      <c r="R226" s="168">
        <f>IF($C226-R$1&lt;År1,0,Q225*(1-VLOOKUP($A226,[1]Hugst!$R$5:$W$9,MATCH(ROUNDUP((R$1)/10,0)*10,[1]Hugst!$R$4:$W$4,0))))</f>
        <v>0</v>
      </c>
      <c r="S226" s="168">
        <f>IF($C226-S$1&lt;År1,0,R225*(1-VLOOKUP($A226,[1]Hugst!$R$5:$W$9,MATCH(ROUNDUP((S$1)/10,0)*10,[1]Hugst!$R$4:$W$4,0))))</f>
        <v>0</v>
      </c>
      <c r="T226" s="168">
        <f>IF($C226-T$1&lt;År1,0,S225*(1-VLOOKUP($A226,[1]Hugst!$R$5:$W$9,MATCH(ROUNDUP((T$1)/10,0)*10,[1]Hugst!$R$4:$W$4,0))))</f>
        <v>0</v>
      </c>
      <c r="U226" s="168">
        <f>IF($C226-U$1&lt;År1,0,T225*(1-VLOOKUP($A226,[1]Hugst!$R$5:$W$9,MATCH(ROUNDUP((U$1)/10,0)*10,[1]Hugst!$R$4:$W$4,0))))</f>
        <v>0</v>
      </c>
      <c r="V226" s="168">
        <f>IF($C226-V$1&lt;År1,0,U225*(1-VLOOKUP($A226,[1]Hugst!$R$5:$W$9,MATCH(ROUNDUP((V$1)/10,0)*10,[1]Hugst!$R$4:$W$4,0))))</f>
        <v>0</v>
      </c>
      <c r="W226" s="168">
        <f>IF($C226-W$1&lt;År1,0,V225*(1-VLOOKUP($A226,[1]Hugst!$R$5:$W$9,MATCH(ROUNDUP((W$1)/10,0)*10,[1]Hugst!$R$4:$W$4,0))))</f>
        <v>0</v>
      </c>
      <c r="X226" s="168">
        <f>IF($C226-X$1&lt;År1,0,W225*(1-VLOOKUP($A226,[1]Hugst!$R$5:$W$9,MATCH(ROUNDUP((X$1)/10,0)*10,[1]Hugst!$R$4:$W$4,0))))</f>
        <v>0</v>
      </c>
      <c r="Y226" s="168">
        <f>IF($C226-Y$1&lt;År1,0,X225*(1-VLOOKUP($A226,[1]Hugst!$R$5:$W$9,MATCH(ROUNDUP((Y$1)/10,0)*10,[1]Hugst!$R$4:$W$4,0))))</f>
        <v>0</v>
      </c>
      <c r="Z226" s="168">
        <f>IF($C226-Z$1&lt;År1,0,Y225*(1-VLOOKUP($A226,[1]Hugst!$R$5:$W$9,MATCH(ROUNDUP((Z$1)/10,0)*10,[1]Hugst!$R$4:$W$4,0))))</f>
        <v>0</v>
      </c>
      <c r="AA226" s="168">
        <f>IF($C226-AA$1&lt;År1,0,Z225*(1-VLOOKUP($A226,[1]Hugst!$R$5:$W$9,MATCH(ROUNDUP((AA$1)/10,0)*10,[1]Hugst!$R$4:$W$4,0))))</f>
        <v>0</v>
      </c>
      <c r="AB226" s="168">
        <f>IF($C226-AB$1&lt;År1,0,AA225*(1-VLOOKUP($A226,[1]Hugst!$R$5:$W$9,MATCH(ROUNDUP((AB$1)/10,0)*10,[1]Hugst!$R$4:$W$4,0))))</f>
        <v>0</v>
      </c>
      <c r="AC226" s="168">
        <f>IF($C226-AC$1&lt;År1,0,AB225*(1-VLOOKUP($A226,[1]Hugst!$R$5:$W$9,MATCH(ROUNDUP((AC$1)/10,0)*10,[1]Hugst!$R$4:$W$4,0))))</f>
        <v>0</v>
      </c>
      <c r="AD226" s="168">
        <f>IF($C226-AD$1&lt;År1,0,AC225*(1-VLOOKUP($A226,[1]Hugst!$R$5:$W$9,MATCH(ROUNDUP((AD$1)/10,0)*10,[1]Hugst!$R$4:$W$4,0))))</f>
        <v>0</v>
      </c>
      <c r="AE226" s="168">
        <f>IF($C226-AE$1&lt;År1,0,AD225*(1-VLOOKUP($A226,[1]Hugst!$R$5:$W$9,MATCH(ROUNDUP((AE$1)/10,0)*10,[1]Hugst!$R$4:$W$4,0))))</f>
        <v>0</v>
      </c>
      <c r="AF226" s="168">
        <f>IF($C226-AF$1&lt;År1,0,AE225*(1-VLOOKUP($A226,[1]Hugst!$R$5:$W$9,MATCH(ROUNDUP((AF$1)/10,0)*10,[1]Hugst!$R$4:$W$4,0))))</f>
        <v>0</v>
      </c>
      <c r="AG226" s="168">
        <f>IF($C226-AG$1&lt;År1,0,AF225*(1-VLOOKUP($A226,[1]Hugst!$R$5:$W$9,MATCH(ROUNDUP((AG$1)/10,0)*10,[1]Hugst!$R$4:$W$4,0))))</f>
        <v>0</v>
      </c>
      <c r="AH226" s="168">
        <f>IF($C226-AH$1&lt;År1,0,AG225*(1-VLOOKUP($A226,[1]Hugst!$R$5:$W$9,MATCH(ROUNDUP((AH$1)/10,0)*10,[1]Hugst!$R$4:$W$4,0))))</f>
        <v>0</v>
      </c>
      <c r="AI226" s="168">
        <f>IF($C226-AI$1&lt;År1,0,AH225*(1-VLOOKUP($A226,[1]Hugst!$R$5:$W$9,MATCH(ROUNDUP((AI$1)/10,0)*10,[1]Hugst!$R$4:$W$4,0))))</f>
        <v>0</v>
      </c>
      <c r="AJ226" s="168">
        <f>IF($C226-AJ$1&lt;År1,0,AI225*(1-VLOOKUP($A226,[1]Hugst!$R$5:$W$9,MATCH(ROUNDUP((AJ$1)/10,0)*10,[1]Hugst!$R$4:$W$4,0))))</f>
        <v>0</v>
      </c>
    </row>
    <row r="227" spans="1:36" x14ac:dyDescent="0.25">
      <c r="A227" s="168" t="s">
        <v>179</v>
      </c>
      <c r="B227" s="168" t="s">
        <v>24</v>
      </c>
      <c r="C227" s="168">
        <v>2028</v>
      </c>
      <c r="D227" s="168" cm="1">
        <f t="array" ref="D227">(IF(B227="Vestdanmark",Skovbrug!$C$22-(Skovbrug!$C$22)*(1-Skovbrug!$C$9)^(C227-Skovbrug!$B$12),Skovbrug!$F$22-(Skovbrug!$F$22)*(1-Skovbrug!$C$9)^(C227-Skovbrug!$B$12))*VLOOKUP(A227,Skovbrug!$A$13:$D$17,IF('Skovbrug-alder'!C227&lt;=År2,3,4),FALSE)-IF(C227&gt;2020,SUM(INDEX($C$1:$D$311,MATCH(1,(2020=$C$1:$C$311)*(B227=$B$1:$B$311)*(A227=$A$1:$A$311),0),2):D226),0))</f>
        <v>0</v>
      </c>
      <c r="E227" s="168">
        <f t="shared" ca="1" si="5"/>
        <v>0</v>
      </c>
      <c r="F227" s="168">
        <f ca="1">IF(C227&lt;=År2,IF(B227="Vestdanmark",(Arealanvendelse!$M$27-Arealanvendelse!$J$27),(Arealanvendelse!$M$37-Arealanvendelse!$J$37))/(Arealanvendelse!$M$3-Arealanvendelse!$J$3),IF(B227="Vestdanmark",(Arealanvendelse!$P$27-Arealanvendelse!$M$27),(Arealanvendelse!$P$37-Arealanvendelse!$M$37))/(Arealanvendelse!$P$3-Arealanvendelse!$M$3))*VLOOKUP(A227,Skovbrug!$A$13:$D$17,IF('Skovbrug-alder'!C227&lt;=År2,3,4),FALSE)+D227+E227</f>
        <v>0</v>
      </c>
      <c r="G227" s="168">
        <f ca="1">IF($C227-G$1&lt;År1,0,F226*(1-VLOOKUP($A227,[1]Hugst!$R$5:$W$9,MATCH(ROUNDUP((G$1)/10,0)*10,[1]Hugst!$R$4:$W$4,0))))</f>
        <v>0</v>
      </c>
      <c r="H227" s="168">
        <f ca="1">IF($C227-H$1&lt;År1,0,G226*(1-VLOOKUP($A227,[1]Hugst!$R$5:$W$9,MATCH(ROUNDUP((H$1)/10,0)*10,[1]Hugst!$R$4:$W$4,0))))</f>
        <v>0</v>
      </c>
      <c r="I227" s="168">
        <f ca="1">IF($C227-I$1&lt;År1,0,H226*(1-VLOOKUP($A227,[1]Hugst!$R$5:$W$9,MATCH(ROUNDUP((I$1)/10,0)*10,[1]Hugst!$R$4:$W$4,0))))</f>
        <v>0</v>
      </c>
      <c r="J227" s="168">
        <f ca="1">IF($C227-J$1&lt;År1,0,I226*(1-VLOOKUP($A227,[1]Hugst!$R$5:$W$9,MATCH(ROUNDUP((J$1)/10,0)*10,[1]Hugst!$R$4:$W$4,0))))</f>
        <v>0</v>
      </c>
      <c r="K227" s="168">
        <f ca="1">IF($C227-K$1&lt;År1,0,J226*(1-VLOOKUP($A227,[1]Hugst!$R$5:$W$9,MATCH(ROUNDUP((K$1)/10,0)*10,[1]Hugst!$R$4:$W$4,0))))</f>
        <v>0</v>
      </c>
      <c r="L227" s="168">
        <f ca="1">IF($C227-L$1&lt;År1,0,K226*(1-VLOOKUP($A227,[1]Hugst!$R$5:$W$9,MATCH(ROUNDUP((L$1)/10,0)*10,[1]Hugst!$R$4:$W$4,0))))</f>
        <v>0</v>
      </c>
      <c r="M227" s="168">
        <f ca="1">IF($C227-M$1&lt;År1,0,L226*(1-VLOOKUP($A227,[1]Hugst!$R$5:$W$9,MATCH(ROUNDUP((M$1)/10,0)*10,[1]Hugst!$R$4:$W$4,0))))</f>
        <v>0</v>
      </c>
      <c r="N227" s="168">
        <f ca="1">IF($C227-N$1&lt;År1,0,M226*(1-VLOOKUP($A227,[1]Hugst!$R$5:$W$9,MATCH(ROUNDUP((N$1)/10,0)*10,[1]Hugst!$R$4:$W$4,0))))</f>
        <v>0</v>
      </c>
      <c r="O227" s="168">
        <f>IF($C227-O$1&lt;År1,0,N226*(1-VLOOKUP($A227,[1]Hugst!$R$5:$W$9,MATCH(ROUNDUP((O$1)/10,0)*10,[1]Hugst!$R$4:$W$4,0))))</f>
        <v>0</v>
      </c>
      <c r="P227" s="168">
        <f>IF($C227-P$1&lt;År1,0,O226*(1-VLOOKUP($A227,[1]Hugst!$R$5:$W$9,MATCH(ROUNDUP((P$1)/10,0)*10,[1]Hugst!$R$4:$W$4,0))))</f>
        <v>0</v>
      </c>
      <c r="Q227" s="168">
        <f>IF($C227-Q$1&lt;År1,0,P226*(1-VLOOKUP($A227,[1]Hugst!$R$5:$W$9,MATCH(ROUNDUP((Q$1)/10,0)*10,[1]Hugst!$R$4:$W$4,0))))</f>
        <v>0</v>
      </c>
      <c r="R227" s="168">
        <f>IF($C227-R$1&lt;År1,0,Q226*(1-VLOOKUP($A227,[1]Hugst!$R$5:$W$9,MATCH(ROUNDUP((R$1)/10,0)*10,[1]Hugst!$R$4:$W$4,0))))</f>
        <v>0</v>
      </c>
      <c r="S227" s="168">
        <f>IF($C227-S$1&lt;År1,0,R226*(1-VLOOKUP($A227,[1]Hugst!$R$5:$W$9,MATCH(ROUNDUP((S$1)/10,0)*10,[1]Hugst!$R$4:$W$4,0))))</f>
        <v>0</v>
      </c>
      <c r="T227" s="168">
        <f>IF($C227-T$1&lt;År1,0,S226*(1-VLOOKUP($A227,[1]Hugst!$R$5:$W$9,MATCH(ROUNDUP((T$1)/10,0)*10,[1]Hugst!$R$4:$W$4,0))))</f>
        <v>0</v>
      </c>
      <c r="U227" s="168">
        <f>IF($C227-U$1&lt;År1,0,T226*(1-VLOOKUP($A227,[1]Hugst!$R$5:$W$9,MATCH(ROUNDUP((U$1)/10,0)*10,[1]Hugst!$R$4:$W$4,0))))</f>
        <v>0</v>
      </c>
      <c r="V227" s="168">
        <f>IF($C227-V$1&lt;År1,0,U226*(1-VLOOKUP($A227,[1]Hugst!$R$5:$W$9,MATCH(ROUNDUP((V$1)/10,0)*10,[1]Hugst!$R$4:$W$4,0))))</f>
        <v>0</v>
      </c>
      <c r="W227" s="168">
        <f>IF($C227-W$1&lt;År1,0,V226*(1-VLOOKUP($A227,[1]Hugst!$R$5:$W$9,MATCH(ROUNDUP((W$1)/10,0)*10,[1]Hugst!$R$4:$W$4,0))))</f>
        <v>0</v>
      </c>
      <c r="X227" s="168">
        <f>IF($C227-X$1&lt;År1,0,W226*(1-VLOOKUP($A227,[1]Hugst!$R$5:$W$9,MATCH(ROUNDUP((X$1)/10,0)*10,[1]Hugst!$R$4:$W$4,0))))</f>
        <v>0</v>
      </c>
      <c r="Y227" s="168">
        <f>IF($C227-Y$1&lt;År1,0,X226*(1-VLOOKUP($A227,[1]Hugst!$R$5:$W$9,MATCH(ROUNDUP((Y$1)/10,0)*10,[1]Hugst!$R$4:$W$4,0))))</f>
        <v>0</v>
      </c>
      <c r="Z227" s="168">
        <f>IF($C227-Z$1&lt;År1,0,Y226*(1-VLOOKUP($A227,[1]Hugst!$R$5:$W$9,MATCH(ROUNDUP((Z$1)/10,0)*10,[1]Hugst!$R$4:$W$4,0))))</f>
        <v>0</v>
      </c>
      <c r="AA227" s="168">
        <f>IF($C227-AA$1&lt;År1,0,Z226*(1-VLOOKUP($A227,[1]Hugst!$R$5:$W$9,MATCH(ROUNDUP((AA$1)/10,0)*10,[1]Hugst!$R$4:$W$4,0))))</f>
        <v>0</v>
      </c>
      <c r="AB227" s="168">
        <f>IF($C227-AB$1&lt;År1,0,AA226*(1-VLOOKUP($A227,[1]Hugst!$R$5:$W$9,MATCH(ROUNDUP((AB$1)/10,0)*10,[1]Hugst!$R$4:$W$4,0))))</f>
        <v>0</v>
      </c>
      <c r="AC227" s="168">
        <f>IF($C227-AC$1&lt;År1,0,AB226*(1-VLOOKUP($A227,[1]Hugst!$R$5:$W$9,MATCH(ROUNDUP((AC$1)/10,0)*10,[1]Hugst!$R$4:$W$4,0))))</f>
        <v>0</v>
      </c>
      <c r="AD227" s="168">
        <f>IF($C227-AD$1&lt;År1,0,AC226*(1-VLOOKUP($A227,[1]Hugst!$R$5:$W$9,MATCH(ROUNDUP((AD$1)/10,0)*10,[1]Hugst!$R$4:$W$4,0))))</f>
        <v>0</v>
      </c>
      <c r="AE227" s="168">
        <f>IF($C227-AE$1&lt;År1,0,AD226*(1-VLOOKUP($A227,[1]Hugst!$R$5:$W$9,MATCH(ROUNDUP((AE$1)/10,0)*10,[1]Hugst!$R$4:$W$4,0))))</f>
        <v>0</v>
      </c>
      <c r="AF227" s="168">
        <f>IF($C227-AF$1&lt;År1,0,AE226*(1-VLOOKUP($A227,[1]Hugst!$R$5:$W$9,MATCH(ROUNDUP((AF$1)/10,0)*10,[1]Hugst!$R$4:$W$4,0))))</f>
        <v>0</v>
      </c>
      <c r="AG227" s="168">
        <f>IF($C227-AG$1&lt;År1,0,AF226*(1-VLOOKUP($A227,[1]Hugst!$R$5:$W$9,MATCH(ROUNDUP((AG$1)/10,0)*10,[1]Hugst!$R$4:$W$4,0))))</f>
        <v>0</v>
      </c>
      <c r="AH227" s="168">
        <f>IF($C227-AH$1&lt;År1,0,AG226*(1-VLOOKUP($A227,[1]Hugst!$R$5:$W$9,MATCH(ROUNDUP((AH$1)/10,0)*10,[1]Hugst!$R$4:$W$4,0))))</f>
        <v>0</v>
      </c>
      <c r="AI227" s="168">
        <f>IF($C227-AI$1&lt;År1,0,AH226*(1-VLOOKUP($A227,[1]Hugst!$R$5:$W$9,MATCH(ROUNDUP((AI$1)/10,0)*10,[1]Hugst!$R$4:$W$4,0))))</f>
        <v>0</v>
      </c>
      <c r="AJ227" s="168">
        <f>IF($C227-AJ$1&lt;År1,0,AI226*(1-VLOOKUP($A227,[1]Hugst!$R$5:$W$9,MATCH(ROUNDUP((AJ$1)/10,0)*10,[1]Hugst!$R$4:$W$4,0))))</f>
        <v>0</v>
      </c>
    </row>
    <row r="228" spans="1:36" x14ac:dyDescent="0.25">
      <c r="A228" s="168" t="s">
        <v>179</v>
      </c>
      <c r="B228" s="168" t="s">
        <v>24</v>
      </c>
      <c r="C228" s="168">
        <v>2029</v>
      </c>
      <c r="D228" s="168" cm="1">
        <f t="array" ref="D228">(IF(B228="Vestdanmark",Skovbrug!$C$22-(Skovbrug!$C$22)*(1-Skovbrug!$C$9)^(C228-Skovbrug!$B$12),Skovbrug!$F$22-(Skovbrug!$F$22)*(1-Skovbrug!$C$9)^(C228-Skovbrug!$B$12))*VLOOKUP(A228,Skovbrug!$A$13:$D$17,IF('Skovbrug-alder'!C228&lt;=År2,3,4),FALSE)-IF(C228&gt;2020,SUM(INDEX($C$1:$D$311,MATCH(1,(2020=$C$1:$C$311)*(B228=$B$1:$B$311)*(A228=$A$1:$A$311),0),2):D227),0))</f>
        <v>0</v>
      </c>
      <c r="E228" s="168">
        <f t="shared" ca="1" si="5"/>
        <v>0</v>
      </c>
      <c r="F228" s="168">
        <f ca="1">IF(C228&lt;=År2,IF(B228="Vestdanmark",(Arealanvendelse!$M$27-Arealanvendelse!$J$27),(Arealanvendelse!$M$37-Arealanvendelse!$J$37))/(Arealanvendelse!$M$3-Arealanvendelse!$J$3),IF(B228="Vestdanmark",(Arealanvendelse!$P$27-Arealanvendelse!$M$27),(Arealanvendelse!$P$37-Arealanvendelse!$M$37))/(Arealanvendelse!$P$3-Arealanvendelse!$M$3))*VLOOKUP(A228,Skovbrug!$A$13:$D$17,IF('Skovbrug-alder'!C228&lt;=År2,3,4),FALSE)+D228+E228</f>
        <v>0</v>
      </c>
      <c r="G228" s="168">
        <f ca="1">IF($C228-G$1&lt;År1,0,F227*(1-VLOOKUP($A228,[1]Hugst!$R$5:$W$9,MATCH(ROUNDUP((G$1)/10,0)*10,[1]Hugst!$R$4:$W$4,0))))</f>
        <v>0</v>
      </c>
      <c r="H228" s="168">
        <f ca="1">IF($C228-H$1&lt;År1,0,G227*(1-VLOOKUP($A228,[1]Hugst!$R$5:$W$9,MATCH(ROUNDUP((H$1)/10,0)*10,[1]Hugst!$R$4:$W$4,0))))</f>
        <v>0</v>
      </c>
      <c r="I228" s="168">
        <f ca="1">IF($C228-I$1&lt;År1,0,H227*(1-VLOOKUP($A228,[1]Hugst!$R$5:$W$9,MATCH(ROUNDUP((I$1)/10,0)*10,[1]Hugst!$R$4:$W$4,0))))</f>
        <v>0</v>
      </c>
      <c r="J228" s="168">
        <f ca="1">IF($C228-J$1&lt;År1,0,I227*(1-VLOOKUP($A228,[1]Hugst!$R$5:$W$9,MATCH(ROUNDUP((J$1)/10,0)*10,[1]Hugst!$R$4:$W$4,0))))</f>
        <v>0</v>
      </c>
      <c r="K228" s="168">
        <f ca="1">IF($C228-K$1&lt;År1,0,J227*(1-VLOOKUP($A228,[1]Hugst!$R$5:$W$9,MATCH(ROUNDUP((K$1)/10,0)*10,[1]Hugst!$R$4:$W$4,0))))</f>
        <v>0</v>
      </c>
      <c r="L228" s="168">
        <f ca="1">IF($C228-L$1&lt;År1,0,K227*(1-VLOOKUP($A228,[1]Hugst!$R$5:$W$9,MATCH(ROUNDUP((L$1)/10,0)*10,[1]Hugst!$R$4:$W$4,0))))</f>
        <v>0</v>
      </c>
      <c r="M228" s="168">
        <f ca="1">IF($C228-M$1&lt;År1,0,L227*(1-VLOOKUP($A228,[1]Hugst!$R$5:$W$9,MATCH(ROUNDUP((M$1)/10,0)*10,[1]Hugst!$R$4:$W$4,0))))</f>
        <v>0</v>
      </c>
      <c r="N228" s="168">
        <f ca="1">IF($C228-N$1&lt;År1,0,M227*(1-VLOOKUP($A228,[1]Hugst!$R$5:$W$9,MATCH(ROUNDUP((N$1)/10,0)*10,[1]Hugst!$R$4:$W$4,0))))</f>
        <v>0</v>
      </c>
      <c r="O228" s="168">
        <f ca="1">IF($C228-O$1&lt;År1,0,N227*(1-VLOOKUP($A228,[1]Hugst!$R$5:$W$9,MATCH(ROUNDUP((O$1)/10,0)*10,[1]Hugst!$R$4:$W$4,0))))</f>
        <v>0</v>
      </c>
      <c r="P228" s="168">
        <f>IF($C228-P$1&lt;År1,0,O227*(1-VLOOKUP($A228,[1]Hugst!$R$5:$W$9,MATCH(ROUNDUP((P$1)/10,0)*10,[1]Hugst!$R$4:$W$4,0))))</f>
        <v>0</v>
      </c>
      <c r="Q228" s="168">
        <f>IF($C228-Q$1&lt;År1,0,P227*(1-VLOOKUP($A228,[1]Hugst!$R$5:$W$9,MATCH(ROUNDUP((Q$1)/10,0)*10,[1]Hugst!$R$4:$W$4,0))))</f>
        <v>0</v>
      </c>
      <c r="R228" s="168">
        <f>IF($C228-R$1&lt;År1,0,Q227*(1-VLOOKUP($A228,[1]Hugst!$R$5:$W$9,MATCH(ROUNDUP((R$1)/10,0)*10,[1]Hugst!$R$4:$W$4,0))))</f>
        <v>0</v>
      </c>
      <c r="S228" s="168">
        <f>IF($C228-S$1&lt;År1,0,R227*(1-VLOOKUP($A228,[1]Hugst!$R$5:$W$9,MATCH(ROUNDUP((S$1)/10,0)*10,[1]Hugst!$R$4:$W$4,0))))</f>
        <v>0</v>
      </c>
      <c r="T228" s="168">
        <f>IF($C228-T$1&lt;År1,0,S227*(1-VLOOKUP($A228,[1]Hugst!$R$5:$W$9,MATCH(ROUNDUP((T$1)/10,0)*10,[1]Hugst!$R$4:$W$4,0))))</f>
        <v>0</v>
      </c>
      <c r="U228" s="168">
        <f>IF($C228-U$1&lt;År1,0,T227*(1-VLOOKUP($A228,[1]Hugst!$R$5:$W$9,MATCH(ROUNDUP((U$1)/10,0)*10,[1]Hugst!$R$4:$W$4,0))))</f>
        <v>0</v>
      </c>
      <c r="V228" s="168">
        <f>IF($C228-V$1&lt;År1,0,U227*(1-VLOOKUP($A228,[1]Hugst!$R$5:$W$9,MATCH(ROUNDUP((V$1)/10,0)*10,[1]Hugst!$R$4:$W$4,0))))</f>
        <v>0</v>
      </c>
      <c r="W228" s="168">
        <f>IF($C228-W$1&lt;År1,0,V227*(1-VLOOKUP($A228,[1]Hugst!$R$5:$W$9,MATCH(ROUNDUP((W$1)/10,0)*10,[1]Hugst!$R$4:$W$4,0))))</f>
        <v>0</v>
      </c>
      <c r="X228" s="168">
        <f>IF($C228-X$1&lt;År1,0,W227*(1-VLOOKUP($A228,[1]Hugst!$R$5:$W$9,MATCH(ROUNDUP((X$1)/10,0)*10,[1]Hugst!$R$4:$W$4,0))))</f>
        <v>0</v>
      </c>
      <c r="Y228" s="168">
        <f>IF($C228-Y$1&lt;År1,0,X227*(1-VLOOKUP($A228,[1]Hugst!$R$5:$W$9,MATCH(ROUNDUP((Y$1)/10,0)*10,[1]Hugst!$R$4:$W$4,0))))</f>
        <v>0</v>
      </c>
      <c r="Z228" s="168">
        <f>IF($C228-Z$1&lt;År1,0,Y227*(1-VLOOKUP($A228,[1]Hugst!$R$5:$W$9,MATCH(ROUNDUP((Z$1)/10,0)*10,[1]Hugst!$R$4:$W$4,0))))</f>
        <v>0</v>
      </c>
      <c r="AA228" s="168">
        <f>IF($C228-AA$1&lt;År1,0,Z227*(1-VLOOKUP($A228,[1]Hugst!$R$5:$W$9,MATCH(ROUNDUP((AA$1)/10,0)*10,[1]Hugst!$R$4:$W$4,0))))</f>
        <v>0</v>
      </c>
      <c r="AB228" s="168">
        <f>IF($C228-AB$1&lt;År1,0,AA227*(1-VLOOKUP($A228,[1]Hugst!$R$5:$W$9,MATCH(ROUNDUP((AB$1)/10,0)*10,[1]Hugst!$R$4:$W$4,0))))</f>
        <v>0</v>
      </c>
      <c r="AC228" s="168">
        <f>IF($C228-AC$1&lt;År1,0,AB227*(1-VLOOKUP($A228,[1]Hugst!$R$5:$W$9,MATCH(ROUNDUP((AC$1)/10,0)*10,[1]Hugst!$R$4:$W$4,0))))</f>
        <v>0</v>
      </c>
      <c r="AD228" s="168">
        <f>IF($C228-AD$1&lt;År1,0,AC227*(1-VLOOKUP($A228,[1]Hugst!$R$5:$W$9,MATCH(ROUNDUP((AD$1)/10,0)*10,[1]Hugst!$R$4:$W$4,0))))</f>
        <v>0</v>
      </c>
      <c r="AE228" s="168">
        <f>IF($C228-AE$1&lt;År1,0,AD227*(1-VLOOKUP($A228,[1]Hugst!$R$5:$W$9,MATCH(ROUNDUP((AE$1)/10,0)*10,[1]Hugst!$R$4:$W$4,0))))</f>
        <v>0</v>
      </c>
      <c r="AF228" s="168">
        <f>IF($C228-AF$1&lt;År1,0,AE227*(1-VLOOKUP($A228,[1]Hugst!$R$5:$W$9,MATCH(ROUNDUP((AF$1)/10,0)*10,[1]Hugst!$R$4:$W$4,0))))</f>
        <v>0</v>
      </c>
      <c r="AG228" s="168">
        <f>IF($C228-AG$1&lt;År1,0,AF227*(1-VLOOKUP($A228,[1]Hugst!$R$5:$W$9,MATCH(ROUNDUP((AG$1)/10,0)*10,[1]Hugst!$R$4:$W$4,0))))</f>
        <v>0</v>
      </c>
      <c r="AH228" s="168">
        <f>IF($C228-AH$1&lt;År1,0,AG227*(1-VLOOKUP($A228,[1]Hugst!$R$5:$W$9,MATCH(ROUNDUP((AH$1)/10,0)*10,[1]Hugst!$R$4:$W$4,0))))</f>
        <v>0</v>
      </c>
      <c r="AI228" s="168">
        <f>IF($C228-AI$1&lt;År1,0,AH227*(1-VLOOKUP($A228,[1]Hugst!$R$5:$W$9,MATCH(ROUNDUP((AI$1)/10,0)*10,[1]Hugst!$R$4:$W$4,0))))</f>
        <v>0</v>
      </c>
      <c r="AJ228" s="168">
        <f>IF($C228-AJ$1&lt;År1,0,AI227*(1-VLOOKUP($A228,[1]Hugst!$R$5:$W$9,MATCH(ROUNDUP((AJ$1)/10,0)*10,[1]Hugst!$R$4:$W$4,0))))</f>
        <v>0</v>
      </c>
    </row>
    <row r="229" spans="1:36" x14ac:dyDescent="0.25">
      <c r="A229" s="168" t="s">
        <v>179</v>
      </c>
      <c r="B229" s="168" t="s">
        <v>24</v>
      </c>
      <c r="C229" s="168">
        <v>2030</v>
      </c>
      <c r="D229" s="168" cm="1">
        <f t="array" ref="D229">(IF(B229="Vestdanmark",Skovbrug!$C$22-(Skovbrug!$C$22)*(1-Skovbrug!$C$9)^(C229-Skovbrug!$B$12),Skovbrug!$F$22-(Skovbrug!$F$22)*(1-Skovbrug!$C$9)^(C229-Skovbrug!$B$12))*VLOOKUP(A229,Skovbrug!$A$13:$D$17,IF('Skovbrug-alder'!C229&lt;=År2,3,4),FALSE)-IF(C229&gt;2020,SUM(INDEX($C$1:$D$311,MATCH(1,(2020=$C$1:$C$311)*(B229=$B$1:$B$311)*(A229=$A$1:$A$311),0),2):D228),0))</f>
        <v>0</v>
      </c>
      <c r="E229" s="168">
        <f t="shared" ca="1" si="5"/>
        <v>0</v>
      </c>
      <c r="F229" s="168">
        <f ca="1">IF(C229&lt;=År2,IF(B229="Vestdanmark",(Arealanvendelse!$M$27-Arealanvendelse!$J$27),(Arealanvendelse!$M$37-Arealanvendelse!$J$37))/(Arealanvendelse!$M$3-Arealanvendelse!$J$3),IF(B229="Vestdanmark",(Arealanvendelse!$P$27-Arealanvendelse!$M$27),(Arealanvendelse!$P$37-Arealanvendelse!$M$37))/(Arealanvendelse!$P$3-Arealanvendelse!$M$3))*VLOOKUP(A229,Skovbrug!$A$13:$D$17,IF('Skovbrug-alder'!C229&lt;=År2,3,4),FALSE)+D229+E229</f>
        <v>0</v>
      </c>
      <c r="G229" s="168">
        <f ca="1">IF($C229-G$1&lt;År1,0,F228*(1-VLOOKUP($A229,[1]Hugst!$R$5:$W$9,MATCH(ROUNDUP((G$1)/10,0)*10,[1]Hugst!$R$4:$W$4,0))))</f>
        <v>0</v>
      </c>
      <c r="H229" s="168">
        <f ca="1">IF($C229-H$1&lt;År1,0,G228*(1-VLOOKUP($A229,[1]Hugst!$R$5:$W$9,MATCH(ROUNDUP((H$1)/10,0)*10,[1]Hugst!$R$4:$W$4,0))))</f>
        <v>0</v>
      </c>
      <c r="I229" s="168">
        <f ca="1">IF($C229-I$1&lt;År1,0,H228*(1-VLOOKUP($A229,[1]Hugst!$R$5:$W$9,MATCH(ROUNDUP((I$1)/10,0)*10,[1]Hugst!$R$4:$W$4,0))))</f>
        <v>0</v>
      </c>
      <c r="J229" s="168">
        <f ca="1">IF($C229-J$1&lt;År1,0,I228*(1-VLOOKUP($A229,[1]Hugst!$R$5:$W$9,MATCH(ROUNDUP((J$1)/10,0)*10,[1]Hugst!$R$4:$W$4,0))))</f>
        <v>0</v>
      </c>
      <c r="K229" s="168">
        <f ca="1">IF($C229-K$1&lt;År1,0,J228*(1-VLOOKUP($A229,[1]Hugst!$R$5:$W$9,MATCH(ROUNDUP((K$1)/10,0)*10,[1]Hugst!$R$4:$W$4,0))))</f>
        <v>0</v>
      </c>
      <c r="L229" s="168">
        <f ca="1">IF($C229-L$1&lt;År1,0,K228*(1-VLOOKUP($A229,[1]Hugst!$R$5:$W$9,MATCH(ROUNDUP((L$1)/10,0)*10,[1]Hugst!$R$4:$W$4,0))))</f>
        <v>0</v>
      </c>
      <c r="M229" s="168">
        <f ca="1">IF($C229-M$1&lt;År1,0,L228*(1-VLOOKUP($A229,[1]Hugst!$R$5:$W$9,MATCH(ROUNDUP((M$1)/10,0)*10,[1]Hugst!$R$4:$W$4,0))))</f>
        <v>0</v>
      </c>
      <c r="N229" s="168">
        <f ca="1">IF($C229-N$1&lt;År1,0,M228*(1-VLOOKUP($A229,[1]Hugst!$R$5:$W$9,MATCH(ROUNDUP((N$1)/10,0)*10,[1]Hugst!$R$4:$W$4,0))))</f>
        <v>0</v>
      </c>
      <c r="O229" s="168">
        <f ca="1">IF($C229-O$1&lt;År1,0,N228*(1-VLOOKUP($A229,[1]Hugst!$R$5:$W$9,MATCH(ROUNDUP((O$1)/10,0)*10,[1]Hugst!$R$4:$W$4,0))))</f>
        <v>0</v>
      </c>
      <c r="P229" s="168">
        <f ca="1">IF($C229-P$1&lt;År1,0,O228*(1-VLOOKUP($A229,[1]Hugst!$R$5:$W$9,MATCH(ROUNDUP((P$1)/10,0)*10,[1]Hugst!$R$4:$W$4,0))))</f>
        <v>0</v>
      </c>
      <c r="Q229" s="168">
        <f>IF($C229-Q$1&lt;År1,0,P228*(1-VLOOKUP($A229,[1]Hugst!$R$5:$W$9,MATCH(ROUNDUP((Q$1)/10,0)*10,[1]Hugst!$R$4:$W$4,0))))</f>
        <v>0</v>
      </c>
      <c r="R229" s="168">
        <f>IF($C229-R$1&lt;År1,0,Q228*(1-VLOOKUP($A229,[1]Hugst!$R$5:$W$9,MATCH(ROUNDUP((R$1)/10,0)*10,[1]Hugst!$R$4:$W$4,0))))</f>
        <v>0</v>
      </c>
      <c r="S229" s="168">
        <f>IF($C229-S$1&lt;År1,0,R228*(1-VLOOKUP($A229,[1]Hugst!$R$5:$W$9,MATCH(ROUNDUP((S$1)/10,0)*10,[1]Hugst!$R$4:$W$4,0))))</f>
        <v>0</v>
      </c>
      <c r="T229" s="168">
        <f>IF($C229-T$1&lt;År1,0,S228*(1-VLOOKUP($A229,[1]Hugst!$R$5:$W$9,MATCH(ROUNDUP((T$1)/10,0)*10,[1]Hugst!$R$4:$W$4,0))))</f>
        <v>0</v>
      </c>
      <c r="U229" s="168">
        <f>IF($C229-U$1&lt;År1,0,T228*(1-VLOOKUP($A229,[1]Hugst!$R$5:$W$9,MATCH(ROUNDUP((U$1)/10,0)*10,[1]Hugst!$R$4:$W$4,0))))</f>
        <v>0</v>
      </c>
      <c r="V229" s="168">
        <f>IF($C229-V$1&lt;År1,0,U228*(1-VLOOKUP($A229,[1]Hugst!$R$5:$W$9,MATCH(ROUNDUP((V$1)/10,0)*10,[1]Hugst!$R$4:$W$4,0))))</f>
        <v>0</v>
      </c>
      <c r="W229" s="168">
        <f>IF($C229-W$1&lt;År1,0,V228*(1-VLOOKUP($A229,[1]Hugst!$R$5:$W$9,MATCH(ROUNDUP((W$1)/10,0)*10,[1]Hugst!$R$4:$W$4,0))))</f>
        <v>0</v>
      </c>
      <c r="X229" s="168">
        <f>IF($C229-X$1&lt;År1,0,W228*(1-VLOOKUP($A229,[1]Hugst!$R$5:$W$9,MATCH(ROUNDUP((X$1)/10,0)*10,[1]Hugst!$R$4:$W$4,0))))</f>
        <v>0</v>
      </c>
      <c r="Y229" s="168">
        <f>IF($C229-Y$1&lt;År1,0,X228*(1-VLOOKUP($A229,[1]Hugst!$R$5:$W$9,MATCH(ROUNDUP((Y$1)/10,0)*10,[1]Hugst!$R$4:$W$4,0))))</f>
        <v>0</v>
      </c>
      <c r="Z229" s="168">
        <f>IF($C229-Z$1&lt;År1,0,Y228*(1-VLOOKUP($A229,[1]Hugst!$R$5:$W$9,MATCH(ROUNDUP((Z$1)/10,0)*10,[1]Hugst!$R$4:$W$4,0))))</f>
        <v>0</v>
      </c>
      <c r="AA229" s="168">
        <f>IF($C229-AA$1&lt;År1,0,Z228*(1-VLOOKUP($A229,[1]Hugst!$R$5:$W$9,MATCH(ROUNDUP((AA$1)/10,0)*10,[1]Hugst!$R$4:$W$4,0))))</f>
        <v>0</v>
      </c>
      <c r="AB229" s="168">
        <f>IF($C229-AB$1&lt;År1,0,AA228*(1-VLOOKUP($A229,[1]Hugst!$R$5:$W$9,MATCH(ROUNDUP((AB$1)/10,0)*10,[1]Hugst!$R$4:$W$4,0))))</f>
        <v>0</v>
      </c>
      <c r="AC229" s="168">
        <f>IF($C229-AC$1&lt;År1,0,AB228*(1-VLOOKUP($A229,[1]Hugst!$R$5:$W$9,MATCH(ROUNDUP((AC$1)/10,0)*10,[1]Hugst!$R$4:$W$4,0))))</f>
        <v>0</v>
      </c>
      <c r="AD229" s="168">
        <f>IF($C229-AD$1&lt;År1,0,AC228*(1-VLOOKUP($A229,[1]Hugst!$R$5:$W$9,MATCH(ROUNDUP((AD$1)/10,0)*10,[1]Hugst!$R$4:$W$4,0))))</f>
        <v>0</v>
      </c>
      <c r="AE229" s="168">
        <f>IF($C229-AE$1&lt;År1,0,AD228*(1-VLOOKUP($A229,[1]Hugst!$R$5:$W$9,MATCH(ROUNDUP((AE$1)/10,0)*10,[1]Hugst!$R$4:$W$4,0))))</f>
        <v>0</v>
      </c>
      <c r="AF229" s="168">
        <f>IF($C229-AF$1&lt;År1,0,AE228*(1-VLOOKUP($A229,[1]Hugst!$R$5:$W$9,MATCH(ROUNDUP((AF$1)/10,0)*10,[1]Hugst!$R$4:$W$4,0))))</f>
        <v>0</v>
      </c>
      <c r="AG229" s="168">
        <f>IF($C229-AG$1&lt;År1,0,AF228*(1-VLOOKUP($A229,[1]Hugst!$R$5:$W$9,MATCH(ROUNDUP((AG$1)/10,0)*10,[1]Hugst!$R$4:$W$4,0))))</f>
        <v>0</v>
      </c>
      <c r="AH229" s="168">
        <f>IF($C229-AH$1&lt;År1,0,AG228*(1-VLOOKUP($A229,[1]Hugst!$R$5:$W$9,MATCH(ROUNDUP((AH$1)/10,0)*10,[1]Hugst!$R$4:$W$4,0))))</f>
        <v>0</v>
      </c>
      <c r="AI229" s="168">
        <f>IF($C229-AI$1&lt;År1,0,AH228*(1-VLOOKUP($A229,[1]Hugst!$R$5:$W$9,MATCH(ROUNDUP((AI$1)/10,0)*10,[1]Hugst!$R$4:$W$4,0))))</f>
        <v>0</v>
      </c>
      <c r="AJ229" s="168">
        <f>IF($C229-AJ$1&lt;År1,0,AI228*(1-VLOOKUP($A229,[1]Hugst!$R$5:$W$9,MATCH(ROUNDUP((AJ$1)/10,0)*10,[1]Hugst!$R$4:$W$4,0))))</f>
        <v>0</v>
      </c>
    </row>
    <row r="230" spans="1:36" x14ac:dyDescent="0.25">
      <c r="A230" s="168" t="s">
        <v>179</v>
      </c>
      <c r="B230" s="168" t="s">
        <v>24</v>
      </c>
      <c r="C230" s="168">
        <v>2031</v>
      </c>
      <c r="D230" s="168" cm="1">
        <f t="array" ref="D230">(IF(B230="Vestdanmark",Skovbrug!$C$22-(Skovbrug!$C$22)*(1-Skovbrug!$C$9)^(C230-Skovbrug!$B$12),Skovbrug!$F$22-(Skovbrug!$F$22)*(1-Skovbrug!$C$9)^(C230-Skovbrug!$B$12))*VLOOKUP(A230,Skovbrug!$A$13:$D$17,IF('Skovbrug-alder'!C230&lt;=År2,3,4),FALSE)-IF(C230&gt;2020,SUM(INDEX($C$1:$D$311,MATCH(1,(2020=$C$1:$C$311)*(B230=$B$1:$B$311)*(A230=$A$1:$A$311),0),2):D229),0))</f>
        <v>0</v>
      </c>
      <c r="E230" s="168">
        <f t="shared" ca="1" si="5"/>
        <v>0</v>
      </c>
      <c r="F230" s="168">
        <f ca="1">IF(C230&lt;=År2,IF(B230="Vestdanmark",(Arealanvendelse!$M$27-Arealanvendelse!$J$27),(Arealanvendelse!$M$37-Arealanvendelse!$J$37))/(Arealanvendelse!$M$3-Arealanvendelse!$J$3),IF(B230="Vestdanmark",(Arealanvendelse!$P$27-Arealanvendelse!$M$27),(Arealanvendelse!$P$37-Arealanvendelse!$M$37))/(Arealanvendelse!$P$3-Arealanvendelse!$M$3))*VLOOKUP(A230,Skovbrug!$A$13:$D$17,IF('Skovbrug-alder'!C230&lt;=År2,3,4),FALSE)+D230+E230</f>
        <v>0</v>
      </c>
      <c r="G230" s="168">
        <f ca="1">IF($C230-G$1&lt;År1,0,F229*(1-VLOOKUP($A230,[1]Hugst!$R$5:$W$9,MATCH(ROUNDUP((G$1)/10,0)*10,[1]Hugst!$R$4:$W$4,0))))</f>
        <v>0</v>
      </c>
      <c r="H230" s="168">
        <f ca="1">IF($C230-H$1&lt;År1,0,G229*(1-VLOOKUP($A230,[1]Hugst!$R$5:$W$9,MATCH(ROUNDUP((H$1)/10,0)*10,[1]Hugst!$R$4:$W$4,0))))</f>
        <v>0</v>
      </c>
      <c r="I230" s="168">
        <f ca="1">IF($C230-I$1&lt;År1,0,H229*(1-VLOOKUP($A230,[1]Hugst!$R$5:$W$9,MATCH(ROUNDUP((I$1)/10,0)*10,[1]Hugst!$R$4:$W$4,0))))</f>
        <v>0</v>
      </c>
      <c r="J230" s="168">
        <f ca="1">IF($C230-J$1&lt;År1,0,I229*(1-VLOOKUP($A230,[1]Hugst!$R$5:$W$9,MATCH(ROUNDUP((J$1)/10,0)*10,[1]Hugst!$R$4:$W$4,0))))</f>
        <v>0</v>
      </c>
      <c r="K230" s="168">
        <f ca="1">IF($C230-K$1&lt;År1,0,J229*(1-VLOOKUP($A230,[1]Hugst!$R$5:$W$9,MATCH(ROUNDUP((K$1)/10,0)*10,[1]Hugst!$R$4:$W$4,0))))</f>
        <v>0</v>
      </c>
      <c r="L230" s="168">
        <f ca="1">IF($C230-L$1&lt;År1,0,K229*(1-VLOOKUP($A230,[1]Hugst!$R$5:$W$9,MATCH(ROUNDUP((L$1)/10,0)*10,[1]Hugst!$R$4:$W$4,0))))</f>
        <v>0</v>
      </c>
      <c r="M230" s="168">
        <f ca="1">IF($C230-M$1&lt;År1,0,L229*(1-VLOOKUP($A230,[1]Hugst!$R$5:$W$9,MATCH(ROUNDUP((M$1)/10,0)*10,[1]Hugst!$R$4:$W$4,0))))</f>
        <v>0</v>
      </c>
      <c r="N230" s="168">
        <f ca="1">IF($C230-N$1&lt;År1,0,M229*(1-VLOOKUP($A230,[1]Hugst!$R$5:$W$9,MATCH(ROUNDUP((N$1)/10,0)*10,[1]Hugst!$R$4:$W$4,0))))</f>
        <v>0</v>
      </c>
      <c r="O230" s="168">
        <f ca="1">IF($C230-O$1&lt;År1,0,N229*(1-VLOOKUP($A230,[1]Hugst!$R$5:$W$9,MATCH(ROUNDUP((O$1)/10,0)*10,[1]Hugst!$R$4:$W$4,0))))</f>
        <v>0</v>
      </c>
      <c r="P230" s="168">
        <f ca="1">IF($C230-P$1&lt;År1,0,O229*(1-VLOOKUP($A230,[1]Hugst!$R$5:$W$9,MATCH(ROUNDUP((P$1)/10,0)*10,[1]Hugst!$R$4:$W$4,0))))</f>
        <v>0</v>
      </c>
      <c r="Q230" s="168">
        <f ca="1">IF($C230-Q$1&lt;År1,0,P229*(1-VLOOKUP($A230,[1]Hugst!$R$5:$W$9,MATCH(ROUNDUP((Q$1)/10,0)*10,[1]Hugst!$R$4:$W$4,0))))</f>
        <v>0</v>
      </c>
      <c r="R230" s="168">
        <f>IF($C230-R$1&lt;År1,0,Q229*(1-VLOOKUP($A230,[1]Hugst!$R$5:$W$9,MATCH(ROUNDUP((R$1)/10,0)*10,[1]Hugst!$R$4:$W$4,0))))</f>
        <v>0</v>
      </c>
      <c r="S230" s="168">
        <f>IF($C230-S$1&lt;År1,0,R229*(1-VLOOKUP($A230,[1]Hugst!$R$5:$W$9,MATCH(ROUNDUP((S$1)/10,0)*10,[1]Hugst!$R$4:$W$4,0))))</f>
        <v>0</v>
      </c>
      <c r="T230" s="168">
        <f>IF($C230-T$1&lt;År1,0,S229*(1-VLOOKUP($A230,[1]Hugst!$R$5:$W$9,MATCH(ROUNDUP((T$1)/10,0)*10,[1]Hugst!$R$4:$W$4,0))))</f>
        <v>0</v>
      </c>
      <c r="U230" s="168">
        <f>IF($C230-U$1&lt;År1,0,T229*(1-VLOOKUP($A230,[1]Hugst!$R$5:$W$9,MATCH(ROUNDUP((U$1)/10,0)*10,[1]Hugst!$R$4:$W$4,0))))</f>
        <v>0</v>
      </c>
      <c r="V230" s="168">
        <f>IF($C230-V$1&lt;År1,0,U229*(1-VLOOKUP($A230,[1]Hugst!$R$5:$W$9,MATCH(ROUNDUP((V$1)/10,0)*10,[1]Hugst!$R$4:$W$4,0))))</f>
        <v>0</v>
      </c>
      <c r="W230" s="168">
        <f>IF($C230-W$1&lt;År1,0,V229*(1-VLOOKUP($A230,[1]Hugst!$R$5:$W$9,MATCH(ROUNDUP((W$1)/10,0)*10,[1]Hugst!$R$4:$W$4,0))))</f>
        <v>0</v>
      </c>
      <c r="X230" s="168">
        <f>IF($C230-X$1&lt;År1,0,W229*(1-VLOOKUP($A230,[1]Hugst!$R$5:$W$9,MATCH(ROUNDUP((X$1)/10,0)*10,[1]Hugst!$R$4:$W$4,0))))</f>
        <v>0</v>
      </c>
      <c r="Y230" s="168">
        <f>IF($C230-Y$1&lt;År1,0,X229*(1-VLOOKUP($A230,[1]Hugst!$R$5:$W$9,MATCH(ROUNDUP((Y$1)/10,0)*10,[1]Hugst!$R$4:$W$4,0))))</f>
        <v>0</v>
      </c>
      <c r="Z230" s="168">
        <f>IF($C230-Z$1&lt;År1,0,Y229*(1-VLOOKUP($A230,[1]Hugst!$R$5:$W$9,MATCH(ROUNDUP((Z$1)/10,0)*10,[1]Hugst!$R$4:$W$4,0))))</f>
        <v>0</v>
      </c>
      <c r="AA230" s="168">
        <f>IF($C230-AA$1&lt;År1,0,Z229*(1-VLOOKUP($A230,[1]Hugst!$R$5:$W$9,MATCH(ROUNDUP((AA$1)/10,0)*10,[1]Hugst!$R$4:$W$4,0))))</f>
        <v>0</v>
      </c>
      <c r="AB230" s="168">
        <f>IF($C230-AB$1&lt;År1,0,AA229*(1-VLOOKUP($A230,[1]Hugst!$R$5:$W$9,MATCH(ROUNDUP((AB$1)/10,0)*10,[1]Hugst!$R$4:$W$4,0))))</f>
        <v>0</v>
      </c>
      <c r="AC230" s="168">
        <f>IF($C230-AC$1&lt;År1,0,AB229*(1-VLOOKUP($A230,[1]Hugst!$R$5:$W$9,MATCH(ROUNDUP((AC$1)/10,0)*10,[1]Hugst!$R$4:$W$4,0))))</f>
        <v>0</v>
      </c>
      <c r="AD230" s="168">
        <f>IF($C230-AD$1&lt;År1,0,AC229*(1-VLOOKUP($A230,[1]Hugst!$R$5:$W$9,MATCH(ROUNDUP((AD$1)/10,0)*10,[1]Hugst!$R$4:$W$4,0))))</f>
        <v>0</v>
      </c>
      <c r="AE230" s="168">
        <f>IF($C230-AE$1&lt;År1,0,AD229*(1-VLOOKUP($A230,[1]Hugst!$R$5:$W$9,MATCH(ROUNDUP((AE$1)/10,0)*10,[1]Hugst!$R$4:$W$4,0))))</f>
        <v>0</v>
      </c>
      <c r="AF230" s="168">
        <f>IF($C230-AF$1&lt;År1,0,AE229*(1-VLOOKUP($A230,[1]Hugst!$R$5:$W$9,MATCH(ROUNDUP((AF$1)/10,0)*10,[1]Hugst!$R$4:$W$4,0))))</f>
        <v>0</v>
      </c>
      <c r="AG230" s="168">
        <f>IF($C230-AG$1&lt;År1,0,AF229*(1-VLOOKUP($A230,[1]Hugst!$R$5:$W$9,MATCH(ROUNDUP((AG$1)/10,0)*10,[1]Hugst!$R$4:$W$4,0))))</f>
        <v>0</v>
      </c>
      <c r="AH230" s="168">
        <f>IF($C230-AH$1&lt;År1,0,AG229*(1-VLOOKUP($A230,[1]Hugst!$R$5:$W$9,MATCH(ROUNDUP((AH$1)/10,0)*10,[1]Hugst!$R$4:$W$4,0))))</f>
        <v>0</v>
      </c>
      <c r="AI230" s="168">
        <f>IF($C230-AI$1&lt;År1,0,AH229*(1-VLOOKUP($A230,[1]Hugst!$R$5:$W$9,MATCH(ROUNDUP((AI$1)/10,0)*10,[1]Hugst!$R$4:$W$4,0))))</f>
        <v>0</v>
      </c>
      <c r="AJ230" s="168">
        <f>IF($C230-AJ$1&lt;År1,0,AI229*(1-VLOOKUP($A230,[1]Hugst!$R$5:$W$9,MATCH(ROUNDUP((AJ$1)/10,0)*10,[1]Hugst!$R$4:$W$4,0))))</f>
        <v>0</v>
      </c>
    </row>
    <row r="231" spans="1:36" x14ac:dyDescent="0.25">
      <c r="A231" s="168" t="s">
        <v>179</v>
      </c>
      <c r="B231" s="168" t="s">
        <v>24</v>
      </c>
      <c r="C231" s="168">
        <v>2032</v>
      </c>
      <c r="D231" s="168" cm="1">
        <f t="array" ref="D231">(IF(B231="Vestdanmark",Skovbrug!$C$22-(Skovbrug!$C$22)*(1-Skovbrug!$C$9)^(C231-Skovbrug!$B$12),Skovbrug!$F$22-(Skovbrug!$F$22)*(1-Skovbrug!$C$9)^(C231-Skovbrug!$B$12))*VLOOKUP(A231,Skovbrug!$A$13:$D$17,IF('Skovbrug-alder'!C231&lt;=År2,3,4),FALSE)-IF(C231&gt;2020,SUM(INDEX($C$1:$D$311,MATCH(1,(2020=$C$1:$C$311)*(B231=$B$1:$B$311)*(A231=$A$1:$A$311),0),2):D230),0))</f>
        <v>0</v>
      </c>
      <c r="E231" s="168">
        <f t="shared" ca="1" si="5"/>
        <v>0</v>
      </c>
      <c r="F231" s="168">
        <f ca="1">IF(C231&lt;=År2,IF(B231="Vestdanmark",(Arealanvendelse!$M$27-Arealanvendelse!$J$27),(Arealanvendelse!$M$37-Arealanvendelse!$J$37))/(Arealanvendelse!$M$3-Arealanvendelse!$J$3),IF(B231="Vestdanmark",(Arealanvendelse!$P$27-Arealanvendelse!$M$27),(Arealanvendelse!$P$37-Arealanvendelse!$M$37))/(Arealanvendelse!$P$3-Arealanvendelse!$M$3))*VLOOKUP(A231,Skovbrug!$A$13:$D$17,IF('Skovbrug-alder'!C231&lt;=År2,3,4),FALSE)+D231+E231</f>
        <v>0</v>
      </c>
      <c r="G231" s="168">
        <f ca="1">IF($C231-G$1&lt;År1,0,F230*(1-VLOOKUP($A231,[1]Hugst!$R$5:$W$9,MATCH(ROUNDUP((G$1)/10,0)*10,[1]Hugst!$R$4:$W$4,0))))</f>
        <v>0</v>
      </c>
      <c r="H231" s="168">
        <f ca="1">IF($C231-H$1&lt;År1,0,G230*(1-VLOOKUP($A231,[1]Hugst!$R$5:$W$9,MATCH(ROUNDUP((H$1)/10,0)*10,[1]Hugst!$R$4:$W$4,0))))</f>
        <v>0</v>
      </c>
      <c r="I231" s="168">
        <f ca="1">IF($C231-I$1&lt;År1,0,H230*(1-VLOOKUP($A231,[1]Hugst!$R$5:$W$9,MATCH(ROUNDUP((I$1)/10,0)*10,[1]Hugst!$R$4:$W$4,0))))</f>
        <v>0</v>
      </c>
      <c r="J231" s="168">
        <f ca="1">IF($C231-J$1&lt;År1,0,I230*(1-VLOOKUP($A231,[1]Hugst!$R$5:$W$9,MATCH(ROUNDUP((J$1)/10,0)*10,[1]Hugst!$R$4:$W$4,0))))</f>
        <v>0</v>
      </c>
      <c r="K231" s="168">
        <f ca="1">IF($C231-K$1&lt;År1,0,J230*(1-VLOOKUP($A231,[1]Hugst!$R$5:$W$9,MATCH(ROUNDUP((K$1)/10,0)*10,[1]Hugst!$R$4:$W$4,0))))</f>
        <v>0</v>
      </c>
      <c r="L231" s="168">
        <f ca="1">IF($C231-L$1&lt;År1,0,K230*(1-VLOOKUP($A231,[1]Hugst!$R$5:$W$9,MATCH(ROUNDUP((L$1)/10,0)*10,[1]Hugst!$R$4:$W$4,0))))</f>
        <v>0</v>
      </c>
      <c r="M231" s="168">
        <f ca="1">IF($C231-M$1&lt;År1,0,L230*(1-VLOOKUP($A231,[1]Hugst!$R$5:$W$9,MATCH(ROUNDUP((M$1)/10,0)*10,[1]Hugst!$R$4:$W$4,0))))</f>
        <v>0</v>
      </c>
      <c r="N231" s="168">
        <f ca="1">IF($C231-N$1&lt;År1,0,M230*(1-VLOOKUP($A231,[1]Hugst!$R$5:$W$9,MATCH(ROUNDUP((N$1)/10,0)*10,[1]Hugst!$R$4:$W$4,0))))</f>
        <v>0</v>
      </c>
      <c r="O231" s="168">
        <f ca="1">IF($C231-O$1&lt;År1,0,N230*(1-VLOOKUP($A231,[1]Hugst!$R$5:$W$9,MATCH(ROUNDUP((O$1)/10,0)*10,[1]Hugst!$R$4:$W$4,0))))</f>
        <v>0</v>
      </c>
      <c r="P231" s="168">
        <f ca="1">IF($C231-P$1&lt;År1,0,O230*(1-VLOOKUP($A231,[1]Hugst!$R$5:$W$9,MATCH(ROUNDUP((P$1)/10,0)*10,[1]Hugst!$R$4:$W$4,0))))</f>
        <v>0</v>
      </c>
      <c r="Q231" s="168">
        <f ca="1">IF($C231-Q$1&lt;År1,0,P230*(1-VLOOKUP($A231,[1]Hugst!$R$5:$W$9,MATCH(ROUNDUP((Q$1)/10,0)*10,[1]Hugst!$R$4:$W$4,0))))</f>
        <v>0</v>
      </c>
      <c r="R231" s="168">
        <f ca="1">IF($C231-R$1&lt;År1,0,Q230*(1-VLOOKUP($A231,[1]Hugst!$R$5:$W$9,MATCH(ROUNDUP((R$1)/10,0)*10,[1]Hugst!$R$4:$W$4,0))))</f>
        <v>0</v>
      </c>
      <c r="S231" s="168">
        <f>IF($C231-S$1&lt;År1,0,R230*(1-VLOOKUP($A231,[1]Hugst!$R$5:$W$9,MATCH(ROUNDUP((S$1)/10,0)*10,[1]Hugst!$R$4:$W$4,0))))</f>
        <v>0</v>
      </c>
      <c r="T231" s="168">
        <f>IF($C231-T$1&lt;År1,0,S230*(1-VLOOKUP($A231,[1]Hugst!$R$5:$W$9,MATCH(ROUNDUP((T$1)/10,0)*10,[1]Hugst!$R$4:$W$4,0))))</f>
        <v>0</v>
      </c>
      <c r="U231" s="168">
        <f>IF($C231-U$1&lt;År1,0,T230*(1-VLOOKUP($A231,[1]Hugst!$R$5:$W$9,MATCH(ROUNDUP((U$1)/10,0)*10,[1]Hugst!$R$4:$W$4,0))))</f>
        <v>0</v>
      </c>
      <c r="V231" s="168">
        <f>IF($C231-V$1&lt;År1,0,U230*(1-VLOOKUP($A231,[1]Hugst!$R$5:$W$9,MATCH(ROUNDUP((V$1)/10,0)*10,[1]Hugst!$R$4:$W$4,0))))</f>
        <v>0</v>
      </c>
      <c r="W231" s="168">
        <f>IF($C231-W$1&lt;År1,0,V230*(1-VLOOKUP($A231,[1]Hugst!$R$5:$W$9,MATCH(ROUNDUP((W$1)/10,0)*10,[1]Hugst!$R$4:$W$4,0))))</f>
        <v>0</v>
      </c>
      <c r="X231" s="168">
        <f>IF($C231-X$1&lt;År1,0,W230*(1-VLOOKUP($A231,[1]Hugst!$R$5:$W$9,MATCH(ROUNDUP((X$1)/10,0)*10,[1]Hugst!$R$4:$W$4,0))))</f>
        <v>0</v>
      </c>
      <c r="Y231" s="168">
        <f>IF($C231-Y$1&lt;År1,0,X230*(1-VLOOKUP($A231,[1]Hugst!$R$5:$W$9,MATCH(ROUNDUP((Y$1)/10,0)*10,[1]Hugst!$R$4:$W$4,0))))</f>
        <v>0</v>
      </c>
      <c r="Z231" s="168">
        <f>IF($C231-Z$1&lt;År1,0,Y230*(1-VLOOKUP($A231,[1]Hugst!$R$5:$W$9,MATCH(ROUNDUP((Z$1)/10,0)*10,[1]Hugst!$R$4:$W$4,0))))</f>
        <v>0</v>
      </c>
      <c r="AA231" s="168">
        <f>IF($C231-AA$1&lt;År1,0,Z230*(1-VLOOKUP($A231,[1]Hugst!$R$5:$W$9,MATCH(ROUNDUP((AA$1)/10,0)*10,[1]Hugst!$R$4:$W$4,0))))</f>
        <v>0</v>
      </c>
      <c r="AB231" s="168">
        <f>IF($C231-AB$1&lt;År1,0,AA230*(1-VLOOKUP($A231,[1]Hugst!$R$5:$W$9,MATCH(ROUNDUP((AB$1)/10,0)*10,[1]Hugst!$R$4:$W$4,0))))</f>
        <v>0</v>
      </c>
      <c r="AC231" s="168">
        <f>IF($C231-AC$1&lt;År1,0,AB230*(1-VLOOKUP($A231,[1]Hugst!$R$5:$W$9,MATCH(ROUNDUP((AC$1)/10,0)*10,[1]Hugst!$R$4:$W$4,0))))</f>
        <v>0</v>
      </c>
      <c r="AD231" s="168">
        <f>IF($C231-AD$1&lt;År1,0,AC230*(1-VLOOKUP($A231,[1]Hugst!$R$5:$W$9,MATCH(ROUNDUP((AD$1)/10,0)*10,[1]Hugst!$R$4:$W$4,0))))</f>
        <v>0</v>
      </c>
      <c r="AE231" s="168">
        <f>IF($C231-AE$1&lt;År1,0,AD230*(1-VLOOKUP($A231,[1]Hugst!$R$5:$W$9,MATCH(ROUNDUP((AE$1)/10,0)*10,[1]Hugst!$R$4:$W$4,0))))</f>
        <v>0</v>
      </c>
      <c r="AF231" s="168">
        <f>IF($C231-AF$1&lt;År1,0,AE230*(1-VLOOKUP($A231,[1]Hugst!$R$5:$W$9,MATCH(ROUNDUP((AF$1)/10,0)*10,[1]Hugst!$R$4:$W$4,0))))</f>
        <v>0</v>
      </c>
      <c r="AG231" s="168">
        <f>IF($C231-AG$1&lt;År1,0,AF230*(1-VLOOKUP($A231,[1]Hugst!$R$5:$W$9,MATCH(ROUNDUP((AG$1)/10,0)*10,[1]Hugst!$R$4:$W$4,0))))</f>
        <v>0</v>
      </c>
      <c r="AH231" s="168">
        <f>IF($C231-AH$1&lt;År1,0,AG230*(1-VLOOKUP($A231,[1]Hugst!$R$5:$W$9,MATCH(ROUNDUP((AH$1)/10,0)*10,[1]Hugst!$R$4:$W$4,0))))</f>
        <v>0</v>
      </c>
      <c r="AI231" s="168">
        <f>IF($C231-AI$1&lt;År1,0,AH230*(1-VLOOKUP($A231,[1]Hugst!$R$5:$W$9,MATCH(ROUNDUP((AI$1)/10,0)*10,[1]Hugst!$R$4:$W$4,0))))</f>
        <v>0</v>
      </c>
      <c r="AJ231" s="168">
        <f>IF($C231-AJ$1&lt;År1,0,AI230*(1-VLOOKUP($A231,[1]Hugst!$R$5:$W$9,MATCH(ROUNDUP((AJ$1)/10,0)*10,[1]Hugst!$R$4:$W$4,0))))</f>
        <v>0</v>
      </c>
    </row>
    <row r="232" spans="1:36" x14ac:dyDescent="0.25">
      <c r="A232" s="168" t="s">
        <v>179</v>
      </c>
      <c r="B232" s="168" t="s">
        <v>24</v>
      </c>
      <c r="C232" s="168">
        <v>2033</v>
      </c>
      <c r="D232" s="168" cm="1">
        <f t="array" ref="D232">(IF(B232="Vestdanmark",Skovbrug!$C$22-(Skovbrug!$C$22)*(1-Skovbrug!$C$9)^(C232-Skovbrug!$B$12),Skovbrug!$F$22-(Skovbrug!$F$22)*(1-Skovbrug!$C$9)^(C232-Skovbrug!$B$12))*VLOOKUP(A232,Skovbrug!$A$13:$D$17,IF('Skovbrug-alder'!C232&lt;=År2,3,4),FALSE)-IF(C232&gt;2020,SUM(INDEX($C$1:$D$311,MATCH(1,(2020=$C$1:$C$311)*(B232=$B$1:$B$311)*(A232=$A$1:$A$311),0),2):D231),0))</f>
        <v>0</v>
      </c>
      <c r="E232" s="168">
        <f t="shared" ca="1" si="5"/>
        <v>0</v>
      </c>
      <c r="F232" s="168">
        <f ca="1">IF(C232&lt;=År2,IF(B232="Vestdanmark",(Arealanvendelse!$M$27-Arealanvendelse!$J$27),(Arealanvendelse!$M$37-Arealanvendelse!$J$37))/(Arealanvendelse!$M$3-Arealanvendelse!$J$3),IF(B232="Vestdanmark",(Arealanvendelse!$P$27-Arealanvendelse!$M$27),(Arealanvendelse!$P$37-Arealanvendelse!$M$37))/(Arealanvendelse!$P$3-Arealanvendelse!$M$3))*VLOOKUP(A232,Skovbrug!$A$13:$D$17,IF('Skovbrug-alder'!C232&lt;=År2,3,4),FALSE)+D232+E232</f>
        <v>0</v>
      </c>
      <c r="G232" s="168">
        <f ca="1">IF($C232-G$1&lt;År1,0,F231*(1-VLOOKUP($A232,[1]Hugst!$R$5:$W$9,MATCH(ROUNDUP((G$1)/10,0)*10,[1]Hugst!$R$4:$W$4,0))))</f>
        <v>0</v>
      </c>
      <c r="H232" s="168">
        <f ca="1">IF($C232-H$1&lt;År1,0,G231*(1-VLOOKUP($A232,[1]Hugst!$R$5:$W$9,MATCH(ROUNDUP((H$1)/10,0)*10,[1]Hugst!$R$4:$W$4,0))))</f>
        <v>0</v>
      </c>
      <c r="I232" s="168">
        <f ca="1">IF($C232-I$1&lt;År1,0,H231*(1-VLOOKUP($A232,[1]Hugst!$R$5:$W$9,MATCH(ROUNDUP((I$1)/10,0)*10,[1]Hugst!$R$4:$W$4,0))))</f>
        <v>0</v>
      </c>
      <c r="J232" s="168">
        <f ca="1">IF($C232-J$1&lt;År1,0,I231*(1-VLOOKUP($A232,[1]Hugst!$R$5:$W$9,MATCH(ROUNDUP((J$1)/10,0)*10,[1]Hugst!$R$4:$W$4,0))))</f>
        <v>0</v>
      </c>
      <c r="K232" s="168">
        <f ca="1">IF($C232-K$1&lt;År1,0,J231*(1-VLOOKUP($A232,[1]Hugst!$R$5:$W$9,MATCH(ROUNDUP((K$1)/10,0)*10,[1]Hugst!$R$4:$W$4,0))))</f>
        <v>0</v>
      </c>
      <c r="L232" s="168">
        <f ca="1">IF($C232-L$1&lt;År1,0,K231*(1-VLOOKUP($A232,[1]Hugst!$R$5:$W$9,MATCH(ROUNDUP((L$1)/10,0)*10,[1]Hugst!$R$4:$W$4,0))))</f>
        <v>0</v>
      </c>
      <c r="M232" s="168">
        <f ca="1">IF($C232-M$1&lt;År1,0,L231*(1-VLOOKUP($A232,[1]Hugst!$R$5:$W$9,MATCH(ROUNDUP((M$1)/10,0)*10,[1]Hugst!$R$4:$W$4,0))))</f>
        <v>0</v>
      </c>
      <c r="N232" s="168">
        <f ca="1">IF($C232-N$1&lt;År1,0,M231*(1-VLOOKUP($A232,[1]Hugst!$R$5:$W$9,MATCH(ROUNDUP((N$1)/10,0)*10,[1]Hugst!$R$4:$W$4,0))))</f>
        <v>0</v>
      </c>
      <c r="O232" s="168">
        <f ca="1">IF($C232-O$1&lt;År1,0,N231*(1-VLOOKUP($A232,[1]Hugst!$R$5:$W$9,MATCH(ROUNDUP((O$1)/10,0)*10,[1]Hugst!$R$4:$W$4,0))))</f>
        <v>0</v>
      </c>
      <c r="P232" s="168">
        <f ca="1">IF($C232-P$1&lt;År1,0,O231*(1-VLOOKUP($A232,[1]Hugst!$R$5:$W$9,MATCH(ROUNDUP((P$1)/10,0)*10,[1]Hugst!$R$4:$W$4,0))))</f>
        <v>0</v>
      </c>
      <c r="Q232" s="168">
        <f ca="1">IF($C232-Q$1&lt;År1,0,P231*(1-VLOOKUP($A232,[1]Hugst!$R$5:$W$9,MATCH(ROUNDUP((Q$1)/10,0)*10,[1]Hugst!$R$4:$W$4,0))))</f>
        <v>0</v>
      </c>
      <c r="R232" s="168">
        <f ca="1">IF($C232-R$1&lt;År1,0,Q231*(1-VLOOKUP($A232,[1]Hugst!$R$5:$W$9,MATCH(ROUNDUP((R$1)/10,0)*10,[1]Hugst!$R$4:$W$4,0))))</f>
        <v>0</v>
      </c>
      <c r="S232" s="168">
        <f ca="1">IF($C232-S$1&lt;År1,0,R231*(1-VLOOKUP($A232,[1]Hugst!$R$5:$W$9,MATCH(ROUNDUP((S$1)/10,0)*10,[1]Hugst!$R$4:$W$4,0))))</f>
        <v>0</v>
      </c>
      <c r="T232" s="168">
        <f>IF($C232-T$1&lt;År1,0,S231*(1-VLOOKUP($A232,[1]Hugst!$R$5:$W$9,MATCH(ROUNDUP((T$1)/10,0)*10,[1]Hugst!$R$4:$W$4,0))))</f>
        <v>0</v>
      </c>
      <c r="U232" s="168">
        <f>IF($C232-U$1&lt;År1,0,T231*(1-VLOOKUP($A232,[1]Hugst!$R$5:$W$9,MATCH(ROUNDUP((U$1)/10,0)*10,[1]Hugst!$R$4:$W$4,0))))</f>
        <v>0</v>
      </c>
      <c r="V232" s="168">
        <f>IF($C232-V$1&lt;År1,0,U231*(1-VLOOKUP($A232,[1]Hugst!$R$5:$W$9,MATCH(ROUNDUP((V$1)/10,0)*10,[1]Hugst!$R$4:$W$4,0))))</f>
        <v>0</v>
      </c>
      <c r="W232" s="168">
        <f>IF($C232-W$1&lt;År1,0,V231*(1-VLOOKUP($A232,[1]Hugst!$R$5:$W$9,MATCH(ROUNDUP((W$1)/10,0)*10,[1]Hugst!$R$4:$W$4,0))))</f>
        <v>0</v>
      </c>
      <c r="X232" s="168">
        <f>IF($C232-X$1&lt;År1,0,W231*(1-VLOOKUP($A232,[1]Hugst!$R$5:$W$9,MATCH(ROUNDUP((X$1)/10,0)*10,[1]Hugst!$R$4:$W$4,0))))</f>
        <v>0</v>
      </c>
      <c r="Y232" s="168">
        <f>IF($C232-Y$1&lt;År1,0,X231*(1-VLOOKUP($A232,[1]Hugst!$R$5:$W$9,MATCH(ROUNDUP((Y$1)/10,0)*10,[1]Hugst!$R$4:$W$4,0))))</f>
        <v>0</v>
      </c>
      <c r="Z232" s="168">
        <f>IF($C232-Z$1&lt;År1,0,Y231*(1-VLOOKUP($A232,[1]Hugst!$R$5:$W$9,MATCH(ROUNDUP((Z$1)/10,0)*10,[1]Hugst!$R$4:$W$4,0))))</f>
        <v>0</v>
      </c>
      <c r="AA232" s="168">
        <f>IF($C232-AA$1&lt;År1,0,Z231*(1-VLOOKUP($A232,[1]Hugst!$R$5:$W$9,MATCH(ROUNDUP((AA$1)/10,0)*10,[1]Hugst!$R$4:$W$4,0))))</f>
        <v>0</v>
      </c>
      <c r="AB232" s="168">
        <f>IF($C232-AB$1&lt;År1,0,AA231*(1-VLOOKUP($A232,[1]Hugst!$R$5:$W$9,MATCH(ROUNDUP((AB$1)/10,0)*10,[1]Hugst!$R$4:$W$4,0))))</f>
        <v>0</v>
      </c>
      <c r="AC232" s="168">
        <f>IF($C232-AC$1&lt;År1,0,AB231*(1-VLOOKUP($A232,[1]Hugst!$R$5:$W$9,MATCH(ROUNDUP((AC$1)/10,0)*10,[1]Hugst!$R$4:$W$4,0))))</f>
        <v>0</v>
      </c>
      <c r="AD232" s="168">
        <f>IF($C232-AD$1&lt;År1,0,AC231*(1-VLOOKUP($A232,[1]Hugst!$R$5:$W$9,MATCH(ROUNDUP((AD$1)/10,0)*10,[1]Hugst!$R$4:$W$4,0))))</f>
        <v>0</v>
      </c>
      <c r="AE232" s="168">
        <f>IF($C232-AE$1&lt;År1,0,AD231*(1-VLOOKUP($A232,[1]Hugst!$R$5:$W$9,MATCH(ROUNDUP((AE$1)/10,0)*10,[1]Hugst!$R$4:$W$4,0))))</f>
        <v>0</v>
      </c>
      <c r="AF232" s="168">
        <f>IF($C232-AF$1&lt;År1,0,AE231*(1-VLOOKUP($A232,[1]Hugst!$R$5:$W$9,MATCH(ROUNDUP((AF$1)/10,0)*10,[1]Hugst!$R$4:$W$4,0))))</f>
        <v>0</v>
      </c>
      <c r="AG232" s="168">
        <f>IF($C232-AG$1&lt;År1,0,AF231*(1-VLOOKUP($A232,[1]Hugst!$R$5:$W$9,MATCH(ROUNDUP((AG$1)/10,0)*10,[1]Hugst!$R$4:$W$4,0))))</f>
        <v>0</v>
      </c>
      <c r="AH232" s="168">
        <f>IF($C232-AH$1&lt;År1,0,AG231*(1-VLOOKUP($A232,[1]Hugst!$R$5:$W$9,MATCH(ROUNDUP((AH$1)/10,0)*10,[1]Hugst!$R$4:$W$4,0))))</f>
        <v>0</v>
      </c>
      <c r="AI232" s="168">
        <f>IF($C232-AI$1&lt;År1,0,AH231*(1-VLOOKUP($A232,[1]Hugst!$R$5:$W$9,MATCH(ROUNDUP((AI$1)/10,0)*10,[1]Hugst!$R$4:$W$4,0))))</f>
        <v>0</v>
      </c>
      <c r="AJ232" s="168">
        <f>IF($C232-AJ$1&lt;År1,0,AI231*(1-VLOOKUP($A232,[1]Hugst!$R$5:$W$9,MATCH(ROUNDUP((AJ$1)/10,0)*10,[1]Hugst!$R$4:$W$4,0))))</f>
        <v>0</v>
      </c>
    </row>
    <row r="233" spans="1:36" x14ac:dyDescent="0.25">
      <c r="A233" s="168" t="s">
        <v>179</v>
      </c>
      <c r="B233" s="168" t="s">
        <v>24</v>
      </c>
      <c r="C233" s="168">
        <v>2034</v>
      </c>
      <c r="D233" s="168" cm="1">
        <f t="array" ref="D233">(IF(B233="Vestdanmark",Skovbrug!$C$22-(Skovbrug!$C$22)*(1-Skovbrug!$C$9)^(C233-Skovbrug!$B$12),Skovbrug!$F$22-(Skovbrug!$F$22)*(1-Skovbrug!$C$9)^(C233-Skovbrug!$B$12))*VLOOKUP(A233,Skovbrug!$A$13:$D$17,IF('Skovbrug-alder'!C233&lt;=År2,3,4),FALSE)-IF(C233&gt;2020,SUM(INDEX($C$1:$D$311,MATCH(1,(2020=$C$1:$C$311)*(B233=$B$1:$B$311)*(A233=$A$1:$A$311),0),2):D232),0))</f>
        <v>0</v>
      </c>
      <c r="E233" s="168">
        <f t="shared" ca="1" si="5"/>
        <v>0</v>
      </c>
      <c r="F233" s="168">
        <f ca="1">IF(C233&lt;=År2,IF(B233="Vestdanmark",(Arealanvendelse!$M$27-Arealanvendelse!$J$27),(Arealanvendelse!$M$37-Arealanvendelse!$J$37))/(Arealanvendelse!$M$3-Arealanvendelse!$J$3),IF(B233="Vestdanmark",(Arealanvendelse!$P$27-Arealanvendelse!$M$27),(Arealanvendelse!$P$37-Arealanvendelse!$M$37))/(Arealanvendelse!$P$3-Arealanvendelse!$M$3))*VLOOKUP(A233,Skovbrug!$A$13:$D$17,IF('Skovbrug-alder'!C233&lt;=År2,3,4),FALSE)+D233+E233</f>
        <v>0</v>
      </c>
      <c r="G233" s="168">
        <f ca="1">IF($C233-G$1&lt;År1,0,F232*(1-VLOOKUP($A233,[1]Hugst!$R$5:$W$9,MATCH(ROUNDUP((G$1)/10,0)*10,[1]Hugst!$R$4:$W$4,0))))</f>
        <v>0</v>
      </c>
      <c r="H233" s="168">
        <f ca="1">IF($C233-H$1&lt;År1,0,G232*(1-VLOOKUP($A233,[1]Hugst!$R$5:$W$9,MATCH(ROUNDUP((H$1)/10,0)*10,[1]Hugst!$R$4:$W$4,0))))</f>
        <v>0</v>
      </c>
      <c r="I233" s="168">
        <f ca="1">IF($C233-I$1&lt;År1,0,H232*(1-VLOOKUP($A233,[1]Hugst!$R$5:$W$9,MATCH(ROUNDUP((I$1)/10,0)*10,[1]Hugst!$R$4:$W$4,0))))</f>
        <v>0</v>
      </c>
      <c r="J233" s="168">
        <f ca="1">IF($C233-J$1&lt;År1,0,I232*(1-VLOOKUP($A233,[1]Hugst!$R$5:$W$9,MATCH(ROUNDUP((J$1)/10,0)*10,[1]Hugst!$R$4:$W$4,0))))</f>
        <v>0</v>
      </c>
      <c r="K233" s="168">
        <f ca="1">IF($C233-K$1&lt;År1,0,J232*(1-VLOOKUP($A233,[1]Hugst!$R$5:$W$9,MATCH(ROUNDUP((K$1)/10,0)*10,[1]Hugst!$R$4:$W$4,0))))</f>
        <v>0</v>
      </c>
      <c r="L233" s="168">
        <f ca="1">IF($C233-L$1&lt;År1,0,K232*(1-VLOOKUP($A233,[1]Hugst!$R$5:$W$9,MATCH(ROUNDUP((L$1)/10,0)*10,[1]Hugst!$R$4:$W$4,0))))</f>
        <v>0</v>
      </c>
      <c r="M233" s="168">
        <f ca="1">IF($C233-M$1&lt;År1,0,L232*(1-VLOOKUP($A233,[1]Hugst!$R$5:$W$9,MATCH(ROUNDUP((M$1)/10,0)*10,[1]Hugst!$R$4:$W$4,0))))</f>
        <v>0</v>
      </c>
      <c r="N233" s="168">
        <f ca="1">IF($C233-N$1&lt;År1,0,M232*(1-VLOOKUP($A233,[1]Hugst!$R$5:$W$9,MATCH(ROUNDUP((N$1)/10,0)*10,[1]Hugst!$R$4:$W$4,0))))</f>
        <v>0</v>
      </c>
      <c r="O233" s="168">
        <f ca="1">IF($C233-O$1&lt;År1,0,N232*(1-VLOOKUP($A233,[1]Hugst!$R$5:$W$9,MATCH(ROUNDUP((O$1)/10,0)*10,[1]Hugst!$R$4:$W$4,0))))</f>
        <v>0</v>
      </c>
      <c r="P233" s="168">
        <f ca="1">IF($C233-P$1&lt;År1,0,O232*(1-VLOOKUP($A233,[1]Hugst!$R$5:$W$9,MATCH(ROUNDUP((P$1)/10,0)*10,[1]Hugst!$R$4:$W$4,0))))</f>
        <v>0</v>
      </c>
      <c r="Q233" s="168">
        <f ca="1">IF($C233-Q$1&lt;År1,0,P232*(1-VLOOKUP($A233,[1]Hugst!$R$5:$W$9,MATCH(ROUNDUP((Q$1)/10,0)*10,[1]Hugst!$R$4:$W$4,0))))</f>
        <v>0</v>
      </c>
      <c r="R233" s="168">
        <f ca="1">IF($C233-R$1&lt;År1,0,Q232*(1-VLOOKUP($A233,[1]Hugst!$R$5:$W$9,MATCH(ROUNDUP((R$1)/10,0)*10,[1]Hugst!$R$4:$W$4,0))))</f>
        <v>0</v>
      </c>
      <c r="S233" s="168">
        <f ca="1">IF($C233-S$1&lt;År1,0,R232*(1-VLOOKUP($A233,[1]Hugst!$R$5:$W$9,MATCH(ROUNDUP((S$1)/10,0)*10,[1]Hugst!$R$4:$W$4,0))))</f>
        <v>0</v>
      </c>
      <c r="T233" s="168">
        <f ca="1">IF($C233-T$1&lt;År1,0,S232*(1-VLOOKUP($A233,[1]Hugst!$R$5:$W$9,MATCH(ROUNDUP((T$1)/10,0)*10,[1]Hugst!$R$4:$W$4,0))))</f>
        <v>0</v>
      </c>
      <c r="U233" s="168">
        <f>IF($C233-U$1&lt;År1,0,T232*(1-VLOOKUP($A233,[1]Hugst!$R$5:$W$9,MATCH(ROUNDUP((U$1)/10,0)*10,[1]Hugst!$R$4:$W$4,0))))</f>
        <v>0</v>
      </c>
      <c r="V233" s="168">
        <f>IF($C233-V$1&lt;År1,0,U232*(1-VLOOKUP($A233,[1]Hugst!$R$5:$W$9,MATCH(ROUNDUP((V$1)/10,0)*10,[1]Hugst!$R$4:$W$4,0))))</f>
        <v>0</v>
      </c>
      <c r="W233" s="168">
        <f>IF($C233-W$1&lt;År1,0,V232*(1-VLOOKUP($A233,[1]Hugst!$R$5:$W$9,MATCH(ROUNDUP((W$1)/10,0)*10,[1]Hugst!$R$4:$W$4,0))))</f>
        <v>0</v>
      </c>
      <c r="X233" s="168">
        <f>IF($C233-X$1&lt;År1,0,W232*(1-VLOOKUP($A233,[1]Hugst!$R$5:$W$9,MATCH(ROUNDUP((X$1)/10,0)*10,[1]Hugst!$R$4:$W$4,0))))</f>
        <v>0</v>
      </c>
      <c r="Y233" s="168">
        <f>IF($C233-Y$1&lt;År1,0,X232*(1-VLOOKUP($A233,[1]Hugst!$R$5:$W$9,MATCH(ROUNDUP((Y$1)/10,0)*10,[1]Hugst!$R$4:$W$4,0))))</f>
        <v>0</v>
      </c>
      <c r="Z233" s="168">
        <f>IF($C233-Z$1&lt;År1,0,Y232*(1-VLOOKUP($A233,[1]Hugst!$R$5:$W$9,MATCH(ROUNDUP((Z$1)/10,0)*10,[1]Hugst!$R$4:$W$4,0))))</f>
        <v>0</v>
      </c>
      <c r="AA233" s="168">
        <f>IF($C233-AA$1&lt;År1,0,Z232*(1-VLOOKUP($A233,[1]Hugst!$R$5:$W$9,MATCH(ROUNDUP((AA$1)/10,0)*10,[1]Hugst!$R$4:$W$4,0))))</f>
        <v>0</v>
      </c>
      <c r="AB233" s="168">
        <f>IF($C233-AB$1&lt;År1,0,AA232*(1-VLOOKUP($A233,[1]Hugst!$R$5:$W$9,MATCH(ROUNDUP((AB$1)/10,0)*10,[1]Hugst!$R$4:$W$4,0))))</f>
        <v>0</v>
      </c>
      <c r="AC233" s="168">
        <f>IF($C233-AC$1&lt;År1,0,AB232*(1-VLOOKUP($A233,[1]Hugst!$R$5:$W$9,MATCH(ROUNDUP((AC$1)/10,0)*10,[1]Hugst!$R$4:$W$4,0))))</f>
        <v>0</v>
      </c>
      <c r="AD233" s="168">
        <f>IF($C233-AD$1&lt;År1,0,AC232*(1-VLOOKUP($A233,[1]Hugst!$R$5:$W$9,MATCH(ROUNDUP((AD$1)/10,0)*10,[1]Hugst!$R$4:$W$4,0))))</f>
        <v>0</v>
      </c>
      <c r="AE233" s="168">
        <f>IF($C233-AE$1&lt;År1,0,AD232*(1-VLOOKUP($A233,[1]Hugst!$R$5:$W$9,MATCH(ROUNDUP((AE$1)/10,0)*10,[1]Hugst!$R$4:$W$4,0))))</f>
        <v>0</v>
      </c>
      <c r="AF233" s="168">
        <f>IF($C233-AF$1&lt;År1,0,AE232*(1-VLOOKUP($A233,[1]Hugst!$R$5:$W$9,MATCH(ROUNDUP((AF$1)/10,0)*10,[1]Hugst!$R$4:$W$4,0))))</f>
        <v>0</v>
      </c>
      <c r="AG233" s="168">
        <f>IF($C233-AG$1&lt;År1,0,AF232*(1-VLOOKUP($A233,[1]Hugst!$R$5:$W$9,MATCH(ROUNDUP((AG$1)/10,0)*10,[1]Hugst!$R$4:$W$4,0))))</f>
        <v>0</v>
      </c>
      <c r="AH233" s="168">
        <f>IF($C233-AH$1&lt;År1,0,AG232*(1-VLOOKUP($A233,[1]Hugst!$R$5:$W$9,MATCH(ROUNDUP((AH$1)/10,0)*10,[1]Hugst!$R$4:$W$4,0))))</f>
        <v>0</v>
      </c>
      <c r="AI233" s="168">
        <f>IF($C233-AI$1&lt;År1,0,AH232*(1-VLOOKUP($A233,[1]Hugst!$R$5:$W$9,MATCH(ROUNDUP((AI$1)/10,0)*10,[1]Hugst!$R$4:$W$4,0))))</f>
        <v>0</v>
      </c>
      <c r="AJ233" s="168">
        <f>IF($C233-AJ$1&lt;År1,0,AI232*(1-VLOOKUP($A233,[1]Hugst!$R$5:$W$9,MATCH(ROUNDUP((AJ$1)/10,0)*10,[1]Hugst!$R$4:$W$4,0))))</f>
        <v>0</v>
      </c>
    </row>
    <row r="234" spans="1:36" x14ac:dyDescent="0.25">
      <c r="A234" s="168" t="s">
        <v>179</v>
      </c>
      <c r="B234" s="168" t="s">
        <v>24</v>
      </c>
      <c r="C234" s="168">
        <v>2035</v>
      </c>
      <c r="D234" s="168" cm="1">
        <f t="array" ref="D234">(IF(B234="Vestdanmark",Skovbrug!$C$22-(Skovbrug!$C$22)*(1-Skovbrug!$C$9)^(C234-Skovbrug!$B$12),Skovbrug!$F$22-(Skovbrug!$F$22)*(1-Skovbrug!$C$9)^(C234-Skovbrug!$B$12))*VLOOKUP(A234,Skovbrug!$A$13:$D$17,IF('Skovbrug-alder'!C234&lt;=År2,3,4),FALSE)-IF(C234&gt;2020,SUM(INDEX($C$1:$D$311,MATCH(1,(2020=$C$1:$C$311)*(B234=$B$1:$B$311)*(A234=$A$1:$A$311),0),2):D233),0))</f>
        <v>0</v>
      </c>
      <c r="E234" s="168">
        <f t="shared" ca="1" si="5"/>
        <v>0</v>
      </c>
      <c r="F234" s="168">
        <f ca="1">IF(C234&lt;=År2,IF(B234="Vestdanmark",(Arealanvendelse!$M$27-Arealanvendelse!$J$27),(Arealanvendelse!$M$37-Arealanvendelse!$J$37))/(Arealanvendelse!$M$3-Arealanvendelse!$J$3),IF(B234="Vestdanmark",(Arealanvendelse!$P$27-Arealanvendelse!$M$27),(Arealanvendelse!$P$37-Arealanvendelse!$M$37))/(Arealanvendelse!$P$3-Arealanvendelse!$M$3))*VLOOKUP(A234,Skovbrug!$A$13:$D$17,IF('Skovbrug-alder'!C234&lt;=År2,3,4),FALSE)+D234+E234</f>
        <v>0</v>
      </c>
      <c r="G234" s="168">
        <f ca="1">IF($C234-G$1&lt;År1,0,F233*(1-VLOOKUP($A234,[1]Hugst!$R$5:$W$9,MATCH(ROUNDUP((G$1)/10,0)*10,[1]Hugst!$R$4:$W$4,0))))</f>
        <v>0</v>
      </c>
      <c r="H234" s="168">
        <f ca="1">IF($C234-H$1&lt;År1,0,G233*(1-VLOOKUP($A234,[1]Hugst!$R$5:$W$9,MATCH(ROUNDUP((H$1)/10,0)*10,[1]Hugst!$R$4:$W$4,0))))</f>
        <v>0</v>
      </c>
      <c r="I234" s="168">
        <f ca="1">IF($C234-I$1&lt;År1,0,H233*(1-VLOOKUP($A234,[1]Hugst!$R$5:$W$9,MATCH(ROUNDUP((I$1)/10,0)*10,[1]Hugst!$R$4:$W$4,0))))</f>
        <v>0</v>
      </c>
      <c r="J234" s="168">
        <f ca="1">IF($C234-J$1&lt;År1,0,I233*(1-VLOOKUP($A234,[1]Hugst!$R$5:$W$9,MATCH(ROUNDUP((J$1)/10,0)*10,[1]Hugst!$R$4:$W$4,0))))</f>
        <v>0</v>
      </c>
      <c r="K234" s="168">
        <f ca="1">IF($C234-K$1&lt;År1,0,J233*(1-VLOOKUP($A234,[1]Hugst!$R$5:$W$9,MATCH(ROUNDUP((K$1)/10,0)*10,[1]Hugst!$R$4:$W$4,0))))</f>
        <v>0</v>
      </c>
      <c r="L234" s="168">
        <f ca="1">IF($C234-L$1&lt;År1,0,K233*(1-VLOOKUP($A234,[1]Hugst!$R$5:$W$9,MATCH(ROUNDUP((L$1)/10,0)*10,[1]Hugst!$R$4:$W$4,0))))</f>
        <v>0</v>
      </c>
      <c r="M234" s="168">
        <f ca="1">IF($C234-M$1&lt;År1,0,L233*(1-VLOOKUP($A234,[1]Hugst!$R$5:$W$9,MATCH(ROUNDUP((M$1)/10,0)*10,[1]Hugst!$R$4:$W$4,0))))</f>
        <v>0</v>
      </c>
      <c r="N234" s="168">
        <f ca="1">IF($C234-N$1&lt;År1,0,M233*(1-VLOOKUP($A234,[1]Hugst!$R$5:$W$9,MATCH(ROUNDUP((N$1)/10,0)*10,[1]Hugst!$R$4:$W$4,0))))</f>
        <v>0</v>
      </c>
      <c r="O234" s="168">
        <f ca="1">IF($C234-O$1&lt;År1,0,N233*(1-VLOOKUP($A234,[1]Hugst!$R$5:$W$9,MATCH(ROUNDUP((O$1)/10,0)*10,[1]Hugst!$R$4:$W$4,0))))</f>
        <v>0</v>
      </c>
      <c r="P234" s="168">
        <f ca="1">IF($C234-P$1&lt;År1,0,O233*(1-VLOOKUP($A234,[1]Hugst!$R$5:$W$9,MATCH(ROUNDUP((P$1)/10,0)*10,[1]Hugst!$R$4:$W$4,0))))</f>
        <v>0</v>
      </c>
      <c r="Q234" s="168">
        <f ca="1">IF($C234-Q$1&lt;År1,0,P233*(1-VLOOKUP($A234,[1]Hugst!$R$5:$W$9,MATCH(ROUNDUP((Q$1)/10,0)*10,[1]Hugst!$R$4:$W$4,0))))</f>
        <v>0</v>
      </c>
      <c r="R234" s="168">
        <f ca="1">IF($C234-R$1&lt;År1,0,Q233*(1-VLOOKUP($A234,[1]Hugst!$R$5:$W$9,MATCH(ROUNDUP((R$1)/10,0)*10,[1]Hugst!$R$4:$W$4,0))))</f>
        <v>0</v>
      </c>
      <c r="S234" s="168">
        <f ca="1">IF($C234-S$1&lt;År1,0,R233*(1-VLOOKUP($A234,[1]Hugst!$R$5:$W$9,MATCH(ROUNDUP((S$1)/10,0)*10,[1]Hugst!$R$4:$W$4,0))))</f>
        <v>0</v>
      </c>
      <c r="T234" s="168">
        <f ca="1">IF($C234-T$1&lt;År1,0,S233*(1-VLOOKUP($A234,[1]Hugst!$R$5:$W$9,MATCH(ROUNDUP((T$1)/10,0)*10,[1]Hugst!$R$4:$W$4,0))))</f>
        <v>0</v>
      </c>
      <c r="U234" s="168">
        <f ca="1">IF($C234-U$1&lt;År1,0,T233*(1-VLOOKUP($A234,[1]Hugst!$R$5:$W$9,MATCH(ROUNDUP((U$1)/10,0)*10,[1]Hugst!$R$4:$W$4,0))))</f>
        <v>0</v>
      </c>
      <c r="V234" s="168">
        <f>IF($C234-V$1&lt;År1,0,U233*(1-VLOOKUP($A234,[1]Hugst!$R$5:$W$9,MATCH(ROUNDUP((V$1)/10,0)*10,[1]Hugst!$R$4:$W$4,0))))</f>
        <v>0</v>
      </c>
      <c r="W234" s="168">
        <f>IF($C234-W$1&lt;År1,0,V233*(1-VLOOKUP($A234,[1]Hugst!$R$5:$W$9,MATCH(ROUNDUP((W$1)/10,0)*10,[1]Hugst!$R$4:$W$4,0))))</f>
        <v>0</v>
      </c>
      <c r="X234" s="168">
        <f>IF($C234-X$1&lt;År1,0,W233*(1-VLOOKUP($A234,[1]Hugst!$R$5:$W$9,MATCH(ROUNDUP((X$1)/10,0)*10,[1]Hugst!$R$4:$W$4,0))))</f>
        <v>0</v>
      </c>
      <c r="Y234" s="168">
        <f>IF($C234-Y$1&lt;År1,0,X233*(1-VLOOKUP($A234,[1]Hugst!$R$5:$W$9,MATCH(ROUNDUP((Y$1)/10,0)*10,[1]Hugst!$R$4:$W$4,0))))</f>
        <v>0</v>
      </c>
      <c r="Z234" s="168">
        <f>IF($C234-Z$1&lt;År1,0,Y233*(1-VLOOKUP($A234,[1]Hugst!$R$5:$W$9,MATCH(ROUNDUP((Z$1)/10,0)*10,[1]Hugst!$R$4:$W$4,0))))</f>
        <v>0</v>
      </c>
      <c r="AA234" s="168">
        <f>IF($C234-AA$1&lt;År1,0,Z233*(1-VLOOKUP($A234,[1]Hugst!$R$5:$W$9,MATCH(ROUNDUP((AA$1)/10,0)*10,[1]Hugst!$R$4:$W$4,0))))</f>
        <v>0</v>
      </c>
      <c r="AB234" s="168">
        <f>IF($C234-AB$1&lt;År1,0,AA233*(1-VLOOKUP($A234,[1]Hugst!$R$5:$W$9,MATCH(ROUNDUP((AB$1)/10,0)*10,[1]Hugst!$R$4:$W$4,0))))</f>
        <v>0</v>
      </c>
      <c r="AC234" s="168">
        <f>IF($C234-AC$1&lt;År1,0,AB233*(1-VLOOKUP($A234,[1]Hugst!$R$5:$W$9,MATCH(ROUNDUP((AC$1)/10,0)*10,[1]Hugst!$R$4:$W$4,0))))</f>
        <v>0</v>
      </c>
      <c r="AD234" s="168">
        <f>IF($C234-AD$1&lt;År1,0,AC233*(1-VLOOKUP($A234,[1]Hugst!$R$5:$W$9,MATCH(ROUNDUP((AD$1)/10,0)*10,[1]Hugst!$R$4:$W$4,0))))</f>
        <v>0</v>
      </c>
      <c r="AE234" s="168">
        <f>IF($C234-AE$1&lt;År1,0,AD233*(1-VLOOKUP($A234,[1]Hugst!$R$5:$W$9,MATCH(ROUNDUP((AE$1)/10,0)*10,[1]Hugst!$R$4:$W$4,0))))</f>
        <v>0</v>
      </c>
      <c r="AF234" s="168">
        <f>IF($C234-AF$1&lt;År1,0,AE233*(1-VLOOKUP($A234,[1]Hugst!$R$5:$W$9,MATCH(ROUNDUP((AF$1)/10,0)*10,[1]Hugst!$R$4:$W$4,0))))</f>
        <v>0</v>
      </c>
      <c r="AG234" s="168">
        <f>IF($C234-AG$1&lt;År1,0,AF233*(1-VLOOKUP($A234,[1]Hugst!$R$5:$W$9,MATCH(ROUNDUP((AG$1)/10,0)*10,[1]Hugst!$R$4:$W$4,0))))</f>
        <v>0</v>
      </c>
      <c r="AH234" s="168">
        <f>IF($C234-AH$1&lt;År1,0,AG233*(1-VLOOKUP($A234,[1]Hugst!$R$5:$W$9,MATCH(ROUNDUP((AH$1)/10,0)*10,[1]Hugst!$R$4:$W$4,0))))</f>
        <v>0</v>
      </c>
      <c r="AI234" s="168">
        <f>IF($C234-AI$1&lt;År1,0,AH233*(1-VLOOKUP($A234,[1]Hugst!$R$5:$W$9,MATCH(ROUNDUP((AI$1)/10,0)*10,[1]Hugst!$R$4:$W$4,0))))</f>
        <v>0</v>
      </c>
      <c r="AJ234" s="168">
        <f>IF($C234-AJ$1&lt;År1,0,AI233*(1-VLOOKUP($A234,[1]Hugst!$R$5:$W$9,MATCH(ROUNDUP((AJ$1)/10,0)*10,[1]Hugst!$R$4:$W$4,0))))</f>
        <v>0</v>
      </c>
    </row>
    <row r="235" spans="1:36" x14ac:dyDescent="0.25">
      <c r="A235" s="168" t="s">
        <v>179</v>
      </c>
      <c r="B235" s="168" t="s">
        <v>24</v>
      </c>
      <c r="C235" s="168">
        <v>2036</v>
      </c>
      <c r="D235" s="168" cm="1">
        <f t="array" ref="D235">(IF(B235="Vestdanmark",Skovbrug!$C$22-(Skovbrug!$C$22)*(1-Skovbrug!$C$9)^(C235-Skovbrug!$B$12),Skovbrug!$F$22-(Skovbrug!$F$22)*(1-Skovbrug!$C$9)^(C235-Skovbrug!$B$12))*VLOOKUP(A235,Skovbrug!$A$13:$D$17,IF('Skovbrug-alder'!C235&lt;=År2,3,4),FALSE)-IF(C235&gt;2020,SUM(INDEX($C$1:$D$311,MATCH(1,(2020=$C$1:$C$311)*(B235=$B$1:$B$311)*(A235=$A$1:$A$311),0),2):D234),0))</f>
        <v>0</v>
      </c>
      <c r="E235" s="168">
        <f t="shared" ca="1" si="5"/>
        <v>0</v>
      </c>
      <c r="F235" s="168">
        <f ca="1">IF(C235&lt;=År2,IF(B235="Vestdanmark",(Arealanvendelse!$M$27-Arealanvendelse!$J$27),(Arealanvendelse!$M$37-Arealanvendelse!$J$37))/(Arealanvendelse!$M$3-Arealanvendelse!$J$3),IF(B235="Vestdanmark",(Arealanvendelse!$P$27-Arealanvendelse!$M$27),(Arealanvendelse!$P$37-Arealanvendelse!$M$37))/(Arealanvendelse!$P$3-Arealanvendelse!$M$3))*VLOOKUP(A235,Skovbrug!$A$13:$D$17,IF('Skovbrug-alder'!C235&lt;=År2,3,4),FALSE)+D235+E235</f>
        <v>0</v>
      </c>
      <c r="G235" s="168">
        <f ca="1">IF($C235-G$1&lt;År1,0,F234*(1-VLOOKUP($A235,[1]Hugst!$R$5:$W$9,MATCH(ROUNDUP((G$1)/10,0)*10,[1]Hugst!$R$4:$W$4,0))))</f>
        <v>0</v>
      </c>
      <c r="H235" s="168">
        <f ca="1">IF($C235-H$1&lt;År1,0,G234*(1-VLOOKUP($A235,[1]Hugst!$R$5:$W$9,MATCH(ROUNDUP((H$1)/10,0)*10,[1]Hugst!$R$4:$W$4,0))))</f>
        <v>0</v>
      </c>
      <c r="I235" s="168">
        <f ca="1">IF($C235-I$1&lt;År1,0,H234*(1-VLOOKUP($A235,[1]Hugst!$R$5:$W$9,MATCH(ROUNDUP((I$1)/10,0)*10,[1]Hugst!$R$4:$W$4,0))))</f>
        <v>0</v>
      </c>
      <c r="J235" s="168">
        <f ca="1">IF($C235-J$1&lt;År1,0,I234*(1-VLOOKUP($A235,[1]Hugst!$R$5:$W$9,MATCH(ROUNDUP((J$1)/10,0)*10,[1]Hugst!$R$4:$W$4,0))))</f>
        <v>0</v>
      </c>
      <c r="K235" s="168">
        <f ca="1">IF($C235-K$1&lt;År1,0,J234*(1-VLOOKUP($A235,[1]Hugst!$R$5:$W$9,MATCH(ROUNDUP((K$1)/10,0)*10,[1]Hugst!$R$4:$W$4,0))))</f>
        <v>0</v>
      </c>
      <c r="L235" s="168">
        <f ca="1">IF($C235-L$1&lt;År1,0,K234*(1-VLOOKUP($A235,[1]Hugst!$R$5:$W$9,MATCH(ROUNDUP((L$1)/10,0)*10,[1]Hugst!$R$4:$W$4,0))))</f>
        <v>0</v>
      </c>
      <c r="M235" s="168">
        <f ca="1">IF($C235-M$1&lt;År1,0,L234*(1-VLOOKUP($A235,[1]Hugst!$R$5:$W$9,MATCH(ROUNDUP((M$1)/10,0)*10,[1]Hugst!$R$4:$W$4,0))))</f>
        <v>0</v>
      </c>
      <c r="N235" s="168">
        <f ca="1">IF($C235-N$1&lt;År1,0,M234*(1-VLOOKUP($A235,[1]Hugst!$R$5:$W$9,MATCH(ROUNDUP((N$1)/10,0)*10,[1]Hugst!$R$4:$W$4,0))))</f>
        <v>0</v>
      </c>
      <c r="O235" s="168">
        <f ca="1">IF($C235-O$1&lt;År1,0,N234*(1-VLOOKUP($A235,[1]Hugst!$R$5:$W$9,MATCH(ROUNDUP((O$1)/10,0)*10,[1]Hugst!$R$4:$W$4,0))))</f>
        <v>0</v>
      </c>
      <c r="P235" s="168">
        <f ca="1">IF($C235-P$1&lt;År1,0,O234*(1-VLOOKUP($A235,[1]Hugst!$R$5:$W$9,MATCH(ROUNDUP((P$1)/10,0)*10,[1]Hugst!$R$4:$W$4,0))))</f>
        <v>0</v>
      </c>
      <c r="Q235" s="168">
        <f ca="1">IF($C235-Q$1&lt;År1,0,P234*(1-VLOOKUP($A235,[1]Hugst!$R$5:$W$9,MATCH(ROUNDUP((Q$1)/10,0)*10,[1]Hugst!$R$4:$W$4,0))))</f>
        <v>0</v>
      </c>
      <c r="R235" s="168">
        <f ca="1">IF($C235-R$1&lt;År1,0,Q234*(1-VLOOKUP($A235,[1]Hugst!$R$5:$W$9,MATCH(ROUNDUP((R$1)/10,0)*10,[1]Hugst!$R$4:$W$4,0))))</f>
        <v>0</v>
      </c>
      <c r="S235" s="168">
        <f ca="1">IF($C235-S$1&lt;År1,0,R234*(1-VLOOKUP($A235,[1]Hugst!$R$5:$W$9,MATCH(ROUNDUP((S$1)/10,0)*10,[1]Hugst!$R$4:$W$4,0))))</f>
        <v>0</v>
      </c>
      <c r="T235" s="168">
        <f ca="1">IF($C235-T$1&lt;År1,0,S234*(1-VLOOKUP($A235,[1]Hugst!$R$5:$W$9,MATCH(ROUNDUP((T$1)/10,0)*10,[1]Hugst!$R$4:$W$4,0))))</f>
        <v>0</v>
      </c>
      <c r="U235" s="168">
        <f ca="1">IF($C235-U$1&lt;År1,0,T234*(1-VLOOKUP($A235,[1]Hugst!$R$5:$W$9,MATCH(ROUNDUP((U$1)/10,0)*10,[1]Hugst!$R$4:$W$4,0))))</f>
        <v>0</v>
      </c>
      <c r="V235" s="168">
        <f ca="1">IF($C235-V$1&lt;År1,0,U234*(1-VLOOKUP($A235,[1]Hugst!$R$5:$W$9,MATCH(ROUNDUP((V$1)/10,0)*10,[1]Hugst!$R$4:$W$4,0))))</f>
        <v>0</v>
      </c>
      <c r="W235" s="168">
        <f>IF($C235-W$1&lt;År1,0,V234*(1-VLOOKUP($A235,[1]Hugst!$R$5:$W$9,MATCH(ROUNDUP((W$1)/10,0)*10,[1]Hugst!$R$4:$W$4,0))))</f>
        <v>0</v>
      </c>
      <c r="X235" s="168">
        <f>IF($C235-X$1&lt;År1,0,W234*(1-VLOOKUP($A235,[1]Hugst!$R$5:$W$9,MATCH(ROUNDUP((X$1)/10,0)*10,[1]Hugst!$R$4:$W$4,0))))</f>
        <v>0</v>
      </c>
      <c r="Y235" s="168">
        <f>IF($C235-Y$1&lt;År1,0,X234*(1-VLOOKUP($A235,[1]Hugst!$R$5:$W$9,MATCH(ROUNDUP((Y$1)/10,0)*10,[1]Hugst!$R$4:$W$4,0))))</f>
        <v>0</v>
      </c>
      <c r="Z235" s="168">
        <f>IF($C235-Z$1&lt;År1,0,Y234*(1-VLOOKUP($A235,[1]Hugst!$R$5:$W$9,MATCH(ROUNDUP((Z$1)/10,0)*10,[1]Hugst!$R$4:$W$4,0))))</f>
        <v>0</v>
      </c>
      <c r="AA235" s="168">
        <f>IF($C235-AA$1&lt;År1,0,Z234*(1-VLOOKUP($A235,[1]Hugst!$R$5:$W$9,MATCH(ROUNDUP((AA$1)/10,0)*10,[1]Hugst!$R$4:$W$4,0))))</f>
        <v>0</v>
      </c>
      <c r="AB235" s="168">
        <f>IF($C235-AB$1&lt;År1,0,AA234*(1-VLOOKUP($A235,[1]Hugst!$R$5:$W$9,MATCH(ROUNDUP((AB$1)/10,0)*10,[1]Hugst!$R$4:$W$4,0))))</f>
        <v>0</v>
      </c>
      <c r="AC235" s="168">
        <f>IF($C235-AC$1&lt;År1,0,AB234*(1-VLOOKUP($A235,[1]Hugst!$R$5:$W$9,MATCH(ROUNDUP((AC$1)/10,0)*10,[1]Hugst!$R$4:$W$4,0))))</f>
        <v>0</v>
      </c>
      <c r="AD235" s="168">
        <f>IF($C235-AD$1&lt;År1,0,AC234*(1-VLOOKUP($A235,[1]Hugst!$R$5:$W$9,MATCH(ROUNDUP((AD$1)/10,0)*10,[1]Hugst!$R$4:$W$4,0))))</f>
        <v>0</v>
      </c>
      <c r="AE235" s="168">
        <f>IF($C235-AE$1&lt;År1,0,AD234*(1-VLOOKUP($A235,[1]Hugst!$R$5:$W$9,MATCH(ROUNDUP((AE$1)/10,0)*10,[1]Hugst!$R$4:$W$4,0))))</f>
        <v>0</v>
      </c>
      <c r="AF235" s="168">
        <f>IF($C235-AF$1&lt;År1,0,AE234*(1-VLOOKUP($A235,[1]Hugst!$R$5:$W$9,MATCH(ROUNDUP((AF$1)/10,0)*10,[1]Hugst!$R$4:$W$4,0))))</f>
        <v>0</v>
      </c>
      <c r="AG235" s="168">
        <f>IF($C235-AG$1&lt;År1,0,AF234*(1-VLOOKUP($A235,[1]Hugst!$R$5:$W$9,MATCH(ROUNDUP((AG$1)/10,0)*10,[1]Hugst!$R$4:$W$4,0))))</f>
        <v>0</v>
      </c>
      <c r="AH235" s="168">
        <f>IF($C235-AH$1&lt;År1,0,AG234*(1-VLOOKUP($A235,[1]Hugst!$R$5:$W$9,MATCH(ROUNDUP((AH$1)/10,0)*10,[1]Hugst!$R$4:$W$4,0))))</f>
        <v>0</v>
      </c>
      <c r="AI235" s="168">
        <f>IF($C235-AI$1&lt;År1,0,AH234*(1-VLOOKUP($A235,[1]Hugst!$R$5:$W$9,MATCH(ROUNDUP((AI$1)/10,0)*10,[1]Hugst!$R$4:$W$4,0))))</f>
        <v>0</v>
      </c>
      <c r="AJ235" s="168">
        <f>IF($C235-AJ$1&lt;År1,0,AI234*(1-VLOOKUP($A235,[1]Hugst!$R$5:$W$9,MATCH(ROUNDUP((AJ$1)/10,0)*10,[1]Hugst!$R$4:$W$4,0))))</f>
        <v>0</v>
      </c>
    </row>
    <row r="236" spans="1:36" x14ac:dyDescent="0.25">
      <c r="A236" s="168" t="s">
        <v>179</v>
      </c>
      <c r="B236" s="168" t="s">
        <v>24</v>
      </c>
      <c r="C236" s="168">
        <v>2037</v>
      </c>
      <c r="D236" s="168" cm="1">
        <f t="array" ref="D236">(IF(B236="Vestdanmark",Skovbrug!$C$22-(Skovbrug!$C$22)*(1-Skovbrug!$C$9)^(C236-Skovbrug!$B$12),Skovbrug!$F$22-(Skovbrug!$F$22)*(1-Skovbrug!$C$9)^(C236-Skovbrug!$B$12))*VLOOKUP(A236,Skovbrug!$A$13:$D$17,IF('Skovbrug-alder'!C236&lt;=År2,3,4),FALSE)-IF(C236&gt;2020,SUM(INDEX($C$1:$D$311,MATCH(1,(2020=$C$1:$C$311)*(B236=$B$1:$B$311)*(A236=$A$1:$A$311),0),2):D235),0))</f>
        <v>0</v>
      </c>
      <c r="E236" s="168">
        <f t="shared" ca="1" si="5"/>
        <v>0</v>
      </c>
      <c r="F236" s="168">
        <f ca="1">IF(C236&lt;=År2,IF(B236="Vestdanmark",(Arealanvendelse!$M$27-Arealanvendelse!$J$27),(Arealanvendelse!$M$37-Arealanvendelse!$J$37))/(Arealanvendelse!$M$3-Arealanvendelse!$J$3),IF(B236="Vestdanmark",(Arealanvendelse!$P$27-Arealanvendelse!$M$27),(Arealanvendelse!$P$37-Arealanvendelse!$M$37))/(Arealanvendelse!$P$3-Arealanvendelse!$M$3))*VLOOKUP(A236,Skovbrug!$A$13:$D$17,IF('Skovbrug-alder'!C236&lt;=År2,3,4),FALSE)+D236+E236</f>
        <v>0</v>
      </c>
      <c r="G236" s="168">
        <f ca="1">IF($C236-G$1&lt;År1,0,F235*(1-VLOOKUP($A236,[1]Hugst!$R$5:$W$9,MATCH(ROUNDUP((G$1)/10,0)*10,[1]Hugst!$R$4:$W$4,0))))</f>
        <v>0</v>
      </c>
      <c r="H236" s="168">
        <f ca="1">IF($C236-H$1&lt;År1,0,G235*(1-VLOOKUP($A236,[1]Hugst!$R$5:$W$9,MATCH(ROUNDUP((H$1)/10,0)*10,[1]Hugst!$R$4:$W$4,0))))</f>
        <v>0</v>
      </c>
      <c r="I236" s="168">
        <f ca="1">IF($C236-I$1&lt;År1,0,H235*(1-VLOOKUP($A236,[1]Hugst!$R$5:$W$9,MATCH(ROUNDUP((I$1)/10,0)*10,[1]Hugst!$R$4:$W$4,0))))</f>
        <v>0</v>
      </c>
      <c r="J236" s="168">
        <f ca="1">IF($C236-J$1&lt;År1,0,I235*(1-VLOOKUP($A236,[1]Hugst!$R$5:$W$9,MATCH(ROUNDUP((J$1)/10,0)*10,[1]Hugst!$R$4:$W$4,0))))</f>
        <v>0</v>
      </c>
      <c r="K236" s="168">
        <f ca="1">IF($C236-K$1&lt;År1,0,J235*(1-VLOOKUP($A236,[1]Hugst!$R$5:$W$9,MATCH(ROUNDUP((K$1)/10,0)*10,[1]Hugst!$R$4:$W$4,0))))</f>
        <v>0</v>
      </c>
      <c r="L236" s="168">
        <f ca="1">IF($C236-L$1&lt;År1,0,K235*(1-VLOOKUP($A236,[1]Hugst!$R$5:$W$9,MATCH(ROUNDUP((L$1)/10,0)*10,[1]Hugst!$R$4:$W$4,0))))</f>
        <v>0</v>
      </c>
      <c r="M236" s="168">
        <f ca="1">IF($C236-M$1&lt;År1,0,L235*(1-VLOOKUP($A236,[1]Hugst!$R$5:$W$9,MATCH(ROUNDUP((M$1)/10,0)*10,[1]Hugst!$R$4:$W$4,0))))</f>
        <v>0</v>
      </c>
      <c r="N236" s="168">
        <f ca="1">IF($C236-N$1&lt;År1,0,M235*(1-VLOOKUP($A236,[1]Hugst!$R$5:$W$9,MATCH(ROUNDUP((N$1)/10,0)*10,[1]Hugst!$R$4:$W$4,0))))</f>
        <v>0</v>
      </c>
      <c r="O236" s="168">
        <f ca="1">IF($C236-O$1&lt;År1,0,N235*(1-VLOOKUP($A236,[1]Hugst!$R$5:$W$9,MATCH(ROUNDUP((O$1)/10,0)*10,[1]Hugst!$R$4:$W$4,0))))</f>
        <v>0</v>
      </c>
      <c r="P236" s="168">
        <f ca="1">IF($C236-P$1&lt;År1,0,O235*(1-VLOOKUP($A236,[1]Hugst!$R$5:$W$9,MATCH(ROUNDUP((P$1)/10,0)*10,[1]Hugst!$R$4:$W$4,0))))</f>
        <v>0</v>
      </c>
      <c r="Q236" s="168">
        <f ca="1">IF($C236-Q$1&lt;År1,0,P235*(1-VLOOKUP($A236,[1]Hugst!$R$5:$W$9,MATCH(ROUNDUP((Q$1)/10,0)*10,[1]Hugst!$R$4:$W$4,0))))</f>
        <v>0</v>
      </c>
      <c r="R236" s="168">
        <f ca="1">IF($C236-R$1&lt;År1,0,Q235*(1-VLOOKUP($A236,[1]Hugst!$R$5:$W$9,MATCH(ROUNDUP((R$1)/10,0)*10,[1]Hugst!$R$4:$W$4,0))))</f>
        <v>0</v>
      </c>
      <c r="S236" s="168">
        <f ca="1">IF($C236-S$1&lt;År1,0,R235*(1-VLOOKUP($A236,[1]Hugst!$R$5:$W$9,MATCH(ROUNDUP((S$1)/10,0)*10,[1]Hugst!$R$4:$W$4,0))))</f>
        <v>0</v>
      </c>
      <c r="T236" s="168">
        <f ca="1">IF($C236-T$1&lt;År1,0,S235*(1-VLOOKUP($A236,[1]Hugst!$R$5:$W$9,MATCH(ROUNDUP((T$1)/10,0)*10,[1]Hugst!$R$4:$W$4,0))))</f>
        <v>0</v>
      </c>
      <c r="U236" s="168">
        <f ca="1">IF($C236-U$1&lt;År1,0,T235*(1-VLOOKUP($A236,[1]Hugst!$R$5:$W$9,MATCH(ROUNDUP((U$1)/10,0)*10,[1]Hugst!$R$4:$W$4,0))))</f>
        <v>0</v>
      </c>
      <c r="V236" s="168">
        <f ca="1">IF($C236-V$1&lt;År1,0,U235*(1-VLOOKUP($A236,[1]Hugst!$R$5:$W$9,MATCH(ROUNDUP((V$1)/10,0)*10,[1]Hugst!$R$4:$W$4,0))))</f>
        <v>0</v>
      </c>
      <c r="W236" s="168">
        <f ca="1">IF($C236-W$1&lt;År1,0,V235*(1-VLOOKUP($A236,[1]Hugst!$R$5:$W$9,MATCH(ROUNDUP((W$1)/10,0)*10,[1]Hugst!$R$4:$W$4,0))))</f>
        <v>0</v>
      </c>
      <c r="X236" s="168">
        <f>IF($C236-X$1&lt;År1,0,W235*(1-VLOOKUP($A236,[1]Hugst!$R$5:$W$9,MATCH(ROUNDUP((X$1)/10,0)*10,[1]Hugst!$R$4:$W$4,0))))</f>
        <v>0</v>
      </c>
      <c r="Y236" s="168">
        <f>IF($C236-Y$1&lt;År1,0,X235*(1-VLOOKUP($A236,[1]Hugst!$R$5:$W$9,MATCH(ROUNDUP((Y$1)/10,0)*10,[1]Hugst!$R$4:$W$4,0))))</f>
        <v>0</v>
      </c>
      <c r="Z236" s="168">
        <f>IF($C236-Z$1&lt;År1,0,Y235*(1-VLOOKUP($A236,[1]Hugst!$R$5:$W$9,MATCH(ROUNDUP((Z$1)/10,0)*10,[1]Hugst!$R$4:$W$4,0))))</f>
        <v>0</v>
      </c>
      <c r="AA236" s="168">
        <f>IF($C236-AA$1&lt;År1,0,Z235*(1-VLOOKUP($A236,[1]Hugst!$R$5:$W$9,MATCH(ROUNDUP((AA$1)/10,0)*10,[1]Hugst!$R$4:$W$4,0))))</f>
        <v>0</v>
      </c>
      <c r="AB236" s="168">
        <f>IF($C236-AB$1&lt;År1,0,AA235*(1-VLOOKUP($A236,[1]Hugst!$R$5:$W$9,MATCH(ROUNDUP((AB$1)/10,0)*10,[1]Hugst!$R$4:$W$4,0))))</f>
        <v>0</v>
      </c>
      <c r="AC236" s="168">
        <f>IF($C236-AC$1&lt;År1,0,AB235*(1-VLOOKUP($A236,[1]Hugst!$R$5:$W$9,MATCH(ROUNDUP((AC$1)/10,0)*10,[1]Hugst!$R$4:$W$4,0))))</f>
        <v>0</v>
      </c>
      <c r="AD236" s="168">
        <f>IF($C236-AD$1&lt;År1,0,AC235*(1-VLOOKUP($A236,[1]Hugst!$R$5:$W$9,MATCH(ROUNDUP((AD$1)/10,0)*10,[1]Hugst!$R$4:$W$4,0))))</f>
        <v>0</v>
      </c>
      <c r="AE236" s="168">
        <f>IF($C236-AE$1&lt;År1,0,AD235*(1-VLOOKUP($A236,[1]Hugst!$R$5:$W$9,MATCH(ROUNDUP((AE$1)/10,0)*10,[1]Hugst!$R$4:$W$4,0))))</f>
        <v>0</v>
      </c>
      <c r="AF236" s="168">
        <f>IF($C236-AF$1&lt;År1,0,AE235*(1-VLOOKUP($A236,[1]Hugst!$R$5:$W$9,MATCH(ROUNDUP((AF$1)/10,0)*10,[1]Hugst!$R$4:$W$4,0))))</f>
        <v>0</v>
      </c>
      <c r="AG236" s="168">
        <f>IF($C236-AG$1&lt;År1,0,AF235*(1-VLOOKUP($A236,[1]Hugst!$R$5:$W$9,MATCH(ROUNDUP((AG$1)/10,0)*10,[1]Hugst!$R$4:$W$4,0))))</f>
        <v>0</v>
      </c>
      <c r="AH236" s="168">
        <f>IF($C236-AH$1&lt;År1,0,AG235*(1-VLOOKUP($A236,[1]Hugst!$R$5:$W$9,MATCH(ROUNDUP((AH$1)/10,0)*10,[1]Hugst!$R$4:$W$4,0))))</f>
        <v>0</v>
      </c>
      <c r="AI236" s="168">
        <f>IF($C236-AI$1&lt;År1,0,AH235*(1-VLOOKUP($A236,[1]Hugst!$R$5:$W$9,MATCH(ROUNDUP((AI$1)/10,0)*10,[1]Hugst!$R$4:$W$4,0))))</f>
        <v>0</v>
      </c>
      <c r="AJ236" s="168">
        <f>IF($C236-AJ$1&lt;År1,0,AI235*(1-VLOOKUP($A236,[1]Hugst!$R$5:$W$9,MATCH(ROUNDUP((AJ$1)/10,0)*10,[1]Hugst!$R$4:$W$4,0))))</f>
        <v>0</v>
      </c>
    </row>
    <row r="237" spans="1:36" x14ac:dyDescent="0.25">
      <c r="A237" s="168" t="s">
        <v>179</v>
      </c>
      <c r="B237" s="168" t="s">
        <v>24</v>
      </c>
      <c r="C237" s="168">
        <v>2038</v>
      </c>
      <c r="D237" s="168" cm="1">
        <f t="array" ref="D237">(IF(B237="Vestdanmark",Skovbrug!$C$22-(Skovbrug!$C$22)*(1-Skovbrug!$C$9)^(C237-Skovbrug!$B$12),Skovbrug!$F$22-(Skovbrug!$F$22)*(1-Skovbrug!$C$9)^(C237-Skovbrug!$B$12))*VLOOKUP(A237,Skovbrug!$A$13:$D$17,IF('Skovbrug-alder'!C237&lt;=År2,3,4),FALSE)-IF(C237&gt;2020,SUM(INDEX($C$1:$D$311,MATCH(1,(2020=$C$1:$C$311)*(B237=$B$1:$B$311)*(A237=$A$1:$A$311),0),2):D236),0))</f>
        <v>0</v>
      </c>
      <c r="E237" s="168">
        <f t="shared" ca="1" si="5"/>
        <v>0</v>
      </c>
      <c r="F237" s="168">
        <f ca="1">IF(C237&lt;=År2,IF(B237="Vestdanmark",(Arealanvendelse!$M$27-Arealanvendelse!$J$27),(Arealanvendelse!$M$37-Arealanvendelse!$J$37))/(Arealanvendelse!$M$3-Arealanvendelse!$J$3),IF(B237="Vestdanmark",(Arealanvendelse!$P$27-Arealanvendelse!$M$27),(Arealanvendelse!$P$37-Arealanvendelse!$M$37))/(Arealanvendelse!$P$3-Arealanvendelse!$M$3))*VLOOKUP(A237,Skovbrug!$A$13:$D$17,IF('Skovbrug-alder'!C237&lt;=År2,3,4),FALSE)+D237+E237</f>
        <v>0</v>
      </c>
      <c r="G237" s="168">
        <f ca="1">IF($C237-G$1&lt;År1,0,F236*(1-VLOOKUP($A237,[1]Hugst!$R$5:$W$9,MATCH(ROUNDUP((G$1)/10,0)*10,[1]Hugst!$R$4:$W$4,0))))</f>
        <v>0</v>
      </c>
      <c r="H237" s="168">
        <f ca="1">IF($C237-H$1&lt;År1,0,G236*(1-VLOOKUP($A237,[1]Hugst!$R$5:$W$9,MATCH(ROUNDUP((H$1)/10,0)*10,[1]Hugst!$R$4:$W$4,0))))</f>
        <v>0</v>
      </c>
      <c r="I237" s="168">
        <f ca="1">IF($C237-I$1&lt;År1,0,H236*(1-VLOOKUP($A237,[1]Hugst!$R$5:$W$9,MATCH(ROUNDUP((I$1)/10,0)*10,[1]Hugst!$R$4:$W$4,0))))</f>
        <v>0</v>
      </c>
      <c r="J237" s="168">
        <f ca="1">IF($C237-J$1&lt;År1,0,I236*(1-VLOOKUP($A237,[1]Hugst!$R$5:$W$9,MATCH(ROUNDUP((J$1)/10,0)*10,[1]Hugst!$R$4:$W$4,0))))</f>
        <v>0</v>
      </c>
      <c r="K237" s="168">
        <f ca="1">IF($C237-K$1&lt;År1,0,J236*(1-VLOOKUP($A237,[1]Hugst!$R$5:$W$9,MATCH(ROUNDUP((K$1)/10,0)*10,[1]Hugst!$R$4:$W$4,0))))</f>
        <v>0</v>
      </c>
      <c r="L237" s="168">
        <f ca="1">IF($C237-L$1&lt;År1,0,K236*(1-VLOOKUP($A237,[1]Hugst!$R$5:$W$9,MATCH(ROUNDUP((L$1)/10,0)*10,[1]Hugst!$R$4:$W$4,0))))</f>
        <v>0</v>
      </c>
      <c r="M237" s="168">
        <f ca="1">IF($C237-M$1&lt;År1,0,L236*(1-VLOOKUP($A237,[1]Hugst!$R$5:$W$9,MATCH(ROUNDUP((M$1)/10,0)*10,[1]Hugst!$R$4:$W$4,0))))</f>
        <v>0</v>
      </c>
      <c r="N237" s="168">
        <f ca="1">IF($C237-N$1&lt;År1,0,M236*(1-VLOOKUP($A237,[1]Hugst!$R$5:$W$9,MATCH(ROUNDUP((N$1)/10,0)*10,[1]Hugst!$R$4:$W$4,0))))</f>
        <v>0</v>
      </c>
      <c r="O237" s="168">
        <f ca="1">IF($C237-O$1&lt;År1,0,N236*(1-VLOOKUP($A237,[1]Hugst!$R$5:$W$9,MATCH(ROUNDUP((O$1)/10,0)*10,[1]Hugst!$R$4:$W$4,0))))</f>
        <v>0</v>
      </c>
      <c r="P237" s="168">
        <f ca="1">IF($C237-P$1&lt;År1,0,O236*(1-VLOOKUP($A237,[1]Hugst!$R$5:$W$9,MATCH(ROUNDUP((P$1)/10,0)*10,[1]Hugst!$R$4:$W$4,0))))</f>
        <v>0</v>
      </c>
      <c r="Q237" s="168">
        <f ca="1">IF($C237-Q$1&lt;År1,0,P236*(1-VLOOKUP($A237,[1]Hugst!$R$5:$W$9,MATCH(ROUNDUP((Q$1)/10,0)*10,[1]Hugst!$R$4:$W$4,0))))</f>
        <v>0</v>
      </c>
      <c r="R237" s="168">
        <f ca="1">IF($C237-R$1&lt;År1,0,Q236*(1-VLOOKUP($A237,[1]Hugst!$R$5:$W$9,MATCH(ROUNDUP((R$1)/10,0)*10,[1]Hugst!$R$4:$W$4,0))))</f>
        <v>0</v>
      </c>
      <c r="S237" s="168">
        <f ca="1">IF($C237-S$1&lt;År1,0,R236*(1-VLOOKUP($A237,[1]Hugst!$R$5:$W$9,MATCH(ROUNDUP((S$1)/10,0)*10,[1]Hugst!$R$4:$W$4,0))))</f>
        <v>0</v>
      </c>
      <c r="T237" s="168">
        <f ca="1">IF($C237-T$1&lt;År1,0,S236*(1-VLOOKUP($A237,[1]Hugst!$R$5:$W$9,MATCH(ROUNDUP((T$1)/10,0)*10,[1]Hugst!$R$4:$W$4,0))))</f>
        <v>0</v>
      </c>
      <c r="U237" s="168">
        <f ca="1">IF($C237-U$1&lt;År1,0,T236*(1-VLOOKUP($A237,[1]Hugst!$R$5:$W$9,MATCH(ROUNDUP((U$1)/10,0)*10,[1]Hugst!$R$4:$W$4,0))))</f>
        <v>0</v>
      </c>
      <c r="V237" s="168">
        <f ca="1">IF($C237-V$1&lt;År1,0,U236*(1-VLOOKUP($A237,[1]Hugst!$R$5:$W$9,MATCH(ROUNDUP((V$1)/10,0)*10,[1]Hugst!$R$4:$W$4,0))))</f>
        <v>0</v>
      </c>
      <c r="W237" s="168">
        <f ca="1">IF($C237-W$1&lt;År1,0,V236*(1-VLOOKUP($A237,[1]Hugst!$R$5:$W$9,MATCH(ROUNDUP((W$1)/10,0)*10,[1]Hugst!$R$4:$W$4,0))))</f>
        <v>0</v>
      </c>
      <c r="X237" s="168">
        <f ca="1">IF($C237-X$1&lt;År1,0,W236*(1-VLOOKUP($A237,[1]Hugst!$R$5:$W$9,MATCH(ROUNDUP((X$1)/10,0)*10,[1]Hugst!$R$4:$W$4,0))))</f>
        <v>0</v>
      </c>
      <c r="Y237" s="168">
        <f>IF($C237-Y$1&lt;År1,0,X236*(1-VLOOKUP($A237,[1]Hugst!$R$5:$W$9,MATCH(ROUNDUP((Y$1)/10,0)*10,[1]Hugst!$R$4:$W$4,0))))</f>
        <v>0</v>
      </c>
      <c r="Z237" s="168">
        <f>IF($C237-Z$1&lt;År1,0,Y236*(1-VLOOKUP($A237,[1]Hugst!$R$5:$W$9,MATCH(ROUNDUP((Z$1)/10,0)*10,[1]Hugst!$R$4:$W$4,0))))</f>
        <v>0</v>
      </c>
      <c r="AA237" s="168">
        <f>IF($C237-AA$1&lt;År1,0,Z236*(1-VLOOKUP($A237,[1]Hugst!$R$5:$W$9,MATCH(ROUNDUP((AA$1)/10,0)*10,[1]Hugst!$R$4:$W$4,0))))</f>
        <v>0</v>
      </c>
      <c r="AB237" s="168">
        <f>IF($C237-AB$1&lt;År1,0,AA236*(1-VLOOKUP($A237,[1]Hugst!$R$5:$W$9,MATCH(ROUNDUP((AB$1)/10,0)*10,[1]Hugst!$R$4:$W$4,0))))</f>
        <v>0</v>
      </c>
      <c r="AC237" s="168">
        <f>IF($C237-AC$1&lt;År1,0,AB236*(1-VLOOKUP($A237,[1]Hugst!$R$5:$W$9,MATCH(ROUNDUP((AC$1)/10,0)*10,[1]Hugst!$R$4:$W$4,0))))</f>
        <v>0</v>
      </c>
      <c r="AD237" s="168">
        <f>IF($C237-AD$1&lt;År1,0,AC236*(1-VLOOKUP($A237,[1]Hugst!$R$5:$W$9,MATCH(ROUNDUP((AD$1)/10,0)*10,[1]Hugst!$R$4:$W$4,0))))</f>
        <v>0</v>
      </c>
      <c r="AE237" s="168">
        <f>IF($C237-AE$1&lt;År1,0,AD236*(1-VLOOKUP($A237,[1]Hugst!$R$5:$W$9,MATCH(ROUNDUP((AE$1)/10,0)*10,[1]Hugst!$R$4:$W$4,0))))</f>
        <v>0</v>
      </c>
      <c r="AF237" s="168">
        <f>IF($C237-AF$1&lt;År1,0,AE236*(1-VLOOKUP($A237,[1]Hugst!$R$5:$W$9,MATCH(ROUNDUP((AF$1)/10,0)*10,[1]Hugst!$R$4:$W$4,0))))</f>
        <v>0</v>
      </c>
      <c r="AG237" s="168">
        <f>IF($C237-AG$1&lt;År1,0,AF236*(1-VLOOKUP($A237,[1]Hugst!$R$5:$W$9,MATCH(ROUNDUP((AG$1)/10,0)*10,[1]Hugst!$R$4:$W$4,0))))</f>
        <v>0</v>
      </c>
      <c r="AH237" s="168">
        <f>IF($C237-AH$1&lt;År1,0,AG236*(1-VLOOKUP($A237,[1]Hugst!$R$5:$W$9,MATCH(ROUNDUP((AH$1)/10,0)*10,[1]Hugst!$R$4:$W$4,0))))</f>
        <v>0</v>
      </c>
      <c r="AI237" s="168">
        <f>IF($C237-AI$1&lt;År1,0,AH236*(1-VLOOKUP($A237,[1]Hugst!$R$5:$W$9,MATCH(ROUNDUP((AI$1)/10,0)*10,[1]Hugst!$R$4:$W$4,0))))</f>
        <v>0</v>
      </c>
      <c r="AJ237" s="168">
        <f>IF($C237-AJ$1&lt;År1,0,AI236*(1-VLOOKUP($A237,[1]Hugst!$R$5:$W$9,MATCH(ROUNDUP((AJ$1)/10,0)*10,[1]Hugst!$R$4:$W$4,0))))</f>
        <v>0</v>
      </c>
    </row>
    <row r="238" spans="1:36" x14ac:dyDescent="0.25">
      <c r="A238" s="168" t="s">
        <v>179</v>
      </c>
      <c r="B238" s="168" t="s">
        <v>24</v>
      </c>
      <c r="C238" s="168">
        <v>2039</v>
      </c>
      <c r="D238" s="168" cm="1">
        <f t="array" ref="D238">(IF(B238="Vestdanmark",Skovbrug!$C$22-(Skovbrug!$C$22)*(1-Skovbrug!$C$9)^(C238-Skovbrug!$B$12),Skovbrug!$F$22-(Skovbrug!$F$22)*(1-Skovbrug!$C$9)^(C238-Skovbrug!$B$12))*VLOOKUP(A238,Skovbrug!$A$13:$D$17,IF('Skovbrug-alder'!C238&lt;=År2,3,4),FALSE)-IF(C238&gt;2020,SUM(INDEX($C$1:$D$311,MATCH(1,(2020=$C$1:$C$311)*(B238=$B$1:$B$311)*(A238=$A$1:$A$311),0),2):D237),0))</f>
        <v>0</v>
      </c>
      <c r="E238" s="168">
        <f t="shared" ca="1" si="5"/>
        <v>0</v>
      </c>
      <c r="F238" s="168">
        <f ca="1">IF(C238&lt;=År2,IF(B238="Vestdanmark",(Arealanvendelse!$M$27-Arealanvendelse!$J$27),(Arealanvendelse!$M$37-Arealanvendelse!$J$37))/(Arealanvendelse!$M$3-Arealanvendelse!$J$3),IF(B238="Vestdanmark",(Arealanvendelse!$P$27-Arealanvendelse!$M$27),(Arealanvendelse!$P$37-Arealanvendelse!$M$37))/(Arealanvendelse!$P$3-Arealanvendelse!$M$3))*VLOOKUP(A238,Skovbrug!$A$13:$D$17,IF('Skovbrug-alder'!C238&lt;=År2,3,4),FALSE)+D238+E238</f>
        <v>0</v>
      </c>
      <c r="G238" s="168">
        <f ca="1">IF($C238-G$1&lt;År1,0,F237*(1-VLOOKUP($A238,[1]Hugst!$R$5:$W$9,MATCH(ROUNDUP((G$1)/10,0)*10,[1]Hugst!$R$4:$W$4,0))))</f>
        <v>0</v>
      </c>
      <c r="H238" s="168">
        <f ca="1">IF($C238-H$1&lt;År1,0,G237*(1-VLOOKUP($A238,[1]Hugst!$R$5:$W$9,MATCH(ROUNDUP((H$1)/10,0)*10,[1]Hugst!$R$4:$W$4,0))))</f>
        <v>0</v>
      </c>
      <c r="I238" s="168">
        <f ca="1">IF($C238-I$1&lt;År1,0,H237*(1-VLOOKUP($A238,[1]Hugst!$R$5:$W$9,MATCH(ROUNDUP((I$1)/10,0)*10,[1]Hugst!$R$4:$W$4,0))))</f>
        <v>0</v>
      </c>
      <c r="J238" s="168">
        <f ca="1">IF($C238-J$1&lt;År1,0,I237*(1-VLOOKUP($A238,[1]Hugst!$R$5:$W$9,MATCH(ROUNDUP((J$1)/10,0)*10,[1]Hugst!$R$4:$W$4,0))))</f>
        <v>0</v>
      </c>
      <c r="K238" s="168">
        <f ca="1">IF($C238-K$1&lt;År1,0,J237*(1-VLOOKUP($A238,[1]Hugst!$R$5:$W$9,MATCH(ROUNDUP((K$1)/10,0)*10,[1]Hugst!$R$4:$W$4,0))))</f>
        <v>0</v>
      </c>
      <c r="L238" s="168">
        <f ca="1">IF($C238-L$1&lt;År1,0,K237*(1-VLOOKUP($A238,[1]Hugst!$R$5:$W$9,MATCH(ROUNDUP((L$1)/10,0)*10,[1]Hugst!$R$4:$W$4,0))))</f>
        <v>0</v>
      </c>
      <c r="M238" s="168">
        <f ca="1">IF($C238-M$1&lt;År1,0,L237*(1-VLOOKUP($A238,[1]Hugst!$R$5:$W$9,MATCH(ROUNDUP((M$1)/10,0)*10,[1]Hugst!$R$4:$W$4,0))))</f>
        <v>0</v>
      </c>
      <c r="N238" s="168">
        <f ca="1">IF($C238-N$1&lt;År1,0,M237*(1-VLOOKUP($A238,[1]Hugst!$R$5:$W$9,MATCH(ROUNDUP((N$1)/10,0)*10,[1]Hugst!$R$4:$W$4,0))))</f>
        <v>0</v>
      </c>
      <c r="O238" s="168">
        <f ca="1">IF($C238-O$1&lt;År1,0,N237*(1-VLOOKUP($A238,[1]Hugst!$R$5:$W$9,MATCH(ROUNDUP((O$1)/10,0)*10,[1]Hugst!$R$4:$W$4,0))))</f>
        <v>0</v>
      </c>
      <c r="P238" s="168">
        <f ca="1">IF($C238-P$1&lt;År1,0,O237*(1-VLOOKUP($A238,[1]Hugst!$R$5:$W$9,MATCH(ROUNDUP((P$1)/10,0)*10,[1]Hugst!$R$4:$W$4,0))))</f>
        <v>0</v>
      </c>
      <c r="Q238" s="168">
        <f ca="1">IF($C238-Q$1&lt;År1,0,P237*(1-VLOOKUP($A238,[1]Hugst!$R$5:$W$9,MATCH(ROUNDUP((Q$1)/10,0)*10,[1]Hugst!$R$4:$W$4,0))))</f>
        <v>0</v>
      </c>
      <c r="R238" s="168">
        <f ca="1">IF($C238-R$1&lt;År1,0,Q237*(1-VLOOKUP($A238,[1]Hugst!$R$5:$W$9,MATCH(ROUNDUP((R$1)/10,0)*10,[1]Hugst!$R$4:$W$4,0))))</f>
        <v>0</v>
      </c>
      <c r="S238" s="168">
        <f ca="1">IF($C238-S$1&lt;År1,0,R237*(1-VLOOKUP($A238,[1]Hugst!$R$5:$W$9,MATCH(ROUNDUP((S$1)/10,0)*10,[1]Hugst!$R$4:$W$4,0))))</f>
        <v>0</v>
      </c>
      <c r="T238" s="168">
        <f ca="1">IF($C238-T$1&lt;År1,0,S237*(1-VLOOKUP($A238,[1]Hugst!$R$5:$W$9,MATCH(ROUNDUP((T$1)/10,0)*10,[1]Hugst!$R$4:$W$4,0))))</f>
        <v>0</v>
      </c>
      <c r="U238" s="168">
        <f ca="1">IF($C238-U$1&lt;År1,0,T237*(1-VLOOKUP($A238,[1]Hugst!$R$5:$W$9,MATCH(ROUNDUP((U$1)/10,0)*10,[1]Hugst!$R$4:$W$4,0))))</f>
        <v>0</v>
      </c>
      <c r="V238" s="168">
        <f ca="1">IF($C238-V$1&lt;År1,0,U237*(1-VLOOKUP($A238,[1]Hugst!$R$5:$W$9,MATCH(ROUNDUP((V$1)/10,0)*10,[1]Hugst!$R$4:$W$4,0))))</f>
        <v>0</v>
      </c>
      <c r="W238" s="168">
        <f ca="1">IF($C238-W$1&lt;År1,0,V237*(1-VLOOKUP($A238,[1]Hugst!$R$5:$W$9,MATCH(ROUNDUP((W$1)/10,0)*10,[1]Hugst!$R$4:$W$4,0))))</f>
        <v>0</v>
      </c>
      <c r="X238" s="168">
        <f ca="1">IF($C238-X$1&lt;År1,0,W237*(1-VLOOKUP($A238,[1]Hugst!$R$5:$W$9,MATCH(ROUNDUP((X$1)/10,0)*10,[1]Hugst!$R$4:$W$4,0))))</f>
        <v>0</v>
      </c>
      <c r="Y238" s="168">
        <f ca="1">IF($C238-Y$1&lt;År1,0,X237*(1-VLOOKUP($A238,[1]Hugst!$R$5:$W$9,MATCH(ROUNDUP((Y$1)/10,0)*10,[1]Hugst!$R$4:$W$4,0))))</f>
        <v>0</v>
      </c>
      <c r="Z238" s="168">
        <f>IF($C238-Z$1&lt;År1,0,Y237*(1-VLOOKUP($A238,[1]Hugst!$R$5:$W$9,MATCH(ROUNDUP((Z$1)/10,0)*10,[1]Hugst!$R$4:$W$4,0))))</f>
        <v>0</v>
      </c>
      <c r="AA238" s="168">
        <f>IF($C238-AA$1&lt;År1,0,Z237*(1-VLOOKUP($A238,[1]Hugst!$R$5:$W$9,MATCH(ROUNDUP((AA$1)/10,0)*10,[1]Hugst!$R$4:$W$4,0))))</f>
        <v>0</v>
      </c>
      <c r="AB238" s="168">
        <f>IF($C238-AB$1&lt;År1,0,AA237*(1-VLOOKUP($A238,[1]Hugst!$R$5:$W$9,MATCH(ROUNDUP((AB$1)/10,0)*10,[1]Hugst!$R$4:$W$4,0))))</f>
        <v>0</v>
      </c>
      <c r="AC238" s="168">
        <f>IF($C238-AC$1&lt;År1,0,AB237*(1-VLOOKUP($A238,[1]Hugst!$R$5:$W$9,MATCH(ROUNDUP((AC$1)/10,0)*10,[1]Hugst!$R$4:$W$4,0))))</f>
        <v>0</v>
      </c>
      <c r="AD238" s="168">
        <f>IF($C238-AD$1&lt;År1,0,AC237*(1-VLOOKUP($A238,[1]Hugst!$R$5:$W$9,MATCH(ROUNDUP((AD$1)/10,0)*10,[1]Hugst!$R$4:$W$4,0))))</f>
        <v>0</v>
      </c>
      <c r="AE238" s="168">
        <f>IF($C238-AE$1&lt;År1,0,AD237*(1-VLOOKUP($A238,[1]Hugst!$R$5:$W$9,MATCH(ROUNDUP((AE$1)/10,0)*10,[1]Hugst!$R$4:$W$4,0))))</f>
        <v>0</v>
      </c>
      <c r="AF238" s="168">
        <f>IF($C238-AF$1&lt;År1,0,AE237*(1-VLOOKUP($A238,[1]Hugst!$R$5:$W$9,MATCH(ROUNDUP((AF$1)/10,0)*10,[1]Hugst!$R$4:$W$4,0))))</f>
        <v>0</v>
      </c>
      <c r="AG238" s="168">
        <f>IF($C238-AG$1&lt;År1,0,AF237*(1-VLOOKUP($A238,[1]Hugst!$R$5:$W$9,MATCH(ROUNDUP((AG$1)/10,0)*10,[1]Hugst!$R$4:$W$4,0))))</f>
        <v>0</v>
      </c>
      <c r="AH238" s="168">
        <f>IF($C238-AH$1&lt;År1,0,AG237*(1-VLOOKUP($A238,[1]Hugst!$R$5:$W$9,MATCH(ROUNDUP((AH$1)/10,0)*10,[1]Hugst!$R$4:$W$4,0))))</f>
        <v>0</v>
      </c>
      <c r="AI238" s="168">
        <f>IF($C238-AI$1&lt;År1,0,AH237*(1-VLOOKUP($A238,[1]Hugst!$R$5:$W$9,MATCH(ROUNDUP((AI$1)/10,0)*10,[1]Hugst!$R$4:$W$4,0))))</f>
        <v>0</v>
      </c>
      <c r="AJ238" s="168">
        <f>IF($C238-AJ$1&lt;År1,0,AI237*(1-VLOOKUP($A238,[1]Hugst!$R$5:$W$9,MATCH(ROUNDUP((AJ$1)/10,0)*10,[1]Hugst!$R$4:$W$4,0))))</f>
        <v>0</v>
      </c>
    </row>
    <row r="239" spans="1:36" x14ac:dyDescent="0.25">
      <c r="A239" s="168" t="s">
        <v>179</v>
      </c>
      <c r="B239" s="168" t="s">
        <v>24</v>
      </c>
      <c r="C239" s="168">
        <v>2040</v>
      </c>
      <c r="D239" s="168" cm="1">
        <f t="array" ref="D239">(IF(B239="Vestdanmark",Skovbrug!$C$22-(Skovbrug!$C$22)*(1-Skovbrug!$C$9)^(C239-Skovbrug!$B$12),Skovbrug!$F$22-(Skovbrug!$F$22)*(1-Skovbrug!$C$9)^(C239-Skovbrug!$B$12))*VLOOKUP(A239,Skovbrug!$A$13:$D$17,IF('Skovbrug-alder'!C239&lt;=År2,3,4),FALSE)-IF(C239&gt;2020,SUM(INDEX($C$1:$D$311,MATCH(1,(2020=$C$1:$C$311)*(B239=$B$1:$B$311)*(A239=$A$1:$A$311),0),2):D238),0))</f>
        <v>0</v>
      </c>
      <c r="E239" s="168">
        <f t="shared" ca="1" si="5"/>
        <v>0</v>
      </c>
      <c r="F239" s="168">
        <f ca="1">IF(C239&lt;=År2,IF(B239="Vestdanmark",(Arealanvendelse!$M$27-Arealanvendelse!$J$27),(Arealanvendelse!$M$37-Arealanvendelse!$J$37))/(Arealanvendelse!$M$3-Arealanvendelse!$J$3),IF(B239="Vestdanmark",(Arealanvendelse!$P$27-Arealanvendelse!$M$27),(Arealanvendelse!$P$37-Arealanvendelse!$M$37))/(Arealanvendelse!$P$3-Arealanvendelse!$M$3))*VLOOKUP(A239,Skovbrug!$A$13:$D$17,IF('Skovbrug-alder'!C239&lt;=År2,3,4),FALSE)+D239+E239</f>
        <v>0</v>
      </c>
      <c r="G239" s="168">
        <f ca="1">IF($C239-G$1&lt;År1,0,F238*(1-VLOOKUP($A239,[1]Hugst!$R$5:$W$9,MATCH(ROUNDUP((G$1)/10,0)*10,[1]Hugst!$R$4:$W$4,0))))</f>
        <v>0</v>
      </c>
      <c r="H239" s="168">
        <f ca="1">IF($C239-H$1&lt;År1,0,G238*(1-VLOOKUP($A239,[1]Hugst!$R$5:$W$9,MATCH(ROUNDUP((H$1)/10,0)*10,[1]Hugst!$R$4:$W$4,0))))</f>
        <v>0</v>
      </c>
      <c r="I239" s="168">
        <f ca="1">IF($C239-I$1&lt;År1,0,H238*(1-VLOOKUP($A239,[1]Hugst!$R$5:$W$9,MATCH(ROUNDUP((I$1)/10,0)*10,[1]Hugst!$R$4:$W$4,0))))</f>
        <v>0</v>
      </c>
      <c r="J239" s="168">
        <f ca="1">IF($C239-J$1&lt;År1,0,I238*(1-VLOOKUP($A239,[1]Hugst!$R$5:$W$9,MATCH(ROUNDUP((J$1)/10,0)*10,[1]Hugst!$R$4:$W$4,0))))</f>
        <v>0</v>
      </c>
      <c r="K239" s="168">
        <f ca="1">IF($C239-K$1&lt;År1,0,J238*(1-VLOOKUP($A239,[1]Hugst!$R$5:$W$9,MATCH(ROUNDUP((K$1)/10,0)*10,[1]Hugst!$R$4:$W$4,0))))</f>
        <v>0</v>
      </c>
      <c r="L239" s="168">
        <f ca="1">IF($C239-L$1&lt;År1,0,K238*(1-VLOOKUP($A239,[1]Hugst!$R$5:$W$9,MATCH(ROUNDUP((L$1)/10,0)*10,[1]Hugst!$R$4:$W$4,0))))</f>
        <v>0</v>
      </c>
      <c r="M239" s="168">
        <f ca="1">IF($C239-M$1&lt;År1,0,L238*(1-VLOOKUP($A239,[1]Hugst!$R$5:$W$9,MATCH(ROUNDUP((M$1)/10,0)*10,[1]Hugst!$R$4:$W$4,0))))</f>
        <v>0</v>
      </c>
      <c r="N239" s="168">
        <f ca="1">IF($C239-N$1&lt;År1,0,M238*(1-VLOOKUP($A239,[1]Hugst!$R$5:$W$9,MATCH(ROUNDUP((N$1)/10,0)*10,[1]Hugst!$R$4:$W$4,0))))</f>
        <v>0</v>
      </c>
      <c r="O239" s="168">
        <f ca="1">IF($C239-O$1&lt;År1,0,N238*(1-VLOOKUP($A239,[1]Hugst!$R$5:$W$9,MATCH(ROUNDUP((O$1)/10,0)*10,[1]Hugst!$R$4:$W$4,0))))</f>
        <v>0</v>
      </c>
      <c r="P239" s="168">
        <f ca="1">IF($C239-P$1&lt;År1,0,O238*(1-VLOOKUP($A239,[1]Hugst!$R$5:$W$9,MATCH(ROUNDUP((P$1)/10,0)*10,[1]Hugst!$R$4:$W$4,0))))</f>
        <v>0</v>
      </c>
      <c r="Q239" s="168">
        <f ca="1">IF($C239-Q$1&lt;År1,0,P238*(1-VLOOKUP($A239,[1]Hugst!$R$5:$W$9,MATCH(ROUNDUP((Q$1)/10,0)*10,[1]Hugst!$R$4:$W$4,0))))</f>
        <v>0</v>
      </c>
      <c r="R239" s="168">
        <f ca="1">IF($C239-R$1&lt;År1,0,Q238*(1-VLOOKUP($A239,[1]Hugst!$R$5:$W$9,MATCH(ROUNDUP((R$1)/10,0)*10,[1]Hugst!$R$4:$W$4,0))))</f>
        <v>0</v>
      </c>
      <c r="S239" s="168">
        <f ca="1">IF($C239-S$1&lt;År1,0,R238*(1-VLOOKUP($A239,[1]Hugst!$R$5:$W$9,MATCH(ROUNDUP((S$1)/10,0)*10,[1]Hugst!$R$4:$W$4,0))))</f>
        <v>0</v>
      </c>
      <c r="T239" s="168">
        <f ca="1">IF($C239-T$1&lt;År1,0,S238*(1-VLOOKUP($A239,[1]Hugst!$R$5:$W$9,MATCH(ROUNDUP((T$1)/10,0)*10,[1]Hugst!$R$4:$W$4,0))))</f>
        <v>0</v>
      </c>
      <c r="U239" s="168">
        <f ca="1">IF($C239-U$1&lt;År1,0,T238*(1-VLOOKUP($A239,[1]Hugst!$R$5:$W$9,MATCH(ROUNDUP((U$1)/10,0)*10,[1]Hugst!$R$4:$W$4,0))))</f>
        <v>0</v>
      </c>
      <c r="V239" s="168">
        <f ca="1">IF($C239-V$1&lt;År1,0,U238*(1-VLOOKUP($A239,[1]Hugst!$R$5:$W$9,MATCH(ROUNDUP((V$1)/10,0)*10,[1]Hugst!$R$4:$W$4,0))))</f>
        <v>0</v>
      </c>
      <c r="W239" s="168">
        <f ca="1">IF($C239-W$1&lt;År1,0,V238*(1-VLOOKUP($A239,[1]Hugst!$R$5:$W$9,MATCH(ROUNDUP((W$1)/10,0)*10,[1]Hugst!$R$4:$W$4,0))))</f>
        <v>0</v>
      </c>
      <c r="X239" s="168">
        <f ca="1">IF($C239-X$1&lt;År1,0,W238*(1-VLOOKUP($A239,[1]Hugst!$R$5:$W$9,MATCH(ROUNDUP((X$1)/10,0)*10,[1]Hugst!$R$4:$W$4,0))))</f>
        <v>0</v>
      </c>
      <c r="Y239" s="168">
        <f ca="1">IF($C239-Y$1&lt;År1,0,X238*(1-VLOOKUP($A239,[1]Hugst!$R$5:$W$9,MATCH(ROUNDUP((Y$1)/10,0)*10,[1]Hugst!$R$4:$W$4,0))))</f>
        <v>0</v>
      </c>
      <c r="Z239" s="168">
        <f ca="1">IF($C239-Z$1&lt;År1,0,Y238*(1-VLOOKUP($A239,[1]Hugst!$R$5:$W$9,MATCH(ROUNDUP((Z$1)/10,0)*10,[1]Hugst!$R$4:$W$4,0))))</f>
        <v>0</v>
      </c>
      <c r="AA239" s="168">
        <f>IF($C239-AA$1&lt;År1,0,Z238*(1-VLOOKUP($A239,[1]Hugst!$R$5:$W$9,MATCH(ROUNDUP((AA$1)/10,0)*10,[1]Hugst!$R$4:$W$4,0))))</f>
        <v>0</v>
      </c>
      <c r="AB239" s="168">
        <f>IF($C239-AB$1&lt;År1,0,AA238*(1-VLOOKUP($A239,[1]Hugst!$R$5:$W$9,MATCH(ROUNDUP((AB$1)/10,0)*10,[1]Hugst!$R$4:$W$4,0))))</f>
        <v>0</v>
      </c>
      <c r="AC239" s="168">
        <f>IF($C239-AC$1&lt;År1,0,AB238*(1-VLOOKUP($A239,[1]Hugst!$R$5:$W$9,MATCH(ROUNDUP((AC$1)/10,0)*10,[1]Hugst!$R$4:$W$4,0))))</f>
        <v>0</v>
      </c>
      <c r="AD239" s="168">
        <f>IF($C239-AD$1&lt;År1,0,AC238*(1-VLOOKUP($A239,[1]Hugst!$R$5:$W$9,MATCH(ROUNDUP((AD$1)/10,0)*10,[1]Hugst!$R$4:$W$4,0))))</f>
        <v>0</v>
      </c>
      <c r="AE239" s="168">
        <f>IF($C239-AE$1&lt;År1,0,AD238*(1-VLOOKUP($A239,[1]Hugst!$R$5:$W$9,MATCH(ROUNDUP((AE$1)/10,0)*10,[1]Hugst!$R$4:$W$4,0))))</f>
        <v>0</v>
      </c>
      <c r="AF239" s="168">
        <f>IF($C239-AF$1&lt;År1,0,AE238*(1-VLOOKUP($A239,[1]Hugst!$R$5:$W$9,MATCH(ROUNDUP((AF$1)/10,0)*10,[1]Hugst!$R$4:$W$4,0))))</f>
        <v>0</v>
      </c>
      <c r="AG239" s="168">
        <f>IF($C239-AG$1&lt;År1,0,AF238*(1-VLOOKUP($A239,[1]Hugst!$R$5:$W$9,MATCH(ROUNDUP((AG$1)/10,0)*10,[1]Hugst!$R$4:$W$4,0))))</f>
        <v>0</v>
      </c>
      <c r="AH239" s="168">
        <f>IF($C239-AH$1&lt;År1,0,AG238*(1-VLOOKUP($A239,[1]Hugst!$R$5:$W$9,MATCH(ROUNDUP((AH$1)/10,0)*10,[1]Hugst!$R$4:$W$4,0))))</f>
        <v>0</v>
      </c>
      <c r="AI239" s="168">
        <f>IF($C239-AI$1&lt;År1,0,AH238*(1-VLOOKUP($A239,[1]Hugst!$R$5:$W$9,MATCH(ROUNDUP((AI$1)/10,0)*10,[1]Hugst!$R$4:$W$4,0))))</f>
        <v>0</v>
      </c>
      <c r="AJ239" s="168">
        <f>IF($C239-AJ$1&lt;År1,0,AI238*(1-VLOOKUP($A239,[1]Hugst!$R$5:$W$9,MATCH(ROUNDUP((AJ$1)/10,0)*10,[1]Hugst!$R$4:$W$4,0))))</f>
        <v>0</v>
      </c>
    </row>
    <row r="240" spans="1:36" x14ac:dyDescent="0.25">
      <c r="A240" s="168" t="s">
        <v>179</v>
      </c>
      <c r="B240" s="168" t="s">
        <v>24</v>
      </c>
      <c r="C240" s="168">
        <v>2041</v>
      </c>
      <c r="D240" s="168" cm="1">
        <f t="array" ref="D240">(IF(B240="Vestdanmark",Skovbrug!$C$22-(Skovbrug!$C$22)*(1-Skovbrug!$C$9)^(C240-Skovbrug!$B$12),Skovbrug!$F$22-(Skovbrug!$F$22)*(1-Skovbrug!$C$9)^(C240-Skovbrug!$B$12))*VLOOKUP(A240,Skovbrug!$A$13:$D$17,IF('Skovbrug-alder'!C240&lt;=År2,3,4),FALSE)-IF(C240&gt;2020,SUM(INDEX($C$1:$D$311,MATCH(1,(2020=$C$1:$C$311)*(B240=$B$1:$B$311)*(A240=$A$1:$A$311),0),2):D239),0))</f>
        <v>0</v>
      </c>
      <c r="E240" s="168">
        <f t="shared" ca="1" si="5"/>
        <v>0</v>
      </c>
      <c r="F240" s="168">
        <f ca="1">IF(C240&lt;=År2,IF(B240="Vestdanmark",(Arealanvendelse!$M$27-Arealanvendelse!$J$27),(Arealanvendelse!$M$37-Arealanvendelse!$J$37))/(Arealanvendelse!$M$3-Arealanvendelse!$J$3),IF(B240="Vestdanmark",(Arealanvendelse!$P$27-Arealanvendelse!$M$27),(Arealanvendelse!$P$37-Arealanvendelse!$M$37))/(Arealanvendelse!$P$3-Arealanvendelse!$M$3))*VLOOKUP(A240,Skovbrug!$A$13:$D$17,IF('Skovbrug-alder'!C240&lt;=År2,3,4),FALSE)+D240+E240</f>
        <v>0</v>
      </c>
      <c r="G240" s="168">
        <f ca="1">IF($C240-G$1&lt;År1,0,F239*(1-VLOOKUP($A240,[1]Hugst!$R$5:$W$9,MATCH(ROUNDUP((G$1)/10,0)*10,[1]Hugst!$R$4:$W$4,0))))</f>
        <v>0</v>
      </c>
      <c r="H240" s="168">
        <f ca="1">IF($C240-H$1&lt;År1,0,G239*(1-VLOOKUP($A240,[1]Hugst!$R$5:$W$9,MATCH(ROUNDUP((H$1)/10,0)*10,[1]Hugst!$R$4:$W$4,0))))</f>
        <v>0</v>
      </c>
      <c r="I240" s="168">
        <f ca="1">IF($C240-I$1&lt;År1,0,H239*(1-VLOOKUP($A240,[1]Hugst!$R$5:$W$9,MATCH(ROUNDUP((I$1)/10,0)*10,[1]Hugst!$R$4:$W$4,0))))</f>
        <v>0</v>
      </c>
      <c r="J240" s="168">
        <f ca="1">IF($C240-J$1&lt;År1,0,I239*(1-VLOOKUP($A240,[1]Hugst!$R$5:$W$9,MATCH(ROUNDUP((J$1)/10,0)*10,[1]Hugst!$R$4:$W$4,0))))</f>
        <v>0</v>
      </c>
      <c r="K240" s="168">
        <f ca="1">IF($C240-K$1&lt;År1,0,J239*(1-VLOOKUP($A240,[1]Hugst!$R$5:$W$9,MATCH(ROUNDUP((K$1)/10,0)*10,[1]Hugst!$R$4:$W$4,0))))</f>
        <v>0</v>
      </c>
      <c r="L240" s="168">
        <f ca="1">IF($C240-L$1&lt;År1,0,K239*(1-VLOOKUP($A240,[1]Hugst!$R$5:$W$9,MATCH(ROUNDUP((L$1)/10,0)*10,[1]Hugst!$R$4:$W$4,0))))</f>
        <v>0</v>
      </c>
      <c r="M240" s="168">
        <f ca="1">IF($C240-M$1&lt;År1,0,L239*(1-VLOOKUP($A240,[1]Hugst!$R$5:$W$9,MATCH(ROUNDUP((M$1)/10,0)*10,[1]Hugst!$R$4:$W$4,0))))</f>
        <v>0</v>
      </c>
      <c r="N240" s="168">
        <f ca="1">IF($C240-N$1&lt;År1,0,M239*(1-VLOOKUP($A240,[1]Hugst!$R$5:$W$9,MATCH(ROUNDUP((N$1)/10,0)*10,[1]Hugst!$R$4:$W$4,0))))</f>
        <v>0</v>
      </c>
      <c r="O240" s="168">
        <f ca="1">IF($C240-O$1&lt;År1,0,N239*(1-VLOOKUP($A240,[1]Hugst!$R$5:$W$9,MATCH(ROUNDUP((O$1)/10,0)*10,[1]Hugst!$R$4:$W$4,0))))</f>
        <v>0</v>
      </c>
      <c r="P240" s="168">
        <f ca="1">IF($C240-P$1&lt;År1,0,O239*(1-VLOOKUP($A240,[1]Hugst!$R$5:$W$9,MATCH(ROUNDUP((P$1)/10,0)*10,[1]Hugst!$R$4:$W$4,0))))</f>
        <v>0</v>
      </c>
      <c r="Q240" s="168">
        <f ca="1">IF($C240-Q$1&lt;År1,0,P239*(1-VLOOKUP($A240,[1]Hugst!$R$5:$W$9,MATCH(ROUNDUP((Q$1)/10,0)*10,[1]Hugst!$R$4:$W$4,0))))</f>
        <v>0</v>
      </c>
      <c r="R240" s="168">
        <f ca="1">IF($C240-R$1&lt;År1,0,Q239*(1-VLOOKUP($A240,[1]Hugst!$R$5:$W$9,MATCH(ROUNDUP((R$1)/10,0)*10,[1]Hugst!$R$4:$W$4,0))))</f>
        <v>0</v>
      </c>
      <c r="S240" s="168">
        <f ca="1">IF($C240-S$1&lt;År1,0,R239*(1-VLOOKUP($A240,[1]Hugst!$R$5:$W$9,MATCH(ROUNDUP((S$1)/10,0)*10,[1]Hugst!$R$4:$W$4,0))))</f>
        <v>0</v>
      </c>
      <c r="T240" s="168">
        <f ca="1">IF($C240-T$1&lt;År1,0,S239*(1-VLOOKUP($A240,[1]Hugst!$R$5:$W$9,MATCH(ROUNDUP((T$1)/10,0)*10,[1]Hugst!$R$4:$W$4,0))))</f>
        <v>0</v>
      </c>
      <c r="U240" s="168">
        <f ca="1">IF($C240-U$1&lt;År1,0,T239*(1-VLOOKUP($A240,[1]Hugst!$R$5:$W$9,MATCH(ROUNDUP((U$1)/10,0)*10,[1]Hugst!$R$4:$W$4,0))))</f>
        <v>0</v>
      </c>
      <c r="V240" s="168">
        <f ca="1">IF($C240-V$1&lt;År1,0,U239*(1-VLOOKUP($A240,[1]Hugst!$R$5:$W$9,MATCH(ROUNDUP((V$1)/10,0)*10,[1]Hugst!$R$4:$W$4,0))))</f>
        <v>0</v>
      </c>
      <c r="W240" s="168">
        <f ca="1">IF($C240-W$1&lt;År1,0,V239*(1-VLOOKUP($A240,[1]Hugst!$R$5:$W$9,MATCH(ROUNDUP((W$1)/10,0)*10,[1]Hugst!$R$4:$W$4,0))))</f>
        <v>0</v>
      </c>
      <c r="X240" s="168">
        <f ca="1">IF($C240-X$1&lt;År1,0,W239*(1-VLOOKUP($A240,[1]Hugst!$R$5:$W$9,MATCH(ROUNDUP((X$1)/10,0)*10,[1]Hugst!$R$4:$W$4,0))))</f>
        <v>0</v>
      </c>
      <c r="Y240" s="168">
        <f ca="1">IF($C240-Y$1&lt;År1,0,X239*(1-VLOOKUP($A240,[1]Hugst!$R$5:$W$9,MATCH(ROUNDUP((Y$1)/10,0)*10,[1]Hugst!$R$4:$W$4,0))))</f>
        <v>0</v>
      </c>
      <c r="Z240" s="168">
        <f ca="1">IF($C240-Z$1&lt;År1,0,Y239*(1-VLOOKUP($A240,[1]Hugst!$R$5:$W$9,MATCH(ROUNDUP((Z$1)/10,0)*10,[1]Hugst!$R$4:$W$4,0))))</f>
        <v>0</v>
      </c>
      <c r="AA240" s="168">
        <f ca="1">IF($C240-AA$1&lt;År1,0,Z239*(1-VLOOKUP($A240,[1]Hugst!$R$5:$W$9,MATCH(ROUNDUP((AA$1)/10,0)*10,[1]Hugst!$R$4:$W$4,0))))</f>
        <v>0</v>
      </c>
      <c r="AB240" s="168">
        <f>IF($C240-AB$1&lt;År1,0,AA239*(1-VLOOKUP($A240,[1]Hugst!$R$5:$W$9,MATCH(ROUNDUP((AB$1)/10,0)*10,[1]Hugst!$R$4:$W$4,0))))</f>
        <v>0</v>
      </c>
      <c r="AC240" s="168">
        <f>IF($C240-AC$1&lt;År1,0,AB239*(1-VLOOKUP($A240,[1]Hugst!$R$5:$W$9,MATCH(ROUNDUP((AC$1)/10,0)*10,[1]Hugst!$R$4:$W$4,0))))</f>
        <v>0</v>
      </c>
      <c r="AD240" s="168">
        <f>IF($C240-AD$1&lt;År1,0,AC239*(1-VLOOKUP($A240,[1]Hugst!$R$5:$W$9,MATCH(ROUNDUP((AD$1)/10,0)*10,[1]Hugst!$R$4:$W$4,0))))</f>
        <v>0</v>
      </c>
      <c r="AE240" s="168">
        <f>IF($C240-AE$1&lt;År1,0,AD239*(1-VLOOKUP($A240,[1]Hugst!$R$5:$W$9,MATCH(ROUNDUP((AE$1)/10,0)*10,[1]Hugst!$R$4:$W$4,0))))</f>
        <v>0</v>
      </c>
      <c r="AF240" s="168">
        <f>IF($C240-AF$1&lt;År1,0,AE239*(1-VLOOKUP($A240,[1]Hugst!$R$5:$W$9,MATCH(ROUNDUP((AF$1)/10,0)*10,[1]Hugst!$R$4:$W$4,0))))</f>
        <v>0</v>
      </c>
      <c r="AG240" s="168">
        <f>IF($C240-AG$1&lt;År1,0,AF239*(1-VLOOKUP($A240,[1]Hugst!$R$5:$W$9,MATCH(ROUNDUP((AG$1)/10,0)*10,[1]Hugst!$R$4:$W$4,0))))</f>
        <v>0</v>
      </c>
      <c r="AH240" s="168">
        <f>IF($C240-AH$1&lt;År1,0,AG239*(1-VLOOKUP($A240,[1]Hugst!$R$5:$W$9,MATCH(ROUNDUP((AH$1)/10,0)*10,[1]Hugst!$R$4:$W$4,0))))</f>
        <v>0</v>
      </c>
      <c r="AI240" s="168">
        <f>IF($C240-AI$1&lt;År1,0,AH239*(1-VLOOKUP($A240,[1]Hugst!$R$5:$W$9,MATCH(ROUNDUP((AI$1)/10,0)*10,[1]Hugst!$R$4:$W$4,0))))</f>
        <v>0</v>
      </c>
      <c r="AJ240" s="168">
        <f>IF($C240-AJ$1&lt;År1,0,AI239*(1-VLOOKUP($A240,[1]Hugst!$R$5:$W$9,MATCH(ROUNDUP((AJ$1)/10,0)*10,[1]Hugst!$R$4:$W$4,0))))</f>
        <v>0</v>
      </c>
    </row>
    <row r="241" spans="1:36" x14ac:dyDescent="0.25">
      <c r="A241" s="168" t="s">
        <v>179</v>
      </c>
      <c r="B241" s="168" t="s">
        <v>24</v>
      </c>
      <c r="C241" s="168">
        <v>2042</v>
      </c>
      <c r="D241" s="168" cm="1">
        <f t="array" ref="D241">(IF(B241="Vestdanmark",Skovbrug!$C$22-(Skovbrug!$C$22)*(1-Skovbrug!$C$9)^(C241-Skovbrug!$B$12),Skovbrug!$F$22-(Skovbrug!$F$22)*(1-Skovbrug!$C$9)^(C241-Skovbrug!$B$12))*VLOOKUP(A241,Skovbrug!$A$13:$D$17,IF('Skovbrug-alder'!C241&lt;=År2,3,4),FALSE)-IF(C241&gt;2020,SUM(INDEX($C$1:$D$311,MATCH(1,(2020=$C$1:$C$311)*(B241=$B$1:$B$311)*(A241=$A$1:$A$311),0),2):D240),0))</f>
        <v>0</v>
      </c>
      <c r="E241" s="168">
        <f t="shared" ca="1" si="5"/>
        <v>0</v>
      </c>
      <c r="F241" s="168">
        <f ca="1">IF(C241&lt;=År2,IF(B241="Vestdanmark",(Arealanvendelse!$M$27-Arealanvendelse!$J$27),(Arealanvendelse!$M$37-Arealanvendelse!$J$37))/(Arealanvendelse!$M$3-Arealanvendelse!$J$3),IF(B241="Vestdanmark",(Arealanvendelse!$P$27-Arealanvendelse!$M$27),(Arealanvendelse!$P$37-Arealanvendelse!$M$37))/(Arealanvendelse!$P$3-Arealanvendelse!$M$3))*VLOOKUP(A241,Skovbrug!$A$13:$D$17,IF('Skovbrug-alder'!C241&lt;=År2,3,4),FALSE)+D241+E241</f>
        <v>0</v>
      </c>
      <c r="G241" s="168">
        <f ca="1">IF($C241-G$1&lt;År1,0,F240*(1-VLOOKUP($A241,[1]Hugst!$R$5:$W$9,MATCH(ROUNDUP((G$1)/10,0)*10,[1]Hugst!$R$4:$W$4,0))))</f>
        <v>0</v>
      </c>
      <c r="H241" s="168">
        <f ca="1">IF($C241-H$1&lt;År1,0,G240*(1-VLOOKUP($A241,[1]Hugst!$R$5:$W$9,MATCH(ROUNDUP((H$1)/10,0)*10,[1]Hugst!$R$4:$W$4,0))))</f>
        <v>0</v>
      </c>
      <c r="I241" s="168">
        <f ca="1">IF($C241-I$1&lt;År1,0,H240*(1-VLOOKUP($A241,[1]Hugst!$R$5:$W$9,MATCH(ROUNDUP((I$1)/10,0)*10,[1]Hugst!$R$4:$W$4,0))))</f>
        <v>0</v>
      </c>
      <c r="J241" s="168">
        <f ca="1">IF($C241-J$1&lt;År1,0,I240*(1-VLOOKUP($A241,[1]Hugst!$R$5:$W$9,MATCH(ROUNDUP((J$1)/10,0)*10,[1]Hugst!$R$4:$W$4,0))))</f>
        <v>0</v>
      </c>
      <c r="K241" s="168">
        <f ca="1">IF($C241-K$1&lt;År1,0,J240*(1-VLOOKUP($A241,[1]Hugst!$R$5:$W$9,MATCH(ROUNDUP((K$1)/10,0)*10,[1]Hugst!$R$4:$W$4,0))))</f>
        <v>0</v>
      </c>
      <c r="L241" s="168">
        <f ca="1">IF($C241-L$1&lt;År1,0,K240*(1-VLOOKUP($A241,[1]Hugst!$R$5:$W$9,MATCH(ROUNDUP((L$1)/10,0)*10,[1]Hugst!$R$4:$W$4,0))))</f>
        <v>0</v>
      </c>
      <c r="M241" s="168">
        <f ca="1">IF($C241-M$1&lt;År1,0,L240*(1-VLOOKUP($A241,[1]Hugst!$R$5:$W$9,MATCH(ROUNDUP((M$1)/10,0)*10,[1]Hugst!$R$4:$W$4,0))))</f>
        <v>0</v>
      </c>
      <c r="N241" s="168">
        <f ca="1">IF($C241-N$1&lt;År1,0,M240*(1-VLOOKUP($A241,[1]Hugst!$R$5:$W$9,MATCH(ROUNDUP((N$1)/10,0)*10,[1]Hugst!$R$4:$W$4,0))))</f>
        <v>0</v>
      </c>
      <c r="O241" s="168">
        <f ca="1">IF($C241-O$1&lt;År1,0,N240*(1-VLOOKUP($A241,[1]Hugst!$R$5:$W$9,MATCH(ROUNDUP((O$1)/10,0)*10,[1]Hugst!$R$4:$W$4,0))))</f>
        <v>0</v>
      </c>
      <c r="P241" s="168">
        <f ca="1">IF($C241-P$1&lt;År1,0,O240*(1-VLOOKUP($A241,[1]Hugst!$R$5:$W$9,MATCH(ROUNDUP((P$1)/10,0)*10,[1]Hugst!$R$4:$W$4,0))))</f>
        <v>0</v>
      </c>
      <c r="Q241" s="168">
        <f ca="1">IF($C241-Q$1&lt;År1,0,P240*(1-VLOOKUP($A241,[1]Hugst!$R$5:$W$9,MATCH(ROUNDUP((Q$1)/10,0)*10,[1]Hugst!$R$4:$W$4,0))))</f>
        <v>0</v>
      </c>
      <c r="R241" s="168">
        <f ca="1">IF($C241-R$1&lt;År1,0,Q240*(1-VLOOKUP($A241,[1]Hugst!$R$5:$W$9,MATCH(ROUNDUP((R$1)/10,0)*10,[1]Hugst!$R$4:$W$4,0))))</f>
        <v>0</v>
      </c>
      <c r="S241" s="168">
        <f ca="1">IF($C241-S$1&lt;År1,0,R240*(1-VLOOKUP($A241,[1]Hugst!$R$5:$W$9,MATCH(ROUNDUP((S$1)/10,0)*10,[1]Hugst!$R$4:$W$4,0))))</f>
        <v>0</v>
      </c>
      <c r="T241" s="168">
        <f ca="1">IF($C241-T$1&lt;År1,0,S240*(1-VLOOKUP($A241,[1]Hugst!$R$5:$W$9,MATCH(ROUNDUP((T$1)/10,0)*10,[1]Hugst!$R$4:$W$4,0))))</f>
        <v>0</v>
      </c>
      <c r="U241" s="168">
        <f ca="1">IF($C241-U$1&lt;År1,0,T240*(1-VLOOKUP($A241,[1]Hugst!$R$5:$W$9,MATCH(ROUNDUP((U$1)/10,0)*10,[1]Hugst!$R$4:$W$4,0))))</f>
        <v>0</v>
      </c>
      <c r="V241" s="168">
        <f ca="1">IF($C241-V$1&lt;År1,0,U240*(1-VLOOKUP($A241,[1]Hugst!$R$5:$W$9,MATCH(ROUNDUP((V$1)/10,0)*10,[1]Hugst!$R$4:$W$4,0))))</f>
        <v>0</v>
      </c>
      <c r="W241" s="168">
        <f ca="1">IF($C241-W$1&lt;År1,0,V240*(1-VLOOKUP($A241,[1]Hugst!$R$5:$W$9,MATCH(ROUNDUP((W$1)/10,0)*10,[1]Hugst!$R$4:$W$4,0))))</f>
        <v>0</v>
      </c>
      <c r="X241" s="168">
        <f ca="1">IF($C241-X$1&lt;År1,0,W240*(1-VLOOKUP($A241,[1]Hugst!$R$5:$W$9,MATCH(ROUNDUP((X$1)/10,0)*10,[1]Hugst!$R$4:$W$4,0))))</f>
        <v>0</v>
      </c>
      <c r="Y241" s="168">
        <f ca="1">IF($C241-Y$1&lt;År1,0,X240*(1-VLOOKUP($A241,[1]Hugst!$R$5:$W$9,MATCH(ROUNDUP((Y$1)/10,0)*10,[1]Hugst!$R$4:$W$4,0))))</f>
        <v>0</v>
      </c>
      <c r="Z241" s="168">
        <f ca="1">IF($C241-Z$1&lt;År1,0,Y240*(1-VLOOKUP($A241,[1]Hugst!$R$5:$W$9,MATCH(ROUNDUP((Z$1)/10,0)*10,[1]Hugst!$R$4:$W$4,0))))</f>
        <v>0</v>
      </c>
      <c r="AA241" s="168">
        <f ca="1">IF($C241-AA$1&lt;År1,0,Z240*(1-VLOOKUP($A241,[1]Hugst!$R$5:$W$9,MATCH(ROUNDUP((AA$1)/10,0)*10,[1]Hugst!$R$4:$W$4,0))))</f>
        <v>0</v>
      </c>
      <c r="AB241" s="168">
        <f ca="1">IF($C241-AB$1&lt;År1,0,AA240*(1-VLOOKUP($A241,[1]Hugst!$R$5:$W$9,MATCH(ROUNDUP((AB$1)/10,0)*10,[1]Hugst!$R$4:$W$4,0))))</f>
        <v>0</v>
      </c>
      <c r="AC241" s="168">
        <f>IF($C241-AC$1&lt;År1,0,AB240*(1-VLOOKUP($A241,[1]Hugst!$R$5:$W$9,MATCH(ROUNDUP((AC$1)/10,0)*10,[1]Hugst!$R$4:$W$4,0))))</f>
        <v>0</v>
      </c>
      <c r="AD241" s="168">
        <f>IF($C241-AD$1&lt;År1,0,AC240*(1-VLOOKUP($A241,[1]Hugst!$R$5:$W$9,MATCH(ROUNDUP((AD$1)/10,0)*10,[1]Hugst!$R$4:$W$4,0))))</f>
        <v>0</v>
      </c>
      <c r="AE241" s="168">
        <f>IF($C241-AE$1&lt;År1,0,AD240*(1-VLOOKUP($A241,[1]Hugst!$R$5:$W$9,MATCH(ROUNDUP((AE$1)/10,0)*10,[1]Hugst!$R$4:$W$4,0))))</f>
        <v>0</v>
      </c>
      <c r="AF241" s="168">
        <f>IF($C241-AF$1&lt;År1,0,AE240*(1-VLOOKUP($A241,[1]Hugst!$R$5:$W$9,MATCH(ROUNDUP((AF$1)/10,0)*10,[1]Hugst!$R$4:$W$4,0))))</f>
        <v>0</v>
      </c>
      <c r="AG241" s="168">
        <f>IF($C241-AG$1&lt;År1,0,AF240*(1-VLOOKUP($A241,[1]Hugst!$R$5:$W$9,MATCH(ROUNDUP((AG$1)/10,0)*10,[1]Hugst!$R$4:$W$4,0))))</f>
        <v>0</v>
      </c>
      <c r="AH241" s="168">
        <f>IF($C241-AH$1&lt;År1,0,AG240*(1-VLOOKUP($A241,[1]Hugst!$R$5:$W$9,MATCH(ROUNDUP((AH$1)/10,0)*10,[1]Hugst!$R$4:$W$4,0))))</f>
        <v>0</v>
      </c>
      <c r="AI241" s="168">
        <f>IF($C241-AI$1&lt;År1,0,AH240*(1-VLOOKUP($A241,[1]Hugst!$R$5:$W$9,MATCH(ROUNDUP((AI$1)/10,0)*10,[1]Hugst!$R$4:$W$4,0))))</f>
        <v>0</v>
      </c>
      <c r="AJ241" s="168">
        <f>IF($C241-AJ$1&lt;År1,0,AI240*(1-VLOOKUP($A241,[1]Hugst!$R$5:$W$9,MATCH(ROUNDUP((AJ$1)/10,0)*10,[1]Hugst!$R$4:$W$4,0))))</f>
        <v>0</v>
      </c>
    </row>
    <row r="242" spans="1:36" x14ac:dyDescent="0.25">
      <c r="A242" s="168" t="s">
        <v>179</v>
      </c>
      <c r="B242" s="168" t="s">
        <v>24</v>
      </c>
      <c r="C242" s="168">
        <v>2043</v>
      </c>
      <c r="D242" s="168" cm="1">
        <f t="array" ref="D242">(IF(B242="Vestdanmark",Skovbrug!$C$22-(Skovbrug!$C$22)*(1-Skovbrug!$C$9)^(C242-Skovbrug!$B$12),Skovbrug!$F$22-(Skovbrug!$F$22)*(1-Skovbrug!$C$9)^(C242-Skovbrug!$B$12))*VLOOKUP(A242,Skovbrug!$A$13:$D$17,IF('Skovbrug-alder'!C242&lt;=År2,3,4),FALSE)-IF(C242&gt;2020,SUM(INDEX($C$1:$D$311,MATCH(1,(2020=$C$1:$C$311)*(B242=$B$1:$B$311)*(A242=$A$1:$A$311),0),2):D241),0))</f>
        <v>0</v>
      </c>
      <c r="E242" s="168">
        <f t="shared" ca="1" si="5"/>
        <v>0</v>
      </c>
      <c r="F242" s="168">
        <f ca="1">IF(C242&lt;=År2,IF(B242="Vestdanmark",(Arealanvendelse!$M$27-Arealanvendelse!$J$27),(Arealanvendelse!$M$37-Arealanvendelse!$J$37))/(Arealanvendelse!$M$3-Arealanvendelse!$J$3),IF(B242="Vestdanmark",(Arealanvendelse!$P$27-Arealanvendelse!$M$27),(Arealanvendelse!$P$37-Arealanvendelse!$M$37))/(Arealanvendelse!$P$3-Arealanvendelse!$M$3))*VLOOKUP(A242,Skovbrug!$A$13:$D$17,IF('Skovbrug-alder'!C242&lt;=År2,3,4),FALSE)+D242+E242</f>
        <v>0</v>
      </c>
      <c r="G242" s="168">
        <f ca="1">IF($C242-G$1&lt;År1,0,F241*(1-VLOOKUP($A242,[1]Hugst!$R$5:$W$9,MATCH(ROUNDUP((G$1)/10,0)*10,[1]Hugst!$R$4:$W$4,0))))</f>
        <v>0</v>
      </c>
      <c r="H242" s="168">
        <f ca="1">IF($C242-H$1&lt;År1,0,G241*(1-VLOOKUP($A242,[1]Hugst!$R$5:$W$9,MATCH(ROUNDUP((H$1)/10,0)*10,[1]Hugst!$R$4:$W$4,0))))</f>
        <v>0</v>
      </c>
      <c r="I242" s="168">
        <f ca="1">IF($C242-I$1&lt;År1,0,H241*(1-VLOOKUP($A242,[1]Hugst!$R$5:$W$9,MATCH(ROUNDUP((I$1)/10,0)*10,[1]Hugst!$R$4:$W$4,0))))</f>
        <v>0</v>
      </c>
      <c r="J242" s="168">
        <f ca="1">IF($C242-J$1&lt;År1,0,I241*(1-VLOOKUP($A242,[1]Hugst!$R$5:$W$9,MATCH(ROUNDUP((J$1)/10,0)*10,[1]Hugst!$R$4:$W$4,0))))</f>
        <v>0</v>
      </c>
      <c r="K242" s="168">
        <f ca="1">IF($C242-K$1&lt;År1,0,J241*(1-VLOOKUP($A242,[1]Hugst!$R$5:$W$9,MATCH(ROUNDUP((K$1)/10,0)*10,[1]Hugst!$R$4:$W$4,0))))</f>
        <v>0</v>
      </c>
      <c r="L242" s="168">
        <f ca="1">IF($C242-L$1&lt;År1,0,K241*(1-VLOOKUP($A242,[1]Hugst!$R$5:$W$9,MATCH(ROUNDUP((L$1)/10,0)*10,[1]Hugst!$R$4:$W$4,0))))</f>
        <v>0</v>
      </c>
      <c r="M242" s="168">
        <f ca="1">IF($C242-M$1&lt;År1,0,L241*(1-VLOOKUP($A242,[1]Hugst!$R$5:$W$9,MATCH(ROUNDUP((M$1)/10,0)*10,[1]Hugst!$R$4:$W$4,0))))</f>
        <v>0</v>
      </c>
      <c r="N242" s="168">
        <f ca="1">IF($C242-N$1&lt;År1,0,M241*(1-VLOOKUP($A242,[1]Hugst!$R$5:$W$9,MATCH(ROUNDUP((N$1)/10,0)*10,[1]Hugst!$R$4:$W$4,0))))</f>
        <v>0</v>
      </c>
      <c r="O242" s="168">
        <f ca="1">IF($C242-O$1&lt;År1,0,N241*(1-VLOOKUP($A242,[1]Hugst!$R$5:$W$9,MATCH(ROUNDUP((O$1)/10,0)*10,[1]Hugst!$R$4:$W$4,0))))</f>
        <v>0</v>
      </c>
      <c r="P242" s="168">
        <f ca="1">IF($C242-P$1&lt;År1,0,O241*(1-VLOOKUP($A242,[1]Hugst!$R$5:$W$9,MATCH(ROUNDUP((P$1)/10,0)*10,[1]Hugst!$R$4:$W$4,0))))</f>
        <v>0</v>
      </c>
      <c r="Q242" s="168">
        <f ca="1">IF($C242-Q$1&lt;År1,0,P241*(1-VLOOKUP($A242,[1]Hugst!$R$5:$W$9,MATCH(ROUNDUP((Q$1)/10,0)*10,[1]Hugst!$R$4:$W$4,0))))</f>
        <v>0</v>
      </c>
      <c r="R242" s="168">
        <f ca="1">IF($C242-R$1&lt;År1,0,Q241*(1-VLOOKUP($A242,[1]Hugst!$R$5:$W$9,MATCH(ROUNDUP((R$1)/10,0)*10,[1]Hugst!$R$4:$W$4,0))))</f>
        <v>0</v>
      </c>
      <c r="S242" s="168">
        <f ca="1">IF($C242-S$1&lt;År1,0,R241*(1-VLOOKUP($A242,[1]Hugst!$R$5:$W$9,MATCH(ROUNDUP((S$1)/10,0)*10,[1]Hugst!$R$4:$W$4,0))))</f>
        <v>0</v>
      </c>
      <c r="T242" s="168">
        <f ca="1">IF($C242-T$1&lt;År1,0,S241*(1-VLOOKUP($A242,[1]Hugst!$R$5:$W$9,MATCH(ROUNDUP((T$1)/10,0)*10,[1]Hugst!$R$4:$W$4,0))))</f>
        <v>0</v>
      </c>
      <c r="U242" s="168">
        <f ca="1">IF($C242-U$1&lt;År1,0,T241*(1-VLOOKUP($A242,[1]Hugst!$R$5:$W$9,MATCH(ROUNDUP((U$1)/10,0)*10,[1]Hugst!$R$4:$W$4,0))))</f>
        <v>0</v>
      </c>
      <c r="V242" s="168">
        <f ca="1">IF($C242-V$1&lt;År1,0,U241*(1-VLOOKUP($A242,[1]Hugst!$R$5:$W$9,MATCH(ROUNDUP((V$1)/10,0)*10,[1]Hugst!$R$4:$W$4,0))))</f>
        <v>0</v>
      </c>
      <c r="W242" s="168">
        <f ca="1">IF($C242-W$1&lt;År1,0,V241*(1-VLOOKUP($A242,[1]Hugst!$R$5:$W$9,MATCH(ROUNDUP((W$1)/10,0)*10,[1]Hugst!$R$4:$W$4,0))))</f>
        <v>0</v>
      </c>
      <c r="X242" s="168">
        <f ca="1">IF($C242-X$1&lt;År1,0,W241*(1-VLOOKUP($A242,[1]Hugst!$R$5:$W$9,MATCH(ROUNDUP((X$1)/10,0)*10,[1]Hugst!$R$4:$W$4,0))))</f>
        <v>0</v>
      </c>
      <c r="Y242" s="168">
        <f ca="1">IF($C242-Y$1&lt;År1,0,X241*(1-VLOOKUP($A242,[1]Hugst!$R$5:$W$9,MATCH(ROUNDUP((Y$1)/10,0)*10,[1]Hugst!$R$4:$W$4,0))))</f>
        <v>0</v>
      </c>
      <c r="Z242" s="168">
        <f ca="1">IF($C242-Z$1&lt;År1,0,Y241*(1-VLOOKUP($A242,[1]Hugst!$R$5:$W$9,MATCH(ROUNDUP((Z$1)/10,0)*10,[1]Hugst!$R$4:$W$4,0))))</f>
        <v>0</v>
      </c>
      <c r="AA242" s="168">
        <f ca="1">IF($C242-AA$1&lt;År1,0,Z241*(1-VLOOKUP($A242,[1]Hugst!$R$5:$W$9,MATCH(ROUNDUP((AA$1)/10,0)*10,[1]Hugst!$R$4:$W$4,0))))</f>
        <v>0</v>
      </c>
      <c r="AB242" s="168">
        <f ca="1">IF($C242-AB$1&lt;År1,0,AA241*(1-VLOOKUP($A242,[1]Hugst!$R$5:$W$9,MATCH(ROUNDUP((AB$1)/10,0)*10,[1]Hugst!$R$4:$W$4,0))))</f>
        <v>0</v>
      </c>
      <c r="AC242" s="168">
        <f ca="1">IF($C242-AC$1&lt;År1,0,AB241*(1-VLOOKUP($A242,[1]Hugst!$R$5:$W$9,MATCH(ROUNDUP((AC$1)/10,0)*10,[1]Hugst!$R$4:$W$4,0))))</f>
        <v>0</v>
      </c>
      <c r="AD242" s="168">
        <f>IF($C242-AD$1&lt;År1,0,AC241*(1-VLOOKUP($A242,[1]Hugst!$R$5:$W$9,MATCH(ROUNDUP((AD$1)/10,0)*10,[1]Hugst!$R$4:$W$4,0))))</f>
        <v>0</v>
      </c>
      <c r="AE242" s="168">
        <f>IF($C242-AE$1&lt;År1,0,AD241*(1-VLOOKUP($A242,[1]Hugst!$R$5:$W$9,MATCH(ROUNDUP((AE$1)/10,0)*10,[1]Hugst!$R$4:$W$4,0))))</f>
        <v>0</v>
      </c>
      <c r="AF242" s="168">
        <f>IF($C242-AF$1&lt;År1,0,AE241*(1-VLOOKUP($A242,[1]Hugst!$R$5:$W$9,MATCH(ROUNDUP((AF$1)/10,0)*10,[1]Hugst!$R$4:$W$4,0))))</f>
        <v>0</v>
      </c>
      <c r="AG242" s="168">
        <f>IF($C242-AG$1&lt;År1,0,AF241*(1-VLOOKUP($A242,[1]Hugst!$R$5:$W$9,MATCH(ROUNDUP((AG$1)/10,0)*10,[1]Hugst!$R$4:$W$4,0))))</f>
        <v>0</v>
      </c>
      <c r="AH242" s="168">
        <f>IF($C242-AH$1&lt;År1,0,AG241*(1-VLOOKUP($A242,[1]Hugst!$R$5:$W$9,MATCH(ROUNDUP((AH$1)/10,0)*10,[1]Hugst!$R$4:$W$4,0))))</f>
        <v>0</v>
      </c>
      <c r="AI242" s="168">
        <f>IF($C242-AI$1&lt;År1,0,AH241*(1-VLOOKUP($A242,[1]Hugst!$R$5:$W$9,MATCH(ROUNDUP((AI$1)/10,0)*10,[1]Hugst!$R$4:$W$4,0))))</f>
        <v>0</v>
      </c>
      <c r="AJ242" s="168">
        <f>IF($C242-AJ$1&lt;År1,0,AI241*(1-VLOOKUP($A242,[1]Hugst!$R$5:$W$9,MATCH(ROUNDUP((AJ$1)/10,0)*10,[1]Hugst!$R$4:$W$4,0))))</f>
        <v>0</v>
      </c>
    </row>
    <row r="243" spans="1:36" x14ac:dyDescent="0.25">
      <c r="A243" s="168" t="s">
        <v>179</v>
      </c>
      <c r="B243" s="168" t="s">
        <v>24</v>
      </c>
      <c r="C243" s="168">
        <v>2044</v>
      </c>
      <c r="D243" s="168" cm="1">
        <f t="array" ref="D243">(IF(B243="Vestdanmark",Skovbrug!$C$22-(Skovbrug!$C$22)*(1-Skovbrug!$C$9)^(C243-Skovbrug!$B$12),Skovbrug!$F$22-(Skovbrug!$F$22)*(1-Skovbrug!$C$9)^(C243-Skovbrug!$B$12))*VLOOKUP(A243,Skovbrug!$A$13:$D$17,IF('Skovbrug-alder'!C243&lt;=År2,3,4),FALSE)-IF(C243&gt;2020,SUM(INDEX($C$1:$D$311,MATCH(1,(2020=$C$1:$C$311)*(B243=$B$1:$B$311)*(A243=$A$1:$A$311),0),2):D242),0))</f>
        <v>0</v>
      </c>
      <c r="E243" s="168">
        <f t="shared" ca="1" si="5"/>
        <v>0</v>
      </c>
      <c r="F243" s="168">
        <f ca="1">IF(C243&lt;=År2,IF(B243="Vestdanmark",(Arealanvendelse!$M$27-Arealanvendelse!$J$27),(Arealanvendelse!$M$37-Arealanvendelse!$J$37))/(Arealanvendelse!$M$3-Arealanvendelse!$J$3),IF(B243="Vestdanmark",(Arealanvendelse!$P$27-Arealanvendelse!$M$27),(Arealanvendelse!$P$37-Arealanvendelse!$M$37))/(Arealanvendelse!$P$3-Arealanvendelse!$M$3))*VLOOKUP(A243,Skovbrug!$A$13:$D$17,IF('Skovbrug-alder'!C243&lt;=År2,3,4),FALSE)+D243+E243</f>
        <v>0</v>
      </c>
      <c r="G243" s="168">
        <f ca="1">IF($C243-G$1&lt;År1,0,F242*(1-VLOOKUP($A243,[1]Hugst!$R$5:$W$9,MATCH(ROUNDUP((G$1)/10,0)*10,[1]Hugst!$R$4:$W$4,0))))</f>
        <v>0</v>
      </c>
      <c r="H243" s="168">
        <f ca="1">IF($C243-H$1&lt;År1,0,G242*(1-VLOOKUP($A243,[1]Hugst!$R$5:$W$9,MATCH(ROUNDUP((H$1)/10,0)*10,[1]Hugst!$R$4:$W$4,0))))</f>
        <v>0</v>
      </c>
      <c r="I243" s="168">
        <f ca="1">IF($C243-I$1&lt;År1,0,H242*(1-VLOOKUP($A243,[1]Hugst!$R$5:$W$9,MATCH(ROUNDUP((I$1)/10,0)*10,[1]Hugst!$R$4:$W$4,0))))</f>
        <v>0</v>
      </c>
      <c r="J243" s="168">
        <f ca="1">IF($C243-J$1&lt;År1,0,I242*(1-VLOOKUP($A243,[1]Hugst!$R$5:$W$9,MATCH(ROUNDUP((J$1)/10,0)*10,[1]Hugst!$R$4:$W$4,0))))</f>
        <v>0</v>
      </c>
      <c r="K243" s="168">
        <f ca="1">IF($C243-K$1&lt;År1,0,J242*(1-VLOOKUP($A243,[1]Hugst!$R$5:$W$9,MATCH(ROUNDUP((K$1)/10,0)*10,[1]Hugst!$R$4:$W$4,0))))</f>
        <v>0</v>
      </c>
      <c r="L243" s="168">
        <f ca="1">IF($C243-L$1&lt;År1,0,K242*(1-VLOOKUP($A243,[1]Hugst!$R$5:$W$9,MATCH(ROUNDUP((L$1)/10,0)*10,[1]Hugst!$R$4:$W$4,0))))</f>
        <v>0</v>
      </c>
      <c r="M243" s="168">
        <f ca="1">IF($C243-M$1&lt;År1,0,L242*(1-VLOOKUP($A243,[1]Hugst!$R$5:$W$9,MATCH(ROUNDUP((M$1)/10,0)*10,[1]Hugst!$R$4:$W$4,0))))</f>
        <v>0</v>
      </c>
      <c r="N243" s="168">
        <f ca="1">IF($C243-N$1&lt;År1,0,M242*(1-VLOOKUP($A243,[1]Hugst!$R$5:$W$9,MATCH(ROUNDUP((N$1)/10,0)*10,[1]Hugst!$R$4:$W$4,0))))</f>
        <v>0</v>
      </c>
      <c r="O243" s="168">
        <f ca="1">IF($C243-O$1&lt;År1,0,N242*(1-VLOOKUP($A243,[1]Hugst!$R$5:$W$9,MATCH(ROUNDUP((O$1)/10,0)*10,[1]Hugst!$R$4:$W$4,0))))</f>
        <v>0</v>
      </c>
      <c r="P243" s="168">
        <f ca="1">IF($C243-P$1&lt;År1,0,O242*(1-VLOOKUP($A243,[1]Hugst!$R$5:$W$9,MATCH(ROUNDUP((P$1)/10,0)*10,[1]Hugst!$R$4:$W$4,0))))</f>
        <v>0</v>
      </c>
      <c r="Q243" s="168">
        <f ca="1">IF($C243-Q$1&lt;År1,0,P242*(1-VLOOKUP($A243,[1]Hugst!$R$5:$W$9,MATCH(ROUNDUP((Q$1)/10,0)*10,[1]Hugst!$R$4:$W$4,0))))</f>
        <v>0</v>
      </c>
      <c r="R243" s="168">
        <f ca="1">IF($C243-R$1&lt;År1,0,Q242*(1-VLOOKUP($A243,[1]Hugst!$R$5:$W$9,MATCH(ROUNDUP((R$1)/10,0)*10,[1]Hugst!$R$4:$W$4,0))))</f>
        <v>0</v>
      </c>
      <c r="S243" s="168">
        <f ca="1">IF($C243-S$1&lt;År1,0,R242*(1-VLOOKUP($A243,[1]Hugst!$R$5:$W$9,MATCH(ROUNDUP((S$1)/10,0)*10,[1]Hugst!$R$4:$W$4,0))))</f>
        <v>0</v>
      </c>
      <c r="T243" s="168">
        <f ca="1">IF($C243-T$1&lt;År1,0,S242*(1-VLOOKUP($A243,[1]Hugst!$R$5:$W$9,MATCH(ROUNDUP((T$1)/10,0)*10,[1]Hugst!$R$4:$W$4,0))))</f>
        <v>0</v>
      </c>
      <c r="U243" s="168">
        <f ca="1">IF($C243-U$1&lt;År1,0,T242*(1-VLOOKUP($A243,[1]Hugst!$R$5:$W$9,MATCH(ROUNDUP((U$1)/10,0)*10,[1]Hugst!$R$4:$W$4,0))))</f>
        <v>0</v>
      </c>
      <c r="V243" s="168">
        <f ca="1">IF($C243-V$1&lt;År1,0,U242*(1-VLOOKUP($A243,[1]Hugst!$R$5:$W$9,MATCH(ROUNDUP((V$1)/10,0)*10,[1]Hugst!$R$4:$W$4,0))))</f>
        <v>0</v>
      </c>
      <c r="W243" s="168">
        <f ca="1">IF($C243-W$1&lt;År1,0,V242*(1-VLOOKUP($A243,[1]Hugst!$R$5:$W$9,MATCH(ROUNDUP((W$1)/10,0)*10,[1]Hugst!$R$4:$W$4,0))))</f>
        <v>0</v>
      </c>
      <c r="X243" s="168">
        <f ca="1">IF($C243-X$1&lt;År1,0,W242*(1-VLOOKUP($A243,[1]Hugst!$R$5:$W$9,MATCH(ROUNDUP((X$1)/10,0)*10,[1]Hugst!$R$4:$W$4,0))))</f>
        <v>0</v>
      </c>
      <c r="Y243" s="168">
        <f ca="1">IF($C243-Y$1&lt;År1,0,X242*(1-VLOOKUP($A243,[1]Hugst!$R$5:$W$9,MATCH(ROUNDUP((Y$1)/10,0)*10,[1]Hugst!$R$4:$W$4,0))))</f>
        <v>0</v>
      </c>
      <c r="Z243" s="168">
        <f ca="1">IF($C243-Z$1&lt;År1,0,Y242*(1-VLOOKUP($A243,[1]Hugst!$R$5:$W$9,MATCH(ROUNDUP((Z$1)/10,0)*10,[1]Hugst!$R$4:$W$4,0))))</f>
        <v>0</v>
      </c>
      <c r="AA243" s="168">
        <f ca="1">IF($C243-AA$1&lt;År1,0,Z242*(1-VLOOKUP($A243,[1]Hugst!$R$5:$W$9,MATCH(ROUNDUP((AA$1)/10,0)*10,[1]Hugst!$R$4:$W$4,0))))</f>
        <v>0</v>
      </c>
      <c r="AB243" s="168">
        <f ca="1">IF($C243-AB$1&lt;År1,0,AA242*(1-VLOOKUP($A243,[1]Hugst!$R$5:$W$9,MATCH(ROUNDUP((AB$1)/10,0)*10,[1]Hugst!$R$4:$W$4,0))))</f>
        <v>0</v>
      </c>
      <c r="AC243" s="168">
        <f ca="1">IF($C243-AC$1&lt;År1,0,AB242*(1-VLOOKUP($A243,[1]Hugst!$R$5:$W$9,MATCH(ROUNDUP((AC$1)/10,0)*10,[1]Hugst!$R$4:$W$4,0))))</f>
        <v>0</v>
      </c>
      <c r="AD243" s="168">
        <f ca="1">IF($C243-AD$1&lt;År1,0,AC242*(1-VLOOKUP($A243,[1]Hugst!$R$5:$W$9,MATCH(ROUNDUP((AD$1)/10,0)*10,[1]Hugst!$R$4:$W$4,0))))</f>
        <v>0</v>
      </c>
      <c r="AE243" s="168">
        <f>IF($C243-AE$1&lt;År1,0,AD242*(1-VLOOKUP($A243,[1]Hugst!$R$5:$W$9,MATCH(ROUNDUP((AE$1)/10,0)*10,[1]Hugst!$R$4:$W$4,0))))</f>
        <v>0</v>
      </c>
      <c r="AF243" s="168">
        <f>IF($C243-AF$1&lt;År1,0,AE242*(1-VLOOKUP($A243,[1]Hugst!$R$5:$W$9,MATCH(ROUNDUP((AF$1)/10,0)*10,[1]Hugst!$R$4:$W$4,0))))</f>
        <v>0</v>
      </c>
      <c r="AG243" s="168">
        <f>IF($C243-AG$1&lt;År1,0,AF242*(1-VLOOKUP($A243,[1]Hugst!$R$5:$W$9,MATCH(ROUNDUP((AG$1)/10,0)*10,[1]Hugst!$R$4:$W$4,0))))</f>
        <v>0</v>
      </c>
      <c r="AH243" s="168">
        <f>IF($C243-AH$1&lt;År1,0,AG242*(1-VLOOKUP($A243,[1]Hugst!$R$5:$W$9,MATCH(ROUNDUP((AH$1)/10,0)*10,[1]Hugst!$R$4:$W$4,0))))</f>
        <v>0</v>
      </c>
      <c r="AI243" s="168">
        <f>IF($C243-AI$1&lt;År1,0,AH242*(1-VLOOKUP($A243,[1]Hugst!$R$5:$W$9,MATCH(ROUNDUP((AI$1)/10,0)*10,[1]Hugst!$R$4:$W$4,0))))</f>
        <v>0</v>
      </c>
      <c r="AJ243" s="168">
        <f>IF($C243-AJ$1&lt;År1,0,AI242*(1-VLOOKUP($A243,[1]Hugst!$R$5:$W$9,MATCH(ROUNDUP((AJ$1)/10,0)*10,[1]Hugst!$R$4:$W$4,0))))</f>
        <v>0</v>
      </c>
    </row>
    <row r="244" spans="1:36" x14ac:dyDescent="0.25">
      <c r="A244" s="168" t="s">
        <v>179</v>
      </c>
      <c r="B244" s="168" t="s">
        <v>24</v>
      </c>
      <c r="C244" s="168">
        <v>2045</v>
      </c>
      <c r="D244" s="168" cm="1">
        <f t="array" ref="D244">(IF(B244="Vestdanmark",Skovbrug!$C$22-(Skovbrug!$C$22)*(1-Skovbrug!$C$9)^(C244-Skovbrug!$B$12),Skovbrug!$F$22-(Skovbrug!$F$22)*(1-Skovbrug!$C$9)^(C244-Skovbrug!$B$12))*VLOOKUP(A244,Skovbrug!$A$13:$D$17,IF('Skovbrug-alder'!C244&lt;=År2,3,4),FALSE)-IF(C244&gt;2020,SUM(INDEX($C$1:$D$311,MATCH(1,(2020=$C$1:$C$311)*(B244=$B$1:$B$311)*(A244=$A$1:$A$311),0),2):D243),0))</f>
        <v>0</v>
      </c>
      <c r="E244" s="168">
        <f t="shared" ca="1" si="5"/>
        <v>0</v>
      </c>
      <c r="F244" s="168">
        <f ca="1">IF(C244&lt;=År2,IF(B244="Vestdanmark",(Arealanvendelse!$M$27-Arealanvendelse!$J$27),(Arealanvendelse!$M$37-Arealanvendelse!$J$37))/(Arealanvendelse!$M$3-Arealanvendelse!$J$3),IF(B244="Vestdanmark",(Arealanvendelse!$P$27-Arealanvendelse!$M$27),(Arealanvendelse!$P$37-Arealanvendelse!$M$37))/(Arealanvendelse!$P$3-Arealanvendelse!$M$3))*VLOOKUP(A244,Skovbrug!$A$13:$D$17,IF('Skovbrug-alder'!C244&lt;=År2,3,4),FALSE)+D244+E244</f>
        <v>0</v>
      </c>
      <c r="G244" s="168">
        <f ca="1">IF($C244-G$1&lt;År1,0,F243*(1-VLOOKUP($A244,[1]Hugst!$R$5:$W$9,MATCH(ROUNDUP((G$1)/10,0)*10,[1]Hugst!$R$4:$W$4,0))))</f>
        <v>0</v>
      </c>
      <c r="H244" s="168">
        <f ca="1">IF($C244-H$1&lt;År1,0,G243*(1-VLOOKUP($A244,[1]Hugst!$R$5:$W$9,MATCH(ROUNDUP((H$1)/10,0)*10,[1]Hugst!$R$4:$W$4,0))))</f>
        <v>0</v>
      </c>
      <c r="I244" s="168">
        <f ca="1">IF($C244-I$1&lt;År1,0,H243*(1-VLOOKUP($A244,[1]Hugst!$R$5:$W$9,MATCH(ROUNDUP((I$1)/10,0)*10,[1]Hugst!$R$4:$W$4,0))))</f>
        <v>0</v>
      </c>
      <c r="J244" s="168">
        <f ca="1">IF($C244-J$1&lt;År1,0,I243*(1-VLOOKUP($A244,[1]Hugst!$R$5:$W$9,MATCH(ROUNDUP((J$1)/10,0)*10,[1]Hugst!$R$4:$W$4,0))))</f>
        <v>0</v>
      </c>
      <c r="K244" s="168">
        <f ca="1">IF($C244-K$1&lt;År1,0,J243*(1-VLOOKUP($A244,[1]Hugst!$R$5:$W$9,MATCH(ROUNDUP((K$1)/10,0)*10,[1]Hugst!$R$4:$W$4,0))))</f>
        <v>0</v>
      </c>
      <c r="L244" s="168">
        <f ca="1">IF($C244-L$1&lt;År1,0,K243*(1-VLOOKUP($A244,[1]Hugst!$R$5:$W$9,MATCH(ROUNDUP((L$1)/10,0)*10,[1]Hugst!$R$4:$W$4,0))))</f>
        <v>0</v>
      </c>
      <c r="M244" s="168">
        <f ca="1">IF($C244-M$1&lt;År1,0,L243*(1-VLOOKUP($A244,[1]Hugst!$R$5:$W$9,MATCH(ROUNDUP((M$1)/10,0)*10,[1]Hugst!$R$4:$W$4,0))))</f>
        <v>0</v>
      </c>
      <c r="N244" s="168">
        <f ca="1">IF($C244-N$1&lt;År1,0,M243*(1-VLOOKUP($A244,[1]Hugst!$R$5:$W$9,MATCH(ROUNDUP((N$1)/10,0)*10,[1]Hugst!$R$4:$W$4,0))))</f>
        <v>0</v>
      </c>
      <c r="O244" s="168">
        <f ca="1">IF($C244-O$1&lt;År1,0,N243*(1-VLOOKUP($A244,[1]Hugst!$R$5:$W$9,MATCH(ROUNDUP((O$1)/10,0)*10,[1]Hugst!$R$4:$W$4,0))))</f>
        <v>0</v>
      </c>
      <c r="P244" s="168">
        <f ca="1">IF($C244-P$1&lt;År1,0,O243*(1-VLOOKUP($A244,[1]Hugst!$R$5:$W$9,MATCH(ROUNDUP((P$1)/10,0)*10,[1]Hugst!$R$4:$W$4,0))))</f>
        <v>0</v>
      </c>
      <c r="Q244" s="168">
        <f ca="1">IF($C244-Q$1&lt;År1,0,P243*(1-VLOOKUP($A244,[1]Hugst!$R$5:$W$9,MATCH(ROUNDUP((Q$1)/10,0)*10,[1]Hugst!$R$4:$W$4,0))))</f>
        <v>0</v>
      </c>
      <c r="R244" s="168">
        <f ca="1">IF($C244-R$1&lt;År1,0,Q243*(1-VLOOKUP($A244,[1]Hugst!$R$5:$W$9,MATCH(ROUNDUP((R$1)/10,0)*10,[1]Hugst!$R$4:$W$4,0))))</f>
        <v>0</v>
      </c>
      <c r="S244" s="168">
        <f ca="1">IF($C244-S$1&lt;År1,0,R243*(1-VLOOKUP($A244,[1]Hugst!$R$5:$W$9,MATCH(ROUNDUP((S$1)/10,0)*10,[1]Hugst!$R$4:$W$4,0))))</f>
        <v>0</v>
      </c>
      <c r="T244" s="168">
        <f ca="1">IF($C244-T$1&lt;År1,0,S243*(1-VLOOKUP($A244,[1]Hugst!$R$5:$W$9,MATCH(ROUNDUP((T$1)/10,0)*10,[1]Hugst!$R$4:$W$4,0))))</f>
        <v>0</v>
      </c>
      <c r="U244" s="168">
        <f ca="1">IF($C244-U$1&lt;År1,0,T243*(1-VLOOKUP($A244,[1]Hugst!$R$5:$W$9,MATCH(ROUNDUP((U$1)/10,0)*10,[1]Hugst!$R$4:$W$4,0))))</f>
        <v>0</v>
      </c>
      <c r="V244" s="168">
        <f ca="1">IF($C244-V$1&lt;År1,0,U243*(1-VLOOKUP($A244,[1]Hugst!$R$5:$W$9,MATCH(ROUNDUP((V$1)/10,0)*10,[1]Hugst!$R$4:$W$4,0))))</f>
        <v>0</v>
      </c>
      <c r="W244" s="168">
        <f ca="1">IF($C244-W$1&lt;År1,0,V243*(1-VLOOKUP($A244,[1]Hugst!$R$5:$W$9,MATCH(ROUNDUP((W$1)/10,0)*10,[1]Hugst!$R$4:$W$4,0))))</f>
        <v>0</v>
      </c>
      <c r="X244" s="168">
        <f ca="1">IF($C244-X$1&lt;År1,0,W243*(1-VLOOKUP($A244,[1]Hugst!$R$5:$W$9,MATCH(ROUNDUP((X$1)/10,0)*10,[1]Hugst!$R$4:$W$4,0))))</f>
        <v>0</v>
      </c>
      <c r="Y244" s="168">
        <f ca="1">IF($C244-Y$1&lt;År1,0,X243*(1-VLOOKUP($A244,[1]Hugst!$R$5:$W$9,MATCH(ROUNDUP((Y$1)/10,0)*10,[1]Hugst!$R$4:$W$4,0))))</f>
        <v>0</v>
      </c>
      <c r="Z244" s="168">
        <f ca="1">IF($C244-Z$1&lt;År1,0,Y243*(1-VLOOKUP($A244,[1]Hugst!$R$5:$W$9,MATCH(ROUNDUP((Z$1)/10,0)*10,[1]Hugst!$R$4:$W$4,0))))</f>
        <v>0</v>
      </c>
      <c r="AA244" s="168">
        <f ca="1">IF($C244-AA$1&lt;År1,0,Z243*(1-VLOOKUP($A244,[1]Hugst!$R$5:$W$9,MATCH(ROUNDUP((AA$1)/10,0)*10,[1]Hugst!$R$4:$W$4,0))))</f>
        <v>0</v>
      </c>
      <c r="AB244" s="168">
        <f ca="1">IF($C244-AB$1&lt;År1,0,AA243*(1-VLOOKUP($A244,[1]Hugst!$R$5:$W$9,MATCH(ROUNDUP((AB$1)/10,0)*10,[1]Hugst!$R$4:$W$4,0))))</f>
        <v>0</v>
      </c>
      <c r="AC244" s="168">
        <f ca="1">IF($C244-AC$1&lt;År1,0,AB243*(1-VLOOKUP($A244,[1]Hugst!$R$5:$W$9,MATCH(ROUNDUP((AC$1)/10,0)*10,[1]Hugst!$R$4:$W$4,0))))</f>
        <v>0</v>
      </c>
      <c r="AD244" s="168">
        <f ca="1">IF($C244-AD$1&lt;År1,0,AC243*(1-VLOOKUP($A244,[1]Hugst!$R$5:$W$9,MATCH(ROUNDUP((AD$1)/10,0)*10,[1]Hugst!$R$4:$W$4,0))))</f>
        <v>0</v>
      </c>
      <c r="AE244" s="168">
        <f ca="1">IF($C244-AE$1&lt;År1,0,AD243*(1-VLOOKUP($A244,[1]Hugst!$R$5:$W$9,MATCH(ROUNDUP((AE$1)/10,0)*10,[1]Hugst!$R$4:$W$4,0))))</f>
        <v>0</v>
      </c>
      <c r="AF244" s="168">
        <f>IF($C244-AF$1&lt;År1,0,AE243*(1-VLOOKUP($A244,[1]Hugst!$R$5:$W$9,MATCH(ROUNDUP((AF$1)/10,0)*10,[1]Hugst!$R$4:$W$4,0))))</f>
        <v>0</v>
      </c>
      <c r="AG244" s="168">
        <f>IF($C244-AG$1&lt;År1,0,AF243*(1-VLOOKUP($A244,[1]Hugst!$R$5:$W$9,MATCH(ROUNDUP((AG$1)/10,0)*10,[1]Hugst!$R$4:$W$4,0))))</f>
        <v>0</v>
      </c>
      <c r="AH244" s="168">
        <f>IF($C244-AH$1&lt;År1,0,AG243*(1-VLOOKUP($A244,[1]Hugst!$R$5:$W$9,MATCH(ROUNDUP((AH$1)/10,0)*10,[1]Hugst!$R$4:$W$4,0))))</f>
        <v>0</v>
      </c>
      <c r="AI244" s="168">
        <f>IF($C244-AI$1&lt;År1,0,AH243*(1-VLOOKUP($A244,[1]Hugst!$R$5:$W$9,MATCH(ROUNDUP((AI$1)/10,0)*10,[1]Hugst!$R$4:$W$4,0))))</f>
        <v>0</v>
      </c>
      <c r="AJ244" s="168">
        <f>IF($C244-AJ$1&lt;År1,0,AI243*(1-VLOOKUP($A244,[1]Hugst!$R$5:$W$9,MATCH(ROUNDUP((AJ$1)/10,0)*10,[1]Hugst!$R$4:$W$4,0))))</f>
        <v>0</v>
      </c>
    </row>
    <row r="245" spans="1:36" x14ac:dyDescent="0.25">
      <c r="A245" s="168" t="s">
        <v>179</v>
      </c>
      <c r="B245" s="168" t="s">
        <v>24</v>
      </c>
      <c r="C245" s="168">
        <v>2046</v>
      </c>
      <c r="D245" s="168" cm="1">
        <f t="array" ref="D245">(IF(B245="Vestdanmark",Skovbrug!$C$22-(Skovbrug!$C$22)*(1-Skovbrug!$C$9)^(C245-Skovbrug!$B$12),Skovbrug!$F$22-(Skovbrug!$F$22)*(1-Skovbrug!$C$9)^(C245-Skovbrug!$B$12))*VLOOKUP(A245,Skovbrug!$A$13:$D$17,IF('Skovbrug-alder'!C245&lt;=År2,3,4),FALSE)-IF(C245&gt;2020,SUM(INDEX($C$1:$D$311,MATCH(1,(2020=$C$1:$C$311)*(B245=$B$1:$B$311)*(A245=$A$1:$A$311),0),2):D244),0))</f>
        <v>0</v>
      </c>
      <c r="E245" s="168">
        <f t="shared" ca="1" si="5"/>
        <v>0</v>
      </c>
      <c r="F245" s="168">
        <f ca="1">IF(C245&lt;=År2,IF(B245="Vestdanmark",(Arealanvendelse!$M$27-Arealanvendelse!$J$27),(Arealanvendelse!$M$37-Arealanvendelse!$J$37))/(Arealanvendelse!$M$3-Arealanvendelse!$J$3),IF(B245="Vestdanmark",(Arealanvendelse!$P$27-Arealanvendelse!$M$27),(Arealanvendelse!$P$37-Arealanvendelse!$M$37))/(Arealanvendelse!$P$3-Arealanvendelse!$M$3))*VLOOKUP(A245,Skovbrug!$A$13:$D$17,IF('Skovbrug-alder'!C245&lt;=År2,3,4),FALSE)+D245+E245</f>
        <v>0</v>
      </c>
      <c r="G245" s="168">
        <f ca="1">IF($C245-G$1&lt;År1,0,F244*(1-VLOOKUP($A245,[1]Hugst!$R$5:$W$9,MATCH(ROUNDUP((G$1)/10,0)*10,[1]Hugst!$R$4:$W$4,0))))</f>
        <v>0</v>
      </c>
      <c r="H245" s="168">
        <f ca="1">IF($C245-H$1&lt;År1,0,G244*(1-VLOOKUP($A245,[1]Hugst!$R$5:$W$9,MATCH(ROUNDUP((H$1)/10,0)*10,[1]Hugst!$R$4:$W$4,0))))</f>
        <v>0</v>
      </c>
      <c r="I245" s="168">
        <f ca="1">IF($C245-I$1&lt;År1,0,H244*(1-VLOOKUP($A245,[1]Hugst!$R$5:$W$9,MATCH(ROUNDUP((I$1)/10,0)*10,[1]Hugst!$R$4:$W$4,0))))</f>
        <v>0</v>
      </c>
      <c r="J245" s="168">
        <f ca="1">IF($C245-J$1&lt;År1,0,I244*(1-VLOOKUP($A245,[1]Hugst!$R$5:$W$9,MATCH(ROUNDUP((J$1)/10,0)*10,[1]Hugst!$R$4:$W$4,0))))</f>
        <v>0</v>
      </c>
      <c r="K245" s="168">
        <f ca="1">IF($C245-K$1&lt;År1,0,J244*(1-VLOOKUP($A245,[1]Hugst!$R$5:$W$9,MATCH(ROUNDUP((K$1)/10,0)*10,[1]Hugst!$R$4:$W$4,0))))</f>
        <v>0</v>
      </c>
      <c r="L245" s="168">
        <f ca="1">IF($C245-L$1&lt;År1,0,K244*(1-VLOOKUP($A245,[1]Hugst!$R$5:$W$9,MATCH(ROUNDUP((L$1)/10,0)*10,[1]Hugst!$R$4:$W$4,0))))</f>
        <v>0</v>
      </c>
      <c r="M245" s="168">
        <f ca="1">IF($C245-M$1&lt;År1,0,L244*(1-VLOOKUP($A245,[1]Hugst!$R$5:$W$9,MATCH(ROUNDUP((M$1)/10,0)*10,[1]Hugst!$R$4:$W$4,0))))</f>
        <v>0</v>
      </c>
      <c r="N245" s="168">
        <f ca="1">IF($C245-N$1&lt;År1,0,M244*(1-VLOOKUP($A245,[1]Hugst!$R$5:$W$9,MATCH(ROUNDUP((N$1)/10,0)*10,[1]Hugst!$R$4:$W$4,0))))</f>
        <v>0</v>
      </c>
      <c r="O245" s="168">
        <f ca="1">IF($C245-O$1&lt;År1,0,N244*(1-VLOOKUP($A245,[1]Hugst!$R$5:$W$9,MATCH(ROUNDUP((O$1)/10,0)*10,[1]Hugst!$R$4:$W$4,0))))</f>
        <v>0</v>
      </c>
      <c r="P245" s="168">
        <f ca="1">IF($C245-P$1&lt;År1,0,O244*(1-VLOOKUP($A245,[1]Hugst!$R$5:$W$9,MATCH(ROUNDUP((P$1)/10,0)*10,[1]Hugst!$R$4:$W$4,0))))</f>
        <v>0</v>
      </c>
      <c r="Q245" s="168">
        <f ca="1">IF($C245-Q$1&lt;År1,0,P244*(1-VLOOKUP($A245,[1]Hugst!$R$5:$W$9,MATCH(ROUNDUP((Q$1)/10,0)*10,[1]Hugst!$R$4:$W$4,0))))</f>
        <v>0</v>
      </c>
      <c r="R245" s="168">
        <f ca="1">IF($C245-R$1&lt;År1,0,Q244*(1-VLOOKUP($A245,[1]Hugst!$R$5:$W$9,MATCH(ROUNDUP((R$1)/10,0)*10,[1]Hugst!$R$4:$W$4,0))))</f>
        <v>0</v>
      </c>
      <c r="S245" s="168">
        <f ca="1">IF($C245-S$1&lt;År1,0,R244*(1-VLOOKUP($A245,[1]Hugst!$R$5:$W$9,MATCH(ROUNDUP((S$1)/10,0)*10,[1]Hugst!$R$4:$W$4,0))))</f>
        <v>0</v>
      </c>
      <c r="T245" s="168">
        <f ca="1">IF($C245-T$1&lt;År1,0,S244*(1-VLOOKUP($A245,[1]Hugst!$R$5:$W$9,MATCH(ROUNDUP((T$1)/10,0)*10,[1]Hugst!$R$4:$W$4,0))))</f>
        <v>0</v>
      </c>
      <c r="U245" s="168">
        <f ca="1">IF($C245-U$1&lt;År1,0,T244*(1-VLOOKUP($A245,[1]Hugst!$R$5:$W$9,MATCH(ROUNDUP((U$1)/10,0)*10,[1]Hugst!$R$4:$W$4,0))))</f>
        <v>0</v>
      </c>
      <c r="V245" s="168">
        <f ca="1">IF($C245-V$1&lt;År1,0,U244*(1-VLOOKUP($A245,[1]Hugst!$R$5:$W$9,MATCH(ROUNDUP((V$1)/10,0)*10,[1]Hugst!$R$4:$W$4,0))))</f>
        <v>0</v>
      </c>
      <c r="W245" s="168">
        <f ca="1">IF($C245-W$1&lt;År1,0,V244*(1-VLOOKUP($A245,[1]Hugst!$R$5:$W$9,MATCH(ROUNDUP((W$1)/10,0)*10,[1]Hugst!$R$4:$W$4,0))))</f>
        <v>0</v>
      </c>
      <c r="X245" s="168">
        <f ca="1">IF($C245-X$1&lt;År1,0,W244*(1-VLOOKUP($A245,[1]Hugst!$R$5:$W$9,MATCH(ROUNDUP((X$1)/10,0)*10,[1]Hugst!$R$4:$W$4,0))))</f>
        <v>0</v>
      </c>
      <c r="Y245" s="168">
        <f ca="1">IF($C245-Y$1&lt;År1,0,X244*(1-VLOOKUP($A245,[1]Hugst!$R$5:$W$9,MATCH(ROUNDUP((Y$1)/10,0)*10,[1]Hugst!$R$4:$W$4,0))))</f>
        <v>0</v>
      </c>
      <c r="Z245" s="168">
        <f ca="1">IF($C245-Z$1&lt;År1,0,Y244*(1-VLOOKUP($A245,[1]Hugst!$R$5:$W$9,MATCH(ROUNDUP((Z$1)/10,0)*10,[1]Hugst!$R$4:$W$4,0))))</f>
        <v>0</v>
      </c>
      <c r="AA245" s="168">
        <f ca="1">IF($C245-AA$1&lt;År1,0,Z244*(1-VLOOKUP($A245,[1]Hugst!$R$5:$W$9,MATCH(ROUNDUP((AA$1)/10,0)*10,[1]Hugst!$R$4:$W$4,0))))</f>
        <v>0</v>
      </c>
      <c r="AB245" s="168">
        <f ca="1">IF($C245-AB$1&lt;År1,0,AA244*(1-VLOOKUP($A245,[1]Hugst!$R$5:$W$9,MATCH(ROUNDUP((AB$1)/10,0)*10,[1]Hugst!$R$4:$W$4,0))))</f>
        <v>0</v>
      </c>
      <c r="AC245" s="168">
        <f ca="1">IF($C245-AC$1&lt;År1,0,AB244*(1-VLOOKUP($A245,[1]Hugst!$R$5:$W$9,MATCH(ROUNDUP((AC$1)/10,0)*10,[1]Hugst!$R$4:$W$4,0))))</f>
        <v>0</v>
      </c>
      <c r="AD245" s="168">
        <f ca="1">IF($C245-AD$1&lt;År1,0,AC244*(1-VLOOKUP($A245,[1]Hugst!$R$5:$W$9,MATCH(ROUNDUP((AD$1)/10,0)*10,[1]Hugst!$R$4:$W$4,0))))</f>
        <v>0</v>
      </c>
      <c r="AE245" s="168">
        <f ca="1">IF($C245-AE$1&lt;År1,0,AD244*(1-VLOOKUP($A245,[1]Hugst!$R$5:$W$9,MATCH(ROUNDUP((AE$1)/10,0)*10,[1]Hugst!$R$4:$W$4,0))))</f>
        <v>0</v>
      </c>
      <c r="AF245" s="168">
        <f ca="1">IF($C245-AF$1&lt;År1,0,AE244*(1-VLOOKUP($A245,[1]Hugst!$R$5:$W$9,MATCH(ROUNDUP((AF$1)/10,0)*10,[1]Hugst!$R$4:$W$4,0))))</f>
        <v>0</v>
      </c>
      <c r="AG245" s="168">
        <f>IF($C245-AG$1&lt;År1,0,AF244*(1-VLOOKUP($A245,[1]Hugst!$R$5:$W$9,MATCH(ROUNDUP((AG$1)/10,0)*10,[1]Hugst!$R$4:$W$4,0))))</f>
        <v>0</v>
      </c>
      <c r="AH245" s="168">
        <f>IF($C245-AH$1&lt;År1,0,AG244*(1-VLOOKUP($A245,[1]Hugst!$R$5:$W$9,MATCH(ROUNDUP((AH$1)/10,0)*10,[1]Hugst!$R$4:$W$4,0))))</f>
        <v>0</v>
      </c>
      <c r="AI245" s="168">
        <f>IF($C245-AI$1&lt;År1,0,AH244*(1-VLOOKUP($A245,[1]Hugst!$R$5:$W$9,MATCH(ROUNDUP((AI$1)/10,0)*10,[1]Hugst!$R$4:$W$4,0))))</f>
        <v>0</v>
      </c>
      <c r="AJ245" s="168">
        <f>IF($C245-AJ$1&lt;År1,0,AI244*(1-VLOOKUP($A245,[1]Hugst!$R$5:$W$9,MATCH(ROUNDUP((AJ$1)/10,0)*10,[1]Hugst!$R$4:$W$4,0))))</f>
        <v>0</v>
      </c>
    </row>
    <row r="246" spans="1:36" x14ac:dyDescent="0.25">
      <c r="A246" s="168" t="s">
        <v>179</v>
      </c>
      <c r="B246" s="168" t="s">
        <v>24</v>
      </c>
      <c r="C246" s="168">
        <v>2047</v>
      </c>
      <c r="D246" s="168" cm="1">
        <f t="array" ref="D246">(IF(B246="Vestdanmark",Skovbrug!$C$22-(Skovbrug!$C$22)*(1-Skovbrug!$C$9)^(C246-Skovbrug!$B$12),Skovbrug!$F$22-(Skovbrug!$F$22)*(1-Skovbrug!$C$9)^(C246-Skovbrug!$B$12))*VLOOKUP(A246,Skovbrug!$A$13:$D$17,IF('Skovbrug-alder'!C246&lt;=År2,3,4),FALSE)-IF(C246&gt;2020,SUM(INDEX($C$1:$D$311,MATCH(1,(2020=$C$1:$C$311)*(B246=$B$1:$B$311)*(A246=$A$1:$A$311),0),2):D245),0))</f>
        <v>0</v>
      </c>
      <c r="E246" s="168">
        <f t="shared" ca="1" si="5"/>
        <v>0</v>
      </c>
      <c r="F246" s="168">
        <f ca="1">IF(C246&lt;=År2,IF(B246="Vestdanmark",(Arealanvendelse!$M$27-Arealanvendelse!$J$27),(Arealanvendelse!$M$37-Arealanvendelse!$J$37))/(Arealanvendelse!$M$3-Arealanvendelse!$J$3),IF(B246="Vestdanmark",(Arealanvendelse!$P$27-Arealanvendelse!$M$27),(Arealanvendelse!$P$37-Arealanvendelse!$M$37))/(Arealanvendelse!$P$3-Arealanvendelse!$M$3))*VLOOKUP(A246,Skovbrug!$A$13:$D$17,IF('Skovbrug-alder'!C246&lt;=År2,3,4),FALSE)+D246+E246</f>
        <v>0</v>
      </c>
      <c r="G246" s="168">
        <f ca="1">IF($C246-G$1&lt;År1,0,F245*(1-VLOOKUP($A246,[1]Hugst!$R$5:$W$9,MATCH(ROUNDUP((G$1)/10,0)*10,[1]Hugst!$R$4:$W$4,0))))</f>
        <v>0</v>
      </c>
      <c r="H246" s="168">
        <f ca="1">IF($C246-H$1&lt;År1,0,G245*(1-VLOOKUP($A246,[1]Hugst!$R$5:$W$9,MATCH(ROUNDUP((H$1)/10,0)*10,[1]Hugst!$R$4:$W$4,0))))</f>
        <v>0</v>
      </c>
      <c r="I246" s="168">
        <f ca="1">IF($C246-I$1&lt;År1,0,H245*(1-VLOOKUP($A246,[1]Hugst!$R$5:$W$9,MATCH(ROUNDUP((I$1)/10,0)*10,[1]Hugst!$R$4:$W$4,0))))</f>
        <v>0</v>
      </c>
      <c r="J246" s="168">
        <f ca="1">IF($C246-J$1&lt;År1,0,I245*(1-VLOOKUP($A246,[1]Hugst!$R$5:$W$9,MATCH(ROUNDUP((J$1)/10,0)*10,[1]Hugst!$R$4:$W$4,0))))</f>
        <v>0</v>
      </c>
      <c r="K246" s="168">
        <f ca="1">IF($C246-K$1&lt;År1,0,J245*(1-VLOOKUP($A246,[1]Hugst!$R$5:$W$9,MATCH(ROUNDUP((K$1)/10,0)*10,[1]Hugst!$R$4:$W$4,0))))</f>
        <v>0</v>
      </c>
      <c r="L246" s="168">
        <f ca="1">IF($C246-L$1&lt;År1,0,K245*(1-VLOOKUP($A246,[1]Hugst!$R$5:$W$9,MATCH(ROUNDUP((L$1)/10,0)*10,[1]Hugst!$R$4:$W$4,0))))</f>
        <v>0</v>
      </c>
      <c r="M246" s="168">
        <f ca="1">IF($C246-M$1&lt;År1,0,L245*(1-VLOOKUP($A246,[1]Hugst!$R$5:$W$9,MATCH(ROUNDUP((M$1)/10,0)*10,[1]Hugst!$R$4:$W$4,0))))</f>
        <v>0</v>
      </c>
      <c r="N246" s="168">
        <f ca="1">IF($C246-N$1&lt;År1,0,M245*(1-VLOOKUP($A246,[1]Hugst!$R$5:$W$9,MATCH(ROUNDUP((N$1)/10,0)*10,[1]Hugst!$R$4:$W$4,0))))</f>
        <v>0</v>
      </c>
      <c r="O246" s="168">
        <f ca="1">IF($C246-O$1&lt;År1,0,N245*(1-VLOOKUP($A246,[1]Hugst!$R$5:$W$9,MATCH(ROUNDUP((O$1)/10,0)*10,[1]Hugst!$R$4:$W$4,0))))</f>
        <v>0</v>
      </c>
      <c r="P246" s="168">
        <f ca="1">IF($C246-P$1&lt;År1,0,O245*(1-VLOOKUP($A246,[1]Hugst!$R$5:$W$9,MATCH(ROUNDUP((P$1)/10,0)*10,[1]Hugst!$R$4:$W$4,0))))</f>
        <v>0</v>
      </c>
      <c r="Q246" s="168">
        <f ca="1">IF($C246-Q$1&lt;År1,0,P245*(1-VLOOKUP($A246,[1]Hugst!$R$5:$W$9,MATCH(ROUNDUP((Q$1)/10,0)*10,[1]Hugst!$R$4:$W$4,0))))</f>
        <v>0</v>
      </c>
      <c r="R246" s="168">
        <f ca="1">IF($C246-R$1&lt;År1,0,Q245*(1-VLOOKUP($A246,[1]Hugst!$R$5:$W$9,MATCH(ROUNDUP((R$1)/10,0)*10,[1]Hugst!$R$4:$W$4,0))))</f>
        <v>0</v>
      </c>
      <c r="S246" s="168">
        <f ca="1">IF($C246-S$1&lt;År1,0,R245*(1-VLOOKUP($A246,[1]Hugst!$R$5:$W$9,MATCH(ROUNDUP((S$1)/10,0)*10,[1]Hugst!$R$4:$W$4,0))))</f>
        <v>0</v>
      </c>
      <c r="T246" s="168">
        <f ca="1">IF($C246-T$1&lt;År1,0,S245*(1-VLOOKUP($A246,[1]Hugst!$R$5:$W$9,MATCH(ROUNDUP((T$1)/10,0)*10,[1]Hugst!$R$4:$W$4,0))))</f>
        <v>0</v>
      </c>
      <c r="U246" s="168">
        <f ca="1">IF($C246-U$1&lt;År1,0,T245*(1-VLOOKUP($A246,[1]Hugst!$R$5:$W$9,MATCH(ROUNDUP((U$1)/10,0)*10,[1]Hugst!$R$4:$W$4,0))))</f>
        <v>0</v>
      </c>
      <c r="V246" s="168">
        <f ca="1">IF($C246-V$1&lt;År1,0,U245*(1-VLOOKUP($A246,[1]Hugst!$R$5:$W$9,MATCH(ROUNDUP((V$1)/10,0)*10,[1]Hugst!$R$4:$W$4,0))))</f>
        <v>0</v>
      </c>
      <c r="W246" s="168">
        <f ca="1">IF($C246-W$1&lt;År1,0,V245*(1-VLOOKUP($A246,[1]Hugst!$R$5:$W$9,MATCH(ROUNDUP((W$1)/10,0)*10,[1]Hugst!$R$4:$W$4,0))))</f>
        <v>0</v>
      </c>
      <c r="X246" s="168">
        <f ca="1">IF($C246-X$1&lt;År1,0,W245*(1-VLOOKUP($A246,[1]Hugst!$R$5:$W$9,MATCH(ROUNDUP((X$1)/10,0)*10,[1]Hugst!$R$4:$W$4,0))))</f>
        <v>0</v>
      </c>
      <c r="Y246" s="168">
        <f ca="1">IF($C246-Y$1&lt;År1,0,X245*(1-VLOOKUP($A246,[1]Hugst!$R$5:$W$9,MATCH(ROUNDUP((Y$1)/10,0)*10,[1]Hugst!$R$4:$W$4,0))))</f>
        <v>0</v>
      </c>
      <c r="Z246" s="168">
        <f ca="1">IF($C246-Z$1&lt;År1,0,Y245*(1-VLOOKUP($A246,[1]Hugst!$R$5:$W$9,MATCH(ROUNDUP((Z$1)/10,0)*10,[1]Hugst!$R$4:$W$4,0))))</f>
        <v>0</v>
      </c>
      <c r="AA246" s="168">
        <f ca="1">IF($C246-AA$1&lt;År1,0,Z245*(1-VLOOKUP($A246,[1]Hugst!$R$5:$W$9,MATCH(ROUNDUP((AA$1)/10,0)*10,[1]Hugst!$R$4:$W$4,0))))</f>
        <v>0</v>
      </c>
      <c r="AB246" s="168">
        <f ca="1">IF($C246-AB$1&lt;År1,0,AA245*(1-VLOOKUP($A246,[1]Hugst!$R$5:$W$9,MATCH(ROUNDUP((AB$1)/10,0)*10,[1]Hugst!$R$4:$W$4,0))))</f>
        <v>0</v>
      </c>
      <c r="AC246" s="168">
        <f ca="1">IF($C246-AC$1&lt;År1,0,AB245*(1-VLOOKUP($A246,[1]Hugst!$R$5:$W$9,MATCH(ROUNDUP((AC$1)/10,0)*10,[1]Hugst!$R$4:$W$4,0))))</f>
        <v>0</v>
      </c>
      <c r="AD246" s="168">
        <f ca="1">IF($C246-AD$1&lt;År1,0,AC245*(1-VLOOKUP($A246,[1]Hugst!$R$5:$W$9,MATCH(ROUNDUP((AD$1)/10,0)*10,[1]Hugst!$R$4:$W$4,0))))</f>
        <v>0</v>
      </c>
      <c r="AE246" s="168">
        <f ca="1">IF($C246-AE$1&lt;År1,0,AD245*(1-VLOOKUP($A246,[1]Hugst!$R$5:$W$9,MATCH(ROUNDUP((AE$1)/10,0)*10,[1]Hugst!$R$4:$W$4,0))))</f>
        <v>0</v>
      </c>
      <c r="AF246" s="168">
        <f ca="1">IF($C246-AF$1&lt;År1,0,AE245*(1-VLOOKUP($A246,[1]Hugst!$R$5:$W$9,MATCH(ROUNDUP((AF$1)/10,0)*10,[1]Hugst!$R$4:$W$4,0))))</f>
        <v>0</v>
      </c>
      <c r="AG246" s="168">
        <f ca="1">IF($C246-AG$1&lt;År1,0,AF245*(1-VLOOKUP($A246,[1]Hugst!$R$5:$W$9,MATCH(ROUNDUP((AG$1)/10,0)*10,[1]Hugst!$R$4:$W$4,0))))</f>
        <v>0</v>
      </c>
      <c r="AH246" s="168">
        <f>IF($C246-AH$1&lt;År1,0,AG245*(1-VLOOKUP($A246,[1]Hugst!$R$5:$W$9,MATCH(ROUNDUP((AH$1)/10,0)*10,[1]Hugst!$R$4:$W$4,0))))</f>
        <v>0</v>
      </c>
      <c r="AI246" s="168">
        <f>IF($C246-AI$1&lt;År1,0,AH245*(1-VLOOKUP($A246,[1]Hugst!$R$5:$W$9,MATCH(ROUNDUP((AI$1)/10,0)*10,[1]Hugst!$R$4:$W$4,0))))</f>
        <v>0</v>
      </c>
      <c r="AJ246" s="168">
        <f>IF($C246-AJ$1&lt;År1,0,AI245*(1-VLOOKUP($A246,[1]Hugst!$R$5:$W$9,MATCH(ROUNDUP((AJ$1)/10,0)*10,[1]Hugst!$R$4:$W$4,0))))</f>
        <v>0</v>
      </c>
    </row>
    <row r="247" spans="1:36" x14ac:dyDescent="0.25">
      <c r="A247" s="168" t="s">
        <v>179</v>
      </c>
      <c r="B247" s="168" t="s">
        <v>24</v>
      </c>
      <c r="C247" s="168">
        <v>2048</v>
      </c>
      <c r="D247" s="168" cm="1">
        <f t="array" ref="D247">(IF(B247="Vestdanmark",Skovbrug!$C$22-(Skovbrug!$C$22)*(1-Skovbrug!$C$9)^(C247-Skovbrug!$B$12),Skovbrug!$F$22-(Skovbrug!$F$22)*(1-Skovbrug!$C$9)^(C247-Skovbrug!$B$12))*VLOOKUP(A247,Skovbrug!$A$13:$D$17,IF('Skovbrug-alder'!C247&lt;=År2,3,4),FALSE)-IF(C247&gt;2020,SUM(INDEX($C$1:$D$311,MATCH(1,(2020=$C$1:$C$311)*(B247=$B$1:$B$311)*(A247=$A$1:$A$311),0),2):D246),0))</f>
        <v>0</v>
      </c>
      <c r="E247" s="168">
        <f t="shared" ca="1" si="5"/>
        <v>0</v>
      </c>
      <c r="F247" s="168">
        <f ca="1">IF(C247&lt;=År2,IF(B247="Vestdanmark",(Arealanvendelse!$M$27-Arealanvendelse!$J$27),(Arealanvendelse!$M$37-Arealanvendelse!$J$37))/(Arealanvendelse!$M$3-Arealanvendelse!$J$3),IF(B247="Vestdanmark",(Arealanvendelse!$P$27-Arealanvendelse!$M$27),(Arealanvendelse!$P$37-Arealanvendelse!$M$37))/(Arealanvendelse!$P$3-Arealanvendelse!$M$3))*VLOOKUP(A247,Skovbrug!$A$13:$D$17,IF('Skovbrug-alder'!C247&lt;=År2,3,4),FALSE)+D247+E247</f>
        <v>0</v>
      </c>
      <c r="G247" s="168">
        <f ca="1">IF($C247-G$1&lt;År1,0,F246*(1-VLOOKUP($A247,[1]Hugst!$R$5:$W$9,MATCH(ROUNDUP((G$1)/10,0)*10,[1]Hugst!$R$4:$W$4,0))))</f>
        <v>0</v>
      </c>
      <c r="H247" s="168">
        <f ca="1">IF($C247-H$1&lt;År1,0,G246*(1-VLOOKUP($A247,[1]Hugst!$R$5:$W$9,MATCH(ROUNDUP((H$1)/10,0)*10,[1]Hugst!$R$4:$W$4,0))))</f>
        <v>0</v>
      </c>
      <c r="I247" s="168">
        <f ca="1">IF($C247-I$1&lt;År1,0,H246*(1-VLOOKUP($A247,[1]Hugst!$R$5:$W$9,MATCH(ROUNDUP((I$1)/10,0)*10,[1]Hugst!$R$4:$W$4,0))))</f>
        <v>0</v>
      </c>
      <c r="J247" s="168">
        <f ca="1">IF($C247-J$1&lt;År1,0,I246*(1-VLOOKUP($A247,[1]Hugst!$R$5:$W$9,MATCH(ROUNDUP((J$1)/10,0)*10,[1]Hugst!$R$4:$W$4,0))))</f>
        <v>0</v>
      </c>
      <c r="K247" s="168">
        <f ca="1">IF($C247-K$1&lt;År1,0,J246*(1-VLOOKUP($A247,[1]Hugst!$R$5:$W$9,MATCH(ROUNDUP((K$1)/10,0)*10,[1]Hugst!$R$4:$W$4,0))))</f>
        <v>0</v>
      </c>
      <c r="L247" s="168">
        <f ca="1">IF($C247-L$1&lt;År1,0,K246*(1-VLOOKUP($A247,[1]Hugst!$R$5:$W$9,MATCH(ROUNDUP((L$1)/10,0)*10,[1]Hugst!$R$4:$W$4,0))))</f>
        <v>0</v>
      </c>
      <c r="M247" s="168">
        <f ca="1">IF($C247-M$1&lt;År1,0,L246*(1-VLOOKUP($A247,[1]Hugst!$R$5:$W$9,MATCH(ROUNDUP((M$1)/10,0)*10,[1]Hugst!$R$4:$W$4,0))))</f>
        <v>0</v>
      </c>
      <c r="N247" s="168">
        <f ca="1">IF($C247-N$1&lt;År1,0,M246*(1-VLOOKUP($A247,[1]Hugst!$R$5:$W$9,MATCH(ROUNDUP((N$1)/10,0)*10,[1]Hugst!$R$4:$W$4,0))))</f>
        <v>0</v>
      </c>
      <c r="O247" s="168">
        <f ca="1">IF($C247-O$1&lt;År1,0,N246*(1-VLOOKUP($A247,[1]Hugst!$R$5:$W$9,MATCH(ROUNDUP((O$1)/10,0)*10,[1]Hugst!$R$4:$W$4,0))))</f>
        <v>0</v>
      </c>
      <c r="P247" s="168">
        <f ca="1">IF($C247-P$1&lt;År1,0,O246*(1-VLOOKUP($A247,[1]Hugst!$R$5:$W$9,MATCH(ROUNDUP((P$1)/10,0)*10,[1]Hugst!$R$4:$W$4,0))))</f>
        <v>0</v>
      </c>
      <c r="Q247" s="168">
        <f ca="1">IF($C247-Q$1&lt;År1,0,P246*(1-VLOOKUP($A247,[1]Hugst!$R$5:$W$9,MATCH(ROUNDUP((Q$1)/10,0)*10,[1]Hugst!$R$4:$W$4,0))))</f>
        <v>0</v>
      </c>
      <c r="R247" s="168">
        <f ca="1">IF($C247-R$1&lt;År1,0,Q246*(1-VLOOKUP($A247,[1]Hugst!$R$5:$W$9,MATCH(ROUNDUP((R$1)/10,0)*10,[1]Hugst!$R$4:$W$4,0))))</f>
        <v>0</v>
      </c>
      <c r="S247" s="168">
        <f ca="1">IF($C247-S$1&lt;År1,0,R246*(1-VLOOKUP($A247,[1]Hugst!$R$5:$W$9,MATCH(ROUNDUP((S$1)/10,0)*10,[1]Hugst!$R$4:$W$4,0))))</f>
        <v>0</v>
      </c>
      <c r="T247" s="168">
        <f ca="1">IF($C247-T$1&lt;År1,0,S246*(1-VLOOKUP($A247,[1]Hugst!$R$5:$W$9,MATCH(ROUNDUP((T$1)/10,0)*10,[1]Hugst!$R$4:$W$4,0))))</f>
        <v>0</v>
      </c>
      <c r="U247" s="168">
        <f ca="1">IF($C247-U$1&lt;År1,0,T246*(1-VLOOKUP($A247,[1]Hugst!$R$5:$W$9,MATCH(ROUNDUP((U$1)/10,0)*10,[1]Hugst!$R$4:$W$4,0))))</f>
        <v>0</v>
      </c>
      <c r="V247" s="168">
        <f ca="1">IF($C247-V$1&lt;År1,0,U246*(1-VLOOKUP($A247,[1]Hugst!$R$5:$W$9,MATCH(ROUNDUP((V$1)/10,0)*10,[1]Hugst!$R$4:$W$4,0))))</f>
        <v>0</v>
      </c>
      <c r="W247" s="168">
        <f ca="1">IF($C247-W$1&lt;År1,0,V246*(1-VLOOKUP($A247,[1]Hugst!$R$5:$W$9,MATCH(ROUNDUP((W$1)/10,0)*10,[1]Hugst!$R$4:$W$4,0))))</f>
        <v>0</v>
      </c>
      <c r="X247" s="168">
        <f ca="1">IF($C247-X$1&lt;År1,0,W246*(1-VLOOKUP($A247,[1]Hugst!$R$5:$W$9,MATCH(ROUNDUP((X$1)/10,0)*10,[1]Hugst!$R$4:$W$4,0))))</f>
        <v>0</v>
      </c>
      <c r="Y247" s="168">
        <f ca="1">IF($C247-Y$1&lt;År1,0,X246*(1-VLOOKUP($A247,[1]Hugst!$R$5:$W$9,MATCH(ROUNDUP((Y$1)/10,0)*10,[1]Hugst!$R$4:$W$4,0))))</f>
        <v>0</v>
      </c>
      <c r="Z247" s="168">
        <f ca="1">IF($C247-Z$1&lt;År1,0,Y246*(1-VLOOKUP($A247,[1]Hugst!$R$5:$W$9,MATCH(ROUNDUP((Z$1)/10,0)*10,[1]Hugst!$R$4:$W$4,0))))</f>
        <v>0</v>
      </c>
      <c r="AA247" s="168">
        <f ca="1">IF($C247-AA$1&lt;År1,0,Z246*(1-VLOOKUP($A247,[1]Hugst!$R$5:$W$9,MATCH(ROUNDUP((AA$1)/10,0)*10,[1]Hugst!$R$4:$W$4,0))))</f>
        <v>0</v>
      </c>
      <c r="AB247" s="168">
        <f ca="1">IF($C247-AB$1&lt;År1,0,AA246*(1-VLOOKUP($A247,[1]Hugst!$R$5:$W$9,MATCH(ROUNDUP((AB$1)/10,0)*10,[1]Hugst!$R$4:$W$4,0))))</f>
        <v>0</v>
      </c>
      <c r="AC247" s="168">
        <f ca="1">IF($C247-AC$1&lt;År1,0,AB246*(1-VLOOKUP($A247,[1]Hugst!$R$5:$W$9,MATCH(ROUNDUP((AC$1)/10,0)*10,[1]Hugst!$R$4:$W$4,0))))</f>
        <v>0</v>
      </c>
      <c r="AD247" s="168">
        <f ca="1">IF($C247-AD$1&lt;År1,0,AC246*(1-VLOOKUP($A247,[1]Hugst!$R$5:$W$9,MATCH(ROUNDUP((AD$1)/10,0)*10,[1]Hugst!$R$4:$W$4,0))))</f>
        <v>0</v>
      </c>
      <c r="AE247" s="168">
        <f ca="1">IF($C247-AE$1&lt;År1,0,AD246*(1-VLOOKUP($A247,[1]Hugst!$R$5:$W$9,MATCH(ROUNDUP((AE$1)/10,0)*10,[1]Hugst!$R$4:$W$4,0))))</f>
        <v>0</v>
      </c>
      <c r="AF247" s="168">
        <f ca="1">IF($C247-AF$1&lt;År1,0,AE246*(1-VLOOKUP($A247,[1]Hugst!$R$5:$W$9,MATCH(ROUNDUP((AF$1)/10,0)*10,[1]Hugst!$R$4:$W$4,0))))</f>
        <v>0</v>
      </c>
      <c r="AG247" s="168">
        <f ca="1">IF($C247-AG$1&lt;År1,0,AF246*(1-VLOOKUP($A247,[1]Hugst!$R$5:$W$9,MATCH(ROUNDUP((AG$1)/10,0)*10,[1]Hugst!$R$4:$W$4,0))))</f>
        <v>0</v>
      </c>
      <c r="AH247" s="168">
        <f ca="1">IF($C247-AH$1&lt;År1,0,AG246*(1-VLOOKUP($A247,[1]Hugst!$R$5:$W$9,MATCH(ROUNDUP((AH$1)/10,0)*10,[1]Hugst!$R$4:$W$4,0))))</f>
        <v>0</v>
      </c>
      <c r="AI247" s="168">
        <f>IF($C247-AI$1&lt;År1,0,AH246*(1-VLOOKUP($A247,[1]Hugst!$R$5:$W$9,MATCH(ROUNDUP((AI$1)/10,0)*10,[1]Hugst!$R$4:$W$4,0))))</f>
        <v>0</v>
      </c>
      <c r="AJ247" s="168">
        <f>IF($C247-AJ$1&lt;År1,0,AI246*(1-VLOOKUP($A247,[1]Hugst!$R$5:$W$9,MATCH(ROUNDUP((AJ$1)/10,0)*10,[1]Hugst!$R$4:$W$4,0))))</f>
        <v>0</v>
      </c>
    </row>
    <row r="248" spans="1:36" x14ac:dyDescent="0.25">
      <c r="A248" s="168" t="s">
        <v>179</v>
      </c>
      <c r="B248" s="168" t="s">
        <v>24</v>
      </c>
      <c r="C248" s="168">
        <v>2049</v>
      </c>
      <c r="D248" s="168" cm="1">
        <f t="array" ref="D248">(IF(B248="Vestdanmark",Skovbrug!$C$22-(Skovbrug!$C$22)*(1-Skovbrug!$C$9)^(C248-Skovbrug!$B$12),Skovbrug!$F$22-(Skovbrug!$F$22)*(1-Skovbrug!$C$9)^(C248-Skovbrug!$B$12))*VLOOKUP(A248,Skovbrug!$A$13:$D$17,IF('Skovbrug-alder'!C248&lt;=År2,3,4),FALSE)-IF(C248&gt;2020,SUM(INDEX($C$1:$D$311,MATCH(1,(2020=$C$1:$C$311)*(B248=$B$1:$B$311)*(A248=$A$1:$A$311),0),2):D247),0))</f>
        <v>0</v>
      </c>
      <c r="E248" s="168">
        <f t="shared" ca="1" si="5"/>
        <v>0</v>
      </c>
      <c r="F248" s="168">
        <f ca="1">IF(C248&lt;=År2,IF(B248="Vestdanmark",(Arealanvendelse!$M$27-Arealanvendelse!$J$27),(Arealanvendelse!$M$37-Arealanvendelse!$J$37))/(Arealanvendelse!$M$3-Arealanvendelse!$J$3),IF(B248="Vestdanmark",(Arealanvendelse!$P$27-Arealanvendelse!$M$27),(Arealanvendelse!$P$37-Arealanvendelse!$M$37))/(Arealanvendelse!$P$3-Arealanvendelse!$M$3))*VLOOKUP(A248,Skovbrug!$A$13:$D$17,IF('Skovbrug-alder'!C248&lt;=År2,3,4),FALSE)+D248+E248</f>
        <v>0</v>
      </c>
      <c r="G248" s="168">
        <f ca="1">IF($C248-G$1&lt;År1,0,F247*(1-VLOOKUP($A248,[1]Hugst!$R$5:$W$9,MATCH(ROUNDUP((G$1)/10,0)*10,[1]Hugst!$R$4:$W$4,0))))</f>
        <v>0</v>
      </c>
      <c r="H248" s="168">
        <f ca="1">IF($C248-H$1&lt;År1,0,G247*(1-VLOOKUP($A248,[1]Hugst!$R$5:$W$9,MATCH(ROUNDUP((H$1)/10,0)*10,[1]Hugst!$R$4:$W$4,0))))</f>
        <v>0</v>
      </c>
      <c r="I248" s="168">
        <f ca="1">IF($C248-I$1&lt;År1,0,H247*(1-VLOOKUP($A248,[1]Hugst!$R$5:$W$9,MATCH(ROUNDUP((I$1)/10,0)*10,[1]Hugst!$R$4:$W$4,0))))</f>
        <v>0</v>
      </c>
      <c r="J248" s="168">
        <f ca="1">IF($C248-J$1&lt;År1,0,I247*(1-VLOOKUP($A248,[1]Hugst!$R$5:$W$9,MATCH(ROUNDUP((J$1)/10,0)*10,[1]Hugst!$R$4:$W$4,0))))</f>
        <v>0</v>
      </c>
      <c r="K248" s="168">
        <f ca="1">IF($C248-K$1&lt;År1,0,J247*(1-VLOOKUP($A248,[1]Hugst!$R$5:$W$9,MATCH(ROUNDUP((K$1)/10,0)*10,[1]Hugst!$R$4:$W$4,0))))</f>
        <v>0</v>
      </c>
      <c r="L248" s="168">
        <f ca="1">IF($C248-L$1&lt;År1,0,K247*(1-VLOOKUP($A248,[1]Hugst!$R$5:$W$9,MATCH(ROUNDUP((L$1)/10,0)*10,[1]Hugst!$R$4:$W$4,0))))</f>
        <v>0</v>
      </c>
      <c r="M248" s="168">
        <f ca="1">IF($C248-M$1&lt;År1,0,L247*(1-VLOOKUP($A248,[1]Hugst!$R$5:$W$9,MATCH(ROUNDUP((M$1)/10,0)*10,[1]Hugst!$R$4:$W$4,0))))</f>
        <v>0</v>
      </c>
      <c r="N248" s="168">
        <f ca="1">IF($C248-N$1&lt;År1,0,M247*(1-VLOOKUP($A248,[1]Hugst!$R$5:$W$9,MATCH(ROUNDUP((N$1)/10,0)*10,[1]Hugst!$R$4:$W$4,0))))</f>
        <v>0</v>
      </c>
      <c r="O248" s="168">
        <f ca="1">IF($C248-O$1&lt;År1,0,N247*(1-VLOOKUP($A248,[1]Hugst!$R$5:$W$9,MATCH(ROUNDUP((O$1)/10,0)*10,[1]Hugst!$R$4:$W$4,0))))</f>
        <v>0</v>
      </c>
      <c r="P248" s="168">
        <f ca="1">IF($C248-P$1&lt;År1,0,O247*(1-VLOOKUP($A248,[1]Hugst!$R$5:$W$9,MATCH(ROUNDUP((P$1)/10,0)*10,[1]Hugst!$R$4:$W$4,0))))</f>
        <v>0</v>
      </c>
      <c r="Q248" s="168">
        <f ca="1">IF($C248-Q$1&lt;År1,0,P247*(1-VLOOKUP($A248,[1]Hugst!$R$5:$W$9,MATCH(ROUNDUP((Q$1)/10,0)*10,[1]Hugst!$R$4:$W$4,0))))</f>
        <v>0</v>
      </c>
      <c r="R248" s="168">
        <f ca="1">IF($C248-R$1&lt;År1,0,Q247*(1-VLOOKUP($A248,[1]Hugst!$R$5:$W$9,MATCH(ROUNDUP((R$1)/10,0)*10,[1]Hugst!$R$4:$W$4,0))))</f>
        <v>0</v>
      </c>
      <c r="S248" s="168">
        <f ca="1">IF($C248-S$1&lt;År1,0,R247*(1-VLOOKUP($A248,[1]Hugst!$R$5:$W$9,MATCH(ROUNDUP((S$1)/10,0)*10,[1]Hugst!$R$4:$W$4,0))))</f>
        <v>0</v>
      </c>
      <c r="T248" s="168">
        <f ca="1">IF($C248-T$1&lt;År1,0,S247*(1-VLOOKUP($A248,[1]Hugst!$R$5:$W$9,MATCH(ROUNDUP((T$1)/10,0)*10,[1]Hugst!$R$4:$W$4,0))))</f>
        <v>0</v>
      </c>
      <c r="U248" s="168">
        <f ca="1">IF($C248-U$1&lt;År1,0,T247*(1-VLOOKUP($A248,[1]Hugst!$R$5:$W$9,MATCH(ROUNDUP((U$1)/10,0)*10,[1]Hugst!$R$4:$W$4,0))))</f>
        <v>0</v>
      </c>
      <c r="V248" s="168">
        <f ca="1">IF($C248-V$1&lt;År1,0,U247*(1-VLOOKUP($A248,[1]Hugst!$R$5:$W$9,MATCH(ROUNDUP((V$1)/10,0)*10,[1]Hugst!$R$4:$W$4,0))))</f>
        <v>0</v>
      </c>
      <c r="W248" s="168">
        <f ca="1">IF($C248-W$1&lt;År1,0,V247*(1-VLOOKUP($A248,[1]Hugst!$R$5:$W$9,MATCH(ROUNDUP((W$1)/10,0)*10,[1]Hugst!$R$4:$W$4,0))))</f>
        <v>0</v>
      </c>
      <c r="X248" s="168">
        <f ca="1">IF($C248-X$1&lt;År1,0,W247*(1-VLOOKUP($A248,[1]Hugst!$R$5:$W$9,MATCH(ROUNDUP((X$1)/10,0)*10,[1]Hugst!$R$4:$W$4,0))))</f>
        <v>0</v>
      </c>
      <c r="Y248" s="168">
        <f ca="1">IF($C248-Y$1&lt;År1,0,X247*(1-VLOOKUP($A248,[1]Hugst!$R$5:$W$9,MATCH(ROUNDUP((Y$1)/10,0)*10,[1]Hugst!$R$4:$W$4,0))))</f>
        <v>0</v>
      </c>
      <c r="Z248" s="168">
        <f ca="1">IF($C248-Z$1&lt;År1,0,Y247*(1-VLOOKUP($A248,[1]Hugst!$R$5:$W$9,MATCH(ROUNDUP((Z$1)/10,0)*10,[1]Hugst!$R$4:$W$4,0))))</f>
        <v>0</v>
      </c>
      <c r="AA248" s="168">
        <f ca="1">IF($C248-AA$1&lt;År1,0,Z247*(1-VLOOKUP($A248,[1]Hugst!$R$5:$W$9,MATCH(ROUNDUP((AA$1)/10,0)*10,[1]Hugst!$R$4:$W$4,0))))</f>
        <v>0</v>
      </c>
      <c r="AB248" s="168">
        <f ca="1">IF($C248-AB$1&lt;År1,0,AA247*(1-VLOOKUP($A248,[1]Hugst!$R$5:$W$9,MATCH(ROUNDUP((AB$1)/10,0)*10,[1]Hugst!$R$4:$W$4,0))))</f>
        <v>0</v>
      </c>
      <c r="AC248" s="168">
        <f ca="1">IF($C248-AC$1&lt;År1,0,AB247*(1-VLOOKUP($A248,[1]Hugst!$R$5:$W$9,MATCH(ROUNDUP((AC$1)/10,0)*10,[1]Hugst!$R$4:$W$4,0))))</f>
        <v>0</v>
      </c>
      <c r="AD248" s="168">
        <f ca="1">IF($C248-AD$1&lt;År1,0,AC247*(1-VLOOKUP($A248,[1]Hugst!$R$5:$W$9,MATCH(ROUNDUP((AD$1)/10,0)*10,[1]Hugst!$R$4:$W$4,0))))</f>
        <v>0</v>
      </c>
      <c r="AE248" s="168">
        <f ca="1">IF($C248-AE$1&lt;År1,0,AD247*(1-VLOOKUP($A248,[1]Hugst!$R$5:$W$9,MATCH(ROUNDUP((AE$1)/10,0)*10,[1]Hugst!$R$4:$W$4,0))))</f>
        <v>0</v>
      </c>
      <c r="AF248" s="168">
        <f ca="1">IF($C248-AF$1&lt;År1,0,AE247*(1-VLOOKUP($A248,[1]Hugst!$R$5:$W$9,MATCH(ROUNDUP((AF$1)/10,0)*10,[1]Hugst!$R$4:$W$4,0))))</f>
        <v>0</v>
      </c>
      <c r="AG248" s="168">
        <f ca="1">IF($C248-AG$1&lt;År1,0,AF247*(1-VLOOKUP($A248,[1]Hugst!$R$5:$W$9,MATCH(ROUNDUP((AG$1)/10,0)*10,[1]Hugst!$R$4:$W$4,0))))</f>
        <v>0</v>
      </c>
      <c r="AH248" s="168">
        <f ca="1">IF($C248-AH$1&lt;År1,0,AG247*(1-VLOOKUP($A248,[1]Hugst!$R$5:$W$9,MATCH(ROUNDUP((AH$1)/10,0)*10,[1]Hugst!$R$4:$W$4,0))))</f>
        <v>0</v>
      </c>
      <c r="AI248" s="168">
        <f ca="1">IF($C248-AI$1&lt;År1,0,AH247*(1-VLOOKUP($A248,[1]Hugst!$R$5:$W$9,MATCH(ROUNDUP((AI$1)/10,0)*10,[1]Hugst!$R$4:$W$4,0))))</f>
        <v>0</v>
      </c>
      <c r="AJ248" s="168">
        <f>IF($C248-AJ$1&lt;År1,0,AI247*(1-VLOOKUP($A248,[1]Hugst!$R$5:$W$9,MATCH(ROUNDUP((AJ$1)/10,0)*10,[1]Hugst!$R$4:$W$4,0))))</f>
        <v>0</v>
      </c>
    </row>
    <row r="249" spans="1:36" x14ac:dyDescent="0.25">
      <c r="A249" s="168" t="s">
        <v>179</v>
      </c>
      <c r="B249" s="168" t="s">
        <v>24</v>
      </c>
      <c r="C249" s="168">
        <v>2050</v>
      </c>
      <c r="D249" s="168" cm="1">
        <f t="array" ref="D249">(IF(B249="Vestdanmark",Skovbrug!$C$22-(Skovbrug!$C$22)*(1-Skovbrug!$C$9)^(C249-Skovbrug!$B$12),Skovbrug!$F$22-(Skovbrug!$F$22)*(1-Skovbrug!$C$9)^(C249-Skovbrug!$B$12))*VLOOKUP(A249,Skovbrug!$A$13:$D$17,IF('Skovbrug-alder'!C249&lt;=År2,3,4),FALSE)-IF(C249&gt;2020,SUM(INDEX($C$1:$D$311,MATCH(1,(2020=$C$1:$C$311)*(B249=$B$1:$B$311)*(A249=$A$1:$A$311),0),2):D248),0))</f>
        <v>0</v>
      </c>
      <c r="E249" s="168">
        <f ca="1">IF(C249=2020,SUM(G249:AJ249),SUM(F248:AJ248)-SUM(G249:AJ249))</f>
        <v>0</v>
      </c>
      <c r="F249" s="168">
        <f ca="1">IF(C249&lt;=År2,IF(B249="Vestdanmark",(Arealanvendelse!$M$27-Arealanvendelse!$J$27),(Arealanvendelse!$M$37-Arealanvendelse!$J$37))/(Arealanvendelse!$M$3-Arealanvendelse!$J$3),IF(B249="Vestdanmark",(Arealanvendelse!$P$27-Arealanvendelse!$M$27),(Arealanvendelse!$P$37-Arealanvendelse!$M$37))/(Arealanvendelse!$P$3-Arealanvendelse!$M$3))*VLOOKUP(A249,Skovbrug!$A$13:$D$17,IF('Skovbrug-alder'!C249&lt;=År2,3,4),FALSE)+D249+E249</f>
        <v>0</v>
      </c>
      <c r="G249" s="168">
        <f ca="1">IF($C249-G$1&lt;År1,0,F248*(1-VLOOKUP($A249,[1]Hugst!$R$5:$W$9,MATCH(ROUNDUP((G$1)/10,0)*10,[1]Hugst!$R$4:$W$4,0))))</f>
        <v>0</v>
      </c>
      <c r="H249" s="168">
        <f ca="1">IF($C249-H$1&lt;År1,0,G248*(1-VLOOKUP($A249,[1]Hugst!$R$5:$W$9,MATCH(ROUNDUP((H$1)/10,0)*10,[1]Hugst!$R$4:$W$4,0))))</f>
        <v>0</v>
      </c>
      <c r="I249" s="168">
        <f ca="1">IF($C249-I$1&lt;År1,0,H248*(1-VLOOKUP($A249,[1]Hugst!$R$5:$W$9,MATCH(ROUNDUP((I$1)/10,0)*10,[1]Hugst!$R$4:$W$4,0))))</f>
        <v>0</v>
      </c>
      <c r="J249" s="168">
        <f ca="1">IF($C249-J$1&lt;År1,0,I248*(1-VLOOKUP($A249,[1]Hugst!$R$5:$W$9,MATCH(ROUNDUP((J$1)/10,0)*10,[1]Hugst!$R$4:$W$4,0))))</f>
        <v>0</v>
      </c>
      <c r="K249" s="168">
        <f ca="1">IF($C249-K$1&lt;År1,0,J248*(1-VLOOKUP($A249,[1]Hugst!$R$5:$W$9,MATCH(ROUNDUP((K$1)/10,0)*10,[1]Hugst!$R$4:$W$4,0))))</f>
        <v>0</v>
      </c>
      <c r="L249" s="168">
        <f ca="1">IF($C249-L$1&lt;År1,0,K248*(1-VLOOKUP($A249,[1]Hugst!$R$5:$W$9,MATCH(ROUNDUP((L$1)/10,0)*10,[1]Hugst!$R$4:$W$4,0))))</f>
        <v>0</v>
      </c>
      <c r="M249" s="168">
        <f ca="1">IF($C249-M$1&lt;År1,0,L248*(1-VLOOKUP($A249,[1]Hugst!$R$5:$W$9,MATCH(ROUNDUP((M$1)/10,0)*10,[1]Hugst!$R$4:$W$4,0))))</f>
        <v>0</v>
      </c>
      <c r="N249" s="168">
        <f ca="1">IF($C249-N$1&lt;År1,0,M248*(1-VLOOKUP($A249,[1]Hugst!$R$5:$W$9,MATCH(ROUNDUP((N$1)/10,0)*10,[1]Hugst!$R$4:$W$4,0))))</f>
        <v>0</v>
      </c>
      <c r="O249" s="168">
        <f ca="1">IF($C249-O$1&lt;År1,0,N248*(1-VLOOKUP($A249,[1]Hugst!$R$5:$W$9,MATCH(ROUNDUP((O$1)/10,0)*10,[1]Hugst!$R$4:$W$4,0))))</f>
        <v>0</v>
      </c>
      <c r="P249" s="168">
        <f ca="1">IF($C249-P$1&lt;År1,0,O248*(1-VLOOKUP($A249,[1]Hugst!$R$5:$W$9,MATCH(ROUNDUP((P$1)/10,0)*10,[1]Hugst!$R$4:$W$4,0))))</f>
        <v>0</v>
      </c>
      <c r="Q249" s="168">
        <f ca="1">IF($C249-Q$1&lt;År1,0,P248*(1-VLOOKUP($A249,[1]Hugst!$R$5:$W$9,MATCH(ROUNDUP((Q$1)/10,0)*10,[1]Hugst!$R$4:$W$4,0))))</f>
        <v>0</v>
      </c>
      <c r="R249" s="168">
        <f ca="1">IF($C249-R$1&lt;År1,0,Q248*(1-VLOOKUP($A249,[1]Hugst!$R$5:$W$9,MATCH(ROUNDUP((R$1)/10,0)*10,[1]Hugst!$R$4:$W$4,0))))</f>
        <v>0</v>
      </c>
      <c r="S249" s="168">
        <f ca="1">IF($C249-S$1&lt;År1,0,R248*(1-VLOOKUP($A249,[1]Hugst!$R$5:$W$9,MATCH(ROUNDUP((S$1)/10,0)*10,[1]Hugst!$R$4:$W$4,0))))</f>
        <v>0</v>
      </c>
      <c r="T249" s="168">
        <f ca="1">IF($C249-T$1&lt;År1,0,S248*(1-VLOOKUP($A249,[1]Hugst!$R$5:$W$9,MATCH(ROUNDUP((T$1)/10,0)*10,[1]Hugst!$R$4:$W$4,0))))</f>
        <v>0</v>
      </c>
      <c r="U249" s="168">
        <f ca="1">IF($C249-U$1&lt;År1,0,T248*(1-VLOOKUP($A249,[1]Hugst!$R$5:$W$9,MATCH(ROUNDUP((U$1)/10,0)*10,[1]Hugst!$R$4:$W$4,0))))</f>
        <v>0</v>
      </c>
      <c r="V249" s="168">
        <f ca="1">IF($C249-V$1&lt;År1,0,U248*(1-VLOOKUP($A249,[1]Hugst!$R$5:$W$9,MATCH(ROUNDUP((V$1)/10,0)*10,[1]Hugst!$R$4:$W$4,0))))</f>
        <v>0</v>
      </c>
      <c r="W249" s="168">
        <f ca="1">IF($C249-W$1&lt;År1,0,V248*(1-VLOOKUP($A249,[1]Hugst!$R$5:$W$9,MATCH(ROUNDUP((W$1)/10,0)*10,[1]Hugst!$R$4:$W$4,0))))</f>
        <v>0</v>
      </c>
      <c r="X249" s="168">
        <f ca="1">IF($C249-X$1&lt;År1,0,W248*(1-VLOOKUP($A249,[1]Hugst!$R$5:$W$9,MATCH(ROUNDUP((X$1)/10,0)*10,[1]Hugst!$R$4:$W$4,0))))</f>
        <v>0</v>
      </c>
      <c r="Y249" s="168">
        <f ca="1">IF($C249-Y$1&lt;År1,0,X248*(1-VLOOKUP($A249,[1]Hugst!$R$5:$W$9,MATCH(ROUNDUP((Y$1)/10,0)*10,[1]Hugst!$R$4:$W$4,0))))</f>
        <v>0</v>
      </c>
      <c r="Z249" s="168">
        <f ca="1">IF($C249-Z$1&lt;År1,0,Y248*(1-VLOOKUP($A249,[1]Hugst!$R$5:$W$9,MATCH(ROUNDUP((Z$1)/10,0)*10,[1]Hugst!$R$4:$W$4,0))))</f>
        <v>0</v>
      </c>
      <c r="AA249" s="168">
        <f ca="1">IF($C249-AA$1&lt;År1,0,Z248*(1-VLOOKUP($A249,[1]Hugst!$R$5:$W$9,MATCH(ROUNDUP((AA$1)/10,0)*10,[1]Hugst!$R$4:$W$4,0))))</f>
        <v>0</v>
      </c>
      <c r="AB249" s="168">
        <f ca="1">IF($C249-AB$1&lt;År1,0,AA248*(1-VLOOKUP($A249,[1]Hugst!$R$5:$W$9,MATCH(ROUNDUP((AB$1)/10,0)*10,[1]Hugst!$R$4:$W$4,0))))</f>
        <v>0</v>
      </c>
      <c r="AC249" s="168">
        <f ca="1">IF($C249-AC$1&lt;År1,0,AB248*(1-VLOOKUP($A249,[1]Hugst!$R$5:$W$9,MATCH(ROUNDUP((AC$1)/10,0)*10,[1]Hugst!$R$4:$W$4,0))))</f>
        <v>0</v>
      </c>
      <c r="AD249" s="168">
        <f ca="1">IF($C249-AD$1&lt;År1,0,AC248*(1-VLOOKUP($A249,[1]Hugst!$R$5:$W$9,MATCH(ROUNDUP((AD$1)/10,0)*10,[1]Hugst!$R$4:$W$4,0))))</f>
        <v>0</v>
      </c>
      <c r="AE249" s="168">
        <f ca="1">IF($C249-AE$1&lt;År1,0,AD248*(1-VLOOKUP($A249,[1]Hugst!$R$5:$W$9,MATCH(ROUNDUP((AE$1)/10,0)*10,[1]Hugst!$R$4:$W$4,0))))</f>
        <v>0</v>
      </c>
      <c r="AF249" s="168">
        <f ca="1">IF($C249-AF$1&lt;År1,0,AE248*(1-VLOOKUP($A249,[1]Hugst!$R$5:$W$9,MATCH(ROUNDUP((AF$1)/10,0)*10,[1]Hugst!$R$4:$W$4,0))))</f>
        <v>0</v>
      </c>
      <c r="AG249" s="168">
        <f ca="1">IF($C249-AG$1&lt;År1,0,AF248*(1-VLOOKUP($A249,[1]Hugst!$R$5:$W$9,MATCH(ROUNDUP((AG$1)/10,0)*10,[1]Hugst!$R$4:$W$4,0))))</f>
        <v>0</v>
      </c>
      <c r="AH249" s="168">
        <f ca="1">IF($C249-AH$1&lt;År1,0,AG248*(1-VLOOKUP($A249,[1]Hugst!$R$5:$W$9,MATCH(ROUNDUP((AH$1)/10,0)*10,[1]Hugst!$R$4:$W$4,0))))</f>
        <v>0</v>
      </c>
      <c r="AI249" s="168">
        <f ca="1">IF($C249-AI$1&lt;År1,0,AH248*(1-VLOOKUP($A249,[1]Hugst!$R$5:$W$9,MATCH(ROUNDUP((AI$1)/10,0)*10,[1]Hugst!$R$4:$W$4,0))))</f>
        <v>0</v>
      </c>
      <c r="AJ249" s="168">
        <f ca="1">IF($C249-AJ$1&lt;År1,0,AI248*(1-VLOOKUP($A249,[1]Hugst!$R$5:$W$9,MATCH(ROUNDUP((AJ$1)/10,0)*10,[1]Hugst!$R$4:$W$4,0))))</f>
        <v>0</v>
      </c>
    </row>
    <row r="250" spans="1:36" x14ac:dyDescent="0.25">
      <c r="A250" s="168" t="s">
        <v>180</v>
      </c>
      <c r="B250" s="168" t="s">
        <v>23</v>
      </c>
      <c r="C250" s="168">
        <v>2020</v>
      </c>
      <c r="D250" s="168" cm="1">
        <f t="array" ref="D250">(IF(B250="Vestdanmark",Skovbrug!$C$22-(Skovbrug!$C$22)*(1-Skovbrug!$C$9)^(C250-Skovbrug!$B$12),Skovbrug!$F$22-(Skovbrug!$F$22)*(1-Skovbrug!$C$9)^(C250-Skovbrug!$B$12))*VLOOKUP(A250,Skovbrug!$A$13:$D$17,IF('Skovbrug-alder'!C250&lt;=År2,3,4),FALSE)-IF(C250&gt;2020,SUM(INDEX($C$1:$D$311,MATCH(1,(2020=$C$1:$C$311)*(B250=$B$1:$B$311)*(A250=$A$1:$A$311),0),2):D249),0))</f>
        <v>0</v>
      </c>
      <c r="E250" s="168">
        <f>IF(C250=2020,SUM(G250:AJ250),SUM(F249:AJ249)-SUM(G250:AJ250))</f>
        <v>0</v>
      </c>
      <c r="F250" s="168">
        <f>IF(C250&lt;=År2,IF(B250="Vestdanmark",(Arealanvendelse!$M$27-Arealanvendelse!$J$27),(Arealanvendelse!$M$37-Arealanvendelse!$J$37))/(Arealanvendelse!$M$3-Arealanvendelse!$J$3),IF(B250="Vestdanmark",(Arealanvendelse!$P$27-Arealanvendelse!$M$27),(Arealanvendelse!$P$37-Arealanvendelse!$M$37))/(Arealanvendelse!$P$3-Arealanvendelse!$M$3))*VLOOKUP(A250,Skovbrug!$A$13:$D$17,IF('Skovbrug-alder'!C250&lt;=År2,3,4),FALSE)+D250+E250</f>
        <v>0</v>
      </c>
      <c r="G250" s="168">
        <f>IF($C250-G$1&lt;År1,0,F249*(1-VLOOKUP($A250,[1]Hugst!$R$5:$W$9,MATCH(ROUNDUP((G$1)/10,0)*10,[1]Hugst!$R$4:$W$4,0))))</f>
        <v>0</v>
      </c>
      <c r="H250" s="168">
        <f>IF($C250-H$1&lt;År1,0,G249*(1-VLOOKUP($A250,[1]Hugst!$R$5:$W$9,MATCH(ROUNDUP((H$1)/10,0)*10,[1]Hugst!$R$4:$W$4,0))))</f>
        <v>0</v>
      </c>
      <c r="I250" s="168">
        <f>IF($C250-I$1&lt;År1,0,H249*(1-VLOOKUP($A250,[1]Hugst!$R$5:$W$9,MATCH(ROUNDUP((I$1)/10,0)*10,[1]Hugst!$R$4:$W$4,0))))</f>
        <v>0</v>
      </c>
      <c r="J250" s="168">
        <f>IF($C250-J$1&lt;År1,0,I249*(1-VLOOKUP($A250,[1]Hugst!$R$5:$W$9,MATCH(ROUNDUP((J$1)/10,0)*10,[1]Hugst!$R$4:$W$4,0))))</f>
        <v>0</v>
      </c>
      <c r="K250" s="168">
        <f>IF($C250-K$1&lt;År1,0,J249*(1-VLOOKUP($A250,[1]Hugst!$R$5:$W$9,MATCH(ROUNDUP((K$1)/10,0)*10,[1]Hugst!$R$4:$W$4,0))))</f>
        <v>0</v>
      </c>
      <c r="L250" s="168">
        <f>IF($C250-L$1&lt;År1,0,K249*(1-VLOOKUP($A250,[1]Hugst!$R$5:$W$9,MATCH(ROUNDUP((L$1)/10,0)*10,[1]Hugst!$R$4:$W$4,0))))</f>
        <v>0</v>
      </c>
      <c r="M250" s="168">
        <f>IF($C250-M$1&lt;År1,0,L249*(1-VLOOKUP($A250,[1]Hugst!$R$5:$W$9,MATCH(ROUNDUP((M$1)/10,0)*10,[1]Hugst!$R$4:$W$4,0))))</f>
        <v>0</v>
      </c>
      <c r="N250" s="168">
        <f>IF($C250-N$1&lt;År1,0,M249*(1-VLOOKUP($A250,[1]Hugst!$R$5:$W$9,MATCH(ROUNDUP((N$1)/10,0)*10,[1]Hugst!$R$4:$W$4,0))))</f>
        <v>0</v>
      </c>
      <c r="O250" s="168">
        <f>IF($C250-O$1&lt;År1,0,N249*(1-VLOOKUP($A250,[1]Hugst!$R$5:$W$9,MATCH(ROUNDUP((O$1)/10,0)*10,[1]Hugst!$R$4:$W$4,0))))</f>
        <v>0</v>
      </c>
      <c r="P250" s="168">
        <f>IF($C250-P$1&lt;År1,0,O249*(1-VLOOKUP($A250,[1]Hugst!$R$5:$W$9,MATCH(ROUNDUP((P$1)/10,0)*10,[1]Hugst!$R$4:$W$4,0))))</f>
        <v>0</v>
      </c>
      <c r="Q250" s="168">
        <f>IF($C250-Q$1&lt;År1,0,P249*(1-VLOOKUP($A250,[1]Hugst!$R$5:$W$9,MATCH(ROUNDUP((Q$1)/10,0)*10,[1]Hugst!$R$4:$W$4,0))))</f>
        <v>0</v>
      </c>
      <c r="R250" s="168">
        <f>IF($C250-R$1&lt;År1,0,Q249*(1-VLOOKUP($A250,[1]Hugst!$R$5:$W$9,MATCH(ROUNDUP((R$1)/10,0)*10,[1]Hugst!$R$4:$W$4,0))))</f>
        <v>0</v>
      </c>
      <c r="S250" s="168">
        <f>IF($C250-S$1&lt;År1,0,R249*(1-VLOOKUP($A250,[1]Hugst!$R$5:$W$9,MATCH(ROUNDUP((S$1)/10,0)*10,[1]Hugst!$R$4:$W$4,0))))</f>
        <v>0</v>
      </c>
      <c r="T250" s="168">
        <f>IF($C250-T$1&lt;År1,0,S249*(1-VLOOKUP($A250,[1]Hugst!$R$5:$W$9,MATCH(ROUNDUP((T$1)/10,0)*10,[1]Hugst!$R$4:$W$4,0))))</f>
        <v>0</v>
      </c>
      <c r="U250" s="168">
        <f>IF($C250-U$1&lt;År1,0,T249*(1-VLOOKUP($A250,[1]Hugst!$R$5:$W$9,MATCH(ROUNDUP((U$1)/10,0)*10,[1]Hugst!$R$4:$W$4,0))))</f>
        <v>0</v>
      </c>
      <c r="V250" s="168">
        <f>IF($C250-V$1&lt;År1,0,U249*(1-VLOOKUP($A250,[1]Hugst!$R$5:$W$9,MATCH(ROUNDUP((V$1)/10,0)*10,[1]Hugst!$R$4:$W$4,0))))</f>
        <v>0</v>
      </c>
      <c r="W250" s="168">
        <f>IF($C250-W$1&lt;År1,0,V249*(1-VLOOKUP($A250,[1]Hugst!$R$5:$W$9,MATCH(ROUNDUP((W$1)/10,0)*10,[1]Hugst!$R$4:$W$4,0))))</f>
        <v>0</v>
      </c>
      <c r="X250" s="168">
        <f>IF($C250-X$1&lt;År1,0,W249*(1-VLOOKUP($A250,[1]Hugst!$R$5:$W$9,MATCH(ROUNDUP((X$1)/10,0)*10,[1]Hugst!$R$4:$W$4,0))))</f>
        <v>0</v>
      </c>
      <c r="Y250" s="168">
        <f>IF($C250-Y$1&lt;År1,0,X249*(1-VLOOKUP($A250,[1]Hugst!$R$5:$W$9,MATCH(ROUNDUP((Y$1)/10,0)*10,[1]Hugst!$R$4:$W$4,0))))</f>
        <v>0</v>
      </c>
      <c r="Z250" s="168">
        <f>IF($C250-Z$1&lt;År1,0,Y249*(1-VLOOKUP($A250,[1]Hugst!$R$5:$W$9,MATCH(ROUNDUP((Z$1)/10,0)*10,[1]Hugst!$R$4:$W$4,0))))</f>
        <v>0</v>
      </c>
      <c r="AA250" s="168">
        <f>IF($C250-AA$1&lt;År1,0,Z249*(1-VLOOKUP($A250,[1]Hugst!$R$5:$W$9,MATCH(ROUNDUP((AA$1)/10,0)*10,[1]Hugst!$R$4:$W$4,0))))</f>
        <v>0</v>
      </c>
      <c r="AB250" s="168">
        <f>IF($C250-AB$1&lt;År1,0,AA249*(1-VLOOKUP($A250,[1]Hugst!$R$5:$W$9,MATCH(ROUNDUP((AB$1)/10,0)*10,[1]Hugst!$R$4:$W$4,0))))</f>
        <v>0</v>
      </c>
      <c r="AC250" s="168">
        <f>IF($C250-AC$1&lt;År1,0,AB249*(1-VLOOKUP($A250,[1]Hugst!$R$5:$W$9,MATCH(ROUNDUP((AC$1)/10,0)*10,[1]Hugst!$R$4:$W$4,0))))</f>
        <v>0</v>
      </c>
      <c r="AD250" s="168">
        <f>IF($C250-AD$1&lt;År1,0,AC249*(1-VLOOKUP($A250,[1]Hugst!$R$5:$W$9,MATCH(ROUNDUP((AD$1)/10,0)*10,[1]Hugst!$R$4:$W$4,0))))</f>
        <v>0</v>
      </c>
      <c r="AE250" s="168">
        <f>IF($C250-AE$1&lt;År1,0,AD249*(1-VLOOKUP($A250,[1]Hugst!$R$5:$W$9,MATCH(ROUNDUP((AE$1)/10,0)*10,[1]Hugst!$R$4:$W$4,0))))</f>
        <v>0</v>
      </c>
      <c r="AF250" s="168">
        <f>IF($C250-AF$1&lt;År1,0,AE249*(1-VLOOKUP($A250,[1]Hugst!$R$5:$W$9,MATCH(ROUNDUP((AF$1)/10,0)*10,[1]Hugst!$R$4:$W$4,0))))</f>
        <v>0</v>
      </c>
      <c r="AG250" s="168">
        <f>IF($C250-AG$1&lt;År1,0,AF249*(1-VLOOKUP($A250,[1]Hugst!$R$5:$W$9,MATCH(ROUNDUP((AG$1)/10,0)*10,[1]Hugst!$R$4:$W$4,0))))</f>
        <v>0</v>
      </c>
      <c r="AH250" s="168">
        <f>IF($C250-AH$1&lt;År1,0,AG249*(1-VLOOKUP($A250,[1]Hugst!$R$5:$W$9,MATCH(ROUNDUP((AH$1)/10,0)*10,[1]Hugst!$R$4:$W$4,0))))</f>
        <v>0</v>
      </c>
      <c r="AI250" s="168">
        <f>IF($C250-AI$1&lt;År1,0,AH249*(1-VLOOKUP($A250,[1]Hugst!$R$5:$W$9,MATCH(ROUNDUP((AI$1)/10,0)*10,[1]Hugst!$R$4:$W$4,0))))</f>
        <v>0</v>
      </c>
      <c r="AJ250" s="168">
        <f>IF($C250-AJ$1&lt;År1,0,AI249*(1-VLOOKUP($A250,[1]Hugst!$R$5:$W$9,MATCH(ROUNDUP((AJ$1)/10,0)*10,[1]Hugst!$R$4:$W$4,0))))</f>
        <v>0</v>
      </c>
    </row>
    <row r="251" spans="1:36" x14ac:dyDescent="0.25">
      <c r="A251" s="168" t="s">
        <v>180</v>
      </c>
      <c r="B251" s="168" t="s">
        <v>23</v>
      </c>
      <c r="C251" s="168">
        <v>2021</v>
      </c>
      <c r="D251" s="168" cm="1">
        <f t="array" ref="D251">(IF(B251="Vestdanmark",Skovbrug!$C$22-(Skovbrug!$C$22)*(1-Skovbrug!$C$9)^(C251-Skovbrug!$B$12),Skovbrug!$F$22-(Skovbrug!$F$22)*(1-Skovbrug!$C$9)^(C251-Skovbrug!$B$12))*VLOOKUP(A251,Skovbrug!$A$13:$D$17,IF('Skovbrug-alder'!C251&lt;=År2,3,4),FALSE)-IF(C251&gt;2020,SUM(INDEX($C$1:$D$311,MATCH(1,(2020=$C$1:$C$311)*(B251=$B$1:$B$311)*(A251=$A$1:$A$311),0),2):D250),0))</f>
        <v>0</v>
      </c>
      <c r="E251" s="168">
        <f t="shared" ref="E251:E280" ca="1" si="6">IF(C251=2020,SUM(G251:AJ251),SUM(F250:AJ250)-SUM(G251:AJ251))</f>
        <v>0</v>
      </c>
      <c r="F251" s="168">
        <f ca="1">IF(C251&lt;=År2,IF(B251="Vestdanmark",(Arealanvendelse!$M$27-Arealanvendelse!$J$27),(Arealanvendelse!$M$37-Arealanvendelse!$J$37))/(Arealanvendelse!$M$3-Arealanvendelse!$J$3),IF(B251="Vestdanmark",(Arealanvendelse!$P$27-Arealanvendelse!$M$27),(Arealanvendelse!$P$37-Arealanvendelse!$M$37))/(Arealanvendelse!$P$3-Arealanvendelse!$M$3))*VLOOKUP(A251,Skovbrug!$A$13:$D$17,IF('Skovbrug-alder'!C251&lt;=År2,3,4),FALSE)+D251+E251</f>
        <v>0</v>
      </c>
      <c r="G251" s="168">
        <f ca="1">IF($C251-G$1&lt;År1,0,F250*(1-VLOOKUP($A251,[1]Hugst!$R$5:$W$9,MATCH(ROUNDUP((G$1)/10,0)*10,[1]Hugst!$R$4:$W$4,0))))</f>
        <v>0</v>
      </c>
      <c r="H251" s="168">
        <f>IF($C251-H$1&lt;År1,0,G250*(1-VLOOKUP($A251,[1]Hugst!$R$5:$W$9,MATCH(ROUNDUP((H$1)/10,0)*10,[1]Hugst!$R$4:$W$4,0))))</f>
        <v>0</v>
      </c>
      <c r="I251" s="168">
        <f>IF($C251-I$1&lt;År1,0,H250*(1-VLOOKUP($A251,[1]Hugst!$R$5:$W$9,MATCH(ROUNDUP((I$1)/10,0)*10,[1]Hugst!$R$4:$W$4,0))))</f>
        <v>0</v>
      </c>
      <c r="J251" s="168">
        <f>IF($C251-J$1&lt;År1,0,I250*(1-VLOOKUP($A251,[1]Hugst!$R$5:$W$9,MATCH(ROUNDUP((J$1)/10,0)*10,[1]Hugst!$R$4:$W$4,0))))</f>
        <v>0</v>
      </c>
      <c r="K251" s="168">
        <f>IF($C251-K$1&lt;År1,0,J250*(1-VLOOKUP($A251,[1]Hugst!$R$5:$W$9,MATCH(ROUNDUP((K$1)/10,0)*10,[1]Hugst!$R$4:$W$4,0))))</f>
        <v>0</v>
      </c>
      <c r="L251" s="168">
        <f>IF($C251-L$1&lt;År1,0,K250*(1-VLOOKUP($A251,[1]Hugst!$R$5:$W$9,MATCH(ROUNDUP((L$1)/10,0)*10,[1]Hugst!$R$4:$W$4,0))))</f>
        <v>0</v>
      </c>
      <c r="M251" s="168">
        <f>IF($C251-M$1&lt;År1,0,L250*(1-VLOOKUP($A251,[1]Hugst!$R$5:$W$9,MATCH(ROUNDUP((M$1)/10,0)*10,[1]Hugst!$R$4:$W$4,0))))</f>
        <v>0</v>
      </c>
      <c r="N251" s="168">
        <f>IF($C251-N$1&lt;År1,0,M250*(1-VLOOKUP($A251,[1]Hugst!$R$5:$W$9,MATCH(ROUNDUP((N$1)/10,0)*10,[1]Hugst!$R$4:$W$4,0))))</f>
        <v>0</v>
      </c>
      <c r="O251" s="168">
        <f>IF($C251-O$1&lt;År1,0,N250*(1-VLOOKUP($A251,[1]Hugst!$R$5:$W$9,MATCH(ROUNDUP((O$1)/10,0)*10,[1]Hugst!$R$4:$W$4,0))))</f>
        <v>0</v>
      </c>
      <c r="P251" s="168">
        <f>IF($C251-P$1&lt;År1,0,O250*(1-VLOOKUP($A251,[1]Hugst!$R$5:$W$9,MATCH(ROUNDUP((P$1)/10,0)*10,[1]Hugst!$R$4:$W$4,0))))</f>
        <v>0</v>
      </c>
      <c r="Q251" s="168">
        <f>IF($C251-Q$1&lt;År1,0,P250*(1-VLOOKUP($A251,[1]Hugst!$R$5:$W$9,MATCH(ROUNDUP((Q$1)/10,0)*10,[1]Hugst!$R$4:$W$4,0))))</f>
        <v>0</v>
      </c>
      <c r="R251" s="168">
        <f>IF($C251-R$1&lt;År1,0,Q250*(1-VLOOKUP($A251,[1]Hugst!$R$5:$W$9,MATCH(ROUNDUP((R$1)/10,0)*10,[1]Hugst!$R$4:$W$4,0))))</f>
        <v>0</v>
      </c>
      <c r="S251" s="168">
        <f>IF($C251-S$1&lt;År1,0,R250*(1-VLOOKUP($A251,[1]Hugst!$R$5:$W$9,MATCH(ROUNDUP((S$1)/10,0)*10,[1]Hugst!$R$4:$W$4,0))))</f>
        <v>0</v>
      </c>
      <c r="T251" s="168">
        <f>IF($C251-T$1&lt;År1,0,S250*(1-VLOOKUP($A251,[1]Hugst!$R$5:$W$9,MATCH(ROUNDUP((T$1)/10,0)*10,[1]Hugst!$R$4:$W$4,0))))</f>
        <v>0</v>
      </c>
      <c r="U251" s="168">
        <f>IF($C251-U$1&lt;År1,0,T250*(1-VLOOKUP($A251,[1]Hugst!$R$5:$W$9,MATCH(ROUNDUP((U$1)/10,0)*10,[1]Hugst!$R$4:$W$4,0))))</f>
        <v>0</v>
      </c>
      <c r="V251" s="168">
        <f>IF($C251-V$1&lt;År1,0,U250*(1-VLOOKUP($A251,[1]Hugst!$R$5:$W$9,MATCH(ROUNDUP((V$1)/10,0)*10,[1]Hugst!$R$4:$W$4,0))))</f>
        <v>0</v>
      </c>
      <c r="W251" s="168">
        <f>IF($C251-W$1&lt;År1,0,V250*(1-VLOOKUP($A251,[1]Hugst!$R$5:$W$9,MATCH(ROUNDUP((W$1)/10,0)*10,[1]Hugst!$R$4:$W$4,0))))</f>
        <v>0</v>
      </c>
      <c r="X251" s="168">
        <f>IF($C251-X$1&lt;År1,0,W250*(1-VLOOKUP($A251,[1]Hugst!$R$5:$W$9,MATCH(ROUNDUP((X$1)/10,0)*10,[1]Hugst!$R$4:$W$4,0))))</f>
        <v>0</v>
      </c>
      <c r="Y251" s="168">
        <f>IF($C251-Y$1&lt;År1,0,X250*(1-VLOOKUP($A251,[1]Hugst!$R$5:$W$9,MATCH(ROUNDUP((Y$1)/10,0)*10,[1]Hugst!$R$4:$W$4,0))))</f>
        <v>0</v>
      </c>
      <c r="Z251" s="168">
        <f>IF($C251-Z$1&lt;År1,0,Y250*(1-VLOOKUP($A251,[1]Hugst!$R$5:$W$9,MATCH(ROUNDUP((Z$1)/10,0)*10,[1]Hugst!$R$4:$W$4,0))))</f>
        <v>0</v>
      </c>
      <c r="AA251" s="168">
        <f>IF($C251-AA$1&lt;År1,0,Z250*(1-VLOOKUP($A251,[1]Hugst!$R$5:$W$9,MATCH(ROUNDUP((AA$1)/10,0)*10,[1]Hugst!$R$4:$W$4,0))))</f>
        <v>0</v>
      </c>
      <c r="AB251" s="168">
        <f>IF($C251-AB$1&lt;År1,0,AA250*(1-VLOOKUP($A251,[1]Hugst!$R$5:$W$9,MATCH(ROUNDUP((AB$1)/10,0)*10,[1]Hugst!$R$4:$W$4,0))))</f>
        <v>0</v>
      </c>
      <c r="AC251" s="168">
        <f>IF($C251-AC$1&lt;År1,0,AB250*(1-VLOOKUP($A251,[1]Hugst!$R$5:$W$9,MATCH(ROUNDUP((AC$1)/10,0)*10,[1]Hugst!$R$4:$W$4,0))))</f>
        <v>0</v>
      </c>
      <c r="AD251" s="168">
        <f>IF($C251-AD$1&lt;År1,0,AC250*(1-VLOOKUP($A251,[1]Hugst!$R$5:$W$9,MATCH(ROUNDUP((AD$1)/10,0)*10,[1]Hugst!$R$4:$W$4,0))))</f>
        <v>0</v>
      </c>
      <c r="AE251" s="168">
        <f>IF($C251-AE$1&lt;År1,0,AD250*(1-VLOOKUP($A251,[1]Hugst!$R$5:$W$9,MATCH(ROUNDUP((AE$1)/10,0)*10,[1]Hugst!$R$4:$W$4,0))))</f>
        <v>0</v>
      </c>
      <c r="AF251" s="168">
        <f>IF($C251-AF$1&lt;År1,0,AE250*(1-VLOOKUP($A251,[1]Hugst!$R$5:$W$9,MATCH(ROUNDUP((AF$1)/10,0)*10,[1]Hugst!$R$4:$W$4,0))))</f>
        <v>0</v>
      </c>
      <c r="AG251" s="168">
        <f>IF($C251-AG$1&lt;År1,0,AF250*(1-VLOOKUP($A251,[1]Hugst!$R$5:$W$9,MATCH(ROUNDUP((AG$1)/10,0)*10,[1]Hugst!$R$4:$W$4,0))))</f>
        <v>0</v>
      </c>
      <c r="AH251" s="168">
        <f>IF($C251-AH$1&lt;År1,0,AG250*(1-VLOOKUP($A251,[1]Hugst!$R$5:$W$9,MATCH(ROUNDUP((AH$1)/10,0)*10,[1]Hugst!$R$4:$W$4,0))))</f>
        <v>0</v>
      </c>
      <c r="AI251" s="168">
        <f>IF($C251-AI$1&lt;År1,0,AH250*(1-VLOOKUP($A251,[1]Hugst!$R$5:$W$9,MATCH(ROUNDUP((AI$1)/10,0)*10,[1]Hugst!$R$4:$W$4,0))))</f>
        <v>0</v>
      </c>
      <c r="AJ251" s="168">
        <f>IF($C251-AJ$1&lt;År1,0,AI250*(1-VLOOKUP($A251,[1]Hugst!$R$5:$W$9,MATCH(ROUNDUP((AJ$1)/10,0)*10,[1]Hugst!$R$4:$W$4,0))))</f>
        <v>0</v>
      </c>
    </row>
    <row r="252" spans="1:36" x14ac:dyDescent="0.25">
      <c r="A252" s="168" t="s">
        <v>180</v>
      </c>
      <c r="B252" s="168" t="s">
        <v>23</v>
      </c>
      <c r="C252" s="168">
        <v>2022</v>
      </c>
      <c r="D252" s="168" cm="1">
        <f t="array" ref="D252">(IF(B252="Vestdanmark",Skovbrug!$C$22-(Skovbrug!$C$22)*(1-Skovbrug!$C$9)^(C252-Skovbrug!$B$12),Skovbrug!$F$22-(Skovbrug!$F$22)*(1-Skovbrug!$C$9)^(C252-Skovbrug!$B$12))*VLOOKUP(A252,Skovbrug!$A$13:$D$17,IF('Skovbrug-alder'!C252&lt;=År2,3,4),FALSE)-IF(C252&gt;2020,SUM(INDEX($C$1:$D$311,MATCH(1,(2020=$C$1:$C$311)*(B252=$B$1:$B$311)*(A252=$A$1:$A$311),0),2):D251),0))</f>
        <v>0</v>
      </c>
      <c r="E252" s="168">
        <f t="shared" ca="1" si="6"/>
        <v>0</v>
      </c>
      <c r="F252" s="168">
        <f ca="1">IF(C252&lt;=År2,IF(B252="Vestdanmark",(Arealanvendelse!$M$27-Arealanvendelse!$J$27),(Arealanvendelse!$M$37-Arealanvendelse!$J$37))/(Arealanvendelse!$M$3-Arealanvendelse!$J$3),IF(B252="Vestdanmark",(Arealanvendelse!$P$27-Arealanvendelse!$M$27),(Arealanvendelse!$P$37-Arealanvendelse!$M$37))/(Arealanvendelse!$P$3-Arealanvendelse!$M$3))*VLOOKUP(A252,Skovbrug!$A$13:$D$17,IF('Skovbrug-alder'!C252&lt;=År2,3,4),FALSE)+D252+E252</f>
        <v>0</v>
      </c>
      <c r="G252" s="168">
        <f ca="1">IF($C252-G$1&lt;År1,0,F251*(1-VLOOKUP($A252,[1]Hugst!$R$5:$W$9,MATCH(ROUNDUP((G$1)/10,0)*10,[1]Hugst!$R$4:$W$4,0))))</f>
        <v>0</v>
      </c>
      <c r="H252" s="168">
        <f ca="1">IF($C252-H$1&lt;År1,0,G251*(1-VLOOKUP($A252,[1]Hugst!$R$5:$W$9,MATCH(ROUNDUP((H$1)/10,0)*10,[1]Hugst!$R$4:$W$4,0))))</f>
        <v>0</v>
      </c>
      <c r="I252" s="168">
        <f>IF($C252-I$1&lt;År1,0,H251*(1-VLOOKUP($A252,[1]Hugst!$R$5:$W$9,MATCH(ROUNDUP((I$1)/10,0)*10,[1]Hugst!$R$4:$W$4,0))))</f>
        <v>0</v>
      </c>
      <c r="J252" s="168">
        <f>IF($C252-J$1&lt;År1,0,I251*(1-VLOOKUP($A252,[1]Hugst!$R$5:$W$9,MATCH(ROUNDUP((J$1)/10,0)*10,[1]Hugst!$R$4:$W$4,0))))</f>
        <v>0</v>
      </c>
      <c r="K252" s="168">
        <f>IF($C252-K$1&lt;År1,0,J251*(1-VLOOKUP($A252,[1]Hugst!$R$5:$W$9,MATCH(ROUNDUP((K$1)/10,0)*10,[1]Hugst!$R$4:$W$4,0))))</f>
        <v>0</v>
      </c>
      <c r="L252" s="168">
        <f>IF($C252-L$1&lt;År1,0,K251*(1-VLOOKUP($A252,[1]Hugst!$R$5:$W$9,MATCH(ROUNDUP((L$1)/10,0)*10,[1]Hugst!$R$4:$W$4,0))))</f>
        <v>0</v>
      </c>
      <c r="M252" s="168">
        <f>IF($C252-M$1&lt;År1,0,L251*(1-VLOOKUP($A252,[1]Hugst!$R$5:$W$9,MATCH(ROUNDUP((M$1)/10,0)*10,[1]Hugst!$R$4:$W$4,0))))</f>
        <v>0</v>
      </c>
      <c r="N252" s="168">
        <f>IF($C252-N$1&lt;År1,0,M251*(1-VLOOKUP($A252,[1]Hugst!$R$5:$W$9,MATCH(ROUNDUP((N$1)/10,0)*10,[1]Hugst!$R$4:$W$4,0))))</f>
        <v>0</v>
      </c>
      <c r="O252" s="168">
        <f>IF($C252-O$1&lt;År1,0,N251*(1-VLOOKUP($A252,[1]Hugst!$R$5:$W$9,MATCH(ROUNDUP((O$1)/10,0)*10,[1]Hugst!$R$4:$W$4,0))))</f>
        <v>0</v>
      </c>
      <c r="P252" s="168">
        <f>IF($C252-P$1&lt;År1,0,O251*(1-VLOOKUP($A252,[1]Hugst!$R$5:$W$9,MATCH(ROUNDUP((P$1)/10,0)*10,[1]Hugst!$R$4:$W$4,0))))</f>
        <v>0</v>
      </c>
      <c r="Q252" s="168">
        <f>IF($C252-Q$1&lt;År1,0,P251*(1-VLOOKUP($A252,[1]Hugst!$R$5:$W$9,MATCH(ROUNDUP((Q$1)/10,0)*10,[1]Hugst!$R$4:$W$4,0))))</f>
        <v>0</v>
      </c>
      <c r="R252" s="168">
        <f>IF($C252-R$1&lt;År1,0,Q251*(1-VLOOKUP($A252,[1]Hugst!$R$5:$W$9,MATCH(ROUNDUP((R$1)/10,0)*10,[1]Hugst!$R$4:$W$4,0))))</f>
        <v>0</v>
      </c>
      <c r="S252" s="168">
        <f>IF($C252-S$1&lt;År1,0,R251*(1-VLOOKUP($A252,[1]Hugst!$R$5:$W$9,MATCH(ROUNDUP((S$1)/10,0)*10,[1]Hugst!$R$4:$W$4,0))))</f>
        <v>0</v>
      </c>
      <c r="T252" s="168">
        <f>IF($C252-T$1&lt;År1,0,S251*(1-VLOOKUP($A252,[1]Hugst!$R$5:$W$9,MATCH(ROUNDUP((T$1)/10,0)*10,[1]Hugst!$R$4:$W$4,0))))</f>
        <v>0</v>
      </c>
      <c r="U252" s="168">
        <f>IF($C252-U$1&lt;År1,0,T251*(1-VLOOKUP($A252,[1]Hugst!$R$5:$W$9,MATCH(ROUNDUP((U$1)/10,0)*10,[1]Hugst!$R$4:$W$4,0))))</f>
        <v>0</v>
      </c>
      <c r="V252" s="168">
        <f>IF($C252-V$1&lt;År1,0,U251*(1-VLOOKUP($A252,[1]Hugst!$R$5:$W$9,MATCH(ROUNDUP((V$1)/10,0)*10,[1]Hugst!$R$4:$W$4,0))))</f>
        <v>0</v>
      </c>
      <c r="W252" s="168">
        <f>IF($C252-W$1&lt;År1,0,V251*(1-VLOOKUP($A252,[1]Hugst!$R$5:$W$9,MATCH(ROUNDUP((W$1)/10,0)*10,[1]Hugst!$R$4:$W$4,0))))</f>
        <v>0</v>
      </c>
      <c r="X252" s="168">
        <f>IF($C252-X$1&lt;År1,0,W251*(1-VLOOKUP($A252,[1]Hugst!$R$5:$W$9,MATCH(ROUNDUP((X$1)/10,0)*10,[1]Hugst!$R$4:$W$4,0))))</f>
        <v>0</v>
      </c>
      <c r="Y252" s="168">
        <f>IF($C252-Y$1&lt;År1,0,X251*(1-VLOOKUP($A252,[1]Hugst!$R$5:$W$9,MATCH(ROUNDUP((Y$1)/10,0)*10,[1]Hugst!$R$4:$W$4,0))))</f>
        <v>0</v>
      </c>
      <c r="Z252" s="168">
        <f>IF($C252-Z$1&lt;År1,0,Y251*(1-VLOOKUP($A252,[1]Hugst!$R$5:$W$9,MATCH(ROUNDUP((Z$1)/10,0)*10,[1]Hugst!$R$4:$W$4,0))))</f>
        <v>0</v>
      </c>
      <c r="AA252" s="168">
        <f>IF($C252-AA$1&lt;År1,0,Z251*(1-VLOOKUP($A252,[1]Hugst!$R$5:$W$9,MATCH(ROUNDUP((AA$1)/10,0)*10,[1]Hugst!$R$4:$W$4,0))))</f>
        <v>0</v>
      </c>
      <c r="AB252" s="168">
        <f>IF($C252-AB$1&lt;År1,0,AA251*(1-VLOOKUP($A252,[1]Hugst!$R$5:$W$9,MATCH(ROUNDUP((AB$1)/10,0)*10,[1]Hugst!$R$4:$W$4,0))))</f>
        <v>0</v>
      </c>
      <c r="AC252" s="168">
        <f>IF($C252-AC$1&lt;År1,0,AB251*(1-VLOOKUP($A252,[1]Hugst!$R$5:$W$9,MATCH(ROUNDUP((AC$1)/10,0)*10,[1]Hugst!$R$4:$W$4,0))))</f>
        <v>0</v>
      </c>
      <c r="AD252" s="168">
        <f>IF($C252-AD$1&lt;År1,0,AC251*(1-VLOOKUP($A252,[1]Hugst!$R$5:$W$9,MATCH(ROUNDUP((AD$1)/10,0)*10,[1]Hugst!$R$4:$W$4,0))))</f>
        <v>0</v>
      </c>
      <c r="AE252" s="168">
        <f>IF($C252-AE$1&lt;År1,0,AD251*(1-VLOOKUP($A252,[1]Hugst!$R$5:$W$9,MATCH(ROUNDUP((AE$1)/10,0)*10,[1]Hugst!$R$4:$W$4,0))))</f>
        <v>0</v>
      </c>
      <c r="AF252" s="168">
        <f>IF($C252-AF$1&lt;År1,0,AE251*(1-VLOOKUP($A252,[1]Hugst!$R$5:$W$9,MATCH(ROUNDUP((AF$1)/10,0)*10,[1]Hugst!$R$4:$W$4,0))))</f>
        <v>0</v>
      </c>
      <c r="AG252" s="168">
        <f>IF($C252-AG$1&lt;År1,0,AF251*(1-VLOOKUP($A252,[1]Hugst!$R$5:$W$9,MATCH(ROUNDUP((AG$1)/10,0)*10,[1]Hugst!$R$4:$W$4,0))))</f>
        <v>0</v>
      </c>
      <c r="AH252" s="168">
        <f>IF($C252-AH$1&lt;År1,0,AG251*(1-VLOOKUP($A252,[1]Hugst!$R$5:$W$9,MATCH(ROUNDUP((AH$1)/10,0)*10,[1]Hugst!$R$4:$W$4,0))))</f>
        <v>0</v>
      </c>
      <c r="AI252" s="168">
        <f>IF($C252-AI$1&lt;År1,0,AH251*(1-VLOOKUP($A252,[1]Hugst!$R$5:$W$9,MATCH(ROUNDUP((AI$1)/10,0)*10,[1]Hugst!$R$4:$W$4,0))))</f>
        <v>0</v>
      </c>
      <c r="AJ252" s="168">
        <f>IF($C252-AJ$1&lt;År1,0,AI251*(1-VLOOKUP($A252,[1]Hugst!$R$5:$W$9,MATCH(ROUNDUP((AJ$1)/10,0)*10,[1]Hugst!$R$4:$W$4,0))))</f>
        <v>0</v>
      </c>
    </row>
    <row r="253" spans="1:36" x14ac:dyDescent="0.25">
      <c r="A253" s="168" t="s">
        <v>180</v>
      </c>
      <c r="B253" s="168" t="s">
        <v>23</v>
      </c>
      <c r="C253" s="168">
        <v>2023</v>
      </c>
      <c r="D253" s="168" cm="1">
        <f t="array" ref="D253">(IF(B253="Vestdanmark",Skovbrug!$C$22-(Skovbrug!$C$22)*(1-Skovbrug!$C$9)^(C253-Skovbrug!$B$12),Skovbrug!$F$22-(Skovbrug!$F$22)*(1-Skovbrug!$C$9)^(C253-Skovbrug!$B$12))*VLOOKUP(A253,Skovbrug!$A$13:$D$17,IF('Skovbrug-alder'!C253&lt;=År2,3,4),FALSE)-IF(C253&gt;2020,SUM(INDEX($C$1:$D$311,MATCH(1,(2020=$C$1:$C$311)*(B253=$B$1:$B$311)*(A253=$A$1:$A$311),0),2):D252),0))</f>
        <v>0</v>
      </c>
      <c r="E253" s="168">
        <f t="shared" ca="1" si="6"/>
        <v>0</v>
      </c>
      <c r="F253" s="168">
        <f ca="1">IF(C253&lt;=År2,IF(B253="Vestdanmark",(Arealanvendelse!$M$27-Arealanvendelse!$J$27),(Arealanvendelse!$M$37-Arealanvendelse!$J$37))/(Arealanvendelse!$M$3-Arealanvendelse!$J$3),IF(B253="Vestdanmark",(Arealanvendelse!$P$27-Arealanvendelse!$M$27),(Arealanvendelse!$P$37-Arealanvendelse!$M$37))/(Arealanvendelse!$P$3-Arealanvendelse!$M$3))*VLOOKUP(A253,Skovbrug!$A$13:$D$17,IF('Skovbrug-alder'!C253&lt;=År2,3,4),FALSE)+D253+E253</f>
        <v>0</v>
      </c>
      <c r="G253" s="168">
        <f ca="1">IF($C253-G$1&lt;År1,0,F252*(1-VLOOKUP($A253,[1]Hugst!$R$5:$W$9,MATCH(ROUNDUP((G$1)/10,0)*10,[1]Hugst!$R$4:$W$4,0))))</f>
        <v>0</v>
      </c>
      <c r="H253" s="168">
        <f ca="1">IF($C253-H$1&lt;År1,0,G252*(1-VLOOKUP($A253,[1]Hugst!$R$5:$W$9,MATCH(ROUNDUP((H$1)/10,0)*10,[1]Hugst!$R$4:$W$4,0))))</f>
        <v>0</v>
      </c>
      <c r="I253" s="168">
        <f ca="1">IF($C253-I$1&lt;År1,0,H252*(1-VLOOKUP($A253,[1]Hugst!$R$5:$W$9,MATCH(ROUNDUP((I$1)/10,0)*10,[1]Hugst!$R$4:$W$4,0))))</f>
        <v>0</v>
      </c>
      <c r="J253" s="168">
        <f>IF($C253-J$1&lt;År1,0,I252*(1-VLOOKUP($A253,[1]Hugst!$R$5:$W$9,MATCH(ROUNDUP((J$1)/10,0)*10,[1]Hugst!$R$4:$W$4,0))))</f>
        <v>0</v>
      </c>
      <c r="K253" s="168">
        <f>IF($C253-K$1&lt;År1,0,J252*(1-VLOOKUP($A253,[1]Hugst!$R$5:$W$9,MATCH(ROUNDUP((K$1)/10,0)*10,[1]Hugst!$R$4:$W$4,0))))</f>
        <v>0</v>
      </c>
      <c r="L253" s="168">
        <f>IF($C253-L$1&lt;År1,0,K252*(1-VLOOKUP($A253,[1]Hugst!$R$5:$W$9,MATCH(ROUNDUP((L$1)/10,0)*10,[1]Hugst!$R$4:$W$4,0))))</f>
        <v>0</v>
      </c>
      <c r="M253" s="168">
        <f>IF($C253-M$1&lt;År1,0,L252*(1-VLOOKUP($A253,[1]Hugst!$R$5:$W$9,MATCH(ROUNDUP((M$1)/10,0)*10,[1]Hugst!$R$4:$W$4,0))))</f>
        <v>0</v>
      </c>
      <c r="N253" s="168">
        <f>IF($C253-N$1&lt;År1,0,M252*(1-VLOOKUP($A253,[1]Hugst!$R$5:$W$9,MATCH(ROUNDUP((N$1)/10,0)*10,[1]Hugst!$R$4:$W$4,0))))</f>
        <v>0</v>
      </c>
      <c r="O253" s="168">
        <f>IF($C253-O$1&lt;År1,0,N252*(1-VLOOKUP($A253,[1]Hugst!$R$5:$W$9,MATCH(ROUNDUP((O$1)/10,0)*10,[1]Hugst!$R$4:$W$4,0))))</f>
        <v>0</v>
      </c>
      <c r="P253" s="168">
        <f>IF($C253-P$1&lt;År1,0,O252*(1-VLOOKUP($A253,[1]Hugst!$R$5:$W$9,MATCH(ROUNDUP((P$1)/10,0)*10,[1]Hugst!$R$4:$W$4,0))))</f>
        <v>0</v>
      </c>
      <c r="Q253" s="168">
        <f>IF($C253-Q$1&lt;År1,0,P252*(1-VLOOKUP($A253,[1]Hugst!$R$5:$W$9,MATCH(ROUNDUP((Q$1)/10,0)*10,[1]Hugst!$R$4:$W$4,0))))</f>
        <v>0</v>
      </c>
      <c r="R253" s="168">
        <f>IF($C253-R$1&lt;År1,0,Q252*(1-VLOOKUP($A253,[1]Hugst!$R$5:$W$9,MATCH(ROUNDUP((R$1)/10,0)*10,[1]Hugst!$R$4:$W$4,0))))</f>
        <v>0</v>
      </c>
      <c r="S253" s="168">
        <f>IF($C253-S$1&lt;År1,0,R252*(1-VLOOKUP($A253,[1]Hugst!$R$5:$W$9,MATCH(ROUNDUP((S$1)/10,0)*10,[1]Hugst!$R$4:$W$4,0))))</f>
        <v>0</v>
      </c>
      <c r="T253" s="168">
        <f>IF($C253-T$1&lt;År1,0,S252*(1-VLOOKUP($A253,[1]Hugst!$R$5:$W$9,MATCH(ROUNDUP((T$1)/10,0)*10,[1]Hugst!$R$4:$W$4,0))))</f>
        <v>0</v>
      </c>
      <c r="U253" s="168">
        <f>IF($C253-U$1&lt;År1,0,T252*(1-VLOOKUP($A253,[1]Hugst!$R$5:$W$9,MATCH(ROUNDUP((U$1)/10,0)*10,[1]Hugst!$R$4:$W$4,0))))</f>
        <v>0</v>
      </c>
      <c r="V253" s="168">
        <f>IF($C253-V$1&lt;År1,0,U252*(1-VLOOKUP($A253,[1]Hugst!$R$5:$W$9,MATCH(ROUNDUP((V$1)/10,0)*10,[1]Hugst!$R$4:$W$4,0))))</f>
        <v>0</v>
      </c>
      <c r="W253" s="168">
        <f>IF($C253-W$1&lt;År1,0,V252*(1-VLOOKUP($A253,[1]Hugst!$R$5:$W$9,MATCH(ROUNDUP((W$1)/10,0)*10,[1]Hugst!$R$4:$W$4,0))))</f>
        <v>0</v>
      </c>
      <c r="X253" s="168">
        <f>IF($C253-X$1&lt;År1,0,W252*(1-VLOOKUP($A253,[1]Hugst!$R$5:$W$9,MATCH(ROUNDUP((X$1)/10,0)*10,[1]Hugst!$R$4:$W$4,0))))</f>
        <v>0</v>
      </c>
      <c r="Y253" s="168">
        <f>IF($C253-Y$1&lt;År1,0,X252*(1-VLOOKUP($A253,[1]Hugst!$R$5:$W$9,MATCH(ROUNDUP((Y$1)/10,0)*10,[1]Hugst!$R$4:$W$4,0))))</f>
        <v>0</v>
      </c>
      <c r="Z253" s="168">
        <f>IF($C253-Z$1&lt;År1,0,Y252*(1-VLOOKUP($A253,[1]Hugst!$R$5:$W$9,MATCH(ROUNDUP((Z$1)/10,0)*10,[1]Hugst!$R$4:$W$4,0))))</f>
        <v>0</v>
      </c>
      <c r="AA253" s="168">
        <f>IF($C253-AA$1&lt;År1,0,Z252*(1-VLOOKUP($A253,[1]Hugst!$R$5:$W$9,MATCH(ROUNDUP((AA$1)/10,0)*10,[1]Hugst!$R$4:$W$4,0))))</f>
        <v>0</v>
      </c>
      <c r="AB253" s="168">
        <f>IF($C253-AB$1&lt;År1,0,AA252*(1-VLOOKUP($A253,[1]Hugst!$R$5:$W$9,MATCH(ROUNDUP((AB$1)/10,0)*10,[1]Hugst!$R$4:$W$4,0))))</f>
        <v>0</v>
      </c>
      <c r="AC253" s="168">
        <f>IF($C253-AC$1&lt;År1,0,AB252*(1-VLOOKUP($A253,[1]Hugst!$R$5:$W$9,MATCH(ROUNDUP((AC$1)/10,0)*10,[1]Hugst!$R$4:$W$4,0))))</f>
        <v>0</v>
      </c>
      <c r="AD253" s="168">
        <f>IF($C253-AD$1&lt;År1,0,AC252*(1-VLOOKUP($A253,[1]Hugst!$R$5:$W$9,MATCH(ROUNDUP((AD$1)/10,0)*10,[1]Hugst!$R$4:$W$4,0))))</f>
        <v>0</v>
      </c>
      <c r="AE253" s="168">
        <f>IF($C253-AE$1&lt;År1,0,AD252*(1-VLOOKUP($A253,[1]Hugst!$R$5:$W$9,MATCH(ROUNDUP((AE$1)/10,0)*10,[1]Hugst!$R$4:$W$4,0))))</f>
        <v>0</v>
      </c>
      <c r="AF253" s="168">
        <f>IF($C253-AF$1&lt;År1,0,AE252*(1-VLOOKUP($A253,[1]Hugst!$R$5:$W$9,MATCH(ROUNDUP((AF$1)/10,0)*10,[1]Hugst!$R$4:$W$4,0))))</f>
        <v>0</v>
      </c>
      <c r="AG253" s="168">
        <f>IF($C253-AG$1&lt;År1,0,AF252*(1-VLOOKUP($A253,[1]Hugst!$R$5:$W$9,MATCH(ROUNDUP((AG$1)/10,0)*10,[1]Hugst!$R$4:$W$4,0))))</f>
        <v>0</v>
      </c>
      <c r="AH253" s="168">
        <f>IF($C253-AH$1&lt;År1,0,AG252*(1-VLOOKUP($A253,[1]Hugst!$R$5:$W$9,MATCH(ROUNDUP((AH$1)/10,0)*10,[1]Hugst!$R$4:$W$4,0))))</f>
        <v>0</v>
      </c>
      <c r="AI253" s="168">
        <f>IF($C253-AI$1&lt;År1,0,AH252*(1-VLOOKUP($A253,[1]Hugst!$R$5:$W$9,MATCH(ROUNDUP((AI$1)/10,0)*10,[1]Hugst!$R$4:$W$4,0))))</f>
        <v>0</v>
      </c>
      <c r="AJ253" s="168">
        <f>IF($C253-AJ$1&lt;År1,0,AI252*(1-VLOOKUP($A253,[1]Hugst!$R$5:$W$9,MATCH(ROUNDUP((AJ$1)/10,0)*10,[1]Hugst!$R$4:$W$4,0))))</f>
        <v>0</v>
      </c>
    </row>
    <row r="254" spans="1:36" x14ac:dyDescent="0.25">
      <c r="A254" s="168" t="s">
        <v>180</v>
      </c>
      <c r="B254" s="168" t="s">
        <v>23</v>
      </c>
      <c r="C254" s="168">
        <v>2024</v>
      </c>
      <c r="D254" s="168" cm="1">
        <f t="array" ref="D254">(IF(B254="Vestdanmark",Skovbrug!$C$22-(Skovbrug!$C$22)*(1-Skovbrug!$C$9)^(C254-Skovbrug!$B$12),Skovbrug!$F$22-(Skovbrug!$F$22)*(1-Skovbrug!$C$9)^(C254-Skovbrug!$B$12))*VLOOKUP(A254,Skovbrug!$A$13:$D$17,IF('Skovbrug-alder'!C254&lt;=År2,3,4),FALSE)-IF(C254&gt;2020,SUM(INDEX($C$1:$D$311,MATCH(1,(2020=$C$1:$C$311)*(B254=$B$1:$B$311)*(A254=$A$1:$A$311),0),2):D253),0))</f>
        <v>0</v>
      </c>
      <c r="E254" s="168">
        <f t="shared" ca="1" si="6"/>
        <v>0</v>
      </c>
      <c r="F254" s="168">
        <f ca="1">IF(C254&lt;=År2,IF(B254="Vestdanmark",(Arealanvendelse!$M$27-Arealanvendelse!$J$27),(Arealanvendelse!$M$37-Arealanvendelse!$J$37))/(Arealanvendelse!$M$3-Arealanvendelse!$J$3),IF(B254="Vestdanmark",(Arealanvendelse!$P$27-Arealanvendelse!$M$27),(Arealanvendelse!$P$37-Arealanvendelse!$M$37))/(Arealanvendelse!$P$3-Arealanvendelse!$M$3))*VLOOKUP(A254,Skovbrug!$A$13:$D$17,IF('Skovbrug-alder'!C254&lt;=År2,3,4),FALSE)+D254+E254</f>
        <v>0</v>
      </c>
      <c r="G254" s="168">
        <f ca="1">IF($C254-G$1&lt;År1,0,F253*(1-VLOOKUP($A254,[1]Hugst!$R$5:$W$9,MATCH(ROUNDUP((G$1)/10,0)*10,[1]Hugst!$R$4:$W$4,0))))</f>
        <v>0</v>
      </c>
      <c r="H254" s="168">
        <f ca="1">IF($C254-H$1&lt;År1,0,G253*(1-VLOOKUP($A254,[1]Hugst!$R$5:$W$9,MATCH(ROUNDUP((H$1)/10,0)*10,[1]Hugst!$R$4:$W$4,0))))</f>
        <v>0</v>
      </c>
      <c r="I254" s="168">
        <f ca="1">IF($C254-I$1&lt;År1,0,H253*(1-VLOOKUP($A254,[1]Hugst!$R$5:$W$9,MATCH(ROUNDUP((I$1)/10,0)*10,[1]Hugst!$R$4:$W$4,0))))</f>
        <v>0</v>
      </c>
      <c r="J254" s="168">
        <f ca="1">IF($C254-J$1&lt;År1,0,I253*(1-VLOOKUP($A254,[1]Hugst!$R$5:$W$9,MATCH(ROUNDUP((J$1)/10,0)*10,[1]Hugst!$R$4:$W$4,0))))</f>
        <v>0</v>
      </c>
      <c r="K254" s="168">
        <f>IF($C254-K$1&lt;År1,0,J253*(1-VLOOKUP($A254,[1]Hugst!$R$5:$W$9,MATCH(ROUNDUP((K$1)/10,0)*10,[1]Hugst!$R$4:$W$4,0))))</f>
        <v>0</v>
      </c>
      <c r="L254" s="168">
        <f>IF($C254-L$1&lt;År1,0,K253*(1-VLOOKUP($A254,[1]Hugst!$R$5:$W$9,MATCH(ROUNDUP((L$1)/10,0)*10,[1]Hugst!$R$4:$W$4,0))))</f>
        <v>0</v>
      </c>
      <c r="M254" s="168">
        <f>IF($C254-M$1&lt;År1,0,L253*(1-VLOOKUP($A254,[1]Hugst!$R$5:$W$9,MATCH(ROUNDUP((M$1)/10,0)*10,[1]Hugst!$R$4:$W$4,0))))</f>
        <v>0</v>
      </c>
      <c r="N254" s="168">
        <f>IF($C254-N$1&lt;År1,0,M253*(1-VLOOKUP($A254,[1]Hugst!$R$5:$W$9,MATCH(ROUNDUP((N$1)/10,0)*10,[1]Hugst!$R$4:$W$4,0))))</f>
        <v>0</v>
      </c>
      <c r="O254" s="168">
        <f>IF($C254-O$1&lt;År1,0,N253*(1-VLOOKUP($A254,[1]Hugst!$R$5:$W$9,MATCH(ROUNDUP((O$1)/10,0)*10,[1]Hugst!$R$4:$W$4,0))))</f>
        <v>0</v>
      </c>
      <c r="P254" s="168">
        <f>IF($C254-P$1&lt;År1,0,O253*(1-VLOOKUP($A254,[1]Hugst!$R$5:$W$9,MATCH(ROUNDUP((P$1)/10,0)*10,[1]Hugst!$R$4:$W$4,0))))</f>
        <v>0</v>
      </c>
      <c r="Q254" s="168">
        <f>IF($C254-Q$1&lt;År1,0,P253*(1-VLOOKUP($A254,[1]Hugst!$R$5:$W$9,MATCH(ROUNDUP((Q$1)/10,0)*10,[1]Hugst!$R$4:$W$4,0))))</f>
        <v>0</v>
      </c>
      <c r="R254" s="168">
        <f>IF($C254-R$1&lt;År1,0,Q253*(1-VLOOKUP($A254,[1]Hugst!$R$5:$W$9,MATCH(ROUNDUP((R$1)/10,0)*10,[1]Hugst!$R$4:$W$4,0))))</f>
        <v>0</v>
      </c>
      <c r="S254" s="168">
        <f>IF($C254-S$1&lt;År1,0,R253*(1-VLOOKUP($A254,[1]Hugst!$R$5:$W$9,MATCH(ROUNDUP((S$1)/10,0)*10,[1]Hugst!$R$4:$W$4,0))))</f>
        <v>0</v>
      </c>
      <c r="T254" s="168">
        <f>IF($C254-T$1&lt;År1,0,S253*(1-VLOOKUP($A254,[1]Hugst!$R$5:$W$9,MATCH(ROUNDUP((T$1)/10,0)*10,[1]Hugst!$R$4:$W$4,0))))</f>
        <v>0</v>
      </c>
      <c r="U254" s="168">
        <f>IF($C254-U$1&lt;År1,0,T253*(1-VLOOKUP($A254,[1]Hugst!$R$5:$W$9,MATCH(ROUNDUP((U$1)/10,0)*10,[1]Hugst!$R$4:$W$4,0))))</f>
        <v>0</v>
      </c>
      <c r="V254" s="168">
        <f>IF($C254-V$1&lt;År1,0,U253*(1-VLOOKUP($A254,[1]Hugst!$R$5:$W$9,MATCH(ROUNDUP((V$1)/10,0)*10,[1]Hugst!$R$4:$W$4,0))))</f>
        <v>0</v>
      </c>
      <c r="W254" s="168">
        <f>IF($C254-W$1&lt;År1,0,V253*(1-VLOOKUP($A254,[1]Hugst!$R$5:$W$9,MATCH(ROUNDUP((W$1)/10,0)*10,[1]Hugst!$R$4:$W$4,0))))</f>
        <v>0</v>
      </c>
      <c r="X254" s="168">
        <f>IF($C254-X$1&lt;År1,0,W253*(1-VLOOKUP($A254,[1]Hugst!$R$5:$W$9,MATCH(ROUNDUP((X$1)/10,0)*10,[1]Hugst!$R$4:$W$4,0))))</f>
        <v>0</v>
      </c>
      <c r="Y254" s="168">
        <f>IF($C254-Y$1&lt;År1,0,X253*(1-VLOOKUP($A254,[1]Hugst!$R$5:$W$9,MATCH(ROUNDUP((Y$1)/10,0)*10,[1]Hugst!$R$4:$W$4,0))))</f>
        <v>0</v>
      </c>
      <c r="Z254" s="168">
        <f>IF($C254-Z$1&lt;År1,0,Y253*(1-VLOOKUP($A254,[1]Hugst!$R$5:$W$9,MATCH(ROUNDUP((Z$1)/10,0)*10,[1]Hugst!$R$4:$W$4,0))))</f>
        <v>0</v>
      </c>
      <c r="AA254" s="168">
        <f>IF($C254-AA$1&lt;År1,0,Z253*(1-VLOOKUP($A254,[1]Hugst!$R$5:$W$9,MATCH(ROUNDUP((AA$1)/10,0)*10,[1]Hugst!$R$4:$W$4,0))))</f>
        <v>0</v>
      </c>
      <c r="AB254" s="168">
        <f>IF($C254-AB$1&lt;År1,0,AA253*(1-VLOOKUP($A254,[1]Hugst!$R$5:$W$9,MATCH(ROUNDUP((AB$1)/10,0)*10,[1]Hugst!$R$4:$W$4,0))))</f>
        <v>0</v>
      </c>
      <c r="AC254" s="168">
        <f>IF($C254-AC$1&lt;År1,0,AB253*(1-VLOOKUP($A254,[1]Hugst!$R$5:$W$9,MATCH(ROUNDUP((AC$1)/10,0)*10,[1]Hugst!$R$4:$W$4,0))))</f>
        <v>0</v>
      </c>
      <c r="AD254" s="168">
        <f>IF($C254-AD$1&lt;År1,0,AC253*(1-VLOOKUP($A254,[1]Hugst!$R$5:$W$9,MATCH(ROUNDUP((AD$1)/10,0)*10,[1]Hugst!$R$4:$W$4,0))))</f>
        <v>0</v>
      </c>
      <c r="AE254" s="168">
        <f>IF($C254-AE$1&lt;År1,0,AD253*(1-VLOOKUP($A254,[1]Hugst!$R$5:$W$9,MATCH(ROUNDUP((AE$1)/10,0)*10,[1]Hugst!$R$4:$W$4,0))))</f>
        <v>0</v>
      </c>
      <c r="AF254" s="168">
        <f>IF($C254-AF$1&lt;År1,0,AE253*(1-VLOOKUP($A254,[1]Hugst!$R$5:$W$9,MATCH(ROUNDUP((AF$1)/10,0)*10,[1]Hugst!$R$4:$W$4,0))))</f>
        <v>0</v>
      </c>
      <c r="AG254" s="168">
        <f>IF($C254-AG$1&lt;År1,0,AF253*(1-VLOOKUP($A254,[1]Hugst!$R$5:$W$9,MATCH(ROUNDUP((AG$1)/10,0)*10,[1]Hugst!$R$4:$W$4,0))))</f>
        <v>0</v>
      </c>
      <c r="AH254" s="168">
        <f>IF($C254-AH$1&lt;År1,0,AG253*(1-VLOOKUP($A254,[1]Hugst!$R$5:$W$9,MATCH(ROUNDUP((AH$1)/10,0)*10,[1]Hugst!$R$4:$W$4,0))))</f>
        <v>0</v>
      </c>
      <c r="AI254" s="168">
        <f>IF($C254-AI$1&lt;År1,0,AH253*(1-VLOOKUP($A254,[1]Hugst!$R$5:$W$9,MATCH(ROUNDUP((AI$1)/10,0)*10,[1]Hugst!$R$4:$W$4,0))))</f>
        <v>0</v>
      </c>
      <c r="AJ254" s="168">
        <f>IF($C254-AJ$1&lt;År1,0,AI253*(1-VLOOKUP($A254,[1]Hugst!$R$5:$W$9,MATCH(ROUNDUP((AJ$1)/10,0)*10,[1]Hugst!$R$4:$W$4,0))))</f>
        <v>0</v>
      </c>
    </row>
    <row r="255" spans="1:36" x14ac:dyDescent="0.25">
      <c r="A255" s="168" t="s">
        <v>180</v>
      </c>
      <c r="B255" s="168" t="s">
        <v>23</v>
      </c>
      <c r="C255" s="168">
        <v>2025</v>
      </c>
      <c r="D255" s="168" cm="1">
        <f t="array" ref="D255">(IF(B255="Vestdanmark",Skovbrug!$C$22-(Skovbrug!$C$22)*(1-Skovbrug!$C$9)^(C255-Skovbrug!$B$12),Skovbrug!$F$22-(Skovbrug!$F$22)*(1-Skovbrug!$C$9)^(C255-Skovbrug!$B$12))*VLOOKUP(A255,Skovbrug!$A$13:$D$17,IF('Skovbrug-alder'!C255&lt;=År2,3,4),FALSE)-IF(C255&gt;2020,SUM(INDEX($C$1:$D$311,MATCH(1,(2020=$C$1:$C$311)*(B255=$B$1:$B$311)*(A255=$A$1:$A$311),0),2):D254),0))</f>
        <v>0</v>
      </c>
      <c r="E255" s="168">
        <f t="shared" ca="1" si="6"/>
        <v>0</v>
      </c>
      <c r="F255" s="168">
        <f ca="1">IF(C255&lt;=År2,IF(B255="Vestdanmark",(Arealanvendelse!$M$27-Arealanvendelse!$J$27),(Arealanvendelse!$M$37-Arealanvendelse!$J$37))/(Arealanvendelse!$M$3-Arealanvendelse!$J$3),IF(B255="Vestdanmark",(Arealanvendelse!$P$27-Arealanvendelse!$M$27),(Arealanvendelse!$P$37-Arealanvendelse!$M$37))/(Arealanvendelse!$P$3-Arealanvendelse!$M$3))*VLOOKUP(A255,Skovbrug!$A$13:$D$17,IF('Skovbrug-alder'!C255&lt;=År2,3,4),FALSE)+D255+E255</f>
        <v>0</v>
      </c>
      <c r="G255" s="168">
        <f ca="1">IF($C255-G$1&lt;År1,0,F254*(1-VLOOKUP($A255,[1]Hugst!$R$5:$W$9,MATCH(ROUNDUP((G$1)/10,0)*10,[1]Hugst!$R$4:$W$4,0))))</f>
        <v>0</v>
      </c>
      <c r="H255" s="168">
        <f ca="1">IF($C255-H$1&lt;År1,0,G254*(1-VLOOKUP($A255,[1]Hugst!$R$5:$W$9,MATCH(ROUNDUP((H$1)/10,0)*10,[1]Hugst!$R$4:$W$4,0))))</f>
        <v>0</v>
      </c>
      <c r="I255" s="168">
        <f ca="1">IF($C255-I$1&lt;År1,0,H254*(1-VLOOKUP($A255,[1]Hugst!$R$5:$W$9,MATCH(ROUNDUP((I$1)/10,0)*10,[1]Hugst!$R$4:$W$4,0))))</f>
        <v>0</v>
      </c>
      <c r="J255" s="168">
        <f ca="1">IF($C255-J$1&lt;År1,0,I254*(1-VLOOKUP($A255,[1]Hugst!$R$5:$W$9,MATCH(ROUNDUP((J$1)/10,0)*10,[1]Hugst!$R$4:$W$4,0))))</f>
        <v>0</v>
      </c>
      <c r="K255" s="168">
        <f ca="1">IF($C255-K$1&lt;År1,0,J254*(1-VLOOKUP($A255,[1]Hugst!$R$5:$W$9,MATCH(ROUNDUP((K$1)/10,0)*10,[1]Hugst!$R$4:$W$4,0))))</f>
        <v>0</v>
      </c>
      <c r="L255" s="168">
        <f>IF($C255-L$1&lt;År1,0,K254*(1-VLOOKUP($A255,[1]Hugst!$R$5:$W$9,MATCH(ROUNDUP((L$1)/10,0)*10,[1]Hugst!$R$4:$W$4,0))))</f>
        <v>0</v>
      </c>
      <c r="M255" s="168">
        <f>IF($C255-M$1&lt;År1,0,L254*(1-VLOOKUP($A255,[1]Hugst!$R$5:$W$9,MATCH(ROUNDUP((M$1)/10,0)*10,[1]Hugst!$R$4:$W$4,0))))</f>
        <v>0</v>
      </c>
      <c r="N255" s="168">
        <f>IF($C255-N$1&lt;År1,0,M254*(1-VLOOKUP($A255,[1]Hugst!$R$5:$W$9,MATCH(ROUNDUP((N$1)/10,0)*10,[1]Hugst!$R$4:$W$4,0))))</f>
        <v>0</v>
      </c>
      <c r="O255" s="168">
        <f>IF($C255-O$1&lt;År1,0,N254*(1-VLOOKUP($A255,[1]Hugst!$R$5:$W$9,MATCH(ROUNDUP((O$1)/10,0)*10,[1]Hugst!$R$4:$W$4,0))))</f>
        <v>0</v>
      </c>
      <c r="P255" s="168">
        <f>IF($C255-P$1&lt;År1,0,O254*(1-VLOOKUP($A255,[1]Hugst!$R$5:$W$9,MATCH(ROUNDUP((P$1)/10,0)*10,[1]Hugst!$R$4:$W$4,0))))</f>
        <v>0</v>
      </c>
      <c r="Q255" s="168">
        <f>IF($C255-Q$1&lt;År1,0,P254*(1-VLOOKUP($A255,[1]Hugst!$R$5:$W$9,MATCH(ROUNDUP((Q$1)/10,0)*10,[1]Hugst!$R$4:$W$4,0))))</f>
        <v>0</v>
      </c>
      <c r="R255" s="168">
        <f>IF($C255-R$1&lt;År1,0,Q254*(1-VLOOKUP($A255,[1]Hugst!$R$5:$W$9,MATCH(ROUNDUP((R$1)/10,0)*10,[1]Hugst!$R$4:$W$4,0))))</f>
        <v>0</v>
      </c>
      <c r="S255" s="168">
        <f>IF($C255-S$1&lt;År1,0,R254*(1-VLOOKUP($A255,[1]Hugst!$R$5:$W$9,MATCH(ROUNDUP((S$1)/10,0)*10,[1]Hugst!$R$4:$W$4,0))))</f>
        <v>0</v>
      </c>
      <c r="T255" s="168">
        <f>IF($C255-T$1&lt;År1,0,S254*(1-VLOOKUP($A255,[1]Hugst!$R$5:$W$9,MATCH(ROUNDUP((T$1)/10,0)*10,[1]Hugst!$R$4:$W$4,0))))</f>
        <v>0</v>
      </c>
      <c r="U255" s="168">
        <f>IF($C255-U$1&lt;År1,0,T254*(1-VLOOKUP($A255,[1]Hugst!$R$5:$W$9,MATCH(ROUNDUP((U$1)/10,0)*10,[1]Hugst!$R$4:$W$4,0))))</f>
        <v>0</v>
      </c>
      <c r="V255" s="168">
        <f>IF($C255-V$1&lt;År1,0,U254*(1-VLOOKUP($A255,[1]Hugst!$R$5:$W$9,MATCH(ROUNDUP((V$1)/10,0)*10,[1]Hugst!$R$4:$W$4,0))))</f>
        <v>0</v>
      </c>
      <c r="W255" s="168">
        <f>IF($C255-W$1&lt;År1,0,V254*(1-VLOOKUP($A255,[1]Hugst!$R$5:$W$9,MATCH(ROUNDUP((W$1)/10,0)*10,[1]Hugst!$R$4:$W$4,0))))</f>
        <v>0</v>
      </c>
      <c r="X255" s="168">
        <f>IF($C255-X$1&lt;År1,0,W254*(1-VLOOKUP($A255,[1]Hugst!$R$5:$W$9,MATCH(ROUNDUP((X$1)/10,0)*10,[1]Hugst!$R$4:$W$4,0))))</f>
        <v>0</v>
      </c>
      <c r="Y255" s="168">
        <f>IF($C255-Y$1&lt;År1,0,X254*(1-VLOOKUP($A255,[1]Hugst!$R$5:$W$9,MATCH(ROUNDUP((Y$1)/10,0)*10,[1]Hugst!$R$4:$W$4,0))))</f>
        <v>0</v>
      </c>
      <c r="Z255" s="168">
        <f>IF($C255-Z$1&lt;År1,0,Y254*(1-VLOOKUP($A255,[1]Hugst!$R$5:$W$9,MATCH(ROUNDUP((Z$1)/10,0)*10,[1]Hugst!$R$4:$W$4,0))))</f>
        <v>0</v>
      </c>
      <c r="AA255" s="168">
        <f>IF($C255-AA$1&lt;År1,0,Z254*(1-VLOOKUP($A255,[1]Hugst!$R$5:$W$9,MATCH(ROUNDUP((AA$1)/10,0)*10,[1]Hugst!$R$4:$W$4,0))))</f>
        <v>0</v>
      </c>
      <c r="AB255" s="168">
        <f>IF($C255-AB$1&lt;År1,0,AA254*(1-VLOOKUP($A255,[1]Hugst!$R$5:$W$9,MATCH(ROUNDUP((AB$1)/10,0)*10,[1]Hugst!$R$4:$W$4,0))))</f>
        <v>0</v>
      </c>
      <c r="AC255" s="168">
        <f>IF($C255-AC$1&lt;År1,0,AB254*(1-VLOOKUP($A255,[1]Hugst!$R$5:$W$9,MATCH(ROUNDUP((AC$1)/10,0)*10,[1]Hugst!$R$4:$W$4,0))))</f>
        <v>0</v>
      </c>
      <c r="AD255" s="168">
        <f>IF($C255-AD$1&lt;År1,0,AC254*(1-VLOOKUP($A255,[1]Hugst!$R$5:$W$9,MATCH(ROUNDUP((AD$1)/10,0)*10,[1]Hugst!$R$4:$W$4,0))))</f>
        <v>0</v>
      </c>
      <c r="AE255" s="168">
        <f>IF($C255-AE$1&lt;År1,0,AD254*(1-VLOOKUP($A255,[1]Hugst!$R$5:$W$9,MATCH(ROUNDUP((AE$1)/10,0)*10,[1]Hugst!$R$4:$W$4,0))))</f>
        <v>0</v>
      </c>
      <c r="AF255" s="168">
        <f>IF($C255-AF$1&lt;År1,0,AE254*(1-VLOOKUP($A255,[1]Hugst!$R$5:$W$9,MATCH(ROUNDUP((AF$1)/10,0)*10,[1]Hugst!$R$4:$W$4,0))))</f>
        <v>0</v>
      </c>
      <c r="AG255" s="168">
        <f>IF($C255-AG$1&lt;År1,0,AF254*(1-VLOOKUP($A255,[1]Hugst!$R$5:$W$9,MATCH(ROUNDUP((AG$1)/10,0)*10,[1]Hugst!$R$4:$W$4,0))))</f>
        <v>0</v>
      </c>
      <c r="AH255" s="168">
        <f>IF($C255-AH$1&lt;År1,0,AG254*(1-VLOOKUP($A255,[1]Hugst!$R$5:$W$9,MATCH(ROUNDUP((AH$1)/10,0)*10,[1]Hugst!$R$4:$W$4,0))))</f>
        <v>0</v>
      </c>
      <c r="AI255" s="168">
        <f>IF($C255-AI$1&lt;År1,0,AH254*(1-VLOOKUP($A255,[1]Hugst!$R$5:$W$9,MATCH(ROUNDUP((AI$1)/10,0)*10,[1]Hugst!$R$4:$W$4,0))))</f>
        <v>0</v>
      </c>
      <c r="AJ255" s="168">
        <f>IF($C255-AJ$1&lt;År1,0,AI254*(1-VLOOKUP($A255,[1]Hugst!$R$5:$W$9,MATCH(ROUNDUP((AJ$1)/10,0)*10,[1]Hugst!$R$4:$W$4,0))))</f>
        <v>0</v>
      </c>
    </row>
    <row r="256" spans="1:36" x14ac:dyDescent="0.25">
      <c r="A256" s="168" t="s">
        <v>180</v>
      </c>
      <c r="B256" s="168" t="s">
        <v>23</v>
      </c>
      <c r="C256" s="168">
        <v>2026</v>
      </c>
      <c r="D256" s="168" cm="1">
        <f t="array" ref="D256">(IF(B256="Vestdanmark",Skovbrug!$C$22-(Skovbrug!$C$22)*(1-Skovbrug!$C$9)^(C256-Skovbrug!$B$12),Skovbrug!$F$22-(Skovbrug!$F$22)*(1-Skovbrug!$C$9)^(C256-Skovbrug!$B$12))*VLOOKUP(A256,Skovbrug!$A$13:$D$17,IF('Skovbrug-alder'!C256&lt;=År2,3,4),FALSE)-IF(C256&gt;2020,SUM(INDEX($C$1:$D$311,MATCH(1,(2020=$C$1:$C$311)*(B256=$B$1:$B$311)*(A256=$A$1:$A$311),0),2):D255),0))</f>
        <v>0</v>
      </c>
      <c r="E256" s="168">
        <f t="shared" ca="1" si="6"/>
        <v>0</v>
      </c>
      <c r="F256" s="168">
        <f ca="1">IF(C256&lt;=År2,IF(B256="Vestdanmark",(Arealanvendelse!$M$27-Arealanvendelse!$J$27),(Arealanvendelse!$M$37-Arealanvendelse!$J$37))/(Arealanvendelse!$M$3-Arealanvendelse!$J$3),IF(B256="Vestdanmark",(Arealanvendelse!$P$27-Arealanvendelse!$M$27),(Arealanvendelse!$P$37-Arealanvendelse!$M$37))/(Arealanvendelse!$P$3-Arealanvendelse!$M$3))*VLOOKUP(A256,Skovbrug!$A$13:$D$17,IF('Skovbrug-alder'!C256&lt;=År2,3,4),FALSE)+D256+E256</f>
        <v>0</v>
      </c>
      <c r="G256" s="168">
        <f ca="1">IF($C256-G$1&lt;År1,0,F255*(1-VLOOKUP($A256,[1]Hugst!$R$5:$W$9,MATCH(ROUNDUP((G$1)/10,0)*10,[1]Hugst!$R$4:$W$4,0))))</f>
        <v>0</v>
      </c>
      <c r="H256" s="168">
        <f ca="1">IF($C256-H$1&lt;År1,0,G255*(1-VLOOKUP($A256,[1]Hugst!$R$5:$W$9,MATCH(ROUNDUP((H$1)/10,0)*10,[1]Hugst!$R$4:$W$4,0))))</f>
        <v>0</v>
      </c>
      <c r="I256" s="168">
        <f ca="1">IF($C256-I$1&lt;År1,0,H255*(1-VLOOKUP($A256,[1]Hugst!$R$5:$W$9,MATCH(ROUNDUP((I$1)/10,0)*10,[1]Hugst!$R$4:$W$4,0))))</f>
        <v>0</v>
      </c>
      <c r="J256" s="168">
        <f ca="1">IF($C256-J$1&lt;År1,0,I255*(1-VLOOKUP($A256,[1]Hugst!$R$5:$W$9,MATCH(ROUNDUP((J$1)/10,0)*10,[1]Hugst!$R$4:$W$4,0))))</f>
        <v>0</v>
      </c>
      <c r="K256" s="168">
        <f ca="1">IF($C256-K$1&lt;År1,0,J255*(1-VLOOKUP($A256,[1]Hugst!$R$5:$W$9,MATCH(ROUNDUP((K$1)/10,0)*10,[1]Hugst!$R$4:$W$4,0))))</f>
        <v>0</v>
      </c>
      <c r="L256" s="168">
        <f ca="1">IF($C256-L$1&lt;År1,0,K255*(1-VLOOKUP($A256,[1]Hugst!$R$5:$W$9,MATCH(ROUNDUP((L$1)/10,0)*10,[1]Hugst!$R$4:$W$4,0))))</f>
        <v>0</v>
      </c>
      <c r="M256" s="168">
        <f>IF($C256-M$1&lt;År1,0,L255*(1-VLOOKUP($A256,[1]Hugst!$R$5:$W$9,MATCH(ROUNDUP((M$1)/10,0)*10,[1]Hugst!$R$4:$W$4,0))))</f>
        <v>0</v>
      </c>
      <c r="N256" s="168">
        <f>IF($C256-N$1&lt;År1,0,M255*(1-VLOOKUP($A256,[1]Hugst!$R$5:$W$9,MATCH(ROUNDUP((N$1)/10,0)*10,[1]Hugst!$R$4:$W$4,0))))</f>
        <v>0</v>
      </c>
      <c r="O256" s="168">
        <f>IF($C256-O$1&lt;År1,0,N255*(1-VLOOKUP($A256,[1]Hugst!$R$5:$W$9,MATCH(ROUNDUP((O$1)/10,0)*10,[1]Hugst!$R$4:$W$4,0))))</f>
        <v>0</v>
      </c>
      <c r="P256" s="168">
        <f>IF($C256-P$1&lt;År1,0,O255*(1-VLOOKUP($A256,[1]Hugst!$R$5:$W$9,MATCH(ROUNDUP((P$1)/10,0)*10,[1]Hugst!$R$4:$W$4,0))))</f>
        <v>0</v>
      </c>
      <c r="Q256" s="168">
        <f>IF($C256-Q$1&lt;År1,0,P255*(1-VLOOKUP($A256,[1]Hugst!$R$5:$W$9,MATCH(ROUNDUP((Q$1)/10,0)*10,[1]Hugst!$R$4:$W$4,0))))</f>
        <v>0</v>
      </c>
      <c r="R256" s="168">
        <f>IF($C256-R$1&lt;År1,0,Q255*(1-VLOOKUP($A256,[1]Hugst!$R$5:$W$9,MATCH(ROUNDUP((R$1)/10,0)*10,[1]Hugst!$R$4:$W$4,0))))</f>
        <v>0</v>
      </c>
      <c r="S256" s="168">
        <f>IF($C256-S$1&lt;År1,0,R255*(1-VLOOKUP($A256,[1]Hugst!$R$5:$W$9,MATCH(ROUNDUP((S$1)/10,0)*10,[1]Hugst!$R$4:$W$4,0))))</f>
        <v>0</v>
      </c>
      <c r="T256" s="168">
        <f>IF($C256-T$1&lt;År1,0,S255*(1-VLOOKUP($A256,[1]Hugst!$R$5:$W$9,MATCH(ROUNDUP((T$1)/10,0)*10,[1]Hugst!$R$4:$W$4,0))))</f>
        <v>0</v>
      </c>
      <c r="U256" s="168">
        <f>IF($C256-U$1&lt;År1,0,T255*(1-VLOOKUP($A256,[1]Hugst!$R$5:$W$9,MATCH(ROUNDUP((U$1)/10,0)*10,[1]Hugst!$R$4:$W$4,0))))</f>
        <v>0</v>
      </c>
      <c r="V256" s="168">
        <f>IF($C256-V$1&lt;År1,0,U255*(1-VLOOKUP($A256,[1]Hugst!$R$5:$W$9,MATCH(ROUNDUP((V$1)/10,0)*10,[1]Hugst!$R$4:$W$4,0))))</f>
        <v>0</v>
      </c>
      <c r="W256" s="168">
        <f>IF($C256-W$1&lt;År1,0,V255*(1-VLOOKUP($A256,[1]Hugst!$R$5:$W$9,MATCH(ROUNDUP((W$1)/10,0)*10,[1]Hugst!$R$4:$W$4,0))))</f>
        <v>0</v>
      </c>
      <c r="X256" s="168">
        <f>IF($C256-X$1&lt;År1,0,W255*(1-VLOOKUP($A256,[1]Hugst!$R$5:$W$9,MATCH(ROUNDUP((X$1)/10,0)*10,[1]Hugst!$R$4:$W$4,0))))</f>
        <v>0</v>
      </c>
      <c r="Y256" s="168">
        <f>IF($C256-Y$1&lt;År1,0,X255*(1-VLOOKUP($A256,[1]Hugst!$R$5:$W$9,MATCH(ROUNDUP((Y$1)/10,0)*10,[1]Hugst!$R$4:$W$4,0))))</f>
        <v>0</v>
      </c>
      <c r="Z256" s="168">
        <f>IF($C256-Z$1&lt;År1,0,Y255*(1-VLOOKUP($A256,[1]Hugst!$R$5:$W$9,MATCH(ROUNDUP((Z$1)/10,0)*10,[1]Hugst!$R$4:$W$4,0))))</f>
        <v>0</v>
      </c>
      <c r="AA256" s="168">
        <f>IF($C256-AA$1&lt;År1,0,Z255*(1-VLOOKUP($A256,[1]Hugst!$R$5:$W$9,MATCH(ROUNDUP((AA$1)/10,0)*10,[1]Hugst!$R$4:$W$4,0))))</f>
        <v>0</v>
      </c>
      <c r="AB256" s="168">
        <f>IF($C256-AB$1&lt;År1,0,AA255*(1-VLOOKUP($A256,[1]Hugst!$R$5:$W$9,MATCH(ROUNDUP((AB$1)/10,0)*10,[1]Hugst!$R$4:$W$4,0))))</f>
        <v>0</v>
      </c>
      <c r="AC256" s="168">
        <f>IF($C256-AC$1&lt;År1,0,AB255*(1-VLOOKUP($A256,[1]Hugst!$R$5:$W$9,MATCH(ROUNDUP((AC$1)/10,0)*10,[1]Hugst!$R$4:$W$4,0))))</f>
        <v>0</v>
      </c>
      <c r="AD256" s="168">
        <f>IF($C256-AD$1&lt;År1,0,AC255*(1-VLOOKUP($A256,[1]Hugst!$R$5:$W$9,MATCH(ROUNDUP((AD$1)/10,0)*10,[1]Hugst!$R$4:$W$4,0))))</f>
        <v>0</v>
      </c>
      <c r="AE256" s="168">
        <f>IF($C256-AE$1&lt;År1,0,AD255*(1-VLOOKUP($A256,[1]Hugst!$R$5:$W$9,MATCH(ROUNDUP((AE$1)/10,0)*10,[1]Hugst!$R$4:$W$4,0))))</f>
        <v>0</v>
      </c>
      <c r="AF256" s="168">
        <f>IF($C256-AF$1&lt;År1,0,AE255*(1-VLOOKUP($A256,[1]Hugst!$R$5:$W$9,MATCH(ROUNDUP((AF$1)/10,0)*10,[1]Hugst!$R$4:$W$4,0))))</f>
        <v>0</v>
      </c>
      <c r="AG256" s="168">
        <f>IF($C256-AG$1&lt;År1,0,AF255*(1-VLOOKUP($A256,[1]Hugst!$R$5:$W$9,MATCH(ROUNDUP((AG$1)/10,0)*10,[1]Hugst!$R$4:$W$4,0))))</f>
        <v>0</v>
      </c>
      <c r="AH256" s="168">
        <f>IF($C256-AH$1&lt;År1,0,AG255*(1-VLOOKUP($A256,[1]Hugst!$R$5:$W$9,MATCH(ROUNDUP((AH$1)/10,0)*10,[1]Hugst!$R$4:$W$4,0))))</f>
        <v>0</v>
      </c>
      <c r="AI256" s="168">
        <f>IF($C256-AI$1&lt;År1,0,AH255*(1-VLOOKUP($A256,[1]Hugst!$R$5:$W$9,MATCH(ROUNDUP((AI$1)/10,0)*10,[1]Hugst!$R$4:$W$4,0))))</f>
        <v>0</v>
      </c>
      <c r="AJ256" s="168">
        <f>IF($C256-AJ$1&lt;År1,0,AI255*(1-VLOOKUP($A256,[1]Hugst!$R$5:$W$9,MATCH(ROUNDUP((AJ$1)/10,0)*10,[1]Hugst!$R$4:$W$4,0))))</f>
        <v>0</v>
      </c>
    </row>
    <row r="257" spans="1:36" x14ac:dyDescent="0.25">
      <c r="A257" s="168" t="s">
        <v>180</v>
      </c>
      <c r="B257" s="168" t="s">
        <v>23</v>
      </c>
      <c r="C257" s="168">
        <v>2027</v>
      </c>
      <c r="D257" s="168" cm="1">
        <f t="array" ref="D257">(IF(B257="Vestdanmark",Skovbrug!$C$22-(Skovbrug!$C$22)*(1-Skovbrug!$C$9)^(C257-Skovbrug!$B$12),Skovbrug!$F$22-(Skovbrug!$F$22)*(1-Skovbrug!$C$9)^(C257-Skovbrug!$B$12))*VLOOKUP(A257,Skovbrug!$A$13:$D$17,IF('Skovbrug-alder'!C257&lt;=År2,3,4),FALSE)-IF(C257&gt;2020,SUM(INDEX($C$1:$D$311,MATCH(1,(2020=$C$1:$C$311)*(B257=$B$1:$B$311)*(A257=$A$1:$A$311),0),2):D256),0))</f>
        <v>0</v>
      </c>
      <c r="E257" s="168">
        <f t="shared" ca="1" si="6"/>
        <v>0</v>
      </c>
      <c r="F257" s="168">
        <f ca="1">IF(C257&lt;=År2,IF(B257="Vestdanmark",(Arealanvendelse!$M$27-Arealanvendelse!$J$27),(Arealanvendelse!$M$37-Arealanvendelse!$J$37))/(Arealanvendelse!$M$3-Arealanvendelse!$J$3),IF(B257="Vestdanmark",(Arealanvendelse!$P$27-Arealanvendelse!$M$27),(Arealanvendelse!$P$37-Arealanvendelse!$M$37))/(Arealanvendelse!$P$3-Arealanvendelse!$M$3))*VLOOKUP(A257,Skovbrug!$A$13:$D$17,IF('Skovbrug-alder'!C257&lt;=År2,3,4),FALSE)+D257+E257</f>
        <v>0</v>
      </c>
      <c r="G257" s="168">
        <f ca="1">IF($C257-G$1&lt;År1,0,F256*(1-VLOOKUP($A257,[1]Hugst!$R$5:$W$9,MATCH(ROUNDUP((G$1)/10,0)*10,[1]Hugst!$R$4:$W$4,0))))</f>
        <v>0</v>
      </c>
      <c r="H257" s="168">
        <f ca="1">IF($C257-H$1&lt;År1,0,G256*(1-VLOOKUP($A257,[1]Hugst!$R$5:$W$9,MATCH(ROUNDUP((H$1)/10,0)*10,[1]Hugst!$R$4:$W$4,0))))</f>
        <v>0</v>
      </c>
      <c r="I257" s="168">
        <f ca="1">IF($C257-I$1&lt;År1,0,H256*(1-VLOOKUP($A257,[1]Hugst!$R$5:$W$9,MATCH(ROUNDUP((I$1)/10,0)*10,[1]Hugst!$R$4:$W$4,0))))</f>
        <v>0</v>
      </c>
      <c r="J257" s="168">
        <f ca="1">IF($C257-J$1&lt;År1,0,I256*(1-VLOOKUP($A257,[1]Hugst!$R$5:$W$9,MATCH(ROUNDUP((J$1)/10,0)*10,[1]Hugst!$R$4:$W$4,0))))</f>
        <v>0</v>
      </c>
      <c r="K257" s="168">
        <f ca="1">IF($C257-K$1&lt;År1,0,J256*(1-VLOOKUP($A257,[1]Hugst!$R$5:$W$9,MATCH(ROUNDUP((K$1)/10,0)*10,[1]Hugst!$R$4:$W$4,0))))</f>
        <v>0</v>
      </c>
      <c r="L257" s="168">
        <f ca="1">IF($C257-L$1&lt;År1,0,K256*(1-VLOOKUP($A257,[1]Hugst!$R$5:$W$9,MATCH(ROUNDUP((L$1)/10,0)*10,[1]Hugst!$R$4:$W$4,0))))</f>
        <v>0</v>
      </c>
      <c r="M257" s="168">
        <f ca="1">IF($C257-M$1&lt;År1,0,L256*(1-VLOOKUP($A257,[1]Hugst!$R$5:$W$9,MATCH(ROUNDUP((M$1)/10,0)*10,[1]Hugst!$R$4:$W$4,0))))</f>
        <v>0</v>
      </c>
      <c r="N257" s="168">
        <f>IF($C257-N$1&lt;År1,0,M256*(1-VLOOKUP($A257,[1]Hugst!$R$5:$W$9,MATCH(ROUNDUP((N$1)/10,0)*10,[1]Hugst!$R$4:$W$4,0))))</f>
        <v>0</v>
      </c>
      <c r="O257" s="168">
        <f>IF($C257-O$1&lt;År1,0,N256*(1-VLOOKUP($A257,[1]Hugst!$R$5:$W$9,MATCH(ROUNDUP((O$1)/10,0)*10,[1]Hugst!$R$4:$W$4,0))))</f>
        <v>0</v>
      </c>
      <c r="P257" s="168">
        <f>IF($C257-P$1&lt;År1,0,O256*(1-VLOOKUP($A257,[1]Hugst!$R$5:$W$9,MATCH(ROUNDUP((P$1)/10,0)*10,[1]Hugst!$R$4:$W$4,0))))</f>
        <v>0</v>
      </c>
      <c r="Q257" s="168">
        <f>IF($C257-Q$1&lt;År1,0,P256*(1-VLOOKUP($A257,[1]Hugst!$R$5:$W$9,MATCH(ROUNDUP((Q$1)/10,0)*10,[1]Hugst!$R$4:$W$4,0))))</f>
        <v>0</v>
      </c>
      <c r="R257" s="168">
        <f>IF($C257-R$1&lt;År1,0,Q256*(1-VLOOKUP($A257,[1]Hugst!$R$5:$W$9,MATCH(ROUNDUP((R$1)/10,0)*10,[1]Hugst!$R$4:$W$4,0))))</f>
        <v>0</v>
      </c>
      <c r="S257" s="168">
        <f>IF($C257-S$1&lt;År1,0,R256*(1-VLOOKUP($A257,[1]Hugst!$R$5:$W$9,MATCH(ROUNDUP((S$1)/10,0)*10,[1]Hugst!$R$4:$W$4,0))))</f>
        <v>0</v>
      </c>
      <c r="T257" s="168">
        <f>IF($C257-T$1&lt;År1,0,S256*(1-VLOOKUP($A257,[1]Hugst!$R$5:$W$9,MATCH(ROUNDUP((T$1)/10,0)*10,[1]Hugst!$R$4:$W$4,0))))</f>
        <v>0</v>
      </c>
      <c r="U257" s="168">
        <f>IF($C257-U$1&lt;År1,0,T256*(1-VLOOKUP($A257,[1]Hugst!$R$5:$W$9,MATCH(ROUNDUP((U$1)/10,0)*10,[1]Hugst!$R$4:$W$4,0))))</f>
        <v>0</v>
      </c>
      <c r="V257" s="168">
        <f>IF($C257-V$1&lt;År1,0,U256*(1-VLOOKUP($A257,[1]Hugst!$R$5:$W$9,MATCH(ROUNDUP((V$1)/10,0)*10,[1]Hugst!$R$4:$W$4,0))))</f>
        <v>0</v>
      </c>
      <c r="W257" s="168">
        <f>IF($C257-W$1&lt;År1,0,V256*(1-VLOOKUP($A257,[1]Hugst!$R$5:$W$9,MATCH(ROUNDUP((W$1)/10,0)*10,[1]Hugst!$R$4:$W$4,0))))</f>
        <v>0</v>
      </c>
      <c r="X257" s="168">
        <f>IF($C257-X$1&lt;År1,0,W256*(1-VLOOKUP($A257,[1]Hugst!$R$5:$W$9,MATCH(ROUNDUP((X$1)/10,0)*10,[1]Hugst!$R$4:$W$4,0))))</f>
        <v>0</v>
      </c>
      <c r="Y257" s="168">
        <f>IF($C257-Y$1&lt;År1,0,X256*(1-VLOOKUP($A257,[1]Hugst!$R$5:$W$9,MATCH(ROUNDUP((Y$1)/10,0)*10,[1]Hugst!$R$4:$W$4,0))))</f>
        <v>0</v>
      </c>
      <c r="Z257" s="168">
        <f>IF($C257-Z$1&lt;År1,0,Y256*(1-VLOOKUP($A257,[1]Hugst!$R$5:$W$9,MATCH(ROUNDUP((Z$1)/10,0)*10,[1]Hugst!$R$4:$W$4,0))))</f>
        <v>0</v>
      </c>
      <c r="AA257" s="168">
        <f>IF($C257-AA$1&lt;År1,0,Z256*(1-VLOOKUP($A257,[1]Hugst!$R$5:$W$9,MATCH(ROUNDUP((AA$1)/10,0)*10,[1]Hugst!$R$4:$W$4,0))))</f>
        <v>0</v>
      </c>
      <c r="AB257" s="168">
        <f>IF($C257-AB$1&lt;År1,0,AA256*(1-VLOOKUP($A257,[1]Hugst!$R$5:$W$9,MATCH(ROUNDUP((AB$1)/10,0)*10,[1]Hugst!$R$4:$W$4,0))))</f>
        <v>0</v>
      </c>
      <c r="AC257" s="168">
        <f>IF($C257-AC$1&lt;År1,0,AB256*(1-VLOOKUP($A257,[1]Hugst!$R$5:$W$9,MATCH(ROUNDUP((AC$1)/10,0)*10,[1]Hugst!$R$4:$W$4,0))))</f>
        <v>0</v>
      </c>
      <c r="AD257" s="168">
        <f>IF($C257-AD$1&lt;År1,0,AC256*(1-VLOOKUP($A257,[1]Hugst!$R$5:$W$9,MATCH(ROUNDUP((AD$1)/10,0)*10,[1]Hugst!$R$4:$W$4,0))))</f>
        <v>0</v>
      </c>
      <c r="AE257" s="168">
        <f>IF($C257-AE$1&lt;År1,0,AD256*(1-VLOOKUP($A257,[1]Hugst!$R$5:$W$9,MATCH(ROUNDUP((AE$1)/10,0)*10,[1]Hugst!$R$4:$W$4,0))))</f>
        <v>0</v>
      </c>
      <c r="AF257" s="168">
        <f>IF($C257-AF$1&lt;År1,0,AE256*(1-VLOOKUP($A257,[1]Hugst!$R$5:$W$9,MATCH(ROUNDUP((AF$1)/10,0)*10,[1]Hugst!$R$4:$W$4,0))))</f>
        <v>0</v>
      </c>
      <c r="AG257" s="168">
        <f>IF($C257-AG$1&lt;År1,0,AF256*(1-VLOOKUP($A257,[1]Hugst!$R$5:$W$9,MATCH(ROUNDUP((AG$1)/10,0)*10,[1]Hugst!$R$4:$W$4,0))))</f>
        <v>0</v>
      </c>
      <c r="AH257" s="168">
        <f>IF($C257-AH$1&lt;År1,0,AG256*(1-VLOOKUP($A257,[1]Hugst!$R$5:$W$9,MATCH(ROUNDUP((AH$1)/10,0)*10,[1]Hugst!$R$4:$W$4,0))))</f>
        <v>0</v>
      </c>
      <c r="AI257" s="168">
        <f>IF($C257-AI$1&lt;År1,0,AH256*(1-VLOOKUP($A257,[1]Hugst!$R$5:$W$9,MATCH(ROUNDUP((AI$1)/10,0)*10,[1]Hugst!$R$4:$W$4,0))))</f>
        <v>0</v>
      </c>
      <c r="AJ257" s="168">
        <f>IF($C257-AJ$1&lt;År1,0,AI256*(1-VLOOKUP($A257,[1]Hugst!$R$5:$W$9,MATCH(ROUNDUP((AJ$1)/10,0)*10,[1]Hugst!$R$4:$W$4,0))))</f>
        <v>0</v>
      </c>
    </row>
    <row r="258" spans="1:36" x14ac:dyDescent="0.25">
      <c r="A258" s="168" t="s">
        <v>180</v>
      </c>
      <c r="B258" s="168" t="s">
        <v>23</v>
      </c>
      <c r="C258" s="168">
        <v>2028</v>
      </c>
      <c r="D258" s="168" cm="1">
        <f t="array" ref="D258">(IF(B258="Vestdanmark",Skovbrug!$C$22-(Skovbrug!$C$22)*(1-Skovbrug!$C$9)^(C258-Skovbrug!$B$12),Skovbrug!$F$22-(Skovbrug!$F$22)*(1-Skovbrug!$C$9)^(C258-Skovbrug!$B$12))*VLOOKUP(A258,Skovbrug!$A$13:$D$17,IF('Skovbrug-alder'!C258&lt;=År2,3,4),FALSE)-IF(C258&gt;2020,SUM(INDEX($C$1:$D$311,MATCH(1,(2020=$C$1:$C$311)*(B258=$B$1:$B$311)*(A258=$A$1:$A$311),0),2):D257),0))</f>
        <v>0</v>
      </c>
      <c r="E258" s="168">
        <f t="shared" ca="1" si="6"/>
        <v>0</v>
      </c>
      <c r="F258" s="168">
        <f ca="1">IF(C258&lt;=År2,IF(B258="Vestdanmark",(Arealanvendelse!$M$27-Arealanvendelse!$J$27),(Arealanvendelse!$M$37-Arealanvendelse!$J$37))/(Arealanvendelse!$M$3-Arealanvendelse!$J$3),IF(B258="Vestdanmark",(Arealanvendelse!$P$27-Arealanvendelse!$M$27),(Arealanvendelse!$P$37-Arealanvendelse!$M$37))/(Arealanvendelse!$P$3-Arealanvendelse!$M$3))*VLOOKUP(A258,Skovbrug!$A$13:$D$17,IF('Skovbrug-alder'!C258&lt;=År2,3,4),FALSE)+D258+E258</f>
        <v>0</v>
      </c>
      <c r="G258" s="168">
        <f ca="1">IF($C258-G$1&lt;År1,0,F257*(1-VLOOKUP($A258,[1]Hugst!$R$5:$W$9,MATCH(ROUNDUP((G$1)/10,0)*10,[1]Hugst!$R$4:$W$4,0))))</f>
        <v>0</v>
      </c>
      <c r="H258" s="168">
        <f ca="1">IF($C258-H$1&lt;År1,0,G257*(1-VLOOKUP($A258,[1]Hugst!$R$5:$W$9,MATCH(ROUNDUP((H$1)/10,0)*10,[1]Hugst!$R$4:$W$4,0))))</f>
        <v>0</v>
      </c>
      <c r="I258" s="168">
        <f ca="1">IF($C258-I$1&lt;År1,0,H257*(1-VLOOKUP($A258,[1]Hugst!$R$5:$W$9,MATCH(ROUNDUP((I$1)/10,0)*10,[1]Hugst!$R$4:$W$4,0))))</f>
        <v>0</v>
      </c>
      <c r="J258" s="168">
        <f ca="1">IF($C258-J$1&lt;År1,0,I257*(1-VLOOKUP($A258,[1]Hugst!$R$5:$W$9,MATCH(ROUNDUP((J$1)/10,0)*10,[1]Hugst!$R$4:$W$4,0))))</f>
        <v>0</v>
      </c>
      <c r="K258" s="168">
        <f ca="1">IF($C258-K$1&lt;År1,0,J257*(1-VLOOKUP($A258,[1]Hugst!$R$5:$W$9,MATCH(ROUNDUP((K$1)/10,0)*10,[1]Hugst!$R$4:$W$4,0))))</f>
        <v>0</v>
      </c>
      <c r="L258" s="168">
        <f ca="1">IF($C258-L$1&lt;År1,0,K257*(1-VLOOKUP($A258,[1]Hugst!$R$5:$W$9,MATCH(ROUNDUP((L$1)/10,0)*10,[1]Hugst!$R$4:$W$4,0))))</f>
        <v>0</v>
      </c>
      <c r="M258" s="168">
        <f ca="1">IF($C258-M$1&lt;År1,0,L257*(1-VLOOKUP($A258,[1]Hugst!$R$5:$W$9,MATCH(ROUNDUP((M$1)/10,0)*10,[1]Hugst!$R$4:$W$4,0))))</f>
        <v>0</v>
      </c>
      <c r="N258" s="168">
        <f ca="1">IF($C258-N$1&lt;År1,0,M257*(1-VLOOKUP($A258,[1]Hugst!$R$5:$W$9,MATCH(ROUNDUP((N$1)/10,0)*10,[1]Hugst!$R$4:$W$4,0))))</f>
        <v>0</v>
      </c>
      <c r="O258" s="168">
        <f>IF($C258-O$1&lt;År1,0,N257*(1-VLOOKUP($A258,[1]Hugst!$R$5:$W$9,MATCH(ROUNDUP((O$1)/10,0)*10,[1]Hugst!$R$4:$W$4,0))))</f>
        <v>0</v>
      </c>
      <c r="P258" s="168">
        <f>IF($C258-P$1&lt;År1,0,O257*(1-VLOOKUP($A258,[1]Hugst!$R$5:$W$9,MATCH(ROUNDUP((P$1)/10,0)*10,[1]Hugst!$R$4:$W$4,0))))</f>
        <v>0</v>
      </c>
      <c r="Q258" s="168">
        <f>IF($C258-Q$1&lt;År1,0,P257*(1-VLOOKUP($A258,[1]Hugst!$R$5:$W$9,MATCH(ROUNDUP((Q$1)/10,0)*10,[1]Hugst!$R$4:$W$4,0))))</f>
        <v>0</v>
      </c>
      <c r="R258" s="168">
        <f>IF($C258-R$1&lt;År1,0,Q257*(1-VLOOKUP($A258,[1]Hugst!$R$5:$W$9,MATCH(ROUNDUP((R$1)/10,0)*10,[1]Hugst!$R$4:$W$4,0))))</f>
        <v>0</v>
      </c>
      <c r="S258" s="168">
        <f>IF($C258-S$1&lt;År1,0,R257*(1-VLOOKUP($A258,[1]Hugst!$R$5:$W$9,MATCH(ROUNDUP((S$1)/10,0)*10,[1]Hugst!$R$4:$W$4,0))))</f>
        <v>0</v>
      </c>
      <c r="T258" s="168">
        <f>IF($C258-T$1&lt;År1,0,S257*(1-VLOOKUP($A258,[1]Hugst!$R$5:$W$9,MATCH(ROUNDUP((T$1)/10,0)*10,[1]Hugst!$R$4:$W$4,0))))</f>
        <v>0</v>
      </c>
      <c r="U258" s="168">
        <f>IF($C258-U$1&lt;År1,0,T257*(1-VLOOKUP($A258,[1]Hugst!$R$5:$W$9,MATCH(ROUNDUP((U$1)/10,0)*10,[1]Hugst!$R$4:$W$4,0))))</f>
        <v>0</v>
      </c>
      <c r="V258" s="168">
        <f>IF($C258-V$1&lt;År1,0,U257*(1-VLOOKUP($A258,[1]Hugst!$R$5:$W$9,MATCH(ROUNDUP((V$1)/10,0)*10,[1]Hugst!$R$4:$W$4,0))))</f>
        <v>0</v>
      </c>
      <c r="W258" s="168">
        <f>IF($C258-W$1&lt;År1,0,V257*(1-VLOOKUP($A258,[1]Hugst!$R$5:$W$9,MATCH(ROUNDUP((W$1)/10,0)*10,[1]Hugst!$R$4:$W$4,0))))</f>
        <v>0</v>
      </c>
      <c r="X258" s="168">
        <f>IF($C258-X$1&lt;År1,0,W257*(1-VLOOKUP($A258,[1]Hugst!$R$5:$W$9,MATCH(ROUNDUP((X$1)/10,0)*10,[1]Hugst!$R$4:$W$4,0))))</f>
        <v>0</v>
      </c>
      <c r="Y258" s="168">
        <f>IF($C258-Y$1&lt;År1,0,X257*(1-VLOOKUP($A258,[1]Hugst!$R$5:$W$9,MATCH(ROUNDUP((Y$1)/10,0)*10,[1]Hugst!$R$4:$W$4,0))))</f>
        <v>0</v>
      </c>
      <c r="Z258" s="168">
        <f>IF($C258-Z$1&lt;År1,0,Y257*(1-VLOOKUP($A258,[1]Hugst!$R$5:$W$9,MATCH(ROUNDUP((Z$1)/10,0)*10,[1]Hugst!$R$4:$W$4,0))))</f>
        <v>0</v>
      </c>
      <c r="AA258" s="168">
        <f>IF($C258-AA$1&lt;År1,0,Z257*(1-VLOOKUP($A258,[1]Hugst!$R$5:$W$9,MATCH(ROUNDUP((AA$1)/10,0)*10,[1]Hugst!$R$4:$W$4,0))))</f>
        <v>0</v>
      </c>
      <c r="AB258" s="168">
        <f>IF($C258-AB$1&lt;År1,0,AA257*(1-VLOOKUP($A258,[1]Hugst!$R$5:$W$9,MATCH(ROUNDUP((AB$1)/10,0)*10,[1]Hugst!$R$4:$W$4,0))))</f>
        <v>0</v>
      </c>
      <c r="AC258" s="168">
        <f>IF($C258-AC$1&lt;År1,0,AB257*(1-VLOOKUP($A258,[1]Hugst!$R$5:$W$9,MATCH(ROUNDUP((AC$1)/10,0)*10,[1]Hugst!$R$4:$W$4,0))))</f>
        <v>0</v>
      </c>
      <c r="AD258" s="168">
        <f>IF($C258-AD$1&lt;År1,0,AC257*(1-VLOOKUP($A258,[1]Hugst!$R$5:$W$9,MATCH(ROUNDUP((AD$1)/10,0)*10,[1]Hugst!$R$4:$W$4,0))))</f>
        <v>0</v>
      </c>
      <c r="AE258" s="168">
        <f>IF($C258-AE$1&lt;År1,0,AD257*(1-VLOOKUP($A258,[1]Hugst!$R$5:$W$9,MATCH(ROUNDUP((AE$1)/10,0)*10,[1]Hugst!$R$4:$W$4,0))))</f>
        <v>0</v>
      </c>
      <c r="AF258" s="168">
        <f>IF($C258-AF$1&lt;År1,0,AE257*(1-VLOOKUP($A258,[1]Hugst!$R$5:$W$9,MATCH(ROUNDUP((AF$1)/10,0)*10,[1]Hugst!$R$4:$W$4,0))))</f>
        <v>0</v>
      </c>
      <c r="AG258" s="168">
        <f>IF($C258-AG$1&lt;År1,0,AF257*(1-VLOOKUP($A258,[1]Hugst!$R$5:$W$9,MATCH(ROUNDUP((AG$1)/10,0)*10,[1]Hugst!$R$4:$W$4,0))))</f>
        <v>0</v>
      </c>
      <c r="AH258" s="168">
        <f>IF($C258-AH$1&lt;År1,0,AG257*(1-VLOOKUP($A258,[1]Hugst!$R$5:$W$9,MATCH(ROUNDUP((AH$1)/10,0)*10,[1]Hugst!$R$4:$W$4,0))))</f>
        <v>0</v>
      </c>
      <c r="AI258" s="168">
        <f>IF($C258-AI$1&lt;År1,0,AH257*(1-VLOOKUP($A258,[1]Hugst!$R$5:$W$9,MATCH(ROUNDUP((AI$1)/10,0)*10,[1]Hugst!$R$4:$W$4,0))))</f>
        <v>0</v>
      </c>
      <c r="AJ258" s="168">
        <f>IF($C258-AJ$1&lt;År1,0,AI257*(1-VLOOKUP($A258,[1]Hugst!$R$5:$W$9,MATCH(ROUNDUP((AJ$1)/10,0)*10,[1]Hugst!$R$4:$W$4,0))))</f>
        <v>0</v>
      </c>
    </row>
    <row r="259" spans="1:36" x14ac:dyDescent="0.25">
      <c r="A259" s="168" t="s">
        <v>180</v>
      </c>
      <c r="B259" s="168" t="s">
        <v>23</v>
      </c>
      <c r="C259" s="168">
        <v>2029</v>
      </c>
      <c r="D259" s="168" cm="1">
        <f t="array" ref="D259">(IF(B259="Vestdanmark",Skovbrug!$C$22-(Skovbrug!$C$22)*(1-Skovbrug!$C$9)^(C259-Skovbrug!$B$12),Skovbrug!$F$22-(Skovbrug!$F$22)*(1-Skovbrug!$C$9)^(C259-Skovbrug!$B$12))*VLOOKUP(A259,Skovbrug!$A$13:$D$17,IF('Skovbrug-alder'!C259&lt;=År2,3,4),FALSE)-IF(C259&gt;2020,SUM(INDEX($C$1:$D$311,MATCH(1,(2020=$C$1:$C$311)*(B259=$B$1:$B$311)*(A259=$A$1:$A$311),0),2):D258),0))</f>
        <v>0</v>
      </c>
      <c r="E259" s="168">
        <f t="shared" ca="1" si="6"/>
        <v>0</v>
      </c>
      <c r="F259" s="168">
        <f ca="1">IF(C259&lt;=År2,IF(B259="Vestdanmark",(Arealanvendelse!$M$27-Arealanvendelse!$J$27),(Arealanvendelse!$M$37-Arealanvendelse!$J$37))/(Arealanvendelse!$M$3-Arealanvendelse!$J$3),IF(B259="Vestdanmark",(Arealanvendelse!$P$27-Arealanvendelse!$M$27),(Arealanvendelse!$P$37-Arealanvendelse!$M$37))/(Arealanvendelse!$P$3-Arealanvendelse!$M$3))*VLOOKUP(A259,Skovbrug!$A$13:$D$17,IF('Skovbrug-alder'!C259&lt;=År2,3,4),FALSE)+D259+E259</f>
        <v>0</v>
      </c>
      <c r="G259" s="168">
        <f ca="1">IF($C259-G$1&lt;År1,0,F258*(1-VLOOKUP($A259,[1]Hugst!$R$5:$W$9,MATCH(ROUNDUP((G$1)/10,0)*10,[1]Hugst!$R$4:$W$4,0))))</f>
        <v>0</v>
      </c>
      <c r="H259" s="168">
        <f ca="1">IF($C259-H$1&lt;År1,0,G258*(1-VLOOKUP($A259,[1]Hugst!$R$5:$W$9,MATCH(ROUNDUP((H$1)/10,0)*10,[1]Hugst!$R$4:$W$4,0))))</f>
        <v>0</v>
      </c>
      <c r="I259" s="168">
        <f ca="1">IF($C259-I$1&lt;År1,0,H258*(1-VLOOKUP($A259,[1]Hugst!$R$5:$W$9,MATCH(ROUNDUP((I$1)/10,0)*10,[1]Hugst!$R$4:$W$4,0))))</f>
        <v>0</v>
      </c>
      <c r="J259" s="168">
        <f ca="1">IF($C259-J$1&lt;År1,0,I258*(1-VLOOKUP($A259,[1]Hugst!$R$5:$W$9,MATCH(ROUNDUP((J$1)/10,0)*10,[1]Hugst!$R$4:$W$4,0))))</f>
        <v>0</v>
      </c>
      <c r="K259" s="168">
        <f ca="1">IF($C259-K$1&lt;År1,0,J258*(1-VLOOKUP($A259,[1]Hugst!$R$5:$W$9,MATCH(ROUNDUP((K$1)/10,0)*10,[1]Hugst!$R$4:$W$4,0))))</f>
        <v>0</v>
      </c>
      <c r="L259" s="168">
        <f ca="1">IF($C259-L$1&lt;År1,0,K258*(1-VLOOKUP($A259,[1]Hugst!$R$5:$W$9,MATCH(ROUNDUP((L$1)/10,0)*10,[1]Hugst!$R$4:$W$4,0))))</f>
        <v>0</v>
      </c>
      <c r="M259" s="168">
        <f ca="1">IF($C259-M$1&lt;År1,0,L258*(1-VLOOKUP($A259,[1]Hugst!$R$5:$W$9,MATCH(ROUNDUP((M$1)/10,0)*10,[1]Hugst!$R$4:$W$4,0))))</f>
        <v>0</v>
      </c>
      <c r="N259" s="168">
        <f ca="1">IF($C259-N$1&lt;År1,0,M258*(1-VLOOKUP($A259,[1]Hugst!$R$5:$W$9,MATCH(ROUNDUP((N$1)/10,0)*10,[1]Hugst!$R$4:$W$4,0))))</f>
        <v>0</v>
      </c>
      <c r="O259" s="168">
        <f ca="1">IF($C259-O$1&lt;År1,0,N258*(1-VLOOKUP($A259,[1]Hugst!$R$5:$W$9,MATCH(ROUNDUP((O$1)/10,0)*10,[1]Hugst!$R$4:$W$4,0))))</f>
        <v>0</v>
      </c>
      <c r="P259" s="168">
        <f>IF($C259-P$1&lt;År1,0,O258*(1-VLOOKUP($A259,[1]Hugst!$R$5:$W$9,MATCH(ROUNDUP((P$1)/10,0)*10,[1]Hugst!$R$4:$W$4,0))))</f>
        <v>0</v>
      </c>
      <c r="Q259" s="168">
        <f>IF($C259-Q$1&lt;År1,0,P258*(1-VLOOKUP($A259,[1]Hugst!$R$5:$W$9,MATCH(ROUNDUP((Q$1)/10,0)*10,[1]Hugst!$R$4:$W$4,0))))</f>
        <v>0</v>
      </c>
      <c r="R259" s="168">
        <f>IF($C259-R$1&lt;År1,0,Q258*(1-VLOOKUP($A259,[1]Hugst!$R$5:$W$9,MATCH(ROUNDUP((R$1)/10,0)*10,[1]Hugst!$R$4:$W$4,0))))</f>
        <v>0</v>
      </c>
      <c r="S259" s="168">
        <f>IF($C259-S$1&lt;År1,0,R258*(1-VLOOKUP($A259,[1]Hugst!$R$5:$W$9,MATCH(ROUNDUP((S$1)/10,0)*10,[1]Hugst!$R$4:$W$4,0))))</f>
        <v>0</v>
      </c>
      <c r="T259" s="168">
        <f>IF($C259-T$1&lt;År1,0,S258*(1-VLOOKUP($A259,[1]Hugst!$R$5:$W$9,MATCH(ROUNDUP((T$1)/10,0)*10,[1]Hugst!$R$4:$W$4,0))))</f>
        <v>0</v>
      </c>
      <c r="U259" s="168">
        <f>IF($C259-U$1&lt;År1,0,T258*(1-VLOOKUP($A259,[1]Hugst!$R$5:$W$9,MATCH(ROUNDUP((U$1)/10,0)*10,[1]Hugst!$R$4:$W$4,0))))</f>
        <v>0</v>
      </c>
      <c r="V259" s="168">
        <f>IF($C259-V$1&lt;År1,0,U258*(1-VLOOKUP($A259,[1]Hugst!$R$5:$W$9,MATCH(ROUNDUP((V$1)/10,0)*10,[1]Hugst!$R$4:$W$4,0))))</f>
        <v>0</v>
      </c>
      <c r="W259" s="168">
        <f>IF($C259-W$1&lt;År1,0,V258*(1-VLOOKUP($A259,[1]Hugst!$R$5:$W$9,MATCH(ROUNDUP((W$1)/10,0)*10,[1]Hugst!$R$4:$W$4,0))))</f>
        <v>0</v>
      </c>
      <c r="X259" s="168">
        <f>IF($C259-X$1&lt;År1,0,W258*(1-VLOOKUP($A259,[1]Hugst!$R$5:$W$9,MATCH(ROUNDUP((X$1)/10,0)*10,[1]Hugst!$R$4:$W$4,0))))</f>
        <v>0</v>
      </c>
      <c r="Y259" s="168">
        <f>IF($C259-Y$1&lt;År1,0,X258*(1-VLOOKUP($A259,[1]Hugst!$R$5:$W$9,MATCH(ROUNDUP((Y$1)/10,0)*10,[1]Hugst!$R$4:$W$4,0))))</f>
        <v>0</v>
      </c>
      <c r="Z259" s="168">
        <f>IF($C259-Z$1&lt;År1,0,Y258*(1-VLOOKUP($A259,[1]Hugst!$R$5:$W$9,MATCH(ROUNDUP((Z$1)/10,0)*10,[1]Hugst!$R$4:$W$4,0))))</f>
        <v>0</v>
      </c>
      <c r="AA259" s="168">
        <f>IF($C259-AA$1&lt;År1,0,Z258*(1-VLOOKUP($A259,[1]Hugst!$R$5:$W$9,MATCH(ROUNDUP((AA$1)/10,0)*10,[1]Hugst!$R$4:$W$4,0))))</f>
        <v>0</v>
      </c>
      <c r="AB259" s="168">
        <f>IF($C259-AB$1&lt;År1,0,AA258*(1-VLOOKUP($A259,[1]Hugst!$R$5:$W$9,MATCH(ROUNDUP((AB$1)/10,0)*10,[1]Hugst!$R$4:$W$4,0))))</f>
        <v>0</v>
      </c>
      <c r="AC259" s="168">
        <f>IF($C259-AC$1&lt;År1,0,AB258*(1-VLOOKUP($A259,[1]Hugst!$R$5:$W$9,MATCH(ROUNDUP((AC$1)/10,0)*10,[1]Hugst!$R$4:$W$4,0))))</f>
        <v>0</v>
      </c>
      <c r="AD259" s="168">
        <f>IF($C259-AD$1&lt;År1,0,AC258*(1-VLOOKUP($A259,[1]Hugst!$R$5:$W$9,MATCH(ROUNDUP((AD$1)/10,0)*10,[1]Hugst!$R$4:$W$4,0))))</f>
        <v>0</v>
      </c>
      <c r="AE259" s="168">
        <f>IF($C259-AE$1&lt;År1,0,AD258*(1-VLOOKUP($A259,[1]Hugst!$R$5:$W$9,MATCH(ROUNDUP((AE$1)/10,0)*10,[1]Hugst!$R$4:$W$4,0))))</f>
        <v>0</v>
      </c>
      <c r="AF259" s="168">
        <f>IF($C259-AF$1&lt;År1,0,AE258*(1-VLOOKUP($A259,[1]Hugst!$R$5:$W$9,MATCH(ROUNDUP((AF$1)/10,0)*10,[1]Hugst!$R$4:$W$4,0))))</f>
        <v>0</v>
      </c>
      <c r="AG259" s="168">
        <f>IF($C259-AG$1&lt;År1,0,AF258*(1-VLOOKUP($A259,[1]Hugst!$R$5:$W$9,MATCH(ROUNDUP((AG$1)/10,0)*10,[1]Hugst!$R$4:$W$4,0))))</f>
        <v>0</v>
      </c>
      <c r="AH259" s="168">
        <f>IF($C259-AH$1&lt;År1,0,AG258*(1-VLOOKUP($A259,[1]Hugst!$R$5:$W$9,MATCH(ROUNDUP((AH$1)/10,0)*10,[1]Hugst!$R$4:$W$4,0))))</f>
        <v>0</v>
      </c>
      <c r="AI259" s="168">
        <f>IF($C259-AI$1&lt;År1,0,AH258*(1-VLOOKUP($A259,[1]Hugst!$R$5:$W$9,MATCH(ROUNDUP((AI$1)/10,0)*10,[1]Hugst!$R$4:$W$4,0))))</f>
        <v>0</v>
      </c>
      <c r="AJ259" s="168">
        <f>IF($C259-AJ$1&lt;År1,0,AI258*(1-VLOOKUP($A259,[1]Hugst!$R$5:$W$9,MATCH(ROUNDUP((AJ$1)/10,0)*10,[1]Hugst!$R$4:$W$4,0))))</f>
        <v>0</v>
      </c>
    </row>
    <row r="260" spans="1:36" x14ac:dyDescent="0.25">
      <c r="A260" s="168" t="s">
        <v>180</v>
      </c>
      <c r="B260" s="168" t="s">
        <v>23</v>
      </c>
      <c r="C260" s="168">
        <v>2030</v>
      </c>
      <c r="D260" s="168" cm="1">
        <f t="array" ref="D260">(IF(B260="Vestdanmark",Skovbrug!$C$22-(Skovbrug!$C$22)*(1-Skovbrug!$C$9)^(C260-Skovbrug!$B$12),Skovbrug!$F$22-(Skovbrug!$F$22)*(1-Skovbrug!$C$9)^(C260-Skovbrug!$B$12))*VLOOKUP(A260,Skovbrug!$A$13:$D$17,IF('Skovbrug-alder'!C260&lt;=År2,3,4),FALSE)-IF(C260&gt;2020,SUM(INDEX($C$1:$D$311,MATCH(1,(2020=$C$1:$C$311)*(B260=$B$1:$B$311)*(A260=$A$1:$A$311),0),2):D259),0))</f>
        <v>0</v>
      </c>
      <c r="E260" s="168">
        <f t="shared" ca="1" si="6"/>
        <v>0</v>
      </c>
      <c r="F260" s="168">
        <f ca="1">IF(C260&lt;=År2,IF(B260="Vestdanmark",(Arealanvendelse!$M$27-Arealanvendelse!$J$27),(Arealanvendelse!$M$37-Arealanvendelse!$J$37))/(Arealanvendelse!$M$3-Arealanvendelse!$J$3),IF(B260="Vestdanmark",(Arealanvendelse!$P$27-Arealanvendelse!$M$27),(Arealanvendelse!$P$37-Arealanvendelse!$M$37))/(Arealanvendelse!$P$3-Arealanvendelse!$M$3))*VLOOKUP(A260,Skovbrug!$A$13:$D$17,IF('Skovbrug-alder'!C260&lt;=År2,3,4),FALSE)+D260+E260</f>
        <v>0</v>
      </c>
      <c r="G260" s="168">
        <f ca="1">IF($C260-G$1&lt;År1,0,F259*(1-VLOOKUP($A260,[1]Hugst!$R$5:$W$9,MATCH(ROUNDUP((G$1)/10,0)*10,[1]Hugst!$R$4:$W$4,0))))</f>
        <v>0</v>
      </c>
      <c r="H260" s="168">
        <f ca="1">IF($C260-H$1&lt;År1,0,G259*(1-VLOOKUP($A260,[1]Hugst!$R$5:$W$9,MATCH(ROUNDUP((H$1)/10,0)*10,[1]Hugst!$R$4:$W$4,0))))</f>
        <v>0</v>
      </c>
      <c r="I260" s="168">
        <f ca="1">IF($C260-I$1&lt;År1,0,H259*(1-VLOOKUP($A260,[1]Hugst!$R$5:$W$9,MATCH(ROUNDUP((I$1)/10,0)*10,[1]Hugst!$R$4:$W$4,0))))</f>
        <v>0</v>
      </c>
      <c r="J260" s="168">
        <f ca="1">IF($C260-J$1&lt;År1,0,I259*(1-VLOOKUP($A260,[1]Hugst!$R$5:$W$9,MATCH(ROUNDUP((J$1)/10,0)*10,[1]Hugst!$R$4:$W$4,0))))</f>
        <v>0</v>
      </c>
      <c r="K260" s="168">
        <f ca="1">IF($C260-K$1&lt;År1,0,J259*(1-VLOOKUP($A260,[1]Hugst!$R$5:$W$9,MATCH(ROUNDUP((K$1)/10,0)*10,[1]Hugst!$R$4:$W$4,0))))</f>
        <v>0</v>
      </c>
      <c r="L260" s="168">
        <f ca="1">IF($C260-L$1&lt;År1,0,K259*(1-VLOOKUP($A260,[1]Hugst!$R$5:$W$9,MATCH(ROUNDUP((L$1)/10,0)*10,[1]Hugst!$R$4:$W$4,0))))</f>
        <v>0</v>
      </c>
      <c r="M260" s="168">
        <f ca="1">IF($C260-M$1&lt;År1,0,L259*(1-VLOOKUP($A260,[1]Hugst!$R$5:$W$9,MATCH(ROUNDUP((M$1)/10,0)*10,[1]Hugst!$R$4:$W$4,0))))</f>
        <v>0</v>
      </c>
      <c r="N260" s="168">
        <f ca="1">IF($C260-N$1&lt;År1,0,M259*(1-VLOOKUP($A260,[1]Hugst!$R$5:$W$9,MATCH(ROUNDUP((N$1)/10,0)*10,[1]Hugst!$R$4:$W$4,0))))</f>
        <v>0</v>
      </c>
      <c r="O260" s="168">
        <f ca="1">IF($C260-O$1&lt;År1,0,N259*(1-VLOOKUP($A260,[1]Hugst!$R$5:$W$9,MATCH(ROUNDUP((O$1)/10,0)*10,[1]Hugst!$R$4:$W$4,0))))</f>
        <v>0</v>
      </c>
      <c r="P260" s="168">
        <f ca="1">IF($C260-P$1&lt;År1,0,O259*(1-VLOOKUP($A260,[1]Hugst!$R$5:$W$9,MATCH(ROUNDUP((P$1)/10,0)*10,[1]Hugst!$R$4:$W$4,0))))</f>
        <v>0</v>
      </c>
      <c r="Q260" s="168">
        <f>IF($C260-Q$1&lt;År1,0,P259*(1-VLOOKUP($A260,[1]Hugst!$R$5:$W$9,MATCH(ROUNDUP((Q$1)/10,0)*10,[1]Hugst!$R$4:$W$4,0))))</f>
        <v>0</v>
      </c>
      <c r="R260" s="168">
        <f>IF($C260-R$1&lt;År1,0,Q259*(1-VLOOKUP($A260,[1]Hugst!$R$5:$W$9,MATCH(ROUNDUP((R$1)/10,0)*10,[1]Hugst!$R$4:$W$4,0))))</f>
        <v>0</v>
      </c>
      <c r="S260" s="168">
        <f>IF($C260-S$1&lt;År1,0,R259*(1-VLOOKUP($A260,[1]Hugst!$R$5:$W$9,MATCH(ROUNDUP((S$1)/10,0)*10,[1]Hugst!$R$4:$W$4,0))))</f>
        <v>0</v>
      </c>
      <c r="T260" s="168">
        <f>IF($C260-T$1&lt;År1,0,S259*(1-VLOOKUP($A260,[1]Hugst!$R$5:$W$9,MATCH(ROUNDUP((T$1)/10,0)*10,[1]Hugst!$R$4:$W$4,0))))</f>
        <v>0</v>
      </c>
      <c r="U260" s="168">
        <f>IF($C260-U$1&lt;År1,0,T259*(1-VLOOKUP($A260,[1]Hugst!$R$5:$W$9,MATCH(ROUNDUP((U$1)/10,0)*10,[1]Hugst!$R$4:$W$4,0))))</f>
        <v>0</v>
      </c>
      <c r="V260" s="168">
        <f>IF($C260-V$1&lt;År1,0,U259*(1-VLOOKUP($A260,[1]Hugst!$R$5:$W$9,MATCH(ROUNDUP((V$1)/10,0)*10,[1]Hugst!$R$4:$W$4,0))))</f>
        <v>0</v>
      </c>
      <c r="W260" s="168">
        <f>IF($C260-W$1&lt;År1,0,V259*(1-VLOOKUP($A260,[1]Hugst!$R$5:$W$9,MATCH(ROUNDUP((W$1)/10,0)*10,[1]Hugst!$R$4:$W$4,0))))</f>
        <v>0</v>
      </c>
      <c r="X260" s="168">
        <f>IF($C260-X$1&lt;År1,0,W259*(1-VLOOKUP($A260,[1]Hugst!$R$5:$W$9,MATCH(ROUNDUP((X$1)/10,0)*10,[1]Hugst!$R$4:$W$4,0))))</f>
        <v>0</v>
      </c>
      <c r="Y260" s="168">
        <f>IF($C260-Y$1&lt;År1,0,X259*(1-VLOOKUP($A260,[1]Hugst!$R$5:$W$9,MATCH(ROUNDUP((Y$1)/10,0)*10,[1]Hugst!$R$4:$W$4,0))))</f>
        <v>0</v>
      </c>
      <c r="Z260" s="168">
        <f>IF($C260-Z$1&lt;År1,0,Y259*(1-VLOOKUP($A260,[1]Hugst!$R$5:$W$9,MATCH(ROUNDUP((Z$1)/10,0)*10,[1]Hugst!$R$4:$W$4,0))))</f>
        <v>0</v>
      </c>
      <c r="AA260" s="168">
        <f>IF($C260-AA$1&lt;År1,0,Z259*(1-VLOOKUP($A260,[1]Hugst!$R$5:$W$9,MATCH(ROUNDUP((AA$1)/10,0)*10,[1]Hugst!$R$4:$W$4,0))))</f>
        <v>0</v>
      </c>
      <c r="AB260" s="168">
        <f>IF($C260-AB$1&lt;År1,0,AA259*(1-VLOOKUP($A260,[1]Hugst!$R$5:$W$9,MATCH(ROUNDUP((AB$1)/10,0)*10,[1]Hugst!$R$4:$W$4,0))))</f>
        <v>0</v>
      </c>
      <c r="AC260" s="168">
        <f>IF($C260-AC$1&lt;År1,0,AB259*(1-VLOOKUP($A260,[1]Hugst!$R$5:$W$9,MATCH(ROUNDUP((AC$1)/10,0)*10,[1]Hugst!$R$4:$W$4,0))))</f>
        <v>0</v>
      </c>
      <c r="AD260" s="168">
        <f>IF($C260-AD$1&lt;År1,0,AC259*(1-VLOOKUP($A260,[1]Hugst!$R$5:$W$9,MATCH(ROUNDUP((AD$1)/10,0)*10,[1]Hugst!$R$4:$W$4,0))))</f>
        <v>0</v>
      </c>
      <c r="AE260" s="168">
        <f>IF($C260-AE$1&lt;År1,0,AD259*(1-VLOOKUP($A260,[1]Hugst!$R$5:$W$9,MATCH(ROUNDUP((AE$1)/10,0)*10,[1]Hugst!$R$4:$W$4,0))))</f>
        <v>0</v>
      </c>
      <c r="AF260" s="168">
        <f>IF($C260-AF$1&lt;År1,0,AE259*(1-VLOOKUP($A260,[1]Hugst!$R$5:$W$9,MATCH(ROUNDUP((AF$1)/10,0)*10,[1]Hugst!$R$4:$W$4,0))))</f>
        <v>0</v>
      </c>
      <c r="AG260" s="168">
        <f>IF($C260-AG$1&lt;År1,0,AF259*(1-VLOOKUP($A260,[1]Hugst!$R$5:$W$9,MATCH(ROUNDUP((AG$1)/10,0)*10,[1]Hugst!$R$4:$W$4,0))))</f>
        <v>0</v>
      </c>
      <c r="AH260" s="168">
        <f>IF($C260-AH$1&lt;År1,0,AG259*(1-VLOOKUP($A260,[1]Hugst!$R$5:$W$9,MATCH(ROUNDUP((AH$1)/10,0)*10,[1]Hugst!$R$4:$W$4,0))))</f>
        <v>0</v>
      </c>
      <c r="AI260" s="168">
        <f>IF($C260-AI$1&lt;År1,0,AH259*(1-VLOOKUP($A260,[1]Hugst!$R$5:$W$9,MATCH(ROUNDUP((AI$1)/10,0)*10,[1]Hugst!$R$4:$W$4,0))))</f>
        <v>0</v>
      </c>
      <c r="AJ260" s="168">
        <f>IF($C260-AJ$1&lt;År1,0,AI259*(1-VLOOKUP($A260,[1]Hugst!$R$5:$W$9,MATCH(ROUNDUP((AJ$1)/10,0)*10,[1]Hugst!$R$4:$W$4,0))))</f>
        <v>0</v>
      </c>
    </row>
    <row r="261" spans="1:36" x14ac:dyDescent="0.25">
      <c r="A261" s="168" t="s">
        <v>180</v>
      </c>
      <c r="B261" s="168" t="s">
        <v>23</v>
      </c>
      <c r="C261" s="168">
        <v>2031</v>
      </c>
      <c r="D261" s="168" cm="1">
        <f t="array" ref="D261">(IF(B261="Vestdanmark",Skovbrug!$C$22-(Skovbrug!$C$22)*(1-Skovbrug!$C$9)^(C261-Skovbrug!$B$12),Skovbrug!$F$22-(Skovbrug!$F$22)*(1-Skovbrug!$C$9)^(C261-Skovbrug!$B$12))*VLOOKUP(A261,Skovbrug!$A$13:$D$17,IF('Skovbrug-alder'!C261&lt;=År2,3,4),FALSE)-IF(C261&gt;2020,SUM(INDEX($C$1:$D$311,MATCH(1,(2020=$C$1:$C$311)*(B261=$B$1:$B$311)*(A261=$A$1:$A$311),0),2):D260),0))</f>
        <v>0</v>
      </c>
      <c r="E261" s="168">
        <f t="shared" ca="1" si="6"/>
        <v>0</v>
      </c>
      <c r="F261" s="168">
        <f ca="1">IF(C261&lt;=År2,IF(B261="Vestdanmark",(Arealanvendelse!$M$27-Arealanvendelse!$J$27),(Arealanvendelse!$M$37-Arealanvendelse!$J$37))/(Arealanvendelse!$M$3-Arealanvendelse!$J$3),IF(B261="Vestdanmark",(Arealanvendelse!$P$27-Arealanvendelse!$M$27),(Arealanvendelse!$P$37-Arealanvendelse!$M$37))/(Arealanvendelse!$P$3-Arealanvendelse!$M$3))*VLOOKUP(A261,Skovbrug!$A$13:$D$17,IF('Skovbrug-alder'!C261&lt;=År2,3,4),FALSE)+D261+E261</f>
        <v>0</v>
      </c>
      <c r="G261" s="168">
        <f ca="1">IF($C261-G$1&lt;År1,0,F260*(1-VLOOKUP($A261,[1]Hugst!$R$5:$W$9,MATCH(ROUNDUP((G$1)/10,0)*10,[1]Hugst!$R$4:$W$4,0))))</f>
        <v>0</v>
      </c>
      <c r="H261" s="168">
        <f ca="1">IF($C261-H$1&lt;År1,0,G260*(1-VLOOKUP($A261,[1]Hugst!$R$5:$W$9,MATCH(ROUNDUP((H$1)/10,0)*10,[1]Hugst!$R$4:$W$4,0))))</f>
        <v>0</v>
      </c>
      <c r="I261" s="168">
        <f ca="1">IF($C261-I$1&lt;År1,0,H260*(1-VLOOKUP($A261,[1]Hugst!$R$5:$W$9,MATCH(ROUNDUP((I$1)/10,0)*10,[1]Hugst!$R$4:$W$4,0))))</f>
        <v>0</v>
      </c>
      <c r="J261" s="168">
        <f ca="1">IF($C261-J$1&lt;År1,0,I260*(1-VLOOKUP($A261,[1]Hugst!$R$5:$W$9,MATCH(ROUNDUP((J$1)/10,0)*10,[1]Hugst!$R$4:$W$4,0))))</f>
        <v>0</v>
      </c>
      <c r="K261" s="168">
        <f ca="1">IF($C261-K$1&lt;År1,0,J260*(1-VLOOKUP($A261,[1]Hugst!$R$5:$W$9,MATCH(ROUNDUP((K$1)/10,0)*10,[1]Hugst!$R$4:$W$4,0))))</f>
        <v>0</v>
      </c>
      <c r="L261" s="168">
        <f ca="1">IF($C261-L$1&lt;År1,0,K260*(1-VLOOKUP($A261,[1]Hugst!$R$5:$W$9,MATCH(ROUNDUP((L$1)/10,0)*10,[1]Hugst!$R$4:$W$4,0))))</f>
        <v>0</v>
      </c>
      <c r="M261" s="168">
        <f ca="1">IF($C261-M$1&lt;År1,0,L260*(1-VLOOKUP($A261,[1]Hugst!$R$5:$W$9,MATCH(ROUNDUP((M$1)/10,0)*10,[1]Hugst!$R$4:$W$4,0))))</f>
        <v>0</v>
      </c>
      <c r="N261" s="168">
        <f ca="1">IF($C261-N$1&lt;År1,0,M260*(1-VLOOKUP($A261,[1]Hugst!$R$5:$W$9,MATCH(ROUNDUP((N$1)/10,0)*10,[1]Hugst!$R$4:$W$4,0))))</f>
        <v>0</v>
      </c>
      <c r="O261" s="168">
        <f ca="1">IF($C261-O$1&lt;År1,0,N260*(1-VLOOKUP($A261,[1]Hugst!$R$5:$W$9,MATCH(ROUNDUP((O$1)/10,0)*10,[1]Hugst!$R$4:$W$4,0))))</f>
        <v>0</v>
      </c>
      <c r="P261" s="168">
        <f ca="1">IF($C261-P$1&lt;År1,0,O260*(1-VLOOKUP($A261,[1]Hugst!$R$5:$W$9,MATCH(ROUNDUP((P$1)/10,0)*10,[1]Hugst!$R$4:$W$4,0))))</f>
        <v>0</v>
      </c>
      <c r="Q261" s="168">
        <f ca="1">IF($C261-Q$1&lt;År1,0,P260*(1-VLOOKUP($A261,[1]Hugst!$R$5:$W$9,MATCH(ROUNDUP((Q$1)/10,0)*10,[1]Hugst!$R$4:$W$4,0))))</f>
        <v>0</v>
      </c>
      <c r="R261" s="168">
        <f>IF($C261-R$1&lt;År1,0,Q260*(1-VLOOKUP($A261,[1]Hugst!$R$5:$W$9,MATCH(ROUNDUP((R$1)/10,0)*10,[1]Hugst!$R$4:$W$4,0))))</f>
        <v>0</v>
      </c>
      <c r="S261" s="168">
        <f>IF($C261-S$1&lt;År1,0,R260*(1-VLOOKUP($A261,[1]Hugst!$R$5:$W$9,MATCH(ROUNDUP((S$1)/10,0)*10,[1]Hugst!$R$4:$W$4,0))))</f>
        <v>0</v>
      </c>
      <c r="T261" s="168">
        <f>IF($C261-T$1&lt;År1,0,S260*(1-VLOOKUP($A261,[1]Hugst!$R$5:$W$9,MATCH(ROUNDUP((T$1)/10,0)*10,[1]Hugst!$R$4:$W$4,0))))</f>
        <v>0</v>
      </c>
      <c r="U261" s="168">
        <f>IF($C261-U$1&lt;År1,0,T260*(1-VLOOKUP($A261,[1]Hugst!$R$5:$W$9,MATCH(ROUNDUP((U$1)/10,0)*10,[1]Hugst!$R$4:$W$4,0))))</f>
        <v>0</v>
      </c>
      <c r="V261" s="168">
        <f>IF($C261-V$1&lt;År1,0,U260*(1-VLOOKUP($A261,[1]Hugst!$R$5:$W$9,MATCH(ROUNDUP((V$1)/10,0)*10,[1]Hugst!$R$4:$W$4,0))))</f>
        <v>0</v>
      </c>
      <c r="W261" s="168">
        <f>IF($C261-W$1&lt;År1,0,V260*(1-VLOOKUP($A261,[1]Hugst!$R$5:$W$9,MATCH(ROUNDUP((W$1)/10,0)*10,[1]Hugst!$R$4:$W$4,0))))</f>
        <v>0</v>
      </c>
      <c r="X261" s="168">
        <f>IF($C261-X$1&lt;År1,0,W260*(1-VLOOKUP($A261,[1]Hugst!$R$5:$W$9,MATCH(ROUNDUP((X$1)/10,0)*10,[1]Hugst!$R$4:$W$4,0))))</f>
        <v>0</v>
      </c>
      <c r="Y261" s="168">
        <f>IF($C261-Y$1&lt;År1,0,X260*(1-VLOOKUP($A261,[1]Hugst!$R$5:$W$9,MATCH(ROUNDUP((Y$1)/10,0)*10,[1]Hugst!$R$4:$W$4,0))))</f>
        <v>0</v>
      </c>
      <c r="Z261" s="168">
        <f>IF($C261-Z$1&lt;År1,0,Y260*(1-VLOOKUP($A261,[1]Hugst!$R$5:$W$9,MATCH(ROUNDUP((Z$1)/10,0)*10,[1]Hugst!$R$4:$W$4,0))))</f>
        <v>0</v>
      </c>
      <c r="AA261" s="168">
        <f>IF($C261-AA$1&lt;År1,0,Z260*(1-VLOOKUP($A261,[1]Hugst!$R$5:$W$9,MATCH(ROUNDUP((AA$1)/10,0)*10,[1]Hugst!$R$4:$W$4,0))))</f>
        <v>0</v>
      </c>
      <c r="AB261" s="168">
        <f>IF($C261-AB$1&lt;År1,0,AA260*(1-VLOOKUP($A261,[1]Hugst!$R$5:$W$9,MATCH(ROUNDUP((AB$1)/10,0)*10,[1]Hugst!$R$4:$W$4,0))))</f>
        <v>0</v>
      </c>
      <c r="AC261" s="168">
        <f>IF($C261-AC$1&lt;År1,0,AB260*(1-VLOOKUP($A261,[1]Hugst!$R$5:$W$9,MATCH(ROUNDUP((AC$1)/10,0)*10,[1]Hugst!$R$4:$W$4,0))))</f>
        <v>0</v>
      </c>
      <c r="AD261" s="168">
        <f>IF($C261-AD$1&lt;År1,0,AC260*(1-VLOOKUP($A261,[1]Hugst!$R$5:$W$9,MATCH(ROUNDUP((AD$1)/10,0)*10,[1]Hugst!$R$4:$W$4,0))))</f>
        <v>0</v>
      </c>
      <c r="AE261" s="168">
        <f>IF($C261-AE$1&lt;År1,0,AD260*(1-VLOOKUP($A261,[1]Hugst!$R$5:$W$9,MATCH(ROUNDUP((AE$1)/10,0)*10,[1]Hugst!$R$4:$W$4,0))))</f>
        <v>0</v>
      </c>
      <c r="AF261" s="168">
        <f>IF($C261-AF$1&lt;År1,0,AE260*(1-VLOOKUP($A261,[1]Hugst!$R$5:$W$9,MATCH(ROUNDUP((AF$1)/10,0)*10,[1]Hugst!$R$4:$W$4,0))))</f>
        <v>0</v>
      </c>
      <c r="AG261" s="168">
        <f>IF($C261-AG$1&lt;År1,0,AF260*(1-VLOOKUP($A261,[1]Hugst!$R$5:$W$9,MATCH(ROUNDUP((AG$1)/10,0)*10,[1]Hugst!$R$4:$W$4,0))))</f>
        <v>0</v>
      </c>
      <c r="AH261" s="168">
        <f>IF($C261-AH$1&lt;År1,0,AG260*(1-VLOOKUP($A261,[1]Hugst!$R$5:$W$9,MATCH(ROUNDUP((AH$1)/10,0)*10,[1]Hugst!$R$4:$W$4,0))))</f>
        <v>0</v>
      </c>
      <c r="AI261" s="168">
        <f>IF($C261-AI$1&lt;År1,0,AH260*(1-VLOOKUP($A261,[1]Hugst!$R$5:$W$9,MATCH(ROUNDUP((AI$1)/10,0)*10,[1]Hugst!$R$4:$W$4,0))))</f>
        <v>0</v>
      </c>
      <c r="AJ261" s="168">
        <f>IF($C261-AJ$1&lt;År1,0,AI260*(1-VLOOKUP($A261,[1]Hugst!$R$5:$W$9,MATCH(ROUNDUP((AJ$1)/10,0)*10,[1]Hugst!$R$4:$W$4,0))))</f>
        <v>0</v>
      </c>
    </row>
    <row r="262" spans="1:36" x14ac:dyDescent="0.25">
      <c r="A262" s="168" t="s">
        <v>180</v>
      </c>
      <c r="B262" s="168" t="s">
        <v>23</v>
      </c>
      <c r="C262" s="168">
        <v>2032</v>
      </c>
      <c r="D262" s="168" cm="1">
        <f t="array" ref="D262">(IF(B262="Vestdanmark",Skovbrug!$C$22-(Skovbrug!$C$22)*(1-Skovbrug!$C$9)^(C262-Skovbrug!$B$12),Skovbrug!$F$22-(Skovbrug!$F$22)*(1-Skovbrug!$C$9)^(C262-Skovbrug!$B$12))*VLOOKUP(A262,Skovbrug!$A$13:$D$17,IF('Skovbrug-alder'!C262&lt;=År2,3,4),FALSE)-IF(C262&gt;2020,SUM(INDEX($C$1:$D$311,MATCH(1,(2020=$C$1:$C$311)*(B262=$B$1:$B$311)*(A262=$A$1:$A$311),0),2):D261),0))</f>
        <v>0</v>
      </c>
      <c r="E262" s="168">
        <f t="shared" ca="1" si="6"/>
        <v>0</v>
      </c>
      <c r="F262" s="168">
        <f ca="1">IF(C262&lt;=År2,IF(B262="Vestdanmark",(Arealanvendelse!$M$27-Arealanvendelse!$J$27),(Arealanvendelse!$M$37-Arealanvendelse!$J$37))/(Arealanvendelse!$M$3-Arealanvendelse!$J$3),IF(B262="Vestdanmark",(Arealanvendelse!$P$27-Arealanvendelse!$M$27),(Arealanvendelse!$P$37-Arealanvendelse!$M$37))/(Arealanvendelse!$P$3-Arealanvendelse!$M$3))*VLOOKUP(A262,Skovbrug!$A$13:$D$17,IF('Skovbrug-alder'!C262&lt;=År2,3,4),FALSE)+D262+E262</f>
        <v>0</v>
      </c>
      <c r="G262" s="168">
        <f ca="1">IF($C262-G$1&lt;År1,0,F261*(1-VLOOKUP($A262,[1]Hugst!$R$5:$W$9,MATCH(ROUNDUP((G$1)/10,0)*10,[1]Hugst!$R$4:$W$4,0))))</f>
        <v>0</v>
      </c>
      <c r="H262" s="168">
        <f ca="1">IF($C262-H$1&lt;År1,0,G261*(1-VLOOKUP($A262,[1]Hugst!$R$5:$W$9,MATCH(ROUNDUP((H$1)/10,0)*10,[1]Hugst!$R$4:$W$4,0))))</f>
        <v>0</v>
      </c>
      <c r="I262" s="168">
        <f ca="1">IF($C262-I$1&lt;År1,0,H261*(1-VLOOKUP($A262,[1]Hugst!$R$5:$W$9,MATCH(ROUNDUP((I$1)/10,0)*10,[1]Hugst!$R$4:$W$4,0))))</f>
        <v>0</v>
      </c>
      <c r="J262" s="168">
        <f ca="1">IF($C262-J$1&lt;År1,0,I261*(1-VLOOKUP($A262,[1]Hugst!$R$5:$W$9,MATCH(ROUNDUP((J$1)/10,0)*10,[1]Hugst!$R$4:$W$4,0))))</f>
        <v>0</v>
      </c>
      <c r="K262" s="168">
        <f ca="1">IF($C262-K$1&lt;År1,0,J261*(1-VLOOKUP($A262,[1]Hugst!$R$5:$W$9,MATCH(ROUNDUP((K$1)/10,0)*10,[1]Hugst!$R$4:$W$4,0))))</f>
        <v>0</v>
      </c>
      <c r="L262" s="168">
        <f ca="1">IF($C262-L$1&lt;År1,0,K261*(1-VLOOKUP($A262,[1]Hugst!$R$5:$W$9,MATCH(ROUNDUP((L$1)/10,0)*10,[1]Hugst!$R$4:$W$4,0))))</f>
        <v>0</v>
      </c>
      <c r="M262" s="168">
        <f ca="1">IF($C262-M$1&lt;År1,0,L261*(1-VLOOKUP($A262,[1]Hugst!$R$5:$W$9,MATCH(ROUNDUP((M$1)/10,0)*10,[1]Hugst!$R$4:$W$4,0))))</f>
        <v>0</v>
      </c>
      <c r="N262" s="168">
        <f ca="1">IF($C262-N$1&lt;År1,0,M261*(1-VLOOKUP($A262,[1]Hugst!$R$5:$W$9,MATCH(ROUNDUP((N$1)/10,0)*10,[1]Hugst!$R$4:$W$4,0))))</f>
        <v>0</v>
      </c>
      <c r="O262" s="168">
        <f ca="1">IF($C262-O$1&lt;År1,0,N261*(1-VLOOKUP($A262,[1]Hugst!$R$5:$W$9,MATCH(ROUNDUP((O$1)/10,0)*10,[1]Hugst!$R$4:$W$4,0))))</f>
        <v>0</v>
      </c>
      <c r="P262" s="168">
        <f ca="1">IF($C262-P$1&lt;År1,0,O261*(1-VLOOKUP($A262,[1]Hugst!$R$5:$W$9,MATCH(ROUNDUP((P$1)/10,0)*10,[1]Hugst!$R$4:$W$4,0))))</f>
        <v>0</v>
      </c>
      <c r="Q262" s="168">
        <f ca="1">IF($C262-Q$1&lt;År1,0,P261*(1-VLOOKUP($A262,[1]Hugst!$R$5:$W$9,MATCH(ROUNDUP((Q$1)/10,0)*10,[1]Hugst!$R$4:$W$4,0))))</f>
        <v>0</v>
      </c>
      <c r="R262" s="168">
        <f ca="1">IF($C262-R$1&lt;År1,0,Q261*(1-VLOOKUP($A262,[1]Hugst!$R$5:$W$9,MATCH(ROUNDUP((R$1)/10,0)*10,[1]Hugst!$R$4:$W$4,0))))</f>
        <v>0</v>
      </c>
      <c r="S262" s="168">
        <f>IF($C262-S$1&lt;År1,0,R261*(1-VLOOKUP($A262,[1]Hugst!$R$5:$W$9,MATCH(ROUNDUP((S$1)/10,0)*10,[1]Hugst!$R$4:$W$4,0))))</f>
        <v>0</v>
      </c>
      <c r="T262" s="168">
        <f>IF($C262-T$1&lt;År1,0,S261*(1-VLOOKUP($A262,[1]Hugst!$R$5:$W$9,MATCH(ROUNDUP((T$1)/10,0)*10,[1]Hugst!$R$4:$W$4,0))))</f>
        <v>0</v>
      </c>
      <c r="U262" s="168">
        <f>IF($C262-U$1&lt;År1,0,T261*(1-VLOOKUP($A262,[1]Hugst!$R$5:$W$9,MATCH(ROUNDUP((U$1)/10,0)*10,[1]Hugst!$R$4:$W$4,0))))</f>
        <v>0</v>
      </c>
      <c r="V262" s="168">
        <f>IF($C262-V$1&lt;År1,0,U261*(1-VLOOKUP($A262,[1]Hugst!$R$5:$W$9,MATCH(ROUNDUP((V$1)/10,0)*10,[1]Hugst!$R$4:$W$4,0))))</f>
        <v>0</v>
      </c>
      <c r="W262" s="168">
        <f>IF($C262-W$1&lt;År1,0,V261*(1-VLOOKUP($A262,[1]Hugst!$R$5:$W$9,MATCH(ROUNDUP((W$1)/10,0)*10,[1]Hugst!$R$4:$W$4,0))))</f>
        <v>0</v>
      </c>
      <c r="X262" s="168">
        <f>IF($C262-X$1&lt;År1,0,W261*(1-VLOOKUP($A262,[1]Hugst!$R$5:$W$9,MATCH(ROUNDUP((X$1)/10,0)*10,[1]Hugst!$R$4:$W$4,0))))</f>
        <v>0</v>
      </c>
      <c r="Y262" s="168">
        <f>IF($C262-Y$1&lt;År1,0,X261*(1-VLOOKUP($A262,[1]Hugst!$R$5:$W$9,MATCH(ROUNDUP((Y$1)/10,0)*10,[1]Hugst!$R$4:$W$4,0))))</f>
        <v>0</v>
      </c>
      <c r="Z262" s="168">
        <f>IF($C262-Z$1&lt;År1,0,Y261*(1-VLOOKUP($A262,[1]Hugst!$R$5:$W$9,MATCH(ROUNDUP((Z$1)/10,0)*10,[1]Hugst!$R$4:$W$4,0))))</f>
        <v>0</v>
      </c>
      <c r="AA262" s="168">
        <f>IF($C262-AA$1&lt;År1,0,Z261*(1-VLOOKUP($A262,[1]Hugst!$R$5:$W$9,MATCH(ROUNDUP((AA$1)/10,0)*10,[1]Hugst!$R$4:$W$4,0))))</f>
        <v>0</v>
      </c>
      <c r="AB262" s="168">
        <f>IF($C262-AB$1&lt;År1,0,AA261*(1-VLOOKUP($A262,[1]Hugst!$R$5:$W$9,MATCH(ROUNDUP((AB$1)/10,0)*10,[1]Hugst!$R$4:$W$4,0))))</f>
        <v>0</v>
      </c>
      <c r="AC262" s="168">
        <f>IF($C262-AC$1&lt;År1,0,AB261*(1-VLOOKUP($A262,[1]Hugst!$R$5:$W$9,MATCH(ROUNDUP((AC$1)/10,0)*10,[1]Hugst!$R$4:$W$4,0))))</f>
        <v>0</v>
      </c>
      <c r="AD262" s="168">
        <f>IF($C262-AD$1&lt;År1,0,AC261*(1-VLOOKUP($A262,[1]Hugst!$R$5:$W$9,MATCH(ROUNDUP((AD$1)/10,0)*10,[1]Hugst!$R$4:$W$4,0))))</f>
        <v>0</v>
      </c>
      <c r="AE262" s="168">
        <f>IF($C262-AE$1&lt;År1,0,AD261*(1-VLOOKUP($A262,[1]Hugst!$R$5:$W$9,MATCH(ROUNDUP((AE$1)/10,0)*10,[1]Hugst!$R$4:$W$4,0))))</f>
        <v>0</v>
      </c>
      <c r="AF262" s="168">
        <f>IF($C262-AF$1&lt;År1,0,AE261*(1-VLOOKUP($A262,[1]Hugst!$R$5:$W$9,MATCH(ROUNDUP((AF$1)/10,0)*10,[1]Hugst!$R$4:$W$4,0))))</f>
        <v>0</v>
      </c>
      <c r="AG262" s="168">
        <f>IF($C262-AG$1&lt;År1,0,AF261*(1-VLOOKUP($A262,[1]Hugst!$R$5:$W$9,MATCH(ROUNDUP((AG$1)/10,0)*10,[1]Hugst!$R$4:$W$4,0))))</f>
        <v>0</v>
      </c>
      <c r="AH262" s="168">
        <f>IF($C262-AH$1&lt;År1,0,AG261*(1-VLOOKUP($A262,[1]Hugst!$R$5:$W$9,MATCH(ROUNDUP((AH$1)/10,0)*10,[1]Hugst!$R$4:$W$4,0))))</f>
        <v>0</v>
      </c>
      <c r="AI262" s="168">
        <f>IF($C262-AI$1&lt;År1,0,AH261*(1-VLOOKUP($A262,[1]Hugst!$R$5:$W$9,MATCH(ROUNDUP((AI$1)/10,0)*10,[1]Hugst!$R$4:$W$4,0))))</f>
        <v>0</v>
      </c>
      <c r="AJ262" s="168">
        <f>IF($C262-AJ$1&lt;År1,0,AI261*(1-VLOOKUP($A262,[1]Hugst!$R$5:$W$9,MATCH(ROUNDUP((AJ$1)/10,0)*10,[1]Hugst!$R$4:$W$4,0))))</f>
        <v>0</v>
      </c>
    </row>
    <row r="263" spans="1:36" x14ac:dyDescent="0.25">
      <c r="A263" s="168" t="s">
        <v>180</v>
      </c>
      <c r="B263" s="168" t="s">
        <v>23</v>
      </c>
      <c r="C263" s="168">
        <v>2033</v>
      </c>
      <c r="D263" s="168" cm="1">
        <f t="array" ref="D263">(IF(B263="Vestdanmark",Skovbrug!$C$22-(Skovbrug!$C$22)*(1-Skovbrug!$C$9)^(C263-Skovbrug!$B$12),Skovbrug!$F$22-(Skovbrug!$F$22)*(1-Skovbrug!$C$9)^(C263-Skovbrug!$B$12))*VLOOKUP(A263,Skovbrug!$A$13:$D$17,IF('Skovbrug-alder'!C263&lt;=År2,3,4),FALSE)-IF(C263&gt;2020,SUM(INDEX($C$1:$D$311,MATCH(1,(2020=$C$1:$C$311)*(B263=$B$1:$B$311)*(A263=$A$1:$A$311),0),2):D262),0))</f>
        <v>0</v>
      </c>
      <c r="E263" s="168">
        <f t="shared" ca="1" si="6"/>
        <v>0</v>
      </c>
      <c r="F263" s="168">
        <f ca="1">IF(C263&lt;=År2,IF(B263="Vestdanmark",(Arealanvendelse!$M$27-Arealanvendelse!$J$27),(Arealanvendelse!$M$37-Arealanvendelse!$J$37))/(Arealanvendelse!$M$3-Arealanvendelse!$J$3),IF(B263="Vestdanmark",(Arealanvendelse!$P$27-Arealanvendelse!$M$27),(Arealanvendelse!$P$37-Arealanvendelse!$M$37))/(Arealanvendelse!$P$3-Arealanvendelse!$M$3))*VLOOKUP(A263,Skovbrug!$A$13:$D$17,IF('Skovbrug-alder'!C263&lt;=År2,3,4),FALSE)+D263+E263</f>
        <v>0</v>
      </c>
      <c r="G263" s="168">
        <f ca="1">IF($C263-G$1&lt;År1,0,F262*(1-VLOOKUP($A263,[1]Hugst!$R$5:$W$9,MATCH(ROUNDUP((G$1)/10,0)*10,[1]Hugst!$R$4:$W$4,0))))</f>
        <v>0</v>
      </c>
      <c r="H263" s="168">
        <f ca="1">IF($C263-H$1&lt;År1,0,G262*(1-VLOOKUP($A263,[1]Hugst!$R$5:$W$9,MATCH(ROUNDUP((H$1)/10,0)*10,[1]Hugst!$R$4:$W$4,0))))</f>
        <v>0</v>
      </c>
      <c r="I263" s="168">
        <f ca="1">IF($C263-I$1&lt;År1,0,H262*(1-VLOOKUP($A263,[1]Hugst!$R$5:$W$9,MATCH(ROUNDUP((I$1)/10,0)*10,[1]Hugst!$R$4:$W$4,0))))</f>
        <v>0</v>
      </c>
      <c r="J263" s="168">
        <f ca="1">IF($C263-J$1&lt;År1,0,I262*(1-VLOOKUP($A263,[1]Hugst!$R$5:$W$9,MATCH(ROUNDUP((J$1)/10,0)*10,[1]Hugst!$R$4:$W$4,0))))</f>
        <v>0</v>
      </c>
      <c r="K263" s="168">
        <f ca="1">IF($C263-K$1&lt;År1,0,J262*(1-VLOOKUP($A263,[1]Hugst!$R$5:$W$9,MATCH(ROUNDUP((K$1)/10,0)*10,[1]Hugst!$R$4:$W$4,0))))</f>
        <v>0</v>
      </c>
      <c r="L263" s="168">
        <f ca="1">IF($C263-L$1&lt;År1,0,K262*(1-VLOOKUP($A263,[1]Hugst!$R$5:$W$9,MATCH(ROUNDUP((L$1)/10,0)*10,[1]Hugst!$R$4:$W$4,0))))</f>
        <v>0</v>
      </c>
      <c r="M263" s="168">
        <f ca="1">IF($C263-M$1&lt;År1,0,L262*(1-VLOOKUP($A263,[1]Hugst!$R$5:$W$9,MATCH(ROUNDUP((M$1)/10,0)*10,[1]Hugst!$R$4:$W$4,0))))</f>
        <v>0</v>
      </c>
      <c r="N263" s="168">
        <f ca="1">IF($C263-N$1&lt;År1,0,M262*(1-VLOOKUP($A263,[1]Hugst!$R$5:$W$9,MATCH(ROUNDUP((N$1)/10,0)*10,[1]Hugst!$R$4:$W$4,0))))</f>
        <v>0</v>
      </c>
      <c r="O263" s="168">
        <f ca="1">IF($C263-O$1&lt;År1,0,N262*(1-VLOOKUP($A263,[1]Hugst!$R$5:$W$9,MATCH(ROUNDUP((O$1)/10,0)*10,[1]Hugst!$R$4:$W$4,0))))</f>
        <v>0</v>
      </c>
      <c r="P263" s="168">
        <f ca="1">IF($C263-P$1&lt;År1,0,O262*(1-VLOOKUP($A263,[1]Hugst!$R$5:$W$9,MATCH(ROUNDUP((P$1)/10,0)*10,[1]Hugst!$R$4:$W$4,0))))</f>
        <v>0</v>
      </c>
      <c r="Q263" s="168">
        <f ca="1">IF($C263-Q$1&lt;År1,0,P262*(1-VLOOKUP($A263,[1]Hugst!$R$5:$W$9,MATCH(ROUNDUP((Q$1)/10,0)*10,[1]Hugst!$R$4:$W$4,0))))</f>
        <v>0</v>
      </c>
      <c r="R263" s="168">
        <f ca="1">IF($C263-R$1&lt;År1,0,Q262*(1-VLOOKUP($A263,[1]Hugst!$R$5:$W$9,MATCH(ROUNDUP((R$1)/10,0)*10,[1]Hugst!$R$4:$W$4,0))))</f>
        <v>0</v>
      </c>
      <c r="S263" s="168">
        <f ca="1">IF($C263-S$1&lt;År1,0,R262*(1-VLOOKUP($A263,[1]Hugst!$R$5:$W$9,MATCH(ROUNDUP((S$1)/10,0)*10,[1]Hugst!$R$4:$W$4,0))))</f>
        <v>0</v>
      </c>
      <c r="T263" s="168">
        <f>IF($C263-T$1&lt;År1,0,S262*(1-VLOOKUP($A263,[1]Hugst!$R$5:$W$9,MATCH(ROUNDUP((T$1)/10,0)*10,[1]Hugst!$R$4:$W$4,0))))</f>
        <v>0</v>
      </c>
      <c r="U263" s="168">
        <f>IF($C263-U$1&lt;År1,0,T262*(1-VLOOKUP($A263,[1]Hugst!$R$5:$W$9,MATCH(ROUNDUP((U$1)/10,0)*10,[1]Hugst!$R$4:$W$4,0))))</f>
        <v>0</v>
      </c>
      <c r="V263" s="168">
        <f>IF($C263-V$1&lt;År1,0,U262*(1-VLOOKUP($A263,[1]Hugst!$R$5:$W$9,MATCH(ROUNDUP((V$1)/10,0)*10,[1]Hugst!$R$4:$W$4,0))))</f>
        <v>0</v>
      </c>
      <c r="W263" s="168">
        <f>IF($C263-W$1&lt;År1,0,V262*(1-VLOOKUP($A263,[1]Hugst!$R$5:$W$9,MATCH(ROUNDUP((W$1)/10,0)*10,[1]Hugst!$R$4:$W$4,0))))</f>
        <v>0</v>
      </c>
      <c r="X263" s="168">
        <f>IF($C263-X$1&lt;År1,0,W262*(1-VLOOKUP($A263,[1]Hugst!$R$5:$W$9,MATCH(ROUNDUP((X$1)/10,0)*10,[1]Hugst!$R$4:$W$4,0))))</f>
        <v>0</v>
      </c>
      <c r="Y263" s="168">
        <f>IF($C263-Y$1&lt;År1,0,X262*(1-VLOOKUP($A263,[1]Hugst!$R$5:$W$9,MATCH(ROUNDUP((Y$1)/10,0)*10,[1]Hugst!$R$4:$W$4,0))))</f>
        <v>0</v>
      </c>
      <c r="Z263" s="168">
        <f>IF($C263-Z$1&lt;År1,0,Y262*(1-VLOOKUP($A263,[1]Hugst!$R$5:$W$9,MATCH(ROUNDUP((Z$1)/10,0)*10,[1]Hugst!$R$4:$W$4,0))))</f>
        <v>0</v>
      </c>
      <c r="AA263" s="168">
        <f>IF($C263-AA$1&lt;År1,0,Z262*(1-VLOOKUP($A263,[1]Hugst!$R$5:$W$9,MATCH(ROUNDUP((AA$1)/10,0)*10,[1]Hugst!$R$4:$W$4,0))))</f>
        <v>0</v>
      </c>
      <c r="AB263" s="168">
        <f>IF($C263-AB$1&lt;År1,0,AA262*(1-VLOOKUP($A263,[1]Hugst!$R$5:$W$9,MATCH(ROUNDUP((AB$1)/10,0)*10,[1]Hugst!$R$4:$W$4,0))))</f>
        <v>0</v>
      </c>
      <c r="AC263" s="168">
        <f>IF($C263-AC$1&lt;År1,0,AB262*(1-VLOOKUP($A263,[1]Hugst!$R$5:$W$9,MATCH(ROUNDUP((AC$1)/10,0)*10,[1]Hugst!$R$4:$W$4,0))))</f>
        <v>0</v>
      </c>
      <c r="AD263" s="168">
        <f>IF($C263-AD$1&lt;År1,0,AC262*(1-VLOOKUP($A263,[1]Hugst!$R$5:$W$9,MATCH(ROUNDUP((AD$1)/10,0)*10,[1]Hugst!$R$4:$W$4,0))))</f>
        <v>0</v>
      </c>
      <c r="AE263" s="168">
        <f>IF($C263-AE$1&lt;År1,0,AD262*(1-VLOOKUP($A263,[1]Hugst!$R$5:$W$9,MATCH(ROUNDUP((AE$1)/10,0)*10,[1]Hugst!$R$4:$W$4,0))))</f>
        <v>0</v>
      </c>
      <c r="AF263" s="168">
        <f>IF($C263-AF$1&lt;År1,0,AE262*(1-VLOOKUP($A263,[1]Hugst!$R$5:$W$9,MATCH(ROUNDUP((AF$1)/10,0)*10,[1]Hugst!$R$4:$W$4,0))))</f>
        <v>0</v>
      </c>
      <c r="AG263" s="168">
        <f>IF($C263-AG$1&lt;År1,0,AF262*(1-VLOOKUP($A263,[1]Hugst!$R$5:$W$9,MATCH(ROUNDUP((AG$1)/10,0)*10,[1]Hugst!$R$4:$W$4,0))))</f>
        <v>0</v>
      </c>
      <c r="AH263" s="168">
        <f>IF($C263-AH$1&lt;År1,0,AG262*(1-VLOOKUP($A263,[1]Hugst!$R$5:$W$9,MATCH(ROUNDUP((AH$1)/10,0)*10,[1]Hugst!$R$4:$W$4,0))))</f>
        <v>0</v>
      </c>
      <c r="AI263" s="168">
        <f>IF($C263-AI$1&lt;År1,0,AH262*(1-VLOOKUP($A263,[1]Hugst!$R$5:$W$9,MATCH(ROUNDUP((AI$1)/10,0)*10,[1]Hugst!$R$4:$W$4,0))))</f>
        <v>0</v>
      </c>
      <c r="AJ263" s="168">
        <f>IF($C263-AJ$1&lt;År1,0,AI262*(1-VLOOKUP($A263,[1]Hugst!$R$5:$W$9,MATCH(ROUNDUP((AJ$1)/10,0)*10,[1]Hugst!$R$4:$W$4,0))))</f>
        <v>0</v>
      </c>
    </row>
    <row r="264" spans="1:36" x14ac:dyDescent="0.25">
      <c r="A264" s="168" t="s">
        <v>180</v>
      </c>
      <c r="B264" s="168" t="s">
        <v>23</v>
      </c>
      <c r="C264" s="168">
        <v>2034</v>
      </c>
      <c r="D264" s="168" cm="1">
        <f t="array" ref="D264">(IF(B264="Vestdanmark",Skovbrug!$C$22-(Skovbrug!$C$22)*(1-Skovbrug!$C$9)^(C264-Skovbrug!$B$12),Skovbrug!$F$22-(Skovbrug!$F$22)*(1-Skovbrug!$C$9)^(C264-Skovbrug!$B$12))*VLOOKUP(A264,Skovbrug!$A$13:$D$17,IF('Skovbrug-alder'!C264&lt;=År2,3,4),FALSE)-IF(C264&gt;2020,SUM(INDEX($C$1:$D$311,MATCH(1,(2020=$C$1:$C$311)*(B264=$B$1:$B$311)*(A264=$A$1:$A$311),0),2):D263),0))</f>
        <v>0</v>
      </c>
      <c r="E264" s="168">
        <f t="shared" ca="1" si="6"/>
        <v>0</v>
      </c>
      <c r="F264" s="168">
        <f ca="1">IF(C264&lt;=År2,IF(B264="Vestdanmark",(Arealanvendelse!$M$27-Arealanvendelse!$J$27),(Arealanvendelse!$M$37-Arealanvendelse!$J$37))/(Arealanvendelse!$M$3-Arealanvendelse!$J$3),IF(B264="Vestdanmark",(Arealanvendelse!$P$27-Arealanvendelse!$M$27),(Arealanvendelse!$P$37-Arealanvendelse!$M$37))/(Arealanvendelse!$P$3-Arealanvendelse!$M$3))*VLOOKUP(A264,Skovbrug!$A$13:$D$17,IF('Skovbrug-alder'!C264&lt;=År2,3,4),FALSE)+D264+E264</f>
        <v>0</v>
      </c>
      <c r="G264" s="168">
        <f ca="1">IF($C264-G$1&lt;År1,0,F263*(1-VLOOKUP($A264,[1]Hugst!$R$5:$W$9,MATCH(ROUNDUP((G$1)/10,0)*10,[1]Hugst!$R$4:$W$4,0))))</f>
        <v>0</v>
      </c>
      <c r="H264" s="168">
        <f ca="1">IF($C264-H$1&lt;År1,0,G263*(1-VLOOKUP($A264,[1]Hugst!$R$5:$W$9,MATCH(ROUNDUP((H$1)/10,0)*10,[1]Hugst!$R$4:$W$4,0))))</f>
        <v>0</v>
      </c>
      <c r="I264" s="168">
        <f ca="1">IF($C264-I$1&lt;År1,0,H263*(1-VLOOKUP($A264,[1]Hugst!$R$5:$W$9,MATCH(ROUNDUP((I$1)/10,0)*10,[1]Hugst!$R$4:$W$4,0))))</f>
        <v>0</v>
      </c>
      <c r="J264" s="168">
        <f ca="1">IF($C264-J$1&lt;År1,0,I263*(1-VLOOKUP($A264,[1]Hugst!$R$5:$W$9,MATCH(ROUNDUP((J$1)/10,0)*10,[1]Hugst!$R$4:$W$4,0))))</f>
        <v>0</v>
      </c>
      <c r="K264" s="168">
        <f ca="1">IF($C264-K$1&lt;År1,0,J263*(1-VLOOKUP($A264,[1]Hugst!$R$5:$W$9,MATCH(ROUNDUP((K$1)/10,0)*10,[1]Hugst!$R$4:$W$4,0))))</f>
        <v>0</v>
      </c>
      <c r="L264" s="168">
        <f ca="1">IF($C264-L$1&lt;År1,0,K263*(1-VLOOKUP($A264,[1]Hugst!$R$5:$W$9,MATCH(ROUNDUP((L$1)/10,0)*10,[1]Hugst!$R$4:$W$4,0))))</f>
        <v>0</v>
      </c>
      <c r="M264" s="168">
        <f ca="1">IF($C264-M$1&lt;År1,0,L263*(1-VLOOKUP($A264,[1]Hugst!$R$5:$W$9,MATCH(ROUNDUP((M$1)/10,0)*10,[1]Hugst!$R$4:$W$4,0))))</f>
        <v>0</v>
      </c>
      <c r="N264" s="168">
        <f ca="1">IF($C264-N$1&lt;År1,0,M263*(1-VLOOKUP($A264,[1]Hugst!$R$5:$W$9,MATCH(ROUNDUP((N$1)/10,0)*10,[1]Hugst!$R$4:$W$4,0))))</f>
        <v>0</v>
      </c>
      <c r="O264" s="168">
        <f ca="1">IF($C264-O$1&lt;År1,0,N263*(1-VLOOKUP($A264,[1]Hugst!$R$5:$W$9,MATCH(ROUNDUP((O$1)/10,0)*10,[1]Hugst!$R$4:$W$4,0))))</f>
        <v>0</v>
      </c>
      <c r="P264" s="168">
        <f ca="1">IF($C264-P$1&lt;År1,0,O263*(1-VLOOKUP($A264,[1]Hugst!$R$5:$W$9,MATCH(ROUNDUP((P$1)/10,0)*10,[1]Hugst!$R$4:$W$4,0))))</f>
        <v>0</v>
      </c>
      <c r="Q264" s="168">
        <f ca="1">IF($C264-Q$1&lt;År1,0,P263*(1-VLOOKUP($A264,[1]Hugst!$R$5:$W$9,MATCH(ROUNDUP((Q$1)/10,0)*10,[1]Hugst!$R$4:$W$4,0))))</f>
        <v>0</v>
      </c>
      <c r="R264" s="168">
        <f ca="1">IF($C264-R$1&lt;År1,0,Q263*(1-VLOOKUP($A264,[1]Hugst!$R$5:$W$9,MATCH(ROUNDUP((R$1)/10,0)*10,[1]Hugst!$R$4:$W$4,0))))</f>
        <v>0</v>
      </c>
      <c r="S264" s="168">
        <f ca="1">IF($C264-S$1&lt;År1,0,R263*(1-VLOOKUP($A264,[1]Hugst!$R$5:$W$9,MATCH(ROUNDUP((S$1)/10,0)*10,[1]Hugst!$R$4:$W$4,0))))</f>
        <v>0</v>
      </c>
      <c r="T264" s="168">
        <f ca="1">IF($C264-T$1&lt;År1,0,S263*(1-VLOOKUP($A264,[1]Hugst!$R$5:$W$9,MATCH(ROUNDUP((T$1)/10,0)*10,[1]Hugst!$R$4:$W$4,0))))</f>
        <v>0</v>
      </c>
      <c r="U264" s="168">
        <f>IF($C264-U$1&lt;År1,0,T263*(1-VLOOKUP($A264,[1]Hugst!$R$5:$W$9,MATCH(ROUNDUP((U$1)/10,0)*10,[1]Hugst!$R$4:$W$4,0))))</f>
        <v>0</v>
      </c>
      <c r="V264" s="168">
        <f>IF($C264-V$1&lt;År1,0,U263*(1-VLOOKUP($A264,[1]Hugst!$R$5:$W$9,MATCH(ROUNDUP((V$1)/10,0)*10,[1]Hugst!$R$4:$W$4,0))))</f>
        <v>0</v>
      </c>
      <c r="W264" s="168">
        <f>IF($C264-W$1&lt;År1,0,V263*(1-VLOOKUP($A264,[1]Hugst!$R$5:$W$9,MATCH(ROUNDUP((W$1)/10,0)*10,[1]Hugst!$R$4:$W$4,0))))</f>
        <v>0</v>
      </c>
      <c r="X264" s="168">
        <f>IF($C264-X$1&lt;År1,0,W263*(1-VLOOKUP($A264,[1]Hugst!$R$5:$W$9,MATCH(ROUNDUP((X$1)/10,0)*10,[1]Hugst!$R$4:$W$4,0))))</f>
        <v>0</v>
      </c>
      <c r="Y264" s="168">
        <f>IF($C264-Y$1&lt;År1,0,X263*(1-VLOOKUP($A264,[1]Hugst!$R$5:$W$9,MATCH(ROUNDUP((Y$1)/10,0)*10,[1]Hugst!$R$4:$W$4,0))))</f>
        <v>0</v>
      </c>
      <c r="Z264" s="168">
        <f>IF($C264-Z$1&lt;År1,0,Y263*(1-VLOOKUP($A264,[1]Hugst!$R$5:$W$9,MATCH(ROUNDUP((Z$1)/10,0)*10,[1]Hugst!$R$4:$W$4,0))))</f>
        <v>0</v>
      </c>
      <c r="AA264" s="168">
        <f>IF($C264-AA$1&lt;År1,0,Z263*(1-VLOOKUP($A264,[1]Hugst!$R$5:$W$9,MATCH(ROUNDUP((AA$1)/10,0)*10,[1]Hugst!$R$4:$W$4,0))))</f>
        <v>0</v>
      </c>
      <c r="AB264" s="168">
        <f>IF($C264-AB$1&lt;År1,0,AA263*(1-VLOOKUP($A264,[1]Hugst!$R$5:$W$9,MATCH(ROUNDUP((AB$1)/10,0)*10,[1]Hugst!$R$4:$W$4,0))))</f>
        <v>0</v>
      </c>
      <c r="AC264" s="168">
        <f>IF($C264-AC$1&lt;År1,0,AB263*(1-VLOOKUP($A264,[1]Hugst!$R$5:$W$9,MATCH(ROUNDUP((AC$1)/10,0)*10,[1]Hugst!$R$4:$W$4,0))))</f>
        <v>0</v>
      </c>
      <c r="AD264" s="168">
        <f>IF($C264-AD$1&lt;År1,0,AC263*(1-VLOOKUP($A264,[1]Hugst!$R$5:$W$9,MATCH(ROUNDUP((AD$1)/10,0)*10,[1]Hugst!$R$4:$W$4,0))))</f>
        <v>0</v>
      </c>
      <c r="AE264" s="168">
        <f>IF($C264-AE$1&lt;År1,0,AD263*(1-VLOOKUP($A264,[1]Hugst!$R$5:$W$9,MATCH(ROUNDUP((AE$1)/10,0)*10,[1]Hugst!$R$4:$W$4,0))))</f>
        <v>0</v>
      </c>
      <c r="AF264" s="168">
        <f>IF($C264-AF$1&lt;År1,0,AE263*(1-VLOOKUP($A264,[1]Hugst!$R$5:$W$9,MATCH(ROUNDUP((AF$1)/10,0)*10,[1]Hugst!$R$4:$W$4,0))))</f>
        <v>0</v>
      </c>
      <c r="AG264" s="168">
        <f>IF($C264-AG$1&lt;År1,0,AF263*(1-VLOOKUP($A264,[1]Hugst!$R$5:$W$9,MATCH(ROUNDUP((AG$1)/10,0)*10,[1]Hugst!$R$4:$W$4,0))))</f>
        <v>0</v>
      </c>
      <c r="AH264" s="168">
        <f>IF($C264-AH$1&lt;År1,0,AG263*(1-VLOOKUP($A264,[1]Hugst!$R$5:$W$9,MATCH(ROUNDUP((AH$1)/10,0)*10,[1]Hugst!$R$4:$W$4,0))))</f>
        <v>0</v>
      </c>
      <c r="AI264" s="168">
        <f>IF($C264-AI$1&lt;År1,0,AH263*(1-VLOOKUP($A264,[1]Hugst!$R$5:$W$9,MATCH(ROUNDUP((AI$1)/10,0)*10,[1]Hugst!$R$4:$W$4,0))))</f>
        <v>0</v>
      </c>
      <c r="AJ264" s="168">
        <f>IF($C264-AJ$1&lt;År1,0,AI263*(1-VLOOKUP($A264,[1]Hugst!$R$5:$W$9,MATCH(ROUNDUP((AJ$1)/10,0)*10,[1]Hugst!$R$4:$W$4,0))))</f>
        <v>0</v>
      </c>
    </row>
    <row r="265" spans="1:36" x14ac:dyDescent="0.25">
      <c r="A265" s="168" t="s">
        <v>180</v>
      </c>
      <c r="B265" s="168" t="s">
        <v>23</v>
      </c>
      <c r="C265" s="168">
        <v>2035</v>
      </c>
      <c r="D265" s="168" cm="1">
        <f t="array" ref="D265">(IF(B265="Vestdanmark",Skovbrug!$C$22-(Skovbrug!$C$22)*(1-Skovbrug!$C$9)^(C265-Skovbrug!$B$12),Skovbrug!$F$22-(Skovbrug!$F$22)*(1-Skovbrug!$C$9)^(C265-Skovbrug!$B$12))*VLOOKUP(A265,Skovbrug!$A$13:$D$17,IF('Skovbrug-alder'!C265&lt;=År2,3,4),FALSE)-IF(C265&gt;2020,SUM(INDEX($C$1:$D$311,MATCH(1,(2020=$C$1:$C$311)*(B265=$B$1:$B$311)*(A265=$A$1:$A$311),0),2):D264),0))</f>
        <v>0</v>
      </c>
      <c r="E265" s="168">
        <f t="shared" ca="1" si="6"/>
        <v>0</v>
      </c>
      <c r="F265" s="168">
        <f ca="1">IF(C265&lt;=År2,IF(B265="Vestdanmark",(Arealanvendelse!$M$27-Arealanvendelse!$J$27),(Arealanvendelse!$M$37-Arealanvendelse!$J$37))/(Arealanvendelse!$M$3-Arealanvendelse!$J$3),IF(B265="Vestdanmark",(Arealanvendelse!$P$27-Arealanvendelse!$M$27),(Arealanvendelse!$P$37-Arealanvendelse!$M$37))/(Arealanvendelse!$P$3-Arealanvendelse!$M$3))*VLOOKUP(A265,Skovbrug!$A$13:$D$17,IF('Skovbrug-alder'!C265&lt;=År2,3,4),FALSE)+D265+E265</f>
        <v>0</v>
      </c>
      <c r="G265" s="168">
        <f ca="1">IF($C265-G$1&lt;År1,0,F264*(1-VLOOKUP($A265,[1]Hugst!$R$5:$W$9,MATCH(ROUNDUP((G$1)/10,0)*10,[1]Hugst!$R$4:$W$4,0))))</f>
        <v>0</v>
      </c>
      <c r="H265" s="168">
        <f ca="1">IF($C265-H$1&lt;År1,0,G264*(1-VLOOKUP($A265,[1]Hugst!$R$5:$W$9,MATCH(ROUNDUP((H$1)/10,0)*10,[1]Hugst!$R$4:$W$4,0))))</f>
        <v>0</v>
      </c>
      <c r="I265" s="168">
        <f ca="1">IF($C265-I$1&lt;År1,0,H264*(1-VLOOKUP($A265,[1]Hugst!$R$5:$W$9,MATCH(ROUNDUP((I$1)/10,0)*10,[1]Hugst!$R$4:$W$4,0))))</f>
        <v>0</v>
      </c>
      <c r="J265" s="168">
        <f ca="1">IF($C265-J$1&lt;År1,0,I264*(1-VLOOKUP($A265,[1]Hugst!$R$5:$W$9,MATCH(ROUNDUP((J$1)/10,0)*10,[1]Hugst!$R$4:$W$4,0))))</f>
        <v>0</v>
      </c>
      <c r="K265" s="168">
        <f ca="1">IF($C265-K$1&lt;År1,0,J264*(1-VLOOKUP($A265,[1]Hugst!$R$5:$W$9,MATCH(ROUNDUP((K$1)/10,0)*10,[1]Hugst!$R$4:$W$4,0))))</f>
        <v>0</v>
      </c>
      <c r="L265" s="168">
        <f ca="1">IF($C265-L$1&lt;År1,0,K264*(1-VLOOKUP($A265,[1]Hugst!$R$5:$W$9,MATCH(ROUNDUP((L$1)/10,0)*10,[1]Hugst!$R$4:$W$4,0))))</f>
        <v>0</v>
      </c>
      <c r="M265" s="168">
        <f ca="1">IF($C265-M$1&lt;År1,0,L264*(1-VLOOKUP($A265,[1]Hugst!$R$5:$W$9,MATCH(ROUNDUP((M$1)/10,0)*10,[1]Hugst!$R$4:$W$4,0))))</f>
        <v>0</v>
      </c>
      <c r="N265" s="168">
        <f ca="1">IF($C265-N$1&lt;År1,0,M264*(1-VLOOKUP($A265,[1]Hugst!$R$5:$W$9,MATCH(ROUNDUP((N$1)/10,0)*10,[1]Hugst!$R$4:$W$4,0))))</f>
        <v>0</v>
      </c>
      <c r="O265" s="168">
        <f ca="1">IF($C265-O$1&lt;År1,0,N264*(1-VLOOKUP($A265,[1]Hugst!$R$5:$W$9,MATCH(ROUNDUP((O$1)/10,0)*10,[1]Hugst!$R$4:$W$4,0))))</f>
        <v>0</v>
      </c>
      <c r="P265" s="168">
        <f ca="1">IF($C265-P$1&lt;År1,0,O264*(1-VLOOKUP($A265,[1]Hugst!$R$5:$W$9,MATCH(ROUNDUP((P$1)/10,0)*10,[1]Hugst!$R$4:$W$4,0))))</f>
        <v>0</v>
      </c>
      <c r="Q265" s="168">
        <f ca="1">IF($C265-Q$1&lt;År1,0,P264*(1-VLOOKUP($A265,[1]Hugst!$R$5:$W$9,MATCH(ROUNDUP((Q$1)/10,0)*10,[1]Hugst!$R$4:$W$4,0))))</f>
        <v>0</v>
      </c>
      <c r="R265" s="168">
        <f ca="1">IF($C265-R$1&lt;År1,0,Q264*(1-VLOOKUP($A265,[1]Hugst!$R$5:$W$9,MATCH(ROUNDUP((R$1)/10,0)*10,[1]Hugst!$R$4:$W$4,0))))</f>
        <v>0</v>
      </c>
      <c r="S265" s="168">
        <f ca="1">IF($C265-S$1&lt;År1,0,R264*(1-VLOOKUP($A265,[1]Hugst!$R$5:$W$9,MATCH(ROUNDUP((S$1)/10,0)*10,[1]Hugst!$R$4:$W$4,0))))</f>
        <v>0</v>
      </c>
      <c r="T265" s="168">
        <f ca="1">IF($C265-T$1&lt;År1,0,S264*(1-VLOOKUP($A265,[1]Hugst!$R$5:$W$9,MATCH(ROUNDUP((T$1)/10,0)*10,[1]Hugst!$R$4:$W$4,0))))</f>
        <v>0</v>
      </c>
      <c r="U265" s="168">
        <f ca="1">IF($C265-U$1&lt;År1,0,T264*(1-VLOOKUP($A265,[1]Hugst!$R$5:$W$9,MATCH(ROUNDUP((U$1)/10,0)*10,[1]Hugst!$R$4:$W$4,0))))</f>
        <v>0</v>
      </c>
      <c r="V265" s="168">
        <f>IF($C265-V$1&lt;År1,0,U264*(1-VLOOKUP($A265,[1]Hugst!$R$5:$W$9,MATCH(ROUNDUP((V$1)/10,0)*10,[1]Hugst!$R$4:$W$4,0))))</f>
        <v>0</v>
      </c>
      <c r="W265" s="168">
        <f>IF($C265-W$1&lt;År1,0,V264*(1-VLOOKUP($A265,[1]Hugst!$R$5:$W$9,MATCH(ROUNDUP((W$1)/10,0)*10,[1]Hugst!$R$4:$W$4,0))))</f>
        <v>0</v>
      </c>
      <c r="X265" s="168">
        <f>IF($C265-X$1&lt;År1,0,W264*(1-VLOOKUP($A265,[1]Hugst!$R$5:$W$9,MATCH(ROUNDUP((X$1)/10,0)*10,[1]Hugst!$R$4:$W$4,0))))</f>
        <v>0</v>
      </c>
      <c r="Y265" s="168">
        <f>IF($C265-Y$1&lt;År1,0,X264*(1-VLOOKUP($A265,[1]Hugst!$R$5:$W$9,MATCH(ROUNDUP((Y$1)/10,0)*10,[1]Hugst!$R$4:$W$4,0))))</f>
        <v>0</v>
      </c>
      <c r="Z265" s="168">
        <f>IF($C265-Z$1&lt;År1,0,Y264*(1-VLOOKUP($A265,[1]Hugst!$R$5:$W$9,MATCH(ROUNDUP((Z$1)/10,0)*10,[1]Hugst!$R$4:$W$4,0))))</f>
        <v>0</v>
      </c>
      <c r="AA265" s="168">
        <f>IF($C265-AA$1&lt;År1,0,Z264*(1-VLOOKUP($A265,[1]Hugst!$R$5:$W$9,MATCH(ROUNDUP((AA$1)/10,0)*10,[1]Hugst!$R$4:$W$4,0))))</f>
        <v>0</v>
      </c>
      <c r="AB265" s="168">
        <f>IF($C265-AB$1&lt;År1,0,AA264*(1-VLOOKUP($A265,[1]Hugst!$R$5:$W$9,MATCH(ROUNDUP((AB$1)/10,0)*10,[1]Hugst!$R$4:$W$4,0))))</f>
        <v>0</v>
      </c>
      <c r="AC265" s="168">
        <f>IF($C265-AC$1&lt;År1,0,AB264*(1-VLOOKUP($A265,[1]Hugst!$R$5:$W$9,MATCH(ROUNDUP((AC$1)/10,0)*10,[1]Hugst!$R$4:$W$4,0))))</f>
        <v>0</v>
      </c>
      <c r="AD265" s="168">
        <f>IF($C265-AD$1&lt;År1,0,AC264*(1-VLOOKUP($A265,[1]Hugst!$R$5:$W$9,MATCH(ROUNDUP((AD$1)/10,0)*10,[1]Hugst!$R$4:$W$4,0))))</f>
        <v>0</v>
      </c>
      <c r="AE265" s="168">
        <f>IF($C265-AE$1&lt;År1,0,AD264*(1-VLOOKUP($A265,[1]Hugst!$R$5:$W$9,MATCH(ROUNDUP((AE$1)/10,0)*10,[1]Hugst!$R$4:$W$4,0))))</f>
        <v>0</v>
      </c>
      <c r="AF265" s="168">
        <f>IF($C265-AF$1&lt;År1,0,AE264*(1-VLOOKUP($A265,[1]Hugst!$R$5:$W$9,MATCH(ROUNDUP((AF$1)/10,0)*10,[1]Hugst!$R$4:$W$4,0))))</f>
        <v>0</v>
      </c>
      <c r="AG265" s="168">
        <f>IF($C265-AG$1&lt;År1,0,AF264*(1-VLOOKUP($A265,[1]Hugst!$R$5:$W$9,MATCH(ROUNDUP((AG$1)/10,0)*10,[1]Hugst!$R$4:$W$4,0))))</f>
        <v>0</v>
      </c>
      <c r="AH265" s="168">
        <f>IF($C265-AH$1&lt;År1,0,AG264*(1-VLOOKUP($A265,[1]Hugst!$R$5:$W$9,MATCH(ROUNDUP((AH$1)/10,0)*10,[1]Hugst!$R$4:$W$4,0))))</f>
        <v>0</v>
      </c>
      <c r="AI265" s="168">
        <f>IF($C265-AI$1&lt;År1,0,AH264*(1-VLOOKUP($A265,[1]Hugst!$R$5:$W$9,MATCH(ROUNDUP((AI$1)/10,0)*10,[1]Hugst!$R$4:$W$4,0))))</f>
        <v>0</v>
      </c>
      <c r="AJ265" s="168">
        <f>IF($C265-AJ$1&lt;År1,0,AI264*(1-VLOOKUP($A265,[1]Hugst!$R$5:$W$9,MATCH(ROUNDUP((AJ$1)/10,0)*10,[1]Hugst!$R$4:$W$4,0))))</f>
        <v>0</v>
      </c>
    </row>
    <row r="266" spans="1:36" x14ac:dyDescent="0.25">
      <c r="A266" s="168" t="s">
        <v>180</v>
      </c>
      <c r="B266" s="168" t="s">
        <v>23</v>
      </c>
      <c r="C266" s="168">
        <v>2036</v>
      </c>
      <c r="D266" s="168" cm="1">
        <f t="array" ref="D266">(IF(B266="Vestdanmark",Skovbrug!$C$22-(Skovbrug!$C$22)*(1-Skovbrug!$C$9)^(C266-Skovbrug!$B$12),Skovbrug!$F$22-(Skovbrug!$F$22)*(1-Skovbrug!$C$9)^(C266-Skovbrug!$B$12))*VLOOKUP(A266,Skovbrug!$A$13:$D$17,IF('Skovbrug-alder'!C266&lt;=År2,3,4),FALSE)-IF(C266&gt;2020,SUM(INDEX($C$1:$D$311,MATCH(1,(2020=$C$1:$C$311)*(B266=$B$1:$B$311)*(A266=$A$1:$A$311),0),2):D265),0))</f>
        <v>0</v>
      </c>
      <c r="E266" s="168">
        <f t="shared" ca="1" si="6"/>
        <v>0</v>
      </c>
      <c r="F266" s="168">
        <f ca="1">IF(C266&lt;=År2,IF(B266="Vestdanmark",(Arealanvendelse!$M$27-Arealanvendelse!$J$27),(Arealanvendelse!$M$37-Arealanvendelse!$J$37))/(Arealanvendelse!$M$3-Arealanvendelse!$J$3),IF(B266="Vestdanmark",(Arealanvendelse!$P$27-Arealanvendelse!$M$27),(Arealanvendelse!$P$37-Arealanvendelse!$M$37))/(Arealanvendelse!$P$3-Arealanvendelse!$M$3))*VLOOKUP(A266,Skovbrug!$A$13:$D$17,IF('Skovbrug-alder'!C266&lt;=År2,3,4),FALSE)+D266+E266</f>
        <v>0</v>
      </c>
      <c r="G266" s="168">
        <f ca="1">IF($C266-G$1&lt;År1,0,F265*(1-VLOOKUP($A266,[1]Hugst!$R$5:$W$9,MATCH(ROUNDUP((G$1)/10,0)*10,[1]Hugst!$R$4:$W$4,0))))</f>
        <v>0</v>
      </c>
      <c r="H266" s="168">
        <f ca="1">IF($C266-H$1&lt;År1,0,G265*(1-VLOOKUP($A266,[1]Hugst!$R$5:$W$9,MATCH(ROUNDUP((H$1)/10,0)*10,[1]Hugst!$R$4:$W$4,0))))</f>
        <v>0</v>
      </c>
      <c r="I266" s="168">
        <f ca="1">IF($C266-I$1&lt;År1,0,H265*(1-VLOOKUP($A266,[1]Hugst!$R$5:$W$9,MATCH(ROUNDUP((I$1)/10,0)*10,[1]Hugst!$R$4:$W$4,0))))</f>
        <v>0</v>
      </c>
      <c r="J266" s="168">
        <f ca="1">IF($C266-J$1&lt;År1,0,I265*(1-VLOOKUP($A266,[1]Hugst!$R$5:$W$9,MATCH(ROUNDUP((J$1)/10,0)*10,[1]Hugst!$R$4:$W$4,0))))</f>
        <v>0</v>
      </c>
      <c r="K266" s="168">
        <f ca="1">IF($C266-K$1&lt;År1,0,J265*(1-VLOOKUP($A266,[1]Hugst!$R$5:$W$9,MATCH(ROUNDUP((K$1)/10,0)*10,[1]Hugst!$R$4:$W$4,0))))</f>
        <v>0</v>
      </c>
      <c r="L266" s="168">
        <f ca="1">IF($C266-L$1&lt;År1,0,K265*(1-VLOOKUP($A266,[1]Hugst!$R$5:$W$9,MATCH(ROUNDUP((L$1)/10,0)*10,[1]Hugst!$R$4:$W$4,0))))</f>
        <v>0</v>
      </c>
      <c r="M266" s="168">
        <f ca="1">IF($C266-M$1&lt;År1,0,L265*(1-VLOOKUP($A266,[1]Hugst!$R$5:$W$9,MATCH(ROUNDUP((M$1)/10,0)*10,[1]Hugst!$R$4:$W$4,0))))</f>
        <v>0</v>
      </c>
      <c r="N266" s="168">
        <f ca="1">IF($C266-N$1&lt;År1,0,M265*(1-VLOOKUP($A266,[1]Hugst!$R$5:$W$9,MATCH(ROUNDUP((N$1)/10,0)*10,[1]Hugst!$R$4:$W$4,0))))</f>
        <v>0</v>
      </c>
      <c r="O266" s="168">
        <f ca="1">IF($C266-O$1&lt;År1,0,N265*(1-VLOOKUP($A266,[1]Hugst!$R$5:$W$9,MATCH(ROUNDUP((O$1)/10,0)*10,[1]Hugst!$R$4:$W$4,0))))</f>
        <v>0</v>
      </c>
      <c r="P266" s="168">
        <f ca="1">IF($C266-P$1&lt;År1,0,O265*(1-VLOOKUP($A266,[1]Hugst!$R$5:$W$9,MATCH(ROUNDUP((P$1)/10,0)*10,[1]Hugst!$R$4:$W$4,0))))</f>
        <v>0</v>
      </c>
      <c r="Q266" s="168">
        <f ca="1">IF($C266-Q$1&lt;År1,0,P265*(1-VLOOKUP($A266,[1]Hugst!$R$5:$W$9,MATCH(ROUNDUP((Q$1)/10,0)*10,[1]Hugst!$R$4:$W$4,0))))</f>
        <v>0</v>
      </c>
      <c r="R266" s="168">
        <f ca="1">IF($C266-R$1&lt;År1,0,Q265*(1-VLOOKUP($A266,[1]Hugst!$R$5:$W$9,MATCH(ROUNDUP((R$1)/10,0)*10,[1]Hugst!$R$4:$W$4,0))))</f>
        <v>0</v>
      </c>
      <c r="S266" s="168">
        <f ca="1">IF($C266-S$1&lt;År1,0,R265*(1-VLOOKUP($A266,[1]Hugst!$R$5:$W$9,MATCH(ROUNDUP((S$1)/10,0)*10,[1]Hugst!$R$4:$W$4,0))))</f>
        <v>0</v>
      </c>
      <c r="T266" s="168">
        <f ca="1">IF($C266-T$1&lt;År1,0,S265*(1-VLOOKUP($A266,[1]Hugst!$R$5:$W$9,MATCH(ROUNDUP((T$1)/10,0)*10,[1]Hugst!$R$4:$W$4,0))))</f>
        <v>0</v>
      </c>
      <c r="U266" s="168">
        <f ca="1">IF($C266-U$1&lt;År1,0,T265*(1-VLOOKUP($A266,[1]Hugst!$R$5:$W$9,MATCH(ROUNDUP((U$1)/10,0)*10,[1]Hugst!$R$4:$W$4,0))))</f>
        <v>0</v>
      </c>
      <c r="V266" s="168">
        <f ca="1">IF($C266-V$1&lt;År1,0,U265*(1-VLOOKUP($A266,[1]Hugst!$R$5:$W$9,MATCH(ROUNDUP((V$1)/10,0)*10,[1]Hugst!$R$4:$W$4,0))))</f>
        <v>0</v>
      </c>
      <c r="W266" s="168">
        <f>IF($C266-W$1&lt;År1,0,V265*(1-VLOOKUP($A266,[1]Hugst!$R$5:$W$9,MATCH(ROUNDUP((W$1)/10,0)*10,[1]Hugst!$R$4:$W$4,0))))</f>
        <v>0</v>
      </c>
      <c r="X266" s="168">
        <f>IF($C266-X$1&lt;År1,0,W265*(1-VLOOKUP($A266,[1]Hugst!$R$5:$W$9,MATCH(ROUNDUP((X$1)/10,0)*10,[1]Hugst!$R$4:$W$4,0))))</f>
        <v>0</v>
      </c>
      <c r="Y266" s="168">
        <f>IF($C266-Y$1&lt;År1,0,X265*(1-VLOOKUP($A266,[1]Hugst!$R$5:$W$9,MATCH(ROUNDUP((Y$1)/10,0)*10,[1]Hugst!$R$4:$W$4,0))))</f>
        <v>0</v>
      </c>
      <c r="Z266" s="168">
        <f>IF($C266-Z$1&lt;År1,0,Y265*(1-VLOOKUP($A266,[1]Hugst!$R$5:$W$9,MATCH(ROUNDUP((Z$1)/10,0)*10,[1]Hugst!$R$4:$W$4,0))))</f>
        <v>0</v>
      </c>
      <c r="AA266" s="168">
        <f>IF($C266-AA$1&lt;År1,0,Z265*(1-VLOOKUP($A266,[1]Hugst!$R$5:$W$9,MATCH(ROUNDUP((AA$1)/10,0)*10,[1]Hugst!$R$4:$W$4,0))))</f>
        <v>0</v>
      </c>
      <c r="AB266" s="168">
        <f>IF($C266-AB$1&lt;År1,0,AA265*(1-VLOOKUP($A266,[1]Hugst!$R$5:$W$9,MATCH(ROUNDUP((AB$1)/10,0)*10,[1]Hugst!$R$4:$W$4,0))))</f>
        <v>0</v>
      </c>
      <c r="AC266" s="168">
        <f>IF($C266-AC$1&lt;År1,0,AB265*(1-VLOOKUP($A266,[1]Hugst!$R$5:$W$9,MATCH(ROUNDUP((AC$1)/10,0)*10,[1]Hugst!$R$4:$W$4,0))))</f>
        <v>0</v>
      </c>
      <c r="AD266" s="168">
        <f>IF($C266-AD$1&lt;År1,0,AC265*(1-VLOOKUP($A266,[1]Hugst!$R$5:$W$9,MATCH(ROUNDUP((AD$1)/10,0)*10,[1]Hugst!$R$4:$W$4,0))))</f>
        <v>0</v>
      </c>
      <c r="AE266" s="168">
        <f>IF($C266-AE$1&lt;År1,0,AD265*(1-VLOOKUP($A266,[1]Hugst!$R$5:$W$9,MATCH(ROUNDUP((AE$1)/10,0)*10,[1]Hugst!$R$4:$W$4,0))))</f>
        <v>0</v>
      </c>
      <c r="AF266" s="168">
        <f>IF($C266-AF$1&lt;År1,0,AE265*(1-VLOOKUP($A266,[1]Hugst!$R$5:$W$9,MATCH(ROUNDUP((AF$1)/10,0)*10,[1]Hugst!$R$4:$W$4,0))))</f>
        <v>0</v>
      </c>
      <c r="AG266" s="168">
        <f>IF($C266-AG$1&lt;År1,0,AF265*(1-VLOOKUP($A266,[1]Hugst!$R$5:$W$9,MATCH(ROUNDUP((AG$1)/10,0)*10,[1]Hugst!$R$4:$W$4,0))))</f>
        <v>0</v>
      </c>
      <c r="AH266" s="168">
        <f>IF($C266-AH$1&lt;År1,0,AG265*(1-VLOOKUP($A266,[1]Hugst!$R$5:$W$9,MATCH(ROUNDUP((AH$1)/10,0)*10,[1]Hugst!$R$4:$W$4,0))))</f>
        <v>0</v>
      </c>
      <c r="AI266" s="168">
        <f>IF($C266-AI$1&lt;År1,0,AH265*(1-VLOOKUP($A266,[1]Hugst!$R$5:$W$9,MATCH(ROUNDUP((AI$1)/10,0)*10,[1]Hugst!$R$4:$W$4,0))))</f>
        <v>0</v>
      </c>
      <c r="AJ266" s="168">
        <f>IF($C266-AJ$1&lt;År1,0,AI265*(1-VLOOKUP($A266,[1]Hugst!$R$5:$W$9,MATCH(ROUNDUP((AJ$1)/10,0)*10,[1]Hugst!$R$4:$W$4,0))))</f>
        <v>0</v>
      </c>
    </row>
    <row r="267" spans="1:36" x14ac:dyDescent="0.25">
      <c r="A267" s="168" t="s">
        <v>180</v>
      </c>
      <c r="B267" s="168" t="s">
        <v>23</v>
      </c>
      <c r="C267" s="168">
        <v>2037</v>
      </c>
      <c r="D267" s="168" cm="1">
        <f t="array" ref="D267">(IF(B267="Vestdanmark",Skovbrug!$C$22-(Skovbrug!$C$22)*(1-Skovbrug!$C$9)^(C267-Skovbrug!$B$12),Skovbrug!$F$22-(Skovbrug!$F$22)*(1-Skovbrug!$C$9)^(C267-Skovbrug!$B$12))*VLOOKUP(A267,Skovbrug!$A$13:$D$17,IF('Skovbrug-alder'!C267&lt;=År2,3,4),FALSE)-IF(C267&gt;2020,SUM(INDEX($C$1:$D$311,MATCH(1,(2020=$C$1:$C$311)*(B267=$B$1:$B$311)*(A267=$A$1:$A$311),0),2):D266),0))</f>
        <v>0</v>
      </c>
      <c r="E267" s="168">
        <f t="shared" ca="1" si="6"/>
        <v>0</v>
      </c>
      <c r="F267" s="168">
        <f ca="1">IF(C267&lt;=År2,IF(B267="Vestdanmark",(Arealanvendelse!$M$27-Arealanvendelse!$J$27),(Arealanvendelse!$M$37-Arealanvendelse!$J$37))/(Arealanvendelse!$M$3-Arealanvendelse!$J$3),IF(B267="Vestdanmark",(Arealanvendelse!$P$27-Arealanvendelse!$M$27),(Arealanvendelse!$P$37-Arealanvendelse!$M$37))/(Arealanvendelse!$P$3-Arealanvendelse!$M$3))*VLOOKUP(A267,Skovbrug!$A$13:$D$17,IF('Skovbrug-alder'!C267&lt;=År2,3,4),FALSE)+D267+E267</f>
        <v>0</v>
      </c>
      <c r="G267" s="168">
        <f ca="1">IF($C267-G$1&lt;År1,0,F266*(1-VLOOKUP($A267,[1]Hugst!$R$5:$W$9,MATCH(ROUNDUP((G$1)/10,0)*10,[1]Hugst!$R$4:$W$4,0))))</f>
        <v>0</v>
      </c>
      <c r="H267" s="168">
        <f ca="1">IF($C267-H$1&lt;År1,0,G266*(1-VLOOKUP($A267,[1]Hugst!$R$5:$W$9,MATCH(ROUNDUP((H$1)/10,0)*10,[1]Hugst!$R$4:$W$4,0))))</f>
        <v>0</v>
      </c>
      <c r="I267" s="168">
        <f ca="1">IF($C267-I$1&lt;År1,0,H266*(1-VLOOKUP($A267,[1]Hugst!$R$5:$W$9,MATCH(ROUNDUP((I$1)/10,0)*10,[1]Hugst!$R$4:$W$4,0))))</f>
        <v>0</v>
      </c>
      <c r="J267" s="168">
        <f ca="1">IF($C267-J$1&lt;År1,0,I266*(1-VLOOKUP($A267,[1]Hugst!$R$5:$W$9,MATCH(ROUNDUP((J$1)/10,0)*10,[1]Hugst!$R$4:$W$4,0))))</f>
        <v>0</v>
      </c>
      <c r="K267" s="168">
        <f ca="1">IF($C267-K$1&lt;År1,0,J266*(1-VLOOKUP($A267,[1]Hugst!$R$5:$W$9,MATCH(ROUNDUP((K$1)/10,0)*10,[1]Hugst!$R$4:$W$4,0))))</f>
        <v>0</v>
      </c>
      <c r="L267" s="168">
        <f ca="1">IF($C267-L$1&lt;År1,0,K266*(1-VLOOKUP($A267,[1]Hugst!$R$5:$W$9,MATCH(ROUNDUP((L$1)/10,0)*10,[1]Hugst!$R$4:$W$4,0))))</f>
        <v>0</v>
      </c>
      <c r="M267" s="168">
        <f ca="1">IF($C267-M$1&lt;År1,0,L266*(1-VLOOKUP($A267,[1]Hugst!$R$5:$W$9,MATCH(ROUNDUP((M$1)/10,0)*10,[1]Hugst!$R$4:$W$4,0))))</f>
        <v>0</v>
      </c>
      <c r="N267" s="168">
        <f ca="1">IF($C267-N$1&lt;År1,0,M266*(1-VLOOKUP($A267,[1]Hugst!$R$5:$W$9,MATCH(ROUNDUP((N$1)/10,0)*10,[1]Hugst!$R$4:$W$4,0))))</f>
        <v>0</v>
      </c>
      <c r="O267" s="168">
        <f ca="1">IF($C267-O$1&lt;År1,0,N266*(1-VLOOKUP($A267,[1]Hugst!$R$5:$W$9,MATCH(ROUNDUP((O$1)/10,0)*10,[1]Hugst!$R$4:$W$4,0))))</f>
        <v>0</v>
      </c>
      <c r="P267" s="168">
        <f ca="1">IF($C267-P$1&lt;År1,0,O266*(1-VLOOKUP($A267,[1]Hugst!$R$5:$W$9,MATCH(ROUNDUP((P$1)/10,0)*10,[1]Hugst!$R$4:$W$4,0))))</f>
        <v>0</v>
      </c>
      <c r="Q267" s="168">
        <f ca="1">IF($C267-Q$1&lt;År1,0,P266*(1-VLOOKUP($A267,[1]Hugst!$R$5:$W$9,MATCH(ROUNDUP((Q$1)/10,0)*10,[1]Hugst!$R$4:$W$4,0))))</f>
        <v>0</v>
      </c>
      <c r="R267" s="168">
        <f ca="1">IF($C267-R$1&lt;År1,0,Q266*(1-VLOOKUP($A267,[1]Hugst!$R$5:$W$9,MATCH(ROUNDUP((R$1)/10,0)*10,[1]Hugst!$R$4:$W$4,0))))</f>
        <v>0</v>
      </c>
      <c r="S267" s="168">
        <f ca="1">IF($C267-S$1&lt;År1,0,R266*(1-VLOOKUP($A267,[1]Hugst!$R$5:$W$9,MATCH(ROUNDUP((S$1)/10,0)*10,[1]Hugst!$R$4:$W$4,0))))</f>
        <v>0</v>
      </c>
      <c r="T267" s="168">
        <f ca="1">IF($C267-T$1&lt;År1,0,S266*(1-VLOOKUP($A267,[1]Hugst!$R$5:$W$9,MATCH(ROUNDUP((T$1)/10,0)*10,[1]Hugst!$R$4:$W$4,0))))</f>
        <v>0</v>
      </c>
      <c r="U267" s="168">
        <f ca="1">IF($C267-U$1&lt;År1,0,T266*(1-VLOOKUP($A267,[1]Hugst!$R$5:$W$9,MATCH(ROUNDUP((U$1)/10,0)*10,[1]Hugst!$R$4:$W$4,0))))</f>
        <v>0</v>
      </c>
      <c r="V267" s="168">
        <f ca="1">IF($C267-V$1&lt;År1,0,U266*(1-VLOOKUP($A267,[1]Hugst!$R$5:$W$9,MATCH(ROUNDUP((V$1)/10,0)*10,[1]Hugst!$R$4:$W$4,0))))</f>
        <v>0</v>
      </c>
      <c r="W267" s="168">
        <f ca="1">IF($C267-W$1&lt;År1,0,V266*(1-VLOOKUP($A267,[1]Hugst!$R$5:$W$9,MATCH(ROUNDUP((W$1)/10,0)*10,[1]Hugst!$R$4:$W$4,0))))</f>
        <v>0</v>
      </c>
      <c r="X267" s="168">
        <f>IF($C267-X$1&lt;År1,0,W266*(1-VLOOKUP($A267,[1]Hugst!$R$5:$W$9,MATCH(ROUNDUP((X$1)/10,0)*10,[1]Hugst!$R$4:$W$4,0))))</f>
        <v>0</v>
      </c>
      <c r="Y267" s="168">
        <f>IF($C267-Y$1&lt;År1,0,X266*(1-VLOOKUP($A267,[1]Hugst!$R$5:$W$9,MATCH(ROUNDUP((Y$1)/10,0)*10,[1]Hugst!$R$4:$W$4,0))))</f>
        <v>0</v>
      </c>
      <c r="Z267" s="168">
        <f>IF($C267-Z$1&lt;År1,0,Y266*(1-VLOOKUP($A267,[1]Hugst!$R$5:$W$9,MATCH(ROUNDUP((Z$1)/10,0)*10,[1]Hugst!$R$4:$W$4,0))))</f>
        <v>0</v>
      </c>
      <c r="AA267" s="168">
        <f>IF($C267-AA$1&lt;År1,0,Z266*(1-VLOOKUP($A267,[1]Hugst!$R$5:$W$9,MATCH(ROUNDUP((AA$1)/10,0)*10,[1]Hugst!$R$4:$W$4,0))))</f>
        <v>0</v>
      </c>
      <c r="AB267" s="168">
        <f>IF($C267-AB$1&lt;År1,0,AA266*(1-VLOOKUP($A267,[1]Hugst!$R$5:$W$9,MATCH(ROUNDUP((AB$1)/10,0)*10,[1]Hugst!$R$4:$W$4,0))))</f>
        <v>0</v>
      </c>
      <c r="AC267" s="168">
        <f>IF($C267-AC$1&lt;År1,0,AB266*(1-VLOOKUP($A267,[1]Hugst!$R$5:$W$9,MATCH(ROUNDUP((AC$1)/10,0)*10,[1]Hugst!$R$4:$W$4,0))))</f>
        <v>0</v>
      </c>
      <c r="AD267" s="168">
        <f>IF($C267-AD$1&lt;År1,0,AC266*(1-VLOOKUP($A267,[1]Hugst!$R$5:$W$9,MATCH(ROUNDUP((AD$1)/10,0)*10,[1]Hugst!$R$4:$W$4,0))))</f>
        <v>0</v>
      </c>
      <c r="AE267" s="168">
        <f>IF($C267-AE$1&lt;År1,0,AD266*(1-VLOOKUP($A267,[1]Hugst!$R$5:$W$9,MATCH(ROUNDUP((AE$1)/10,0)*10,[1]Hugst!$R$4:$W$4,0))))</f>
        <v>0</v>
      </c>
      <c r="AF267" s="168">
        <f>IF($C267-AF$1&lt;År1,0,AE266*(1-VLOOKUP($A267,[1]Hugst!$R$5:$W$9,MATCH(ROUNDUP((AF$1)/10,0)*10,[1]Hugst!$R$4:$W$4,0))))</f>
        <v>0</v>
      </c>
      <c r="AG267" s="168">
        <f>IF($C267-AG$1&lt;År1,0,AF266*(1-VLOOKUP($A267,[1]Hugst!$R$5:$W$9,MATCH(ROUNDUP((AG$1)/10,0)*10,[1]Hugst!$R$4:$W$4,0))))</f>
        <v>0</v>
      </c>
      <c r="AH267" s="168">
        <f>IF($C267-AH$1&lt;År1,0,AG266*(1-VLOOKUP($A267,[1]Hugst!$R$5:$W$9,MATCH(ROUNDUP((AH$1)/10,0)*10,[1]Hugst!$R$4:$W$4,0))))</f>
        <v>0</v>
      </c>
      <c r="AI267" s="168">
        <f>IF($C267-AI$1&lt;År1,0,AH266*(1-VLOOKUP($A267,[1]Hugst!$R$5:$W$9,MATCH(ROUNDUP((AI$1)/10,0)*10,[1]Hugst!$R$4:$W$4,0))))</f>
        <v>0</v>
      </c>
      <c r="AJ267" s="168">
        <f>IF($C267-AJ$1&lt;År1,0,AI266*(1-VLOOKUP($A267,[1]Hugst!$R$5:$W$9,MATCH(ROUNDUP((AJ$1)/10,0)*10,[1]Hugst!$R$4:$W$4,0))))</f>
        <v>0</v>
      </c>
    </row>
    <row r="268" spans="1:36" x14ac:dyDescent="0.25">
      <c r="A268" s="168" t="s">
        <v>180</v>
      </c>
      <c r="B268" s="168" t="s">
        <v>23</v>
      </c>
      <c r="C268" s="168">
        <v>2038</v>
      </c>
      <c r="D268" s="168" cm="1">
        <f t="array" ref="D268">(IF(B268="Vestdanmark",Skovbrug!$C$22-(Skovbrug!$C$22)*(1-Skovbrug!$C$9)^(C268-Skovbrug!$B$12),Skovbrug!$F$22-(Skovbrug!$F$22)*(1-Skovbrug!$C$9)^(C268-Skovbrug!$B$12))*VLOOKUP(A268,Skovbrug!$A$13:$D$17,IF('Skovbrug-alder'!C268&lt;=År2,3,4),FALSE)-IF(C268&gt;2020,SUM(INDEX($C$1:$D$311,MATCH(1,(2020=$C$1:$C$311)*(B268=$B$1:$B$311)*(A268=$A$1:$A$311),0),2):D267),0))</f>
        <v>0</v>
      </c>
      <c r="E268" s="168">
        <f t="shared" ca="1" si="6"/>
        <v>0</v>
      </c>
      <c r="F268" s="168">
        <f ca="1">IF(C268&lt;=År2,IF(B268="Vestdanmark",(Arealanvendelse!$M$27-Arealanvendelse!$J$27),(Arealanvendelse!$M$37-Arealanvendelse!$J$37))/(Arealanvendelse!$M$3-Arealanvendelse!$J$3),IF(B268="Vestdanmark",(Arealanvendelse!$P$27-Arealanvendelse!$M$27),(Arealanvendelse!$P$37-Arealanvendelse!$M$37))/(Arealanvendelse!$P$3-Arealanvendelse!$M$3))*VLOOKUP(A268,Skovbrug!$A$13:$D$17,IF('Skovbrug-alder'!C268&lt;=År2,3,4),FALSE)+D268+E268</f>
        <v>0</v>
      </c>
      <c r="G268" s="168">
        <f ca="1">IF($C268-G$1&lt;År1,0,F267*(1-VLOOKUP($A268,[1]Hugst!$R$5:$W$9,MATCH(ROUNDUP((G$1)/10,0)*10,[1]Hugst!$R$4:$W$4,0))))</f>
        <v>0</v>
      </c>
      <c r="H268" s="168">
        <f ca="1">IF($C268-H$1&lt;År1,0,G267*(1-VLOOKUP($A268,[1]Hugst!$R$5:$W$9,MATCH(ROUNDUP((H$1)/10,0)*10,[1]Hugst!$R$4:$W$4,0))))</f>
        <v>0</v>
      </c>
      <c r="I268" s="168">
        <f ca="1">IF($C268-I$1&lt;År1,0,H267*(1-VLOOKUP($A268,[1]Hugst!$R$5:$W$9,MATCH(ROUNDUP((I$1)/10,0)*10,[1]Hugst!$R$4:$W$4,0))))</f>
        <v>0</v>
      </c>
      <c r="J268" s="168">
        <f ca="1">IF($C268-J$1&lt;År1,0,I267*(1-VLOOKUP($A268,[1]Hugst!$R$5:$W$9,MATCH(ROUNDUP((J$1)/10,0)*10,[1]Hugst!$R$4:$W$4,0))))</f>
        <v>0</v>
      </c>
      <c r="K268" s="168">
        <f ca="1">IF($C268-K$1&lt;År1,0,J267*(1-VLOOKUP($A268,[1]Hugst!$R$5:$W$9,MATCH(ROUNDUP((K$1)/10,0)*10,[1]Hugst!$R$4:$W$4,0))))</f>
        <v>0</v>
      </c>
      <c r="L268" s="168">
        <f ca="1">IF($C268-L$1&lt;År1,0,K267*(1-VLOOKUP($A268,[1]Hugst!$R$5:$W$9,MATCH(ROUNDUP((L$1)/10,0)*10,[1]Hugst!$R$4:$W$4,0))))</f>
        <v>0</v>
      </c>
      <c r="M268" s="168">
        <f ca="1">IF($C268-M$1&lt;År1,0,L267*(1-VLOOKUP($A268,[1]Hugst!$R$5:$W$9,MATCH(ROUNDUP((M$1)/10,0)*10,[1]Hugst!$R$4:$W$4,0))))</f>
        <v>0</v>
      </c>
      <c r="N268" s="168">
        <f ca="1">IF($C268-N$1&lt;År1,0,M267*(1-VLOOKUP($A268,[1]Hugst!$R$5:$W$9,MATCH(ROUNDUP((N$1)/10,0)*10,[1]Hugst!$R$4:$W$4,0))))</f>
        <v>0</v>
      </c>
      <c r="O268" s="168">
        <f ca="1">IF($C268-O$1&lt;År1,0,N267*(1-VLOOKUP($A268,[1]Hugst!$R$5:$W$9,MATCH(ROUNDUP((O$1)/10,0)*10,[1]Hugst!$R$4:$W$4,0))))</f>
        <v>0</v>
      </c>
      <c r="P268" s="168">
        <f ca="1">IF($C268-P$1&lt;År1,0,O267*(1-VLOOKUP($A268,[1]Hugst!$R$5:$W$9,MATCH(ROUNDUP((P$1)/10,0)*10,[1]Hugst!$R$4:$W$4,0))))</f>
        <v>0</v>
      </c>
      <c r="Q268" s="168">
        <f ca="1">IF($C268-Q$1&lt;År1,0,P267*(1-VLOOKUP($A268,[1]Hugst!$R$5:$W$9,MATCH(ROUNDUP((Q$1)/10,0)*10,[1]Hugst!$R$4:$W$4,0))))</f>
        <v>0</v>
      </c>
      <c r="R268" s="168">
        <f ca="1">IF($C268-R$1&lt;År1,0,Q267*(1-VLOOKUP($A268,[1]Hugst!$R$5:$W$9,MATCH(ROUNDUP((R$1)/10,0)*10,[1]Hugst!$R$4:$W$4,0))))</f>
        <v>0</v>
      </c>
      <c r="S268" s="168">
        <f ca="1">IF($C268-S$1&lt;År1,0,R267*(1-VLOOKUP($A268,[1]Hugst!$R$5:$W$9,MATCH(ROUNDUP((S$1)/10,0)*10,[1]Hugst!$R$4:$W$4,0))))</f>
        <v>0</v>
      </c>
      <c r="T268" s="168">
        <f ca="1">IF($C268-T$1&lt;År1,0,S267*(1-VLOOKUP($A268,[1]Hugst!$R$5:$W$9,MATCH(ROUNDUP((T$1)/10,0)*10,[1]Hugst!$R$4:$W$4,0))))</f>
        <v>0</v>
      </c>
      <c r="U268" s="168">
        <f ca="1">IF($C268-U$1&lt;År1,0,T267*(1-VLOOKUP($A268,[1]Hugst!$R$5:$W$9,MATCH(ROUNDUP((U$1)/10,0)*10,[1]Hugst!$R$4:$W$4,0))))</f>
        <v>0</v>
      </c>
      <c r="V268" s="168">
        <f ca="1">IF($C268-V$1&lt;År1,0,U267*(1-VLOOKUP($A268,[1]Hugst!$R$5:$W$9,MATCH(ROUNDUP((V$1)/10,0)*10,[1]Hugst!$R$4:$W$4,0))))</f>
        <v>0</v>
      </c>
      <c r="W268" s="168">
        <f ca="1">IF($C268-W$1&lt;År1,0,V267*(1-VLOOKUP($A268,[1]Hugst!$R$5:$W$9,MATCH(ROUNDUP((W$1)/10,0)*10,[1]Hugst!$R$4:$W$4,0))))</f>
        <v>0</v>
      </c>
      <c r="X268" s="168">
        <f ca="1">IF($C268-X$1&lt;År1,0,W267*(1-VLOOKUP($A268,[1]Hugst!$R$5:$W$9,MATCH(ROUNDUP((X$1)/10,0)*10,[1]Hugst!$R$4:$W$4,0))))</f>
        <v>0</v>
      </c>
      <c r="Y268" s="168">
        <f>IF($C268-Y$1&lt;År1,0,X267*(1-VLOOKUP($A268,[1]Hugst!$R$5:$W$9,MATCH(ROUNDUP((Y$1)/10,0)*10,[1]Hugst!$R$4:$W$4,0))))</f>
        <v>0</v>
      </c>
      <c r="Z268" s="168">
        <f>IF($C268-Z$1&lt;År1,0,Y267*(1-VLOOKUP($A268,[1]Hugst!$R$5:$W$9,MATCH(ROUNDUP((Z$1)/10,0)*10,[1]Hugst!$R$4:$W$4,0))))</f>
        <v>0</v>
      </c>
      <c r="AA268" s="168">
        <f>IF($C268-AA$1&lt;År1,0,Z267*(1-VLOOKUP($A268,[1]Hugst!$R$5:$W$9,MATCH(ROUNDUP((AA$1)/10,0)*10,[1]Hugst!$R$4:$W$4,0))))</f>
        <v>0</v>
      </c>
      <c r="AB268" s="168">
        <f>IF($C268-AB$1&lt;År1,0,AA267*(1-VLOOKUP($A268,[1]Hugst!$R$5:$W$9,MATCH(ROUNDUP((AB$1)/10,0)*10,[1]Hugst!$R$4:$W$4,0))))</f>
        <v>0</v>
      </c>
      <c r="AC268" s="168">
        <f>IF($C268-AC$1&lt;År1,0,AB267*(1-VLOOKUP($A268,[1]Hugst!$R$5:$W$9,MATCH(ROUNDUP((AC$1)/10,0)*10,[1]Hugst!$R$4:$W$4,0))))</f>
        <v>0</v>
      </c>
      <c r="AD268" s="168">
        <f>IF($C268-AD$1&lt;År1,0,AC267*(1-VLOOKUP($A268,[1]Hugst!$R$5:$W$9,MATCH(ROUNDUP((AD$1)/10,0)*10,[1]Hugst!$R$4:$W$4,0))))</f>
        <v>0</v>
      </c>
      <c r="AE268" s="168">
        <f>IF($C268-AE$1&lt;År1,0,AD267*(1-VLOOKUP($A268,[1]Hugst!$R$5:$W$9,MATCH(ROUNDUP((AE$1)/10,0)*10,[1]Hugst!$R$4:$W$4,0))))</f>
        <v>0</v>
      </c>
      <c r="AF268" s="168">
        <f>IF($C268-AF$1&lt;År1,0,AE267*(1-VLOOKUP($A268,[1]Hugst!$R$5:$W$9,MATCH(ROUNDUP((AF$1)/10,0)*10,[1]Hugst!$R$4:$W$4,0))))</f>
        <v>0</v>
      </c>
      <c r="AG268" s="168">
        <f>IF($C268-AG$1&lt;År1,0,AF267*(1-VLOOKUP($A268,[1]Hugst!$R$5:$W$9,MATCH(ROUNDUP((AG$1)/10,0)*10,[1]Hugst!$R$4:$W$4,0))))</f>
        <v>0</v>
      </c>
      <c r="AH268" s="168">
        <f>IF($C268-AH$1&lt;År1,0,AG267*(1-VLOOKUP($A268,[1]Hugst!$R$5:$W$9,MATCH(ROUNDUP((AH$1)/10,0)*10,[1]Hugst!$R$4:$W$4,0))))</f>
        <v>0</v>
      </c>
      <c r="AI268" s="168">
        <f>IF($C268-AI$1&lt;År1,0,AH267*(1-VLOOKUP($A268,[1]Hugst!$R$5:$W$9,MATCH(ROUNDUP((AI$1)/10,0)*10,[1]Hugst!$R$4:$W$4,0))))</f>
        <v>0</v>
      </c>
      <c r="AJ268" s="168">
        <f>IF($C268-AJ$1&lt;År1,0,AI267*(1-VLOOKUP($A268,[1]Hugst!$R$5:$W$9,MATCH(ROUNDUP((AJ$1)/10,0)*10,[1]Hugst!$R$4:$W$4,0))))</f>
        <v>0</v>
      </c>
    </row>
    <row r="269" spans="1:36" x14ac:dyDescent="0.25">
      <c r="A269" s="168" t="s">
        <v>180</v>
      </c>
      <c r="B269" s="168" t="s">
        <v>23</v>
      </c>
      <c r="C269" s="168">
        <v>2039</v>
      </c>
      <c r="D269" s="168" cm="1">
        <f t="array" ref="D269">(IF(B269="Vestdanmark",Skovbrug!$C$22-(Skovbrug!$C$22)*(1-Skovbrug!$C$9)^(C269-Skovbrug!$B$12),Skovbrug!$F$22-(Skovbrug!$F$22)*(1-Skovbrug!$C$9)^(C269-Skovbrug!$B$12))*VLOOKUP(A269,Skovbrug!$A$13:$D$17,IF('Skovbrug-alder'!C269&lt;=År2,3,4),FALSE)-IF(C269&gt;2020,SUM(INDEX($C$1:$D$311,MATCH(1,(2020=$C$1:$C$311)*(B269=$B$1:$B$311)*(A269=$A$1:$A$311),0),2):D268),0))</f>
        <v>0</v>
      </c>
      <c r="E269" s="168">
        <f t="shared" ca="1" si="6"/>
        <v>0</v>
      </c>
      <c r="F269" s="168">
        <f ca="1">IF(C269&lt;=År2,IF(B269="Vestdanmark",(Arealanvendelse!$M$27-Arealanvendelse!$J$27),(Arealanvendelse!$M$37-Arealanvendelse!$J$37))/(Arealanvendelse!$M$3-Arealanvendelse!$J$3),IF(B269="Vestdanmark",(Arealanvendelse!$P$27-Arealanvendelse!$M$27),(Arealanvendelse!$P$37-Arealanvendelse!$M$37))/(Arealanvendelse!$P$3-Arealanvendelse!$M$3))*VLOOKUP(A269,Skovbrug!$A$13:$D$17,IF('Skovbrug-alder'!C269&lt;=År2,3,4),FALSE)+D269+E269</f>
        <v>0</v>
      </c>
      <c r="G269" s="168">
        <f ca="1">IF($C269-G$1&lt;År1,0,F268*(1-VLOOKUP($A269,[1]Hugst!$R$5:$W$9,MATCH(ROUNDUP((G$1)/10,0)*10,[1]Hugst!$R$4:$W$4,0))))</f>
        <v>0</v>
      </c>
      <c r="H269" s="168">
        <f ca="1">IF($C269-H$1&lt;År1,0,G268*(1-VLOOKUP($A269,[1]Hugst!$R$5:$W$9,MATCH(ROUNDUP((H$1)/10,0)*10,[1]Hugst!$R$4:$W$4,0))))</f>
        <v>0</v>
      </c>
      <c r="I269" s="168">
        <f ca="1">IF($C269-I$1&lt;År1,0,H268*(1-VLOOKUP($A269,[1]Hugst!$R$5:$W$9,MATCH(ROUNDUP((I$1)/10,0)*10,[1]Hugst!$R$4:$W$4,0))))</f>
        <v>0</v>
      </c>
      <c r="J269" s="168">
        <f ca="1">IF($C269-J$1&lt;År1,0,I268*(1-VLOOKUP($A269,[1]Hugst!$R$5:$W$9,MATCH(ROUNDUP((J$1)/10,0)*10,[1]Hugst!$R$4:$W$4,0))))</f>
        <v>0</v>
      </c>
      <c r="K269" s="168">
        <f ca="1">IF($C269-K$1&lt;År1,0,J268*(1-VLOOKUP($A269,[1]Hugst!$R$5:$W$9,MATCH(ROUNDUP((K$1)/10,0)*10,[1]Hugst!$R$4:$W$4,0))))</f>
        <v>0</v>
      </c>
      <c r="L269" s="168">
        <f ca="1">IF($C269-L$1&lt;År1,0,K268*(1-VLOOKUP($A269,[1]Hugst!$R$5:$W$9,MATCH(ROUNDUP((L$1)/10,0)*10,[1]Hugst!$R$4:$W$4,0))))</f>
        <v>0</v>
      </c>
      <c r="M269" s="168">
        <f ca="1">IF($C269-M$1&lt;År1,0,L268*(1-VLOOKUP($A269,[1]Hugst!$R$5:$W$9,MATCH(ROUNDUP((M$1)/10,0)*10,[1]Hugst!$R$4:$W$4,0))))</f>
        <v>0</v>
      </c>
      <c r="N269" s="168">
        <f ca="1">IF($C269-N$1&lt;År1,0,M268*(1-VLOOKUP($A269,[1]Hugst!$R$5:$W$9,MATCH(ROUNDUP((N$1)/10,0)*10,[1]Hugst!$R$4:$W$4,0))))</f>
        <v>0</v>
      </c>
      <c r="O269" s="168">
        <f ca="1">IF($C269-O$1&lt;År1,0,N268*(1-VLOOKUP($A269,[1]Hugst!$R$5:$W$9,MATCH(ROUNDUP((O$1)/10,0)*10,[1]Hugst!$R$4:$W$4,0))))</f>
        <v>0</v>
      </c>
      <c r="P269" s="168">
        <f ca="1">IF($C269-P$1&lt;År1,0,O268*(1-VLOOKUP($A269,[1]Hugst!$R$5:$W$9,MATCH(ROUNDUP((P$1)/10,0)*10,[1]Hugst!$R$4:$W$4,0))))</f>
        <v>0</v>
      </c>
      <c r="Q269" s="168">
        <f ca="1">IF($C269-Q$1&lt;År1,0,P268*(1-VLOOKUP($A269,[1]Hugst!$R$5:$W$9,MATCH(ROUNDUP((Q$1)/10,0)*10,[1]Hugst!$R$4:$W$4,0))))</f>
        <v>0</v>
      </c>
      <c r="R269" s="168">
        <f ca="1">IF($C269-R$1&lt;År1,0,Q268*(1-VLOOKUP($A269,[1]Hugst!$R$5:$W$9,MATCH(ROUNDUP((R$1)/10,0)*10,[1]Hugst!$R$4:$W$4,0))))</f>
        <v>0</v>
      </c>
      <c r="S269" s="168">
        <f ca="1">IF($C269-S$1&lt;År1,0,R268*(1-VLOOKUP($A269,[1]Hugst!$R$5:$W$9,MATCH(ROUNDUP((S$1)/10,0)*10,[1]Hugst!$R$4:$W$4,0))))</f>
        <v>0</v>
      </c>
      <c r="T269" s="168">
        <f ca="1">IF($C269-T$1&lt;År1,0,S268*(1-VLOOKUP($A269,[1]Hugst!$R$5:$W$9,MATCH(ROUNDUP((T$1)/10,0)*10,[1]Hugst!$R$4:$W$4,0))))</f>
        <v>0</v>
      </c>
      <c r="U269" s="168">
        <f ca="1">IF($C269-U$1&lt;År1,0,T268*(1-VLOOKUP($A269,[1]Hugst!$R$5:$W$9,MATCH(ROUNDUP((U$1)/10,0)*10,[1]Hugst!$R$4:$W$4,0))))</f>
        <v>0</v>
      </c>
      <c r="V269" s="168">
        <f ca="1">IF($C269-V$1&lt;År1,0,U268*(1-VLOOKUP($A269,[1]Hugst!$R$5:$W$9,MATCH(ROUNDUP((V$1)/10,0)*10,[1]Hugst!$R$4:$W$4,0))))</f>
        <v>0</v>
      </c>
      <c r="W269" s="168">
        <f ca="1">IF($C269-W$1&lt;År1,0,V268*(1-VLOOKUP($A269,[1]Hugst!$R$5:$W$9,MATCH(ROUNDUP((W$1)/10,0)*10,[1]Hugst!$R$4:$W$4,0))))</f>
        <v>0</v>
      </c>
      <c r="X269" s="168">
        <f ca="1">IF($C269-X$1&lt;År1,0,W268*(1-VLOOKUP($A269,[1]Hugst!$R$5:$W$9,MATCH(ROUNDUP((X$1)/10,0)*10,[1]Hugst!$R$4:$W$4,0))))</f>
        <v>0</v>
      </c>
      <c r="Y269" s="168">
        <f ca="1">IF($C269-Y$1&lt;År1,0,X268*(1-VLOOKUP($A269,[1]Hugst!$R$5:$W$9,MATCH(ROUNDUP((Y$1)/10,0)*10,[1]Hugst!$R$4:$W$4,0))))</f>
        <v>0</v>
      </c>
      <c r="Z269" s="168">
        <f>IF($C269-Z$1&lt;År1,0,Y268*(1-VLOOKUP($A269,[1]Hugst!$R$5:$W$9,MATCH(ROUNDUP((Z$1)/10,0)*10,[1]Hugst!$R$4:$W$4,0))))</f>
        <v>0</v>
      </c>
      <c r="AA269" s="168">
        <f>IF($C269-AA$1&lt;År1,0,Z268*(1-VLOOKUP($A269,[1]Hugst!$R$5:$W$9,MATCH(ROUNDUP((AA$1)/10,0)*10,[1]Hugst!$R$4:$W$4,0))))</f>
        <v>0</v>
      </c>
      <c r="AB269" s="168">
        <f>IF($C269-AB$1&lt;År1,0,AA268*(1-VLOOKUP($A269,[1]Hugst!$R$5:$W$9,MATCH(ROUNDUP((AB$1)/10,0)*10,[1]Hugst!$R$4:$W$4,0))))</f>
        <v>0</v>
      </c>
      <c r="AC269" s="168">
        <f>IF($C269-AC$1&lt;År1,0,AB268*(1-VLOOKUP($A269,[1]Hugst!$R$5:$W$9,MATCH(ROUNDUP((AC$1)/10,0)*10,[1]Hugst!$R$4:$W$4,0))))</f>
        <v>0</v>
      </c>
      <c r="AD269" s="168">
        <f>IF($C269-AD$1&lt;År1,0,AC268*(1-VLOOKUP($A269,[1]Hugst!$R$5:$W$9,MATCH(ROUNDUP((AD$1)/10,0)*10,[1]Hugst!$R$4:$W$4,0))))</f>
        <v>0</v>
      </c>
      <c r="AE269" s="168">
        <f>IF($C269-AE$1&lt;År1,0,AD268*(1-VLOOKUP($A269,[1]Hugst!$R$5:$W$9,MATCH(ROUNDUP((AE$1)/10,0)*10,[1]Hugst!$R$4:$W$4,0))))</f>
        <v>0</v>
      </c>
      <c r="AF269" s="168">
        <f>IF($C269-AF$1&lt;År1,0,AE268*(1-VLOOKUP($A269,[1]Hugst!$R$5:$W$9,MATCH(ROUNDUP((AF$1)/10,0)*10,[1]Hugst!$R$4:$W$4,0))))</f>
        <v>0</v>
      </c>
      <c r="AG269" s="168">
        <f>IF($C269-AG$1&lt;År1,0,AF268*(1-VLOOKUP($A269,[1]Hugst!$R$5:$W$9,MATCH(ROUNDUP((AG$1)/10,0)*10,[1]Hugst!$R$4:$W$4,0))))</f>
        <v>0</v>
      </c>
      <c r="AH269" s="168">
        <f>IF($C269-AH$1&lt;År1,0,AG268*(1-VLOOKUP($A269,[1]Hugst!$R$5:$W$9,MATCH(ROUNDUP((AH$1)/10,0)*10,[1]Hugst!$R$4:$W$4,0))))</f>
        <v>0</v>
      </c>
      <c r="AI269" s="168">
        <f>IF($C269-AI$1&lt;År1,0,AH268*(1-VLOOKUP($A269,[1]Hugst!$R$5:$W$9,MATCH(ROUNDUP((AI$1)/10,0)*10,[1]Hugst!$R$4:$W$4,0))))</f>
        <v>0</v>
      </c>
      <c r="AJ269" s="168">
        <f>IF($C269-AJ$1&lt;År1,0,AI268*(1-VLOOKUP($A269,[1]Hugst!$R$5:$W$9,MATCH(ROUNDUP((AJ$1)/10,0)*10,[1]Hugst!$R$4:$W$4,0))))</f>
        <v>0</v>
      </c>
    </row>
    <row r="270" spans="1:36" x14ac:dyDescent="0.25">
      <c r="A270" s="168" t="s">
        <v>180</v>
      </c>
      <c r="B270" s="168" t="s">
        <v>23</v>
      </c>
      <c r="C270" s="168">
        <v>2040</v>
      </c>
      <c r="D270" s="168" cm="1">
        <f t="array" ref="D270">(IF(B270="Vestdanmark",Skovbrug!$C$22-(Skovbrug!$C$22)*(1-Skovbrug!$C$9)^(C270-Skovbrug!$B$12),Skovbrug!$F$22-(Skovbrug!$F$22)*(1-Skovbrug!$C$9)^(C270-Skovbrug!$B$12))*VLOOKUP(A270,Skovbrug!$A$13:$D$17,IF('Skovbrug-alder'!C270&lt;=År2,3,4),FALSE)-IF(C270&gt;2020,SUM(INDEX($C$1:$D$311,MATCH(1,(2020=$C$1:$C$311)*(B270=$B$1:$B$311)*(A270=$A$1:$A$311),0),2):D269),0))</f>
        <v>0</v>
      </c>
      <c r="E270" s="168">
        <f t="shared" ca="1" si="6"/>
        <v>0</v>
      </c>
      <c r="F270" s="168">
        <f ca="1">IF(C270&lt;=År2,IF(B270="Vestdanmark",(Arealanvendelse!$M$27-Arealanvendelse!$J$27),(Arealanvendelse!$M$37-Arealanvendelse!$J$37))/(Arealanvendelse!$M$3-Arealanvendelse!$J$3),IF(B270="Vestdanmark",(Arealanvendelse!$P$27-Arealanvendelse!$M$27),(Arealanvendelse!$P$37-Arealanvendelse!$M$37))/(Arealanvendelse!$P$3-Arealanvendelse!$M$3))*VLOOKUP(A270,Skovbrug!$A$13:$D$17,IF('Skovbrug-alder'!C270&lt;=År2,3,4),FALSE)+D270+E270</f>
        <v>0</v>
      </c>
      <c r="G270" s="168">
        <f ca="1">IF($C270-G$1&lt;År1,0,F269*(1-VLOOKUP($A270,[1]Hugst!$R$5:$W$9,MATCH(ROUNDUP((G$1)/10,0)*10,[1]Hugst!$R$4:$W$4,0))))</f>
        <v>0</v>
      </c>
      <c r="H270" s="168">
        <f ca="1">IF($C270-H$1&lt;År1,0,G269*(1-VLOOKUP($A270,[1]Hugst!$R$5:$W$9,MATCH(ROUNDUP((H$1)/10,0)*10,[1]Hugst!$R$4:$W$4,0))))</f>
        <v>0</v>
      </c>
      <c r="I270" s="168">
        <f ca="1">IF($C270-I$1&lt;År1,0,H269*(1-VLOOKUP($A270,[1]Hugst!$R$5:$W$9,MATCH(ROUNDUP((I$1)/10,0)*10,[1]Hugst!$R$4:$W$4,0))))</f>
        <v>0</v>
      </c>
      <c r="J270" s="168">
        <f ca="1">IF($C270-J$1&lt;År1,0,I269*(1-VLOOKUP($A270,[1]Hugst!$R$5:$W$9,MATCH(ROUNDUP((J$1)/10,0)*10,[1]Hugst!$R$4:$W$4,0))))</f>
        <v>0</v>
      </c>
      <c r="K270" s="168">
        <f ca="1">IF($C270-K$1&lt;År1,0,J269*(1-VLOOKUP($A270,[1]Hugst!$R$5:$W$9,MATCH(ROUNDUP((K$1)/10,0)*10,[1]Hugst!$R$4:$W$4,0))))</f>
        <v>0</v>
      </c>
      <c r="L270" s="168">
        <f ca="1">IF($C270-L$1&lt;År1,0,K269*(1-VLOOKUP($A270,[1]Hugst!$R$5:$W$9,MATCH(ROUNDUP((L$1)/10,0)*10,[1]Hugst!$R$4:$W$4,0))))</f>
        <v>0</v>
      </c>
      <c r="M270" s="168">
        <f ca="1">IF($C270-M$1&lt;År1,0,L269*(1-VLOOKUP($A270,[1]Hugst!$R$5:$W$9,MATCH(ROUNDUP((M$1)/10,0)*10,[1]Hugst!$R$4:$W$4,0))))</f>
        <v>0</v>
      </c>
      <c r="N270" s="168">
        <f ca="1">IF($C270-N$1&lt;År1,0,M269*(1-VLOOKUP($A270,[1]Hugst!$R$5:$W$9,MATCH(ROUNDUP((N$1)/10,0)*10,[1]Hugst!$R$4:$W$4,0))))</f>
        <v>0</v>
      </c>
      <c r="O270" s="168">
        <f ca="1">IF($C270-O$1&lt;År1,0,N269*(1-VLOOKUP($A270,[1]Hugst!$R$5:$W$9,MATCH(ROUNDUP((O$1)/10,0)*10,[1]Hugst!$R$4:$W$4,0))))</f>
        <v>0</v>
      </c>
      <c r="P270" s="168">
        <f ca="1">IF($C270-P$1&lt;År1,0,O269*(1-VLOOKUP($A270,[1]Hugst!$R$5:$W$9,MATCH(ROUNDUP((P$1)/10,0)*10,[1]Hugst!$R$4:$W$4,0))))</f>
        <v>0</v>
      </c>
      <c r="Q270" s="168">
        <f ca="1">IF($C270-Q$1&lt;År1,0,P269*(1-VLOOKUP($A270,[1]Hugst!$R$5:$W$9,MATCH(ROUNDUP((Q$1)/10,0)*10,[1]Hugst!$R$4:$W$4,0))))</f>
        <v>0</v>
      </c>
      <c r="R270" s="168">
        <f ca="1">IF($C270-R$1&lt;År1,0,Q269*(1-VLOOKUP($A270,[1]Hugst!$R$5:$W$9,MATCH(ROUNDUP((R$1)/10,0)*10,[1]Hugst!$R$4:$W$4,0))))</f>
        <v>0</v>
      </c>
      <c r="S270" s="168">
        <f ca="1">IF($C270-S$1&lt;År1,0,R269*(1-VLOOKUP($A270,[1]Hugst!$R$5:$W$9,MATCH(ROUNDUP((S$1)/10,0)*10,[1]Hugst!$R$4:$W$4,0))))</f>
        <v>0</v>
      </c>
      <c r="T270" s="168">
        <f ca="1">IF($C270-T$1&lt;År1,0,S269*(1-VLOOKUP($A270,[1]Hugst!$R$5:$W$9,MATCH(ROUNDUP((T$1)/10,0)*10,[1]Hugst!$R$4:$W$4,0))))</f>
        <v>0</v>
      </c>
      <c r="U270" s="168">
        <f ca="1">IF($C270-U$1&lt;År1,0,T269*(1-VLOOKUP($A270,[1]Hugst!$R$5:$W$9,MATCH(ROUNDUP((U$1)/10,0)*10,[1]Hugst!$R$4:$W$4,0))))</f>
        <v>0</v>
      </c>
      <c r="V270" s="168">
        <f ca="1">IF($C270-V$1&lt;År1,0,U269*(1-VLOOKUP($A270,[1]Hugst!$R$5:$W$9,MATCH(ROUNDUP((V$1)/10,0)*10,[1]Hugst!$R$4:$W$4,0))))</f>
        <v>0</v>
      </c>
      <c r="W270" s="168">
        <f ca="1">IF($C270-W$1&lt;År1,0,V269*(1-VLOOKUP($A270,[1]Hugst!$R$5:$W$9,MATCH(ROUNDUP((W$1)/10,0)*10,[1]Hugst!$R$4:$W$4,0))))</f>
        <v>0</v>
      </c>
      <c r="X270" s="168">
        <f ca="1">IF($C270-X$1&lt;År1,0,W269*(1-VLOOKUP($A270,[1]Hugst!$R$5:$W$9,MATCH(ROUNDUP((X$1)/10,0)*10,[1]Hugst!$R$4:$W$4,0))))</f>
        <v>0</v>
      </c>
      <c r="Y270" s="168">
        <f ca="1">IF($C270-Y$1&lt;År1,0,X269*(1-VLOOKUP($A270,[1]Hugst!$R$5:$W$9,MATCH(ROUNDUP((Y$1)/10,0)*10,[1]Hugst!$R$4:$W$4,0))))</f>
        <v>0</v>
      </c>
      <c r="Z270" s="168">
        <f ca="1">IF($C270-Z$1&lt;År1,0,Y269*(1-VLOOKUP($A270,[1]Hugst!$R$5:$W$9,MATCH(ROUNDUP((Z$1)/10,0)*10,[1]Hugst!$R$4:$W$4,0))))</f>
        <v>0</v>
      </c>
      <c r="AA270" s="168">
        <f>IF($C270-AA$1&lt;År1,0,Z269*(1-VLOOKUP($A270,[1]Hugst!$R$5:$W$9,MATCH(ROUNDUP((AA$1)/10,0)*10,[1]Hugst!$R$4:$W$4,0))))</f>
        <v>0</v>
      </c>
      <c r="AB270" s="168">
        <f>IF($C270-AB$1&lt;År1,0,AA269*(1-VLOOKUP($A270,[1]Hugst!$R$5:$W$9,MATCH(ROUNDUP((AB$1)/10,0)*10,[1]Hugst!$R$4:$W$4,0))))</f>
        <v>0</v>
      </c>
      <c r="AC270" s="168">
        <f>IF($C270-AC$1&lt;År1,0,AB269*(1-VLOOKUP($A270,[1]Hugst!$R$5:$W$9,MATCH(ROUNDUP((AC$1)/10,0)*10,[1]Hugst!$R$4:$W$4,0))))</f>
        <v>0</v>
      </c>
      <c r="AD270" s="168">
        <f>IF($C270-AD$1&lt;År1,0,AC269*(1-VLOOKUP($A270,[1]Hugst!$R$5:$W$9,MATCH(ROUNDUP((AD$1)/10,0)*10,[1]Hugst!$R$4:$W$4,0))))</f>
        <v>0</v>
      </c>
      <c r="AE270" s="168">
        <f>IF($C270-AE$1&lt;År1,0,AD269*(1-VLOOKUP($A270,[1]Hugst!$R$5:$W$9,MATCH(ROUNDUP((AE$1)/10,0)*10,[1]Hugst!$R$4:$W$4,0))))</f>
        <v>0</v>
      </c>
      <c r="AF270" s="168">
        <f>IF($C270-AF$1&lt;År1,0,AE269*(1-VLOOKUP($A270,[1]Hugst!$R$5:$W$9,MATCH(ROUNDUP((AF$1)/10,0)*10,[1]Hugst!$R$4:$W$4,0))))</f>
        <v>0</v>
      </c>
      <c r="AG270" s="168">
        <f>IF($C270-AG$1&lt;År1,0,AF269*(1-VLOOKUP($A270,[1]Hugst!$R$5:$W$9,MATCH(ROUNDUP((AG$1)/10,0)*10,[1]Hugst!$R$4:$W$4,0))))</f>
        <v>0</v>
      </c>
      <c r="AH270" s="168">
        <f>IF($C270-AH$1&lt;År1,0,AG269*(1-VLOOKUP($A270,[1]Hugst!$R$5:$W$9,MATCH(ROUNDUP((AH$1)/10,0)*10,[1]Hugst!$R$4:$W$4,0))))</f>
        <v>0</v>
      </c>
      <c r="AI270" s="168">
        <f>IF($C270-AI$1&lt;År1,0,AH269*(1-VLOOKUP($A270,[1]Hugst!$R$5:$W$9,MATCH(ROUNDUP((AI$1)/10,0)*10,[1]Hugst!$R$4:$W$4,0))))</f>
        <v>0</v>
      </c>
      <c r="AJ270" s="168">
        <f>IF($C270-AJ$1&lt;År1,0,AI269*(1-VLOOKUP($A270,[1]Hugst!$R$5:$W$9,MATCH(ROUNDUP((AJ$1)/10,0)*10,[1]Hugst!$R$4:$W$4,0))))</f>
        <v>0</v>
      </c>
    </row>
    <row r="271" spans="1:36" x14ac:dyDescent="0.25">
      <c r="A271" s="168" t="s">
        <v>180</v>
      </c>
      <c r="B271" s="168" t="s">
        <v>23</v>
      </c>
      <c r="C271" s="168">
        <v>2041</v>
      </c>
      <c r="D271" s="168" cm="1">
        <f t="array" ref="D271">(IF(B271="Vestdanmark",Skovbrug!$C$22-(Skovbrug!$C$22)*(1-Skovbrug!$C$9)^(C271-Skovbrug!$B$12),Skovbrug!$F$22-(Skovbrug!$F$22)*(1-Skovbrug!$C$9)^(C271-Skovbrug!$B$12))*VLOOKUP(A271,Skovbrug!$A$13:$D$17,IF('Skovbrug-alder'!C271&lt;=År2,3,4),FALSE)-IF(C271&gt;2020,SUM(INDEX($C$1:$D$311,MATCH(1,(2020=$C$1:$C$311)*(B271=$B$1:$B$311)*(A271=$A$1:$A$311),0),2):D270),0))</f>
        <v>0</v>
      </c>
      <c r="E271" s="168">
        <f t="shared" ca="1" si="6"/>
        <v>0</v>
      </c>
      <c r="F271" s="168">
        <f ca="1">IF(C271&lt;=År2,IF(B271="Vestdanmark",(Arealanvendelse!$M$27-Arealanvendelse!$J$27),(Arealanvendelse!$M$37-Arealanvendelse!$J$37))/(Arealanvendelse!$M$3-Arealanvendelse!$J$3),IF(B271="Vestdanmark",(Arealanvendelse!$P$27-Arealanvendelse!$M$27),(Arealanvendelse!$P$37-Arealanvendelse!$M$37))/(Arealanvendelse!$P$3-Arealanvendelse!$M$3))*VLOOKUP(A271,Skovbrug!$A$13:$D$17,IF('Skovbrug-alder'!C271&lt;=År2,3,4),FALSE)+D271+E271</f>
        <v>0</v>
      </c>
      <c r="G271" s="168">
        <f ca="1">IF($C271-G$1&lt;År1,0,F270*(1-VLOOKUP($A271,[1]Hugst!$R$5:$W$9,MATCH(ROUNDUP((G$1)/10,0)*10,[1]Hugst!$R$4:$W$4,0))))</f>
        <v>0</v>
      </c>
      <c r="H271" s="168">
        <f ca="1">IF($C271-H$1&lt;År1,0,G270*(1-VLOOKUP($A271,[1]Hugst!$R$5:$W$9,MATCH(ROUNDUP((H$1)/10,0)*10,[1]Hugst!$R$4:$W$4,0))))</f>
        <v>0</v>
      </c>
      <c r="I271" s="168">
        <f ca="1">IF($C271-I$1&lt;År1,0,H270*(1-VLOOKUP($A271,[1]Hugst!$R$5:$W$9,MATCH(ROUNDUP((I$1)/10,0)*10,[1]Hugst!$R$4:$W$4,0))))</f>
        <v>0</v>
      </c>
      <c r="J271" s="168">
        <f ca="1">IF($C271-J$1&lt;År1,0,I270*(1-VLOOKUP($A271,[1]Hugst!$R$5:$W$9,MATCH(ROUNDUP((J$1)/10,0)*10,[1]Hugst!$R$4:$W$4,0))))</f>
        <v>0</v>
      </c>
      <c r="K271" s="168">
        <f ca="1">IF($C271-K$1&lt;År1,0,J270*(1-VLOOKUP($A271,[1]Hugst!$R$5:$W$9,MATCH(ROUNDUP((K$1)/10,0)*10,[1]Hugst!$R$4:$W$4,0))))</f>
        <v>0</v>
      </c>
      <c r="L271" s="168">
        <f ca="1">IF($C271-L$1&lt;År1,0,K270*(1-VLOOKUP($A271,[1]Hugst!$R$5:$W$9,MATCH(ROUNDUP((L$1)/10,0)*10,[1]Hugst!$R$4:$W$4,0))))</f>
        <v>0</v>
      </c>
      <c r="M271" s="168">
        <f ca="1">IF($C271-M$1&lt;År1,0,L270*(1-VLOOKUP($A271,[1]Hugst!$R$5:$W$9,MATCH(ROUNDUP((M$1)/10,0)*10,[1]Hugst!$R$4:$W$4,0))))</f>
        <v>0</v>
      </c>
      <c r="N271" s="168">
        <f ca="1">IF($C271-N$1&lt;År1,0,M270*(1-VLOOKUP($A271,[1]Hugst!$R$5:$W$9,MATCH(ROUNDUP((N$1)/10,0)*10,[1]Hugst!$R$4:$W$4,0))))</f>
        <v>0</v>
      </c>
      <c r="O271" s="168">
        <f ca="1">IF($C271-O$1&lt;År1,0,N270*(1-VLOOKUP($A271,[1]Hugst!$R$5:$W$9,MATCH(ROUNDUP((O$1)/10,0)*10,[1]Hugst!$R$4:$W$4,0))))</f>
        <v>0</v>
      </c>
      <c r="P271" s="168">
        <f ca="1">IF($C271-P$1&lt;År1,0,O270*(1-VLOOKUP($A271,[1]Hugst!$R$5:$W$9,MATCH(ROUNDUP((P$1)/10,0)*10,[1]Hugst!$R$4:$W$4,0))))</f>
        <v>0</v>
      </c>
      <c r="Q271" s="168">
        <f ca="1">IF($C271-Q$1&lt;År1,0,P270*(1-VLOOKUP($A271,[1]Hugst!$R$5:$W$9,MATCH(ROUNDUP((Q$1)/10,0)*10,[1]Hugst!$R$4:$W$4,0))))</f>
        <v>0</v>
      </c>
      <c r="R271" s="168">
        <f ca="1">IF($C271-R$1&lt;År1,0,Q270*(1-VLOOKUP($A271,[1]Hugst!$R$5:$W$9,MATCH(ROUNDUP((R$1)/10,0)*10,[1]Hugst!$R$4:$W$4,0))))</f>
        <v>0</v>
      </c>
      <c r="S271" s="168">
        <f ca="1">IF($C271-S$1&lt;År1,0,R270*(1-VLOOKUP($A271,[1]Hugst!$R$5:$W$9,MATCH(ROUNDUP((S$1)/10,0)*10,[1]Hugst!$R$4:$W$4,0))))</f>
        <v>0</v>
      </c>
      <c r="T271" s="168">
        <f ca="1">IF($C271-T$1&lt;År1,0,S270*(1-VLOOKUP($A271,[1]Hugst!$R$5:$W$9,MATCH(ROUNDUP((T$1)/10,0)*10,[1]Hugst!$R$4:$W$4,0))))</f>
        <v>0</v>
      </c>
      <c r="U271" s="168">
        <f ca="1">IF($C271-U$1&lt;År1,0,T270*(1-VLOOKUP($A271,[1]Hugst!$R$5:$W$9,MATCH(ROUNDUP((U$1)/10,0)*10,[1]Hugst!$R$4:$W$4,0))))</f>
        <v>0</v>
      </c>
      <c r="V271" s="168">
        <f ca="1">IF($C271-V$1&lt;År1,0,U270*(1-VLOOKUP($A271,[1]Hugst!$R$5:$W$9,MATCH(ROUNDUP((V$1)/10,0)*10,[1]Hugst!$R$4:$W$4,0))))</f>
        <v>0</v>
      </c>
      <c r="W271" s="168">
        <f ca="1">IF($C271-W$1&lt;År1,0,V270*(1-VLOOKUP($A271,[1]Hugst!$R$5:$W$9,MATCH(ROUNDUP((W$1)/10,0)*10,[1]Hugst!$R$4:$W$4,0))))</f>
        <v>0</v>
      </c>
      <c r="X271" s="168">
        <f ca="1">IF($C271-X$1&lt;År1,0,W270*(1-VLOOKUP($A271,[1]Hugst!$R$5:$W$9,MATCH(ROUNDUP((X$1)/10,0)*10,[1]Hugst!$R$4:$W$4,0))))</f>
        <v>0</v>
      </c>
      <c r="Y271" s="168">
        <f ca="1">IF($C271-Y$1&lt;År1,0,X270*(1-VLOOKUP($A271,[1]Hugst!$R$5:$W$9,MATCH(ROUNDUP((Y$1)/10,0)*10,[1]Hugst!$R$4:$W$4,0))))</f>
        <v>0</v>
      </c>
      <c r="Z271" s="168">
        <f ca="1">IF($C271-Z$1&lt;År1,0,Y270*(1-VLOOKUP($A271,[1]Hugst!$R$5:$W$9,MATCH(ROUNDUP((Z$1)/10,0)*10,[1]Hugst!$R$4:$W$4,0))))</f>
        <v>0</v>
      </c>
      <c r="AA271" s="168">
        <f ca="1">IF($C271-AA$1&lt;År1,0,Z270*(1-VLOOKUP($A271,[1]Hugst!$R$5:$W$9,MATCH(ROUNDUP((AA$1)/10,0)*10,[1]Hugst!$R$4:$W$4,0))))</f>
        <v>0</v>
      </c>
      <c r="AB271" s="168">
        <f>IF($C271-AB$1&lt;År1,0,AA270*(1-VLOOKUP($A271,[1]Hugst!$R$5:$W$9,MATCH(ROUNDUP((AB$1)/10,0)*10,[1]Hugst!$R$4:$W$4,0))))</f>
        <v>0</v>
      </c>
      <c r="AC271" s="168">
        <f>IF($C271-AC$1&lt;År1,0,AB270*(1-VLOOKUP($A271,[1]Hugst!$R$5:$W$9,MATCH(ROUNDUP((AC$1)/10,0)*10,[1]Hugst!$R$4:$W$4,0))))</f>
        <v>0</v>
      </c>
      <c r="AD271" s="168">
        <f>IF($C271-AD$1&lt;År1,0,AC270*(1-VLOOKUP($A271,[1]Hugst!$R$5:$W$9,MATCH(ROUNDUP((AD$1)/10,0)*10,[1]Hugst!$R$4:$W$4,0))))</f>
        <v>0</v>
      </c>
      <c r="AE271" s="168">
        <f>IF($C271-AE$1&lt;År1,0,AD270*(1-VLOOKUP($A271,[1]Hugst!$R$5:$W$9,MATCH(ROUNDUP((AE$1)/10,0)*10,[1]Hugst!$R$4:$W$4,0))))</f>
        <v>0</v>
      </c>
      <c r="AF271" s="168">
        <f>IF($C271-AF$1&lt;År1,0,AE270*(1-VLOOKUP($A271,[1]Hugst!$R$5:$W$9,MATCH(ROUNDUP((AF$1)/10,0)*10,[1]Hugst!$R$4:$W$4,0))))</f>
        <v>0</v>
      </c>
      <c r="AG271" s="168">
        <f>IF($C271-AG$1&lt;År1,0,AF270*(1-VLOOKUP($A271,[1]Hugst!$R$5:$W$9,MATCH(ROUNDUP((AG$1)/10,0)*10,[1]Hugst!$R$4:$W$4,0))))</f>
        <v>0</v>
      </c>
      <c r="AH271" s="168">
        <f>IF($C271-AH$1&lt;År1,0,AG270*(1-VLOOKUP($A271,[1]Hugst!$R$5:$W$9,MATCH(ROUNDUP((AH$1)/10,0)*10,[1]Hugst!$R$4:$W$4,0))))</f>
        <v>0</v>
      </c>
      <c r="AI271" s="168">
        <f>IF($C271-AI$1&lt;År1,0,AH270*(1-VLOOKUP($A271,[1]Hugst!$R$5:$W$9,MATCH(ROUNDUP((AI$1)/10,0)*10,[1]Hugst!$R$4:$W$4,0))))</f>
        <v>0</v>
      </c>
      <c r="AJ271" s="168">
        <f>IF($C271-AJ$1&lt;År1,0,AI270*(1-VLOOKUP($A271,[1]Hugst!$R$5:$W$9,MATCH(ROUNDUP((AJ$1)/10,0)*10,[1]Hugst!$R$4:$W$4,0))))</f>
        <v>0</v>
      </c>
    </row>
    <row r="272" spans="1:36" x14ac:dyDescent="0.25">
      <c r="A272" s="168" t="s">
        <v>180</v>
      </c>
      <c r="B272" s="168" t="s">
        <v>23</v>
      </c>
      <c r="C272" s="168">
        <v>2042</v>
      </c>
      <c r="D272" s="168" cm="1">
        <f t="array" ref="D272">(IF(B272="Vestdanmark",Skovbrug!$C$22-(Skovbrug!$C$22)*(1-Skovbrug!$C$9)^(C272-Skovbrug!$B$12),Skovbrug!$F$22-(Skovbrug!$F$22)*(1-Skovbrug!$C$9)^(C272-Skovbrug!$B$12))*VLOOKUP(A272,Skovbrug!$A$13:$D$17,IF('Skovbrug-alder'!C272&lt;=År2,3,4),FALSE)-IF(C272&gt;2020,SUM(INDEX($C$1:$D$311,MATCH(1,(2020=$C$1:$C$311)*(B272=$B$1:$B$311)*(A272=$A$1:$A$311),0),2):D271),0))</f>
        <v>0</v>
      </c>
      <c r="E272" s="168">
        <f t="shared" ca="1" si="6"/>
        <v>0</v>
      </c>
      <c r="F272" s="168">
        <f ca="1">IF(C272&lt;=År2,IF(B272="Vestdanmark",(Arealanvendelse!$M$27-Arealanvendelse!$J$27),(Arealanvendelse!$M$37-Arealanvendelse!$J$37))/(Arealanvendelse!$M$3-Arealanvendelse!$J$3),IF(B272="Vestdanmark",(Arealanvendelse!$P$27-Arealanvendelse!$M$27),(Arealanvendelse!$P$37-Arealanvendelse!$M$37))/(Arealanvendelse!$P$3-Arealanvendelse!$M$3))*VLOOKUP(A272,Skovbrug!$A$13:$D$17,IF('Skovbrug-alder'!C272&lt;=År2,3,4),FALSE)+D272+E272</f>
        <v>0</v>
      </c>
      <c r="G272" s="168">
        <f ca="1">IF($C272-G$1&lt;År1,0,F271*(1-VLOOKUP($A272,[1]Hugst!$R$5:$W$9,MATCH(ROUNDUP((G$1)/10,0)*10,[1]Hugst!$R$4:$W$4,0))))</f>
        <v>0</v>
      </c>
      <c r="H272" s="168">
        <f ca="1">IF($C272-H$1&lt;År1,0,G271*(1-VLOOKUP($A272,[1]Hugst!$R$5:$W$9,MATCH(ROUNDUP((H$1)/10,0)*10,[1]Hugst!$R$4:$W$4,0))))</f>
        <v>0</v>
      </c>
      <c r="I272" s="168">
        <f ca="1">IF($C272-I$1&lt;År1,0,H271*(1-VLOOKUP($A272,[1]Hugst!$R$5:$W$9,MATCH(ROUNDUP((I$1)/10,0)*10,[1]Hugst!$R$4:$W$4,0))))</f>
        <v>0</v>
      </c>
      <c r="J272" s="168">
        <f ca="1">IF($C272-J$1&lt;År1,0,I271*(1-VLOOKUP($A272,[1]Hugst!$R$5:$W$9,MATCH(ROUNDUP((J$1)/10,0)*10,[1]Hugst!$R$4:$W$4,0))))</f>
        <v>0</v>
      </c>
      <c r="K272" s="168">
        <f ca="1">IF($C272-K$1&lt;År1,0,J271*(1-VLOOKUP($A272,[1]Hugst!$R$5:$W$9,MATCH(ROUNDUP((K$1)/10,0)*10,[1]Hugst!$R$4:$W$4,0))))</f>
        <v>0</v>
      </c>
      <c r="L272" s="168">
        <f ca="1">IF($C272-L$1&lt;År1,0,K271*(1-VLOOKUP($A272,[1]Hugst!$R$5:$W$9,MATCH(ROUNDUP((L$1)/10,0)*10,[1]Hugst!$R$4:$W$4,0))))</f>
        <v>0</v>
      </c>
      <c r="M272" s="168">
        <f ca="1">IF($C272-M$1&lt;År1,0,L271*(1-VLOOKUP($A272,[1]Hugst!$R$5:$W$9,MATCH(ROUNDUP((M$1)/10,0)*10,[1]Hugst!$R$4:$W$4,0))))</f>
        <v>0</v>
      </c>
      <c r="N272" s="168">
        <f ca="1">IF($C272-N$1&lt;År1,0,M271*(1-VLOOKUP($A272,[1]Hugst!$R$5:$W$9,MATCH(ROUNDUP((N$1)/10,0)*10,[1]Hugst!$R$4:$W$4,0))))</f>
        <v>0</v>
      </c>
      <c r="O272" s="168">
        <f ca="1">IF($C272-O$1&lt;År1,0,N271*(1-VLOOKUP($A272,[1]Hugst!$R$5:$W$9,MATCH(ROUNDUP((O$1)/10,0)*10,[1]Hugst!$R$4:$W$4,0))))</f>
        <v>0</v>
      </c>
      <c r="P272" s="168">
        <f ca="1">IF($C272-P$1&lt;År1,0,O271*(1-VLOOKUP($A272,[1]Hugst!$R$5:$W$9,MATCH(ROUNDUP((P$1)/10,0)*10,[1]Hugst!$R$4:$W$4,0))))</f>
        <v>0</v>
      </c>
      <c r="Q272" s="168">
        <f ca="1">IF($C272-Q$1&lt;År1,0,P271*(1-VLOOKUP($A272,[1]Hugst!$R$5:$W$9,MATCH(ROUNDUP((Q$1)/10,0)*10,[1]Hugst!$R$4:$W$4,0))))</f>
        <v>0</v>
      </c>
      <c r="R272" s="168">
        <f ca="1">IF($C272-R$1&lt;År1,0,Q271*(1-VLOOKUP($A272,[1]Hugst!$R$5:$W$9,MATCH(ROUNDUP((R$1)/10,0)*10,[1]Hugst!$R$4:$W$4,0))))</f>
        <v>0</v>
      </c>
      <c r="S272" s="168">
        <f ca="1">IF($C272-S$1&lt;År1,0,R271*(1-VLOOKUP($A272,[1]Hugst!$R$5:$W$9,MATCH(ROUNDUP((S$1)/10,0)*10,[1]Hugst!$R$4:$W$4,0))))</f>
        <v>0</v>
      </c>
      <c r="T272" s="168">
        <f ca="1">IF($C272-T$1&lt;År1,0,S271*(1-VLOOKUP($A272,[1]Hugst!$R$5:$W$9,MATCH(ROUNDUP((T$1)/10,0)*10,[1]Hugst!$R$4:$W$4,0))))</f>
        <v>0</v>
      </c>
      <c r="U272" s="168">
        <f ca="1">IF($C272-U$1&lt;År1,0,T271*(1-VLOOKUP($A272,[1]Hugst!$R$5:$W$9,MATCH(ROUNDUP((U$1)/10,0)*10,[1]Hugst!$R$4:$W$4,0))))</f>
        <v>0</v>
      </c>
      <c r="V272" s="168">
        <f ca="1">IF($C272-V$1&lt;År1,0,U271*(1-VLOOKUP($A272,[1]Hugst!$R$5:$W$9,MATCH(ROUNDUP((V$1)/10,0)*10,[1]Hugst!$R$4:$W$4,0))))</f>
        <v>0</v>
      </c>
      <c r="W272" s="168">
        <f ca="1">IF($C272-W$1&lt;År1,0,V271*(1-VLOOKUP($A272,[1]Hugst!$R$5:$W$9,MATCH(ROUNDUP((W$1)/10,0)*10,[1]Hugst!$R$4:$W$4,0))))</f>
        <v>0</v>
      </c>
      <c r="X272" s="168">
        <f ca="1">IF($C272-X$1&lt;År1,0,W271*(1-VLOOKUP($A272,[1]Hugst!$R$5:$W$9,MATCH(ROUNDUP((X$1)/10,0)*10,[1]Hugst!$R$4:$W$4,0))))</f>
        <v>0</v>
      </c>
      <c r="Y272" s="168">
        <f ca="1">IF($C272-Y$1&lt;År1,0,X271*(1-VLOOKUP($A272,[1]Hugst!$R$5:$W$9,MATCH(ROUNDUP((Y$1)/10,0)*10,[1]Hugst!$R$4:$W$4,0))))</f>
        <v>0</v>
      </c>
      <c r="Z272" s="168">
        <f ca="1">IF($C272-Z$1&lt;År1,0,Y271*(1-VLOOKUP($A272,[1]Hugst!$R$5:$W$9,MATCH(ROUNDUP((Z$1)/10,0)*10,[1]Hugst!$R$4:$W$4,0))))</f>
        <v>0</v>
      </c>
      <c r="AA272" s="168">
        <f ca="1">IF($C272-AA$1&lt;År1,0,Z271*(1-VLOOKUP($A272,[1]Hugst!$R$5:$W$9,MATCH(ROUNDUP((AA$1)/10,0)*10,[1]Hugst!$R$4:$W$4,0))))</f>
        <v>0</v>
      </c>
      <c r="AB272" s="168">
        <f ca="1">IF($C272-AB$1&lt;År1,0,AA271*(1-VLOOKUP($A272,[1]Hugst!$R$5:$W$9,MATCH(ROUNDUP((AB$1)/10,0)*10,[1]Hugst!$R$4:$W$4,0))))</f>
        <v>0</v>
      </c>
      <c r="AC272" s="168">
        <f>IF($C272-AC$1&lt;År1,0,AB271*(1-VLOOKUP($A272,[1]Hugst!$R$5:$W$9,MATCH(ROUNDUP((AC$1)/10,0)*10,[1]Hugst!$R$4:$W$4,0))))</f>
        <v>0</v>
      </c>
      <c r="AD272" s="168">
        <f>IF($C272-AD$1&lt;År1,0,AC271*(1-VLOOKUP($A272,[1]Hugst!$R$5:$W$9,MATCH(ROUNDUP((AD$1)/10,0)*10,[1]Hugst!$R$4:$W$4,0))))</f>
        <v>0</v>
      </c>
      <c r="AE272" s="168">
        <f>IF($C272-AE$1&lt;År1,0,AD271*(1-VLOOKUP($A272,[1]Hugst!$R$5:$W$9,MATCH(ROUNDUP((AE$1)/10,0)*10,[1]Hugst!$R$4:$W$4,0))))</f>
        <v>0</v>
      </c>
      <c r="AF272" s="168">
        <f>IF($C272-AF$1&lt;År1,0,AE271*(1-VLOOKUP($A272,[1]Hugst!$R$5:$W$9,MATCH(ROUNDUP((AF$1)/10,0)*10,[1]Hugst!$R$4:$W$4,0))))</f>
        <v>0</v>
      </c>
      <c r="AG272" s="168">
        <f>IF($C272-AG$1&lt;År1,0,AF271*(1-VLOOKUP($A272,[1]Hugst!$R$5:$W$9,MATCH(ROUNDUP((AG$1)/10,0)*10,[1]Hugst!$R$4:$W$4,0))))</f>
        <v>0</v>
      </c>
      <c r="AH272" s="168">
        <f>IF($C272-AH$1&lt;År1,0,AG271*(1-VLOOKUP($A272,[1]Hugst!$R$5:$W$9,MATCH(ROUNDUP((AH$1)/10,0)*10,[1]Hugst!$R$4:$W$4,0))))</f>
        <v>0</v>
      </c>
      <c r="AI272" s="168">
        <f>IF($C272-AI$1&lt;År1,0,AH271*(1-VLOOKUP($A272,[1]Hugst!$R$5:$W$9,MATCH(ROUNDUP((AI$1)/10,0)*10,[1]Hugst!$R$4:$W$4,0))))</f>
        <v>0</v>
      </c>
      <c r="AJ272" s="168">
        <f>IF($C272-AJ$1&lt;År1,0,AI271*(1-VLOOKUP($A272,[1]Hugst!$R$5:$W$9,MATCH(ROUNDUP((AJ$1)/10,0)*10,[1]Hugst!$R$4:$W$4,0))))</f>
        <v>0</v>
      </c>
    </row>
    <row r="273" spans="1:36" x14ac:dyDescent="0.25">
      <c r="A273" s="168" t="s">
        <v>180</v>
      </c>
      <c r="B273" s="168" t="s">
        <v>23</v>
      </c>
      <c r="C273" s="168">
        <v>2043</v>
      </c>
      <c r="D273" s="168" cm="1">
        <f t="array" ref="D273">(IF(B273="Vestdanmark",Skovbrug!$C$22-(Skovbrug!$C$22)*(1-Skovbrug!$C$9)^(C273-Skovbrug!$B$12),Skovbrug!$F$22-(Skovbrug!$F$22)*(1-Skovbrug!$C$9)^(C273-Skovbrug!$B$12))*VLOOKUP(A273,Skovbrug!$A$13:$D$17,IF('Skovbrug-alder'!C273&lt;=År2,3,4),FALSE)-IF(C273&gt;2020,SUM(INDEX($C$1:$D$311,MATCH(1,(2020=$C$1:$C$311)*(B273=$B$1:$B$311)*(A273=$A$1:$A$311),0),2):D272),0))</f>
        <v>0</v>
      </c>
      <c r="E273" s="168">
        <f t="shared" ca="1" si="6"/>
        <v>0</v>
      </c>
      <c r="F273" s="168">
        <f ca="1">IF(C273&lt;=År2,IF(B273="Vestdanmark",(Arealanvendelse!$M$27-Arealanvendelse!$J$27),(Arealanvendelse!$M$37-Arealanvendelse!$J$37))/(Arealanvendelse!$M$3-Arealanvendelse!$J$3),IF(B273="Vestdanmark",(Arealanvendelse!$P$27-Arealanvendelse!$M$27),(Arealanvendelse!$P$37-Arealanvendelse!$M$37))/(Arealanvendelse!$P$3-Arealanvendelse!$M$3))*VLOOKUP(A273,Skovbrug!$A$13:$D$17,IF('Skovbrug-alder'!C273&lt;=År2,3,4),FALSE)+D273+E273</f>
        <v>0</v>
      </c>
      <c r="G273" s="168">
        <f ca="1">IF($C273-G$1&lt;År1,0,F272*(1-VLOOKUP($A273,[1]Hugst!$R$5:$W$9,MATCH(ROUNDUP((G$1)/10,0)*10,[1]Hugst!$R$4:$W$4,0))))</f>
        <v>0</v>
      </c>
      <c r="H273" s="168">
        <f ca="1">IF($C273-H$1&lt;År1,0,G272*(1-VLOOKUP($A273,[1]Hugst!$R$5:$W$9,MATCH(ROUNDUP((H$1)/10,0)*10,[1]Hugst!$R$4:$W$4,0))))</f>
        <v>0</v>
      </c>
      <c r="I273" s="168">
        <f ca="1">IF($C273-I$1&lt;År1,0,H272*(1-VLOOKUP($A273,[1]Hugst!$R$5:$W$9,MATCH(ROUNDUP((I$1)/10,0)*10,[1]Hugst!$R$4:$W$4,0))))</f>
        <v>0</v>
      </c>
      <c r="J273" s="168">
        <f ca="1">IF($C273-J$1&lt;År1,0,I272*(1-VLOOKUP($A273,[1]Hugst!$R$5:$W$9,MATCH(ROUNDUP((J$1)/10,0)*10,[1]Hugst!$R$4:$W$4,0))))</f>
        <v>0</v>
      </c>
      <c r="K273" s="168">
        <f ca="1">IF($C273-K$1&lt;År1,0,J272*(1-VLOOKUP($A273,[1]Hugst!$R$5:$W$9,MATCH(ROUNDUP((K$1)/10,0)*10,[1]Hugst!$R$4:$W$4,0))))</f>
        <v>0</v>
      </c>
      <c r="L273" s="168">
        <f ca="1">IF($C273-L$1&lt;År1,0,K272*(1-VLOOKUP($A273,[1]Hugst!$R$5:$W$9,MATCH(ROUNDUP((L$1)/10,0)*10,[1]Hugst!$R$4:$W$4,0))))</f>
        <v>0</v>
      </c>
      <c r="M273" s="168">
        <f ca="1">IF($C273-M$1&lt;År1,0,L272*(1-VLOOKUP($A273,[1]Hugst!$R$5:$W$9,MATCH(ROUNDUP((M$1)/10,0)*10,[1]Hugst!$R$4:$W$4,0))))</f>
        <v>0</v>
      </c>
      <c r="N273" s="168">
        <f ca="1">IF($C273-N$1&lt;År1,0,M272*(1-VLOOKUP($A273,[1]Hugst!$R$5:$W$9,MATCH(ROUNDUP((N$1)/10,0)*10,[1]Hugst!$R$4:$W$4,0))))</f>
        <v>0</v>
      </c>
      <c r="O273" s="168">
        <f ca="1">IF($C273-O$1&lt;År1,0,N272*(1-VLOOKUP($A273,[1]Hugst!$R$5:$W$9,MATCH(ROUNDUP((O$1)/10,0)*10,[1]Hugst!$R$4:$W$4,0))))</f>
        <v>0</v>
      </c>
      <c r="P273" s="168">
        <f ca="1">IF($C273-P$1&lt;År1,0,O272*(1-VLOOKUP($A273,[1]Hugst!$R$5:$W$9,MATCH(ROUNDUP((P$1)/10,0)*10,[1]Hugst!$R$4:$W$4,0))))</f>
        <v>0</v>
      </c>
      <c r="Q273" s="168">
        <f ca="1">IF($C273-Q$1&lt;År1,0,P272*(1-VLOOKUP($A273,[1]Hugst!$R$5:$W$9,MATCH(ROUNDUP((Q$1)/10,0)*10,[1]Hugst!$R$4:$W$4,0))))</f>
        <v>0</v>
      </c>
      <c r="R273" s="168">
        <f ca="1">IF($C273-R$1&lt;År1,0,Q272*(1-VLOOKUP($A273,[1]Hugst!$R$5:$W$9,MATCH(ROUNDUP((R$1)/10,0)*10,[1]Hugst!$R$4:$W$4,0))))</f>
        <v>0</v>
      </c>
      <c r="S273" s="168">
        <f ca="1">IF($C273-S$1&lt;År1,0,R272*(1-VLOOKUP($A273,[1]Hugst!$R$5:$W$9,MATCH(ROUNDUP((S$1)/10,0)*10,[1]Hugst!$R$4:$W$4,0))))</f>
        <v>0</v>
      </c>
      <c r="T273" s="168">
        <f ca="1">IF($C273-T$1&lt;År1,0,S272*(1-VLOOKUP($A273,[1]Hugst!$R$5:$W$9,MATCH(ROUNDUP((T$1)/10,0)*10,[1]Hugst!$R$4:$W$4,0))))</f>
        <v>0</v>
      </c>
      <c r="U273" s="168">
        <f ca="1">IF($C273-U$1&lt;År1,0,T272*(1-VLOOKUP($A273,[1]Hugst!$R$5:$W$9,MATCH(ROUNDUP((U$1)/10,0)*10,[1]Hugst!$R$4:$W$4,0))))</f>
        <v>0</v>
      </c>
      <c r="V273" s="168">
        <f ca="1">IF($C273-V$1&lt;År1,0,U272*(1-VLOOKUP($A273,[1]Hugst!$R$5:$W$9,MATCH(ROUNDUP((V$1)/10,0)*10,[1]Hugst!$R$4:$W$4,0))))</f>
        <v>0</v>
      </c>
      <c r="W273" s="168">
        <f ca="1">IF($C273-W$1&lt;År1,0,V272*(1-VLOOKUP($A273,[1]Hugst!$R$5:$W$9,MATCH(ROUNDUP((W$1)/10,0)*10,[1]Hugst!$R$4:$W$4,0))))</f>
        <v>0</v>
      </c>
      <c r="X273" s="168">
        <f ca="1">IF($C273-X$1&lt;År1,0,W272*(1-VLOOKUP($A273,[1]Hugst!$R$5:$W$9,MATCH(ROUNDUP((X$1)/10,0)*10,[1]Hugst!$R$4:$W$4,0))))</f>
        <v>0</v>
      </c>
      <c r="Y273" s="168">
        <f ca="1">IF($C273-Y$1&lt;År1,0,X272*(1-VLOOKUP($A273,[1]Hugst!$R$5:$W$9,MATCH(ROUNDUP((Y$1)/10,0)*10,[1]Hugst!$R$4:$W$4,0))))</f>
        <v>0</v>
      </c>
      <c r="Z273" s="168">
        <f ca="1">IF($C273-Z$1&lt;År1,0,Y272*(1-VLOOKUP($A273,[1]Hugst!$R$5:$W$9,MATCH(ROUNDUP((Z$1)/10,0)*10,[1]Hugst!$R$4:$W$4,0))))</f>
        <v>0</v>
      </c>
      <c r="AA273" s="168">
        <f ca="1">IF($C273-AA$1&lt;År1,0,Z272*(1-VLOOKUP($A273,[1]Hugst!$R$5:$W$9,MATCH(ROUNDUP((AA$1)/10,0)*10,[1]Hugst!$R$4:$W$4,0))))</f>
        <v>0</v>
      </c>
      <c r="AB273" s="168">
        <f ca="1">IF($C273-AB$1&lt;År1,0,AA272*(1-VLOOKUP($A273,[1]Hugst!$R$5:$W$9,MATCH(ROUNDUP((AB$1)/10,0)*10,[1]Hugst!$R$4:$W$4,0))))</f>
        <v>0</v>
      </c>
      <c r="AC273" s="168">
        <f ca="1">IF($C273-AC$1&lt;År1,0,AB272*(1-VLOOKUP($A273,[1]Hugst!$R$5:$W$9,MATCH(ROUNDUP((AC$1)/10,0)*10,[1]Hugst!$R$4:$W$4,0))))</f>
        <v>0</v>
      </c>
      <c r="AD273" s="168">
        <f>IF($C273-AD$1&lt;År1,0,AC272*(1-VLOOKUP($A273,[1]Hugst!$R$5:$W$9,MATCH(ROUNDUP((AD$1)/10,0)*10,[1]Hugst!$R$4:$W$4,0))))</f>
        <v>0</v>
      </c>
      <c r="AE273" s="168">
        <f>IF($C273-AE$1&lt;År1,0,AD272*(1-VLOOKUP($A273,[1]Hugst!$R$5:$W$9,MATCH(ROUNDUP((AE$1)/10,0)*10,[1]Hugst!$R$4:$W$4,0))))</f>
        <v>0</v>
      </c>
      <c r="AF273" s="168">
        <f>IF($C273-AF$1&lt;År1,0,AE272*(1-VLOOKUP($A273,[1]Hugst!$R$5:$W$9,MATCH(ROUNDUP((AF$1)/10,0)*10,[1]Hugst!$R$4:$W$4,0))))</f>
        <v>0</v>
      </c>
      <c r="AG273" s="168">
        <f>IF($C273-AG$1&lt;År1,0,AF272*(1-VLOOKUP($A273,[1]Hugst!$R$5:$W$9,MATCH(ROUNDUP((AG$1)/10,0)*10,[1]Hugst!$R$4:$W$4,0))))</f>
        <v>0</v>
      </c>
      <c r="AH273" s="168">
        <f>IF($C273-AH$1&lt;År1,0,AG272*(1-VLOOKUP($A273,[1]Hugst!$R$5:$W$9,MATCH(ROUNDUP((AH$1)/10,0)*10,[1]Hugst!$R$4:$W$4,0))))</f>
        <v>0</v>
      </c>
      <c r="AI273" s="168">
        <f>IF($C273-AI$1&lt;År1,0,AH272*(1-VLOOKUP($A273,[1]Hugst!$R$5:$W$9,MATCH(ROUNDUP((AI$1)/10,0)*10,[1]Hugst!$R$4:$W$4,0))))</f>
        <v>0</v>
      </c>
      <c r="AJ273" s="168">
        <f>IF($C273-AJ$1&lt;År1,0,AI272*(1-VLOOKUP($A273,[1]Hugst!$R$5:$W$9,MATCH(ROUNDUP((AJ$1)/10,0)*10,[1]Hugst!$R$4:$W$4,0))))</f>
        <v>0</v>
      </c>
    </row>
    <row r="274" spans="1:36" x14ac:dyDescent="0.25">
      <c r="A274" s="168" t="s">
        <v>180</v>
      </c>
      <c r="B274" s="168" t="s">
        <v>23</v>
      </c>
      <c r="C274" s="168">
        <v>2044</v>
      </c>
      <c r="D274" s="168" cm="1">
        <f t="array" ref="D274">(IF(B274="Vestdanmark",Skovbrug!$C$22-(Skovbrug!$C$22)*(1-Skovbrug!$C$9)^(C274-Skovbrug!$B$12),Skovbrug!$F$22-(Skovbrug!$F$22)*(1-Skovbrug!$C$9)^(C274-Skovbrug!$B$12))*VLOOKUP(A274,Skovbrug!$A$13:$D$17,IF('Skovbrug-alder'!C274&lt;=År2,3,4),FALSE)-IF(C274&gt;2020,SUM(INDEX($C$1:$D$311,MATCH(1,(2020=$C$1:$C$311)*(B274=$B$1:$B$311)*(A274=$A$1:$A$311),0),2):D273),0))</f>
        <v>0</v>
      </c>
      <c r="E274" s="168">
        <f t="shared" ca="1" si="6"/>
        <v>0</v>
      </c>
      <c r="F274" s="168">
        <f ca="1">IF(C274&lt;=År2,IF(B274="Vestdanmark",(Arealanvendelse!$M$27-Arealanvendelse!$J$27),(Arealanvendelse!$M$37-Arealanvendelse!$J$37))/(Arealanvendelse!$M$3-Arealanvendelse!$J$3),IF(B274="Vestdanmark",(Arealanvendelse!$P$27-Arealanvendelse!$M$27),(Arealanvendelse!$P$37-Arealanvendelse!$M$37))/(Arealanvendelse!$P$3-Arealanvendelse!$M$3))*VLOOKUP(A274,Skovbrug!$A$13:$D$17,IF('Skovbrug-alder'!C274&lt;=År2,3,4),FALSE)+D274+E274</f>
        <v>0</v>
      </c>
      <c r="G274" s="168">
        <f ca="1">IF($C274-G$1&lt;År1,0,F273*(1-VLOOKUP($A274,[1]Hugst!$R$5:$W$9,MATCH(ROUNDUP((G$1)/10,0)*10,[1]Hugst!$R$4:$W$4,0))))</f>
        <v>0</v>
      </c>
      <c r="H274" s="168">
        <f ca="1">IF($C274-H$1&lt;År1,0,G273*(1-VLOOKUP($A274,[1]Hugst!$R$5:$W$9,MATCH(ROUNDUP((H$1)/10,0)*10,[1]Hugst!$R$4:$W$4,0))))</f>
        <v>0</v>
      </c>
      <c r="I274" s="168">
        <f ca="1">IF($C274-I$1&lt;År1,0,H273*(1-VLOOKUP($A274,[1]Hugst!$R$5:$W$9,MATCH(ROUNDUP((I$1)/10,0)*10,[1]Hugst!$R$4:$W$4,0))))</f>
        <v>0</v>
      </c>
      <c r="J274" s="168">
        <f ca="1">IF($C274-J$1&lt;År1,0,I273*(1-VLOOKUP($A274,[1]Hugst!$R$5:$W$9,MATCH(ROUNDUP((J$1)/10,0)*10,[1]Hugst!$R$4:$W$4,0))))</f>
        <v>0</v>
      </c>
      <c r="K274" s="168">
        <f ca="1">IF($C274-K$1&lt;År1,0,J273*(1-VLOOKUP($A274,[1]Hugst!$R$5:$W$9,MATCH(ROUNDUP((K$1)/10,0)*10,[1]Hugst!$R$4:$W$4,0))))</f>
        <v>0</v>
      </c>
      <c r="L274" s="168">
        <f ca="1">IF($C274-L$1&lt;År1,0,K273*(1-VLOOKUP($A274,[1]Hugst!$R$5:$W$9,MATCH(ROUNDUP((L$1)/10,0)*10,[1]Hugst!$R$4:$W$4,0))))</f>
        <v>0</v>
      </c>
      <c r="M274" s="168">
        <f ca="1">IF($C274-M$1&lt;År1,0,L273*(1-VLOOKUP($A274,[1]Hugst!$R$5:$W$9,MATCH(ROUNDUP((M$1)/10,0)*10,[1]Hugst!$R$4:$W$4,0))))</f>
        <v>0</v>
      </c>
      <c r="N274" s="168">
        <f ca="1">IF($C274-N$1&lt;År1,0,M273*(1-VLOOKUP($A274,[1]Hugst!$R$5:$W$9,MATCH(ROUNDUP((N$1)/10,0)*10,[1]Hugst!$R$4:$W$4,0))))</f>
        <v>0</v>
      </c>
      <c r="O274" s="168">
        <f ca="1">IF($C274-O$1&lt;År1,0,N273*(1-VLOOKUP($A274,[1]Hugst!$R$5:$W$9,MATCH(ROUNDUP((O$1)/10,0)*10,[1]Hugst!$R$4:$W$4,0))))</f>
        <v>0</v>
      </c>
      <c r="P274" s="168">
        <f ca="1">IF($C274-P$1&lt;År1,0,O273*(1-VLOOKUP($A274,[1]Hugst!$R$5:$W$9,MATCH(ROUNDUP((P$1)/10,0)*10,[1]Hugst!$R$4:$W$4,0))))</f>
        <v>0</v>
      </c>
      <c r="Q274" s="168">
        <f ca="1">IF($C274-Q$1&lt;År1,0,P273*(1-VLOOKUP($A274,[1]Hugst!$R$5:$W$9,MATCH(ROUNDUP((Q$1)/10,0)*10,[1]Hugst!$R$4:$W$4,0))))</f>
        <v>0</v>
      </c>
      <c r="R274" s="168">
        <f ca="1">IF($C274-R$1&lt;År1,0,Q273*(1-VLOOKUP($A274,[1]Hugst!$R$5:$W$9,MATCH(ROUNDUP((R$1)/10,0)*10,[1]Hugst!$R$4:$W$4,0))))</f>
        <v>0</v>
      </c>
      <c r="S274" s="168">
        <f ca="1">IF($C274-S$1&lt;År1,0,R273*(1-VLOOKUP($A274,[1]Hugst!$R$5:$W$9,MATCH(ROUNDUP((S$1)/10,0)*10,[1]Hugst!$R$4:$W$4,0))))</f>
        <v>0</v>
      </c>
      <c r="T274" s="168">
        <f ca="1">IF($C274-T$1&lt;År1,0,S273*(1-VLOOKUP($A274,[1]Hugst!$R$5:$W$9,MATCH(ROUNDUP((T$1)/10,0)*10,[1]Hugst!$R$4:$W$4,0))))</f>
        <v>0</v>
      </c>
      <c r="U274" s="168">
        <f ca="1">IF($C274-U$1&lt;År1,0,T273*(1-VLOOKUP($A274,[1]Hugst!$R$5:$W$9,MATCH(ROUNDUP((U$1)/10,0)*10,[1]Hugst!$R$4:$W$4,0))))</f>
        <v>0</v>
      </c>
      <c r="V274" s="168">
        <f ca="1">IF($C274-V$1&lt;År1,0,U273*(1-VLOOKUP($A274,[1]Hugst!$R$5:$W$9,MATCH(ROUNDUP((V$1)/10,0)*10,[1]Hugst!$R$4:$W$4,0))))</f>
        <v>0</v>
      </c>
      <c r="W274" s="168">
        <f ca="1">IF($C274-W$1&lt;År1,0,V273*(1-VLOOKUP($A274,[1]Hugst!$R$5:$W$9,MATCH(ROUNDUP((W$1)/10,0)*10,[1]Hugst!$R$4:$W$4,0))))</f>
        <v>0</v>
      </c>
      <c r="X274" s="168">
        <f ca="1">IF($C274-X$1&lt;År1,0,W273*(1-VLOOKUP($A274,[1]Hugst!$R$5:$W$9,MATCH(ROUNDUP((X$1)/10,0)*10,[1]Hugst!$R$4:$W$4,0))))</f>
        <v>0</v>
      </c>
      <c r="Y274" s="168">
        <f ca="1">IF($C274-Y$1&lt;År1,0,X273*(1-VLOOKUP($A274,[1]Hugst!$R$5:$W$9,MATCH(ROUNDUP((Y$1)/10,0)*10,[1]Hugst!$R$4:$W$4,0))))</f>
        <v>0</v>
      </c>
      <c r="Z274" s="168">
        <f ca="1">IF($C274-Z$1&lt;År1,0,Y273*(1-VLOOKUP($A274,[1]Hugst!$R$5:$W$9,MATCH(ROUNDUP((Z$1)/10,0)*10,[1]Hugst!$R$4:$W$4,0))))</f>
        <v>0</v>
      </c>
      <c r="AA274" s="168">
        <f ca="1">IF($C274-AA$1&lt;År1,0,Z273*(1-VLOOKUP($A274,[1]Hugst!$R$5:$W$9,MATCH(ROUNDUP((AA$1)/10,0)*10,[1]Hugst!$R$4:$W$4,0))))</f>
        <v>0</v>
      </c>
      <c r="AB274" s="168">
        <f ca="1">IF($C274-AB$1&lt;År1,0,AA273*(1-VLOOKUP($A274,[1]Hugst!$R$5:$W$9,MATCH(ROUNDUP((AB$1)/10,0)*10,[1]Hugst!$R$4:$W$4,0))))</f>
        <v>0</v>
      </c>
      <c r="AC274" s="168">
        <f ca="1">IF($C274-AC$1&lt;År1,0,AB273*(1-VLOOKUP($A274,[1]Hugst!$R$5:$W$9,MATCH(ROUNDUP((AC$1)/10,0)*10,[1]Hugst!$R$4:$W$4,0))))</f>
        <v>0</v>
      </c>
      <c r="AD274" s="168">
        <f ca="1">IF($C274-AD$1&lt;År1,0,AC273*(1-VLOOKUP($A274,[1]Hugst!$R$5:$W$9,MATCH(ROUNDUP((AD$1)/10,0)*10,[1]Hugst!$R$4:$W$4,0))))</f>
        <v>0</v>
      </c>
      <c r="AE274" s="168">
        <f>IF($C274-AE$1&lt;År1,0,AD273*(1-VLOOKUP($A274,[1]Hugst!$R$5:$W$9,MATCH(ROUNDUP((AE$1)/10,0)*10,[1]Hugst!$R$4:$W$4,0))))</f>
        <v>0</v>
      </c>
      <c r="AF274" s="168">
        <f>IF($C274-AF$1&lt;År1,0,AE273*(1-VLOOKUP($A274,[1]Hugst!$R$5:$W$9,MATCH(ROUNDUP((AF$1)/10,0)*10,[1]Hugst!$R$4:$W$4,0))))</f>
        <v>0</v>
      </c>
      <c r="AG274" s="168">
        <f>IF($C274-AG$1&lt;År1,0,AF273*(1-VLOOKUP($A274,[1]Hugst!$R$5:$W$9,MATCH(ROUNDUP((AG$1)/10,0)*10,[1]Hugst!$R$4:$W$4,0))))</f>
        <v>0</v>
      </c>
      <c r="AH274" s="168">
        <f>IF($C274-AH$1&lt;År1,0,AG273*(1-VLOOKUP($A274,[1]Hugst!$R$5:$W$9,MATCH(ROUNDUP((AH$1)/10,0)*10,[1]Hugst!$R$4:$W$4,0))))</f>
        <v>0</v>
      </c>
      <c r="AI274" s="168">
        <f>IF($C274-AI$1&lt;År1,0,AH273*(1-VLOOKUP($A274,[1]Hugst!$R$5:$W$9,MATCH(ROUNDUP((AI$1)/10,0)*10,[1]Hugst!$R$4:$W$4,0))))</f>
        <v>0</v>
      </c>
      <c r="AJ274" s="168">
        <f>IF($C274-AJ$1&lt;År1,0,AI273*(1-VLOOKUP($A274,[1]Hugst!$R$5:$W$9,MATCH(ROUNDUP((AJ$1)/10,0)*10,[1]Hugst!$R$4:$W$4,0))))</f>
        <v>0</v>
      </c>
    </row>
    <row r="275" spans="1:36" x14ac:dyDescent="0.25">
      <c r="A275" s="168" t="s">
        <v>180</v>
      </c>
      <c r="B275" s="168" t="s">
        <v>23</v>
      </c>
      <c r="C275" s="168">
        <v>2045</v>
      </c>
      <c r="D275" s="168" cm="1">
        <f t="array" ref="D275">(IF(B275="Vestdanmark",Skovbrug!$C$22-(Skovbrug!$C$22)*(1-Skovbrug!$C$9)^(C275-Skovbrug!$B$12),Skovbrug!$F$22-(Skovbrug!$F$22)*(1-Skovbrug!$C$9)^(C275-Skovbrug!$B$12))*VLOOKUP(A275,Skovbrug!$A$13:$D$17,IF('Skovbrug-alder'!C275&lt;=År2,3,4),FALSE)-IF(C275&gt;2020,SUM(INDEX($C$1:$D$311,MATCH(1,(2020=$C$1:$C$311)*(B275=$B$1:$B$311)*(A275=$A$1:$A$311),0),2):D274),0))</f>
        <v>0</v>
      </c>
      <c r="E275" s="168">
        <f t="shared" ca="1" si="6"/>
        <v>0</v>
      </c>
      <c r="F275" s="168">
        <f ca="1">IF(C275&lt;=År2,IF(B275="Vestdanmark",(Arealanvendelse!$M$27-Arealanvendelse!$J$27),(Arealanvendelse!$M$37-Arealanvendelse!$J$37))/(Arealanvendelse!$M$3-Arealanvendelse!$J$3),IF(B275="Vestdanmark",(Arealanvendelse!$P$27-Arealanvendelse!$M$27),(Arealanvendelse!$P$37-Arealanvendelse!$M$37))/(Arealanvendelse!$P$3-Arealanvendelse!$M$3))*VLOOKUP(A275,Skovbrug!$A$13:$D$17,IF('Skovbrug-alder'!C275&lt;=År2,3,4),FALSE)+D275+E275</f>
        <v>0</v>
      </c>
      <c r="G275" s="168">
        <f ca="1">IF($C275-G$1&lt;År1,0,F274*(1-VLOOKUP($A275,[1]Hugst!$R$5:$W$9,MATCH(ROUNDUP((G$1)/10,0)*10,[1]Hugst!$R$4:$W$4,0))))</f>
        <v>0</v>
      </c>
      <c r="H275" s="168">
        <f ca="1">IF($C275-H$1&lt;År1,0,G274*(1-VLOOKUP($A275,[1]Hugst!$R$5:$W$9,MATCH(ROUNDUP((H$1)/10,0)*10,[1]Hugst!$R$4:$W$4,0))))</f>
        <v>0</v>
      </c>
      <c r="I275" s="168">
        <f ca="1">IF($C275-I$1&lt;År1,0,H274*(1-VLOOKUP($A275,[1]Hugst!$R$5:$W$9,MATCH(ROUNDUP((I$1)/10,0)*10,[1]Hugst!$R$4:$W$4,0))))</f>
        <v>0</v>
      </c>
      <c r="J275" s="168">
        <f ca="1">IF($C275-J$1&lt;År1,0,I274*(1-VLOOKUP($A275,[1]Hugst!$R$5:$W$9,MATCH(ROUNDUP((J$1)/10,0)*10,[1]Hugst!$R$4:$W$4,0))))</f>
        <v>0</v>
      </c>
      <c r="K275" s="168">
        <f ca="1">IF($C275-K$1&lt;År1,0,J274*(1-VLOOKUP($A275,[1]Hugst!$R$5:$W$9,MATCH(ROUNDUP((K$1)/10,0)*10,[1]Hugst!$R$4:$W$4,0))))</f>
        <v>0</v>
      </c>
      <c r="L275" s="168">
        <f ca="1">IF($C275-L$1&lt;År1,0,K274*(1-VLOOKUP($A275,[1]Hugst!$R$5:$W$9,MATCH(ROUNDUP((L$1)/10,0)*10,[1]Hugst!$R$4:$W$4,0))))</f>
        <v>0</v>
      </c>
      <c r="M275" s="168">
        <f ca="1">IF($C275-M$1&lt;År1,0,L274*(1-VLOOKUP($A275,[1]Hugst!$R$5:$W$9,MATCH(ROUNDUP((M$1)/10,0)*10,[1]Hugst!$R$4:$W$4,0))))</f>
        <v>0</v>
      </c>
      <c r="N275" s="168">
        <f ca="1">IF($C275-N$1&lt;År1,0,M274*(1-VLOOKUP($A275,[1]Hugst!$R$5:$W$9,MATCH(ROUNDUP((N$1)/10,0)*10,[1]Hugst!$R$4:$W$4,0))))</f>
        <v>0</v>
      </c>
      <c r="O275" s="168">
        <f ca="1">IF($C275-O$1&lt;År1,0,N274*(1-VLOOKUP($A275,[1]Hugst!$R$5:$W$9,MATCH(ROUNDUP((O$1)/10,0)*10,[1]Hugst!$R$4:$W$4,0))))</f>
        <v>0</v>
      </c>
      <c r="P275" s="168">
        <f ca="1">IF($C275-P$1&lt;År1,0,O274*(1-VLOOKUP($A275,[1]Hugst!$R$5:$W$9,MATCH(ROUNDUP((P$1)/10,0)*10,[1]Hugst!$R$4:$W$4,0))))</f>
        <v>0</v>
      </c>
      <c r="Q275" s="168">
        <f ca="1">IF($C275-Q$1&lt;År1,0,P274*(1-VLOOKUP($A275,[1]Hugst!$R$5:$W$9,MATCH(ROUNDUP((Q$1)/10,0)*10,[1]Hugst!$R$4:$W$4,0))))</f>
        <v>0</v>
      </c>
      <c r="R275" s="168">
        <f ca="1">IF($C275-R$1&lt;År1,0,Q274*(1-VLOOKUP($A275,[1]Hugst!$R$5:$W$9,MATCH(ROUNDUP((R$1)/10,0)*10,[1]Hugst!$R$4:$W$4,0))))</f>
        <v>0</v>
      </c>
      <c r="S275" s="168">
        <f ca="1">IF($C275-S$1&lt;År1,0,R274*(1-VLOOKUP($A275,[1]Hugst!$R$5:$W$9,MATCH(ROUNDUP((S$1)/10,0)*10,[1]Hugst!$R$4:$W$4,0))))</f>
        <v>0</v>
      </c>
      <c r="T275" s="168">
        <f ca="1">IF($C275-T$1&lt;År1,0,S274*(1-VLOOKUP($A275,[1]Hugst!$R$5:$W$9,MATCH(ROUNDUP((T$1)/10,0)*10,[1]Hugst!$R$4:$W$4,0))))</f>
        <v>0</v>
      </c>
      <c r="U275" s="168">
        <f ca="1">IF($C275-U$1&lt;År1,0,T274*(1-VLOOKUP($A275,[1]Hugst!$R$5:$W$9,MATCH(ROUNDUP((U$1)/10,0)*10,[1]Hugst!$R$4:$W$4,0))))</f>
        <v>0</v>
      </c>
      <c r="V275" s="168">
        <f ca="1">IF($C275-V$1&lt;År1,0,U274*(1-VLOOKUP($A275,[1]Hugst!$R$5:$W$9,MATCH(ROUNDUP((V$1)/10,0)*10,[1]Hugst!$R$4:$W$4,0))))</f>
        <v>0</v>
      </c>
      <c r="W275" s="168">
        <f ca="1">IF($C275-W$1&lt;År1,0,V274*(1-VLOOKUP($A275,[1]Hugst!$R$5:$W$9,MATCH(ROUNDUP((W$1)/10,0)*10,[1]Hugst!$R$4:$W$4,0))))</f>
        <v>0</v>
      </c>
      <c r="X275" s="168">
        <f ca="1">IF($C275-X$1&lt;År1,0,W274*(1-VLOOKUP($A275,[1]Hugst!$R$5:$W$9,MATCH(ROUNDUP((X$1)/10,0)*10,[1]Hugst!$R$4:$W$4,0))))</f>
        <v>0</v>
      </c>
      <c r="Y275" s="168">
        <f ca="1">IF($C275-Y$1&lt;År1,0,X274*(1-VLOOKUP($A275,[1]Hugst!$R$5:$W$9,MATCH(ROUNDUP((Y$1)/10,0)*10,[1]Hugst!$R$4:$W$4,0))))</f>
        <v>0</v>
      </c>
      <c r="Z275" s="168">
        <f ca="1">IF($C275-Z$1&lt;År1,0,Y274*(1-VLOOKUP($A275,[1]Hugst!$R$5:$W$9,MATCH(ROUNDUP((Z$1)/10,0)*10,[1]Hugst!$R$4:$W$4,0))))</f>
        <v>0</v>
      </c>
      <c r="AA275" s="168">
        <f ca="1">IF($C275-AA$1&lt;År1,0,Z274*(1-VLOOKUP($A275,[1]Hugst!$R$5:$W$9,MATCH(ROUNDUP((AA$1)/10,0)*10,[1]Hugst!$R$4:$W$4,0))))</f>
        <v>0</v>
      </c>
      <c r="AB275" s="168">
        <f ca="1">IF($C275-AB$1&lt;År1,0,AA274*(1-VLOOKUP($A275,[1]Hugst!$R$5:$W$9,MATCH(ROUNDUP((AB$1)/10,0)*10,[1]Hugst!$R$4:$W$4,0))))</f>
        <v>0</v>
      </c>
      <c r="AC275" s="168">
        <f ca="1">IF($C275-AC$1&lt;År1,0,AB274*(1-VLOOKUP($A275,[1]Hugst!$R$5:$W$9,MATCH(ROUNDUP((AC$1)/10,0)*10,[1]Hugst!$R$4:$W$4,0))))</f>
        <v>0</v>
      </c>
      <c r="AD275" s="168">
        <f ca="1">IF($C275-AD$1&lt;År1,0,AC274*(1-VLOOKUP($A275,[1]Hugst!$R$5:$W$9,MATCH(ROUNDUP((AD$1)/10,0)*10,[1]Hugst!$R$4:$W$4,0))))</f>
        <v>0</v>
      </c>
      <c r="AE275" s="168">
        <f ca="1">IF($C275-AE$1&lt;År1,0,AD274*(1-VLOOKUP($A275,[1]Hugst!$R$5:$W$9,MATCH(ROUNDUP((AE$1)/10,0)*10,[1]Hugst!$R$4:$W$4,0))))</f>
        <v>0</v>
      </c>
      <c r="AF275" s="168">
        <f>IF($C275-AF$1&lt;År1,0,AE274*(1-VLOOKUP($A275,[1]Hugst!$R$5:$W$9,MATCH(ROUNDUP((AF$1)/10,0)*10,[1]Hugst!$R$4:$W$4,0))))</f>
        <v>0</v>
      </c>
      <c r="AG275" s="168">
        <f>IF($C275-AG$1&lt;År1,0,AF274*(1-VLOOKUP($A275,[1]Hugst!$R$5:$W$9,MATCH(ROUNDUP((AG$1)/10,0)*10,[1]Hugst!$R$4:$W$4,0))))</f>
        <v>0</v>
      </c>
      <c r="AH275" s="168">
        <f>IF($C275-AH$1&lt;År1,0,AG274*(1-VLOOKUP($A275,[1]Hugst!$R$5:$W$9,MATCH(ROUNDUP((AH$1)/10,0)*10,[1]Hugst!$R$4:$W$4,0))))</f>
        <v>0</v>
      </c>
      <c r="AI275" s="168">
        <f>IF($C275-AI$1&lt;År1,0,AH274*(1-VLOOKUP($A275,[1]Hugst!$R$5:$W$9,MATCH(ROUNDUP((AI$1)/10,0)*10,[1]Hugst!$R$4:$W$4,0))))</f>
        <v>0</v>
      </c>
      <c r="AJ275" s="168">
        <f>IF($C275-AJ$1&lt;År1,0,AI274*(1-VLOOKUP($A275,[1]Hugst!$R$5:$W$9,MATCH(ROUNDUP((AJ$1)/10,0)*10,[1]Hugst!$R$4:$W$4,0))))</f>
        <v>0</v>
      </c>
    </row>
    <row r="276" spans="1:36" x14ac:dyDescent="0.25">
      <c r="A276" s="168" t="s">
        <v>180</v>
      </c>
      <c r="B276" s="168" t="s">
        <v>23</v>
      </c>
      <c r="C276" s="168">
        <v>2046</v>
      </c>
      <c r="D276" s="168" cm="1">
        <f t="array" ref="D276">(IF(B276="Vestdanmark",Skovbrug!$C$22-(Skovbrug!$C$22)*(1-Skovbrug!$C$9)^(C276-Skovbrug!$B$12),Skovbrug!$F$22-(Skovbrug!$F$22)*(1-Skovbrug!$C$9)^(C276-Skovbrug!$B$12))*VLOOKUP(A276,Skovbrug!$A$13:$D$17,IF('Skovbrug-alder'!C276&lt;=År2,3,4),FALSE)-IF(C276&gt;2020,SUM(INDEX($C$1:$D$311,MATCH(1,(2020=$C$1:$C$311)*(B276=$B$1:$B$311)*(A276=$A$1:$A$311),0),2):D275),0))</f>
        <v>0</v>
      </c>
      <c r="E276" s="168">
        <f t="shared" ca="1" si="6"/>
        <v>0</v>
      </c>
      <c r="F276" s="168">
        <f ca="1">IF(C276&lt;=År2,IF(B276="Vestdanmark",(Arealanvendelse!$M$27-Arealanvendelse!$J$27),(Arealanvendelse!$M$37-Arealanvendelse!$J$37))/(Arealanvendelse!$M$3-Arealanvendelse!$J$3),IF(B276="Vestdanmark",(Arealanvendelse!$P$27-Arealanvendelse!$M$27),(Arealanvendelse!$P$37-Arealanvendelse!$M$37))/(Arealanvendelse!$P$3-Arealanvendelse!$M$3))*VLOOKUP(A276,Skovbrug!$A$13:$D$17,IF('Skovbrug-alder'!C276&lt;=År2,3,4),FALSE)+D276+E276</f>
        <v>0</v>
      </c>
      <c r="G276" s="168">
        <f ca="1">IF($C276-G$1&lt;År1,0,F275*(1-VLOOKUP($A276,[1]Hugst!$R$5:$W$9,MATCH(ROUNDUP((G$1)/10,0)*10,[1]Hugst!$R$4:$W$4,0))))</f>
        <v>0</v>
      </c>
      <c r="H276" s="168">
        <f ca="1">IF($C276-H$1&lt;År1,0,G275*(1-VLOOKUP($A276,[1]Hugst!$R$5:$W$9,MATCH(ROUNDUP((H$1)/10,0)*10,[1]Hugst!$R$4:$W$4,0))))</f>
        <v>0</v>
      </c>
      <c r="I276" s="168">
        <f ca="1">IF($C276-I$1&lt;År1,0,H275*(1-VLOOKUP($A276,[1]Hugst!$R$5:$W$9,MATCH(ROUNDUP((I$1)/10,0)*10,[1]Hugst!$R$4:$W$4,0))))</f>
        <v>0</v>
      </c>
      <c r="J276" s="168">
        <f ca="1">IF($C276-J$1&lt;År1,0,I275*(1-VLOOKUP($A276,[1]Hugst!$R$5:$W$9,MATCH(ROUNDUP((J$1)/10,0)*10,[1]Hugst!$R$4:$W$4,0))))</f>
        <v>0</v>
      </c>
      <c r="K276" s="168">
        <f ca="1">IF($C276-K$1&lt;År1,0,J275*(1-VLOOKUP($A276,[1]Hugst!$R$5:$W$9,MATCH(ROUNDUP((K$1)/10,0)*10,[1]Hugst!$R$4:$W$4,0))))</f>
        <v>0</v>
      </c>
      <c r="L276" s="168">
        <f ca="1">IF($C276-L$1&lt;År1,0,K275*(1-VLOOKUP($A276,[1]Hugst!$R$5:$W$9,MATCH(ROUNDUP((L$1)/10,0)*10,[1]Hugst!$R$4:$W$4,0))))</f>
        <v>0</v>
      </c>
      <c r="M276" s="168">
        <f ca="1">IF($C276-M$1&lt;År1,0,L275*(1-VLOOKUP($A276,[1]Hugst!$R$5:$W$9,MATCH(ROUNDUP((M$1)/10,0)*10,[1]Hugst!$R$4:$W$4,0))))</f>
        <v>0</v>
      </c>
      <c r="N276" s="168">
        <f ca="1">IF($C276-N$1&lt;År1,0,M275*(1-VLOOKUP($A276,[1]Hugst!$R$5:$W$9,MATCH(ROUNDUP((N$1)/10,0)*10,[1]Hugst!$R$4:$W$4,0))))</f>
        <v>0</v>
      </c>
      <c r="O276" s="168">
        <f ca="1">IF($C276-O$1&lt;År1,0,N275*(1-VLOOKUP($A276,[1]Hugst!$R$5:$W$9,MATCH(ROUNDUP((O$1)/10,0)*10,[1]Hugst!$R$4:$W$4,0))))</f>
        <v>0</v>
      </c>
      <c r="P276" s="168">
        <f ca="1">IF($C276-P$1&lt;År1,0,O275*(1-VLOOKUP($A276,[1]Hugst!$R$5:$W$9,MATCH(ROUNDUP((P$1)/10,0)*10,[1]Hugst!$R$4:$W$4,0))))</f>
        <v>0</v>
      </c>
      <c r="Q276" s="168">
        <f ca="1">IF($C276-Q$1&lt;År1,0,P275*(1-VLOOKUP($A276,[1]Hugst!$R$5:$W$9,MATCH(ROUNDUP((Q$1)/10,0)*10,[1]Hugst!$R$4:$W$4,0))))</f>
        <v>0</v>
      </c>
      <c r="R276" s="168">
        <f ca="1">IF($C276-R$1&lt;År1,0,Q275*(1-VLOOKUP($A276,[1]Hugst!$R$5:$W$9,MATCH(ROUNDUP((R$1)/10,0)*10,[1]Hugst!$R$4:$W$4,0))))</f>
        <v>0</v>
      </c>
      <c r="S276" s="168">
        <f ca="1">IF($C276-S$1&lt;År1,0,R275*(1-VLOOKUP($A276,[1]Hugst!$R$5:$W$9,MATCH(ROUNDUP((S$1)/10,0)*10,[1]Hugst!$R$4:$W$4,0))))</f>
        <v>0</v>
      </c>
      <c r="T276" s="168">
        <f ca="1">IF($C276-T$1&lt;År1,0,S275*(1-VLOOKUP($A276,[1]Hugst!$R$5:$W$9,MATCH(ROUNDUP((T$1)/10,0)*10,[1]Hugst!$R$4:$W$4,0))))</f>
        <v>0</v>
      </c>
      <c r="U276" s="168">
        <f ca="1">IF($C276-U$1&lt;År1,0,T275*(1-VLOOKUP($A276,[1]Hugst!$R$5:$W$9,MATCH(ROUNDUP((U$1)/10,0)*10,[1]Hugst!$R$4:$W$4,0))))</f>
        <v>0</v>
      </c>
      <c r="V276" s="168">
        <f ca="1">IF($C276-V$1&lt;År1,0,U275*(1-VLOOKUP($A276,[1]Hugst!$R$5:$W$9,MATCH(ROUNDUP((V$1)/10,0)*10,[1]Hugst!$R$4:$W$4,0))))</f>
        <v>0</v>
      </c>
      <c r="W276" s="168">
        <f ca="1">IF($C276-W$1&lt;År1,0,V275*(1-VLOOKUP($A276,[1]Hugst!$R$5:$W$9,MATCH(ROUNDUP((W$1)/10,0)*10,[1]Hugst!$R$4:$W$4,0))))</f>
        <v>0</v>
      </c>
      <c r="X276" s="168">
        <f ca="1">IF($C276-X$1&lt;År1,0,W275*(1-VLOOKUP($A276,[1]Hugst!$R$5:$W$9,MATCH(ROUNDUP((X$1)/10,0)*10,[1]Hugst!$R$4:$W$4,0))))</f>
        <v>0</v>
      </c>
      <c r="Y276" s="168">
        <f ca="1">IF($C276-Y$1&lt;År1,0,X275*(1-VLOOKUP($A276,[1]Hugst!$R$5:$W$9,MATCH(ROUNDUP((Y$1)/10,0)*10,[1]Hugst!$R$4:$W$4,0))))</f>
        <v>0</v>
      </c>
      <c r="Z276" s="168">
        <f ca="1">IF($C276-Z$1&lt;År1,0,Y275*(1-VLOOKUP($A276,[1]Hugst!$R$5:$W$9,MATCH(ROUNDUP((Z$1)/10,0)*10,[1]Hugst!$R$4:$W$4,0))))</f>
        <v>0</v>
      </c>
      <c r="AA276" s="168">
        <f ca="1">IF($C276-AA$1&lt;År1,0,Z275*(1-VLOOKUP($A276,[1]Hugst!$R$5:$W$9,MATCH(ROUNDUP((AA$1)/10,0)*10,[1]Hugst!$R$4:$W$4,0))))</f>
        <v>0</v>
      </c>
      <c r="AB276" s="168">
        <f ca="1">IF($C276-AB$1&lt;År1,0,AA275*(1-VLOOKUP($A276,[1]Hugst!$R$5:$W$9,MATCH(ROUNDUP((AB$1)/10,0)*10,[1]Hugst!$R$4:$W$4,0))))</f>
        <v>0</v>
      </c>
      <c r="AC276" s="168">
        <f ca="1">IF($C276-AC$1&lt;År1,0,AB275*(1-VLOOKUP($A276,[1]Hugst!$R$5:$W$9,MATCH(ROUNDUP((AC$1)/10,0)*10,[1]Hugst!$R$4:$W$4,0))))</f>
        <v>0</v>
      </c>
      <c r="AD276" s="168">
        <f ca="1">IF($C276-AD$1&lt;År1,0,AC275*(1-VLOOKUP($A276,[1]Hugst!$R$5:$W$9,MATCH(ROUNDUP((AD$1)/10,0)*10,[1]Hugst!$R$4:$W$4,0))))</f>
        <v>0</v>
      </c>
      <c r="AE276" s="168">
        <f ca="1">IF($C276-AE$1&lt;År1,0,AD275*(1-VLOOKUP($A276,[1]Hugst!$R$5:$W$9,MATCH(ROUNDUP((AE$1)/10,0)*10,[1]Hugst!$R$4:$W$4,0))))</f>
        <v>0</v>
      </c>
      <c r="AF276" s="168">
        <f ca="1">IF($C276-AF$1&lt;År1,0,AE275*(1-VLOOKUP($A276,[1]Hugst!$R$5:$W$9,MATCH(ROUNDUP((AF$1)/10,0)*10,[1]Hugst!$R$4:$W$4,0))))</f>
        <v>0</v>
      </c>
      <c r="AG276" s="168">
        <f>IF($C276-AG$1&lt;År1,0,AF275*(1-VLOOKUP($A276,[1]Hugst!$R$5:$W$9,MATCH(ROUNDUP((AG$1)/10,0)*10,[1]Hugst!$R$4:$W$4,0))))</f>
        <v>0</v>
      </c>
      <c r="AH276" s="168">
        <f>IF($C276-AH$1&lt;År1,0,AG275*(1-VLOOKUP($A276,[1]Hugst!$R$5:$W$9,MATCH(ROUNDUP((AH$1)/10,0)*10,[1]Hugst!$R$4:$W$4,0))))</f>
        <v>0</v>
      </c>
      <c r="AI276" s="168">
        <f>IF($C276-AI$1&lt;År1,0,AH275*(1-VLOOKUP($A276,[1]Hugst!$R$5:$W$9,MATCH(ROUNDUP((AI$1)/10,0)*10,[1]Hugst!$R$4:$W$4,0))))</f>
        <v>0</v>
      </c>
      <c r="AJ276" s="168">
        <f>IF($C276-AJ$1&lt;År1,0,AI275*(1-VLOOKUP($A276,[1]Hugst!$R$5:$W$9,MATCH(ROUNDUP((AJ$1)/10,0)*10,[1]Hugst!$R$4:$W$4,0))))</f>
        <v>0</v>
      </c>
    </row>
    <row r="277" spans="1:36" x14ac:dyDescent="0.25">
      <c r="A277" s="168" t="s">
        <v>180</v>
      </c>
      <c r="B277" s="168" t="s">
        <v>23</v>
      </c>
      <c r="C277" s="168">
        <v>2047</v>
      </c>
      <c r="D277" s="168" cm="1">
        <f t="array" ref="D277">(IF(B277="Vestdanmark",Skovbrug!$C$22-(Skovbrug!$C$22)*(1-Skovbrug!$C$9)^(C277-Skovbrug!$B$12),Skovbrug!$F$22-(Skovbrug!$F$22)*(1-Skovbrug!$C$9)^(C277-Skovbrug!$B$12))*VLOOKUP(A277,Skovbrug!$A$13:$D$17,IF('Skovbrug-alder'!C277&lt;=År2,3,4),FALSE)-IF(C277&gt;2020,SUM(INDEX($C$1:$D$311,MATCH(1,(2020=$C$1:$C$311)*(B277=$B$1:$B$311)*(A277=$A$1:$A$311),0),2):D276),0))</f>
        <v>0</v>
      </c>
      <c r="E277" s="168">
        <f t="shared" ca="1" si="6"/>
        <v>0</v>
      </c>
      <c r="F277" s="168">
        <f ca="1">IF(C277&lt;=År2,IF(B277="Vestdanmark",(Arealanvendelse!$M$27-Arealanvendelse!$J$27),(Arealanvendelse!$M$37-Arealanvendelse!$J$37))/(Arealanvendelse!$M$3-Arealanvendelse!$J$3),IF(B277="Vestdanmark",(Arealanvendelse!$P$27-Arealanvendelse!$M$27),(Arealanvendelse!$P$37-Arealanvendelse!$M$37))/(Arealanvendelse!$P$3-Arealanvendelse!$M$3))*VLOOKUP(A277,Skovbrug!$A$13:$D$17,IF('Skovbrug-alder'!C277&lt;=År2,3,4),FALSE)+D277+E277</f>
        <v>0</v>
      </c>
      <c r="G277" s="168">
        <f ca="1">IF($C277-G$1&lt;År1,0,F276*(1-VLOOKUP($A277,[1]Hugst!$R$5:$W$9,MATCH(ROUNDUP((G$1)/10,0)*10,[1]Hugst!$R$4:$W$4,0))))</f>
        <v>0</v>
      </c>
      <c r="H277" s="168">
        <f ca="1">IF($C277-H$1&lt;År1,0,G276*(1-VLOOKUP($A277,[1]Hugst!$R$5:$W$9,MATCH(ROUNDUP((H$1)/10,0)*10,[1]Hugst!$R$4:$W$4,0))))</f>
        <v>0</v>
      </c>
      <c r="I277" s="168">
        <f ca="1">IF($C277-I$1&lt;År1,0,H276*(1-VLOOKUP($A277,[1]Hugst!$R$5:$W$9,MATCH(ROUNDUP((I$1)/10,0)*10,[1]Hugst!$R$4:$W$4,0))))</f>
        <v>0</v>
      </c>
      <c r="J277" s="168">
        <f ca="1">IF($C277-J$1&lt;År1,0,I276*(1-VLOOKUP($A277,[1]Hugst!$R$5:$W$9,MATCH(ROUNDUP((J$1)/10,0)*10,[1]Hugst!$R$4:$W$4,0))))</f>
        <v>0</v>
      </c>
      <c r="K277" s="168">
        <f ca="1">IF($C277-K$1&lt;År1,0,J276*(1-VLOOKUP($A277,[1]Hugst!$R$5:$W$9,MATCH(ROUNDUP((K$1)/10,0)*10,[1]Hugst!$R$4:$W$4,0))))</f>
        <v>0</v>
      </c>
      <c r="L277" s="168">
        <f ca="1">IF($C277-L$1&lt;År1,0,K276*(1-VLOOKUP($A277,[1]Hugst!$R$5:$W$9,MATCH(ROUNDUP((L$1)/10,0)*10,[1]Hugst!$R$4:$W$4,0))))</f>
        <v>0</v>
      </c>
      <c r="M277" s="168">
        <f ca="1">IF($C277-M$1&lt;År1,0,L276*(1-VLOOKUP($A277,[1]Hugst!$R$5:$W$9,MATCH(ROUNDUP((M$1)/10,0)*10,[1]Hugst!$R$4:$W$4,0))))</f>
        <v>0</v>
      </c>
      <c r="N277" s="168">
        <f ca="1">IF($C277-N$1&lt;År1,0,M276*(1-VLOOKUP($A277,[1]Hugst!$R$5:$W$9,MATCH(ROUNDUP((N$1)/10,0)*10,[1]Hugst!$R$4:$W$4,0))))</f>
        <v>0</v>
      </c>
      <c r="O277" s="168">
        <f ca="1">IF($C277-O$1&lt;År1,0,N276*(1-VLOOKUP($A277,[1]Hugst!$R$5:$W$9,MATCH(ROUNDUP((O$1)/10,0)*10,[1]Hugst!$R$4:$W$4,0))))</f>
        <v>0</v>
      </c>
      <c r="P277" s="168">
        <f ca="1">IF($C277-P$1&lt;År1,0,O276*(1-VLOOKUP($A277,[1]Hugst!$R$5:$W$9,MATCH(ROUNDUP((P$1)/10,0)*10,[1]Hugst!$R$4:$W$4,0))))</f>
        <v>0</v>
      </c>
      <c r="Q277" s="168">
        <f ca="1">IF($C277-Q$1&lt;År1,0,P276*(1-VLOOKUP($A277,[1]Hugst!$R$5:$W$9,MATCH(ROUNDUP((Q$1)/10,0)*10,[1]Hugst!$R$4:$W$4,0))))</f>
        <v>0</v>
      </c>
      <c r="R277" s="168">
        <f ca="1">IF($C277-R$1&lt;År1,0,Q276*(1-VLOOKUP($A277,[1]Hugst!$R$5:$W$9,MATCH(ROUNDUP((R$1)/10,0)*10,[1]Hugst!$R$4:$W$4,0))))</f>
        <v>0</v>
      </c>
      <c r="S277" s="168">
        <f ca="1">IF($C277-S$1&lt;År1,0,R276*(1-VLOOKUP($A277,[1]Hugst!$R$5:$W$9,MATCH(ROUNDUP((S$1)/10,0)*10,[1]Hugst!$R$4:$W$4,0))))</f>
        <v>0</v>
      </c>
      <c r="T277" s="168">
        <f ca="1">IF($C277-T$1&lt;År1,0,S276*(1-VLOOKUP($A277,[1]Hugst!$R$5:$W$9,MATCH(ROUNDUP((T$1)/10,0)*10,[1]Hugst!$R$4:$W$4,0))))</f>
        <v>0</v>
      </c>
      <c r="U277" s="168">
        <f ca="1">IF($C277-U$1&lt;År1,0,T276*(1-VLOOKUP($A277,[1]Hugst!$R$5:$W$9,MATCH(ROUNDUP((U$1)/10,0)*10,[1]Hugst!$R$4:$W$4,0))))</f>
        <v>0</v>
      </c>
      <c r="V277" s="168">
        <f ca="1">IF($C277-V$1&lt;År1,0,U276*(1-VLOOKUP($A277,[1]Hugst!$R$5:$W$9,MATCH(ROUNDUP((V$1)/10,0)*10,[1]Hugst!$R$4:$W$4,0))))</f>
        <v>0</v>
      </c>
      <c r="W277" s="168">
        <f ca="1">IF($C277-W$1&lt;År1,0,V276*(1-VLOOKUP($A277,[1]Hugst!$R$5:$W$9,MATCH(ROUNDUP((W$1)/10,0)*10,[1]Hugst!$R$4:$W$4,0))))</f>
        <v>0</v>
      </c>
      <c r="X277" s="168">
        <f ca="1">IF($C277-X$1&lt;År1,0,W276*(1-VLOOKUP($A277,[1]Hugst!$R$5:$W$9,MATCH(ROUNDUP((X$1)/10,0)*10,[1]Hugst!$R$4:$W$4,0))))</f>
        <v>0</v>
      </c>
      <c r="Y277" s="168">
        <f ca="1">IF($C277-Y$1&lt;År1,0,X276*(1-VLOOKUP($A277,[1]Hugst!$R$5:$W$9,MATCH(ROUNDUP((Y$1)/10,0)*10,[1]Hugst!$R$4:$W$4,0))))</f>
        <v>0</v>
      </c>
      <c r="Z277" s="168">
        <f ca="1">IF($C277-Z$1&lt;År1,0,Y276*(1-VLOOKUP($A277,[1]Hugst!$R$5:$W$9,MATCH(ROUNDUP((Z$1)/10,0)*10,[1]Hugst!$R$4:$W$4,0))))</f>
        <v>0</v>
      </c>
      <c r="AA277" s="168">
        <f ca="1">IF($C277-AA$1&lt;År1,0,Z276*(1-VLOOKUP($A277,[1]Hugst!$R$5:$W$9,MATCH(ROUNDUP((AA$1)/10,0)*10,[1]Hugst!$R$4:$W$4,0))))</f>
        <v>0</v>
      </c>
      <c r="AB277" s="168">
        <f ca="1">IF($C277-AB$1&lt;År1,0,AA276*(1-VLOOKUP($A277,[1]Hugst!$R$5:$W$9,MATCH(ROUNDUP((AB$1)/10,0)*10,[1]Hugst!$R$4:$W$4,0))))</f>
        <v>0</v>
      </c>
      <c r="AC277" s="168">
        <f ca="1">IF($C277-AC$1&lt;År1,0,AB276*(1-VLOOKUP($A277,[1]Hugst!$R$5:$W$9,MATCH(ROUNDUP((AC$1)/10,0)*10,[1]Hugst!$R$4:$W$4,0))))</f>
        <v>0</v>
      </c>
      <c r="AD277" s="168">
        <f ca="1">IF($C277-AD$1&lt;År1,0,AC276*(1-VLOOKUP($A277,[1]Hugst!$R$5:$W$9,MATCH(ROUNDUP((AD$1)/10,0)*10,[1]Hugst!$R$4:$W$4,0))))</f>
        <v>0</v>
      </c>
      <c r="AE277" s="168">
        <f ca="1">IF($C277-AE$1&lt;År1,0,AD276*(1-VLOOKUP($A277,[1]Hugst!$R$5:$W$9,MATCH(ROUNDUP((AE$1)/10,0)*10,[1]Hugst!$R$4:$W$4,0))))</f>
        <v>0</v>
      </c>
      <c r="AF277" s="168">
        <f ca="1">IF($C277-AF$1&lt;År1,0,AE276*(1-VLOOKUP($A277,[1]Hugst!$R$5:$W$9,MATCH(ROUNDUP((AF$1)/10,0)*10,[1]Hugst!$R$4:$W$4,0))))</f>
        <v>0</v>
      </c>
      <c r="AG277" s="168">
        <f ca="1">IF($C277-AG$1&lt;År1,0,AF276*(1-VLOOKUP($A277,[1]Hugst!$R$5:$W$9,MATCH(ROUNDUP((AG$1)/10,0)*10,[1]Hugst!$R$4:$W$4,0))))</f>
        <v>0</v>
      </c>
      <c r="AH277" s="168">
        <f>IF($C277-AH$1&lt;År1,0,AG276*(1-VLOOKUP($A277,[1]Hugst!$R$5:$W$9,MATCH(ROUNDUP((AH$1)/10,0)*10,[1]Hugst!$R$4:$W$4,0))))</f>
        <v>0</v>
      </c>
      <c r="AI277" s="168">
        <f>IF($C277-AI$1&lt;År1,0,AH276*(1-VLOOKUP($A277,[1]Hugst!$R$5:$W$9,MATCH(ROUNDUP((AI$1)/10,0)*10,[1]Hugst!$R$4:$W$4,0))))</f>
        <v>0</v>
      </c>
      <c r="AJ277" s="168">
        <f>IF($C277-AJ$1&lt;År1,0,AI276*(1-VLOOKUP($A277,[1]Hugst!$R$5:$W$9,MATCH(ROUNDUP((AJ$1)/10,0)*10,[1]Hugst!$R$4:$W$4,0))))</f>
        <v>0</v>
      </c>
    </row>
    <row r="278" spans="1:36" x14ac:dyDescent="0.25">
      <c r="A278" s="168" t="s">
        <v>180</v>
      </c>
      <c r="B278" s="168" t="s">
        <v>23</v>
      </c>
      <c r="C278" s="168">
        <v>2048</v>
      </c>
      <c r="D278" s="168" cm="1">
        <f t="array" ref="D278">(IF(B278="Vestdanmark",Skovbrug!$C$22-(Skovbrug!$C$22)*(1-Skovbrug!$C$9)^(C278-Skovbrug!$B$12),Skovbrug!$F$22-(Skovbrug!$F$22)*(1-Skovbrug!$C$9)^(C278-Skovbrug!$B$12))*VLOOKUP(A278,Skovbrug!$A$13:$D$17,IF('Skovbrug-alder'!C278&lt;=År2,3,4),FALSE)-IF(C278&gt;2020,SUM(INDEX($C$1:$D$311,MATCH(1,(2020=$C$1:$C$311)*(B278=$B$1:$B$311)*(A278=$A$1:$A$311),0),2):D277),0))</f>
        <v>0</v>
      </c>
      <c r="E278" s="168">
        <f t="shared" ca="1" si="6"/>
        <v>0</v>
      </c>
      <c r="F278" s="168">
        <f ca="1">IF(C278&lt;=År2,IF(B278="Vestdanmark",(Arealanvendelse!$M$27-Arealanvendelse!$J$27),(Arealanvendelse!$M$37-Arealanvendelse!$J$37))/(Arealanvendelse!$M$3-Arealanvendelse!$J$3),IF(B278="Vestdanmark",(Arealanvendelse!$P$27-Arealanvendelse!$M$27),(Arealanvendelse!$P$37-Arealanvendelse!$M$37))/(Arealanvendelse!$P$3-Arealanvendelse!$M$3))*VLOOKUP(A278,Skovbrug!$A$13:$D$17,IF('Skovbrug-alder'!C278&lt;=År2,3,4),FALSE)+D278+E278</f>
        <v>0</v>
      </c>
      <c r="G278" s="168">
        <f ca="1">IF($C278-G$1&lt;År1,0,F277*(1-VLOOKUP($A278,[1]Hugst!$R$5:$W$9,MATCH(ROUNDUP((G$1)/10,0)*10,[1]Hugst!$R$4:$W$4,0))))</f>
        <v>0</v>
      </c>
      <c r="H278" s="168">
        <f ca="1">IF($C278-H$1&lt;År1,0,G277*(1-VLOOKUP($A278,[1]Hugst!$R$5:$W$9,MATCH(ROUNDUP((H$1)/10,0)*10,[1]Hugst!$R$4:$W$4,0))))</f>
        <v>0</v>
      </c>
      <c r="I278" s="168">
        <f ca="1">IF($C278-I$1&lt;År1,0,H277*(1-VLOOKUP($A278,[1]Hugst!$R$5:$W$9,MATCH(ROUNDUP((I$1)/10,0)*10,[1]Hugst!$R$4:$W$4,0))))</f>
        <v>0</v>
      </c>
      <c r="J278" s="168">
        <f ca="1">IF($C278-J$1&lt;År1,0,I277*(1-VLOOKUP($A278,[1]Hugst!$R$5:$W$9,MATCH(ROUNDUP((J$1)/10,0)*10,[1]Hugst!$R$4:$W$4,0))))</f>
        <v>0</v>
      </c>
      <c r="K278" s="168">
        <f ca="1">IF($C278-K$1&lt;År1,0,J277*(1-VLOOKUP($A278,[1]Hugst!$R$5:$W$9,MATCH(ROUNDUP((K$1)/10,0)*10,[1]Hugst!$R$4:$W$4,0))))</f>
        <v>0</v>
      </c>
      <c r="L278" s="168">
        <f ca="1">IF($C278-L$1&lt;År1,0,K277*(1-VLOOKUP($A278,[1]Hugst!$R$5:$W$9,MATCH(ROUNDUP((L$1)/10,0)*10,[1]Hugst!$R$4:$W$4,0))))</f>
        <v>0</v>
      </c>
      <c r="M278" s="168">
        <f ca="1">IF($C278-M$1&lt;År1,0,L277*(1-VLOOKUP($A278,[1]Hugst!$R$5:$W$9,MATCH(ROUNDUP((M$1)/10,0)*10,[1]Hugst!$R$4:$W$4,0))))</f>
        <v>0</v>
      </c>
      <c r="N278" s="168">
        <f ca="1">IF($C278-N$1&lt;År1,0,M277*(1-VLOOKUP($A278,[1]Hugst!$R$5:$W$9,MATCH(ROUNDUP((N$1)/10,0)*10,[1]Hugst!$R$4:$W$4,0))))</f>
        <v>0</v>
      </c>
      <c r="O278" s="168">
        <f ca="1">IF($C278-O$1&lt;År1,0,N277*(1-VLOOKUP($A278,[1]Hugst!$R$5:$W$9,MATCH(ROUNDUP((O$1)/10,0)*10,[1]Hugst!$R$4:$W$4,0))))</f>
        <v>0</v>
      </c>
      <c r="P278" s="168">
        <f ca="1">IF($C278-P$1&lt;År1,0,O277*(1-VLOOKUP($A278,[1]Hugst!$R$5:$W$9,MATCH(ROUNDUP((P$1)/10,0)*10,[1]Hugst!$R$4:$W$4,0))))</f>
        <v>0</v>
      </c>
      <c r="Q278" s="168">
        <f ca="1">IF($C278-Q$1&lt;År1,0,P277*(1-VLOOKUP($A278,[1]Hugst!$R$5:$W$9,MATCH(ROUNDUP((Q$1)/10,0)*10,[1]Hugst!$R$4:$W$4,0))))</f>
        <v>0</v>
      </c>
      <c r="R278" s="168">
        <f ca="1">IF($C278-R$1&lt;År1,0,Q277*(1-VLOOKUP($A278,[1]Hugst!$R$5:$W$9,MATCH(ROUNDUP((R$1)/10,0)*10,[1]Hugst!$R$4:$W$4,0))))</f>
        <v>0</v>
      </c>
      <c r="S278" s="168">
        <f ca="1">IF($C278-S$1&lt;År1,0,R277*(1-VLOOKUP($A278,[1]Hugst!$R$5:$W$9,MATCH(ROUNDUP((S$1)/10,0)*10,[1]Hugst!$R$4:$W$4,0))))</f>
        <v>0</v>
      </c>
      <c r="T278" s="168">
        <f ca="1">IF($C278-T$1&lt;År1,0,S277*(1-VLOOKUP($A278,[1]Hugst!$R$5:$W$9,MATCH(ROUNDUP((T$1)/10,0)*10,[1]Hugst!$R$4:$W$4,0))))</f>
        <v>0</v>
      </c>
      <c r="U278" s="168">
        <f ca="1">IF($C278-U$1&lt;År1,0,T277*(1-VLOOKUP($A278,[1]Hugst!$R$5:$W$9,MATCH(ROUNDUP((U$1)/10,0)*10,[1]Hugst!$R$4:$W$4,0))))</f>
        <v>0</v>
      </c>
      <c r="V278" s="168">
        <f ca="1">IF($C278-V$1&lt;År1,0,U277*(1-VLOOKUP($A278,[1]Hugst!$R$5:$W$9,MATCH(ROUNDUP((V$1)/10,0)*10,[1]Hugst!$R$4:$W$4,0))))</f>
        <v>0</v>
      </c>
      <c r="W278" s="168">
        <f ca="1">IF($C278-W$1&lt;År1,0,V277*(1-VLOOKUP($A278,[1]Hugst!$R$5:$W$9,MATCH(ROUNDUP((W$1)/10,0)*10,[1]Hugst!$R$4:$W$4,0))))</f>
        <v>0</v>
      </c>
      <c r="X278" s="168">
        <f ca="1">IF($C278-X$1&lt;År1,0,W277*(1-VLOOKUP($A278,[1]Hugst!$R$5:$W$9,MATCH(ROUNDUP((X$1)/10,0)*10,[1]Hugst!$R$4:$W$4,0))))</f>
        <v>0</v>
      </c>
      <c r="Y278" s="168">
        <f ca="1">IF($C278-Y$1&lt;År1,0,X277*(1-VLOOKUP($A278,[1]Hugst!$R$5:$W$9,MATCH(ROUNDUP((Y$1)/10,0)*10,[1]Hugst!$R$4:$W$4,0))))</f>
        <v>0</v>
      </c>
      <c r="Z278" s="168">
        <f ca="1">IF($C278-Z$1&lt;År1,0,Y277*(1-VLOOKUP($A278,[1]Hugst!$R$5:$W$9,MATCH(ROUNDUP((Z$1)/10,0)*10,[1]Hugst!$R$4:$W$4,0))))</f>
        <v>0</v>
      </c>
      <c r="AA278" s="168">
        <f ca="1">IF($C278-AA$1&lt;År1,0,Z277*(1-VLOOKUP($A278,[1]Hugst!$R$5:$W$9,MATCH(ROUNDUP((AA$1)/10,0)*10,[1]Hugst!$R$4:$W$4,0))))</f>
        <v>0</v>
      </c>
      <c r="AB278" s="168">
        <f ca="1">IF($C278-AB$1&lt;År1,0,AA277*(1-VLOOKUP($A278,[1]Hugst!$R$5:$W$9,MATCH(ROUNDUP((AB$1)/10,0)*10,[1]Hugst!$R$4:$W$4,0))))</f>
        <v>0</v>
      </c>
      <c r="AC278" s="168">
        <f ca="1">IF($C278-AC$1&lt;År1,0,AB277*(1-VLOOKUP($A278,[1]Hugst!$R$5:$W$9,MATCH(ROUNDUP((AC$1)/10,0)*10,[1]Hugst!$R$4:$W$4,0))))</f>
        <v>0</v>
      </c>
      <c r="AD278" s="168">
        <f ca="1">IF($C278-AD$1&lt;År1,0,AC277*(1-VLOOKUP($A278,[1]Hugst!$R$5:$W$9,MATCH(ROUNDUP((AD$1)/10,0)*10,[1]Hugst!$R$4:$W$4,0))))</f>
        <v>0</v>
      </c>
      <c r="AE278" s="168">
        <f ca="1">IF($C278-AE$1&lt;År1,0,AD277*(1-VLOOKUP($A278,[1]Hugst!$R$5:$W$9,MATCH(ROUNDUP((AE$1)/10,0)*10,[1]Hugst!$R$4:$W$4,0))))</f>
        <v>0</v>
      </c>
      <c r="AF278" s="168">
        <f ca="1">IF($C278-AF$1&lt;År1,0,AE277*(1-VLOOKUP($A278,[1]Hugst!$R$5:$W$9,MATCH(ROUNDUP((AF$1)/10,0)*10,[1]Hugst!$R$4:$W$4,0))))</f>
        <v>0</v>
      </c>
      <c r="AG278" s="168">
        <f ca="1">IF($C278-AG$1&lt;År1,0,AF277*(1-VLOOKUP($A278,[1]Hugst!$R$5:$W$9,MATCH(ROUNDUP((AG$1)/10,0)*10,[1]Hugst!$R$4:$W$4,0))))</f>
        <v>0</v>
      </c>
      <c r="AH278" s="168">
        <f ca="1">IF($C278-AH$1&lt;År1,0,AG277*(1-VLOOKUP($A278,[1]Hugst!$R$5:$W$9,MATCH(ROUNDUP((AH$1)/10,0)*10,[1]Hugst!$R$4:$W$4,0))))</f>
        <v>0</v>
      </c>
      <c r="AI278" s="168">
        <f>IF($C278-AI$1&lt;År1,0,AH277*(1-VLOOKUP($A278,[1]Hugst!$R$5:$W$9,MATCH(ROUNDUP((AI$1)/10,0)*10,[1]Hugst!$R$4:$W$4,0))))</f>
        <v>0</v>
      </c>
      <c r="AJ278" s="168">
        <f>IF($C278-AJ$1&lt;År1,0,AI277*(1-VLOOKUP($A278,[1]Hugst!$R$5:$W$9,MATCH(ROUNDUP((AJ$1)/10,0)*10,[1]Hugst!$R$4:$W$4,0))))</f>
        <v>0</v>
      </c>
    </row>
    <row r="279" spans="1:36" x14ac:dyDescent="0.25">
      <c r="A279" s="168" t="s">
        <v>180</v>
      </c>
      <c r="B279" s="168" t="s">
        <v>23</v>
      </c>
      <c r="C279" s="168">
        <v>2049</v>
      </c>
      <c r="D279" s="168" cm="1">
        <f t="array" ref="D279">(IF(B279="Vestdanmark",Skovbrug!$C$22-(Skovbrug!$C$22)*(1-Skovbrug!$C$9)^(C279-Skovbrug!$B$12),Skovbrug!$F$22-(Skovbrug!$F$22)*(1-Skovbrug!$C$9)^(C279-Skovbrug!$B$12))*VLOOKUP(A279,Skovbrug!$A$13:$D$17,IF('Skovbrug-alder'!C279&lt;=År2,3,4),FALSE)-IF(C279&gt;2020,SUM(INDEX($C$1:$D$311,MATCH(1,(2020=$C$1:$C$311)*(B279=$B$1:$B$311)*(A279=$A$1:$A$311),0),2):D278),0))</f>
        <v>0</v>
      </c>
      <c r="E279" s="168">
        <f t="shared" ca="1" si="6"/>
        <v>0</v>
      </c>
      <c r="F279" s="168">
        <f ca="1">IF(C279&lt;=År2,IF(B279="Vestdanmark",(Arealanvendelse!$M$27-Arealanvendelse!$J$27),(Arealanvendelse!$M$37-Arealanvendelse!$J$37))/(Arealanvendelse!$M$3-Arealanvendelse!$J$3),IF(B279="Vestdanmark",(Arealanvendelse!$P$27-Arealanvendelse!$M$27),(Arealanvendelse!$P$37-Arealanvendelse!$M$37))/(Arealanvendelse!$P$3-Arealanvendelse!$M$3))*VLOOKUP(A279,Skovbrug!$A$13:$D$17,IF('Skovbrug-alder'!C279&lt;=År2,3,4),FALSE)+D279+E279</f>
        <v>0</v>
      </c>
      <c r="G279" s="168">
        <f ca="1">IF($C279-G$1&lt;År1,0,F278*(1-VLOOKUP($A279,[1]Hugst!$R$5:$W$9,MATCH(ROUNDUP((G$1)/10,0)*10,[1]Hugst!$R$4:$W$4,0))))</f>
        <v>0</v>
      </c>
      <c r="H279" s="168">
        <f ca="1">IF($C279-H$1&lt;År1,0,G278*(1-VLOOKUP($A279,[1]Hugst!$R$5:$W$9,MATCH(ROUNDUP((H$1)/10,0)*10,[1]Hugst!$R$4:$W$4,0))))</f>
        <v>0</v>
      </c>
      <c r="I279" s="168">
        <f ca="1">IF($C279-I$1&lt;År1,0,H278*(1-VLOOKUP($A279,[1]Hugst!$R$5:$W$9,MATCH(ROUNDUP((I$1)/10,0)*10,[1]Hugst!$R$4:$W$4,0))))</f>
        <v>0</v>
      </c>
      <c r="J279" s="168">
        <f ca="1">IF($C279-J$1&lt;År1,0,I278*(1-VLOOKUP($A279,[1]Hugst!$R$5:$W$9,MATCH(ROUNDUP((J$1)/10,0)*10,[1]Hugst!$R$4:$W$4,0))))</f>
        <v>0</v>
      </c>
      <c r="K279" s="168">
        <f ca="1">IF($C279-K$1&lt;År1,0,J278*(1-VLOOKUP($A279,[1]Hugst!$R$5:$W$9,MATCH(ROUNDUP((K$1)/10,0)*10,[1]Hugst!$R$4:$W$4,0))))</f>
        <v>0</v>
      </c>
      <c r="L279" s="168">
        <f ca="1">IF($C279-L$1&lt;År1,0,K278*(1-VLOOKUP($A279,[1]Hugst!$R$5:$W$9,MATCH(ROUNDUP((L$1)/10,0)*10,[1]Hugst!$R$4:$W$4,0))))</f>
        <v>0</v>
      </c>
      <c r="M279" s="168">
        <f ca="1">IF($C279-M$1&lt;År1,0,L278*(1-VLOOKUP($A279,[1]Hugst!$R$5:$W$9,MATCH(ROUNDUP((M$1)/10,0)*10,[1]Hugst!$R$4:$W$4,0))))</f>
        <v>0</v>
      </c>
      <c r="N279" s="168">
        <f ca="1">IF($C279-N$1&lt;År1,0,M278*(1-VLOOKUP($A279,[1]Hugst!$R$5:$W$9,MATCH(ROUNDUP((N$1)/10,0)*10,[1]Hugst!$R$4:$W$4,0))))</f>
        <v>0</v>
      </c>
      <c r="O279" s="168">
        <f ca="1">IF($C279-O$1&lt;År1,0,N278*(1-VLOOKUP($A279,[1]Hugst!$R$5:$W$9,MATCH(ROUNDUP((O$1)/10,0)*10,[1]Hugst!$R$4:$W$4,0))))</f>
        <v>0</v>
      </c>
      <c r="P279" s="168">
        <f ca="1">IF($C279-P$1&lt;År1,0,O278*(1-VLOOKUP($A279,[1]Hugst!$R$5:$W$9,MATCH(ROUNDUP((P$1)/10,0)*10,[1]Hugst!$R$4:$W$4,0))))</f>
        <v>0</v>
      </c>
      <c r="Q279" s="168">
        <f ca="1">IF($C279-Q$1&lt;År1,0,P278*(1-VLOOKUP($A279,[1]Hugst!$R$5:$W$9,MATCH(ROUNDUP((Q$1)/10,0)*10,[1]Hugst!$R$4:$W$4,0))))</f>
        <v>0</v>
      </c>
      <c r="R279" s="168">
        <f ca="1">IF($C279-R$1&lt;År1,0,Q278*(1-VLOOKUP($A279,[1]Hugst!$R$5:$W$9,MATCH(ROUNDUP((R$1)/10,0)*10,[1]Hugst!$R$4:$W$4,0))))</f>
        <v>0</v>
      </c>
      <c r="S279" s="168">
        <f ca="1">IF($C279-S$1&lt;År1,0,R278*(1-VLOOKUP($A279,[1]Hugst!$R$5:$W$9,MATCH(ROUNDUP((S$1)/10,0)*10,[1]Hugst!$R$4:$W$4,0))))</f>
        <v>0</v>
      </c>
      <c r="T279" s="168">
        <f ca="1">IF($C279-T$1&lt;År1,0,S278*(1-VLOOKUP($A279,[1]Hugst!$R$5:$W$9,MATCH(ROUNDUP((T$1)/10,0)*10,[1]Hugst!$R$4:$W$4,0))))</f>
        <v>0</v>
      </c>
      <c r="U279" s="168">
        <f ca="1">IF($C279-U$1&lt;År1,0,T278*(1-VLOOKUP($A279,[1]Hugst!$R$5:$W$9,MATCH(ROUNDUP((U$1)/10,0)*10,[1]Hugst!$R$4:$W$4,0))))</f>
        <v>0</v>
      </c>
      <c r="V279" s="168">
        <f ca="1">IF($C279-V$1&lt;År1,0,U278*(1-VLOOKUP($A279,[1]Hugst!$R$5:$W$9,MATCH(ROUNDUP((V$1)/10,0)*10,[1]Hugst!$R$4:$W$4,0))))</f>
        <v>0</v>
      </c>
      <c r="W279" s="168">
        <f ca="1">IF($C279-W$1&lt;År1,0,V278*(1-VLOOKUP($A279,[1]Hugst!$R$5:$W$9,MATCH(ROUNDUP((W$1)/10,0)*10,[1]Hugst!$R$4:$W$4,0))))</f>
        <v>0</v>
      </c>
      <c r="X279" s="168">
        <f ca="1">IF($C279-X$1&lt;År1,0,W278*(1-VLOOKUP($A279,[1]Hugst!$R$5:$W$9,MATCH(ROUNDUP((X$1)/10,0)*10,[1]Hugst!$R$4:$W$4,0))))</f>
        <v>0</v>
      </c>
      <c r="Y279" s="168">
        <f ca="1">IF($C279-Y$1&lt;År1,0,X278*(1-VLOOKUP($A279,[1]Hugst!$R$5:$W$9,MATCH(ROUNDUP((Y$1)/10,0)*10,[1]Hugst!$R$4:$W$4,0))))</f>
        <v>0</v>
      </c>
      <c r="Z279" s="168">
        <f ca="1">IF($C279-Z$1&lt;År1,0,Y278*(1-VLOOKUP($A279,[1]Hugst!$R$5:$W$9,MATCH(ROUNDUP((Z$1)/10,0)*10,[1]Hugst!$R$4:$W$4,0))))</f>
        <v>0</v>
      </c>
      <c r="AA279" s="168">
        <f ca="1">IF($C279-AA$1&lt;År1,0,Z278*(1-VLOOKUP($A279,[1]Hugst!$R$5:$W$9,MATCH(ROUNDUP((AA$1)/10,0)*10,[1]Hugst!$R$4:$W$4,0))))</f>
        <v>0</v>
      </c>
      <c r="AB279" s="168">
        <f ca="1">IF($C279-AB$1&lt;År1,0,AA278*(1-VLOOKUP($A279,[1]Hugst!$R$5:$W$9,MATCH(ROUNDUP((AB$1)/10,0)*10,[1]Hugst!$R$4:$W$4,0))))</f>
        <v>0</v>
      </c>
      <c r="AC279" s="168">
        <f ca="1">IF($C279-AC$1&lt;År1,0,AB278*(1-VLOOKUP($A279,[1]Hugst!$R$5:$W$9,MATCH(ROUNDUP((AC$1)/10,0)*10,[1]Hugst!$R$4:$W$4,0))))</f>
        <v>0</v>
      </c>
      <c r="AD279" s="168">
        <f ca="1">IF($C279-AD$1&lt;År1,0,AC278*(1-VLOOKUP($A279,[1]Hugst!$R$5:$W$9,MATCH(ROUNDUP((AD$1)/10,0)*10,[1]Hugst!$R$4:$W$4,0))))</f>
        <v>0</v>
      </c>
      <c r="AE279" s="168">
        <f ca="1">IF($C279-AE$1&lt;År1,0,AD278*(1-VLOOKUP($A279,[1]Hugst!$R$5:$W$9,MATCH(ROUNDUP((AE$1)/10,0)*10,[1]Hugst!$R$4:$W$4,0))))</f>
        <v>0</v>
      </c>
      <c r="AF279" s="168">
        <f ca="1">IF($C279-AF$1&lt;År1,0,AE278*(1-VLOOKUP($A279,[1]Hugst!$R$5:$W$9,MATCH(ROUNDUP((AF$1)/10,0)*10,[1]Hugst!$R$4:$W$4,0))))</f>
        <v>0</v>
      </c>
      <c r="AG279" s="168">
        <f ca="1">IF($C279-AG$1&lt;År1,0,AF278*(1-VLOOKUP($A279,[1]Hugst!$R$5:$W$9,MATCH(ROUNDUP((AG$1)/10,0)*10,[1]Hugst!$R$4:$W$4,0))))</f>
        <v>0</v>
      </c>
      <c r="AH279" s="168">
        <f ca="1">IF($C279-AH$1&lt;År1,0,AG278*(1-VLOOKUP($A279,[1]Hugst!$R$5:$W$9,MATCH(ROUNDUP((AH$1)/10,0)*10,[1]Hugst!$R$4:$W$4,0))))</f>
        <v>0</v>
      </c>
      <c r="AI279" s="168">
        <f ca="1">IF($C279-AI$1&lt;År1,0,AH278*(1-VLOOKUP($A279,[1]Hugst!$R$5:$W$9,MATCH(ROUNDUP((AI$1)/10,0)*10,[1]Hugst!$R$4:$W$4,0))))</f>
        <v>0</v>
      </c>
      <c r="AJ279" s="168">
        <f>IF($C279-AJ$1&lt;År1,0,AI278*(1-VLOOKUP($A279,[1]Hugst!$R$5:$W$9,MATCH(ROUNDUP((AJ$1)/10,0)*10,[1]Hugst!$R$4:$W$4,0))))</f>
        <v>0</v>
      </c>
    </row>
    <row r="280" spans="1:36" x14ac:dyDescent="0.25">
      <c r="A280" s="168" t="s">
        <v>180</v>
      </c>
      <c r="B280" s="168" t="s">
        <v>23</v>
      </c>
      <c r="C280" s="168">
        <v>2050</v>
      </c>
      <c r="D280" s="168" cm="1">
        <f t="array" ref="D280">(IF(B280="Vestdanmark",Skovbrug!$C$22-(Skovbrug!$C$22)*(1-Skovbrug!$C$9)^(C280-Skovbrug!$B$12),Skovbrug!$F$22-(Skovbrug!$F$22)*(1-Skovbrug!$C$9)^(C280-Skovbrug!$B$12))*VLOOKUP(A280,Skovbrug!$A$13:$D$17,IF('Skovbrug-alder'!C280&lt;=År2,3,4),FALSE)-IF(C280&gt;2020,SUM(INDEX($C$1:$D$311,MATCH(1,(2020=$C$1:$C$311)*(B280=$B$1:$B$311)*(A280=$A$1:$A$311),0),2):D279),0))</f>
        <v>0</v>
      </c>
      <c r="E280" s="168">
        <f t="shared" ca="1" si="6"/>
        <v>0</v>
      </c>
      <c r="F280" s="168">
        <f ca="1">IF(C280&lt;=År2,IF(B280="Vestdanmark",(Arealanvendelse!$M$27-Arealanvendelse!$J$27),(Arealanvendelse!$M$37-Arealanvendelse!$J$37))/(Arealanvendelse!$M$3-Arealanvendelse!$J$3),IF(B280="Vestdanmark",(Arealanvendelse!$P$27-Arealanvendelse!$M$27),(Arealanvendelse!$P$37-Arealanvendelse!$M$37))/(Arealanvendelse!$P$3-Arealanvendelse!$M$3))*VLOOKUP(A280,Skovbrug!$A$13:$D$17,IF('Skovbrug-alder'!C280&lt;=År2,3,4),FALSE)+D280+E280</f>
        <v>0</v>
      </c>
      <c r="G280" s="168">
        <f ca="1">IF($C280-G$1&lt;År1,0,F279*(1-VLOOKUP($A280,[1]Hugst!$R$5:$W$9,MATCH(ROUNDUP((G$1)/10,0)*10,[1]Hugst!$R$4:$W$4,0))))</f>
        <v>0</v>
      </c>
      <c r="H280" s="168">
        <f ca="1">IF($C280-H$1&lt;År1,0,G279*(1-VLOOKUP($A280,[1]Hugst!$R$5:$W$9,MATCH(ROUNDUP((H$1)/10,0)*10,[1]Hugst!$R$4:$W$4,0))))</f>
        <v>0</v>
      </c>
      <c r="I280" s="168">
        <f ca="1">IF($C280-I$1&lt;År1,0,H279*(1-VLOOKUP($A280,[1]Hugst!$R$5:$W$9,MATCH(ROUNDUP((I$1)/10,0)*10,[1]Hugst!$R$4:$W$4,0))))</f>
        <v>0</v>
      </c>
      <c r="J280" s="168">
        <f ca="1">IF($C280-J$1&lt;År1,0,I279*(1-VLOOKUP($A280,[1]Hugst!$R$5:$W$9,MATCH(ROUNDUP((J$1)/10,0)*10,[1]Hugst!$R$4:$W$4,0))))</f>
        <v>0</v>
      </c>
      <c r="K280" s="168">
        <f ca="1">IF($C280-K$1&lt;År1,0,J279*(1-VLOOKUP($A280,[1]Hugst!$R$5:$W$9,MATCH(ROUNDUP((K$1)/10,0)*10,[1]Hugst!$R$4:$W$4,0))))</f>
        <v>0</v>
      </c>
      <c r="L280" s="168">
        <f ca="1">IF($C280-L$1&lt;År1,0,K279*(1-VLOOKUP($A280,[1]Hugst!$R$5:$W$9,MATCH(ROUNDUP((L$1)/10,0)*10,[1]Hugst!$R$4:$W$4,0))))</f>
        <v>0</v>
      </c>
      <c r="M280" s="168">
        <f ca="1">IF($C280-M$1&lt;År1,0,L279*(1-VLOOKUP($A280,[1]Hugst!$R$5:$W$9,MATCH(ROUNDUP((M$1)/10,0)*10,[1]Hugst!$R$4:$W$4,0))))</f>
        <v>0</v>
      </c>
      <c r="N280" s="168">
        <f ca="1">IF($C280-N$1&lt;År1,0,M279*(1-VLOOKUP($A280,[1]Hugst!$R$5:$W$9,MATCH(ROUNDUP((N$1)/10,0)*10,[1]Hugst!$R$4:$W$4,0))))</f>
        <v>0</v>
      </c>
      <c r="O280" s="168">
        <f ca="1">IF($C280-O$1&lt;År1,0,N279*(1-VLOOKUP($A280,[1]Hugst!$R$5:$W$9,MATCH(ROUNDUP((O$1)/10,0)*10,[1]Hugst!$R$4:$W$4,0))))</f>
        <v>0</v>
      </c>
      <c r="P280" s="168">
        <f ca="1">IF($C280-P$1&lt;År1,0,O279*(1-VLOOKUP($A280,[1]Hugst!$R$5:$W$9,MATCH(ROUNDUP((P$1)/10,0)*10,[1]Hugst!$R$4:$W$4,0))))</f>
        <v>0</v>
      </c>
      <c r="Q280" s="168">
        <f ca="1">IF($C280-Q$1&lt;År1,0,P279*(1-VLOOKUP($A280,[1]Hugst!$R$5:$W$9,MATCH(ROUNDUP((Q$1)/10,0)*10,[1]Hugst!$R$4:$W$4,0))))</f>
        <v>0</v>
      </c>
      <c r="R280" s="168">
        <f ca="1">IF($C280-R$1&lt;År1,0,Q279*(1-VLOOKUP($A280,[1]Hugst!$R$5:$W$9,MATCH(ROUNDUP((R$1)/10,0)*10,[1]Hugst!$R$4:$W$4,0))))</f>
        <v>0</v>
      </c>
      <c r="S280" s="168">
        <f ca="1">IF($C280-S$1&lt;År1,0,R279*(1-VLOOKUP($A280,[1]Hugst!$R$5:$W$9,MATCH(ROUNDUP((S$1)/10,0)*10,[1]Hugst!$R$4:$W$4,0))))</f>
        <v>0</v>
      </c>
      <c r="T280" s="168">
        <f ca="1">IF($C280-T$1&lt;År1,0,S279*(1-VLOOKUP($A280,[1]Hugst!$R$5:$W$9,MATCH(ROUNDUP((T$1)/10,0)*10,[1]Hugst!$R$4:$W$4,0))))</f>
        <v>0</v>
      </c>
      <c r="U280" s="168">
        <f ca="1">IF($C280-U$1&lt;År1,0,T279*(1-VLOOKUP($A280,[1]Hugst!$R$5:$W$9,MATCH(ROUNDUP((U$1)/10,0)*10,[1]Hugst!$R$4:$W$4,0))))</f>
        <v>0</v>
      </c>
      <c r="V280" s="168">
        <f ca="1">IF($C280-V$1&lt;År1,0,U279*(1-VLOOKUP($A280,[1]Hugst!$R$5:$W$9,MATCH(ROUNDUP((V$1)/10,0)*10,[1]Hugst!$R$4:$W$4,0))))</f>
        <v>0</v>
      </c>
      <c r="W280" s="168">
        <f ca="1">IF($C280-W$1&lt;År1,0,V279*(1-VLOOKUP($A280,[1]Hugst!$R$5:$W$9,MATCH(ROUNDUP((W$1)/10,0)*10,[1]Hugst!$R$4:$W$4,0))))</f>
        <v>0</v>
      </c>
      <c r="X280" s="168">
        <f ca="1">IF($C280-X$1&lt;År1,0,W279*(1-VLOOKUP($A280,[1]Hugst!$R$5:$W$9,MATCH(ROUNDUP((X$1)/10,0)*10,[1]Hugst!$R$4:$W$4,0))))</f>
        <v>0</v>
      </c>
      <c r="Y280" s="168">
        <f ca="1">IF($C280-Y$1&lt;År1,0,X279*(1-VLOOKUP($A280,[1]Hugst!$R$5:$W$9,MATCH(ROUNDUP((Y$1)/10,0)*10,[1]Hugst!$R$4:$W$4,0))))</f>
        <v>0</v>
      </c>
      <c r="Z280" s="168">
        <f ca="1">IF($C280-Z$1&lt;År1,0,Y279*(1-VLOOKUP($A280,[1]Hugst!$R$5:$W$9,MATCH(ROUNDUP((Z$1)/10,0)*10,[1]Hugst!$R$4:$W$4,0))))</f>
        <v>0</v>
      </c>
      <c r="AA280" s="168">
        <f ca="1">IF($C280-AA$1&lt;År1,0,Z279*(1-VLOOKUP($A280,[1]Hugst!$R$5:$W$9,MATCH(ROUNDUP((AA$1)/10,0)*10,[1]Hugst!$R$4:$W$4,0))))</f>
        <v>0</v>
      </c>
      <c r="AB280" s="168">
        <f ca="1">IF($C280-AB$1&lt;År1,0,AA279*(1-VLOOKUP($A280,[1]Hugst!$R$5:$W$9,MATCH(ROUNDUP((AB$1)/10,0)*10,[1]Hugst!$R$4:$W$4,0))))</f>
        <v>0</v>
      </c>
      <c r="AC280" s="168">
        <f ca="1">IF($C280-AC$1&lt;År1,0,AB279*(1-VLOOKUP($A280,[1]Hugst!$R$5:$W$9,MATCH(ROUNDUP((AC$1)/10,0)*10,[1]Hugst!$R$4:$W$4,0))))</f>
        <v>0</v>
      </c>
      <c r="AD280" s="168">
        <f ca="1">IF($C280-AD$1&lt;År1,0,AC279*(1-VLOOKUP($A280,[1]Hugst!$R$5:$W$9,MATCH(ROUNDUP((AD$1)/10,0)*10,[1]Hugst!$R$4:$W$4,0))))</f>
        <v>0</v>
      </c>
      <c r="AE280" s="168">
        <f ca="1">IF($C280-AE$1&lt;År1,0,AD279*(1-VLOOKUP($A280,[1]Hugst!$R$5:$W$9,MATCH(ROUNDUP((AE$1)/10,0)*10,[1]Hugst!$R$4:$W$4,0))))</f>
        <v>0</v>
      </c>
      <c r="AF280" s="168">
        <f ca="1">IF($C280-AF$1&lt;År1,0,AE279*(1-VLOOKUP($A280,[1]Hugst!$R$5:$W$9,MATCH(ROUNDUP((AF$1)/10,0)*10,[1]Hugst!$R$4:$W$4,0))))</f>
        <v>0</v>
      </c>
      <c r="AG280" s="168">
        <f ca="1">IF($C280-AG$1&lt;År1,0,AF279*(1-VLOOKUP($A280,[1]Hugst!$R$5:$W$9,MATCH(ROUNDUP((AG$1)/10,0)*10,[1]Hugst!$R$4:$W$4,0))))</f>
        <v>0</v>
      </c>
      <c r="AH280" s="168">
        <f ca="1">IF($C280-AH$1&lt;År1,0,AG279*(1-VLOOKUP($A280,[1]Hugst!$R$5:$W$9,MATCH(ROUNDUP((AH$1)/10,0)*10,[1]Hugst!$R$4:$W$4,0))))</f>
        <v>0</v>
      </c>
      <c r="AI280" s="168">
        <f ca="1">IF($C280-AI$1&lt;År1,0,AH279*(1-VLOOKUP($A280,[1]Hugst!$R$5:$W$9,MATCH(ROUNDUP((AI$1)/10,0)*10,[1]Hugst!$R$4:$W$4,0))))</f>
        <v>0</v>
      </c>
      <c r="AJ280" s="168">
        <f ca="1">IF($C280-AJ$1&lt;År1,0,AI279*(1-VLOOKUP($A280,[1]Hugst!$R$5:$W$9,MATCH(ROUNDUP((AJ$1)/10,0)*10,[1]Hugst!$R$4:$W$4,0))))</f>
        <v>0</v>
      </c>
    </row>
    <row r="281" spans="1:36" x14ac:dyDescent="0.25">
      <c r="A281" s="168" t="s">
        <v>180</v>
      </c>
      <c r="B281" s="168" t="s">
        <v>24</v>
      </c>
      <c r="C281" s="168">
        <v>2020</v>
      </c>
      <c r="D281" s="168" cm="1">
        <f t="array" ref="D281">(IF(B281="Vestdanmark",Skovbrug!$C$22-(Skovbrug!$C$22)*(1-Skovbrug!$C$9)^(C281-Skovbrug!$B$12),Skovbrug!$F$22-(Skovbrug!$F$22)*(1-Skovbrug!$C$9)^(C281-Skovbrug!$B$12))*VLOOKUP(A281,Skovbrug!$A$13:$D$17,IF('Skovbrug-alder'!C281&lt;=År2,3,4),FALSE)-IF(C281&gt;2020,SUM(INDEX($C$1:$D$311,MATCH(1,(2020=$C$1:$C$311)*(B281=$B$1:$B$311)*(A281=$A$1:$A$311),0),2):D280),0))</f>
        <v>0</v>
      </c>
      <c r="E281" s="168">
        <f>IF(C281=2020,SUM(G281:AJ281),SUM(F280:AJ280)-SUM(G281:AJ281))</f>
        <v>0</v>
      </c>
      <c r="F281" s="168">
        <f>IF(C281&lt;=År2,IF(B281="Vestdanmark",(Arealanvendelse!$M$27-Arealanvendelse!$J$27),(Arealanvendelse!$M$37-Arealanvendelse!$J$37))/(Arealanvendelse!$M$3-Arealanvendelse!$J$3),IF(B281="Vestdanmark",(Arealanvendelse!$P$27-Arealanvendelse!$M$27),(Arealanvendelse!$P$37-Arealanvendelse!$M$37))/(Arealanvendelse!$P$3-Arealanvendelse!$M$3))*VLOOKUP(A281,Skovbrug!$A$13:$D$17,IF('Skovbrug-alder'!C281&lt;=År2,3,4),FALSE)+D281+E281</f>
        <v>0</v>
      </c>
      <c r="G281" s="168">
        <f>IF($C281-G$1&lt;År1,0,F280*(1-VLOOKUP($A281,[1]Hugst!$R$5:$W$9,MATCH(ROUNDUP((G$1)/10,0)*10,[1]Hugst!$R$4:$W$4,0))))</f>
        <v>0</v>
      </c>
      <c r="H281" s="168">
        <f>IF($C281-H$1&lt;År1,0,G280*(1-VLOOKUP($A281,[1]Hugst!$R$5:$W$9,MATCH(ROUNDUP((H$1)/10,0)*10,[1]Hugst!$R$4:$W$4,0))))</f>
        <v>0</v>
      </c>
      <c r="I281" s="168">
        <f>IF($C281-I$1&lt;År1,0,H280*(1-VLOOKUP($A281,[1]Hugst!$R$5:$W$9,MATCH(ROUNDUP((I$1)/10,0)*10,[1]Hugst!$R$4:$W$4,0))))</f>
        <v>0</v>
      </c>
      <c r="J281" s="168">
        <f>IF($C281-J$1&lt;År1,0,I280*(1-VLOOKUP($A281,[1]Hugst!$R$5:$W$9,MATCH(ROUNDUP((J$1)/10,0)*10,[1]Hugst!$R$4:$W$4,0))))</f>
        <v>0</v>
      </c>
      <c r="K281" s="168">
        <f>IF($C281-K$1&lt;År1,0,J280*(1-VLOOKUP($A281,[1]Hugst!$R$5:$W$9,MATCH(ROUNDUP((K$1)/10,0)*10,[1]Hugst!$R$4:$W$4,0))))</f>
        <v>0</v>
      </c>
      <c r="L281" s="168">
        <f>IF($C281-L$1&lt;År1,0,K280*(1-VLOOKUP($A281,[1]Hugst!$R$5:$W$9,MATCH(ROUNDUP((L$1)/10,0)*10,[1]Hugst!$R$4:$W$4,0))))</f>
        <v>0</v>
      </c>
      <c r="M281" s="168">
        <f>IF($C281-M$1&lt;År1,0,L280*(1-VLOOKUP($A281,[1]Hugst!$R$5:$W$9,MATCH(ROUNDUP((M$1)/10,0)*10,[1]Hugst!$R$4:$W$4,0))))</f>
        <v>0</v>
      </c>
      <c r="N281" s="168">
        <f>IF($C281-N$1&lt;År1,0,M280*(1-VLOOKUP($A281,[1]Hugst!$R$5:$W$9,MATCH(ROUNDUP((N$1)/10,0)*10,[1]Hugst!$R$4:$W$4,0))))</f>
        <v>0</v>
      </c>
      <c r="O281" s="168">
        <f>IF($C281-O$1&lt;År1,0,N280*(1-VLOOKUP($A281,[1]Hugst!$R$5:$W$9,MATCH(ROUNDUP((O$1)/10,0)*10,[1]Hugst!$R$4:$W$4,0))))</f>
        <v>0</v>
      </c>
      <c r="P281" s="168">
        <f>IF($C281-P$1&lt;År1,0,O280*(1-VLOOKUP($A281,[1]Hugst!$R$5:$W$9,MATCH(ROUNDUP((P$1)/10,0)*10,[1]Hugst!$R$4:$W$4,0))))</f>
        <v>0</v>
      </c>
      <c r="Q281" s="168">
        <f>IF($C281-Q$1&lt;År1,0,P280*(1-VLOOKUP($A281,[1]Hugst!$R$5:$W$9,MATCH(ROUNDUP((Q$1)/10,0)*10,[1]Hugst!$R$4:$W$4,0))))</f>
        <v>0</v>
      </c>
      <c r="R281" s="168">
        <f>IF($C281-R$1&lt;År1,0,Q280*(1-VLOOKUP($A281,[1]Hugst!$R$5:$W$9,MATCH(ROUNDUP((R$1)/10,0)*10,[1]Hugst!$R$4:$W$4,0))))</f>
        <v>0</v>
      </c>
      <c r="S281" s="168">
        <f>IF($C281-S$1&lt;År1,0,R280*(1-VLOOKUP($A281,[1]Hugst!$R$5:$W$9,MATCH(ROUNDUP((S$1)/10,0)*10,[1]Hugst!$R$4:$W$4,0))))</f>
        <v>0</v>
      </c>
      <c r="T281" s="168">
        <f>IF($C281-T$1&lt;År1,0,S280*(1-VLOOKUP($A281,[1]Hugst!$R$5:$W$9,MATCH(ROUNDUP((T$1)/10,0)*10,[1]Hugst!$R$4:$W$4,0))))</f>
        <v>0</v>
      </c>
      <c r="U281" s="168">
        <f>IF($C281-U$1&lt;År1,0,T280*(1-VLOOKUP($A281,[1]Hugst!$R$5:$W$9,MATCH(ROUNDUP((U$1)/10,0)*10,[1]Hugst!$R$4:$W$4,0))))</f>
        <v>0</v>
      </c>
      <c r="V281" s="168">
        <f>IF($C281-V$1&lt;År1,0,U280*(1-VLOOKUP($A281,[1]Hugst!$R$5:$W$9,MATCH(ROUNDUP((V$1)/10,0)*10,[1]Hugst!$R$4:$W$4,0))))</f>
        <v>0</v>
      </c>
      <c r="W281" s="168">
        <f>IF($C281-W$1&lt;År1,0,V280*(1-VLOOKUP($A281,[1]Hugst!$R$5:$W$9,MATCH(ROUNDUP((W$1)/10,0)*10,[1]Hugst!$R$4:$W$4,0))))</f>
        <v>0</v>
      </c>
      <c r="X281" s="168">
        <f>IF($C281-X$1&lt;År1,0,W280*(1-VLOOKUP($A281,[1]Hugst!$R$5:$W$9,MATCH(ROUNDUP((X$1)/10,0)*10,[1]Hugst!$R$4:$W$4,0))))</f>
        <v>0</v>
      </c>
      <c r="Y281" s="168">
        <f>IF($C281-Y$1&lt;År1,0,X280*(1-VLOOKUP($A281,[1]Hugst!$R$5:$W$9,MATCH(ROUNDUP((Y$1)/10,0)*10,[1]Hugst!$R$4:$W$4,0))))</f>
        <v>0</v>
      </c>
      <c r="Z281" s="168">
        <f>IF($C281-Z$1&lt;År1,0,Y280*(1-VLOOKUP($A281,[1]Hugst!$R$5:$W$9,MATCH(ROUNDUP((Z$1)/10,0)*10,[1]Hugst!$R$4:$W$4,0))))</f>
        <v>0</v>
      </c>
      <c r="AA281" s="168">
        <f>IF($C281-AA$1&lt;År1,0,Z280*(1-VLOOKUP($A281,[1]Hugst!$R$5:$W$9,MATCH(ROUNDUP((AA$1)/10,0)*10,[1]Hugst!$R$4:$W$4,0))))</f>
        <v>0</v>
      </c>
      <c r="AB281" s="168">
        <f>IF($C281-AB$1&lt;År1,0,AA280*(1-VLOOKUP($A281,[1]Hugst!$R$5:$W$9,MATCH(ROUNDUP((AB$1)/10,0)*10,[1]Hugst!$R$4:$W$4,0))))</f>
        <v>0</v>
      </c>
      <c r="AC281" s="168">
        <f>IF($C281-AC$1&lt;År1,0,AB280*(1-VLOOKUP($A281,[1]Hugst!$R$5:$W$9,MATCH(ROUNDUP((AC$1)/10,0)*10,[1]Hugst!$R$4:$W$4,0))))</f>
        <v>0</v>
      </c>
      <c r="AD281" s="168">
        <f>IF($C281-AD$1&lt;År1,0,AC280*(1-VLOOKUP($A281,[1]Hugst!$R$5:$W$9,MATCH(ROUNDUP((AD$1)/10,0)*10,[1]Hugst!$R$4:$W$4,0))))</f>
        <v>0</v>
      </c>
      <c r="AE281" s="168">
        <f>IF($C281-AE$1&lt;År1,0,AD280*(1-VLOOKUP($A281,[1]Hugst!$R$5:$W$9,MATCH(ROUNDUP((AE$1)/10,0)*10,[1]Hugst!$R$4:$W$4,0))))</f>
        <v>0</v>
      </c>
      <c r="AF281" s="168">
        <f>IF($C281-AF$1&lt;År1,0,AE280*(1-VLOOKUP($A281,[1]Hugst!$R$5:$W$9,MATCH(ROUNDUP((AF$1)/10,0)*10,[1]Hugst!$R$4:$W$4,0))))</f>
        <v>0</v>
      </c>
      <c r="AG281" s="168">
        <f>IF($C281-AG$1&lt;År1,0,AF280*(1-VLOOKUP($A281,[1]Hugst!$R$5:$W$9,MATCH(ROUNDUP((AG$1)/10,0)*10,[1]Hugst!$R$4:$W$4,0))))</f>
        <v>0</v>
      </c>
      <c r="AH281" s="168">
        <f>IF($C281-AH$1&lt;År1,0,AG280*(1-VLOOKUP($A281,[1]Hugst!$R$5:$W$9,MATCH(ROUNDUP((AH$1)/10,0)*10,[1]Hugst!$R$4:$W$4,0))))</f>
        <v>0</v>
      </c>
      <c r="AI281" s="168">
        <f>IF($C281-AI$1&lt;År1,0,AH280*(1-VLOOKUP($A281,[1]Hugst!$R$5:$W$9,MATCH(ROUNDUP((AI$1)/10,0)*10,[1]Hugst!$R$4:$W$4,0))))</f>
        <v>0</v>
      </c>
      <c r="AJ281" s="168">
        <f>IF($C281-AJ$1&lt;År1,0,AI280*(1-VLOOKUP($A281,[1]Hugst!$R$5:$W$9,MATCH(ROUNDUP((AJ$1)/10,0)*10,[1]Hugst!$R$4:$W$4,0))))</f>
        <v>0</v>
      </c>
    </row>
    <row r="282" spans="1:36" x14ac:dyDescent="0.25">
      <c r="A282" s="168" t="s">
        <v>180</v>
      </c>
      <c r="B282" s="168" t="s">
        <v>24</v>
      </c>
      <c r="C282" s="168">
        <v>2021</v>
      </c>
      <c r="D282" s="168" cm="1">
        <f t="array" ref="D282">(IF(B282="Vestdanmark",Skovbrug!$C$22-(Skovbrug!$C$22)*(1-Skovbrug!$C$9)^(C282-Skovbrug!$B$12),Skovbrug!$F$22-(Skovbrug!$F$22)*(1-Skovbrug!$C$9)^(C282-Skovbrug!$B$12))*VLOOKUP(A282,Skovbrug!$A$13:$D$17,IF('Skovbrug-alder'!C282&lt;=År2,3,4),FALSE)-IF(C282&gt;2020,SUM(INDEX($C$1:$D$311,MATCH(1,(2020=$C$1:$C$311)*(B282=$B$1:$B$311)*(A282=$A$1:$A$311),0),2):D281),0))</f>
        <v>0</v>
      </c>
      <c r="E282" s="168">
        <f t="shared" ref="E282:E310" ca="1" si="7">IF(C282=2020,SUM(G282:AJ282),SUM(F281:AJ281)-SUM(G282:AJ282))</f>
        <v>0</v>
      </c>
      <c r="F282" s="168">
        <f ca="1">IF(C282&lt;=År2,IF(B282="Vestdanmark",(Arealanvendelse!$M$27-Arealanvendelse!$J$27),(Arealanvendelse!$M$37-Arealanvendelse!$J$37))/(Arealanvendelse!$M$3-Arealanvendelse!$J$3),IF(B282="Vestdanmark",(Arealanvendelse!$P$27-Arealanvendelse!$M$27),(Arealanvendelse!$P$37-Arealanvendelse!$M$37))/(Arealanvendelse!$P$3-Arealanvendelse!$M$3))*VLOOKUP(A282,Skovbrug!$A$13:$D$17,IF('Skovbrug-alder'!C282&lt;=År2,3,4),FALSE)+D282+E282</f>
        <v>0</v>
      </c>
      <c r="G282" s="168">
        <f ca="1">IF($C282-G$1&lt;År1,0,F281*(1-VLOOKUP($A282,[1]Hugst!$R$5:$W$9,MATCH(ROUNDUP((G$1)/10,0)*10,[1]Hugst!$R$4:$W$4,0))))</f>
        <v>0</v>
      </c>
      <c r="H282" s="168">
        <f>IF($C282-H$1&lt;År1,0,G281*(1-VLOOKUP($A282,[1]Hugst!$R$5:$W$9,MATCH(ROUNDUP((H$1)/10,0)*10,[1]Hugst!$R$4:$W$4,0))))</f>
        <v>0</v>
      </c>
      <c r="I282" s="168">
        <f>IF($C282-I$1&lt;År1,0,H281*(1-VLOOKUP($A282,[1]Hugst!$R$5:$W$9,MATCH(ROUNDUP((I$1)/10,0)*10,[1]Hugst!$R$4:$W$4,0))))</f>
        <v>0</v>
      </c>
      <c r="J282" s="168">
        <f>IF($C282-J$1&lt;År1,0,I281*(1-VLOOKUP($A282,[1]Hugst!$R$5:$W$9,MATCH(ROUNDUP((J$1)/10,0)*10,[1]Hugst!$R$4:$W$4,0))))</f>
        <v>0</v>
      </c>
      <c r="K282" s="168">
        <f>IF($C282-K$1&lt;År1,0,J281*(1-VLOOKUP($A282,[1]Hugst!$R$5:$W$9,MATCH(ROUNDUP((K$1)/10,0)*10,[1]Hugst!$R$4:$W$4,0))))</f>
        <v>0</v>
      </c>
      <c r="L282" s="168">
        <f>IF($C282-L$1&lt;År1,0,K281*(1-VLOOKUP($A282,[1]Hugst!$R$5:$W$9,MATCH(ROUNDUP((L$1)/10,0)*10,[1]Hugst!$R$4:$W$4,0))))</f>
        <v>0</v>
      </c>
      <c r="M282" s="168">
        <f>IF($C282-M$1&lt;År1,0,L281*(1-VLOOKUP($A282,[1]Hugst!$R$5:$W$9,MATCH(ROUNDUP((M$1)/10,0)*10,[1]Hugst!$R$4:$W$4,0))))</f>
        <v>0</v>
      </c>
      <c r="N282" s="168">
        <f>IF($C282-N$1&lt;År1,0,M281*(1-VLOOKUP($A282,[1]Hugst!$R$5:$W$9,MATCH(ROUNDUP((N$1)/10,0)*10,[1]Hugst!$R$4:$W$4,0))))</f>
        <v>0</v>
      </c>
      <c r="O282" s="168">
        <f>IF($C282-O$1&lt;År1,0,N281*(1-VLOOKUP($A282,[1]Hugst!$R$5:$W$9,MATCH(ROUNDUP((O$1)/10,0)*10,[1]Hugst!$R$4:$W$4,0))))</f>
        <v>0</v>
      </c>
      <c r="P282" s="168">
        <f>IF($C282-P$1&lt;År1,0,O281*(1-VLOOKUP($A282,[1]Hugst!$R$5:$W$9,MATCH(ROUNDUP((P$1)/10,0)*10,[1]Hugst!$R$4:$W$4,0))))</f>
        <v>0</v>
      </c>
      <c r="Q282" s="168">
        <f>IF($C282-Q$1&lt;År1,0,P281*(1-VLOOKUP($A282,[1]Hugst!$R$5:$W$9,MATCH(ROUNDUP((Q$1)/10,0)*10,[1]Hugst!$R$4:$W$4,0))))</f>
        <v>0</v>
      </c>
      <c r="R282" s="168">
        <f>IF($C282-R$1&lt;År1,0,Q281*(1-VLOOKUP($A282,[1]Hugst!$R$5:$W$9,MATCH(ROUNDUP((R$1)/10,0)*10,[1]Hugst!$R$4:$W$4,0))))</f>
        <v>0</v>
      </c>
      <c r="S282" s="168">
        <f>IF($C282-S$1&lt;År1,0,R281*(1-VLOOKUP($A282,[1]Hugst!$R$5:$W$9,MATCH(ROUNDUP((S$1)/10,0)*10,[1]Hugst!$R$4:$W$4,0))))</f>
        <v>0</v>
      </c>
      <c r="T282" s="168">
        <f>IF($C282-T$1&lt;År1,0,S281*(1-VLOOKUP($A282,[1]Hugst!$R$5:$W$9,MATCH(ROUNDUP((T$1)/10,0)*10,[1]Hugst!$R$4:$W$4,0))))</f>
        <v>0</v>
      </c>
      <c r="U282" s="168">
        <f>IF($C282-U$1&lt;År1,0,T281*(1-VLOOKUP($A282,[1]Hugst!$R$5:$W$9,MATCH(ROUNDUP((U$1)/10,0)*10,[1]Hugst!$R$4:$W$4,0))))</f>
        <v>0</v>
      </c>
      <c r="V282" s="168">
        <f>IF($C282-V$1&lt;År1,0,U281*(1-VLOOKUP($A282,[1]Hugst!$R$5:$W$9,MATCH(ROUNDUP((V$1)/10,0)*10,[1]Hugst!$R$4:$W$4,0))))</f>
        <v>0</v>
      </c>
      <c r="W282" s="168">
        <f>IF($C282-W$1&lt;År1,0,V281*(1-VLOOKUP($A282,[1]Hugst!$R$5:$W$9,MATCH(ROUNDUP((W$1)/10,0)*10,[1]Hugst!$R$4:$W$4,0))))</f>
        <v>0</v>
      </c>
      <c r="X282" s="168">
        <f>IF($C282-X$1&lt;År1,0,W281*(1-VLOOKUP($A282,[1]Hugst!$R$5:$W$9,MATCH(ROUNDUP((X$1)/10,0)*10,[1]Hugst!$R$4:$W$4,0))))</f>
        <v>0</v>
      </c>
      <c r="Y282" s="168">
        <f>IF($C282-Y$1&lt;År1,0,X281*(1-VLOOKUP($A282,[1]Hugst!$R$5:$W$9,MATCH(ROUNDUP((Y$1)/10,0)*10,[1]Hugst!$R$4:$W$4,0))))</f>
        <v>0</v>
      </c>
      <c r="Z282" s="168">
        <f>IF($C282-Z$1&lt;År1,0,Y281*(1-VLOOKUP($A282,[1]Hugst!$R$5:$W$9,MATCH(ROUNDUP((Z$1)/10,0)*10,[1]Hugst!$R$4:$W$4,0))))</f>
        <v>0</v>
      </c>
      <c r="AA282" s="168">
        <f>IF($C282-AA$1&lt;År1,0,Z281*(1-VLOOKUP($A282,[1]Hugst!$R$5:$W$9,MATCH(ROUNDUP((AA$1)/10,0)*10,[1]Hugst!$R$4:$W$4,0))))</f>
        <v>0</v>
      </c>
      <c r="AB282" s="168">
        <f>IF($C282-AB$1&lt;År1,0,AA281*(1-VLOOKUP($A282,[1]Hugst!$R$5:$W$9,MATCH(ROUNDUP((AB$1)/10,0)*10,[1]Hugst!$R$4:$W$4,0))))</f>
        <v>0</v>
      </c>
      <c r="AC282" s="168">
        <f>IF($C282-AC$1&lt;År1,0,AB281*(1-VLOOKUP($A282,[1]Hugst!$R$5:$W$9,MATCH(ROUNDUP((AC$1)/10,0)*10,[1]Hugst!$R$4:$W$4,0))))</f>
        <v>0</v>
      </c>
      <c r="AD282" s="168">
        <f>IF($C282-AD$1&lt;År1,0,AC281*(1-VLOOKUP($A282,[1]Hugst!$R$5:$W$9,MATCH(ROUNDUP((AD$1)/10,0)*10,[1]Hugst!$R$4:$W$4,0))))</f>
        <v>0</v>
      </c>
      <c r="AE282" s="168">
        <f>IF($C282-AE$1&lt;År1,0,AD281*(1-VLOOKUP($A282,[1]Hugst!$R$5:$W$9,MATCH(ROUNDUP((AE$1)/10,0)*10,[1]Hugst!$R$4:$W$4,0))))</f>
        <v>0</v>
      </c>
      <c r="AF282" s="168">
        <f>IF($C282-AF$1&lt;År1,0,AE281*(1-VLOOKUP($A282,[1]Hugst!$R$5:$W$9,MATCH(ROUNDUP((AF$1)/10,0)*10,[1]Hugst!$R$4:$W$4,0))))</f>
        <v>0</v>
      </c>
      <c r="AG282" s="168">
        <f>IF($C282-AG$1&lt;År1,0,AF281*(1-VLOOKUP($A282,[1]Hugst!$R$5:$W$9,MATCH(ROUNDUP((AG$1)/10,0)*10,[1]Hugst!$R$4:$W$4,0))))</f>
        <v>0</v>
      </c>
      <c r="AH282" s="168">
        <f>IF($C282-AH$1&lt;År1,0,AG281*(1-VLOOKUP($A282,[1]Hugst!$R$5:$W$9,MATCH(ROUNDUP((AH$1)/10,0)*10,[1]Hugst!$R$4:$W$4,0))))</f>
        <v>0</v>
      </c>
      <c r="AI282" s="168">
        <f>IF($C282-AI$1&lt;År1,0,AH281*(1-VLOOKUP($A282,[1]Hugst!$R$5:$W$9,MATCH(ROUNDUP((AI$1)/10,0)*10,[1]Hugst!$R$4:$W$4,0))))</f>
        <v>0</v>
      </c>
      <c r="AJ282" s="168">
        <f>IF($C282-AJ$1&lt;År1,0,AI281*(1-VLOOKUP($A282,[1]Hugst!$R$5:$W$9,MATCH(ROUNDUP((AJ$1)/10,0)*10,[1]Hugst!$R$4:$W$4,0))))</f>
        <v>0</v>
      </c>
    </row>
    <row r="283" spans="1:36" x14ac:dyDescent="0.25">
      <c r="A283" s="168" t="s">
        <v>180</v>
      </c>
      <c r="B283" s="168" t="s">
        <v>24</v>
      </c>
      <c r="C283" s="168">
        <v>2022</v>
      </c>
      <c r="D283" s="168" cm="1">
        <f t="array" ref="D283">(IF(B283="Vestdanmark",Skovbrug!$C$22-(Skovbrug!$C$22)*(1-Skovbrug!$C$9)^(C283-Skovbrug!$B$12),Skovbrug!$F$22-(Skovbrug!$F$22)*(1-Skovbrug!$C$9)^(C283-Skovbrug!$B$12))*VLOOKUP(A283,Skovbrug!$A$13:$D$17,IF('Skovbrug-alder'!C283&lt;=År2,3,4),FALSE)-IF(C283&gt;2020,SUM(INDEX($C$1:$D$311,MATCH(1,(2020=$C$1:$C$311)*(B283=$B$1:$B$311)*(A283=$A$1:$A$311),0),2):D282),0))</f>
        <v>0</v>
      </c>
      <c r="E283" s="168">
        <f t="shared" ca="1" si="7"/>
        <v>0</v>
      </c>
      <c r="F283" s="168">
        <f ca="1">IF(C283&lt;=År2,IF(B283="Vestdanmark",(Arealanvendelse!$M$27-Arealanvendelse!$J$27),(Arealanvendelse!$M$37-Arealanvendelse!$J$37))/(Arealanvendelse!$M$3-Arealanvendelse!$J$3),IF(B283="Vestdanmark",(Arealanvendelse!$P$27-Arealanvendelse!$M$27),(Arealanvendelse!$P$37-Arealanvendelse!$M$37))/(Arealanvendelse!$P$3-Arealanvendelse!$M$3))*VLOOKUP(A283,Skovbrug!$A$13:$D$17,IF('Skovbrug-alder'!C283&lt;=År2,3,4),FALSE)+D283+E283</f>
        <v>0</v>
      </c>
      <c r="G283" s="168">
        <f ca="1">IF($C283-G$1&lt;År1,0,F282*(1-VLOOKUP($A283,[1]Hugst!$R$5:$W$9,MATCH(ROUNDUP((G$1)/10,0)*10,[1]Hugst!$R$4:$W$4,0))))</f>
        <v>0</v>
      </c>
      <c r="H283" s="168">
        <f ca="1">IF($C283-H$1&lt;År1,0,G282*(1-VLOOKUP($A283,[1]Hugst!$R$5:$W$9,MATCH(ROUNDUP((H$1)/10,0)*10,[1]Hugst!$R$4:$W$4,0))))</f>
        <v>0</v>
      </c>
      <c r="I283" s="168">
        <f>IF($C283-I$1&lt;År1,0,H282*(1-VLOOKUP($A283,[1]Hugst!$R$5:$W$9,MATCH(ROUNDUP((I$1)/10,0)*10,[1]Hugst!$R$4:$W$4,0))))</f>
        <v>0</v>
      </c>
      <c r="J283" s="168">
        <f>IF($C283-J$1&lt;År1,0,I282*(1-VLOOKUP($A283,[1]Hugst!$R$5:$W$9,MATCH(ROUNDUP((J$1)/10,0)*10,[1]Hugst!$R$4:$W$4,0))))</f>
        <v>0</v>
      </c>
      <c r="K283" s="168">
        <f>IF($C283-K$1&lt;År1,0,J282*(1-VLOOKUP($A283,[1]Hugst!$R$5:$W$9,MATCH(ROUNDUP((K$1)/10,0)*10,[1]Hugst!$R$4:$W$4,0))))</f>
        <v>0</v>
      </c>
      <c r="L283" s="168">
        <f>IF($C283-L$1&lt;År1,0,K282*(1-VLOOKUP($A283,[1]Hugst!$R$5:$W$9,MATCH(ROUNDUP((L$1)/10,0)*10,[1]Hugst!$R$4:$W$4,0))))</f>
        <v>0</v>
      </c>
      <c r="M283" s="168">
        <f>IF($C283-M$1&lt;År1,0,L282*(1-VLOOKUP($A283,[1]Hugst!$R$5:$W$9,MATCH(ROUNDUP((M$1)/10,0)*10,[1]Hugst!$R$4:$W$4,0))))</f>
        <v>0</v>
      </c>
      <c r="N283" s="168">
        <f>IF($C283-N$1&lt;År1,0,M282*(1-VLOOKUP($A283,[1]Hugst!$R$5:$W$9,MATCH(ROUNDUP((N$1)/10,0)*10,[1]Hugst!$R$4:$W$4,0))))</f>
        <v>0</v>
      </c>
      <c r="O283" s="168">
        <f>IF($C283-O$1&lt;År1,0,N282*(1-VLOOKUP($A283,[1]Hugst!$R$5:$W$9,MATCH(ROUNDUP((O$1)/10,0)*10,[1]Hugst!$R$4:$W$4,0))))</f>
        <v>0</v>
      </c>
      <c r="P283" s="168">
        <f>IF($C283-P$1&lt;År1,0,O282*(1-VLOOKUP($A283,[1]Hugst!$R$5:$W$9,MATCH(ROUNDUP((P$1)/10,0)*10,[1]Hugst!$R$4:$W$4,0))))</f>
        <v>0</v>
      </c>
      <c r="Q283" s="168">
        <f>IF($C283-Q$1&lt;År1,0,P282*(1-VLOOKUP($A283,[1]Hugst!$R$5:$W$9,MATCH(ROUNDUP((Q$1)/10,0)*10,[1]Hugst!$R$4:$W$4,0))))</f>
        <v>0</v>
      </c>
      <c r="R283" s="168">
        <f>IF($C283-R$1&lt;År1,0,Q282*(1-VLOOKUP($A283,[1]Hugst!$R$5:$W$9,MATCH(ROUNDUP((R$1)/10,0)*10,[1]Hugst!$R$4:$W$4,0))))</f>
        <v>0</v>
      </c>
      <c r="S283" s="168">
        <f>IF($C283-S$1&lt;År1,0,R282*(1-VLOOKUP($A283,[1]Hugst!$R$5:$W$9,MATCH(ROUNDUP((S$1)/10,0)*10,[1]Hugst!$R$4:$W$4,0))))</f>
        <v>0</v>
      </c>
      <c r="T283" s="168">
        <f>IF($C283-T$1&lt;År1,0,S282*(1-VLOOKUP($A283,[1]Hugst!$R$5:$W$9,MATCH(ROUNDUP((T$1)/10,0)*10,[1]Hugst!$R$4:$W$4,0))))</f>
        <v>0</v>
      </c>
      <c r="U283" s="168">
        <f>IF($C283-U$1&lt;År1,0,T282*(1-VLOOKUP($A283,[1]Hugst!$R$5:$W$9,MATCH(ROUNDUP((U$1)/10,0)*10,[1]Hugst!$R$4:$W$4,0))))</f>
        <v>0</v>
      </c>
      <c r="V283" s="168">
        <f>IF($C283-V$1&lt;År1,0,U282*(1-VLOOKUP($A283,[1]Hugst!$R$5:$W$9,MATCH(ROUNDUP((V$1)/10,0)*10,[1]Hugst!$R$4:$W$4,0))))</f>
        <v>0</v>
      </c>
      <c r="W283" s="168">
        <f>IF($C283-W$1&lt;År1,0,V282*(1-VLOOKUP($A283,[1]Hugst!$R$5:$W$9,MATCH(ROUNDUP((W$1)/10,0)*10,[1]Hugst!$R$4:$W$4,0))))</f>
        <v>0</v>
      </c>
      <c r="X283" s="168">
        <f>IF($C283-X$1&lt;År1,0,W282*(1-VLOOKUP($A283,[1]Hugst!$R$5:$W$9,MATCH(ROUNDUP((X$1)/10,0)*10,[1]Hugst!$R$4:$W$4,0))))</f>
        <v>0</v>
      </c>
      <c r="Y283" s="168">
        <f>IF($C283-Y$1&lt;År1,0,X282*(1-VLOOKUP($A283,[1]Hugst!$R$5:$W$9,MATCH(ROUNDUP((Y$1)/10,0)*10,[1]Hugst!$R$4:$W$4,0))))</f>
        <v>0</v>
      </c>
      <c r="Z283" s="168">
        <f>IF($C283-Z$1&lt;År1,0,Y282*(1-VLOOKUP($A283,[1]Hugst!$R$5:$W$9,MATCH(ROUNDUP((Z$1)/10,0)*10,[1]Hugst!$R$4:$W$4,0))))</f>
        <v>0</v>
      </c>
      <c r="AA283" s="168">
        <f>IF($C283-AA$1&lt;År1,0,Z282*(1-VLOOKUP($A283,[1]Hugst!$R$5:$W$9,MATCH(ROUNDUP((AA$1)/10,0)*10,[1]Hugst!$R$4:$W$4,0))))</f>
        <v>0</v>
      </c>
      <c r="AB283" s="168">
        <f>IF($C283-AB$1&lt;År1,0,AA282*(1-VLOOKUP($A283,[1]Hugst!$R$5:$W$9,MATCH(ROUNDUP((AB$1)/10,0)*10,[1]Hugst!$R$4:$W$4,0))))</f>
        <v>0</v>
      </c>
      <c r="AC283" s="168">
        <f>IF($C283-AC$1&lt;År1,0,AB282*(1-VLOOKUP($A283,[1]Hugst!$R$5:$W$9,MATCH(ROUNDUP((AC$1)/10,0)*10,[1]Hugst!$R$4:$W$4,0))))</f>
        <v>0</v>
      </c>
      <c r="AD283" s="168">
        <f>IF($C283-AD$1&lt;År1,0,AC282*(1-VLOOKUP($A283,[1]Hugst!$R$5:$W$9,MATCH(ROUNDUP((AD$1)/10,0)*10,[1]Hugst!$R$4:$W$4,0))))</f>
        <v>0</v>
      </c>
      <c r="AE283" s="168">
        <f>IF($C283-AE$1&lt;År1,0,AD282*(1-VLOOKUP($A283,[1]Hugst!$R$5:$W$9,MATCH(ROUNDUP((AE$1)/10,0)*10,[1]Hugst!$R$4:$W$4,0))))</f>
        <v>0</v>
      </c>
      <c r="AF283" s="168">
        <f>IF($C283-AF$1&lt;År1,0,AE282*(1-VLOOKUP($A283,[1]Hugst!$R$5:$W$9,MATCH(ROUNDUP((AF$1)/10,0)*10,[1]Hugst!$R$4:$W$4,0))))</f>
        <v>0</v>
      </c>
      <c r="AG283" s="168">
        <f>IF($C283-AG$1&lt;År1,0,AF282*(1-VLOOKUP($A283,[1]Hugst!$R$5:$W$9,MATCH(ROUNDUP((AG$1)/10,0)*10,[1]Hugst!$R$4:$W$4,0))))</f>
        <v>0</v>
      </c>
      <c r="AH283" s="168">
        <f>IF($C283-AH$1&lt;År1,0,AG282*(1-VLOOKUP($A283,[1]Hugst!$R$5:$W$9,MATCH(ROUNDUP((AH$1)/10,0)*10,[1]Hugst!$R$4:$W$4,0))))</f>
        <v>0</v>
      </c>
      <c r="AI283" s="168">
        <f>IF($C283-AI$1&lt;År1,0,AH282*(1-VLOOKUP($A283,[1]Hugst!$R$5:$W$9,MATCH(ROUNDUP((AI$1)/10,0)*10,[1]Hugst!$R$4:$W$4,0))))</f>
        <v>0</v>
      </c>
      <c r="AJ283" s="168">
        <f>IF($C283-AJ$1&lt;År1,0,AI282*(1-VLOOKUP($A283,[1]Hugst!$R$5:$W$9,MATCH(ROUNDUP((AJ$1)/10,0)*10,[1]Hugst!$R$4:$W$4,0))))</f>
        <v>0</v>
      </c>
    </row>
    <row r="284" spans="1:36" x14ac:dyDescent="0.25">
      <c r="A284" s="168" t="s">
        <v>180</v>
      </c>
      <c r="B284" s="168" t="s">
        <v>24</v>
      </c>
      <c r="C284" s="168">
        <v>2023</v>
      </c>
      <c r="D284" s="168" cm="1">
        <f t="array" ref="D284">(IF(B284="Vestdanmark",Skovbrug!$C$22-(Skovbrug!$C$22)*(1-Skovbrug!$C$9)^(C284-Skovbrug!$B$12),Skovbrug!$F$22-(Skovbrug!$F$22)*(1-Skovbrug!$C$9)^(C284-Skovbrug!$B$12))*VLOOKUP(A284,Skovbrug!$A$13:$D$17,IF('Skovbrug-alder'!C284&lt;=År2,3,4),FALSE)-IF(C284&gt;2020,SUM(INDEX($C$1:$D$311,MATCH(1,(2020=$C$1:$C$311)*(B284=$B$1:$B$311)*(A284=$A$1:$A$311),0),2):D283),0))</f>
        <v>0</v>
      </c>
      <c r="E284" s="168">
        <f t="shared" ca="1" si="7"/>
        <v>0</v>
      </c>
      <c r="F284" s="168">
        <f ca="1">IF(C284&lt;=År2,IF(B284="Vestdanmark",(Arealanvendelse!$M$27-Arealanvendelse!$J$27),(Arealanvendelse!$M$37-Arealanvendelse!$J$37))/(Arealanvendelse!$M$3-Arealanvendelse!$J$3),IF(B284="Vestdanmark",(Arealanvendelse!$P$27-Arealanvendelse!$M$27),(Arealanvendelse!$P$37-Arealanvendelse!$M$37))/(Arealanvendelse!$P$3-Arealanvendelse!$M$3))*VLOOKUP(A284,Skovbrug!$A$13:$D$17,IF('Skovbrug-alder'!C284&lt;=År2,3,4),FALSE)+D284+E284</f>
        <v>0</v>
      </c>
      <c r="G284" s="168">
        <f ca="1">IF($C284-G$1&lt;År1,0,F283*(1-VLOOKUP($A284,[1]Hugst!$R$5:$W$9,MATCH(ROUNDUP((G$1)/10,0)*10,[1]Hugst!$R$4:$W$4,0))))</f>
        <v>0</v>
      </c>
      <c r="H284" s="168">
        <f ca="1">IF($C284-H$1&lt;År1,0,G283*(1-VLOOKUP($A284,[1]Hugst!$R$5:$W$9,MATCH(ROUNDUP((H$1)/10,0)*10,[1]Hugst!$R$4:$W$4,0))))</f>
        <v>0</v>
      </c>
      <c r="I284" s="168">
        <f ca="1">IF($C284-I$1&lt;År1,0,H283*(1-VLOOKUP($A284,[1]Hugst!$R$5:$W$9,MATCH(ROUNDUP((I$1)/10,0)*10,[1]Hugst!$R$4:$W$4,0))))</f>
        <v>0</v>
      </c>
      <c r="J284" s="168">
        <f>IF($C284-J$1&lt;År1,0,I283*(1-VLOOKUP($A284,[1]Hugst!$R$5:$W$9,MATCH(ROUNDUP((J$1)/10,0)*10,[1]Hugst!$R$4:$W$4,0))))</f>
        <v>0</v>
      </c>
      <c r="K284" s="168">
        <f>IF($C284-K$1&lt;År1,0,J283*(1-VLOOKUP($A284,[1]Hugst!$R$5:$W$9,MATCH(ROUNDUP((K$1)/10,0)*10,[1]Hugst!$R$4:$W$4,0))))</f>
        <v>0</v>
      </c>
      <c r="L284" s="168">
        <f>IF($C284-L$1&lt;År1,0,K283*(1-VLOOKUP($A284,[1]Hugst!$R$5:$W$9,MATCH(ROUNDUP((L$1)/10,0)*10,[1]Hugst!$R$4:$W$4,0))))</f>
        <v>0</v>
      </c>
      <c r="M284" s="168">
        <f>IF($C284-M$1&lt;År1,0,L283*(1-VLOOKUP($A284,[1]Hugst!$R$5:$W$9,MATCH(ROUNDUP((M$1)/10,0)*10,[1]Hugst!$R$4:$W$4,0))))</f>
        <v>0</v>
      </c>
      <c r="N284" s="168">
        <f>IF($C284-N$1&lt;År1,0,M283*(1-VLOOKUP($A284,[1]Hugst!$R$5:$W$9,MATCH(ROUNDUP((N$1)/10,0)*10,[1]Hugst!$R$4:$W$4,0))))</f>
        <v>0</v>
      </c>
      <c r="O284" s="168">
        <f>IF($C284-O$1&lt;År1,0,N283*(1-VLOOKUP($A284,[1]Hugst!$R$5:$W$9,MATCH(ROUNDUP((O$1)/10,0)*10,[1]Hugst!$R$4:$W$4,0))))</f>
        <v>0</v>
      </c>
      <c r="P284" s="168">
        <f>IF($C284-P$1&lt;År1,0,O283*(1-VLOOKUP($A284,[1]Hugst!$R$5:$W$9,MATCH(ROUNDUP((P$1)/10,0)*10,[1]Hugst!$R$4:$W$4,0))))</f>
        <v>0</v>
      </c>
      <c r="Q284" s="168">
        <f>IF($C284-Q$1&lt;År1,0,P283*(1-VLOOKUP($A284,[1]Hugst!$R$5:$W$9,MATCH(ROUNDUP((Q$1)/10,0)*10,[1]Hugst!$R$4:$W$4,0))))</f>
        <v>0</v>
      </c>
      <c r="R284" s="168">
        <f>IF($C284-R$1&lt;År1,0,Q283*(1-VLOOKUP($A284,[1]Hugst!$R$5:$W$9,MATCH(ROUNDUP((R$1)/10,0)*10,[1]Hugst!$R$4:$W$4,0))))</f>
        <v>0</v>
      </c>
      <c r="S284" s="168">
        <f>IF($C284-S$1&lt;År1,0,R283*(1-VLOOKUP($A284,[1]Hugst!$R$5:$W$9,MATCH(ROUNDUP((S$1)/10,0)*10,[1]Hugst!$R$4:$W$4,0))))</f>
        <v>0</v>
      </c>
      <c r="T284" s="168">
        <f>IF($C284-T$1&lt;År1,0,S283*(1-VLOOKUP($A284,[1]Hugst!$R$5:$W$9,MATCH(ROUNDUP((T$1)/10,0)*10,[1]Hugst!$R$4:$W$4,0))))</f>
        <v>0</v>
      </c>
      <c r="U284" s="168">
        <f>IF($C284-U$1&lt;År1,0,T283*(1-VLOOKUP($A284,[1]Hugst!$R$5:$W$9,MATCH(ROUNDUP((U$1)/10,0)*10,[1]Hugst!$R$4:$W$4,0))))</f>
        <v>0</v>
      </c>
      <c r="V284" s="168">
        <f>IF($C284-V$1&lt;År1,0,U283*(1-VLOOKUP($A284,[1]Hugst!$R$5:$W$9,MATCH(ROUNDUP((V$1)/10,0)*10,[1]Hugst!$R$4:$W$4,0))))</f>
        <v>0</v>
      </c>
      <c r="W284" s="168">
        <f>IF($C284-W$1&lt;År1,0,V283*(1-VLOOKUP($A284,[1]Hugst!$R$5:$W$9,MATCH(ROUNDUP((W$1)/10,0)*10,[1]Hugst!$R$4:$W$4,0))))</f>
        <v>0</v>
      </c>
      <c r="X284" s="168">
        <f>IF($C284-X$1&lt;År1,0,W283*(1-VLOOKUP($A284,[1]Hugst!$R$5:$W$9,MATCH(ROUNDUP((X$1)/10,0)*10,[1]Hugst!$R$4:$W$4,0))))</f>
        <v>0</v>
      </c>
      <c r="Y284" s="168">
        <f>IF($C284-Y$1&lt;År1,0,X283*(1-VLOOKUP($A284,[1]Hugst!$R$5:$W$9,MATCH(ROUNDUP((Y$1)/10,0)*10,[1]Hugst!$R$4:$W$4,0))))</f>
        <v>0</v>
      </c>
      <c r="Z284" s="168">
        <f>IF($C284-Z$1&lt;År1,0,Y283*(1-VLOOKUP($A284,[1]Hugst!$R$5:$W$9,MATCH(ROUNDUP((Z$1)/10,0)*10,[1]Hugst!$R$4:$W$4,0))))</f>
        <v>0</v>
      </c>
      <c r="AA284" s="168">
        <f>IF($C284-AA$1&lt;År1,0,Z283*(1-VLOOKUP($A284,[1]Hugst!$R$5:$W$9,MATCH(ROUNDUP((AA$1)/10,0)*10,[1]Hugst!$R$4:$W$4,0))))</f>
        <v>0</v>
      </c>
      <c r="AB284" s="168">
        <f>IF($C284-AB$1&lt;År1,0,AA283*(1-VLOOKUP($A284,[1]Hugst!$R$5:$W$9,MATCH(ROUNDUP((AB$1)/10,0)*10,[1]Hugst!$R$4:$W$4,0))))</f>
        <v>0</v>
      </c>
      <c r="AC284" s="168">
        <f>IF($C284-AC$1&lt;År1,0,AB283*(1-VLOOKUP($A284,[1]Hugst!$R$5:$W$9,MATCH(ROUNDUP((AC$1)/10,0)*10,[1]Hugst!$R$4:$W$4,0))))</f>
        <v>0</v>
      </c>
      <c r="AD284" s="168">
        <f>IF($C284-AD$1&lt;År1,0,AC283*(1-VLOOKUP($A284,[1]Hugst!$R$5:$W$9,MATCH(ROUNDUP((AD$1)/10,0)*10,[1]Hugst!$R$4:$W$4,0))))</f>
        <v>0</v>
      </c>
      <c r="AE284" s="168">
        <f>IF($C284-AE$1&lt;År1,0,AD283*(1-VLOOKUP($A284,[1]Hugst!$R$5:$W$9,MATCH(ROUNDUP((AE$1)/10,0)*10,[1]Hugst!$R$4:$W$4,0))))</f>
        <v>0</v>
      </c>
      <c r="AF284" s="168">
        <f>IF($C284-AF$1&lt;År1,0,AE283*(1-VLOOKUP($A284,[1]Hugst!$R$5:$W$9,MATCH(ROUNDUP((AF$1)/10,0)*10,[1]Hugst!$R$4:$W$4,0))))</f>
        <v>0</v>
      </c>
      <c r="AG284" s="168">
        <f>IF($C284-AG$1&lt;År1,0,AF283*(1-VLOOKUP($A284,[1]Hugst!$R$5:$W$9,MATCH(ROUNDUP((AG$1)/10,0)*10,[1]Hugst!$R$4:$W$4,0))))</f>
        <v>0</v>
      </c>
      <c r="AH284" s="168">
        <f>IF($C284-AH$1&lt;År1,0,AG283*(1-VLOOKUP($A284,[1]Hugst!$R$5:$W$9,MATCH(ROUNDUP((AH$1)/10,0)*10,[1]Hugst!$R$4:$W$4,0))))</f>
        <v>0</v>
      </c>
      <c r="AI284" s="168">
        <f>IF($C284-AI$1&lt;År1,0,AH283*(1-VLOOKUP($A284,[1]Hugst!$R$5:$W$9,MATCH(ROUNDUP((AI$1)/10,0)*10,[1]Hugst!$R$4:$W$4,0))))</f>
        <v>0</v>
      </c>
      <c r="AJ284" s="168">
        <f>IF($C284-AJ$1&lt;År1,0,AI283*(1-VLOOKUP($A284,[1]Hugst!$R$5:$W$9,MATCH(ROUNDUP((AJ$1)/10,0)*10,[1]Hugst!$R$4:$W$4,0))))</f>
        <v>0</v>
      </c>
    </row>
    <row r="285" spans="1:36" x14ac:dyDescent="0.25">
      <c r="A285" s="168" t="s">
        <v>180</v>
      </c>
      <c r="B285" s="168" t="s">
        <v>24</v>
      </c>
      <c r="C285" s="168">
        <v>2024</v>
      </c>
      <c r="D285" s="168" cm="1">
        <f t="array" ref="D285">(IF(B285="Vestdanmark",Skovbrug!$C$22-(Skovbrug!$C$22)*(1-Skovbrug!$C$9)^(C285-Skovbrug!$B$12),Skovbrug!$F$22-(Skovbrug!$F$22)*(1-Skovbrug!$C$9)^(C285-Skovbrug!$B$12))*VLOOKUP(A285,Skovbrug!$A$13:$D$17,IF('Skovbrug-alder'!C285&lt;=År2,3,4),FALSE)-IF(C285&gt;2020,SUM(INDEX($C$1:$D$311,MATCH(1,(2020=$C$1:$C$311)*(B285=$B$1:$B$311)*(A285=$A$1:$A$311),0),2):D284),0))</f>
        <v>0</v>
      </c>
      <c r="E285" s="168">
        <f t="shared" ca="1" si="7"/>
        <v>0</v>
      </c>
      <c r="F285" s="168">
        <f ca="1">IF(C285&lt;=År2,IF(B285="Vestdanmark",(Arealanvendelse!$M$27-Arealanvendelse!$J$27),(Arealanvendelse!$M$37-Arealanvendelse!$J$37))/(Arealanvendelse!$M$3-Arealanvendelse!$J$3),IF(B285="Vestdanmark",(Arealanvendelse!$P$27-Arealanvendelse!$M$27),(Arealanvendelse!$P$37-Arealanvendelse!$M$37))/(Arealanvendelse!$P$3-Arealanvendelse!$M$3))*VLOOKUP(A285,Skovbrug!$A$13:$D$17,IF('Skovbrug-alder'!C285&lt;=År2,3,4),FALSE)+D285+E285</f>
        <v>0</v>
      </c>
      <c r="G285" s="168">
        <f ca="1">IF($C285-G$1&lt;År1,0,F284*(1-VLOOKUP($A285,[1]Hugst!$R$5:$W$9,MATCH(ROUNDUP((G$1)/10,0)*10,[1]Hugst!$R$4:$W$4,0))))</f>
        <v>0</v>
      </c>
      <c r="H285" s="168">
        <f ca="1">IF($C285-H$1&lt;År1,0,G284*(1-VLOOKUP($A285,[1]Hugst!$R$5:$W$9,MATCH(ROUNDUP((H$1)/10,0)*10,[1]Hugst!$R$4:$W$4,0))))</f>
        <v>0</v>
      </c>
      <c r="I285" s="168">
        <f ca="1">IF($C285-I$1&lt;År1,0,H284*(1-VLOOKUP($A285,[1]Hugst!$R$5:$W$9,MATCH(ROUNDUP((I$1)/10,0)*10,[1]Hugst!$R$4:$W$4,0))))</f>
        <v>0</v>
      </c>
      <c r="J285" s="168">
        <f ca="1">IF($C285-J$1&lt;År1,0,I284*(1-VLOOKUP($A285,[1]Hugst!$R$5:$W$9,MATCH(ROUNDUP((J$1)/10,0)*10,[1]Hugst!$R$4:$W$4,0))))</f>
        <v>0</v>
      </c>
      <c r="K285" s="168">
        <f>IF($C285-K$1&lt;År1,0,J284*(1-VLOOKUP($A285,[1]Hugst!$R$5:$W$9,MATCH(ROUNDUP((K$1)/10,0)*10,[1]Hugst!$R$4:$W$4,0))))</f>
        <v>0</v>
      </c>
      <c r="L285" s="168">
        <f>IF($C285-L$1&lt;År1,0,K284*(1-VLOOKUP($A285,[1]Hugst!$R$5:$W$9,MATCH(ROUNDUP((L$1)/10,0)*10,[1]Hugst!$R$4:$W$4,0))))</f>
        <v>0</v>
      </c>
      <c r="M285" s="168">
        <f>IF($C285-M$1&lt;År1,0,L284*(1-VLOOKUP($A285,[1]Hugst!$R$5:$W$9,MATCH(ROUNDUP((M$1)/10,0)*10,[1]Hugst!$R$4:$W$4,0))))</f>
        <v>0</v>
      </c>
      <c r="N285" s="168">
        <f>IF($C285-N$1&lt;År1,0,M284*(1-VLOOKUP($A285,[1]Hugst!$R$5:$W$9,MATCH(ROUNDUP((N$1)/10,0)*10,[1]Hugst!$R$4:$W$4,0))))</f>
        <v>0</v>
      </c>
      <c r="O285" s="168">
        <f>IF($C285-O$1&lt;År1,0,N284*(1-VLOOKUP($A285,[1]Hugst!$R$5:$W$9,MATCH(ROUNDUP((O$1)/10,0)*10,[1]Hugst!$R$4:$W$4,0))))</f>
        <v>0</v>
      </c>
      <c r="P285" s="168">
        <f>IF($C285-P$1&lt;År1,0,O284*(1-VLOOKUP($A285,[1]Hugst!$R$5:$W$9,MATCH(ROUNDUP((P$1)/10,0)*10,[1]Hugst!$R$4:$W$4,0))))</f>
        <v>0</v>
      </c>
      <c r="Q285" s="168">
        <f>IF($C285-Q$1&lt;År1,0,P284*(1-VLOOKUP($A285,[1]Hugst!$R$5:$W$9,MATCH(ROUNDUP((Q$1)/10,0)*10,[1]Hugst!$R$4:$W$4,0))))</f>
        <v>0</v>
      </c>
      <c r="R285" s="168">
        <f>IF($C285-R$1&lt;År1,0,Q284*(1-VLOOKUP($A285,[1]Hugst!$R$5:$W$9,MATCH(ROUNDUP((R$1)/10,0)*10,[1]Hugst!$R$4:$W$4,0))))</f>
        <v>0</v>
      </c>
      <c r="S285" s="168">
        <f>IF($C285-S$1&lt;År1,0,R284*(1-VLOOKUP($A285,[1]Hugst!$R$5:$W$9,MATCH(ROUNDUP((S$1)/10,0)*10,[1]Hugst!$R$4:$W$4,0))))</f>
        <v>0</v>
      </c>
      <c r="T285" s="168">
        <f>IF($C285-T$1&lt;År1,0,S284*(1-VLOOKUP($A285,[1]Hugst!$R$5:$W$9,MATCH(ROUNDUP((T$1)/10,0)*10,[1]Hugst!$R$4:$W$4,0))))</f>
        <v>0</v>
      </c>
      <c r="U285" s="168">
        <f>IF($C285-U$1&lt;År1,0,T284*(1-VLOOKUP($A285,[1]Hugst!$R$5:$W$9,MATCH(ROUNDUP((U$1)/10,0)*10,[1]Hugst!$R$4:$W$4,0))))</f>
        <v>0</v>
      </c>
      <c r="V285" s="168">
        <f>IF($C285-V$1&lt;År1,0,U284*(1-VLOOKUP($A285,[1]Hugst!$R$5:$W$9,MATCH(ROUNDUP((V$1)/10,0)*10,[1]Hugst!$R$4:$W$4,0))))</f>
        <v>0</v>
      </c>
      <c r="W285" s="168">
        <f>IF($C285-W$1&lt;År1,0,V284*(1-VLOOKUP($A285,[1]Hugst!$R$5:$W$9,MATCH(ROUNDUP((W$1)/10,0)*10,[1]Hugst!$R$4:$W$4,0))))</f>
        <v>0</v>
      </c>
      <c r="X285" s="168">
        <f>IF($C285-X$1&lt;År1,0,W284*(1-VLOOKUP($A285,[1]Hugst!$R$5:$W$9,MATCH(ROUNDUP((X$1)/10,0)*10,[1]Hugst!$R$4:$W$4,0))))</f>
        <v>0</v>
      </c>
      <c r="Y285" s="168">
        <f>IF($C285-Y$1&lt;År1,0,X284*(1-VLOOKUP($A285,[1]Hugst!$R$5:$W$9,MATCH(ROUNDUP((Y$1)/10,0)*10,[1]Hugst!$R$4:$W$4,0))))</f>
        <v>0</v>
      </c>
      <c r="Z285" s="168">
        <f>IF($C285-Z$1&lt;År1,0,Y284*(1-VLOOKUP($A285,[1]Hugst!$R$5:$W$9,MATCH(ROUNDUP((Z$1)/10,0)*10,[1]Hugst!$R$4:$W$4,0))))</f>
        <v>0</v>
      </c>
      <c r="AA285" s="168">
        <f>IF($C285-AA$1&lt;År1,0,Z284*(1-VLOOKUP($A285,[1]Hugst!$R$5:$W$9,MATCH(ROUNDUP((AA$1)/10,0)*10,[1]Hugst!$R$4:$W$4,0))))</f>
        <v>0</v>
      </c>
      <c r="AB285" s="168">
        <f>IF($C285-AB$1&lt;År1,0,AA284*(1-VLOOKUP($A285,[1]Hugst!$R$5:$W$9,MATCH(ROUNDUP((AB$1)/10,0)*10,[1]Hugst!$R$4:$W$4,0))))</f>
        <v>0</v>
      </c>
      <c r="AC285" s="168">
        <f>IF($C285-AC$1&lt;År1,0,AB284*(1-VLOOKUP($A285,[1]Hugst!$R$5:$W$9,MATCH(ROUNDUP((AC$1)/10,0)*10,[1]Hugst!$R$4:$W$4,0))))</f>
        <v>0</v>
      </c>
      <c r="AD285" s="168">
        <f>IF($C285-AD$1&lt;År1,0,AC284*(1-VLOOKUP($A285,[1]Hugst!$R$5:$W$9,MATCH(ROUNDUP((AD$1)/10,0)*10,[1]Hugst!$R$4:$W$4,0))))</f>
        <v>0</v>
      </c>
      <c r="AE285" s="168">
        <f>IF($C285-AE$1&lt;År1,0,AD284*(1-VLOOKUP($A285,[1]Hugst!$R$5:$W$9,MATCH(ROUNDUP((AE$1)/10,0)*10,[1]Hugst!$R$4:$W$4,0))))</f>
        <v>0</v>
      </c>
      <c r="AF285" s="168">
        <f>IF($C285-AF$1&lt;År1,0,AE284*(1-VLOOKUP($A285,[1]Hugst!$R$5:$W$9,MATCH(ROUNDUP((AF$1)/10,0)*10,[1]Hugst!$R$4:$W$4,0))))</f>
        <v>0</v>
      </c>
      <c r="AG285" s="168">
        <f>IF($C285-AG$1&lt;År1,0,AF284*(1-VLOOKUP($A285,[1]Hugst!$R$5:$W$9,MATCH(ROUNDUP((AG$1)/10,0)*10,[1]Hugst!$R$4:$W$4,0))))</f>
        <v>0</v>
      </c>
      <c r="AH285" s="168">
        <f>IF($C285-AH$1&lt;År1,0,AG284*(1-VLOOKUP($A285,[1]Hugst!$R$5:$W$9,MATCH(ROUNDUP((AH$1)/10,0)*10,[1]Hugst!$R$4:$W$4,0))))</f>
        <v>0</v>
      </c>
      <c r="AI285" s="168">
        <f>IF($C285-AI$1&lt;År1,0,AH284*(1-VLOOKUP($A285,[1]Hugst!$R$5:$W$9,MATCH(ROUNDUP((AI$1)/10,0)*10,[1]Hugst!$R$4:$W$4,0))))</f>
        <v>0</v>
      </c>
      <c r="AJ285" s="168">
        <f>IF($C285-AJ$1&lt;År1,0,AI284*(1-VLOOKUP($A285,[1]Hugst!$R$5:$W$9,MATCH(ROUNDUP((AJ$1)/10,0)*10,[1]Hugst!$R$4:$W$4,0))))</f>
        <v>0</v>
      </c>
    </row>
    <row r="286" spans="1:36" x14ac:dyDescent="0.25">
      <c r="A286" s="168" t="s">
        <v>180</v>
      </c>
      <c r="B286" s="168" t="s">
        <v>24</v>
      </c>
      <c r="C286" s="168">
        <v>2025</v>
      </c>
      <c r="D286" s="168" cm="1">
        <f t="array" ref="D286">(IF(B286="Vestdanmark",Skovbrug!$C$22-(Skovbrug!$C$22)*(1-Skovbrug!$C$9)^(C286-Skovbrug!$B$12),Skovbrug!$F$22-(Skovbrug!$F$22)*(1-Skovbrug!$C$9)^(C286-Skovbrug!$B$12))*VLOOKUP(A286,Skovbrug!$A$13:$D$17,IF('Skovbrug-alder'!C286&lt;=År2,3,4),FALSE)-IF(C286&gt;2020,SUM(INDEX($C$1:$D$311,MATCH(1,(2020=$C$1:$C$311)*(B286=$B$1:$B$311)*(A286=$A$1:$A$311),0),2):D285),0))</f>
        <v>0</v>
      </c>
      <c r="E286" s="168">
        <f t="shared" ca="1" si="7"/>
        <v>0</v>
      </c>
      <c r="F286" s="168">
        <f ca="1">IF(C286&lt;=År2,IF(B286="Vestdanmark",(Arealanvendelse!$M$27-Arealanvendelse!$J$27),(Arealanvendelse!$M$37-Arealanvendelse!$J$37))/(Arealanvendelse!$M$3-Arealanvendelse!$J$3),IF(B286="Vestdanmark",(Arealanvendelse!$P$27-Arealanvendelse!$M$27),(Arealanvendelse!$P$37-Arealanvendelse!$M$37))/(Arealanvendelse!$P$3-Arealanvendelse!$M$3))*VLOOKUP(A286,Skovbrug!$A$13:$D$17,IF('Skovbrug-alder'!C286&lt;=År2,3,4),FALSE)+D286+E286</f>
        <v>0</v>
      </c>
      <c r="G286" s="168">
        <f ca="1">IF($C286-G$1&lt;År1,0,F285*(1-VLOOKUP($A286,[1]Hugst!$R$5:$W$9,MATCH(ROUNDUP((G$1)/10,0)*10,[1]Hugst!$R$4:$W$4,0))))</f>
        <v>0</v>
      </c>
      <c r="H286" s="168">
        <f ca="1">IF($C286-H$1&lt;År1,0,G285*(1-VLOOKUP($A286,[1]Hugst!$R$5:$W$9,MATCH(ROUNDUP((H$1)/10,0)*10,[1]Hugst!$R$4:$W$4,0))))</f>
        <v>0</v>
      </c>
      <c r="I286" s="168">
        <f ca="1">IF($C286-I$1&lt;År1,0,H285*(1-VLOOKUP($A286,[1]Hugst!$R$5:$W$9,MATCH(ROUNDUP((I$1)/10,0)*10,[1]Hugst!$R$4:$W$4,0))))</f>
        <v>0</v>
      </c>
      <c r="J286" s="168">
        <f ca="1">IF($C286-J$1&lt;År1,0,I285*(1-VLOOKUP($A286,[1]Hugst!$R$5:$W$9,MATCH(ROUNDUP((J$1)/10,0)*10,[1]Hugst!$R$4:$W$4,0))))</f>
        <v>0</v>
      </c>
      <c r="K286" s="168">
        <f ca="1">IF($C286-K$1&lt;År1,0,J285*(1-VLOOKUP($A286,[1]Hugst!$R$5:$W$9,MATCH(ROUNDUP((K$1)/10,0)*10,[1]Hugst!$R$4:$W$4,0))))</f>
        <v>0</v>
      </c>
      <c r="L286" s="168">
        <f>IF($C286-L$1&lt;År1,0,K285*(1-VLOOKUP($A286,[1]Hugst!$R$5:$W$9,MATCH(ROUNDUP((L$1)/10,0)*10,[1]Hugst!$R$4:$W$4,0))))</f>
        <v>0</v>
      </c>
      <c r="M286" s="168">
        <f>IF($C286-M$1&lt;År1,0,L285*(1-VLOOKUP($A286,[1]Hugst!$R$5:$W$9,MATCH(ROUNDUP((M$1)/10,0)*10,[1]Hugst!$R$4:$W$4,0))))</f>
        <v>0</v>
      </c>
      <c r="N286" s="168">
        <f>IF($C286-N$1&lt;År1,0,M285*(1-VLOOKUP($A286,[1]Hugst!$R$5:$W$9,MATCH(ROUNDUP((N$1)/10,0)*10,[1]Hugst!$R$4:$W$4,0))))</f>
        <v>0</v>
      </c>
      <c r="O286" s="168">
        <f>IF($C286-O$1&lt;År1,0,N285*(1-VLOOKUP($A286,[1]Hugst!$R$5:$W$9,MATCH(ROUNDUP((O$1)/10,0)*10,[1]Hugst!$R$4:$W$4,0))))</f>
        <v>0</v>
      </c>
      <c r="P286" s="168">
        <f>IF($C286-P$1&lt;År1,0,O285*(1-VLOOKUP($A286,[1]Hugst!$R$5:$W$9,MATCH(ROUNDUP((P$1)/10,0)*10,[1]Hugst!$R$4:$W$4,0))))</f>
        <v>0</v>
      </c>
      <c r="Q286" s="168">
        <f>IF($C286-Q$1&lt;År1,0,P285*(1-VLOOKUP($A286,[1]Hugst!$R$5:$W$9,MATCH(ROUNDUP((Q$1)/10,0)*10,[1]Hugst!$R$4:$W$4,0))))</f>
        <v>0</v>
      </c>
      <c r="R286" s="168">
        <f>IF($C286-R$1&lt;År1,0,Q285*(1-VLOOKUP($A286,[1]Hugst!$R$5:$W$9,MATCH(ROUNDUP((R$1)/10,0)*10,[1]Hugst!$R$4:$W$4,0))))</f>
        <v>0</v>
      </c>
      <c r="S286" s="168">
        <f>IF($C286-S$1&lt;År1,0,R285*(1-VLOOKUP($A286,[1]Hugst!$R$5:$W$9,MATCH(ROUNDUP((S$1)/10,0)*10,[1]Hugst!$R$4:$W$4,0))))</f>
        <v>0</v>
      </c>
      <c r="T286" s="168">
        <f>IF($C286-T$1&lt;År1,0,S285*(1-VLOOKUP($A286,[1]Hugst!$R$5:$W$9,MATCH(ROUNDUP((T$1)/10,0)*10,[1]Hugst!$R$4:$W$4,0))))</f>
        <v>0</v>
      </c>
      <c r="U286" s="168">
        <f>IF($C286-U$1&lt;År1,0,T285*(1-VLOOKUP($A286,[1]Hugst!$R$5:$W$9,MATCH(ROUNDUP((U$1)/10,0)*10,[1]Hugst!$R$4:$W$4,0))))</f>
        <v>0</v>
      </c>
      <c r="V286" s="168">
        <f>IF($C286-V$1&lt;År1,0,U285*(1-VLOOKUP($A286,[1]Hugst!$R$5:$W$9,MATCH(ROUNDUP((V$1)/10,0)*10,[1]Hugst!$R$4:$W$4,0))))</f>
        <v>0</v>
      </c>
      <c r="W286" s="168">
        <f>IF($C286-W$1&lt;År1,0,V285*(1-VLOOKUP($A286,[1]Hugst!$R$5:$W$9,MATCH(ROUNDUP((W$1)/10,0)*10,[1]Hugst!$R$4:$W$4,0))))</f>
        <v>0</v>
      </c>
      <c r="X286" s="168">
        <f>IF($C286-X$1&lt;År1,0,W285*(1-VLOOKUP($A286,[1]Hugst!$R$5:$W$9,MATCH(ROUNDUP((X$1)/10,0)*10,[1]Hugst!$R$4:$W$4,0))))</f>
        <v>0</v>
      </c>
      <c r="Y286" s="168">
        <f>IF($C286-Y$1&lt;År1,0,X285*(1-VLOOKUP($A286,[1]Hugst!$R$5:$W$9,MATCH(ROUNDUP((Y$1)/10,0)*10,[1]Hugst!$R$4:$W$4,0))))</f>
        <v>0</v>
      </c>
      <c r="Z286" s="168">
        <f>IF($C286-Z$1&lt;År1,0,Y285*(1-VLOOKUP($A286,[1]Hugst!$R$5:$W$9,MATCH(ROUNDUP((Z$1)/10,0)*10,[1]Hugst!$R$4:$W$4,0))))</f>
        <v>0</v>
      </c>
      <c r="AA286" s="168">
        <f>IF($C286-AA$1&lt;År1,0,Z285*(1-VLOOKUP($A286,[1]Hugst!$R$5:$W$9,MATCH(ROUNDUP((AA$1)/10,0)*10,[1]Hugst!$R$4:$W$4,0))))</f>
        <v>0</v>
      </c>
      <c r="AB286" s="168">
        <f>IF($C286-AB$1&lt;År1,0,AA285*(1-VLOOKUP($A286,[1]Hugst!$R$5:$W$9,MATCH(ROUNDUP((AB$1)/10,0)*10,[1]Hugst!$R$4:$W$4,0))))</f>
        <v>0</v>
      </c>
      <c r="AC286" s="168">
        <f>IF($C286-AC$1&lt;År1,0,AB285*(1-VLOOKUP($A286,[1]Hugst!$R$5:$W$9,MATCH(ROUNDUP((AC$1)/10,0)*10,[1]Hugst!$R$4:$W$4,0))))</f>
        <v>0</v>
      </c>
      <c r="AD286" s="168">
        <f>IF($C286-AD$1&lt;År1,0,AC285*(1-VLOOKUP($A286,[1]Hugst!$R$5:$W$9,MATCH(ROUNDUP((AD$1)/10,0)*10,[1]Hugst!$R$4:$W$4,0))))</f>
        <v>0</v>
      </c>
      <c r="AE286" s="168">
        <f>IF($C286-AE$1&lt;År1,0,AD285*(1-VLOOKUP($A286,[1]Hugst!$R$5:$W$9,MATCH(ROUNDUP((AE$1)/10,0)*10,[1]Hugst!$R$4:$W$4,0))))</f>
        <v>0</v>
      </c>
      <c r="AF286" s="168">
        <f>IF($C286-AF$1&lt;År1,0,AE285*(1-VLOOKUP($A286,[1]Hugst!$R$5:$W$9,MATCH(ROUNDUP((AF$1)/10,0)*10,[1]Hugst!$R$4:$W$4,0))))</f>
        <v>0</v>
      </c>
      <c r="AG286" s="168">
        <f>IF($C286-AG$1&lt;År1,0,AF285*(1-VLOOKUP($A286,[1]Hugst!$R$5:$W$9,MATCH(ROUNDUP((AG$1)/10,0)*10,[1]Hugst!$R$4:$W$4,0))))</f>
        <v>0</v>
      </c>
      <c r="AH286" s="168">
        <f>IF($C286-AH$1&lt;År1,0,AG285*(1-VLOOKUP($A286,[1]Hugst!$R$5:$W$9,MATCH(ROUNDUP((AH$1)/10,0)*10,[1]Hugst!$R$4:$W$4,0))))</f>
        <v>0</v>
      </c>
      <c r="AI286" s="168">
        <f>IF($C286-AI$1&lt;År1,0,AH285*(1-VLOOKUP($A286,[1]Hugst!$R$5:$W$9,MATCH(ROUNDUP((AI$1)/10,0)*10,[1]Hugst!$R$4:$W$4,0))))</f>
        <v>0</v>
      </c>
      <c r="AJ286" s="168">
        <f>IF($C286-AJ$1&lt;År1,0,AI285*(1-VLOOKUP($A286,[1]Hugst!$R$5:$W$9,MATCH(ROUNDUP((AJ$1)/10,0)*10,[1]Hugst!$R$4:$W$4,0))))</f>
        <v>0</v>
      </c>
    </row>
    <row r="287" spans="1:36" x14ac:dyDescent="0.25">
      <c r="A287" s="168" t="s">
        <v>180</v>
      </c>
      <c r="B287" s="168" t="s">
        <v>24</v>
      </c>
      <c r="C287" s="168">
        <v>2026</v>
      </c>
      <c r="D287" s="168" cm="1">
        <f t="array" ref="D287">(IF(B287="Vestdanmark",Skovbrug!$C$22-(Skovbrug!$C$22)*(1-Skovbrug!$C$9)^(C287-Skovbrug!$B$12),Skovbrug!$F$22-(Skovbrug!$F$22)*(1-Skovbrug!$C$9)^(C287-Skovbrug!$B$12))*VLOOKUP(A287,Skovbrug!$A$13:$D$17,IF('Skovbrug-alder'!C287&lt;=År2,3,4),FALSE)-IF(C287&gt;2020,SUM(INDEX($C$1:$D$311,MATCH(1,(2020=$C$1:$C$311)*(B287=$B$1:$B$311)*(A287=$A$1:$A$311),0),2):D286),0))</f>
        <v>0</v>
      </c>
      <c r="E287" s="168">
        <f t="shared" ca="1" si="7"/>
        <v>0</v>
      </c>
      <c r="F287" s="168">
        <f ca="1">IF(C287&lt;=År2,IF(B287="Vestdanmark",(Arealanvendelse!$M$27-Arealanvendelse!$J$27),(Arealanvendelse!$M$37-Arealanvendelse!$J$37))/(Arealanvendelse!$M$3-Arealanvendelse!$J$3),IF(B287="Vestdanmark",(Arealanvendelse!$P$27-Arealanvendelse!$M$27),(Arealanvendelse!$P$37-Arealanvendelse!$M$37))/(Arealanvendelse!$P$3-Arealanvendelse!$M$3))*VLOOKUP(A287,Skovbrug!$A$13:$D$17,IF('Skovbrug-alder'!C287&lt;=År2,3,4),FALSE)+D287+E287</f>
        <v>0</v>
      </c>
      <c r="G287" s="168">
        <f ca="1">IF($C287-G$1&lt;År1,0,F286*(1-VLOOKUP($A287,[1]Hugst!$R$5:$W$9,MATCH(ROUNDUP((G$1)/10,0)*10,[1]Hugst!$R$4:$W$4,0))))</f>
        <v>0</v>
      </c>
      <c r="H287" s="168">
        <f ca="1">IF($C287-H$1&lt;År1,0,G286*(1-VLOOKUP($A287,[1]Hugst!$R$5:$W$9,MATCH(ROUNDUP((H$1)/10,0)*10,[1]Hugst!$R$4:$W$4,0))))</f>
        <v>0</v>
      </c>
      <c r="I287" s="168">
        <f ca="1">IF($C287-I$1&lt;År1,0,H286*(1-VLOOKUP($A287,[1]Hugst!$R$5:$W$9,MATCH(ROUNDUP((I$1)/10,0)*10,[1]Hugst!$R$4:$W$4,0))))</f>
        <v>0</v>
      </c>
      <c r="J287" s="168">
        <f ca="1">IF($C287-J$1&lt;År1,0,I286*(1-VLOOKUP($A287,[1]Hugst!$R$5:$W$9,MATCH(ROUNDUP((J$1)/10,0)*10,[1]Hugst!$R$4:$W$4,0))))</f>
        <v>0</v>
      </c>
      <c r="K287" s="168">
        <f ca="1">IF($C287-K$1&lt;År1,0,J286*(1-VLOOKUP($A287,[1]Hugst!$R$5:$W$9,MATCH(ROUNDUP((K$1)/10,0)*10,[1]Hugst!$R$4:$W$4,0))))</f>
        <v>0</v>
      </c>
      <c r="L287" s="168">
        <f ca="1">IF($C287-L$1&lt;År1,0,K286*(1-VLOOKUP($A287,[1]Hugst!$R$5:$W$9,MATCH(ROUNDUP((L$1)/10,0)*10,[1]Hugst!$R$4:$W$4,0))))</f>
        <v>0</v>
      </c>
      <c r="M287" s="168">
        <f>IF($C287-M$1&lt;År1,0,L286*(1-VLOOKUP($A287,[1]Hugst!$R$5:$W$9,MATCH(ROUNDUP((M$1)/10,0)*10,[1]Hugst!$R$4:$W$4,0))))</f>
        <v>0</v>
      </c>
      <c r="N287" s="168">
        <f>IF($C287-N$1&lt;År1,0,M286*(1-VLOOKUP($A287,[1]Hugst!$R$5:$W$9,MATCH(ROUNDUP((N$1)/10,0)*10,[1]Hugst!$R$4:$W$4,0))))</f>
        <v>0</v>
      </c>
      <c r="O287" s="168">
        <f>IF($C287-O$1&lt;År1,0,N286*(1-VLOOKUP($A287,[1]Hugst!$R$5:$W$9,MATCH(ROUNDUP((O$1)/10,0)*10,[1]Hugst!$R$4:$W$4,0))))</f>
        <v>0</v>
      </c>
      <c r="P287" s="168">
        <f>IF($C287-P$1&lt;År1,0,O286*(1-VLOOKUP($A287,[1]Hugst!$R$5:$W$9,MATCH(ROUNDUP((P$1)/10,0)*10,[1]Hugst!$R$4:$W$4,0))))</f>
        <v>0</v>
      </c>
      <c r="Q287" s="168">
        <f>IF($C287-Q$1&lt;År1,0,P286*(1-VLOOKUP($A287,[1]Hugst!$R$5:$W$9,MATCH(ROUNDUP((Q$1)/10,0)*10,[1]Hugst!$R$4:$W$4,0))))</f>
        <v>0</v>
      </c>
      <c r="R287" s="168">
        <f>IF($C287-R$1&lt;År1,0,Q286*(1-VLOOKUP($A287,[1]Hugst!$R$5:$W$9,MATCH(ROUNDUP((R$1)/10,0)*10,[1]Hugst!$R$4:$W$4,0))))</f>
        <v>0</v>
      </c>
      <c r="S287" s="168">
        <f>IF($C287-S$1&lt;År1,0,R286*(1-VLOOKUP($A287,[1]Hugst!$R$5:$W$9,MATCH(ROUNDUP((S$1)/10,0)*10,[1]Hugst!$R$4:$W$4,0))))</f>
        <v>0</v>
      </c>
      <c r="T287" s="168">
        <f>IF($C287-T$1&lt;År1,0,S286*(1-VLOOKUP($A287,[1]Hugst!$R$5:$W$9,MATCH(ROUNDUP((T$1)/10,0)*10,[1]Hugst!$R$4:$W$4,0))))</f>
        <v>0</v>
      </c>
      <c r="U287" s="168">
        <f>IF($C287-U$1&lt;År1,0,T286*(1-VLOOKUP($A287,[1]Hugst!$R$5:$W$9,MATCH(ROUNDUP((U$1)/10,0)*10,[1]Hugst!$R$4:$W$4,0))))</f>
        <v>0</v>
      </c>
      <c r="V287" s="168">
        <f>IF($C287-V$1&lt;År1,0,U286*(1-VLOOKUP($A287,[1]Hugst!$R$5:$W$9,MATCH(ROUNDUP((V$1)/10,0)*10,[1]Hugst!$R$4:$W$4,0))))</f>
        <v>0</v>
      </c>
      <c r="W287" s="168">
        <f>IF($C287-W$1&lt;År1,0,V286*(1-VLOOKUP($A287,[1]Hugst!$R$5:$W$9,MATCH(ROUNDUP((W$1)/10,0)*10,[1]Hugst!$R$4:$W$4,0))))</f>
        <v>0</v>
      </c>
      <c r="X287" s="168">
        <f>IF($C287-X$1&lt;År1,0,W286*(1-VLOOKUP($A287,[1]Hugst!$R$5:$W$9,MATCH(ROUNDUP((X$1)/10,0)*10,[1]Hugst!$R$4:$W$4,0))))</f>
        <v>0</v>
      </c>
      <c r="Y287" s="168">
        <f>IF($C287-Y$1&lt;År1,0,X286*(1-VLOOKUP($A287,[1]Hugst!$R$5:$W$9,MATCH(ROUNDUP((Y$1)/10,0)*10,[1]Hugst!$R$4:$W$4,0))))</f>
        <v>0</v>
      </c>
      <c r="Z287" s="168">
        <f>IF($C287-Z$1&lt;År1,0,Y286*(1-VLOOKUP($A287,[1]Hugst!$R$5:$W$9,MATCH(ROUNDUP((Z$1)/10,0)*10,[1]Hugst!$R$4:$W$4,0))))</f>
        <v>0</v>
      </c>
      <c r="AA287" s="168">
        <f>IF($C287-AA$1&lt;År1,0,Z286*(1-VLOOKUP($A287,[1]Hugst!$R$5:$W$9,MATCH(ROUNDUP((AA$1)/10,0)*10,[1]Hugst!$R$4:$W$4,0))))</f>
        <v>0</v>
      </c>
      <c r="AB287" s="168">
        <f>IF($C287-AB$1&lt;År1,0,AA286*(1-VLOOKUP($A287,[1]Hugst!$R$5:$W$9,MATCH(ROUNDUP((AB$1)/10,0)*10,[1]Hugst!$R$4:$W$4,0))))</f>
        <v>0</v>
      </c>
      <c r="AC287" s="168">
        <f>IF($C287-AC$1&lt;År1,0,AB286*(1-VLOOKUP($A287,[1]Hugst!$R$5:$W$9,MATCH(ROUNDUP((AC$1)/10,0)*10,[1]Hugst!$R$4:$W$4,0))))</f>
        <v>0</v>
      </c>
      <c r="AD287" s="168">
        <f>IF($C287-AD$1&lt;År1,0,AC286*(1-VLOOKUP($A287,[1]Hugst!$R$5:$W$9,MATCH(ROUNDUP((AD$1)/10,0)*10,[1]Hugst!$R$4:$W$4,0))))</f>
        <v>0</v>
      </c>
      <c r="AE287" s="168">
        <f>IF($C287-AE$1&lt;År1,0,AD286*(1-VLOOKUP($A287,[1]Hugst!$R$5:$W$9,MATCH(ROUNDUP((AE$1)/10,0)*10,[1]Hugst!$R$4:$W$4,0))))</f>
        <v>0</v>
      </c>
      <c r="AF287" s="168">
        <f>IF($C287-AF$1&lt;År1,0,AE286*(1-VLOOKUP($A287,[1]Hugst!$R$5:$W$9,MATCH(ROUNDUP((AF$1)/10,0)*10,[1]Hugst!$R$4:$W$4,0))))</f>
        <v>0</v>
      </c>
      <c r="AG287" s="168">
        <f>IF($C287-AG$1&lt;År1,0,AF286*(1-VLOOKUP($A287,[1]Hugst!$R$5:$W$9,MATCH(ROUNDUP((AG$1)/10,0)*10,[1]Hugst!$R$4:$W$4,0))))</f>
        <v>0</v>
      </c>
      <c r="AH287" s="168">
        <f>IF($C287-AH$1&lt;År1,0,AG286*(1-VLOOKUP($A287,[1]Hugst!$R$5:$W$9,MATCH(ROUNDUP((AH$1)/10,0)*10,[1]Hugst!$R$4:$W$4,0))))</f>
        <v>0</v>
      </c>
      <c r="AI287" s="168">
        <f>IF($C287-AI$1&lt;År1,0,AH286*(1-VLOOKUP($A287,[1]Hugst!$R$5:$W$9,MATCH(ROUNDUP((AI$1)/10,0)*10,[1]Hugst!$R$4:$W$4,0))))</f>
        <v>0</v>
      </c>
      <c r="AJ287" s="168">
        <f>IF($C287-AJ$1&lt;År1,0,AI286*(1-VLOOKUP($A287,[1]Hugst!$R$5:$W$9,MATCH(ROUNDUP((AJ$1)/10,0)*10,[1]Hugst!$R$4:$W$4,0))))</f>
        <v>0</v>
      </c>
    </row>
    <row r="288" spans="1:36" x14ac:dyDescent="0.25">
      <c r="A288" s="168" t="s">
        <v>180</v>
      </c>
      <c r="B288" s="168" t="s">
        <v>24</v>
      </c>
      <c r="C288" s="168">
        <v>2027</v>
      </c>
      <c r="D288" s="168" cm="1">
        <f t="array" ref="D288">(IF(B288="Vestdanmark",Skovbrug!$C$22-(Skovbrug!$C$22)*(1-Skovbrug!$C$9)^(C288-Skovbrug!$B$12),Skovbrug!$F$22-(Skovbrug!$F$22)*(1-Skovbrug!$C$9)^(C288-Skovbrug!$B$12))*VLOOKUP(A288,Skovbrug!$A$13:$D$17,IF('Skovbrug-alder'!C288&lt;=År2,3,4),FALSE)-IF(C288&gt;2020,SUM(INDEX($C$1:$D$311,MATCH(1,(2020=$C$1:$C$311)*(B288=$B$1:$B$311)*(A288=$A$1:$A$311),0),2):D287),0))</f>
        <v>0</v>
      </c>
      <c r="E288" s="168">
        <f t="shared" ca="1" si="7"/>
        <v>0</v>
      </c>
      <c r="F288" s="168">
        <f ca="1">IF(C288&lt;=År2,IF(B288="Vestdanmark",(Arealanvendelse!$M$27-Arealanvendelse!$J$27),(Arealanvendelse!$M$37-Arealanvendelse!$J$37))/(Arealanvendelse!$M$3-Arealanvendelse!$J$3),IF(B288="Vestdanmark",(Arealanvendelse!$P$27-Arealanvendelse!$M$27),(Arealanvendelse!$P$37-Arealanvendelse!$M$37))/(Arealanvendelse!$P$3-Arealanvendelse!$M$3))*VLOOKUP(A288,Skovbrug!$A$13:$D$17,IF('Skovbrug-alder'!C288&lt;=År2,3,4),FALSE)+D288+E288</f>
        <v>0</v>
      </c>
      <c r="G288" s="168">
        <f ca="1">IF($C288-G$1&lt;År1,0,F287*(1-VLOOKUP($A288,[1]Hugst!$R$5:$W$9,MATCH(ROUNDUP((G$1)/10,0)*10,[1]Hugst!$R$4:$W$4,0))))</f>
        <v>0</v>
      </c>
      <c r="H288" s="168">
        <f ca="1">IF($C288-H$1&lt;År1,0,G287*(1-VLOOKUP($A288,[1]Hugst!$R$5:$W$9,MATCH(ROUNDUP((H$1)/10,0)*10,[1]Hugst!$R$4:$W$4,0))))</f>
        <v>0</v>
      </c>
      <c r="I288" s="168">
        <f ca="1">IF($C288-I$1&lt;År1,0,H287*(1-VLOOKUP($A288,[1]Hugst!$R$5:$W$9,MATCH(ROUNDUP((I$1)/10,0)*10,[1]Hugst!$R$4:$W$4,0))))</f>
        <v>0</v>
      </c>
      <c r="J288" s="168">
        <f ca="1">IF($C288-J$1&lt;År1,0,I287*(1-VLOOKUP($A288,[1]Hugst!$R$5:$W$9,MATCH(ROUNDUP((J$1)/10,0)*10,[1]Hugst!$R$4:$W$4,0))))</f>
        <v>0</v>
      </c>
      <c r="K288" s="168">
        <f ca="1">IF($C288-K$1&lt;År1,0,J287*(1-VLOOKUP($A288,[1]Hugst!$R$5:$W$9,MATCH(ROUNDUP((K$1)/10,0)*10,[1]Hugst!$R$4:$W$4,0))))</f>
        <v>0</v>
      </c>
      <c r="L288" s="168">
        <f ca="1">IF($C288-L$1&lt;År1,0,K287*(1-VLOOKUP($A288,[1]Hugst!$R$5:$W$9,MATCH(ROUNDUP((L$1)/10,0)*10,[1]Hugst!$R$4:$W$4,0))))</f>
        <v>0</v>
      </c>
      <c r="M288" s="168">
        <f ca="1">IF($C288-M$1&lt;År1,0,L287*(1-VLOOKUP($A288,[1]Hugst!$R$5:$W$9,MATCH(ROUNDUP((M$1)/10,0)*10,[1]Hugst!$R$4:$W$4,0))))</f>
        <v>0</v>
      </c>
      <c r="N288" s="168">
        <f>IF($C288-N$1&lt;År1,0,M287*(1-VLOOKUP($A288,[1]Hugst!$R$5:$W$9,MATCH(ROUNDUP((N$1)/10,0)*10,[1]Hugst!$R$4:$W$4,0))))</f>
        <v>0</v>
      </c>
      <c r="O288" s="168">
        <f>IF($C288-O$1&lt;År1,0,N287*(1-VLOOKUP($A288,[1]Hugst!$R$5:$W$9,MATCH(ROUNDUP((O$1)/10,0)*10,[1]Hugst!$R$4:$W$4,0))))</f>
        <v>0</v>
      </c>
      <c r="P288" s="168">
        <f>IF($C288-P$1&lt;År1,0,O287*(1-VLOOKUP($A288,[1]Hugst!$R$5:$W$9,MATCH(ROUNDUP((P$1)/10,0)*10,[1]Hugst!$R$4:$W$4,0))))</f>
        <v>0</v>
      </c>
      <c r="Q288" s="168">
        <f>IF($C288-Q$1&lt;År1,0,P287*(1-VLOOKUP($A288,[1]Hugst!$R$5:$W$9,MATCH(ROUNDUP((Q$1)/10,0)*10,[1]Hugst!$R$4:$W$4,0))))</f>
        <v>0</v>
      </c>
      <c r="R288" s="168">
        <f>IF($C288-R$1&lt;År1,0,Q287*(1-VLOOKUP($A288,[1]Hugst!$R$5:$W$9,MATCH(ROUNDUP((R$1)/10,0)*10,[1]Hugst!$R$4:$W$4,0))))</f>
        <v>0</v>
      </c>
      <c r="S288" s="168">
        <f>IF($C288-S$1&lt;År1,0,R287*(1-VLOOKUP($A288,[1]Hugst!$R$5:$W$9,MATCH(ROUNDUP((S$1)/10,0)*10,[1]Hugst!$R$4:$W$4,0))))</f>
        <v>0</v>
      </c>
      <c r="T288" s="168">
        <f>IF($C288-T$1&lt;År1,0,S287*(1-VLOOKUP($A288,[1]Hugst!$R$5:$W$9,MATCH(ROUNDUP((T$1)/10,0)*10,[1]Hugst!$R$4:$W$4,0))))</f>
        <v>0</v>
      </c>
      <c r="U288" s="168">
        <f>IF($C288-U$1&lt;År1,0,T287*(1-VLOOKUP($A288,[1]Hugst!$R$5:$W$9,MATCH(ROUNDUP((U$1)/10,0)*10,[1]Hugst!$R$4:$W$4,0))))</f>
        <v>0</v>
      </c>
      <c r="V288" s="168">
        <f>IF($C288-V$1&lt;År1,0,U287*(1-VLOOKUP($A288,[1]Hugst!$R$5:$W$9,MATCH(ROUNDUP((V$1)/10,0)*10,[1]Hugst!$R$4:$W$4,0))))</f>
        <v>0</v>
      </c>
      <c r="W288" s="168">
        <f>IF($C288-W$1&lt;År1,0,V287*(1-VLOOKUP($A288,[1]Hugst!$R$5:$W$9,MATCH(ROUNDUP((W$1)/10,0)*10,[1]Hugst!$R$4:$W$4,0))))</f>
        <v>0</v>
      </c>
      <c r="X288" s="168">
        <f>IF($C288-X$1&lt;År1,0,W287*(1-VLOOKUP($A288,[1]Hugst!$R$5:$W$9,MATCH(ROUNDUP((X$1)/10,0)*10,[1]Hugst!$R$4:$W$4,0))))</f>
        <v>0</v>
      </c>
      <c r="Y288" s="168">
        <f>IF($C288-Y$1&lt;År1,0,X287*(1-VLOOKUP($A288,[1]Hugst!$R$5:$W$9,MATCH(ROUNDUP((Y$1)/10,0)*10,[1]Hugst!$R$4:$W$4,0))))</f>
        <v>0</v>
      </c>
      <c r="Z288" s="168">
        <f>IF($C288-Z$1&lt;År1,0,Y287*(1-VLOOKUP($A288,[1]Hugst!$R$5:$W$9,MATCH(ROUNDUP((Z$1)/10,0)*10,[1]Hugst!$R$4:$W$4,0))))</f>
        <v>0</v>
      </c>
      <c r="AA288" s="168">
        <f>IF($C288-AA$1&lt;År1,0,Z287*(1-VLOOKUP($A288,[1]Hugst!$R$5:$W$9,MATCH(ROUNDUP((AA$1)/10,0)*10,[1]Hugst!$R$4:$W$4,0))))</f>
        <v>0</v>
      </c>
      <c r="AB288" s="168">
        <f>IF($C288-AB$1&lt;År1,0,AA287*(1-VLOOKUP($A288,[1]Hugst!$R$5:$W$9,MATCH(ROUNDUP((AB$1)/10,0)*10,[1]Hugst!$R$4:$W$4,0))))</f>
        <v>0</v>
      </c>
      <c r="AC288" s="168">
        <f>IF($C288-AC$1&lt;År1,0,AB287*(1-VLOOKUP($A288,[1]Hugst!$R$5:$W$9,MATCH(ROUNDUP((AC$1)/10,0)*10,[1]Hugst!$R$4:$W$4,0))))</f>
        <v>0</v>
      </c>
      <c r="AD288" s="168">
        <f>IF($C288-AD$1&lt;År1,0,AC287*(1-VLOOKUP($A288,[1]Hugst!$R$5:$W$9,MATCH(ROUNDUP((AD$1)/10,0)*10,[1]Hugst!$R$4:$W$4,0))))</f>
        <v>0</v>
      </c>
      <c r="AE288" s="168">
        <f>IF($C288-AE$1&lt;År1,0,AD287*(1-VLOOKUP($A288,[1]Hugst!$R$5:$W$9,MATCH(ROUNDUP((AE$1)/10,0)*10,[1]Hugst!$R$4:$W$4,0))))</f>
        <v>0</v>
      </c>
      <c r="AF288" s="168">
        <f>IF($C288-AF$1&lt;År1,0,AE287*(1-VLOOKUP($A288,[1]Hugst!$R$5:$W$9,MATCH(ROUNDUP((AF$1)/10,0)*10,[1]Hugst!$R$4:$W$4,0))))</f>
        <v>0</v>
      </c>
      <c r="AG288" s="168">
        <f>IF($C288-AG$1&lt;År1,0,AF287*(1-VLOOKUP($A288,[1]Hugst!$R$5:$W$9,MATCH(ROUNDUP((AG$1)/10,0)*10,[1]Hugst!$R$4:$W$4,0))))</f>
        <v>0</v>
      </c>
      <c r="AH288" s="168">
        <f>IF($C288-AH$1&lt;År1,0,AG287*(1-VLOOKUP($A288,[1]Hugst!$R$5:$W$9,MATCH(ROUNDUP((AH$1)/10,0)*10,[1]Hugst!$R$4:$W$4,0))))</f>
        <v>0</v>
      </c>
      <c r="AI288" s="168">
        <f>IF($C288-AI$1&lt;År1,0,AH287*(1-VLOOKUP($A288,[1]Hugst!$R$5:$W$9,MATCH(ROUNDUP((AI$1)/10,0)*10,[1]Hugst!$R$4:$W$4,0))))</f>
        <v>0</v>
      </c>
      <c r="AJ288" s="168">
        <f>IF($C288-AJ$1&lt;År1,0,AI287*(1-VLOOKUP($A288,[1]Hugst!$R$5:$W$9,MATCH(ROUNDUP((AJ$1)/10,0)*10,[1]Hugst!$R$4:$W$4,0))))</f>
        <v>0</v>
      </c>
    </row>
    <row r="289" spans="1:36" x14ac:dyDescent="0.25">
      <c r="A289" s="168" t="s">
        <v>180</v>
      </c>
      <c r="B289" s="168" t="s">
        <v>24</v>
      </c>
      <c r="C289" s="168">
        <v>2028</v>
      </c>
      <c r="D289" s="168" cm="1">
        <f t="array" ref="D289">(IF(B289="Vestdanmark",Skovbrug!$C$22-(Skovbrug!$C$22)*(1-Skovbrug!$C$9)^(C289-Skovbrug!$B$12),Skovbrug!$F$22-(Skovbrug!$F$22)*(1-Skovbrug!$C$9)^(C289-Skovbrug!$B$12))*VLOOKUP(A289,Skovbrug!$A$13:$D$17,IF('Skovbrug-alder'!C289&lt;=År2,3,4),FALSE)-IF(C289&gt;2020,SUM(INDEX($C$1:$D$311,MATCH(1,(2020=$C$1:$C$311)*(B289=$B$1:$B$311)*(A289=$A$1:$A$311),0),2):D288),0))</f>
        <v>0</v>
      </c>
      <c r="E289" s="168">
        <f t="shared" ca="1" si="7"/>
        <v>0</v>
      </c>
      <c r="F289" s="168">
        <f ca="1">IF(C289&lt;=År2,IF(B289="Vestdanmark",(Arealanvendelse!$M$27-Arealanvendelse!$J$27),(Arealanvendelse!$M$37-Arealanvendelse!$J$37))/(Arealanvendelse!$M$3-Arealanvendelse!$J$3),IF(B289="Vestdanmark",(Arealanvendelse!$P$27-Arealanvendelse!$M$27),(Arealanvendelse!$P$37-Arealanvendelse!$M$37))/(Arealanvendelse!$P$3-Arealanvendelse!$M$3))*VLOOKUP(A289,Skovbrug!$A$13:$D$17,IF('Skovbrug-alder'!C289&lt;=År2,3,4),FALSE)+D289+E289</f>
        <v>0</v>
      </c>
      <c r="G289" s="168">
        <f ca="1">IF($C289-G$1&lt;År1,0,F288*(1-VLOOKUP($A289,[1]Hugst!$R$5:$W$9,MATCH(ROUNDUP((G$1)/10,0)*10,[1]Hugst!$R$4:$W$4,0))))</f>
        <v>0</v>
      </c>
      <c r="H289" s="168">
        <f ca="1">IF($C289-H$1&lt;År1,0,G288*(1-VLOOKUP($A289,[1]Hugst!$R$5:$W$9,MATCH(ROUNDUP((H$1)/10,0)*10,[1]Hugst!$R$4:$W$4,0))))</f>
        <v>0</v>
      </c>
      <c r="I289" s="168">
        <f ca="1">IF($C289-I$1&lt;År1,0,H288*(1-VLOOKUP($A289,[1]Hugst!$R$5:$W$9,MATCH(ROUNDUP((I$1)/10,0)*10,[1]Hugst!$R$4:$W$4,0))))</f>
        <v>0</v>
      </c>
      <c r="J289" s="168">
        <f ca="1">IF($C289-J$1&lt;År1,0,I288*(1-VLOOKUP($A289,[1]Hugst!$R$5:$W$9,MATCH(ROUNDUP((J$1)/10,0)*10,[1]Hugst!$R$4:$W$4,0))))</f>
        <v>0</v>
      </c>
      <c r="K289" s="168">
        <f ca="1">IF($C289-K$1&lt;År1,0,J288*(1-VLOOKUP($A289,[1]Hugst!$R$5:$W$9,MATCH(ROUNDUP((K$1)/10,0)*10,[1]Hugst!$R$4:$W$4,0))))</f>
        <v>0</v>
      </c>
      <c r="L289" s="168">
        <f ca="1">IF($C289-L$1&lt;År1,0,K288*(1-VLOOKUP($A289,[1]Hugst!$R$5:$W$9,MATCH(ROUNDUP((L$1)/10,0)*10,[1]Hugst!$R$4:$W$4,0))))</f>
        <v>0</v>
      </c>
      <c r="M289" s="168">
        <f ca="1">IF($C289-M$1&lt;År1,0,L288*(1-VLOOKUP($A289,[1]Hugst!$R$5:$W$9,MATCH(ROUNDUP((M$1)/10,0)*10,[1]Hugst!$R$4:$W$4,0))))</f>
        <v>0</v>
      </c>
      <c r="N289" s="168">
        <f ca="1">IF($C289-N$1&lt;År1,0,M288*(1-VLOOKUP($A289,[1]Hugst!$R$5:$W$9,MATCH(ROUNDUP((N$1)/10,0)*10,[1]Hugst!$R$4:$W$4,0))))</f>
        <v>0</v>
      </c>
      <c r="O289" s="168">
        <f>IF($C289-O$1&lt;År1,0,N288*(1-VLOOKUP($A289,[1]Hugst!$R$5:$W$9,MATCH(ROUNDUP((O$1)/10,0)*10,[1]Hugst!$R$4:$W$4,0))))</f>
        <v>0</v>
      </c>
      <c r="P289" s="168">
        <f>IF($C289-P$1&lt;År1,0,O288*(1-VLOOKUP($A289,[1]Hugst!$R$5:$W$9,MATCH(ROUNDUP((P$1)/10,0)*10,[1]Hugst!$R$4:$W$4,0))))</f>
        <v>0</v>
      </c>
      <c r="Q289" s="168">
        <f>IF($C289-Q$1&lt;År1,0,P288*(1-VLOOKUP($A289,[1]Hugst!$R$5:$W$9,MATCH(ROUNDUP((Q$1)/10,0)*10,[1]Hugst!$R$4:$W$4,0))))</f>
        <v>0</v>
      </c>
      <c r="R289" s="168">
        <f>IF($C289-R$1&lt;År1,0,Q288*(1-VLOOKUP($A289,[1]Hugst!$R$5:$W$9,MATCH(ROUNDUP((R$1)/10,0)*10,[1]Hugst!$R$4:$W$4,0))))</f>
        <v>0</v>
      </c>
      <c r="S289" s="168">
        <f>IF($C289-S$1&lt;År1,0,R288*(1-VLOOKUP($A289,[1]Hugst!$R$5:$W$9,MATCH(ROUNDUP((S$1)/10,0)*10,[1]Hugst!$R$4:$W$4,0))))</f>
        <v>0</v>
      </c>
      <c r="T289" s="168">
        <f>IF($C289-T$1&lt;År1,0,S288*(1-VLOOKUP($A289,[1]Hugst!$R$5:$W$9,MATCH(ROUNDUP((T$1)/10,0)*10,[1]Hugst!$R$4:$W$4,0))))</f>
        <v>0</v>
      </c>
      <c r="U289" s="168">
        <f>IF($C289-U$1&lt;År1,0,T288*(1-VLOOKUP($A289,[1]Hugst!$R$5:$W$9,MATCH(ROUNDUP((U$1)/10,0)*10,[1]Hugst!$R$4:$W$4,0))))</f>
        <v>0</v>
      </c>
      <c r="V289" s="168">
        <f>IF($C289-V$1&lt;År1,0,U288*(1-VLOOKUP($A289,[1]Hugst!$R$5:$W$9,MATCH(ROUNDUP((V$1)/10,0)*10,[1]Hugst!$R$4:$W$4,0))))</f>
        <v>0</v>
      </c>
      <c r="W289" s="168">
        <f>IF($C289-W$1&lt;År1,0,V288*(1-VLOOKUP($A289,[1]Hugst!$R$5:$W$9,MATCH(ROUNDUP((W$1)/10,0)*10,[1]Hugst!$R$4:$W$4,0))))</f>
        <v>0</v>
      </c>
      <c r="X289" s="168">
        <f>IF($C289-X$1&lt;År1,0,W288*(1-VLOOKUP($A289,[1]Hugst!$R$5:$W$9,MATCH(ROUNDUP((X$1)/10,0)*10,[1]Hugst!$R$4:$W$4,0))))</f>
        <v>0</v>
      </c>
      <c r="Y289" s="168">
        <f>IF($C289-Y$1&lt;År1,0,X288*(1-VLOOKUP($A289,[1]Hugst!$R$5:$W$9,MATCH(ROUNDUP((Y$1)/10,0)*10,[1]Hugst!$R$4:$W$4,0))))</f>
        <v>0</v>
      </c>
      <c r="Z289" s="168">
        <f>IF($C289-Z$1&lt;År1,0,Y288*(1-VLOOKUP($A289,[1]Hugst!$R$5:$W$9,MATCH(ROUNDUP((Z$1)/10,0)*10,[1]Hugst!$R$4:$W$4,0))))</f>
        <v>0</v>
      </c>
      <c r="AA289" s="168">
        <f>IF($C289-AA$1&lt;År1,0,Z288*(1-VLOOKUP($A289,[1]Hugst!$R$5:$W$9,MATCH(ROUNDUP((AA$1)/10,0)*10,[1]Hugst!$R$4:$W$4,0))))</f>
        <v>0</v>
      </c>
      <c r="AB289" s="168">
        <f>IF($C289-AB$1&lt;År1,0,AA288*(1-VLOOKUP($A289,[1]Hugst!$R$5:$W$9,MATCH(ROUNDUP((AB$1)/10,0)*10,[1]Hugst!$R$4:$W$4,0))))</f>
        <v>0</v>
      </c>
      <c r="AC289" s="168">
        <f>IF($C289-AC$1&lt;År1,0,AB288*(1-VLOOKUP($A289,[1]Hugst!$R$5:$W$9,MATCH(ROUNDUP((AC$1)/10,0)*10,[1]Hugst!$R$4:$W$4,0))))</f>
        <v>0</v>
      </c>
      <c r="AD289" s="168">
        <f>IF($C289-AD$1&lt;År1,0,AC288*(1-VLOOKUP($A289,[1]Hugst!$R$5:$W$9,MATCH(ROUNDUP((AD$1)/10,0)*10,[1]Hugst!$R$4:$W$4,0))))</f>
        <v>0</v>
      </c>
      <c r="AE289" s="168">
        <f>IF($C289-AE$1&lt;År1,0,AD288*(1-VLOOKUP($A289,[1]Hugst!$R$5:$W$9,MATCH(ROUNDUP((AE$1)/10,0)*10,[1]Hugst!$R$4:$W$4,0))))</f>
        <v>0</v>
      </c>
      <c r="AF289" s="168">
        <f>IF($C289-AF$1&lt;År1,0,AE288*(1-VLOOKUP($A289,[1]Hugst!$R$5:$W$9,MATCH(ROUNDUP((AF$1)/10,0)*10,[1]Hugst!$R$4:$W$4,0))))</f>
        <v>0</v>
      </c>
      <c r="AG289" s="168">
        <f>IF($C289-AG$1&lt;År1,0,AF288*(1-VLOOKUP($A289,[1]Hugst!$R$5:$W$9,MATCH(ROUNDUP((AG$1)/10,0)*10,[1]Hugst!$R$4:$W$4,0))))</f>
        <v>0</v>
      </c>
      <c r="AH289" s="168">
        <f>IF($C289-AH$1&lt;År1,0,AG288*(1-VLOOKUP($A289,[1]Hugst!$R$5:$W$9,MATCH(ROUNDUP((AH$1)/10,0)*10,[1]Hugst!$R$4:$W$4,0))))</f>
        <v>0</v>
      </c>
      <c r="AI289" s="168">
        <f>IF($C289-AI$1&lt;År1,0,AH288*(1-VLOOKUP($A289,[1]Hugst!$R$5:$W$9,MATCH(ROUNDUP((AI$1)/10,0)*10,[1]Hugst!$R$4:$W$4,0))))</f>
        <v>0</v>
      </c>
      <c r="AJ289" s="168">
        <f>IF($C289-AJ$1&lt;År1,0,AI288*(1-VLOOKUP($A289,[1]Hugst!$R$5:$W$9,MATCH(ROUNDUP((AJ$1)/10,0)*10,[1]Hugst!$R$4:$W$4,0))))</f>
        <v>0</v>
      </c>
    </row>
    <row r="290" spans="1:36" x14ac:dyDescent="0.25">
      <c r="A290" s="168" t="s">
        <v>180</v>
      </c>
      <c r="B290" s="168" t="s">
        <v>24</v>
      </c>
      <c r="C290" s="168">
        <v>2029</v>
      </c>
      <c r="D290" s="168" cm="1">
        <f t="array" ref="D290">(IF(B290="Vestdanmark",Skovbrug!$C$22-(Skovbrug!$C$22)*(1-Skovbrug!$C$9)^(C290-Skovbrug!$B$12),Skovbrug!$F$22-(Skovbrug!$F$22)*(1-Skovbrug!$C$9)^(C290-Skovbrug!$B$12))*VLOOKUP(A290,Skovbrug!$A$13:$D$17,IF('Skovbrug-alder'!C290&lt;=År2,3,4),FALSE)-IF(C290&gt;2020,SUM(INDEX($C$1:$D$311,MATCH(1,(2020=$C$1:$C$311)*(B290=$B$1:$B$311)*(A290=$A$1:$A$311),0),2):D289),0))</f>
        <v>0</v>
      </c>
      <c r="E290" s="168">
        <f t="shared" ca="1" si="7"/>
        <v>0</v>
      </c>
      <c r="F290" s="168">
        <f ca="1">IF(C290&lt;=År2,IF(B290="Vestdanmark",(Arealanvendelse!$M$27-Arealanvendelse!$J$27),(Arealanvendelse!$M$37-Arealanvendelse!$J$37))/(Arealanvendelse!$M$3-Arealanvendelse!$J$3),IF(B290="Vestdanmark",(Arealanvendelse!$P$27-Arealanvendelse!$M$27),(Arealanvendelse!$P$37-Arealanvendelse!$M$37))/(Arealanvendelse!$P$3-Arealanvendelse!$M$3))*VLOOKUP(A290,Skovbrug!$A$13:$D$17,IF('Skovbrug-alder'!C290&lt;=År2,3,4),FALSE)+D290+E290</f>
        <v>0</v>
      </c>
      <c r="G290" s="168">
        <f ca="1">IF($C290-G$1&lt;År1,0,F289*(1-VLOOKUP($A290,[1]Hugst!$R$5:$W$9,MATCH(ROUNDUP((G$1)/10,0)*10,[1]Hugst!$R$4:$W$4,0))))</f>
        <v>0</v>
      </c>
      <c r="H290" s="168">
        <f ca="1">IF($C290-H$1&lt;År1,0,G289*(1-VLOOKUP($A290,[1]Hugst!$R$5:$W$9,MATCH(ROUNDUP((H$1)/10,0)*10,[1]Hugst!$R$4:$W$4,0))))</f>
        <v>0</v>
      </c>
      <c r="I290" s="168">
        <f ca="1">IF($C290-I$1&lt;År1,0,H289*(1-VLOOKUP($A290,[1]Hugst!$R$5:$W$9,MATCH(ROUNDUP((I$1)/10,0)*10,[1]Hugst!$R$4:$W$4,0))))</f>
        <v>0</v>
      </c>
      <c r="J290" s="168">
        <f ca="1">IF($C290-J$1&lt;År1,0,I289*(1-VLOOKUP($A290,[1]Hugst!$R$5:$W$9,MATCH(ROUNDUP((J$1)/10,0)*10,[1]Hugst!$R$4:$W$4,0))))</f>
        <v>0</v>
      </c>
      <c r="K290" s="168">
        <f ca="1">IF($C290-K$1&lt;År1,0,J289*(1-VLOOKUP($A290,[1]Hugst!$R$5:$W$9,MATCH(ROUNDUP((K$1)/10,0)*10,[1]Hugst!$R$4:$W$4,0))))</f>
        <v>0</v>
      </c>
      <c r="L290" s="168">
        <f ca="1">IF($C290-L$1&lt;År1,0,K289*(1-VLOOKUP($A290,[1]Hugst!$R$5:$W$9,MATCH(ROUNDUP((L$1)/10,0)*10,[1]Hugst!$R$4:$W$4,0))))</f>
        <v>0</v>
      </c>
      <c r="M290" s="168">
        <f ca="1">IF($C290-M$1&lt;År1,0,L289*(1-VLOOKUP($A290,[1]Hugst!$R$5:$W$9,MATCH(ROUNDUP((M$1)/10,0)*10,[1]Hugst!$R$4:$W$4,0))))</f>
        <v>0</v>
      </c>
      <c r="N290" s="168">
        <f ca="1">IF($C290-N$1&lt;År1,0,M289*(1-VLOOKUP($A290,[1]Hugst!$R$5:$W$9,MATCH(ROUNDUP((N$1)/10,0)*10,[1]Hugst!$R$4:$W$4,0))))</f>
        <v>0</v>
      </c>
      <c r="O290" s="168">
        <f ca="1">IF($C290-O$1&lt;År1,0,N289*(1-VLOOKUP($A290,[1]Hugst!$R$5:$W$9,MATCH(ROUNDUP((O$1)/10,0)*10,[1]Hugst!$R$4:$W$4,0))))</f>
        <v>0</v>
      </c>
      <c r="P290" s="168">
        <f>IF($C290-P$1&lt;År1,0,O289*(1-VLOOKUP($A290,[1]Hugst!$R$5:$W$9,MATCH(ROUNDUP((P$1)/10,0)*10,[1]Hugst!$R$4:$W$4,0))))</f>
        <v>0</v>
      </c>
      <c r="Q290" s="168">
        <f>IF($C290-Q$1&lt;År1,0,P289*(1-VLOOKUP($A290,[1]Hugst!$R$5:$W$9,MATCH(ROUNDUP((Q$1)/10,0)*10,[1]Hugst!$R$4:$W$4,0))))</f>
        <v>0</v>
      </c>
      <c r="R290" s="168">
        <f>IF($C290-R$1&lt;År1,0,Q289*(1-VLOOKUP($A290,[1]Hugst!$R$5:$W$9,MATCH(ROUNDUP((R$1)/10,0)*10,[1]Hugst!$R$4:$W$4,0))))</f>
        <v>0</v>
      </c>
      <c r="S290" s="168">
        <f>IF($C290-S$1&lt;År1,0,R289*(1-VLOOKUP($A290,[1]Hugst!$R$5:$W$9,MATCH(ROUNDUP((S$1)/10,0)*10,[1]Hugst!$R$4:$W$4,0))))</f>
        <v>0</v>
      </c>
      <c r="T290" s="168">
        <f>IF($C290-T$1&lt;År1,0,S289*(1-VLOOKUP($A290,[1]Hugst!$R$5:$W$9,MATCH(ROUNDUP((T$1)/10,0)*10,[1]Hugst!$R$4:$W$4,0))))</f>
        <v>0</v>
      </c>
      <c r="U290" s="168">
        <f>IF($C290-U$1&lt;År1,0,T289*(1-VLOOKUP($A290,[1]Hugst!$R$5:$W$9,MATCH(ROUNDUP((U$1)/10,0)*10,[1]Hugst!$R$4:$W$4,0))))</f>
        <v>0</v>
      </c>
      <c r="V290" s="168">
        <f>IF($C290-V$1&lt;År1,0,U289*(1-VLOOKUP($A290,[1]Hugst!$R$5:$W$9,MATCH(ROUNDUP((V$1)/10,0)*10,[1]Hugst!$R$4:$W$4,0))))</f>
        <v>0</v>
      </c>
      <c r="W290" s="168">
        <f>IF($C290-W$1&lt;År1,0,V289*(1-VLOOKUP($A290,[1]Hugst!$R$5:$W$9,MATCH(ROUNDUP((W$1)/10,0)*10,[1]Hugst!$R$4:$W$4,0))))</f>
        <v>0</v>
      </c>
      <c r="X290" s="168">
        <f>IF($C290-X$1&lt;År1,0,W289*(1-VLOOKUP($A290,[1]Hugst!$R$5:$W$9,MATCH(ROUNDUP((X$1)/10,0)*10,[1]Hugst!$R$4:$W$4,0))))</f>
        <v>0</v>
      </c>
      <c r="Y290" s="168">
        <f>IF($C290-Y$1&lt;År1,0,X289*(1-VLOOKUP($A290,[1]Hugst!$R$5:$W$9,MATCH(ROUNDUP((Y$1)/10,0)*10,[1]Hugst!$R$4:$W$4,0))))</f>
        <v>0</v>
      </c>
      <c r="Z290" s="168">
        <f>IF($C290-Z$1&lt;År1,0,Y289*(1-VLOOKUP($A290,[1]Hugst!$R$5:$W$9,MATCH(ROUNDUP((Z$1)/10,0)*10,[1]Hugst!$R$4:$W$4,0))))</f>
        <v>0</v>
      </c>
      <c r="AA290" s="168">
        <f>IF($C290-AA$1&lt;År1,0,Z289*(1-VLOOKUP($A290,[1]Hugst!$R$5:$W$9,MATCH(ROUNDUP((AA$1)/10,0)*10,[1]Hugst!$R$4:$W$4,0))))</f>
        <v>0</v>
      </c>
      <c r="AB290" s="168">
        <f>IF($C290-AB$1&lt;År1,0,AA289*(1-VLOOKUP($A290,[1]Hugst!$R$5:$W$9,MATCH(ROUNDUP((AB$1)/10,0)*10,[1]Hugst!$R$4:$W$4,0))))</f>
        <v>0</v>
      </c>
      <c r="AC290" s="168">
        <f>IF($C290-AC$1&lt;År1,0,AB289*(1-VLOOKUP($A290,[1]Hugst!$R$5:$W$9,MATCH(ROUNDUP((AC$1)/10,0)*10,[1]Hugst!$R$4:$W$4,0))))</f>
        <v>0</v>
      </c>
      <c r="AD290" s="168">
        <f>IF($C290-AD$1&lt;År1,0,AC289*(1-VLOOKUP($A290,[1]Hugst!$R$5:$W$9,MATCH(ROUNDUP((AD$1)/10,0)*10,[1]Hugst!$R$4:$W$4,0))))</f>
        <v>0</v>
      </c>
      <c r="AE290" s="168">
        <f>IF($C290-AE$1&lt;År1,0,AD289*(1-VLOOKUP($A290,[1]Hugst!$R$5:$W$9,MATCH(ROUNDUP((AE$1)/10,0)*10,[1]Hugst!$R$4:$W$4,0))))</f>
        <v>0</v>
      </c>
      <c r="AF290" s="168">
        <f>IF($C290-AF$1&lt;År1,0,AE289*(1-VLOOKUP($A290,[1]Hugst!$R$5:$W$9,MATCH(ROUNDUP((AF$1)/10,0)*10,[1]Hugst!$R$4:$W$4,0))))</f>
        <v>0</v>
      </c>
      <c r="AG290" s="168">
        <f>IF($C290-AG$1&lt;År1,0,AF289*(1-VLOOKUP($A290,[1]Hugst!$R$5:$W$9,MATCH(ROUNDUP((AG$1)/10,0)*10,[1]Hugst!$R$4:$W$4,0))))</f>
        <v>0</v>
      </c>
      <c r="AH290" s="168">
        <f>IF($C290-AH$1&lt;År1,0,AG289*(1-VLOOKUP($A290,[1]Hugst!$R$5:$W$9,MATCH(ROUNDUP((AH$1)/10,0)*10,[1]Hugst!$R$4:$W$4,0))))</f>
        <v>0</v>
      </c>
      <c r="AI290" s="168">
        <f>IF($C290-AI$1&lt;År1,0,AH289*(1-VLOOKUP($A290,[1]Hugst!$R$5:$W$9,MATCH(ROUNDUP((AI$1)/10,0)*10,[1]Hugst!$R$4:$W$4,0))))</f>
        <v>0</v>
      </c>
      <c r="AJ290" s="168">
        <f>IF($C290-AJ$1&lt;År1,0,AI289*(1-VLOOKUP($A290,[1]Hugst!$R$5:$W$9,MATCH(ROUNDUP((AJ$1)/10,0)*10,[1]Hugst!$R$4:$W$4,0))))</f>
        <v>0</v>
      </c>
    </row>
    <row r="291" spans="1:36" x14ac:dyDescent="0.25">
      <c r="A291" s="168" t="s">
        <v>180</v>
      </c>
      <c r="B291" s="168" t="s">
        <v>24</v>
      </c>
      <c r="C291" s="168">
        <v>2030</v>
      </c>
      <c r="D291" s="168" cm="1">
        <f t="array" ref="D291">(IF(B291="Vestdanmark",Skovbrug!$C$22-(Skovbrug!$C$22)*(1-Skovbrug!$C$9)^(C291-Skovbrug!$B$12),Skovbrug!$F$22-(Skovbrug!$F$22)*(1-Skovbrug!$C$9)^(C291-Skovbrug!$B$12))*VLOOKUP(A291,Skovbrug!$A$13:$D$17,IF('Skovbrug-alder'!C291&lt;=År2,3,4),FALSE)-IF(C291&gt;2020,SUM(INDEX($C$1:$D$311,MATCH(1,(2020=$C$1:$C$311)*(B291=$B$1:$B$311)*(A291=$A$1:$A$311),0),2):D290),0))</f>
        <v>0</v>
      </c>
      <c r="E291" s="168">
        <f t="shared" ca="1" si="7"/>
        <v>0</v>
      </c>
      <c r="F291" s="168">
        <f ca="1">IF(C291&lt;=År2,IF(B291="Vestdanmark",(Arealanvendelse!$M$27-Arealanvendelse!$J$27),(Arealanvendelse!$M$37-Arealanvendelse!$J$37))/(Arealanvendelse!$M$3-Arealanvendelse!$J$3),IF(B291="Vestdanmark",(Arealanvendelse!$P$27-Arealanvendelse!$M$27),(Arealanvendelse!$P$37-Arealanvendelse!$M$37))/(Arealanvendelse!$P$3-Arealanvendelse!$M$3))*VLOOKUP(A291,Skovbrug!$A$13:$D$17,IF('Skovbrug-alder'!C291&lt;=År2,3,4),FALSE)+D291+E291</f>
        <v>0</v>
      </c>
      <c r="G291" s="168">
        <f ca="1">IF($C291-G$1&lt;År1,0,F290*(1-VLOOKUP($A291,[1]Hugst!$R$5:$W$9,MATCH(ROUNDUP((G$1)/10,0)*10,[1]Hugst!$R$4:$W$4,0))))</f>
        <v>0</v>
      </c>
      <c r="H291" s="168">
        <f ca="1">IF($C291-H$1&lt;År1,0,G290*(1-VLOOKUP($A291,[1]Hugst!$R$5:$W$9,MATCH(ROUNDUP((H$1)/10,0)*10,[1]Hugst!$R$4:$W$4,0))))</f>
        <v>0</v>
      </c>
      <c r="I291" s="168">
        <f ca="1">IF($C291-I$1&lt;År1,0,H290*(1-VLOOKUP($A291,[1]Hugst!$R$5:$W$9,MATCH(ROUNDUP((I$1)/10,0)*10,[1]Hugst!$R$4:$W$4,0))))</f>
        <v>0</v>
      </c>
      <c r="J291" s="168">
        <f ca="1">IF($C291-J$1&lt;År1,0,I290*(1-VLOOKUP($A291,[1]Hugst!$R$5:$W$9,MATCH(ROUNDUP((J$1)/10,0)*10,[1]Hugst!$R$4:$W$4,0))))</f>
        <v>0</v>
      </c>
      <c r="K291" s="168">
        <f ca="1">IF($C291-K$1&lt;År1,0,J290*(1-VLOOKUP($A291,[1]Hugst!$R$5:$W$9,MATCH(ROUNDUP((K$1)/10,0)*10,[1]Hugst!$R$4:$W$4,0))))</f>
        <v>0</v>
      </c>
      <c r="L291" s="168">
        <f ca="1">IF($C291-L$1&lt;År1,0,K290*(1-VLOOKUP($A291,[1]Hugst!$R$5:$W$9,MATCH(ROUNDUP((L$1)/10,0)*10,[1]Hugst!$R$4:$W$4,0))))</f>
        <v>0</v>
      </c>
      <c r="M291" s="168">
        <f ca="1">IF($C291-M$1&lt;År1,0,L290*(1-VLOOKUP($A291,[1]Hugst!$R$5:$W$9,MATCH(ROUNDUP((M$1)/10,0)*10,[1]Hugst!$R$4:$W$4,0))))</f>
        <v>0</v>
      </c>
      <c r="N291" s="168">
        <f ca="1">IF($C291-N$1&lt;År1,0,M290*(1-VLOOKUP($A291,[1]Hugst!$R$5:$W$9,MATCH(ROUNDUP((N$1)/10,0)*10,[1]Hugst!$R$4:$W$4,0))))</f>
        <v>0</v>
      </c>
      <c r="O291" s="168">
        <f ca="1">IF($C291-O$1&lt;År1,0,N290*(1-VLOOKUP($A291,[1]Hugst!$R$5:$W$9,MATCH(ROUNDUP((O$1)/10,0)*10,[1]Hugst!$R$4:$W$4,0))))</f>
        <v>0</v>
      </c>
      <c r="P291" s="168">
        <f ca="1">IF($C291-P$1&lt;År1,0,O290*(1-VLOOKUP($A291,[1]Hugst!$R$5:$W$9,MATCH(ROUNDUP((P$1)/10,0)*10,[1]Hugst!$R$4:$W$4,0))))</f>
        <v>0</v>
      </c>
      <c r="Q291" s="168">
        <f>IF($C291-Q$1&lt;År1,0,P290*(1-VLOOKUP($A291,[1]Hugst!$R$5:$W$9,MATCH(ROUNDUP((Q$1)/10,0)*10,[1]Hugst!$R$4:$W$4,0))))</f>
        <v>0</v>
      </c>
      <c r="R291" s="168">
        <f>IF($C291-R$1&lt;År1,0,Q290*(1-VLOOKUP($A291,[1]Hugst!$R$5:$W$9,MATCH(ROUNDUP((R$1)/10,0)*10,[1]Hugst!$R$4:$W$4,0))))</f>
        <v>0</v>
      </c>
      <c r="S291" s="168">
        <f>IF($C291-S$1&lt;År1,0,R290*(1-VLOOKUP($A291,[1]Hugst!$R$5:$W$9,MATCH(ROUNDUP((S$1)/10,0)*10,[1]Hugst!$R$4:$W$4,0))))</f>
        <v>0</v>
      </c>
      <c r="T291" s="168">
        <f>IF($C291-T$1&lt;År1,0,S290*(1-VLOOKUP($A291,[1]Hugst!$R$5:$W$9,MATCH(ROUNDUP((T$1)/10,0)*10,[1]Hugst!$R$4:$W$4,0))))</f>
        <v>0</v>
      </c>
      <c r="U291" s="168">
        <f>IF($C291-U$1&lt;År1,0,T290*(1-VLOOKUP($A291,[1]Hugst!$R$5:$W$9,MATCH(ROUNDUP((U$1)/10,0)*10,[1]Hugst!$R$4:$W$4,0))))</f>
        <v>0</v>
      </c>
      <c r="V291" s="168">
        <f>IF($C291-V$1&lt;År1,0,U290*(1-VLOOKUP($A291,[1]Hugst!$R$5:$W$9,MATCH(ROUNDUP((V$1)/10,0)*10,[1]Hugst!$R$4:$W$4,0))))</f>
        <v>0</v>
      </c>
      <c r="W291" s="168">
        <f>IF($C291-W$1&lt;År1,0,V290*(1-VLOOKUP($A291,[1]Hugst!$R$5:$W$9,MATCH(ROUNDUP((W$1)/10,0)*10,[1]Hugst!$R$4:$W$4,0))))</f>
        <v>0</v>
      </c>
      <c r="X291" s="168">
        <f>IF($C291-X$1&lt;År1,0,W290*(1-VLOOKUP($A291,[1]Hugst!$R$5:$W$9,MATCH(ROUNDUP((X$1)/10,0)*10,[1]Hugst!$R$4:$W$4,0))))</f>
        <v>0</v>
      </c>
      <c r="Y291" s="168">
        <f>IF($C291-Y$1&lt;År1,0,X290*(1-VLOOKUP($A291,[1]Hugst!$R$5:$W$9,MATCH(ROUNDUP((Y$1)/10,0)*10,[1]Hugst!$R$4:$W$4,0))))</f>
        <v>0</v>
      </c>
      <c r="Z291" s="168">
        <f>IF($C291-Z$1&lt;År1,0,Y290*(1-VLOOKUP($A291,[1]Hugst!$R$5:$W$9,MATCH(ROUNDUP((Z$1)/10,0)*10,[1]Hugst!$R$4:$W$4,0))))</f>
        <v>0</v>
      </c>
      <c r="AA291" s="168">
        <f>IF($C291-AA$1&lt;År1,0,Z290*(1-VLOOKUP($A291,[1]Hugst!$R$5:$W$9,MATCH(ROUNDUP((AA$1)/10,0)*10,[1]Hugst!$R$4:$W$4,0))))</f>
        <v>0</v>
      </c>
      <c r="AB291" s="168">
        <f>IF($C291-AB$1&lt;År1,0,AA290*(1-VLOOKUP($A291,[1]Hugst!$R$5:$W$9,MATCH(ROUNDUP((AB$1)/10,0)*10,[1]Hugst!$R$4:$W$4,0))))</f>
        <v>0</v>
      </c>
      <c r="AC291" s="168">
        <f>IF($C291-AC$1&lt;År1,0,AB290*(1-VLOOKUP($A291,[1]Hugst!$R$5:$W$9,MATCH(ROUNDUP((AC$1)/10,0)*10,[1]Hugst!$R$4:$W$4,0))))</f>
        <v>0</v>
      </c>
      <c r="AD291" s="168">
        <f>IF($C291-AD$1&lt;År1,0,AC290*(1-VLOOKUP($A291,[1]Hugst!$R$5:$W$9,MATCH(ROUNDUP((AD$1)/10,0)*10,[1]Hugst!$R$4:$W$4,0))))</f>
        <v>0</v>
      </c>
      <c r="AE291" s="168">
        <f>IF($C291-AE$1&lt;År1,0,AD290*(1-VLOOKUP($A291,[1]Hugst!$R$5:$W$9,MATCH(ROUNDUP((AE$1)/10,0)*10,[1]Hugst!$R$4:$W$4,0))))</f>
        <v>0</v>
      </c>
      <c r="AF291" s="168">
        <f>IF($C291-AF$1&lt;År1,0,AE290*(1-VLOOKUP($A291,[1]Hugst!$R$5:$W$9,MATCH(ROUNDUP((AF$1)/10,0)*10,[1]Hugst!$R$4:$W$4,0))))</f>
        <v>0</v>
      </c>
      <c r="AG291" s="168">
        <f>IF($C291-AG$1&lt;År1,0,AF290*(1-VLOOKUP($A291,[1]Hugst!$R$5:$W$9,MATCH(ROUNDUP((AG$1)/10,0)*10,[1]Hugst!$R$4:$W$4,0))))</f>
        <v>0</v>
      </c>
      <c r="AH291" s="168">
        <f>IF($C291-AH$1&lt;År1,0,AG290*(1-VLOOKUP($A291,[1]Hugst!$R$5:$W$9,MATCH(ROUNDUP((AH$1)/10,0)*10,[1]Hugst!$R$4:$W$4,0))))</f>
        <v>0</v>
      </c>
      <c r="AI291" s="168">
        <f>IF($C291-AI$1&lt;År1,0,AH290*(1-VLOOKUP($A291,[1]Hugst!$R$5:$W$9,MATCH(ROUNDUP((AI$1)/10,0)*10,[1]Hugst!$R$4:$W$4,0))))</f>
        <v>0</v>
      </c>
      <c r="AJ291" s="168">
        <f>IF($C291-AJ$1&lt;År1,0,AI290*(1-VLOOKUP($A291,[1]Hugst!$R$5:$W$9,MATCH(ROUNDUP((AJ$1)/10,0)*10,[1]Hugst!$R$4:$W$4,0))))</f>
        <v>0</v>
      </c>
    </row>
    <row r="292" spans="1:36" x14ac:dyDescent="0.25">
      <c r="A292" s="168" t="s">
        <v>180</v>
      </c>
      <c r="B292" s="168" t="s">
        <v>24</v>
      </c>
      <c r="C292" s="168">
        <v>2031</v>
      </c>
      <c r="D292" s="168" cm="1">
        <f t="array" ref="D292">(IF(B292="Vestdanmark",Skovbrug!$C$22-(Skovbrug!$C$22)*(1-Skovbrug!$C$9)^(C292-Skovbrug!$B$12),Skovbrug!$F$22-(Skovbrug!$F$22)*(1-Skovbrug!$C$9)^(C292-Skovbrug!$B$12))*VLOOKUP(A292,Skovbrug!$A$13:$D$17,IF('Skovbrug-alder'!C292&lt;=År2,3,4),FALSE)-IF(C292&gt;2020,SUM(INDEX($C$1:$D$311,MATCH(1,(2020=$C$1:$C$311)*(B292=$B$1:$B$311)*(A292=$A$1:$A$311),0),2):D291),0))</f>
        <v>0</v>
      </c>
      <c r="E292" s="168">
        <f t="shared" ca="1" si="7"/>
        <v>0</v>
      </c>
      <c r="F292" s="168">
        <f ca="1">IF(C292&lt;=År2,IF(B292="Vestdanmark",(Arealanvendelse!$M$27-Arealanvendelse!$J$27),(Arealanvendelse!$M$37-Arealanvendelse!$J$37))/(Arealanvendelse!$M$3-Arealanvendelse!$J$3),IF(B292="Vestdanmark",(Arealanvendelse!$P$27-Arealanvendelse!$M$27),(Arealanvendelse!$P$37-Arealanvendelse!$M$37))/(Arealanvendelse!$P$3-Arealanvendelse!$M$3))*VLOOKUP(A292,Skovbrug!$A$13:$D$17,IF('Skovbrug-alder'!C292&lt;=År2,3,4),FALSE)+D292+E292</f>
        <v>0</v>
      </c>
      <c r="G292" s="168">
        <f ca="1">IF($C292-G$1&lt;År1,0,F291*(1-VLOOKUP($A292,[1]Hugst!$R$5:$W$9,MATCH(ROUNDUP((G$1)/10,0)*10,[1]Hugst!$R$4:$W$4,0))))</f>
        <v>0</v>
      </c>
      <c r="H292" s="168">
        <f ca="1">IF($C292-H$1&lt;År1,0,G291*(1-VLOOKUP($A292,[1]Hugst!$R$5:$W$9,MATCH(ROUNDUP((H$1)/10,0)*10,[1]Hugst!$R$4:$W$4,0))))</f>
        <v>0</v>
      </c>
      <c r="I292" s="168">
        <f ca="1">IF($C292-I$1&lt;År1,0,H291*(1-VLOOKUP($A292,[1]Hugst!$R$5:$W$9,MATCH(ROUNDUP((I$1)/10,0)*10,[1]Hugst!$R$4:$W$4,0))))</f>
        <v>0</v>
      </c>
      <c r="J292" s="168">
        <f ca="1">IF($C292-J$1&lt;År1,0,I291*(1-VLOOKUP($A292,[1]Hugst!$R$5:$W$9,MATCH(ROUNDUP((J$1)/10,0)*10,[1]Hugst!$R$4:$W$4,0))))</f>
        <v>0</v>
      </c>
      <c r="K292" s="168">
        <f ca="1">IF($C292-K$1&lt;År1,0,J291*(1-VLOOKUP($A292,[1]Hugst!$R$5:$W$9,MATCH(ROUNDUP((K$1)/10,0)*10,[1]Hugst!$R$4:$W$4,0))))</f>
        <v>0</v>
      </c>
      <c r="L292" s="168">
        <f ca="1">IF($C292-L$1&lt;År1,0,K291*(1-VLOOKUP($A292,[1]Hugst!$R$5:$W$9,MATCH(ROUNDUP((L$1)/10,0)*10,[1]Hugst!$R$4:$W$4,0))))</f>
        <v>0</v>
      </c>
      <c r="M292" s="168">
        <f ca="1">IF($C292-M$1&lt;År1,0,L291*(1-VLOOKUP($A292,[1]Hugst!$R$5:$W$9,MATCH(ROUNDUP((M$1)/10,0)*10,[1]Hugst!$R$4:$W$4,0))))</f>
        <v>0</v>
      </c>
      <c r="N292" s="168">
        <f ca="1">IF($C292-N$1&lt;År1,0,M291*(1-VLOOKUP($A292,[1]Hugst!$R$5:$W$9,MATCH(ROUNDUP((N$1)/10,0)*10,[1]Hugst!$R$4:$W$4,0))))</f>
        <v>0</v>
      </c>
      <c r="O292" s="168">
        <f ca="1">IF($C292-O$1&lt;År1,0,N291*(1-VLOOKUP($A292,[1]Hugst!$R$5:$W$9,MATCH(ROUNDUP((O$1)/10,0)*10,[1]Hugst!$R$4:$W$4,0))))</f>
        <v>0</v>
      </c>
      <c r="P292" s="168">
        <f ca="1">IF($C292-P$1&lt;År1,0,O291*(1-VLOOKUP($A292,[1]Hugst!$R$5:$W$9,MATCH(ROUNDUP((P$1)/10,0)*10,[1]Hugst!$R$4:$W$4,0))))</f>
        <v>0</v>
      </c>
      <c r="Q292" s="168">
        <f ca="1">IF($C292-Q$1&lt;År1,0,P291*(1-VLOOKUP($A292,[1]Hugst!$R$5:$W$9,MATCH(ROUNDUP((Q$1)/10,0)*10,[1]Hugst!$R$4:$W$4,0))))</f>
        <v>0</v>
      </c>
      <c r="R292" s="168">
        <f>IF($C292-R$1&lt;År1,0,Q291*(1-VLOOKUP($A292,[1]Hugst!$R$5:$W$9,MATCH(ROUNDUP((R$1)/10,0)*10,[1]Hugst!$R$4:$W$4,0))))</f>
        <v>0</v>
      </c>
      <c r="S292" s="168">
        <f>IF($C292-S$1&lt;År1,0,R291*(1-VLOOKUP($A292,[1]Hugst!$R$5:$W$9,MATCH(ROUNDUP((S$1)/10,0)*10,[1]Hugst!$R$4:$W$4,0))))</f>
        <v>0</v>
      </c>
      <c r="T292" s="168">
        <f>IF($C292-T$1&lt;År1,0,S291*(1-VLOOKUP($A292,[1]Hugst!$R$5:$W$9,MATCH(ROUNDUP((T$1)/10,0)*10,[1]Hugst!$R$4:$W$4,0))))</f>
        <v>0</v>
      </c>
      <c r="U292" s="168">
        <f>IF($C292-U$1&lt;År1,0,T291*(1-VLOOKUP($A292,[1]Hugst!$R$5:$W$9,MATCH(ROUNDUP((U$1)/10,0)*10,[1]Hugst!$R$4:$W$4,0))))</f>
        <v>0</v>
      </c>
      <c r="V292" s="168">
        <f>IF($C292-V$1&lt;År1,0,U291*(1-VLOOKUP($A292,[1]Hugst!$R$5:$W$9,MATCH(ROUNDUP((V$1)/10,0)*10,[1]Hugst!$R$4:$W$4,0))))</f>
        <v>0</v>
      </c>
      <c r="W292" s="168">
        <f>IF($C292-W$1&lt;År1,0,V291*(1-VLOOKUP($A292,[1]Hugst!$R$5:$W$9,MATCH(ROUNDUP((W$1)/10,0)*10,[1]Hugst!$R$4:$W$4,0))))</f>
        <v>0</v>
      </c>
      <c r="X292" s="168">
        <f>IF($C292-X$1&lt;År1,0,W291*(1-VLOOKUP($A292,[1]Hugst!$R$5:$W$9,MATCH(ROUNDUP((X$1)/10,0)*10,[1]Hugst!$R$4:$W$4,0))))</f>
        <v>0</v>
      </c>
      <c r="Y292" s="168">
        <f>IF($C292-Y$1&lt;År1,0,X291*(1-VLOOKUP($A292,[1]Hugst!$R$5:$W$9,MATCH(ROUNDUP((Y$1)/10,0)*10,[1]Hugst!$R$4:$W$4,0))))</f>
        <v>0</v>
      </c>
      <c r="Z292" s="168">
        <f>IF($C292-Z$1&lt;År1,0,Y291*(1-VLOOKUP($A292,[1]Hugst!$R$5:$W$9,MATCH(ROUNDUP((Z$1)/10,0)*10,[1]Hugst!$R$4:$W$4,0))))</f>
        <v>0</v>
      </c>
      <c r="AA292" s="168">
        <f>IF($C292-AA$1&lt;År1,0,Z291*(1-VLOOKUP($A292,[1]Hugst!$R$5:$W$9,MATCH(ROUNDUP((AA$1)/10,0)*10,[1]Hugst!$R$4:$W$4,0))))</f>
        <v>0</v>
      </c>
      <c r="AB292" s="168">
        <f>IF($C292-AB$1&lt;År1,0,AA291*(1-VLOOKUP($A292,[1]Hugst!$R$5:$W$9,MATCH(ROUNDUP((AB$1)/10,0)*10,[1]Hugst!$R$4:$W$4,0))))</f>
        <v>0</v>
      </c>
      <c r="AC292" s="168">
        <f>IF($C292-AC$1&lt;År1,0,AB291*(1-VLOOKUP($A292,[1]Hugst!$R$5:$W$9,MATCH(ROUNDUP((AC$1)/10,0)*10,[1]Hugst!$R$4:$W$4,0))))</f>
        <v>0</v>
      </c>
      <c r="AD292" s="168">
        <f>IF($C292-AD$1&lt;År1,0,AC291*(1-VLOOKUP($A292,[1]Hugst!$R$5:$W$9,MATCH(ROUNDUP((AD$1)/10,0)*10,[1]Hugst!$R$4:$W$4,0))))</f>
        <v>0</v>
      </c>
      <c r="AE292" s="168">
        <f>IF($C292-AE$1&lt;År1,0,AD291*(1-VLOOKUP($A292,[1]Hugst!$R$5:$W$9,MATCH(ROUNDUP((AE$1)/10,0)*10,[1]Hugst!$R$4:$W$4,0))))</f>
        <v>0</v>
      </c>
      <c r="AF292" s="168">
        <f>IF($C292-AF$1&lt;År1,0,AE291*(1-VLOOKUP($A292,[1]Hugst!$R$5:$W$9,MATCH(ROUNDUP((AF$1)/10,0)*10,[1]Hugst!$R$4:$W$4,0))))</f>
        <v>0</v>
      </c>
      <c r="AG292" s="168">
        <f>IF($C292-AG$1&lt;År1,0,AF291*(1-VLOOKUP($A292,[1]Hugst!$R$5:$W$9,MATCH(ROUNDUP((AG$1)/10,0)*10,[1]Hugst!$R$4:$W$4,0))))</f>
        <v>0</v>
      </c>
      <c r="AH292" s="168">
        <f>IF($C292-AH$1&lt;År1,0,AG291*(1-VLOOKUP($A292,[1]Hugst!$R$5:$W$9,MATCH(ROUNDUP((AH$1)/10,0)*10,[1]Hugst!$R$4:$W$4,0))))</f>
        <v>0</v>
      </c>
      <c r="AI292" s="168">
        <f>IF($C292-AI$1&lt;År1,0,AH291*(1-VLOOKUP($A292,[1]Hugst!$R$5:$W$9,MATCH(ROUNDUP((AI$1)/10,0)*10,[1]Hugst!$R$4:$W$4,0))))</f>
        <v>0</v>
      </c>
      <c r="AJ292" s="168">
        <f>IF($C292-AJ$1&lt;År1,0,AI291*(1-VLOOKUP($A292,[1]Hugst!$R$5:$W$9,MATCH(ROUNDUP((AJ$1)/10,0)*10,[1]Hugst!$R$4:$W$4,0))))</f>
        <v>0</v>
      </c>
    </row>
    <row r="293" spans="1:36" x14ac:dyDescent="0.25">
      <c r="A293" s="168" t="s">
        <v>180</v>
      </c>
      <c r="B293" s="168" t="s">
        <v>24</v>
      </c>
      <c r="C293" s="168">
        <v>2032</v>
      </c>
      <c r="D293" s="168" cm="1">
        <f t="array" ref="D293">(IF(B293="Vestdanmark",Skovbrug!$C$22-(Skovbrug!$C$22)*(1-Skovbrug!$C$9)^(C293-Skovbrug!$B$12),Skovbrug!$F$22-(Skovbrug!$F$22)*(1-Skovbrug!$C$9)^(C293-Skovbrug!$B$12))*VLOOKUP(A293,Skovbrug!$A$13:$D$17,IF('Skovbrug-alder'!C293&lt;=År2,3,4),FALSE)-IF(C293&gt;2020,SUM(INDEX($C$1:$D$311,MATCH(1,(2020=$C$1:$C$311)*(B293=$B$1:$B$311)*(A293=$A$1:$A$311),0),2):D292),0))</f>
        <v>0</v>
      </c>
      <c r="E293" s="168">
        <f t="shared" ca="1" si="7"/>
        <v>0</v>
      </c>
      <c r="F293" s="168">
        <f ca="1">IF(C293&lt;=År2,IF(B293="Vestdanmark",(Arealanvendelse!$M$27-Arealanvendelse!$J$27),(Arealanvendelse!$M$37-Arealanvendelse!$J$37))/(Arealanvendelse!$M$3-Arealanvendelse!$J$3),IF(B293="Vestdanmark",(Arealanvendelse!$P$27-Arealanvendelse!$M$27),(Arealanvendelse!$P$37-Arealanvendelse!$M$37))/(Arealanvendelse!$P$3-Arealanvendelse!$M$3))*VLOOKUP(A293,Skovbrug!$A$13:$D$17,IF('Skovbrug-alder'!C293&lt;=År2,3,4),FALSE)+D293+E293</f>
        <v>0</v>
      </c>
      <c r="G293" s="168">
        <f ca="1">IF($C293-G$1&lt;År1,0,F292*(1-VLOOKUP($A293,[1]Hugst!$R$5:$W$9,MATCH(ROUNDUP((G$1)/10,0)*10,[1]Hugst!$R$4:$W$4,0))))</f>
        <v>0</v>
      </c>
      <c r="H293" s="168">
        <f ca="1">IF($C293-H$1&lt;År1,0,G292*(1-VLOOKUP($A293,[1]Hugst!$R$5:$W$9,MATCH(ROUNDUP((H$1)/10,0)*10,[1]Hugst!$R$4:$W$4,0))))</f>
        <v>0</v>
      </c>
      <c r="I293" s="168">
        <f ca="1">IF($C293-I$1&lt;År1,0,H292*(1-VLOOKUP($A293,[1]Hugst!$R$5:$W$9,MATCH(ROUNDUP((I$1)/10,0)*10,[1]Hugst!$R$4:$W$4,0))))</f>
        <v>0</v>
      </c>
      <c r="J293" s="168">
        <f ca="1">IF($C293-J$1&lt;År1,0,I292*(1-VLOOKUP($A293,[1]Hugst!$R$5:$W$9,MATCH(ROUNDUP((J$1)/10,0)*10,[1]Hugst!$R$4:$W$4,0))))</f>
        <v>0</v>
      </c>
      <c r="K293" s="168">
        <f ca="1">IF($C293-K$1&lt;År1,0,J292*(1-VLOOKUP($A293,[1]Hugst!$R$5:$W$9,MATCH(ROUNDUP((K$1)/10,0)*10,[1]Hugst!$R$4:$W$4,0))))</f>
        <v>0</v>
      </c>
      <c r="L293" s="168">
        <f ca="1">IF($C293-L$1&lt;År1,0,K292*(1-VLOOKUP($A293,[1]Hugst!$R$5:$W$9,MATCH(ROUNDUP((L$1)/10,0)*10,[1]Hugst!$R$4:$W$4,0))))</f>
        <v>0</v>
      </c>
      <c r="M293" s="168">
        <f ca="1">IF($C293-M$1&lt;År1,0,L292*(1-VLOOKUP($A293,[1]Hugst!$R$5:$W$9,MATCH(ROUNDUP((M$1)/10,0)*10,[1]Hugst!$R$4:$W$4,0))))</f>
        <v>0</v>
      </c>
      <c r="N293" s="168">
        <f ca="1">IF($C293-N$1&lt;År1,0,M292*(1-VLOOKUP($A293,[1]Hugst!$R$5:$W$9,MATCH(ROUNDUP((N$1)/10,0)*10,[1]Hugst!$R$4:$W$4,0))))</f>
        <v>0</v>
      </c>
      <c r="O293" s="168">
        <f ca="1">IF($C293-O$1&lt;År1,0,N292*(1-VLOOKUP($A293,[1]Hugst!$R$5:$W$9,MATCH(ROUNDUP((O$1)/10,0)*10,[1]Hugst!$R$4:$W$4,0))))</f>
        <v>0</v>
      </c>
      <c r="P293" s="168">
        <f ca="1">IF($C293-P$1&lt;År1,0,O292*(1-VLOOKUP($A293,[1]Hugst!$R$5:$W$9,MATCH(ROUNDUP((P$1)/10,0)*10,[1]Hugst!$R$4:$W$4,0))))</f>
        <v>0</v>
      </c>
      <c r="Q293" s="168">
        <f ca="1">IF($C293-Q$1&lt;År1,0,P292*(1-VLOOKUP($A293,[1]Hugst!$R$5:$W$9,MATCH(ROUNDUP((Q$1)/10,0)*10,[1]Hugst!$R$4:$W$4,0))))</f>
        <v>0</v>
      </c>
      <c r="R293" s="168">
        <f ca="1">IF($C293-R$1&lt;År1,0,Q292*(1-VLOOKUP($A293,[1]Hugst!$R$5:$W$9,MATCH(ROUNDUP((R$1)/10,0)*10,[1]Hugst!$R$4:$W$4,0))))</f>
        <v>0</v>
      </c>
      <c r="S293" s="168">
        <f>IF($C293-S$1&lt;År1,0,R292*(1-VLOOKUP($A293,[1]Hugst!$R$5:$W$9,MATCH(ROUNDUP((S$1)/10,0)*10,[1]Hugst!$R$4:$W$4,0))))</f>
        <v>0</v>
      </c>
      <c r="T293" s="168">
        <f>IF($C293-T$1&lt;År1,0,S292*(1-VLOOKUP($A293,[1]Hugst!$R$5:$W$9,MATCH(ROUNDUP((T$1)/10,0)*10,[1]Hugst!$R$4:$W$4,0))))</f>
        <v>0</v>
      </c>
      <c r="U293" s="168">
        <f>IF($C293-U$1&lt;År1,0,T292*(1-VLOOKUP($A293,[1]Hugst!$R$5:$W$9,MATCH(ROUNDUP((U$1)/10,0)*10,[1]Hugst!$R$4:$W$4,0))))</f>
        <v>0</v>
      </c>
      <c r="V293" s="168">
        <f>IF($C293-V$1&lt;År1,0,U292*(1-VLOOKUP($A293,[1]Hugst!$R$5:$W$9,MATCH(ROUNDUP((V$1)/10,0)*10,[1]Hugst!$R$4:$W$4,0))))</f>
        <v>0</v>
      </c>
      <c r="W293" s="168">
        <f>IF($C293-W$1&lt;År1,0,V292*(1-VLOOKUP($A293,[1]Hugst!$R$5:$W$9,MATCH(ROUNDUP((W$1)/10,0)*10,[1]Hugst!$R$4:$W$4,0))))</f>
        <v>0</v>
      </c>
      <c r="X293" s="168">
        <f>IF($C293-X$1&lt;År1,0,W292*(1-VLOOKUP($A293,[1]Hugst!$R$5:$W$9,MATCH(ROUNDUP((X$1)/10,0)*10,[1]Hugst!$R$4:$W$4,0))))</f>
        <v>0</v>
      </c>
      <c r="Y293" s="168">
        <f>IF($C293-Y$1&lt;År1,0,X292*(1-VLOOKUP($A293,[1]Hugst!$R$5:$W$9,MATCH(ROUNDUP((Y$1)/10,0)*10,[1]Hugst!$R$4:$W$4,0))))</f>
        <v>0</v>
      </c>
      <c r="Z293" s="168">
        <f>IF($C293-Z$1&lt;År1,0,Y292*(1-VLOOKUP($A293,[1]Hugst!$R$5:$W$9,MATCH(ROUNDUP((Z$1)/10,0)*10,[1]Hugst!$R$4:$W$4,0))))</f>
        <v>0</v>
      </c>
      <c r="AA293" s="168">
        <f>IF($C293-AA$1&lt;År1,0,Z292*(1-VLOOKUP($A293,[1]Hugst!$R$5:$W$9,MATCH(ROUNDUP((AA$1)/10,0)*10,[1]Hugst!$R$4:$W$4,0))))</f>
        <v>0</v>
      </c>
      <c r="AB293" s="168">
        <f>IF($C293-AB$1&lt;År1,0,AA292*(1-VLOOKUP($A293,[1]Hugst!$R$5:$W$9,MATCH(ROUNDUP((AB$1)/10,0)*10,[1]Hugst!$R$4:$W$4,0))))</f>
        <v>0</v>
      </c>
      <c r="AC293" s="168">
        <f>IF($C293-AC$1&lt;År1,0,AB292*(1-VLOOKUP($A293,[1]Hugst!$R$5:$W$9,MATCH(ROUNDUP((AC$1)/10,0)*10,[1]Hugst!$R$4:$W$4,0))))</f>
        <v>0</v>
      </c>
      <c r="AD293" s="168">
        <f>IF($C293-AD$1&lt;År1,0,AC292*(1-VLOOKUP($A293,[1]Hugst!$R$5:$W$9,MATCH(ROUNDUP((AD$1)/10,0)*10,[1]Hugst!$R$4:$W$4,0))))</f>
        <v>0</v>
      </c>
      <c r="AE293" s="168">
        <f>IF($C293-AE$1&lt;År1,0,AD292*(1-VLOOKUP($A293,[1]Hugst!$R$5:$W$9,MATCH(ROUNDUP((AE$1)/10,0)*10,[1]Hugst!$R$4:$W$4,0))))</f>
        <v>0</v>
      </c>
      <c r="AF293" s="168">
        <f>IF($C293-AF$1&lt;År1,0,AE292*(1-VLOOKUP($A293,[1]Hugst!$R$5:$W$9,MATCH(ROUNDUP((AF$1)/10,0)*10,[1]Hugst!$R$4:$W$4,0))))</f>
        <v>0</v>
      </c>
      <c r="AG293" s="168">
        <f>IF($C293-AG$1&lt;År1,0,AF292*(1-VLOOKUP($A293,[1]Hugst!$R$5:$W$9,MATCH(ROUNDUP((AG$1)/10,0)*10,[1]Hugst!$R$4:$W$4,0))))</f>
        <v>0</v>
      </c>
      <c r="AH293" s="168">
        <f>IF($C293-AH$1&lt;År1,0,AG292*(1-VLOOKUP($A293,[1]Hugst!$R$5:$W$9,MATCH(ROUNDUP((AH$1)/10,0)*10,[1]Hugst!$R$4:$W$4,0))))</f>
        <v>0</v>
      </c>
      <c r="AI293" s="168">
        <f>IF($C293-AI$1&lt;År1,0,AH292*(1-VLOOKUP($A293,[1]Hugst!$R$5:$W$9,MATCH(ROUNDUP((AI$1)/10,0)*10,[1]Hugst!$R$4:$W$4,0))))</f>
        <v>0</v>
      </c>
      <c r="AJ293" s="168">
        <f>IF($C293-AJ$1&lt;År1,0,AI292*(1-VLOOKUP($A293,[1]Hugst!$R$5:$W$9,MATCH(ROUNDUP((AJ$1)/10,0)*10,[1]Hugst!$R$4:$W$4,0))))</f>
        <v>0</v>
      </c>
    </row>
    <row r="294" spans="1:36" x14ac:dyDescent="0.25">
      <c r="A294" s="168" t="s">
        <v>180</v>
      </c>
      <c r="B294" s="168" t="s">
        <v>24</v>
      </c>
      <c r="C294" s="168">
        <v>2033</v>
      </c>
      <c r="D294" s="168" cm="1">
        <f t="array" ref="D294">(IF(B294="Vestdanmark",Skovbrug!$C$22-(Skovbrug!$C$22)*(1-Skovbrug!$C$9)^(C294-Skovbrug!$B$12),Skovbrug!$F$22-(Skovbrug!$F$22)*(1-Skovbrug!$C$9)^(C294-Skovbrug!$B$12))*VLOOKUP(A294,Skovbrug!$A$13:$D$17,IF('Skovbrug-alder'!C294&lt;=År2,3,4),FALSE)-IF(C294&gt;2020,SUM(INDEX($C$1:$D$311,MATCH(1,(2020=$C$1:$C$311)*(B294=$B$1:$B$311)*(A294=$A$1:$A$311),0),2):D293),0))</f>
        <v>0</v>
      </c>
      <c r="E294" s="168">
        <f t="shared" ca="1" si="7"/>
        <v>0</v>
      </c>
      <c r="F294" s="168">
        <f ca="1">IF(C294&lt;=År2,IF(B294="Vestdanmark",(Arealanvendelse!$M$27-Arealanvendelse!$J$27),(Arealanvendelse!$M$37-Arealanvendelse!$J$37))/(Arealanvendelse!$M$3-Arealanvendelse!$J$3),IF(B294="Vestdanmark",(Arealanvendelse!$P$27-Arealanvendelse!$M$27),(Arealanvendelse!$P$37-Arealanvendelse!$M$37))/(Arealanvendelse!$P$3-Arealanvendelse!$M$3))*VLOOKUP(A294,Skovbrug!$A$13:$D$17,IF('Skovbrug-alder'!C294&lt;=År2,3,4),FALSE)+D294+E294</f>
        <v>0</v>
      </c>
      <c r="G294" s="168">
        <f ca="1">IF($C294-G$1&lt;År1,0,F293*(1-VLOOKUP($A294,[1]Hugst!$R$5:$W$9,MATCH(ROUNDUP((G$1)/10,0)*10,[1]Hugst!$R$4:$W$4,0))))</f>
        <v>0</v>
      </c>
      <c r="H294" s="168">
        <f ca="1">IF($C294-H$1&lt;År1,0,G293*(1-VLOOKUP($A294,[1]Hugst!$R$5:$W$9,MATCH(ROUNDUP((H$1)/10,0)*10,[1]Hugst!$R$4:$W$4,0))))</f>
        <v>0</v>
      </c>
      <c r="I294" s="168">
        <f ca="1">IF($C294-I$1&lt;År1,0,H293*(1-VLOOKUP($A294,[1]Hugst!$R$5:$W$9,MATCH(ROUNDUP((I$1)/10,0)*10,[1]Hugst!$R$4:$W$4,0))))</f>
        <v>0</v>
      </c>
      <c r="J294" s="168">
        <f ca="1">IF($C294-J$1&lt;År1,0,I293*(1-VLOOKUP($A294,[1]Hugst!$R$5:$W$9,MATCH(ROUNDUP((J$1)/10,0)*10,[1]Hugst!$R$4:$W$4,0))))</f>
        <v>0</v>
      </c>
      <c r="K294" s="168">
        <f ca="1">IF($C294-K$1&lt;År1,0,J293*(1-VLOOKUP($A294,[1]Hugst!$R$5:$W$9,MATCH(ROUNDUP((K$1)/10,0)*10,[1]Hugst!$R$4:$W$4,0))))</f>
        <v>0</v>
      </c>
      <c r="L294" s="168">
        <f ca="1">IF($C294-L$1&lt;År1,0,K293*(1-VLOOKUP($A294,[1]Hugst!$R$5:$W$9,MATCH(ROUNDUP((L$1)/10,0)*10,[1]Hugst!$R$4:$W$4,0))))</f>
        <v>0</v>
      </c>
      <c r="M294" s="168">
        <f ca="1">IF($C294-M$1&lt;År1,0,L293*(1-VLOOKUP($A294,[1]Hugst!$R$5:$W$9,MATCH(ROUNDUP((M$1)/10,0)*10,[1]Hugst!$R$4:$W$4,0))))</f>
        <v>0</v>
      </c>
      <c r="N294" s="168">
        <f ca="1">IF($C294-N$1&lt;År1,0,M293*(1-VLOOKUP($A294,[1]Hugst!$R$5:$W$9,MATCH(ROUNDUP((N$1)/10,0)*10,[1]Hugst!$R$4:$W$4,0))))</f>
        <v>0</v>
      </c>
      <c r="O294" s="168">
        <f ca="1">IF($C294-O$1&lt;År1,0,N293*(1-VLOOKUP($A294,[1]Hugst!$R$5:$W$9,MATCH(ROUNDUP((O$1)/10,0)*10,[1]Hugst!$R$4:$W$4,0))))</f>
        <v>0</v>
      </c>
      <c r="P294" s="168">
        <f ca="1">IF($C294-P$1&lt;År1,0,O293*(1-VLOOKUP($A294,[1]Hugst!$R$5:$W$9,MATCH(ROUNDUP((P$1)/10,0)*10,[1]Hugst!$R$4:$W$4,0))))</f>
        <v>0</v>
      </c>
      <c r="Q294" s="168">
        <f ca="1">IF($C294-Q$1&lt;År1,0,P293*(1-VLOOKUP($A294,[1]Hugst!$R$5:$W$9,MATCH(ROUNDUP((Q$1)/10,0)*10,[1]Hugst!$R$4:$W$4,0))))</f>
        <v>0</v>
      </c>
      <c r="R294" s="168">
        <f ca="1">IF($C294-R$1&lt;År1,0,Q293*(1-VLOOKUP($A294,[1]Hugst!$R$5:$W$9,MATCH(ROUNDUP((R$1)/10,0)*10,[1]Hugst!$R$4:$W$4,0))))</f>
        <v>0</v>
      </c>
      <c r="S294" s="168">
        <f ca="1">IF($C294-S$1&lt;År1,0,R293*(1-VLOOKUP($A294,[1]Hugst!$R$5:$W$9,MATCH(ROUNDUP((S$1)/10,0)*10,[1]Hugst!$R$4:$W$4,0))))</f>
        <v>0</v>
      </c>
      <c r="T294" s="168">
        <f>IF($C294-T$1&lt;År1,0,S293*(1-VLOOKUP($A294,[1]Hugst!$R$5:$W$9,MATCH(ROUNDUP((T$1)/10,0)*10,[1]Hugst!$R$4:$W$4,0))))</f>
        <v>0</v>
      </c>
      <c r="U294" s="168">
        <f>IF($C294-U$1&lt;År1,0,T293*(1-VLOOKUP($A294,[1]Hugst!$R$5:$W$9,MATCH(ROUNDUP((U$1)/10,0)*10,[1]Hugst!$R$4:$W$4,0))))</f>
        <v>0</v>
      </c>
      <c r="V294" s="168">
        <f>IF($C294-V$1&lt;År1,0,U293*(1-VLOOKUP($A294,[1]Hugst!$R$5:$W$9,MATCH(ROUNDUP((V$1)/10,0)*10,[1]Hugst!$R$4:$W$4,0))))</f>
        <v>0</v>
      </c>
      <c r="W294" s="168">
        <f>IF($C294-W$1&lt;År1,0,V293*(1-VLOOKUP($A294,[1]Hugst!$R$5:$W$9,MATCH(ROUNDUP((W$1)/10,0)*10,[1]Hugst!$R$4:$W$4,0))))</f>
        <v>0</v>
      </c>
      <c r="X294" s="168">
        <f>IF($C294-X$1&lt;År1,0,W293*(1-VLOOKUP($A294,[1]Hugst!$R$5:$W$9,MATCH(ROUNDUP((X$1)/10,0)*10,[1]Hugst!$R$4:$W$4,0))))</f>
        <v>0</v>
      </c>
      <c r="Y294" s="168">
        <f>IF($C294-Y$1&lt;År1,0,X293*(1-VLOOKUP($A294,[1]Hugst!$R$5:$W$9,MATCH(ROUNDUP((Y$1)/10,0)*10,[1]Hugst!$R$4:$W$4,0))))</f>
        <v>0</v>
      </c>
      <c r="Z294" s="168">
        <f>IF($C294-Z$1&lt;År1,0,Y293*(1-VLOOKUP($A294,[1]Hugst!$R$5:$W$9,MATCH(ROUNDUP((Z$1)/10,0)*10,[1]Hugst!$R$4:$W$4,0))))</f>
        <v>0</v>
      </c>
      <c r="AA294" s="168">
        <f>IF($C294-AA$1&lt;År1,0,Z293*(1-VLOOKUP($A294,[1]Hugst!$R$5:$W$9,MATCH(ROUNDUP((AA$1)/10,0)*10,[1]Hugst!$R$4:$W$4,0))))</f>
        <v>0</v>
      </c>
      <c r="AB294" s="168">
        <f>IF($C294-AB$1&lt;År1,0,AA293*(1-VLOOKUP($A294,[1]Hugst!$R$5:$W$9,MATCH(ROUNDUP((AB$1)/10,0)*10,[1]Hugst!$R$4:$W$4,0))))</f>
        <v>0</v>
      </c>
      <c r="AC294" s="168">
        <f>IF($C294-AC$1&lt;År1,0,AB293*(1-VLOOKUP($A294,[1]Hugst!$R$5:$W$9,MATCH(ROUNDUP((AC$1)/10,0)*10,[1]Hugst!$R$4:$W$4,0))))</f>
        <v>0</v>
      </c>
      <c r="AD294" s="168">
        <f>IF($C294-AD$1&lt;År1,0,AC293*(1-VLOOKUP($A294,[1]Hugst!$R$5:$W$9,MATCH(ROUNDUP((AD$1)/10,0)*10,[1]Hugst!$R$4:$W$4,0))))</f>
        <v>0</v>
      </c>
      <c r="AE294" s="168">
        <f>IF($C294-AE$1&lt;År1,0,AD293*(1-VLOOKUP($A294,[1]Hugst!$R$5:$W$9,MATCH(ROUNDUP((AE$1)/10,0)*10,[1]Hugst!$R$4:$W$4,0))))</f>
        <v>0</v>
      </c>
      <c r="AF294" s="168">
        <f>IF($C294-AF$1&lt;År1,0,AE293*(1-VLOOKUP($A294,[1]Hugst!$R$5:$W$9,MATCH(ROUNDUP((AF$1)/10,0)*10,[1]Hugst!$R$4:$W$4,0))))</f>
        <v>0</v>
      </c>
      <c r="AG294" s="168">
        <f>IF($C294-AG$1&lt;År1,0,AF293*(1-VLOOKUP($A294,[1]Hugst!$R$5:$W$9,MATCH(ROUNDUP((AG$1)/10,0)*10,[1]Hugst!$R$4:$W$4,0))))</f>
        <v>0</v>
      </c>
      <c r="AH294" s="168">
        <f>IF($C294-AH$1&lt;År1,0,AG293*(1-VLOOKUP($A294,[1]Hugst!$R$5:$W$9,MATCH(ROUNDUP((AH$1)/10,0)*10,[1]Hugst!$R$4:$W$4,0))))</f>
        <v>0</v>
      </c>
      <c r="AI294" s="168">
        <f>IF($C294-AI$1&lt;År1,0,AH293*(1-VLOOKUP($A294,[1]Hugst!$R$5:$W$9,MATCH(ROUNDUP((AI$1)/10,0)*10,[1]Hugst!$R$4:$W$4,0))))</f>
        <v>0</v>
      </c>
      <c r="AJ294" s="168">
        <f>IF($C294-AJ$1&lt;År1,0,AI293*(1-VLOOKUP($A294,[1]Hugst!$R$5:$W$9,MATCH(ROUNDUP((AJ$1)/10,0)*10,[1]Hugst!$R$4:$W$4,0))))</f>
        <v>0</v>
      </c>
    </row>
    <row r="295" spans="1:36" x14ac:dyDescent="0.25">
      <c r="A295" s="168" t="s">
        <v>180</v>
      </c>
      <c r="B295" s="168" t="s">
        <v>24</v>
      </c>
      <c r="C295" s="168">
        <v>2034</v>
      </c>
      <c r="D295" s="168" cm="1">
        <f t="array" ref="D295">(IF(B295="Vestdanmark",Skovbrug!$C$22-(Skovbrug!$C$22)*(1-Skovbrug!$C$9)^(C295-Skovbrug!$B$12),Skovbrug!$F$22-(Skovbrug!$F$22)*(1-Skovbrug!$C$9)^(C295-Skovbrug!$B$12))*VLOOKUP(A295,Skovbrug!$A$13:$D$17,IF('Skovbrug-alder'!C295&lt;=År2,3,4),FALSE)-IF(C295&gt;2020,SUM(INDEX($C$1:$D$311,MATCH(1,(2020=$C$1:$C$311)*(B295=$B$1:$B$311)*(A295=$A$1:$A$311),0),2):D294),0))</f>
        <v>0</v>
      </c>
      <c r="E295" s="168">
        <f t="shared" ca="1" si="7"/>
        <v>0</v>
      </c>
      <c r="F295" s="168">
        <f ca="1">IF(C295&lt;=År2,IF(B295="Vestdanmark",(Arealanvendelse!$M$27-Arealanvendelse!$J$27),(Arealanvendelse!$M$37-Arealanvendelse!$J$37))/(Arealanvendelse!$M$3-Arealanvendelse!$J$3),IF(B295="Vestdanmark",(Arealanvendelse!$P$27-Arealanvendelse!$M$27),(Arealanvendelse!$P$37-Arealanvendelse!$M$37))/(Arealanvendelse!$P$3-Arealanvendelse!$M$3))*VLOOKUP(A295,Skovbrug!$A$13:$D$17,IF('Skovbrug-alder'!C295&lt;=År2,3,4),FALSE)+D295+E295</f>
        <v>0</v>
      </c>
      <c r="G295" s="168">
        <f ca="1">IF($C295-G$1&lt;År1,0,F294*(1-VLOOKUP($A295,[1]Hugst!$R$5:$W$9,MATCH(ROUNDUP((G$1)/10,0)*10,[1]Hugst!$R$4:$W$4,0))))</f>
        <v>0</v>
      </c>
      <c r="H295" s="168">
        <f ca="1">IF($C295-H$1&lt;År1,0,G294*(1-VLOOKUP($A295,[1]Hugst!$R$5:$W$9,MATCH(ROUNDUP((H$1)/10,0)*10,[1]Hugst!$R$4:$W$4,0))))</f>
        <v>0</v>
      </c>
      <c r="I295" s="168">
        <f ca="1">IF($C295-I$1&lt;År1,0,H294*(1-VLOOKUP($A295,[1]Hugst!$R$5:$W$9,MATCH(ROUNDUP((I$1)/10,0)*10,[1]Hugst!$R$4:$W$4,0))))</f>
        <v>0</v>
      </c>
      <c r="J295" s="168">
        <f ca="1">IF($C295-J$1&lt;År1,0,I294*(1-VLOOKUP($A295,[1]Hugst!$R$5:$W$9,MATCH(ROUNDUP((J$1)/10,0)*10,[1]Hugst!$R$4:$W$4,0))))</f>
        <v>0</v>
      </c>
      <c r="K295" s="168">
        <f ca="1">IF($C295-K$1&lt;År1,0,J294*(1-VLOOKUP($A295,[1]Hugst!$R$5:$W$9,MATCH(ROUNDUP((K$1)/10,0)*10,[1]Hugst!$R$4:$W$4,0))))</f>
        <v>0</v>
      </c>
      <c r="L295" s="168">
        <f ca="1">IF($C295-L$1&lt;År1,0,K294*(1-VLOOKUP($A295,[1]Hugst!$R$5:$W$9,MATCH(ROUNDUP((L$1)/10,0)*10,[1]Hugst!$R$4:$W$4,0))))</f>
        <v>0</v>
      </c>
      <c r="M295" s="168">
        <f ca="1">IF($C295-M$1&lt;År1,0,L294*(1-VLOOKUP($A295,[1]Hugst!$R$5:$W$9,MATCH(ROUNDUP((M$1)/10,0)*10,[1]Hugst!$R$4:$W$4,0))))</f>
        <v>0</v>
      </c>
      <c r="N295" s="168">
        <f ca="1">IF($C295-N$1&lt;År1,0,M294*(1-VLOOKUP($A295,[1]Hugst!$R$5:$W$9,MATCH(ROUNDUP((N$1)/10,0)*10,[1]Hugst!$R$4:$W$4,0))))</f>
        <v>0</v>
      </c>
      <c r="O295" s="168">
        <f ca="1">IF($C295-O$1&lt;År1,0,N294*(1-VLOOKUP($A295,[1]Hugst!$R$5:$W$9,MATCH(ROUNDUP((O$1)/10,0)*10,[1]Hugst!$R$4:$W$4,0))))</f>
        <v>0</v>
      </c>
      <c r="P295" s="168">
        <f ca="1">IF($C295-P$1&lt;År1,0,O294*(1-VLOOKUP($A295,[1]Hugst!$R$5:$W$9,MATCH(ROUNDUP((P$1)/10,0)*10,[1]Hugst!$R$4:$W$4,0))))</f>
        <v>0</v>
      </c>
      <c r="Q295" s="168">
        <f ca="1">IF($C295-Q$1&lt;År1,0,P294*(1-VLOOKUP($A295,[1]Hugst!$R$5:$W$9,MATCH(ROUNDUP((Q$1)/10,0)*10,[1]Hugst!$R$4:$W$4,0))))</f>
        <v>0</v>
      </c>
      <c r="R295" s="168">
        <f ca="1">IF($C295-R$1&lt;År1,0,Q294*(1-VLOOKUP($A295,[1]Hugst!$R$5:$W$9,MATCH(ROUNDUP((R$1)/10,0)*10,[1]Hugst!$R$4:$W$4,0))))</f>
        <v>0</v>
      </c>
      <c r="S295" s="168">
        <f ca="1">IF($C295-S$1&lt;År1,0,R294*(1-VLOOKUP($A295,[1]Hugst!$R$5:$W$9,MATCH(ROUNDUP((S$1)/10,0)*10,[1]Hugst!$R$4:$W$4,0))))</f>
        <v>0</v>
      </c>
      <c r="T295" s="168">
        <f ca="1">IF($C295-T$1&lt;År1,0,S294*(1-VLOOKUP($A295,[1]Hugst!$R$5:$W$9,MATCH(ROUNDUP((T$1)/10,0)*10,[1]Hugst!$R$4:$W$4,0))))</f>
        <v>0</v>
      </c>
      <c r="U295" s="168">
        <f>IF($C295-U$1&lt;År1,0,T294*(1-VLOOKUP($A295,[1]Hugst!$R$5:$W$9,MATCH(ROUNDUP((U$1)/10,0)*10,[1]Hugst!$R$4:$W$4,0))))</f>
        <v>0</v>
      </c>
      <c r="V295" s="168">
        <f>IF($C295-V$1&lt;År1,0,U294*(1-VLOOKUP($A295,[1]Hugst!$R$5:$W$9,MATCH(ROUNDUP((V$1)/10,0)*10,[1]Hugst!$R$4:$W$4,0))))</f>
        <v>0</v>
      </c>
      <c r="W295" s="168">
        <f>IF($C295-W$1&lt;År1,0,V294*(1-VLOOKUP($A295,[1]Hugst!$R$5:$W$9,MATCH(ROUNDUP((W$1)/10,0)*10,[1]Hugst!$R$4:$W$4,0))))</f>
        <v>0</v>
      </c>
      <c r="X295" s="168">
        <f>IF($C295-X$1&lt;År1,0,W294*(1-VLOOKUP($A295,[1]Hugst!$R$5:$W$9,MATCH(ROUNDUP((X$1)/10,0)*10,[1]Hugst!$R$4:$W$4,0))))</f>
        <v>0</v>
      </c>
      <c r="Y295" s="168">
        <f>IF($C295-Y$1&lt;År1,0,X294*(1-VLOOKUP($A295,[1]Hugst!$R$5:$W$9,MATCH(ROUNDUP((Y$1)/10,0)*10,[1]Hugst!$R$4:$W$4,0))))</f>
        <v>0</v>
      </c>
      <c r="Z295" s="168">
        <f>IF($C295-Z$1&lt;År1,0,Y294*(1-VLOOKUP($A295,[1]Hugst!$R$5:$W$9,MATCH(ROUNDUP((Z$1)/10,0)*10,[1]Hugst!$R$4:$W$4,0))))</f>
        <v>0</v>
      </c>
      <c r="AA295" s="168">
        <f>IF($C295-AA$1&lt;År1,0,Z294*(1-VLOOKUP($A295,[1]Hugst!$R$5:$W$9,MATCH(ROUNDUP((AA$1)/10,0)*10,[1]Hugst!$R$4:$W$4,0))))</f>
        <v>0</v>
      </c>
      <c r="AB295" s="168">
        <f>IF($C295-AB$1&lt;År1,0,AA294*(1-VLOOKUP($A295,[1]Hugst!$R$5:$W$9,MATCH(ROUNDUP((AB$1)/10,0)*10,[1]Hugst!$R$4:$W$4,0))))</f>
        <v>0</v>
      </c>
      <c r="AC295" s="168">
        <f>IF($C295-AC$1&lt;År1,0,AB294*(1-VLOOKUP($A295,[1]Hugst!$R$5:$W$9,MATCH(ROUNDUP((AC$1)/10,0)*10,[1]Hugst!$R$4:$W$4,0))))</f>
        <v>0</v>
      </c>
      <c r="AD295" s="168">
        <f>IF($C295-AD$1&lt;År1,0,AC294*(1-VLOOKUP($A295,[1]Hugst!$R$5:$W$9,MATCH(ROUNDUP((AD$1)/10,0)*10,[1]Hugst!$R$4:$W$4,0))))</f>
        <v>0</v>
      </c>
      <c r="AE295" s="168">
        <f>IF($C295-AE$1&lt;År1,0,AD294*(1-VLOOKUP($A295,[1]Hugst!$R$5:$W$9,MATCH(ROUNDUP((AE$1)/10,0)*10,[1]Hugst!$R$4:$W$4,0))))</f>
        <v>0</v>
      </c>
      <c r="AF295" s="168">
        <f>IF($C295-AF$1&lt;År1,0,AE294*(1-VLOOKUP($A295,[1]Hugst!$R$5:$W$9,MATCH(ROUNDUP((AF$1)/10,0)*10,[1]Hugst!$R$4:$W$4,0))))</f>
        <v>0</v>
      </c>
      <c r="AG295" s="168">
        <f>IF($C295-AG$1&lt;År1,0,AF294*(1-VLOOKUP($A295,[1]Hugst!$R$5:$W$9,MATCH(ROUNDUP((AG$1)/10,0)*10,[1]Hugst!$R$4:$W$4,0))))</f>
        <v>0</v>
      </c>
      <c r="AH295" s="168">
        <f>IF($C295-AH$1&lt;År1,0,AG294*(1-VLOOKUP($A295,[1]Hugst!$R$5:$W$9,MATCH(ROUNDUP((AH$1)/10,0)*10,[1]Hugst!$R$4:$W$4,0))))</f>
        <v>0</v>
      </c>
      <c r="AI295" s="168">
        <f>IF($C295-AI$1&lt;År1,0,AH294*(1-VLOOKUP($A295,[1]Hugst!$R$5:$W$9,MATCH(ROUNDUP((AI$1)/10,0)*10,[1]Hugst!$R$4:$W$4,0))))</f>
        <v>0</v>
      </c>
      <c r="AJ295" s="168">
        <f>IF($C295-AJ$1&lt;År1,0,AI294*(1-VLOOKUP($A295,[1]Hugst!$R$5:$W$9,MATCH(ROUNDUP((AJ$1)/10,0)*10,[1]Hugst!$R$4:$W$4,0))))</f>
        <v>0</v>
      </c>
    </row>
    <row r="296" spans="1:36" x14ac:dyDescent="0.25">
      <c r="A296" s="168" t="s">
        <v>180</v>
      </c>
      <c r="B296" s="168" t="s">
        <v>24</v>
      </c>
      <c r="C296" s="168">
        <v>2035</v>
      </c>
      <c r="D296" s="168" cm="1">
        <f t="array" ref="D296">(IF(B296="Vestdanmark",Skovbrug!$C$22-(Skovbrug!$C$22)*(1-Skovbrug!$C$9)^(C296-Skovbrug!$B$12),Skovbrug!$F$22-(Skovbrug!$F$22)*(1-Skovbrug!$C$9)^(C296-Skovbrug!$B$12))*VLOOKUP(A296,Skovbrug!$A$13:$D$17,IF('Skovbrug-alder'!C296&lt;=År2,3,4),FALSE)-IF(C296&gt;2020,SUM(INDEX($C$1:$D$311,MATCH(1,(2020=$C$1:$C$311)*(B296=$B$1:$B$311)*(A296=$A$1:$A$311),0),2):D295),0))</f>
        <v>0</v>
      </c>
      <c r="E296" s="168">
        <f t="shared" ca="1" si="7"/>
        <v>0</v>
      </c>
      <c r="F296" s="168">
        <f ca="1">IF(C296&lt;=År2,IF(B296="Vestdanmark",(Arealanvendelse!$M$27-Arealanvendelse!$J$27),(Arealanvendelse!$M$37-Arealanvendelse!$J$37))/(Arealanvendelse!$M$3-Arealanvendelse!$J$3),IF(B296="Vestdanmark",(Arealanvendelse!$P$27-Arealanvendelse!$M$27),(Arealanvendelse!$P$37-Arealanvendelse!$M$37))/(Arealanvendelse!$P$3-Arealanvendelse!$M$3))*VLOOKUP(A296,Skovbrug!$A$13:$D$17,IF('Skovbrug-alder'!C296&lt;=År2,3,4),FALSE)+D296+E296</f>
        <v>0</v>
      </c>
      <c r="G296" s="168">
        <f ca="1">IF($C296-G$1&lt;År1,0,F295*(1-VLOOKUP($A296,[1]Hugst!$R$5:$W$9,MATCH(ROUNDUP((G$1)/10,0)*10,[1]Hugst!$R$4:$W$4,0))))</f>
        <v>0</v>
      </c>
      <c r="H296" s="168">
        <f ca="1">IF($C296-H$1&lt;År1,0,G295*(1-VLOOKUP($A296,[1]Hugst!$R$5:$W$9,MATCH(ROUNDUP((H$1)/10,0)*10,[1]Hugst!$R$4:$W$4,0))))</f>
        <v>0</v>
      </c>
      <c r="I296" s="168">
        <f ca="1">IF($C296-I$1&lt;År1,0,H295*(1-VLOOKUP($A296,[1]Hugst!$R$5:$W$9,MATCH(ROUNDUP((I$1)/10,0)*10,[1]Hugst!$R$4:$W$4,0))))</f>
        <v>0</v>
      </c>
      <c r="J296" s="168">
        <f ca="1">IF($C296-J$1&lt;År1,0,I295*(1-VLOOKUP($A296,[1]Hugst!$R$5:$W$9,MATCH(ROUNDUP((J$1)/10,0)*10,[1]Hugst!$R$4:$W$4,0))))</f>
        <v>0</v>
      </c>
      <c r="K296" s="168">
        <f ca="1">IF($C296-K$1&lt;År1,0,J295*(1-VLOOKUP($A296,[1]Hugst!$R$5:$W$9,MATCH(ROUNDUP((K$1)/10,0)*10,[1]Hugst!$R$4:$W$4,0))))</f>
        <v>0</v>
      </c>
      <c r="L296" s="168">
        <f ca="1">IF($C296-L$1&lt;År1,0,K295*(1-VLOOKUP($A296,[1]Hugst!$R$5:$W$9,MATCH(ROUNDUP((L$1)/10,0)*10,[1]Hugst!$R$4:$W$4,0))))</f>
        <v>0</v>
      </c>
      <c r="M296" s="168">
        <f ca="1">IF($C296-M$1&lt;År1,0,L295*(1-VLOOKUP($A296,[1]Hugst!$R$5:$W$9,MATCH(ROUNDUP((M$1)/10,0)*10,[1]Hugst!$R$4:$W$4,0))))</f>
        <v>0</v>
      </c>
      <c r="N296" s="168">
        <f ca="1">IF($C296-N$1&lt;År1,0,M295*(1-VLOOKUP($A296,[1]Hugst!$R$5:$W$9,MATCH(ROUNDUP((N$1)/10,0)*10,[1]Hugst!$R$4:$W$4,0))))</f>
        <v>0</v>
      </c>
      <c r="O296" s="168">
        <f ca="1">IF($C296-O$1&lt;År1,0,N295*(1-VLOOKUP($A296,[1]Hugst!$R$5:$W$9,MATCH(ROUNDUP((O$1)/10,0)*10,[1]Hugst!$R$4:$W$4,0))))</f>
        <v>0</v>
      </c>
      <c r="P296" s="168">
        <f ca="1">IF($C296-P$1&lt;År1,0,O295*(1-VLOOKUP($A296,[1]Hugst!$R$5:$W$9,MATCH(ROUNDUP((P$1)/10,0)*10,[1]Hugst!$R$4:$W$4,0))))</f>
        <v>0</v>
      </c>
      <c r="Q296" s="168">
        <f ca="1">IF($C296-Q$1&lt;År1,0,P295*(1-VLOOKUP($A296,[1]Hugst!$R$5:$W$9,MATCH(ROUNDUP((Q$1)/10,0)*10,[1]Hugst!$R$4:$W$4,0))))</f>
        <v>0</v>
      </c>
      <c r="R296" s="168">
        <f ca="1">IF($C296-R$1&lt;År1,0,Q295*(1-VLOOKUP($A296,[1]Hugst!$R$5:$W$9,MATCH(ROUNDUP((R$1)/10,0)*10,[1]Hugst!$R$4:$W$4,0))))</f>
        <v>0</v>
      </c>
      <c r="S296" s="168">
        <f ca="1">IF($C296-S$1&lt;År1,0,R295*(1-VLOOKUP($A296,[1]Hugst!$R$5:$W$9,MATCH(ROUNDUP((S$1)/10,0)*10,[1]Hugst!$R$4:$W$4,0))))</f>
        <v>0</v>
      </c>
      <c r="T296" s="168">
        <f ca="1">IF($C296-T$1&lt;År1,0,S295*(1-VLOOKUP($A296,[1]Hugst!$R$5:$W$9,MATCH(ROUNDUP((T$1)/10,0)*10,[1]Hugst!$R$4:$W$4,0))))</f>
        <v>0</v>
      </c>
      <c r="U296" s="168">
        <f ca="1">IF($C296-U$1&lt;År1,0,T295*(1-VLOOKUP($A296,[1]Hugst!$R$5:$W$9,MATCH(ROUNDUP((U$1)/10,0)*10,[1]Hugst!$R$4:$W$4,0))))</f>
        <v>0</v>
      </c>
      <c r="V296" s="168">
        <f>IF($C296-V$1&lt;År1,0,U295*(1-VLOOKUP($A296,[1]Hugst!$R$5:$W$9,MATCH(ROUNDUP((V$1)/10,0)*10,[1]Hugst!$R$4:$W$4,0))))</f>
        <v>0</v>
      </c>
      <c r="W296" s="168">
        <f>IF($C296-W$1&lt;År1,0,V295*(1-VLOOKUP($A296,[1]Hugst!$R$5:$W$9,MATCH(ROUNDUP((W$1)/10,0)*10,[1]Hugst!$R$4:$W$4,0))))</f>
        <v>0</v>
      </c>
      <c r="X296" s="168">
        <f>IF($C296-X$1&lt;År1,0,W295*(1-VLOOKUP($A296,[1]Hugst!$R$5:$W$9,MATCH(ROUNDUP((X$1)/10,0)*10,[1]Hugst!$R$4:$W$4,0))))</f>
        <v>0</v>
      </c>
      <c r="Y296" s="168">
        <f>IF($C296-Y$1&lt;År1,0,X295*(1-VLOOKUP($A296,[1]Hugst!$R$5:$W$9,MATCH(ROUNDUP((Y$1)/10,0)*10,[1]Hugst!$R$4:$W$4,0))))</f>
        <v>0</v>
      </c>
      <c r="Z296" s="168">
        <f>IF($C296-Z$1&lt;År1,0,Y295*(1-VLOOKUP($A296,[1]Hugst!$R$5:$W$9,MATCH(ROUNDUP((Z$1)/10,0)*10,[1]Hugst!$R$4:$W$4,0))))</f>
        <v>0</v>
      </c>
      <c r="AA296" s="168">
        <f>IF($C296-AA$1&lt;År1,0,Z295*(1-VLOOKUP($A296,[1]Hugst!$R$5:$W$9,MATCH(ROUNDUP((AA$1)/10,0)*10,[1]Hugst!$R$4:$W$4,0))))</f>
        <v>0</v>
      </c>
      <c r="AB296" s="168">
        <f>IF($C296-AB$1&lt;År1,0,AA295*(1-VLOOKUP($A296,[1]Hugst!$R$5:$W$9,MATCH(ROUNDUP((AB$1)/10,0)*10,[1]Hugst!$R$4:$W$4,0))))</f>
        <v>0</v>
      </c>
      <c r="AC296" s="168">
        <f>IF($C296-AC$1&lt;År1,0,AB295*(1-VLOOKUP($A296,[1]Hugst!$R$5:$W$9,MATCH(ROUNDUP((AC$1)/10,0)*10,[1]Hugst!$R$4:$W$4,0))))</f>
        <v>0</v>
      </c>
      <c r="AD296" s="168">
        <f>IF($C296-AD$1&lt;År1,0,AC295*(1-VLOOKUP($A296,[1]Hugst!$R$5:$W$9,MATCH(ROUNDUP((AD$1)/10,0)*10,[1]Hugst!$R$4:$W$4,0))))</f>
        <v>0</v>
      </c>
      <c r="AE296" s="168">
        <f>IF($C296-AE$1&lt;År1,0,AD295*(1-VLOOKUP($A296,[1]Hugst!$R$5:$W$9,MATCH(ROUNDUP((AE$1)/10,0)*10,[1]Hugst!$R$4:$W$4,0))))</f>
        <v>0</v>
      </c>
      <c r="AF296" s="168">
        <f>IF($C296-AF$1&lt;År1,0,AE295*(1-VLOOKUP($A296,[1]Hugst!$R$5:$W$9,MATCH(ROUNDUP((AF$1)/10,0)*10,[1]Hugst!$R$4:$W$4,0))))</f>
        <v>0</v>
      </c>
      <c r="AG296" s="168">
        <f>IF($C296-AG$1&lt;År1,0,AF295*(1-VLOOKUP($A296,[1]Hugst!$R$5:$W$9,MATCH(ROUNDUP((AG$1)/10,0)*10,[1]Hugst!$R$4:$W$4,0))))</f>
        <v>0</v>
      </c>
      <c r="AH296" s="168">
        <f>IF($C296-AH$1&lt;År1,0,AG295*(1-VLOOKUP($A296,[1]Hugst!$R$5:$W$9,MATCH(ROUNDUP((AH$1)/10,0)*10,[1]Hugst!$R$4:$W$4,0))))</f>
        <v>0</v>
      </c>
      <c r="AI296" s="168">
        <f>IF($C296-AI$1&lt;År1,0,AH295*(1-VLOOKUP($A296,[1]Hugst!$R$5:$W$9,MATCH(ROUNDUP((AI$1)/10,0)*10,[1]Hugst!$R$4:$W$4,0))))</f>
        <v>0</v>
      </c>
      <c r="AJ296" s="168">
        <f>IF($C296-AJ$1&lt;År1,0,AI295*(1-VLOOKUP($A296,[1]Hugst!$R$5:$W$9,MATCH(ROUNDUP((AJ$1)/10,0)*10,[1]Hugst!$R$4:$W$4,0))))</f>
        <v>0</v>
      </c>
    </row>
    <row r="297" spans="1:36" x14ac:dyDescent="0.25">
      <c r="A297" s="168" t="s">
        <v>180</v>
      </c>
      <c r="B297" s="168" t="s">
        <v>24</v>
      </c>
      <c r="C297" s="168">
        <v>2036</v>
      </c>
      <c r="D297" s="168" cm="1">
        <f t="array" ref="D297">(IF(B297="Vestdanmark",Skovbrug!$C$22-(Skovbrug!$C$22)*(1-Skovbrug!$C$9)^(C297-Skovbrug!$B$12),Skovbrug!$F$22-(Skovbrug!$F$22)*(1-Skovbrug!$C$9)^(C297-Skovbrug!$B$12))*VLOOKUP(A297,Skovbrug!$A$13:$D$17,IF('Skovbrug-alder'!C297&lt;=År2,3,4),FALSE)-IF(C297&gt;2020,SUM(INDEX($C$1:$D$311,MATCH(1,(2020=$C$1:$C$311)*(B297=$B$1:$B$311)*(A297=$A$1:$A$311),0),2):D296),0))</f>
        <v>0</v>
      </c>
      <c r="E297" s="168">
        <f t="shared" ca="1" si="7"/>
        <v>0</v>
      </c>
      <c r="F297" s="168">
        <f ca="1">IF(C297&lt;=År2,IF(B297="Vestdanmark",(Arealanvendelse!$M$27-Arealanvendelse!$J$27),(Arealanvendelse!$M$37-Arealanvendelse!$J$37))/(Arealanvendelse!$M$3-Arealanvendelse!$J$3),IF(B297="Vestdanmark",(Arealanvendelse!$P$27-Arealanvendelse!$M$27),(Arealanvendelse!$P$37-Arealanvendelse!$M$37))/(Arealanvendelse!$P$3-Arealanvendelse!$M$3))*VLOOKUP(A297,Skovbrug!$A$13:$D$17,IF('Skovbrug-alder'!C297&lt;=År2,3,4),FALSE)+D297+E297</f>
        <v>0</v>
      </c>
      <c r="G297" s="168">
        <f ca="1">IF($C297-G$1&lt;År1,0,F296*(1-VLOOKUP($A297,[1]Hugst!$R$5:$W$9,MATCH(ROUNDUP((G$1)/10,0)*10,[1]Hugst!$R$4:$W$4,0))))</f>
        <v>0</v>
      </c>
      <c r="H297" s="168">
        <f ca="1">IF($C297-H$1&lt;År1,0,G296*(1-VLOOKUP($A297,[1]Hugst!$R$5:$W$9,MATCH(ROUNDUP((H$1)/10,0)*10,[1]Hugst!$R$4:$W$4,0))))</f>
        <v>0</v>
      </c>
      <c r="I297" s="168">
        <f ca="1">IF($C297-I$1&lt;År1,0,H296*(1-VLOOKUP($A297,[1]Hugst!$R$5:$W$9,MATCH(ROUNDUP((I$1)/10,0)*10,[1]Hugst!$R$4:$W$4,0))))</f>
        <v>0</v>
      </c>
      <c r="J297" s="168">
        <f ca="1">IF($C297-J$1&lt;År1,0,I296*(1-VLOOKUP($A297,[1]Hugst!$R$5:$W$9,MATCH(ROUNDUP((J$1)/10,0)*10,[1]Hugst!$R$4:$W$4,0))))</f>
        <v>0</v>
      </c>
      <c r="K297" s="168">
        <f ca="1">IF($C297-K$1&lt;År1,0,J296*(1-VLOOKUP($A297,[1]Hugst!$R$5:$W$9,MATCH(ROUNDUP((K$1)/10,0)*10,[1]Hugst!$R$4:$W$4,0))))</f>
        <v>0</v>
      </c>
      <c r="L297" s="168">
        <f ca="1">IF($C297-L$1&lt;År1,0,K296*(1-VLOOKUP($A297,[1]Hugst!$R$5:$W$9,MATCH(ROUNDUP((L$1)/10,0)*10,[1]Hugst!$R$4:$W$4,0))))</f>
        <v>0</v>
      </c>
      <c r="M297" s="168">
        <f ca="1">IF($C297-M$1&lt;År1,0,L296*(1-VLOOKUP($A297,[1]Hugst!$R$5:$W$9,MATCH(ROUNDUP((M$1)/10,0)*10,[1]Hugst!$R$4:$W$4,0))))</f>
        <v>0</v>
      </c>
      <c r="N297" s="168">
        <f ca="1">IF($C297-N$1&lt;År1,0,M296*(1-VLOOKUP($A297,[1]Hugst!$R$5:$W$9,MATCH(ROUNDUP((N$1)/10,0)*10,[1]Hugst!$R$4:$W$4,0))))</f>
        <v>0</v>
      </c>
      <c r="O297" s="168">
        <f ca="1">IF($C297-O$1&lt;År1,0,N296*(1-VLOOKUP($A297,[1]Hugst!$R$5:$W$9,MATCH(ROUNDUP((O$1)/10,0)*10,[1]Hugst!$R$4:$W$4,0))))</f>
        <v>0</v>
      </c>
      <c r="P297" s="168">
        <f ca="1">IF($C297-P$1&lt;År1,0,O296*(1-VLOOKUP($A297,[1]Hugst!$R$5:$W$9,MATCH(ROUNDUP((P$1)/10,0)*10,[1]Hugst!$R$4:$W$4,0))))</f>
        <v>0</v>
      </c>
      <c r="Q297" s="168">
        <f ca="1">IF($C297-Q$1&lt;År1,0,P296*(1-VLOOKUP($A297,[1]Hugst!$R$5:$W$9,MATCH(ROUNDUP((Q$1)/10,0)*10,[1]Hugst!$R$4:$W$4,0))))</f>
        <v>0</v>
      </c>
      <c r="R297" s="168">
        <f ca="1">IF($C297-R$1&lt;År1,0,Q296*(1-VLOOKUP($A297,[1]Hugst!$R$5:$W$9,MATCH(ROUNDUP((R$1)/10,0)*10,[1]Hugst!$R$4:$W$4,0))))</f>
        <v>0</v>
      </c>
      <c r="S297" s="168">
        <f ca="1">IF($C297-S$1&lt;År1,0,R296*(1-VLOOKUP($A297,[1]Hugst!$R$5:$W$9,MATCH(ROUNDUP((S$1)/10,0)*10,[1]Hugst!$R$4:$W$4,0))))</f>
        <v>0</v>
      </c>
      <c r="T297" s="168">
        <f ca="1">IF($C297-T$1&lt;År1,0,S296*(1-VLOOKUP($A297,[1]Hugst!$R$5:$W$9,MATCH(ROUNDUP((T$1)/10,0)*10,[1]Hugst!$R$4:$W$4,0))))</f>
        <v>0</v>
      </c>
      <c r="U297" s="168">
        <f ca="1">IF($C297-U$1&lt;År1,0,T296*(1-VLOOKUP($A297,[1]Hugst!$R$5:$W$9,MATCH(ROUNDUP((U$1)/10,0)*10,[1]Hugst!$R$4:$W$4,0))))</f>
        <v>0</v>
      </c>
      <c r="V297" s="168">
        <f ca="1">IF($C297-V$1&lt;År1,0,U296*(1-VLOOKUP($A297,[1]Hugst!$R$5:$W$9,MATCH(ROUNDUP((V$1)/10,0)*10,[1]Hugst!$R$4:$W$4,0))))</f>
        <v>0</v>
      </c>
      <c r="W297" s="168">
        <f>IF($C297-W$1&lt;År1,0,V296*(1-VLOOKUP($A297,[1]Hugst!$R$5:$W$9,MATCH(ROUNDUP((W$1)/10,0)*10,[1]Hugst!$R$4:$W$4,0))))</f>
        <v>0</v>
      </c>
      <c r="X297" s="168">
        <f>IF($C297-X$1&lt;År1,0,W296*(1-VLOOKUP($A297,[1]Hugst!$R$5:$W$9,MATCH(ROUNDUP((X$1)/10,0)*10,[1]Hugst!$R$4:$W$4,0))))</f>
        <v>0</v>
      </c>
      <c r="Y297" s="168">
        <f>IF($C297-Y$1&lt;År1,0,X296*(1-VLOOKUP($A297,[1]Hugst!$R$5:$W$9,MATCH(ROUNDUP((Y$1)/10,0)*10,[1]Hugst!$R$4:$W$4,0))))</f>
        <v>0</v>
      </c>
      <c r="Z297" s="168">
        <f>IF($C297-Z$1&lt;År1,0,Y296*(1-VLOOKUP($A297,[1]Hugst!$R$5:$W$9,MATCH(ROUNDUP((Z$1)/10,0)*10,[1]Hugst!$R$4:$W$4,0))))</f>
        <v>0</v>
      </c>
      <c r="AA297" s="168">
        <f>IF($C297-AA$1&lt;År1,0,Z296*(1-VLOOKUP($A297,[1]Hugst!$R$5:$W$9,MATCH(ROUNDUP((AA$1)/10,0)*10,[1]Hugst!$R$4:$W$4,0))))</f>
        <v>0</v>
      </c>
      <c r="AB297" s="168">
        <f>IF($C297-AB$1&lt;År1,0,AA296*(1-VLOOKUP($A297,[1]Hugst!$R$5:$W$9,MATCH(ROUNDUP((AB$1)/10,0)*10,[1]Hugst!$R$4:$W$4,0))))</f>
        <v>0</v>
      </c>
      <c r="AC297" s="168">
        <f>IF($C297-AC$1&lt;År1,0,AB296*(1-VLOOKUP($A297,[1]Hugst!$R$5:$W$9,MATCH(ROUNDUP((AC$1)/10,0)*10,[1]Hugst!$R$4:$W$4,0))))</f>
        <v>0</v>
      </c>
      <c r="AD297" s="168">
        <f>IF($C297-AD$1&lt;År1,0,AC296*(1-VLOOKUP($A297,[1]Hugst!$R$5:$W$9,MATCH(ROUNDUP((AD$1)/10,0)*10,[1]Hugst!$R$4:$W$4,0))))</f>
        <v>0</v>
      </c>
      <c r="AE297" s="168">
        <f>IF($C297-AE$1&lt;År1,0,AD296*(1-VLOOKUP($A297,[1]Hugst!$R$5:$W$9,MATCH(ROUNDUP((AE$1)/10,0)*10,[1]Hugst!$R$4:$W$4,0))))</f>
        <v>0</v>
      </c>
      <c r="AF297" s="168">
        <f>IF($C297-AF$1&lt;År1,0,AE296*(1-VLOOKUP($A297,[1]Hugst!$R$5:$W$9,MATCH(ROUNDUP((AF$1)/10,0)*10,[1]Hugst!$R$4:$W$4,0))))</f>
        <v>0</v>
      </c>
      <c r="AG297" s="168">
        <f>IF($C297-AG$1&lt;År1,0,AF296*(1-VLOOKUP($A297,[1]Hugst!$R$5:$W$9,MATCH(ROUNDUP((AG$1)/10,0)*10,[1]Hugst!$R$4:$W$4,0))))</f>
        <v>0</v>
      </c>
      <c r="AH297" s="168">
        <f>IF($C297-AH$1&lt;År1,0,AG296*(1-VLOOKUP($A297,[1]Hugst!$R$5:$W$9,MATCH(ROUNDUP((AH$1)/10,0)*10,[1]Hugst!$R$4:$W$4,0))))</f>
        <v>0</v>
      </c>
      <c r="AI297" s="168">
        <f>IF($C297-AI$1&lt;År1,0,AH296*(1-VLOOKUP($A297,[1]Hugst!$R$5:$W$9,MATCH(ROUNDUP((AI$1)/10,0)*10,[1]Hugst!$R$4:$W$4,0))))</f>
        <v>0</v>
      </c>
      <c r="AJ297" s="168">
        <f>IF($C297-AJ$1&lt;År1,0,AI296*(1-VLOOKUP($A297,[1]Hugst!$R$5:$W$9,MATCH(ROUNDUP((AJ$1)/10,0)*10,[1]Hugst!$R$4:$W$4,0))))</f>
        <v>0</v>
      </c>
    </row>
    <row r="298" spans="1:36" x14ac:dyDescent="0.25">
      <c r="A298" s="168" t="s">
        <v>180</v>
      </c>
      <c r="B298" s="168" t="s">
        <v>24</v>
      </c>
      <c r="C298" s="168">
        <v>2037</v>
      </c>
      <c r="D298" s="168" cm="1">
        <f t="array" ref="D298">(IF(B298="Vestdanmark",Skovbrug!$C$22-(Skovbrug!$C$22)*(1-Skovbrug!$C$9)^(C298-Skovbrug!$B$12),Skovbrug!$F$22-(Skovbrug!$F$22)*(1-Skovbrug!$C$9)^(C298-Skovbrug!$B$12))*VLOOKUP(A298,Skovbrug!$A$13:$D$17,IF('Skovbrug-alder'!C298&lt;=År2,3,4),FALSE)-IF(C298&gt;2020,SUM(INDEX($C$1:$D$311,MATCH(1,(2020=$C$1:$C$311)*(B298=$B$1:$B$311)*(A298=$A$1:$A$311),0),2):D297),0))</f>
        <v>0</v>
      </c>
      <c r="E298" s="168">
        <f t="shared" ca="1" si="7"/>
        <v>0</v>
      </c>
      <c r="F298" s="168">
        <f ca="1">IF(C298&lt;=År2,IF(B298="Vestdanmark",(Arealanvendelse!$M$27-Arealanvendelse!$J$27),(Arealanvendelse!$M$37-Arealanvendelse!$J$37))/(Arealanvendelse!$M$3-Arealanvendelse!$J$3),IF(B298="Vestdanmark",(Arealanvendelse!$P$27-Arealanvendelse!$M$27),(Arealanvendelse!$P$37-Arealanvendelse!$M$37))/(Arealanvendelse!$P$3-Arealanvendelse!$M$3))*VLOOKUP(A298,Skovbrug!$A$13:$D$17,IF('Skovbrug-alder'!C298&lt;=År2,3,4),FALSE)+D298+E298</f>
        <v>0</v>
      </c>
      <c r="G298" s="168">
        <f ca="1">IF($C298-G$1&lt;År1,0,F297*(1-VLOOKUP($A298,[1]Hugst!$R$5:$W$9,MATCH(ROUNDUP((G$1)/10,0)*10,[1]Hugst!$R$4:$W$4,0))))</f>
        <v>0</v>
      </c>
      <c r="H298" s="168">
        <f ca="1">IF($C298-H$1&lt;År1,0,G297*(1-VLOOKUP($A298,[1]Hugst!$R$5:$W$9,MATCH(ROUNDUP((H$1)/10,0)*10,[1]Hugst!$R$4:$W$4,0))))</f>
        <v>0</v>
      </c>
      <c r="I298" s="168">
        <f ca="1">IF($C298-I$1&lt;År1,0,H297*(1-VLOOKUP($A298,[1]Hugst!$R$5:$W$9,MATCH(ROUNDUP((I$1)/10,0)*10,[1]Hugst!$R$4:$W$4,0))))</f>
        <v>0</v>
      </c>
      <c r="J298" s="168">
        <f ca="1">IF($C298-J$1&lt;År1,0,I297*(1-VLOOKUP($A298,[1]Hugst!$R$5:$W$9,MATCH(ROUNDUP((J$1)/10,0)*10,[1]Hugst!$R$4:$W$4,0))))</f>
        <v>0</v>
      </c>
      <c r="K298" s="168">
        <f ca="1">IF($C298-K$1&lt;År1,0,J297*(1-VLOOKUP($A298,[1]Hugst!$R$5:$W$9,MATCH(ROUNDUP((K$1)/10,0)*10,[1]Hugst!$R$4:$W$4,0))))</f>
        <v>0</v>
      </c>
      <c r="L298" s="168">
        <f ca="1">IF($C298-L$1&lt;År1,0,K297*(1-VLOOKUP($A298,[1]Hugst!$R$5:$W$9,MATCH(ROUNDUP((L$1)/10,0)*10,[1]Hugst!$R$4:$W$4,0))))</f>
        <v>0</v>
      </c>
      <c r="M298" s="168">
        <f ca="1">IF($C298-M$1&lt;År1,0,L297*(1-VLOOKUP($A298,[1]Hugst!$R$5:$W$9,MATCH(ROUNDUP((M$1)/10,0)*10,[1]Hugst!$R$4:$W$4,0))))</f>
        <v>0</v>
      </c>
      <c r="N298" s="168">
        <f ca="1">IF($C298-N$1&lt;År1,0,M297*(1-VLOOKUP($A298,[1]Hugst!$R$5:$W$9,MATCH(ROUNDUP((N$1)/10,0)*10,[1]Hugst!$R$4:$W$4,0))))</f>
        <v>0</v>
      </c>
      <c r="O298" s="168">
        <f ca="1">IF($C298-O$1&lt;År1,0,N297*(1-VLOOKUP($A298,[1]Hugst!$R$5:$W$9,MATCH(ROUNDUP((O$1)/10,0)*10,[1]Hugst!$R$4:$W$4,0))))</f>
        <v>0</v>
      </c>
      <c r="P298" s="168">
        <f ca="1">IF($C298-P$1&lt;År1,0,O297*(1-VLOOKUP($A298,[1]Hugst!$R$5:$W$9,MATCH(ROUNDUP((P$1)/10,0)*10,[1]Hugst!$R$4:$W$4,0))))</f>
        <v>0</v>
      </c>
      <c r="Q298" s="168">
        <f ca="1">IF($C298-Q$1&lt;År1,0,P297*(1-VLOOKUP($A298,[1]Hugst!$R$5:$W$9,MATCH(ROUNDUP((Q$1)/10,0)*10,[1]Hugst!$R$4:$W$4,0))))</f>
        <v>0</v>
      </c>
      <c r="R298" s="168">
        <f ca="1">IF($C298-R$1&lt;År1,0,Q297*(1-VLOOKUP($A298,[1]Hugst!$R$5:$W$9,MATCH(ROUNDUP((R$1)/10,0)*10,[1]Hugst!$R$4:$W$4,0))))</f>
        <v>0</v>
      </c>
      <c r="S298" s="168">
        <f ca="1">IF($C298-S$1&lt;År1,0,R297*(1-VLOOKUP($A298,[1]Hugst!$R$5:$W$9,MATCH(ROUNDUP((S$1)/10,0)*10,[1]Hugst!$R$4:$W$4,0))))</f>
        <v>0</v>
      </c>
      <c r="T298" s="168">
        <f ca="1">IF($C298-T$1&lt;År1,0,S297*(1-VLOOKUP($A298,[1]Hugst!$R$5:$W$9,MATCH(ROUNDUP((T$1)/10,0)*10,[1]Hugst!$R$4:$W$4,0))))</f>
        <v>0</v>
      </c>
      <c r="U298" s="168">
        <f ca="1">IF($C298-U$1&lt;År1,0,T297*(1-VLOOKUP($A298,[1]Hugst!$R$5:$W$9,MATCH(ROUNDUP((U$1)/10,0)*10,[1]Hugst!$R$4:$W$4,0))))</f>
        <v>0</v>
      </c>
      <c r="V298" s="168">
        <f ca="1">IF($C298-V$1&lt;År1,0,U297*(1-VLOOKUP($A298,[1]Hugst!$R$5:$W$9,MATCH(ROUNDUP((V$1)/10,0)*10,[1]Hugst!$R$4:$W$4,0))))</f>
        <v>0</v>
      </c>
      <c r="W298" s="168">
        <f ca="1">IF($C298-W$1&lt;År1,0,V297*(1-VLOOKUP($A298,[1]Hugst!$R$5:$W$9,MATCH(ROUNDUP((W$1)/10,0)*10,[1]Hugst!$R$4:$W$4,0))))</f>
        <v>0</v>
      </c>
      <c r="X298" s="168">
        <f>IF($C298-X$1&lt;År1,0,W297*(1-VLOOKUP($A298,[1]Hugst!$R$5:$W$9,MATCH(ROUNDUP((X$1)/10,0)*10,[1]Hugst!$R$4:$W$4,0))))</f>
        <v>0</v>
      </c>
      <c r="Y298" s="168">
        <f>IF($C298-Y$1&lt;År1,0,X297*(1-VLOOKUP($A298,[1]Hugst!$R$5:$W$9,MATCH(ROUNDUP((Y$1)/10,0)*10,[1]Hugst!$R$4:$W$4,0))))</f>
        <v>0</v>
      </c>
      <c r="Z298" s="168">
        <f>IF($C298-Z$1&lt;År1,0,Y297*(1-VLOOKUP($A298,[1]Hugst!$R$5:$W$9,MATCH(ROUNDUP((Z$1)/10,0)*10,[1]Hugst!$R$4:$W$4,0))))</f>
        <v>0</v>
      </c>
      <c r="AA298" s="168">
        <f>IF($C298-AA$1&lt;År1,0,Z297*(1-VLOOKUP($A298,[1]Hugst!$R$5:$W$9,MATCH(ROUNDUP((AA$1)/10,0)*10,[1]Hugst!$R$4:$W$4,0))))</f>
        <v>0</v>
      </c>
      <c r="AB298" s="168">
        <f>IF($C298-AB$1&lt;År1,0,AA297*(1-VLOOKUP($A298,[1]Hugst!$R$5:$W$9,MATCH(ROUNDUP((AB$1)/10,0)*10,[1]Hugst!$R$4:$W$4,0))))</f>
        <v>0</v>
      </c>
      <c r="AC298" s="168">
        <f>IF($C298-AC$1&lt;År1,0,AB297*(1-VLOOKUP($A298,[1]Hugst!$R$5:$W$9,MATCH(ROUNDUP((AC$1)/10,0)*10,[1]Hugst!$R$4:$W$4,0))))</f>
        <v>0</v>
      </c>
      <c r="AD298" s="168">
        <f>IF($C298-AD$1&lt;År1,0,AC297*(1-VLOOKUP($A298,[1]Hugst!$R$5:$W$9,MATCH(ROUNDUP((AD$1)/10,0)*10,[1]Hugst!$R$4:$W$4,0))))</f>
        <v>0</v>
      </c>
      <c r="AE298" s="168">
        <f>IF($C298-AE$1&lt;År1,0,AD297*(1-VLOOKUP($A298,[1]Hugst!$R$5:$W$9,MATCH(ROUNDUP((AE$1)/10,0)*10,[1]Hugst!$R$4:$W$4,0))))</f>
        <v>0</v>
      </c>
      <c r="AF298" s="168">
        <f>IF($C298-AF$1&lt;År1,0,AE297*(1-VLOOKUP($A298,[1]Hugst!$R$5:$W$9,MATCH(ROUNDUP((AF$1)/10,0)*10,[1]Hugst!$R$4:$W$4,0))))</f>
        <v>0</v>
      </c>
      <c r="AG298" s="168">
        <f>IF($C298-AG$1&lt;År1,0,AF297*(1-VLOOKUP($A298,[1]Hugst!$R$5:$W$9,MATCH(ROUNDUP((AG$1)/10,0)*10,[1]Hugst!$R$4:$W$4,0))))</f>
        <v>0</v>
      </c>
      <c r="AH298" s="168">
        <f>IF($C298-AH$1&lt;År1,0,AG297*(1-VLOOKUP($A298,[1]Hugst!$R$5:$W$9,MATCH(ROUNDUP((AH$1)/10,0)*10,[1]Hugst!$R$4:$W$4,0))))</f>
        <v>0</v>
      </c>
      <c r="AI298" s="168">
        <f>IF($C298-AI$1&lt;År1,0,AH297*(1-VLOOKUP($A298,[1]Hugst!$R$5:$W$9,MATCH(ROUNDUP((AI$1)/10,0)*10,[1]Hugst!$R$4:$W$4,0))))</f>
        <v>0</v>
      </c>
      <c r="AJ298" s="168">
        <f>IF($C298-AJ$1&lt;År1,0,AI297*(1-VLOOKUP($A298,[1]Hugst!$R$5:$W$9,MATCH(ROUNDUP((AJ$1)/10,0)*10,[1]Hugst!$R$4:$W$4,0))))</f>
        <v>0</v>
      </c>
    </row>
    <row r="299" spans="1:36" x14ac:dyDescent="0.25">
      <c r="A299" s="168" t="s">
        <v>180</v>
      </c>
      <c r="B299" s="168" t="s">
        <v>24</v>
      </c>
      <c r="C299" s="168">
        <v>2038</v>
      </c>
      <c r="D299" s="168" cm="1">
        <f t="array" ref="D299">(IF(B299="Vestdanmark",Skovbrug!$C$22-(Skovbrug!$C$22)*(1-Skovbrug!$C$9)^(C299-Skovbrug!$B$12),Skovbrug!$F$22-(Skovbrug!$F$22)*(1-Skovbrug!$C$9)^(C299-Skovbrug!$B$12))*VLOOKUP(A299,Skovbrug!$A$13:$D$17,IF('Skovbrug-alder'!C299&lt;=År2,3,4),FALSE)-IF(C299&gt;2020,SUM(INDEX($C$1:$D$311,MATCH(1,(2020=$C$1:$C$311)*(B299=$B$1:$B$311)*(A299=$A$1:$A$311),0),2):D298),0))</f>
        <v>0</v>
      </c>
      <c r="E299" s="168">
        <f t="shared" ca="1" si="7"/>
        <v>0</v>
      </c>
      <c r="F299" s="168">
        <f ca="1">IF(C299&lt;=År2,IF(B299="Vestdanmark",(Arealanvendelse!$M$27-Arealanvendelse!$J$27),(Arealanvendelse!$M$37-Arealanvendelse!$J$37))/(Arealanvendelse!$M$3-Arealanvendelse!$J$3),IF(B299="Vestdanmark",(Arealanvendelse!$P$27-Arealanvendelse!$M$27),(Arealanvendelse!$P$37-Arealanvendelse!$M$37))/(Arealanvendelse!$P$3-Arealanvendelse!$M$3))*VLOOKUP(A299,Skovbrug!$A$13:$D$17,IF('Skovbrug-alder'!C299&lt;=År2,3,4),FALSE)+D299+E299</f>
        <v>0</v>
      </c>
      <c r="G299" s="168">
        <f ca="1">IF($C299-G$1&lt;År1,0,F298*(1-VLOOKUP($A299,[1]Hugst!$R$5:$W$9,MATCH(ROUNDUP((G$1)/10,0)*10,[1]Hugst!$R$4:$W$4,0))))</f>
        <v>0</v>
      </c>
      <c r="H299" s="168">
        <f ca="1">IF($C299-H$1&lt;År1,0,G298*(1-VLOOKUP($A299,[1]Hugst!$R$5:$W$9,MATCH(ROUNDUP((H$1)/10,0)*10,[1]Hugst!$R$4:$W$4,0))))</f>
        <v>0</v>
      </c>
      <c r="I299" s="168">
        <f ca="1">IF($C299-I$1&lt;År1,0,H298*(1-VLOOKUP($A299,[1]Hugst!$R$5:$W$9,MATCH(ROUNDUP((I$1)/10,0)*10,[1]Hugst!$R$4:$W$4,0))))</f>
        <v>0</v>
      </c>
      <c r="J299" s="168">
        <f ca="1">IF($C299-J$1&lt;År1,0,I298*(1-VLOOKUP($A299,[1]Hugst!$R$5:$W$9,MATCH(ROUNDUP((J$1)/10,0)*10,[1]Hugst!$R$4:$W$4,0))))</f>
        <v>0</v>
      </c>
      <c r="K299" s="168">
        <f ca="1">IF($C299-K$1&lt;År1,0,J298*(1-VLOOKUP($A299,[1]Hugst!$R$5:$W$9,MATCH(ROUNDUP((K$1)/10,0)*10,[1]Hugst!$R$4:$W$4,0))))</f>
        <v>0</v>
      </c>
      <c r="L299" s="168">
        <f ca="1">IF($C299-L$1&lt;År1,0,K298*(1-VLOOKUP($A299,[1]Hugst!$R$5:$W$9,MATCH(ROUNDUP((L$1)/10,0)*10,[1]Hugst!$R$4:$W$4,0))))</f>
        <v>0</v>
      </c>
      <c r="M299" s="168">
        <f ca="1">IF($C299-M$1&lt;År1,0,L298*(1-VLOOKUP($A299,[1]Hugst!$R$5:$W$9,MATCH(ROUNDUP((M$1)/10,0)*10,[1]Hugst!$R$4:$W$4,0))))</f>
        <v>0</v>
      </c>
      <c r="N299" s="168">
        <f ca="1">IF($C299-N$1&lt;År1,0,M298*(1-VLOOKUP($A299,[1]Hugst!$R$5:$W$9,MATCH(ROUNDUP((N$1)/10,0)*10,[1]Hugst!$R$4:$W$4,0))))</f>
        <v>0</v>
      </c>
      <c r="O299" s="168">
        <f ca="1">IF($C299-O$1&lt;År1,0,N298*(1-VLOOKUP($A299,[1]Hugst!$R$5:$W$9,MATCH(ROUNDUP((O$1)/10,0)*10,[1]Hugst!$R$4:$W$4,0))))</f>
        <v>0</v>
      </c>
      <c r="P299" s="168">
        <f ca="1">IF($C299-P$1&lt;År1,0,O298*(1-VLOOKUP($A299,[1]Hugst!$R$5:$W$9,MATCH(ROUNDUP((P$1)/10,0)*10,[1]Hugst!$R$4:$W$4,0))))</f>
        <v>0</v>
      </c>
      <c r="Q299" s="168">
        <f ca="1">IF($C299-Q$1&lt;År1,0,P298*(1-VLOOKUP($A299,[1]Hugst!$R$5:$W$9,MATCH(ROUNDUP((Q$1)/10,0)*10,[1]Hugst!$R$4:$W$4,0))))</f>
        <v>0</v>
      </c>
      <c r="R299" s="168">
        <f ca="1">IF($C299-R$1&lt;År1,0,Q298*(1-VLOOKUP($A299,[1]Hugst!$R$5:$W$9,MATCH(ROUNDUP((R$1)/10,0)*10,[1]Hugst!$R$4:$W$4,0))))</f>
        <v>0</v>
      </c>
      <c r="S299" s="168">
        <f ca="1">IF($C299-S$1&lt;År1,0,R298*(1-VLOOKUP($A299,[1]Hugst!$R$5:$W$9,MATCH(ROUNDUP((S$1)/10,0)*10,[1]Hugst!$R$4:$W$4,0))))</f>
        <v>0</v>
      </c>
      <c r="T299" s="168">
        <f ca="1">IF($C299-T$1&lt;År1,0,S298*(1-VLOOKUP($A299,[1]Hugst!$R$5:$W$9,MATCH(ROUNDUP((T$1)/10,0)*10,[1]Hugst!$R$4:$W$4,0))))</f>
        <v>0</v>
      </c>
      <c r="U299" s="168">
        <f ca="1">IF($C299-U$1&lt;År1,0,T298*(1-VLOOKUP($A299,[1]Hugst!$R$5:$W$9,MATCH(ROUNDUP((U$1)/10,0)*10,[1]Hugst!$R$4:$W$4,0))))</f>
        <v>0</v>
      </c>
      <c r="V299" s="168">
        <f ca="1">IF($C299-V$1&lt;År1,0,U298*(1-VLOOKUP($A299,[1]Hugst!$R$5:$W$9,MATCH(ROUNDUP((V$1)/10,0)*10,[1]Hugst!$R$4:$W$4,0))))</f>
        <v>0</v>
      </c>
      <c r="W299" s="168">
        <f ca="1">IF($C299-W$1&lt;År1,0,V298*(1-VLOOKUP($A299,[1]Hugst!$R$5:$W$9,MATCH(ROUNDUP((W$1)/10,0)*10,[1]Hugst!$R$4:$W$4,0))))</f>
        <v>0</v>
      </c>
      <c r="X299" s="168">
        <f ca="1">IF($C299-X$1&lt;År1,0,W298*(1-VLOOKUP($A299,[1]Hugst!$R$5:$W$9,MATCH(ROUNDUP((X$1)/10,0)*10,[1]Hugst!$R$4:$W$4,0))))</f>
        <v>0</v>
      </c>
      <c r="Y299" s="168">
        <f>IF($C299-Y$1&lt;År1,0,X298*(1-VLOOKUP($A299,[1]Hugst!$R$5:$W$9,MATCH(ROUNDUP((Y$1)/10,0)*10,[1]Hugst!$R$4:$W$4,0))))</f>
        <v>0</v>
      </c>
      <c r="Z299" s="168">
        <f>IF($C299-Z$1&lt;År1,0,Y298*(1-VLOOKUP($A299,[1]Hugst!$R$5:$W$9,MATCH(ROUNDUP((Z$1)/10,0)*10,[1]Hugst!$R$4:$W$4,0))))</f>
        <v>0</v>
      </c>
      <c r="AA299" s="168">
        <f>IF($C299-AA$1&lt;År1,0,Z298*(1-VLOOKUP($A299,[1]Hugst!$R$5:$W$9,MATCH(ROUNDUP((AA$1)/10,0)*10,[1]Hugst!$R$4:$W$4,0))))</f>
        <v>0</v>
      </c>
      <c r="AB299" s="168">
        <f>IF($C299-AB$1&lt;År1,0,AA298*(1-VLOOKUP($A299,[1]Hugst!$R$5:$W$9,MATCH(ROUNDUP((AB$1)/10,0)*10,[1]Hugst!$R$4:$W$4,0))))</f>
        <v>0</v>
      </c>
      <c r="AC299" s="168">
        <f>IF($C299-AC$1&lt;År1,0,AB298*(1-VLOOKUP($A299,[1]Hugst!$R$5:$W$9,MATCH(ROUNDUP((AC$1)/10,0)*10,[1]Hugst!$R$4:$W$4,0))))</f>
        <v>0</v>
      </c>
      <c r="AD299" s="168">
        <f>IF($C299-AD$1&lt;År1,0,AC298*(1-VLOOKUP($A299,[1]Hugst!$R$5:$W$9,MATCH(ROUNDUP((AD$1)/10,0)*10,[1]Hugst!$R$4:$W$4,0))))</f>
        <v>0</v>
      </c>
      <c r="AE299" s="168">
        <f>IF($C299-AE$1&lt;År1,0,AD298*(1-VLOOKUP($A299,[1]Hugst!$R$5:$W$9,MATCH(ROUNDUP((AE$1)/10,0)*10,[1]Hugst!$R$4:$W$4,0))))</f>
        <v>0</v>
      </c>
      <c r="AF299" s="168">
        <f>IF($C299-AF$1&lt;År1,0,AE298*(1-VLOOKUP($A299,[1]Hugst!$R$5:$W$9,MATCH(ROUNDUP((AF$1)/10,0)*10,[1]Hugst!$R$4:$W$4,0))))</f>
        <v>0</v>
      </c>
      <c r="AG299" s="168">
        <f>IF($C299-AG$1&lt;År1,0,AF298*(1-VLOOKUP($A299,[1]Hugst!$R$5:$W$9,MATCH(ROUNDUP((AG$1)/10,0)*10,[1]Hugst!$R$4:$W$4,0))))</f>
        <v>0</v>
      </c>
      <c r="AH299" s="168">
        <f>IF($C299-AH$1&lt;År1,0,AG298*(1-VLOOKUP($A299,[1]Hugst!$R$5:$W$9,MATCH(ROUNDUP((AH$1)/10,0)*10,[1]Hugst!$R$4:$W$4,0))))</f>
        <v>0</v>
      </c>
      <c r="AI299" s="168">
        <f>IF($C299-AI$1&lt;År1,0,AH298*(1-VLOOKUP($A299,[1]Hugst!$R$5:$W$9,MATCH(ROUNDUP((AI$1)/10,0)*10,[1]Hugst!$R$4:$W$4,0))))</f>
        <v>0</v>
      </c>
      <c r="AJ299" s="168">
        <f>IF($C299-AJ$1&lt;År1,0,AI298*(1-VLOOKUP($A299,[1]Hugst!$R$5:$W$9,MATCH(ROUNDUP((AJ$1)/10,0)*10,[1]Hugst!$R$4:$W$4,0))))</f>
        <v>0</v>
      </c>
    </row>
    <row r="300" spans="1:36" x14ac:dyDescent="0.25">
      <c r="A300" s="168" t="s">
        <v>180</v>
      </c>
      <c r="B300" s="168" t="s">
        <v>24</v>
      </c>
      <c r="C300" s="168">
        <v>2039</v>
      </c>
      <c r="D300" s="168" cm="1">
        <f t="array" ref="D300">(IF(B300="Vestdanmark",Skovbrug!$C$22-(Skovbrug!$C$22)*(1-Skovbrug!$C$9)^(C300-Skovbrug!$B$12),Skovbrug!$F$22-(Skovbrug!$F$22)*(1-Skovbrug!$C$9)^(C300-Skovbrug!$B$12))*VLOOKUP(A300,Skovbrug!$A$13:$D$17,IF('Skovbrug-alder'!C300&lt;=År2,3,4),FALSE)-IF(C300&gt;2020,SUM(INDEX($C$1:$D$311,MATCH(1,(2020=$C$1:$C$311)*(B300=$B$1:$B$311)*(A300=$A$1:$A$311),0),2):D299),0))</f>
        <v>0</v>
      </c>
      <c r="E300" s="168">
        <f t="shared" ca="1" si="7"/>
        <v>0</v>
      </c>
      <c r="F300" s="168">
        <f ca="1">IF(C300&lt;=År2,IF(B300="Vestdanmark",(Arealanvendelse!$M$27-Arealanvendelse!$J$27),(Arealanvendelse!$M$37-Arealanvendelse!$J$37))/(Arealanvendelse!$M$3-Arealanvendelse!$J$3),IF(B300="Vestdanmark",(Arealanvendelse!$P$27-Arealanvendelse!$M$27),(Arealanvendelse!$P$37-Arealanvendelse!$M$37))/(Arealanvendelse!$P$3-Arealanvendelse!$M$3))*VLOOKUP(A300,Skovbrug!$A$13:$D$17,IF('Skovbrug-alder'!C300&lt;=År2,3,4),FALSE)+D300+E300</f>
        <v>0</v>
      </c>
      <c r="G300" s="168">
        <f ca="1">IF($C300-G$1&lt;År1,0,F299*(1-VLOOKUP($A300,[1]Hugst!$R$5:$W$9,MATCH(ROUNDUP((G$1)/10,0)*10,[1]Hugst!$R$4:$W$4,0))))</f>
        <v>0</v>
      </c>
      <c r="H300" s="168">
        <f ca="1">IF($C300-H$1&lt;År1,0,G299*(1-VLOOKUP($A300,[1]Hugst!$R$5:$W$9,MATCH(ROUNDUP((H$1)/10,0)*10,[1]Hugst!$R$4:$W$4,0))))</f>
        <v>0</v>
      </c>
      <c r="I300" s="168">
        <f ca="1">IF($C300-I$1&lt;År1,0,H299*(1-VLOOKUP($A300,[1]Hugst!$R$5:$W$9,MATCH(ROUNDUP((I$1)/10,0)*10,[1]Hugst!$R$4:$W$4,0))))</f>
        <v>0</v>
      </c>
      <c r="J300" s="168">
        <f ca="1">IF($C300-J$1&lt;År1,0,I299*(1-VLOOKUP($A300,[1]Hugst!$R$5:$W$9,MATCH(ROUNDUP((J$1)/10,0)*10,[1]Hugst!$R$4:$W$4,0))))</f>
        <v>0</v>
      </c>
      <c r="K300" s="168">
        <f ca="1">IF($C300-K$1&lt;År1,0,J299*(1-VLOOKUP($A300,[1]Hugst!$R$5:$W$9,MATCH(ROUNDUP((K$1)/10,0)*10,[1]Hugst!$R$4:$W$4,0))))</f>
        <v>0</v>
      </c>
      <c r="L300" s="168">
        <f ca="1">IF($C300-L$1&lt;År1,0,K299*(1-VLOOKUP($A300,[1]Hugst!$R$5:$W$9,MATCH(ROUNDUP((L$1)/10,0)*10,[1]Hugst!$R$4:$W$4,0))))</f>
        <v>0</v>
      </c>
      <c r="M300" s="168">
        <f ca="1">IF($C300-M$1&lt;År1,0,L299*(1-VLOOKUP($A300,[1]Hugst!$R$5:$W$9,MATCH(ROUNDUP((M$1)/10,0)*10,[1]Hugst!$R$4:$W$4,0))))</f>
        <v>0</v>
      </c>
      <c r="N300" s="168">
        <f ca="1">IF($C300-N$1&lt;År1,0,M299*(1-VLOOKUP($A300,[1]Hugst!$R$5:$W$9,MATCH(ROUNDUP((N$1)/10,0)*10,[1]Hugst!$R$4:$W$4,0))))</f>
        <v>0</v>
      </c>
      <c r="O300" s="168">
        <f ca="1">IF($C300-O$1&lt;År1,0,N299*(1-VLOOKUP($A300,[1]Hugst!$R$5:$W$9,MATCH(ROUNDUP((O$1)/10,0)*10,[1]Hugst!$R$4:$W$4,0))))</f>
        <v>0</v>
      </c>
      <c r="P300" s="168">
        <f ca="1">IF($C300-P$1&lt;År1,0,O299*(1-VLOOKUP($A300,[1]Hugst!$R$5:$W$9,MATCH(ROUNDUP((P$1)/10,0)*10,[1]Hugst!$R$4:$W$4,0))))</f>
        <v>0</v>
      </c>
      <c r="Q300" s="168">
        <f ca="1">IF($C300-Q$1&lt;År1,0,P299*(1-VLOOKUP($A300,[1]Hugst!$R$5:$W$9,MATCH(ROUNDUP((Q$1)/10,0)*10,[1]Hugst!$R$4:$W$4,0))))</f>
        <v>0</v>
      </c>
      <c r="R300" s="168">
        <f ca="1">IF($C300-R$1&lt;År1,0,Q299*(1-VLOOKUP($A300,[1]Hugst!$R$5:$W$9,MATCH(ROUNDUP((R$1)/10,0)*10,[1]Hugst!$R$4:$W$4,0))))</f>
        <v>0</v>
      </c>
      <c r="S300" s="168">
        <f ca="1">IF($C300-S$1&lt;År1,0,R299*(1-VLOOKUP($A300,[1]Hugst!$R$5:$W$9,MATCH(ROUNDUP((S$1)/10,0)*10,[1]Hugst!$R$4:$W$4,0))))</f>
        <v>0</v>
      </c>
      <c r="T300" s="168">
        <f ca="1">IF($C300-T$1&lt;År1,0,S299*(1-VLOOKUP($A300,[1]Hugst!$R$5:$W$9,MATCH(ROUNDUP((T$1)/10,0)*10,[1]Hugst!$R$4:$W$4,0))))</f>
        <v>0</v>
      </c>
      <c r="U300" s="168">
        <f ca="1">IF($C300-U$1&lt;År1,0,T299*(1-VLOOKUP($A300,[1]Hugst!$R$5:$W$9,MATCH(ROUNDUP((U$1)/10,0)*10,[1]Hugst!$R$4:$W$4,0))))</f>
        <v>0</v>
      </c>
      <c r="V300" s="168">
        <f ca="1">IF($C300-V$1&lt;År1,0,U299*(1-VLOOKUP($A300,[1]Hugst!$R$5:$W$9,MATCH(ROUNDUP((V$1)/10,0)*10,[1]Hugst!$R$4:$W$4,0))))</f>
        <v>0</v>
      </c>
      <c r="W300" s="168">
        <f ca="1">IF($C300-W$1&lt;År1,0,V299*(1-VLOOKUP($A300,[1]Hugst!$R$5:$W$9,MATCH(ROUNDUP((W$1)/10,0)*10,[1]Hugst!$R$4:$W$4,0))))</f>
        <v>0</v>
      </c>
      <c r="X300" s="168">
        <f ca="1">IF($C300-X$1&lt;År1,0,W299*(1-VLOOKUP($A300,[1]Hugst!$R$5:$W$9,MATCH(ROUNDUP((X$1)/10,0)*10,[1]Hugst!$R$4:$W$4,0))))</f>
        <v>0</v>
      </c>
      <c r="Y300" s="168">
        <f ca="1">IF($C300-Y$1&lt;År1,0,X299*(1-VLOOKUP($A300,[1]Hugst!$R$5:$W$9,MATCH(ROUNDUP((Y$1)/10,0)*10,[1]Hugst!$R$4:$W$4,0))))</f>
        <v>0</v>
      </c>
      <c r="Z300" s="168">
        <f>IF($C300-Z$1&lt;År1,0,Y299*(1-VLOOKUP($A300,[1]Hugst!$R$5:$W$9,MATCH(ROUNDUP((Z$1)/10,0)*10,[1]Hugst!$R$4:$W$4,0))))</f>
        <v>0</v>
      </c>
      <c r="AA300" s="168">
        <f>IF($C300-AA$1&lt;År1,0,Z299*(1-VLOOKUP($A300,[1]Hugst!$R$5:$W$9,MATCH(ROUNDUP((AA$1)/10,0)*10,[1]Hugst!$R$4:$W$4,0))))</f>
        <v>0</v>
      </c>
      <c r="AB300" s="168">
        <f>IF($C300-AB$1&lt;År1,0,AA299*(1-VLOOKUP($A300,[1]Hugst!$R$5:$W$9,MATCH(ROUNDUP((AB$1)/10,0)*10,[1]Hugst!$R$4:$W$4,0))))</f>
        <v>0</v>
      </c>
      <c r="AC300" s="168">
        <f>IF($C300-AC$1&lt;År1,0,AB299*(1-VLOOKUP($A300,[1]Hugst!$R$5:$W$9,MATCH(ROUNDUP((AC$1)/10,0)*10,[1]Hugst!$R$4:$W$4,0))))</f>
        <v>0</v>
      </c>
      <c r="AD300" s="168">
        <f>IF($C300-AD$1&lt;År1,0,AC299*(1-VLOOKUP($A300,[1]Hugst!$R$5:$W$9,MATCH(ROUNDUP((AD$1)/10,0)*10,[1]Hugst!$R$4:$W$4,0))))</f>
        <v>0</v>
      </c>
      <c r="AE300" s="168">
        <f>IF($C300-AE$1&lt;År1,0,AD299*(1-VLOOKUP($A300,[1]Hugst!$R$5:$W$9,MATCH(ROUNDUP((AE$1)/10,0)*10,[1]Hugst!$R$4:$W$4,0))))</f>
        <v>0</v>
      </c>
      <c r="AF300" s="168">
        <f>IF($C300-AF$1&lt;År1,0,AE299*(1-VLOOKUP($A300,[1]Hugst!$R$5:$W$9,MATCH(ROUNDUP((AF$1)/10,0)*10,[1]Hugst!$R$4:$W$4,0))))</f>
        <v>0</v>
      </c>
      <c r="AG300" s="168">
        <f>IF($C300-AG$1&lt;År1,0,AF299*(1-VLOOKUP($A300,[1]Hugst!$R$5:$W$9,MATCH(ROUNDUP((AG$1)/10,0)*10,[1]Hugst!$R$4:$W$4,0))))</f>
        <v>0</v>
      </c>
      <c r="AH300" s="168">
        <f>IF($C300-AH$1&lt;År1,0,AG299*(1-VLOOKUP($A300,[1]Hugst!$R$5:$W$9,MATCH(ROUNDUP((AH$1)/10,0)*10,[1]Hugst!$R$4:$W$4,0))))</f>
        <v>0</v>
      </c>
      <c r="AI300" s="168">
        <f>IF($C300-AI$1&lt;År1,0,AH299*(1-VLOOKUP($A300,[1]Hugst!$R$5:$W$9,MATCH(ROUNDUP((AI$1)/10,0)*10,[1]Hugst!$R$4:$W$4,0))))</f>
        <v>0</v>
      </c>
      <c r="AJ300" s="168">
        <f>IF($C300-AJ$1&lt;År1,0,AI299*(1-VLOOKUP($A300,[1]Hugst!$R$5:$W$9,MATCH(ROUNDUP((AJ$1)/10,0)*10,[1]Hugst!$R$4:$W$4,0))))</f>
        <v>0</v>
      </c>
    </row>
    <row r="301" spans="1:36" x14ac:dyDescent="0.25">
      <c r="A301" s="168" t="s">
        <v>180</v>
      </c>
      <c r="B301" s="168" t="s">
        <v>24</v>
      </c>
      <c r="C301" s="168">
        <v>2040</v>
      </c>
      <c r="D301" s="168" cm="1">
        <f t="array" ref="D301">(IF(B301="Vestdanmark",Skovbrug!$C$22-(Skovbrug!$C$22)*(1-Skovbrug!$C$9)^(C301-Skovbrug!$B$12),Skovbrug!$F$22-(Skovbrug!$F$22)*(1-Skovbrug!$C$9)^(C301-Skovbrug!$B$12))*VLOOKUP(A301,Skovbrug!$A$13:$D$17,IF('Skovbrug-alder'!C301&lt;=År2,3,4),FALSE)-IF(C301&gt;2020,SUM(INDEX($C$1:$D$311,MATCH(1,(2020=$C$1:$C$311)*(B301=$B$1:$B$311)*(A301=$A$1:$A$311),0),2):D300),0))</f>
        <v>0</v>
      </c>
      <c r="E301" s="168">
        <f t="shared" ca="1" si="7"/>
        <v>0</v>
      </c>
      <c r="F301" s="168">
        <f ca="1">IF(C301&lt;=År2,IF(B301="Vestdanmark",(Arealanvendelse!$M$27-Arealanvendelse!$J$27),(Arealanvendelse!$M$37-Arealanvendelse!$J$37))/(Arealanvendelse!$M$3-Arealanvendelse!$J$3),IF(B301="Vestdanmark",(Arealanvendelse!$P$27-Arealanvendelse!$M$27),(Arealanvendelse!$P$37-Arealanvendelse!$M$37))/(Arealanvendelse!$P$3-Arealanvendelse!$M$3))*VLOOKUP(A301,Skovbrug!$A$13:$D$17,IF('Skovbrug-alder'!C301&lt;=År2,3,4),FALSE)+D301+E301</f>
        <v>0</v>
      </c>
      <c r="G301" s="168">
        <f ca="1">IF($C301-G$1&lt;År1,0,F300*(1-VLOOKUP($A301,[1]Hugst!$R$5:$W$9,MATCH(ROUNDUP((G$1)/10,0)*10,[1]Hugst!$R$4:$W$4,0))))</f>
        <v>0</v>
      </c>
      <c r="H301" s="168">
        <f ca="1">IF($C301-H$1&lt;År1,0,G300*(1-VLOOKUP($A301,[1]Hugst!$R$5:$W$9,MATCH(ROUNDUP((H$1)/10,0)*10,[1]Hugst!$R$4:$W$4,0))))</f>
        <v>0</v>
      </c>
      <c r="I301" s="168">
        <f ca="1">IF($C301-I$1&lt;År1,0,H300*(1-VLOOKUP($A301,[1]Hugst!$R$5:$W$9,MATCH(ROUNDUP((I$1)/10,0)*10,[1]Hugst!$R$4:$W$4,0))))</f>
        <v>0</v>
      </c>
      <c r="J301" s="168">
        <f ca="1">IF($C301-J$1&lt;År1,0,I300*(1-VLOOKUP($A301,[1]Hugst!$R$5:$W$9,MATCH(ROUNDUP((J$1)/10,0)*10,[1]Hugst!$R$4:$W$4,0))))</f>
        <v>0</v>
      </c>
      <c r="K301" s="168">
        <f ca="1">IF($C301-K$1&lt;År1,0,J300*(1-VLOOKUP($A301,[1]Hugst!$R$5:$W$9,MATCH(ROUNDUP((K$1)/10,0)*10,[1]Hugst!$R$4:$W$4,0))))</f>
        <v>0</v>
      </c>
      <c r="L301" s="168">
        <f ca="1">IF($C301-L$1&lt;År1,0,K300*(1-VLOOKUP($A301,[1]Hugst!$R$5:$W$9,MATCH(ROUNDUP((L$1)/10,0)*10,[1]Hugst!$R$4:$W$4,0))))</f>
        <v>0</v>
      </c>
      <c r="M301" s="168">
        <f ca="1">IF($C301-M$1&lt;År1,0,L300*(1-VLOOKUP($A301,[1]Hugst!$R$5:$W$9,MATCH(ROUNDUP((M$1)/10,0)*10,[1]Hugst!$R$4:$W$4,0))))</f>
        <v>0</v>
      </c>
      <c r="N301" s="168">
        <f ca="1">IF($C301-N$1&lt;År1,0,M300*(1-VLOOKUP($A301,[1]Hugst!$R$5:$W$9,MATCH(ROUNDUP((N$1)/10,0)*10,[1]Hugst!$R$4:$W$4,0))))</f>
        <v>0</v>
      </c>
      <c r="O301" s="168">
        <f ca="1">IF($C301-O$1&lt;År1,0,N300*(1-VLOOKUP($A301,[1]Hugst!$R$5:$W$9,MATCH(ROUNDUP((O$1)/10,0)*10,[1]Hugst!$R$4:$W$4,0))))</f>
        <v>0</v>
      </c>
      <c r="P301" s="168">
        <f ca="1">IF($C301-P$1&lt;År1,0,O300*(1-VLOOKUP($A301,[1]Hugst!$R$5:$W$9,MATCH(ROUNDUP((P$1)/10,0)*10,[1]Hugst!$R$4:$W$4,0))))</f>
        <v>0</v>
      </c>
      <c r="Q301" s="168">
        <f ca="1">IF($C301-Q$1&lt;År1,0,P300*(1-VLOOKUP($A301,[1]Hugst!$R$5:$W$9,MATCH(ROUNDUP((Q$1)/10,0)*10,[1]Hugst!$R$4:$W$4,0))))</f>
        <v>0</v>
      </c>
      <c r="R301" s="168">
        <f ca="1">IF($C301-R$1&lt;År1,0,Q300*(1-VLOOKUP($A301,[1]Hugst!$R$5:$W$9,MATCH(ROUNDUP((R$1)/10,0)*10,[1]Hugst!$R$4:$W$4,0))))</f>
        <v>0</v>
      </c>
      <c r="S301" s="168">
        <f ca="1">IF($C301-S$1&lt;År1,0,R300*(1-VLOOKUP($A301,[1]Hugst!$R$5:$W$9,MATCH(ROUNDUP((S$1)/10,0)*10,[1]Hugst!$R$4:$W$4,0))))</f>
        <v>0</v>
      </c>
      <c r="T301" s="168">
        <f ca="1">IF($C301-T$1&lt;År1,0,S300*(1-VLOOKUP($A301,[1]Hugst!$R$5:$W$9,MATCH(ROUNDUP((T$1)/10,0)*10,[1]Hugst!$R$4:$W$4,0))))</f>
        <v>0</v>
      </c>
      <c r="U301" s="168">
        <f ca="1">IF($C301-U$1&lt;År1,0,T300*(1-VLOOKUP($A301,[1]Hugst!$R$5:$W$9,MATCH(ROUNDUP((U$1)/10,0)*10,[1]Hugst!$R$4:$W$4,0))))</f>
        <v>0</v>
      </c>
      <c r="V301" s="168">
        <f ca="1">IF($C301-V$1&lt;År1,0,U300*(1-VLOOKUP($A301,[1]Hugst!$R$5:$W$9,MATCH(ROUNDUP((V$1)/10,0)*10,[1]Hugst!$R$4:$W$4,0))))</f>
        <v>0</v>
      </c>
      <c r="W301" s="168">
        <f ca="1">IF($C301-W$1&lt;År1,0,V300*(1-VLOOKUP($A301,[1]Hugst!$R$5:$W$9,MATCH(ROUNDUP((W$1)/10,0)*10,[1]Hugst!$R$4:$W$4,0))))</f>
        <v>0</v>
      </c>
      <c r="X301" s="168">
        <f ca="1">IF($C301-X$1&lt;År1,0,W300*(1-VLOOKUP($A301,[1]Hugst!$R$5:$W$9,MATCH(ROUNDUP((X$1)/10,0)*10,[1]Hugst!$R$4:$W$4,0))))</f>
        <v>0</v>
      </c>
      <c r="Y301" s="168">
        <f ca="1">IF($C301-Y$1&lt;År1,0,X300*(1-VLOOKUP($A301,[1]Hugst!$R$5:$W$9,MATCH(ROUNDUP((Y$1)/10,0)*10,[1]Hugst!$R$4:$W$4,0))))</f>
        <v>0</v>
      </c>
      <c r="Z301" s="168">
        <f ca="1">IF($C301-Z$1&lt;År1,0,Y300*(1-VLOOKUP($A301,[1]Hugst!$R$5:$W$9,MATCH(ROUNDUP((Z$1)/10,0)*10,[1]Hugst!$R$4:$W$4,0))))</f>
        <v>0</v>
      </c>
      <c r="AA301" s="168">
        <f>IF($C301-AA$1&lt;År1,0,Z300*(1-VLOOKUP($A301,[1]Hugst!$R$5:$W$9,MATCH(ROUNDUP((AA$1)/10,0)*10,[1]Hugst!$R$4:$W$4,0))))</f>
        <v>0</v>
      </c>
      <c r="AB301" s="168">
        <f>IF($C301-AB$1&lt;År1,0,AA300*(1-VLOOKUP($A301,[1]Hugst!$R$5:$W$9,MATCH(ROUNDUP((AB$1)/10,0)*10,[1]Hugst!$R$4:$W$4,0))))</f>
        <v>0</v>
      </c>
      <c r="AC301" s="168">
        <f>IF($C301-AC$1&lt;År1,0,AB300*(1-VLOOKUP($A301,[1]Hugst!$R$5:$W$9,MATCH(ROUNDUP((AC$1)/10,0)*10,[1]Hugst!$R$4:$W$4,0))))</f>
        <v>0</v>
      </c>
      <c r="AD301" s="168">
        <f>IF($C301-AD$1&lt;År1,0,AC300*(1-VLOOKUP($A301,[1]Hugst!$R$5:$W$9,MATCH(ROUNDUP((AD$1)/10,0)*10,[1]Hugst!$R$4:$W$4,0))))</f>
        <v>0</v>
      </c>
      <c r="AE301" s="168">
        <f>IF($C301-AE$1&lt;År1,0,AD300*(1-VLOOKUP($A301,[1]Hugst!$R$5:$W$9,MATCH(ROUNDUP((AE$1)/10,0)*10,[1]Hugst!$R$4:$W$4,0))))</f>
        <v>0</v>
      </c>
      <c r="AF301" s="168">
        <f>IF($C301-AF$1&lt;År1,0,AE300*(1-VLOOKUP($A301,[1]Hugst!$R$5:$W$9,MATCH(ROUNDUP((AF$1)/10,0)*10,[1]Hugst!$R$4:$W$4,0))))</f>
        <v>0</v>
      </c>
      <c r="AG301" s="168">
        <f>IF($C301-AG$1&lt;År1,0,AF300*(1-VLOOKUP($A301,[1]Hugst!$R$5:$W$9,MATCH(ROUNDUP((AG$1)/10,0)*10,[1]Hugst!$R$4:$W$4,0))))</f>
        <v>0</v>
      </c>
      <c r="AH301" s="168">
        <f>IF($C301-AH$1&lt;År1,0,AG300*(1-VLOOKUP($A301,[1]Hugst!$R$5:$W$9,MATCH(ROUNDUP((AH$1)/10,0)*10,[1]Hugst!$R$4:$W$4,0))))</f>
        <v>0</v>
      </c>
      <c r="AI301" s="168">
        <f>IF($C301-AI$1&lt;År1,0,AH300*(1-VLOOKUP($A301,[1]Hugst!$R$5:$W$9,MATCH(ROUNDUP((AI$1)/10,0)*10,[1]Hugst!$R$4:$W$4,0))))</f>
        <v>0</v>
      </c>
      <c r="AJ301" s="168">
        <f>IF($C301-AJ$1&lt;År1,0,AI300*(1-VLOOKUP($A301,[1]Hugst!$R$5:$W$9,MATCH(ROUNDUP((AJ$1)/10,0)*10,[1]Hugst!$R$4:$W$4,0))))</f>
        <v>0</v>
      </c>
    </row>
    <row r="302" spans="1:36" x14ac:dyDescent="0.25">
      <c r="A302" s="168" t="s">
        <v>180</v>
      </c>
      <c r="B302" s="168" t="s">
        <v>24</v>
      </c>
      <c r="C302" s="168">
        <v>2041</v>
      </c>
      <c r="D302" s="168" cm="1">
        <f t="array" ref="D302">(IF(B302="Vestdanmark",Skovbrug!$C$22-(Skovbrug!$C$22)*(1-Skovbrug!$C$9)^(C302-Skovbrug!$B$12),Skovbrug!$F$22-(Skovbrug!$F$22)*(1-Skovbrug!$C$9)^(C302-Skovbrug!$B$12))*VLOOKUP(A302,Skovbrug!$A$13:$D$17,IF('Skovbrug-alder'!C302&lt;=År2,3,4),FALSE)-IF(C302&gt;2020,SUM(INDEX($C$1:$D$311,MATCH(1,(2020=$C$1:$C$311)*(B302=$B$1:$B$311)*(A302=$A$1:$A$311),0),2):D301),0))</f>
        <v>0</v>
      </c>
      <c r="E302" s="168">
        <f t="shared" ca="1" si="7"/>
        <v>0</v>
      </c>
      <c r="F302" s="168">
        <f ca="1">IF(C302&lt;=År2,IF(B302="Vestdanmark",(Arealanvendelse!$M$27-Arealanvendelse!$J$27),(Arealanvendelse!$M$37-Arealanvendelse!$J$37))/(Arealanvendelse!$M$3-Arealanvendelse!$J$3),IF(B302="Vestdanmark",(Arealanvendelse!$P$27-Arealanvendelse!$M$27),(Arealanvendelse!$P$37-Arealanvendelse!$M$37))/(Arealanvendelse!$P$3-Arealanvendelse!$M$3))*VLOOKUP(A302,Skovbrug!$A$13:$D$17,IF('Skovbrug-alder'!C302&lt;=År2,3,4),FALSE)+D302+E302</f>
        <v>0</v>
      </c>
      <c r="G302" s="168">
        <f ca="1">IF($C302-G$1&lt;År1,0,F301*(1-VLOOKUP($A302,[1]Hugst!$R$5:$W$9,MATCH(ROUNDUP((G$1)/10,0)*10,[1]Hugst!$R$4:$W$4,0))))</f>
        <v>0</v>
      </c>
      <c r="H302" s="168">
        <f ca="1">IF($C302-H$1&lt;År1,0,G301*(1-VLOOKUP($A302,[1]Hugst!$R$5:$W$9,MATCH(ROUNDUP((H$1)/10,0)*10,[1]Hugst!$R$4:$W$4,0))))</f>
        <v>0</v>
      </c>
      <c r="I302" s="168">
        <f ca="1">IF($C302-I$1&lt;År1,0,H301*(1-VLOOKUP($A302,[1]Hugst!$R$5:$W$9,MATCH(ROUNDUP((I$1)/10,0)*10,[1]Hugst!$R$4:$W$4,0))))</f>
        <v>0</v>
      </c>
      <c r="J302" s="168">
        <f ca="1">IF($C302-J$1&lt;År1,0,I301*(1-VLOOKUP($A302,[1]Hugst!$R$5:$W$9,MATCH(ROUNDUP((J$1)/10,0)*10,[1]Hugst!$R$4:$W$4,0))))</f>
        <v>0</v>
      </c>
      <c r="K302" s="168">
        <f ca="1">IF($C302-K$1&lt;År1,0,J301*(1-VLOOKUP($A302,[1]Hugst!$R$5:$W$9,MATCH(ROUNDUP((K$1)/10,0)*10,[1]Hugst!$R$4:$W$4,0))))</f>
        <v>0</v>
      </c>
      <c r="L302" s="168">
        <f ca="1">IF($C302-L$1&lt;År1,0,K301*(1-VLOOKUP($A302,[1]Hugst!$R$5:$W$9,MATCH(ROUNDUP((L$1)/10,0)*10,[1]Hugst!$R$4:$W$4,0))))</f>
        <v>0</v>
      </c>
      <c r="M302" s="168">
        <f ca="1">IF($C302-M$1&lt;År1,0,L301*(1-VLOOKUP($A302,[1]Hugst!$R$5:$W$9,MATCH(ROUNDUP((M$1)/10,0)*10,[1]Hugst!$R$4:$W$4,0))))</f>
        <v>0</v>
      </c>
      <c r="N302" s="168">
        <f ca="1">IF($C302-N$1&lt;År1,0,M301*(1-VLOOKUP($A302,[1]Hugst!$R$5:$W$9,MATCH(ROUNDUP((N$1)/10,0)*10,[1]Hugst!$R$4:$W$4,0))))</f>
        <v>0</v>
      </c>
      <c r="O302" s="168">
        <f ca="1">IF($C302-O$1&lt;År1,0,N301*(1-VLOOKUP($A302,[1]Hugst!$R$5:$W$9,MATCH(ROUNDUP((O$1)/10,0)*10,[1]Hugst!$R$4:$W$4,0))))</f>
        <v>0</v>
      </c>
      <c r="P302" s="168">
        <f ca="1">IF($C302-P$1&lt;År1,0,O301*(1-VLOOKUP($A302,[1]Hugst!$R$5:$W$9,MATCH(ROUNDUP((P$1)/10,0)*10,[1]Hugst!$R$4:$W$4,0))))</f>
        <v>0</v>
      </c>
      <c r="Q302" s="168">
        <f ca="1">IF($C302-Q$1&lt;År1,0,P301*(1-VLOOKUP($A302,[1]Hugst!$R$5:$W$9,MATCH(ROUNDUP((Q$1)/10,0)*10,[1]Hugst!$R$4:$W$4,0))))</f>
        <v>0</v>
      </c>
      <c r="R302" s="168">
        <f ca="1">IF($C302-R$1&lt;År1,0,Q301*(1-VLOOKUP($A302,[1]Hugst!$R$5:$W$9,MATCH(ROUNDUP((R$1)/10,0)*10,[1]Hugst!$R$4:$W$4,0))))</f>
        <v>0</v>
      </c>
      <c r="S302" s="168">
        <f ca="1">IF($C302-S$1&lt;År1,0,R301*(1-VLOOKUP($A302,[1]Hugst!$R$5:$W$9,MATCH(ROUNDUP((S$1)/10,0)*10,[1]Hugst!$R$4:$W$4,0))))</f>
        <v>0</v>
      </c>
      <c r="T302" s="168">
        <f ca="1">IF($C302-T$1&lt;År1,0,S301*(1-VLOOKUP($A302,[1]Hugst!$R$5:$W$9,MATCH(ROUNDUP((T$1)/10,0)*10,[1]Hugst!$R$4:$W$4,0))))</f>
        <v>0</v>
      </c>
      <c r="U302" s="168">
        <f ca="1">IF($C302-U$1&lt;År1,0,T301*(1-VLOOKUP($A302,[1]Hugst!$R$5:$W$9,MATCH(ROUNDUP((U$1)/10,0)*10,[1]Hugst!$R$4:$W$4,0))))</f>
        <v>0</v>
      </c>
      <c r="V302" s="168">
        <f ca="1">IF($C302-V$1&lt;År1,0,U301*(1-VLOOKUP($A302,[1]Hugst!$R$5:$W$9,MATCH(ROUNDUP((V$1)/10,0)*10,[1]Hugst!$R$4:$W$4,0))))</f>
        <v>0</v>
      </c>
      <c r="W302" s="168">
        <f ca="1">IF($C302-W$1&lt;År1,0,V301*(1-VLOOKUP($A302,[1]Hugst!$R$5:$W$9,MATCH(ROUNDUP((W$1)/10,0)*10,[1]Hugst!$R$4:$W$4,0))))</f>
        <v>0</v>
      </c>
      <c r="X302" s="168">
        <f ca="1">IF($C302-X$1&lt;År1,0,W301*(1-VLOOKUP($A302,[1]Hugst!$R$5:$W$9,MATCH(ROUNDUP((X$1)/10,0)*10,[1]Hugst!$R$4:$W$4,0))))</f>
        <v>0</v>
      </c>
      <c r="Y302" s="168">
        <f ca="1">IF($C302-Y$1&lt;År1,0,X301*(1-VLOOKUP($A302,[1]Hugst!$R$5:$W$9,MATCH(ROUNDUP((Y$1)/10,0)*10,[1]Hugst!$R$4:$W$4,0))))</f>
        <v>0</v>
      </c>
      <c r="Z302" s="168">
        <f ca="1">IF($C302-Z$1&lt;År1,0,Y301*(1-VLOOKUP($A302,[1]Hugst!$R$5:$W$9,MATCH(ROUNDUP((Z$1)/10,0)*10,[1]Hugst!$R$4:$W$4,0))))</f>
        <v>0</v>
      </c>
      <c r="AA302" s="168">
        <f ca="1">IF($C302-AA$1&lt;År1,0,Z301*(1-VLOOKUP($A302,[1]Hugst!$R$5:$W$9,MATCH(ROUNDUP((AA$1)/10,0)*10,[1]Hugst!$R$4:$W$4,0))))</f>
        <v>0</v>
      </c>
      <c r="AB302" s="168">
        <f>IF($C302-AB$1&lt;År1,0,AA301*(1-VLOOKUP($A302,[1]Hugst!$R$5:$W$9,MATCH(ROUNDUP((AB$1)/10,0)*10,[1]Hugst!$R$4:$W$4,0))))</f>
        <v>0</v>
      </c>
      <c r="AC302" s="168">
        <f>IF($C302-AC$1&lt;År1,0,AB301*(1-VLOOKUP($A302,[1]Hugst!$R$5:$W$9,MATCH(ROUNDUP((AC$1)/10,0)*10,[1]Hugst!$R$4:$W$4,0))))</f>
        <v>0</v>
      </c>
      <c r="AD302" s="168">
        <f>IF($C302-AD$1&lt;År1,0,AC301*(1-VLOOKUP($A302,[1]Hugst!$R$5:$W$9,MATCH(ROUNDUP((AD$1)/10,0)*10,[1]Hugst!$R$4:$W$4,0))))</f>
        <v>0</v>
      </c>
      <c r="AE302" s="168">
        <f>IF($C302-AE$1&lt;År1,0,AD301*(1-VLOOKUP($A302,[1]Hugst!$R$5:$W$9,MATCH(ROUNDUP((AE$1)/10,0)*10,[1]Hugst!$R$4:$W$4,0))))</f>
        <v>0</v>
      </c>
      <c r="AF302" s="168">
        <f>IF($C302-AF$1&lt;År1,0,AE301*(1-VLOOKUP($A302,[1]Hugst!$R$5:$W$9,MATCH(ROUNDUP((AF$1)/10,0)*10,[1]Hugst!$R$4:$W$4,0))))</f>
        <v>0</v>
      </c>
      <c r="AG302" s="168">
        <f>IF($C302-AG$1&lt;År1,0,AF301*(1-VLOOKUP($A302,[1]Hugst!$R$5:$W$9,MATCH(ROUNDUP((AG$1)/10,0)*10,[1]Hugst!$R$4:$W$4,0))))</f>
        <v>0</v>
      </c>
      <c r="AH302" s="168">
        <f>IF($C302-AH$1&lt;År1,0,AG301*(1-VLOOKUP($A302,[1]Hugst!$R$5:$W$9,MATCH(ROUNDUP((AH$1)/10,0)*10,[1]Hugst!$R$4:$W$4,0))))</f>
        <v>0</v>
      </c>
      <c r="AI302" s="168">
        <f>IF($C302-AI$1&lt;År1,0,AH301*(1-VLOOKUP($A302,[1]Hugst!$R$5:$W$9,MATCH(ROUNDUP((AI$1)/10,0)*10,[1]Hugst!$R$4:$W$4,0))))</f>
        <v>0</v>
      </c>
      <c r="AJ302" s="168">
        <f>IF($C302-AJ$1&lt;År1,0,AI301*(1-VLOOKUP($A302,[1]Hugst!$R$5:$W$9,MATCH(ROUNDUP((AJ$1)/10,0)*10,[1]Hugst!$R$4:$W$4,0))))</f>
        <v>0</v>
      </c>
    </row>
    <row r="303" spans="1:36" x14ac:dyDescent="0.25">
      <c r="A303" s="168" t="s">
        <v>180</v>
      </c>
      <c r="B303" s="168" t="s">
        <v>24</v>
      </c>
      <c r="C303" s="168">
        <v>2042</v>
      </c>
      <c r="D303" s="168" cm="1">
        <f t="array" ref="D303">(IF(B303="Vestdanmark",Skovbrug!$C$22-(Skovbrug!$C$22)*(1-Skovbrug!$C$9)^(C303-Skovbrug!$B$12),Skovbrug!$F$22-(Skovbrug!$F$22)*(1-Skovbrug!$C$9)^(C303-Skovbrug!$B$12))*VLOOKUP(A303,Skovbrug!$A$13:$D$17,IF('Skovbrug-alder'!C303&lt;=År2,3,4),FALSE)-IF(C303&gt;2020,SUM(INDEX($C$1:$D$311,MATCH(1,(2020=$C$1:$C$311)*(B303=$B$1:$B$311)*(A303=$A$1:$A$311),0),2):D302),0))</f>
        <v>0</v>
      </c>
      <c r="E303" s="168">
        <f t="shared" ca="1" si="7"/>
        <v>0</v>
      </c>
      <c r="F303" s="168">
        <f ca="1">IF(C303&lt;=År2,IF(B303="Vestdanmark",(Arealanvendelse!$M$27-Arealanvendelse!$J$27),(Arealanvendelse!$M$37-Arealanvendelse!$J$37))/(Arealanvendelse!$M$3-Arealanvendelse!$J$3),IF(B303="Vestdanmark",(Arealanvendelse!$P$27-Arealanvendelse!$M$27),(Arealanvendelse!$P$37-Arealanvendelse!$M$37))/(Arealanvendelse!$P$3-Arealanvendelse!$M$3))*VLOOKUP(A303,Skovbrug!$A$13:$D$17,IF('Skovbrug-alder'!C303&lt;=År2,3,4),FALSE)+D303+E303</f>
        <v>0</v>
      </c>
      <c r="G303" s="168">
        <f ca="1">IF($C303-G$1&lt;År1,0,F302*(1-VLOOKUP($A303,[1]Hugst!$R$5:$W$9,MATCH(ROUNDUP((G$1)/10,0)*10,[1]Hugst!$R$4:$W$4,0))))</f>
        <v>0</v>
      </c>
      <c r="H303" s="168">
        <f ca="1">IF($C303-H$1&lt;År1,0,G302*(1-VLOOKUP($A303,[1]Hugst!$R$5:$W$9,MATCH(ROUNDUP((H$1)/10,0)*10,[1]Hugst!$R$4:$W$4,0))))</f>
        <v>0</v>
      </c>
      <c r="I303" s="168">
        <f ca="1">IF($C303-I$1&lt;År1,0,H302*(1-VLOOKUP($A303,[1]Hugst!$R$5:$W$9,MATCH(ROUNDUP((I$1)/10,0)*10,[1]Hugst!$R$4:$W$4,0))))</f>
        <v>0</v>
      </c>
      <c r="J303" s="168">
        <f ca="1">IF($C303-J$1&lt;År1,0,I302*(1-VLOOKUP($A303,[1]Hugst!$R$5:$W$9,MATCH(ROUNDUP((J$1)/10,0)*10,[1]Hugst!$R$4:$W$4,0))))</f>
        <v>0</v>
      </c>
      <c r="K303" s="168">
        <f ca="1">IF($C303-K$1&lt;År1,0,J302*(1-VLOOKUP($A303,[1]Hugst!$R$5:$W$9,MATCH(ROUNDUP((K$1)/10,0)*10,[1]Hugst!$R$4:$W$4,0))))</f>
        <v>0</v>
      </c>
      <c r="L303" s="168">
        <f ca="1">IF($C303-L$1&lt;År1,0,K302*(1-VLOOKUP($A303,[1]Hugst!$R$5:$W$9,MATCH(ROUNDUP((L$1)/10,0)*10,[1]Hugst!$R$4:$W$4,0))))</f>
        <v>0</v>
      </c>
      <c r="M303" s="168">
        <f ca="1">IF($C303-M$1&lt;År1,0,L302*(1-VLOOKUP($A303,[1]Hugst!$R$5:$W$9,MATCH(ROUNDUP((M$1)/10,0)*10,[1]Hugst!$R$4:$W$4,0))))</f>
        <v>0</v>
      </c>
      <c r="N303" s="168">
        <f ca="1">IF($C303-N$1&lt;År1,0,M302*(1-VLOOKUP($A303,[1]Hugst!$R$5:$W$9,MATCH(ROUNDUP((N$1)/10,0)*10,[1]Hugst!$R$4:$W$4,0))))</f>
        <v>0</v>
      </c>
      <c r="O303" s="168">
        <f ca="1">IF($C303-O$1&lt;År1,0,N302*(1-VLOOKUP($A303,[1]Hugst!$R$5:$W$9,MATCH(ROUNDUP((O$1)/10,0)*10,[1]Hugst!$R$4:$W$4,0))))</f>
        <v>0</v>
      </c>
      <c r="P303" s="168">
        <f ca="1">IF($C303-P$1&lt;År1,0,O302*(1-VLOOKUP($A303,[1]Hugst!$R$5:$W$9,MATCH(ROUNDUP((P$1)/10,0)*10,[1]Hugst!$R$4:$W$4,0))))</f>
        <v>0</v>
      </c>
      <c r="Q303" s="168">
        <f ca="1">IF($C303-Q$1&lt;År1,0,P302*(1-VLOOKUP($A303,[1]Hugst!$R$5:$W$9,MATCH(ROUNDUP((Q$1)/10,0)*10,[1]Hugst!$R$4:$W$4,0))))</f>
        <v>0</v>
      </c>
      <c r="R303" s="168">
        <f ca="1">IF($C303-R$1&lt;År1,0,Q302*(1-VLOOKUP($A303,[1]Hugst!$R$5:$W$9,MATCH(ROUNDUP((R$1)/10,0)*10,[1]Hugst!$R$4:$W$4,0))))</f>
        <v>0</v>
      </c>
      <c r="S303" s="168">
        <f ca="1">IF($C303-S$1&lt;År1,0,R302*(1-VLOOKUP($A303,[1]Hugst!$R$5:$W$9,MATCH(ROUNDUP((S$1)/10,0)*10,[1]Hugst!$R$4:$W$4,0))))</f>
        <v>0</v>
      </c>
      <c r="T303" s="168">
        <f ca="1">IF($C303-T$1&lt;År1,0,S302*(1-VLOOKUP($A303,[1]Hugst!$R$5:$W$9,MATCH(ROUNDUP((T$1)/10,0)*10,[1]Hugst!$R$4:$W$4,0))))</f>
        <v>0</v>
      </c>
      <c r="U303" s="168">
        <f ca="1">IF($C303-U$1&lt;År1,0,T302*(1-VLOOKUP($A303,[1]Hugst!$R$5:$W$9,MATCH(ROUNDUP((U$1)/10,0)*10,[1]Hugst!$R$4:$W$4,0))))</f>
        <v>0</v>
      </c>
      <c r="V303" s="168">
        <f ca="1">IF($C303-V$1&lt;År1,0,U302*(1-VLOOKUP($A303,[1]Hugst!$R$5:$W$9,MATCH(ROUNDUP((V$1)/10,0)*10,[1]Hugst!$R$4:$W$4,0))))</f>
        <v>0</v>
      </c>
      <c r="W303" s="168">
        <f ca="1">IF($C303-W$1&lt;År1,0,V302*(1-VLOOKUP($A303,[1]Hugst!$R$5:$W$9,MATCH(ROUNDUP((W$1)/10,0)*10,[1]Hugst!$R$4:$W$4,0))))</f>
        <v>0</v>
      </c>
      <c r="X303" s="168">
        <f ca="1">IF($C303-X$1&lt;År1,0,W302*(1-VLOOKUP($A303,[1]Hugst!$R$5:$W$9,MATCH(ROUNDUP((X$1)/10,0)*10,[1]Hugst!$R$4:$W$4,0))))</f>
        <v>0</v>
      </c>
      <c r="Y303" s="168">
        <f ca="1">IF($C303-Y$1&lt;År1,0,X302*(1-VLOOKUP($A303,[1]Hugst!$R$5:$W$9,MATCH(ROUNDUP((Y$1)/10,0)*10,[1]Hugst!$R$4:$W$4,0))))</f>
        <v>0</v>
      </c>
      <c r="Z303" s="168">
        <f ca="1">IF($C303-Z$1&lt;År1,0,Y302*(1-VLOOKUP($A303,[1]Hugst!$R$5:$W$9,MATCH(ROUNDUP((Z$1)/10,0)*10,[1]Hugst!$R$4:$W$4,0))))</f>
        <v>0</v>
      </c>
      <c r="AA303" s="168">
        <f ca="1">IF($C303-AA$1&lt;År1,0,Z302*(1-VLOOKUP($A303,[1]Hugst!$R$5:$W$9,MATCH(ROUNDUP((AA$1)/10,0)*10,[1]Hugst!$R$4:$W$4,0))))</f>
        <v>0</v>
      </c>
      <c r="AB303" s="168">
        <f ca="1">IF($C303-AB$1&lt;År1,0,AA302*(1-VLOOKUP($A303,[1]Hugst!$R$5:$W$9,MATCH(ROUNDUP((AB$1)/10,0)*10,[1]Hugst!$R$4:$W$4,0))))</f>
        <v>0</v>
      </c>
      <c r="AC303" s="168">
        <f>IF($C303-AC$1&lt;År1,0,AB302*(1-VLOOKUP($A303,[1]Hugst!$R$5:$W$9,MATCH(ROUNDUP((AC$1)/10,0)*10,[1]Hugst!$R$4:$W$4,0))))</f>
        <v>0</v>
      </c>
      <c r="AD303" s="168">
        <f>IF($C303-AD$1&lt;År1,0,AC302*(1-VLOOKUP($A303,[1]Hugst!$R$5:$W$9,MATCH(ROUNDUP((AD$1)/10,0)*10,[1]Hugst!$R$4:$W$4,0))))</f>
        <v>0</v>
      </c>
      <c r="AE303" s="168">
        <f>IF($C303-AE$1&lt;År1,0,AD302*(1-VLOOKUP($A303,[1]Hugst!$R$5:$W$9,MATCH(ROUNDUP((AE$1)/10,0)*10,[1]Hugst!$R$4:$W$4,0))))</f>
        <v>0</v>
      </c>
      <c r="AF303" s="168">
        <f>IF($C303-AF$1&lt;År1,0,AE302*(1-VLOOKUP($A303,[1]Hugst!$R$5:$W$9,MATCH(ROUNDUP((AF$1)/10,0)*10,[1]Hugst!$R$4:$W$4,0))))</f>
        <v>0</v>
      </c>
      <c r="AG303" s="168">
        <f>IF($C303-AG$1&lt;År1,0,AF302*(1-VLOOKUP($A303,[1]Hugst!$R$5:$W$9,MATCH(ROUNDUP((AG$1)/10,0)*10,[1]Hugst!$R$4:$W$4,0))))</f>
        <v>0</v>
      </c>
      <c r="AH303" s="168">
        <f>IF($C303-AH$1&lt;År1,0,AG302*(1-VLOOKUP($A303,[1]Hugst!$R$5:$W$9,MATCH(ROUNDUP((AH$1)/10,0)*10,[1]Hugst!$R$4:$W$4,0))))</f>
        <v>0</v>
      </c>
      <c r="AI303" s="168">
        <f>IF($C303-AI$1&lt;År1,0,AH302*(1-VLOOKUP($A303,[1]Hugst!$R$5:$W$9,MATCH(ROUNDUP((AI$1)/10,0)*10,[1]Hugst!$R$4:$W$4,0))))</f>
        <v>0</v>
      </c>
      <c r="AJ303" s="168">
        <f>IF($C303-AJ$1&lt;År1,0,AI302*(1-VLOOKUP($A303,[1]Hugst!$R$5:$W$9,MATCH(ROUNDUP((AJ$1)/10,0)*10,[1]Hugst!$R$4:$W$4,0))))</f>
        <v>0</v>
      </c>
    </row>
    <row r="304" spans="1:36" x14ac:dyDescent="0.25">
      <c r="A304" s="168" t="s">
        <v>180</v>
      </c>
      <c r="B304" s="168" t="s">
        <v>24</v>
      </c>
      <c r="C304" s="168">
        <v>2043</v>
      </c>
      <c r="D304" s="168" cm="1">
        <f t="array" ref="D304">(IF(B304="Vestdanmark",Skovbrug!$C$22-(Skovbrug!$C$22)*(1-Skovbrug!$C$9)^(C304-Skovbrug!$B$12),Skovbrug!$F$22-(Skovbrug!$F$22)*(1-Skovbrug!$C$9)^(C304-Skovbrug!$B$12))*VLOOKUP(A304,Skovbrug!$A$13:$D$17,IF('Skovbrug-alder'!C304&lt;=År2,3,4),FALSE)-IF(C304&gt;2020,SUM(INDEX($C$1:$D$311,MATCH(1,(2020=$C$1:$C$311)*(B304=$B$1:$B$311)*(A304=$A$1:$A$311),0),2):D303),0))</f>
        <v>0</v>
      </c>
      <c r="E304" s="168">
        <f t="shared" ca="1" si="7"/>
        <v>0</v>
      </c>
      <c r="F304" s="168">
        <f ca="1">IF(C304&lt;=År2,IF(B304="Vestdanmark",(Arealanvendelse!$M$27-Arealanvendelse!$J$27),(Arealanvendelse!$M$37-Arealanvendelse!$J$37))/(Arealanvendelse!$M$3-Arealanvendelse!$J$3),IF(B304="Vestdanmark",(Arealanvendelse!$P$27-Arealanvendelse!$M$27),(Arealanvendelse!$P$37-Arealanvendelse!$M$37))/(Arealanvendelse!$P$3-Arealanvendelse!$M$3))*VLOOKUP(A304,Skovbrug!$A$13:$D$17,IF('Skovbrug-alder'!C304&lt;=År2,3,4),FALSE)+D304+E304</f>
        <v>0</v>
      </c>
      <c r="G304" s="168">
        <f ca="1">IF($C304-G$1&lt;År1,0,F303*(1-VLOOKUP($A304,[1]Hugst!$R$5:$W$9,MATCH(ROUNDUP((G$1)/10,0)*10,[1]Hugst!$R$4:$W$4,0))))</f>
        <v>0</v>
      </c>
      <c r="H304" s="168">
        <f ca="1">IF($C304-H$1&lt;År1,0,G303*(1-VLOOKUP($A304,[1]Hugst!$R$5:$W$9,MATCH(ROUNDUP((H$1)/10,0)*10,[1]Hugst!$R$4:$W$4,0))))</f>
        <v>0</v>
      </c>
      <c r="I304" s="168">
        <f ca="1">IF($C304-I$1&lt;År1,0,H303*(1-VLOOKUP($A304,[1]Hugst!$R$5:$W$9,MATCH(ROUNDUP((I$1)/10,0)*10,[1]Hugst!$R$4:$W$4,0))))</f>
        <v>0</v>
      </c>
      <c r="J304" s="168">
        <f ca="1">IF($C304-J$1&lt;År1,0,I303*(1-VLOOKUP($A304,[1]Hugst!$R$5:$W$9,MATCH(ROUNDUP((J$1)/10,0)*10,[1]Hugst!$R$4:$W$4,0))))</f>
        <v>0</v>
      </c>
      <c r="K304" s="168">
        <f ca="1">IF($C304-K$1&lt;År1,0,J303*(1-VLOOKUP($A304,[1]Hugst!$R$5:$W$9,MATCH(ROUNDUP((K$1)/10,0)*10,[1]Hugst!$R$4:$W$4,0))))</f>
        <v>0</v>
      </c>
      <c r="L304" s="168">
        <f ca="1">IF($C304-L$1&lt;År1,0,K303*(1-VLOOKUP($A304,[1]Hugst!$R$5:$W$9,MATCH(ROUNDUP((L$1)/10,0)*10,[1]Hugst!$R$4:$W$4,0))))</f>
        <v>0</v>
      </c>
      <c r="M304" s="168">
        <f ca="1">IF($C304-M$1&lt;År1,0,L303*(1-VLOOKUP($A304,[1]Hugst!$R$5:$W$9,MATCH(ROUNDUP((M$1)/10,0)*10,[1]Hugst!$R$4:$W$4,0))))</f>
        <v>0</v>
      </c>
      <c r="N304" s="168">
        <f ca="1">IF($C304-N$1&lt;År1,0,M303*(1-VLOOKUP($A304,[1]Hugst!$R$5:$W$9,MATCH(ROUNDUP((N$1)/10,0)*10,[1]Hugst!$R$4:$W$4,0))))</f>
        <v>0</v>
      </c>
      <c r="O304" s="168">
        <f ca="1">IF($C304-O$1&lt;År1,0,N303*(1-VLOOKUP($A304,[1]Hugst!$R$5:$W$9,MATCH(ROUNDUP((O$1)/10,0)*10,[1]Hugst!$R$4:$W$4,0))))</f>
        <v>0</v>
      </c>
      <c r="P304" s="168">
        <f ca="1">IF($C304-P$1&lt;År1,0,O303*(1-VLOOKUP($A304,[1]Hugst!$R$5:$W$9,MATCH(ROUNDUP((P$1)/10,0)*10,[1]Hugst!$R$4:$W$4,0))))</f>
        <v>0</v>
      </c>
      <c r="Q304" s="168">
        <f ca="1">IF($C304-Q$1&lt;År1,0,P303*(1-VLOOKUP($A304,[1]Hugst!$R$5:$W$9,MATCH(ROUNDUP((Q$1)/10,0)*10,[1]Hugst!$R$4:$W$4,0))))</f>
        <v>0</v>
      </c>
      <c r="R304" s="168">
        <f ca="1">IF($C304-R$1&lt;År1,0,Q303*(1-VLOOKUP($A304,[1]Hugst!$R$5:$W$9,MATCH(ROUNDUP((R$1)/10,0)*10,[1]Hugst!$R$4:$W$4,0))))</f>
        <v>0</v>
      </c>
      <c r="S304" s="168">
        <f ca="1">IF($C304-S$1&lt;År1,0,R303*(1-VLOOKUP($A304,[1]Hugst!$R$5:$W$9,MATCH(ROUNDUP((S$1)/10,0)*10,[1]Hugst!$R$4:$W$4,0))))</f>
        <v>0</v>
      </c>
      <c r="T304" s="168">
        <f ca="1">IF($C304-T$1&lt;År1,0,S303*(1-VLOOKUP($A304,[1]Hugst!$R$5:$W$9,MATCH(ROUNDUP((T$1)/10,0)*10,[1]Hugst!$R$4:$W$4,0))))</f>
        <v>0</v>
      </c>
      <c r="U304" s="168">
        <f ca="1">IF($C304-U$1&lt;År1,0,T303*(1-VLOOKUP($A304,[1]Hugst!$R$5:$W$9,MATCH(ROUNDUP((U$1)/10,0)*10,[1]Hugst!$R$4:$W$4,0))))</f>
        <v>0</v>
      </c>
      <c r="V304" s="168">
        <f ca="1">IF($C304-V$1&lt;År1,0,U303*(1-VLOOKUP($A304,[1]Hugst!$R$5:$W$9,MATCH(ROUNDUP((V$1)/10,0)*10,[1]Hugst!$R$4:$W$4,0))))</f>
        <v>0</v>
      </c>
      <c r="W304" s="168">
        <f ca="1">IF($C304-W$1&lt;År1,0,V303*(1-VLOOKUP($A304,[1]Hugst!$R$5:$W$9,MATCH(ROUNDUP((W$1)/10,0)*10,[1]Hugst!$R$4:$W$4,0))))</f>
        <v>0</v>
      </c>
      <c r="X304" s="168">
        <f ca="1">IF($C304-X$1&lt;År1,0,W303*(1-VLOOKUP($A304,[1]Hugst!$R$5:$W$9,MATCH(ROUNDUP((X$1)/10,0)*10,[1]Hugst!$R$4:$W$4,0))))</f>
        <v>0</v>
      </c>
      <c r="Y304" s="168">
        <f ca="1">IF($C304-Y$1&lt;År1,0,X303*(1-VLOOKUP($A304,[1]Hugst!$R$5:$W$9,MATCH(ROUNDUP((Y$1)/10,0)*10,[1]Hugst!$R$4:$W$4,0))))</f>
        <v>0</v>
      </c>
      <c r="Z304" s="168">
        <f ca="1">IF($C304-Z$1&lt;År1,0,Y303*(1-VLOOKUP($A304,[1]Hugst!$R$5:$W$9,MATCH(ROUNDUP((Z$1)/10,0)*10,[1]Hugst!$R$4:$W$4,0))))</f>
        <v>0</v>
      </c>
      <c r="AA304" s="168">
        <f ca="1">IF($C304-AA$1&lt;År1,0,Z303*(1-VLOOKUP($A304,[1]Hugst!$R$5:$W$9,MATCH(ROUNDUP((AA$1)/10,0)*10,[1]Hugst!$R$4:$W$4,0))))</f>
        <v>0</v>
      </c>
      <c r="AB304" s="168">
        <f ca="1">IF($C304-AB$1&lt;År1,0,AA303*(1-VLOOKUP($A304,[1]Hugst!$R$5:$W$9,MATCH(ROUNDUP((AB$1)/10,0)*10,[1]Hugst!$R$4:$W$4,0))))</f>
        <v>0</v>
      </c>
      <c r="AC304" s="168">
        <f ca="1">IF($C304-AC$1&lt;År1,0,AB303*(1-VLOOKUP($A304,[1]Hugst!$R$5:$W$9,MATCH(ROUNDUP((AC$1)/10,0)*10,[1]Hugst!$R$4:$W$4,0))))</f>
        <v>0</v>
      </c>
      <c r="AD304" s="168">
        <f>IF($C304-AD$1&lt;År1,0,AC303*(1-VLOOKUP($A304,[1]Hugst!$R$5:$W$9,MATCH(ROUNDUP((AD$1)/10,0)*10,[1]Hugst!$R$4:$W$4,0))))</f>
        <v>0</v>
      </c>
      <c r="AE304" s="168">
        <f>IF($C304-AE$1&lt;År1,0,AD303*(1-VLOOKUP($A304,[1]Hugst!$R$5:$W$9,MATCH(ROUNDUP((AE$1)/10,0)*10,[1]Hugst!$R$4:$W$4,0))))</f>
        <v>0</v>
      </c>
      <c r="AF304" s="168">
        <f>IF($C304-AF$1&lt;År1,0,AE303*(1-VLOOKUP($A304,[1]Hugst!$R$5:$W$9,MATCH(ROUNDUP((AF$1)/10,0)*10,[1]Hugst!$R$4:$W$4,0))))</f>
        <v>0</v>
      </c>
      <c r="AG304" s="168">
        <f>IF($C304-AG$1&lt;År1,0,AF303*(1-VLOOKUP($A304,[1]Hugst!$R$5:$W$9,MATCH(ROUNDUP((AG$1)/10,0)*10,[1]Hugst!$R$4:$W$4,0))))</f>
        <v>0</v>
      </c>
      <c r="AH304" s="168">
        <f>IF($C304-AH$1&lt;År1,0,AG303*(1-VLOOKUP($A304,[1]Hugst!$R$5:$W$9,MATCH(ROUNDUP((AH$1)/10,0)*10,[1]Hugst!$R$4:$W$4,0))))</f>
        <v>0</v>
      </c>
      <c r="AI304" s="168">
        <f>IF($C304-AI$1&lt;År1,0,AH303*(1-VLOOKUP($A304,[1]Hugst!$R$5:$W$9,MATCH(ROUNDUP((AI$1)/10,0)*10,[1]Hugst!$R$4:$W$4,0))))</f>
        <v>0</v>
      </c>
      <c r="AJ304" s="168">
        <f>IF($C304-AJ$1&lt;År1,0,AI303*(1-VLOOKUP($A304,[1]Hugst!$R$5:$W$9,MATCH(ROUNDUP((AJ$1)/10,0)*10,[1]Hugst!$R$4:$W$4,0))))</f>
        <v>0</v>
      </c>
    </row>
    <row r="305" spans="1:36" x14ac:dyDescent="0.25">
      <c r="A305" s="168" t="s">
        <v>180</v>
      </c>
      <c r="B305" s="168" t="s">
        <v>24</v>
      </c>
      <c r="C305" s="168">
        <v>2044</v>
      </c>
      <c r="D305" s="168" cm="1">
        <f t="array" ref="D305">(IF(B305="Vestdanmark",Skovbrug!$C$22-(Skovbrug!$C$22)*(1-Skovbrug!$C$9)^(C305-Skovbrug!$B$12),Skovbrug!$F$22-(Skovbrug!$F$22)*(1-Skovbrug!$C$9)^(C305-Skovbrug!$B$12))*VLOOKUP(A305,Skovbrug!$A$13:$D$17,IF('Skovbrug-alder'!C305&lt;=År2,3,4),FALSE)-IF(C305&gt;2020,SUM(INDEX($C$1:$D$311,MATCH(1,(2020=$C$1:$C$311)*(B305=$B$1:$B$311)*(A305=$A$1:$A$311),0),2):D304),0))</f>
        <v>0</v>
      </c>
      <c r="E305" s="168">
        <f t="shared" ca="1" si="7"/>
        <v>0</v>
      </c>
      <c r="F305" s="168">
        <f ca="1">IF(C305&lt;=År2,IF(B305="Vestdanmark",(Arealanvendelse!$M$27-Arealanvendelse!$J$27),(Arealanvendelse!$M$37-Arealanvendelse!$J$37))/(Arealanvendelse!$M$3-Arealanvendelse!$J$3),IF(B305="Vestdanmark",(Arealanvendelse!$P$27-Arealanvendelse!$M$27),(Arealanvendelse!$P$37-Arealanvendelse!$M$37))/(Arealanvendelse!$P$3-Arealanvendelse!$M$3))*VLOOKUP(A305,Skovbrug!$A$13:$D$17,IF('Skovbrug-alder'!C305&lt;=År2,3,4),FALSE)+D305+E305</f>
        <v>0</v>
      </c>
      <c r="G305" s="168">
        <f ca="1">IF($C305-G$1&lt;År1,0,F304*(1-VLOOKUP($A305,[1]Hugst!$R$5:$W$9,MATCH(ROUNDUP((G$1)/10,0)*10,[1]Hugst!$R$4:$W$4,0))))</f>
        <v>0</v>
      </c>
      <c r="H305" s="168">
        <f ca="1">IF($C305-H$1&lt;År1,0,G304*(1-VLOOKUP($A305,[1]Hugst!$R$5:$W$9,MATCH(ROUNDUP((H$1)/10,0)*10,[1]Hugst!$R$4:$W$4,0))))</f>
        <v>0</v>
      </c>
      <c r="I305" s="168">
        <f ca="1">IF($C305-I$1&lt;År1,0,H304*(1-VLOOKUP($A305,[1]Hugst!$R$5:$W$9,MATCH(ROUNDUP((I$1)/10,0)*10,[1]Hugst!$R$4:$W$4,0))))</f>
        <v>0</v>
      </c>
      <c r="J305" s="168">
        <f ca="1">IF($C305-J$1&lt;År1,0,I304*(1-VLOOKUP($A305,[1]Hugst!$R$5:$W$9,MATCH(ROUNDUP((J$1)/10,0)*10,[1]Hugst!$R$4:$W$4,0))))</f>
        <v>0</v>
      </c>
      <c r="K305" s="168">
        <f ca="1">IF($C305-K$1&lt;År1,0,J304*(1-VLOOKUP($A305,[1]Hugst!$R$5:$W$9,MATCH(ROUNDUP((K$1)/10,0)*10,[1]Hugst!$R$4:$W$4,0))))</f>
        <v>0</v>
      </c>
      <c r="L305" s="168">
        <f ca="1">IF($C305-L$1&lt;År1,0,K304*(1-VLOOKUP($A305,[1]Hugst!$R$5:$W$9,MATCH(ROUNDUP((L$1)/10,0)*10,[1]Hugst!$R$4:$W$4,0))))</f>
        <v>0</v>
      </c>
      <c r="M305" s="168">
        <f ca="1">IF($C305-M$1&lt;År1,0,L304*(1-VLOOKUP($A305,[1]Hugst!$R$5:$W$9,MATCH(ROUNDUP((M$1)/10,0)*10,[1]Hugst!$R$4:$W$4,0))))</f>
        <v>0</v>
      </c>
      <c r="N305" s="168">
        <f ca="1">IF($C305-N$1&lt;År1,0,M304*(1-VLOOKUP($A305,[1]Hugst!$R$5:$W$9,MATCH(ROUNDUP((N$1)/10,0)*10,[1]Hugst!$R$4:$W$4,0))))</f>
        <v>0</v>
      </c>
      <c r="O305" s="168">
        <f ca="1">IF($C305-O$1&lt;År1,0,N304*(1-VLOOKUP($A305,[1]Hugst!$R$5:$W$9,MATCH(ROUNDUP((O$1)/10,0)*10,[1]Hugst!$R$4:$W$4,0))))</f>
        <v>0</v>
      </c>
      <c r="P305" s="168">
        <f ca="1">IF($C305-P$1&lt;År1,0,O304*(1-VLOOKUP($A305,[1]Hugst!$R$5:$W$9,MATCH(ROUNDUP((P$1)/10,0)*10,[1]Hugst!$R$4:$W$4,0))))</f>
        <v>0</v>
      </c>
      <c r="Q305" s="168">
        <f ca="1">IF($C305-Q$1&lt;År1,0,P304*(1-VLOOKUP($A305,[1]Hugst!$R$5:$W$9,MATCH(ROUNDUP((Q$1)/10,0)*10,[1]Hugst!$R$4:$W$4,0))))</f>
        <v>0</v>
      </c>
      <c r="R305" s="168">
        <f ca="1">IF($C305-R$1&lt;År1,0,Q304*(1-VLOOKUP($A305,[1]Hugst!$R$5:$W$9,MATCH(ROUNDUP((R$1)/10,0)*10,[1]Hugst!$R$4:$W$4,0))))</f>
        <v>0</v>
      </c>
      <c r="S305" s="168">
        <f ca="1">IF($C305-S$1&lt;År1,0,R304*(1-VLOOKUP($A305,[1]Hugst!$R$5:$W$9,MATCH(ROUNDUP((S$1)/10,0)*10,[1]Hugst!$R$4:$W$4,0))))</f>
        <v>0</v>
      </c>
      <c r="T305" s="168">
        <f ca="1">IF($C305-T$1&lt;År1,0,S304*(1-VLOOKUP($A305,[1]Hugst!$R$5:$W$9,MATCH(ROUNDUP((T$1)/10,0)*10,[1]Hugst!$R$4:$W$4,0))))</f>
        <v>0</v>
      </c>
      <c r="U305" s="168">
        <f ca="1">IF($C305-U$1&lt;År1,0,T304*(1-VLOOKUP($A305,[1]Hugst!$R$5:$W$9,MATCH(ROUNDUP((U$1)/10,0)*10,[1]Hugst!$R$4:$W$4,0))))</f>
        <v>0</v>
      </c>
      <c r="V305" s="168">
        <f ca="1">IF($C305-V$1&lt;År1,0,U304*(1-VLOOKUP($A305,[1]Hugst!$R$5:$W$9,MATCH(ROUNDUP((V$1)/10,0)*10,[1]Hugst!$R$4:$W$4,0))))</f>
        <v>0</v>
      </c>
      <c r="W305" s="168">
        <f ca="1">IF($C305-W$1&lt;År1,0,V304*(1-VLOOKUP($A305,[1]Hugst!$R$5:$W$9,MATCH(ROUNDUP((W$1)/10,0)*10,[1]Hugst!$R$4:$W$4,0))))</f>
        <v>0</v>
      </c>
      <c r="X305" s="168">
        <f ca="1">IF($C305-X$1&lt;År1,0,W304*(1-VLOOKUP($A305,[1]Hugst!$R$5:$W$9,MATCH(ROUNDUP((X$1)/10,0)*10,[1]Hugst!$R$4:$W$4,0))))</f>
        <v>0</v>
      </c>
      <c r="Y305" s="168">
        <f ca="1">IF($C305-Y$1&lt;År1,0,X304*(1-VLOOKUP($A305,[1]Hugst!$R$5:$W$9,MATCH(ROUNDUP((Y$1)/10,0)*10,[1]Hugst!$R$4:$W$4,0))))</f>
        <v>0</v>
      </c>
      <c r="Z305" s="168">
        <f ca="1">IF($C305-Z$1&lt;År1,0,Y304*(1-VLOOKUP($A305,[1]Hugst!$R$5:$W$9,MATCH(ROUNDUP((Z$1)/10,0)*10,[1]Hugst!$R$4:$W$4,0))))</f>
        <v>0</v>
      </c>
      <c r="AA305" s="168">
        <f ca="1">IF($C305-AA$1&lt;År1,0,Z304*(1-VLOOKUP($A305,[1]Hugst!$R$5:$W$9,MATCH(ROUNDUP((AA$1)/10,0)*10,[1]Hugst!$R$4:$W$4,0))))</f>
        <v>0</v>
      </c>
      <c r="AB305" s="168">
        <f ca="1">IF($C305-AB$1&lt;År1,0,AA304*(1-VLOOKUP($A305,[1]Hugst!$R$5:$W$9,MATCH(ROUNDUP((AB$1)/10,0)*10,[1]Hugst!$R$4:$W$4,0))))</f>
        <v>0</v>
      </c>
      <c r="AC305" s="168">
        <f ca="1">IF($C305-AC$1&lt;År1,0,AB304*(1-VLOOKUP($A305,[1]Hugst!$R$5:$W$9,MATCH(ROUNDUP((AC$1)/10,0)*10,[1]Hugst!$R$4:$W$4,0))))</f>
        <v>0</v>
      </c>
      <c r="AD305" s="168">
        <f ca="1">IF($C305-AD$1&lt;År1,0,AC304*(1-VLOOKUP($A305,[1]Hugst!$R$5:$W$9,MATCH(ROUNDUP((AD$1)/10,0)*10,[1]Hugst!$R$4:$W$4,0))))</f>
        <v>0</v>
      </c>
      <c r="AE305" s="168">
        <f>IF($C305-AE$1&lt;År1,0,AD304*(1-VLOOKUP($A305,[1]Hugst!$R$5:$W$9,MATCH(ROUNDUP((AE$1)/10,0)*10,[1]Hugst!$R$4:$W$4,0))))</f>
        <v>0</v>
      </c>
      <c r="AF305" s="168">
        <f>IF($C305-AF$1&lt;År1,0,AE304*(1-VLOOKUP($A305,[1]Hugst!$R$5:$W$9,MATCH(ROUNDUP((AF$1)/10,0)*10,[1]Hugst!$R$4:$W$4,0))))</f>
        <v>0</v>
      </c>
      <c r="AG305" s="168">
        <f>IF($C305-AG$1&lt;År1,0,AF304*(1-VLOOKUP($A305,[1]Hugst!$R$5:$W$9,MATCH(ROUNDUP((AG$1)/10,0)*10,[1]Hugst!$R$4:$W$4,0))))</f>
        <v>0</v>
      </c>
      <c r="AH305" s="168">
        <f>IF($C305-AH$1&lt;År1,0,AG304*(1-VLOOKUP($A305,[1]Hugst!$R$5:$W$9,MATCH(ROUNDUP((AH$1)/10,0)*10,[1]Hugst!$R$4:$W$4,0))))</f>
        <v>0</v>
      </c>
      <c r="AI305" s="168">
        <f>IF($C305-AI$1&lt;År1,0,AH304*(1-VLOOKUP($A305,[1]Hugst!$R$5:$W$9,MATCH(ROUNDUP((AI$1)/10,0)*10,[1]Hugst!$R$4:$W$4,0))))</f>
        <v>0</v>
      </c>
      <c r="AJ305" s="168">
        <f>IF($C305-AJ$1&lt;År1,0,AI304*(1-VLOOKUP($A305,[1]Hugst!$R$5:$W$9,MATCH(ROUNDUP((AJ$1)/10,0)*10,[1]Hugst!$R$4:$W$4,0))))</f>
        <v>0</v>
      </c>
    </row>
    <row r="306" spans="1:36" x14ac:dyDescent="0.25">
      <c r="A306" s="168" t="s">
        <v>180</v>
      </c>
      <c r="B306" s="168" t="s">
        <v>24</v>
      </c>
      <c r="C306" s="168">
        <v>2045</v>
      </c>
      <c r="D306" s="168" cm="1">
        <f t="array" ref="D306">(IF(B306="Vestdanmark",Skovbrug!$C$22-(Skovbrug!$C$22)*(1-Skovbrug!$C$9)^(C306-Skovbrug!$B$12),Skovbrug!$F$22-(Skovbrug!$F$22)*(1-Skovbrug!$C$9)^(C306-Skovbrug!$B$12))*VLOOKUP(A306,Skovbrug!$A$13:$D$17,IF('Skovbrug-alder'!C306&lt;=År2,3,4),FALSE)-IF(C306&gt;2020,SUM(INDEX($C$1:$D$311,MATCH(1,(2020=$C$1:$C$311)*(B306=$B$1:$B$311)*(A306=$A$1:$A$311),0),2):D305),0))</f>
        <v>0</v>
      </c>
      <c r="E306" s="168">
        <f t="shared" ca="1" si="7"/>
        <v>0</v>
      </c>
      <c r="F306" s="168">
        <f ca="1">IF(C306&lt;=År2,IF(B306="Vestdanmark",(Arealanvendelse!$M$27-Arealanvendelse!$J$27),(Arealanvendelse!$M$37-Arealanvendelse!$J$37))/(Arealanvendelse!$M$3-Arealanvendelse!$J$3),IF(B306="Vestdanmark",(Arealanvendelse!$P$27-Arealanvendelse!$M$27),(Arealanvendelse!$P$37-Arealanvendelse!$M$37))/(Arealanvendelse!$P$3-Arealanvendelse!$M$3))*VLOOKUP(A306,Skovbrug!$A$13:$D$17,IF('Skovbrug-alder'!C306&lt;=År2,3,4),FALSE)+D306+E306</f>
        <v>0</v>
      </c>
      <c r="G306" s="168">
        <f ca="1">IF($C306-G$1&lt;År1,0,F305*(1-VLOOKUP($A306,[1]Hugst!$R$5:$W$9,MATCH(ROUNDUP((G$1)/10,0)*10,[1]Hugst!$R$4:$W$4,0))))</f>
        <v>0</v>
      </c>
      <c r="H306" s="168">
        <f ca="1">IF($C306-H$1&lt;År1,0,G305*(1-VLOOKUP($A306,[1]Hugst!$R$5:$W$9,MATCH(ROUNDUP((H$1)/10,0)*10,[1]Hugst!$R$4:$W$4,0))))</f>
        <v>0</v>
      </c>
      <c r="I306" s="168">
        <f ca="1">IF($C306-I$1&lt;År1,0,H305*(1-VLOOKUP($A306,[1]Hugst!$R$5:$W$9,MATCH(ROUNDUP((I$1)/10,0)*10,[1]Hugst!$R$4:$W$4,0))))</f>
        <v>0</v>
      </c>
      <c r="J306" s="168">
        <f ca="1">IF($C306-J$1&lt;År1,0,I305*(1-VLOOKUP($A306,[1]Hugst!$R$5:$W$9,MATCH(ROUNDUP((J$1)/10,0)*10,[1]Hugst!$R$4:$W$4,0))))</f>
        <v>0</v>
      </c>
      <c r="K306" s="168">
        <f ca="1">IF($C306-K$1&lt;År1,0,J305*(1-VLOOKUP($A306,[1]Hugst!$R$5:$W$9,MATCH(ROUNDUP((K$1)/10,0)*10,[1]Hugst!$R$4:$W$4,0))))</f>
        <v>0</v>
      </c>
      <c r="L306" s="168">
        <f ca="1">IF($C306-L$1&lt;År1,0,K305*(1-VLOOKUP($A306,[1]Hugst!$R$5:$W$9,MATCH(ROUNDUP((L$1)/10,0)*10,[1]Hugst!$R$4:$W$4,0))))</f>
        <v>0</v>
      </c>
      <c r="M306" s="168">
        <f ca="1">IF($C306-M$1&lt;År1,0,L305*(1-VLOOKUP($A306,[1]Hugst!$R$5:$W$9,MATCH(ROUNDUP((M$1)/10,0)*10,[1]Hugst!$R$4:$W$4,0))))</f>
        <v>0</v>
      </c>
      <c r="N306" s="168">
        <f ca="1">IF($C306-N$1&lt;År1,0,M305*(1-VLOOKUP($A306,[1]Hugst!$R$5:$W$9,MATCH(ROUNDUP((N$1)/10,0)*10,[1]Hugst!$R$4:$W$4,0))))</f>
        <v>0</v>
      </c>
      <c r="O306" s="168">
        <f ca="1">IF($C306-O$1&lt;År1,0,N305*(1-VLOOKUP($A306,[1]Hugst!$R$5:$W$9,MATCH(ROUNDUP((O$1)/10,0)*10,[1]Hugst!$R$4:$W$4,0))))</f>
        <v>0</v>
      </c>
      <c r="P306" s="168">
        <f ca="1">IF($C306-P$1&lt;År1,0,O305*(1-VLOOKUP($A306,[1]Hugst!$R$5:$W$9,MATCH(ROUNDUP((P$1)/10,0)*10,[1]Hugst!$R$4:$W$4,0))))</f>
        <v>0</v>
      </c>
      <c r="Q306" s="168">
        <f ca="1">IF($C306-Q$1&lt;År1,0,P305*(1-VLOOKUP($A306,[1]Hugst!$R$5:$W$9,MATCH(ROUNDUP((Q$1)/10,0)*10,[1]Hugst!$R$4:$W$4,0))))</f>
        <v>0</v>
      </c>
      <c r="R306" s="168">
        <f ca="1">IF($C306-R$1&lt;År1,0,Q305*(1-VLOOKUP($A306,[1]Hugst!$R$5:$W$9,MATCH(ROUNDUP((R$1)/10,0)*10,[1]Hugst!$R$4:$W$4,0))))</f>
        <v>0</v>
      </c>
      <c r="S306" s="168">
        <f ca="1">IF($C306-S$1&lt;År1,0,R305*(1-VLOOKUP($A306,[1]Hugst!$R$5:$W$9,MATCH(ROUNDUP((S$1)/10,0)*10,[1]Hugst!$R$4:$W$4,0))))</f>
        <v>0</v>
      </c>
      <c r="T306" s="168">
        <f ca="1">IF($C306-T$1&lt;År1,0,S305*(1-VLOOKUP($A306,[1]Hugst!$R$5:$W$9,MATCH(ROUNDUP((T$1)/10,0)*10,[1]Hugst!$R$4:$W$4,0))))</f>
        <v>0</v>
      </c>
      <c r="U306" s="168">
        <f ca="1">IF($C306-U$1&lt;År1,0,T305*(1-VLOOKUP($A306,[1]Hugst!$R$5:$W$9,MATCH(ROUNDUP((U$1)/10,0)*10,[1]Hugst!$R$4:$W$4,0))))</f>
        <v>0</v>
      </c>
      <c r="V306" s="168">
        <f ca="1">IF($C306-V$1&lt;År1,0,U305*(1-VLOOKUP($A306,[1]Hugst!$R$5:$W$9,MATCH(ROUNDUP((V$1)/10,0)*10,[1]Hugst!$R$4:$W$4,0))))</f>
        <v>0</v>
      </c>
      <c r="W306" s="168">
        <f ca="1">IF($C306-W$1&lt;År1,0,V305*(1-VLOOKUP($A306,[1]Hugst!$R$5:$W$9,MATCH(ROUNDUP((W$1)/10,0)*10,[1]Hugst!$R$4:$W$4,0))))</f>
        <v>0</v>
      </c>
      <c r="X306" s="168">
        <f ca="1">IF($C306-X$1&lt;År1,0,W305*(1-VLOOKUP($A306,[1]Hugst!$R$5:$W$9,MATCH(ROUNDUP((X$1)/10,0)*10,[1]Hugst!$R$4:$W$4,0))))</f>
        <v>0</v>
      </c>
      <c r="Y306" s="168">
        <f ca="1">IF($C306-Y$1&lt;År1,0,X305*(1-VLOOKUP($A306,[1]Hugst!$R$5:$W$9,MATCH(ROUNDUP((Y$1)/10,0)*10,[1]Hugst!$R$4:$W$4,0))))</f>
        <v>0</v>
      </c>
      <c r="Z306" s="168">
        <f ca="1">IF($C306-Z$1&lt;År1,0,Y305*(1-VLOOKUP($A306,[1]Hugst!$R$5:$W$9,MATCH(ROUNDUP((Z$1)/10,0)*10,[1]Hugst!$R$4:$W$4,0))))</f>
        <v>0</v>
      </c>
      <c r="AA306" s="168">
        <f ca="1">IF($C306-AA$1&lt;År1,0,Z305*(1-VLOOKUP($A306,[1]Hugst!$R$5:$W$9,MATCH(ROUNDUP((AA$1)/10,0)*10,[1]Hugst!$R$4:$W$4,0))))</f>
        <v>0</v>
      </c>
      <c r="AB306" s="168">
        <f ca="1">IF($C306-AB$1&lt;År1,0,AA305*(1-VLOOKUP($A306,[1]Hugst!$R$5:$W$9,MATCH(ROUNDUP((AB$1)/10,0)*10,[1]Hugst!$R$4:$W$4,0))))</f>
        <v>0</v>
      </c>
      <c r="AC306" s="168">
        <f ca="1">IF($C306-AC$1&lt;År1,0,AB305*(1-VLOOKUP($A306,[1]Hugst!$R$5:$W$9,MATCH(ROUNDUP((AC$1)/10,0)*10,[1]Hugst!$R$4:$W$4,0))))</f>
        <v>0</v>
      </c>
      <c r="AD306" s="168">
        <f ca="1">IF($C306-AD$1&lt;År1,0,AC305*(1-VLOOKUP($A306,[1]Hugst!$R$5:$W$9,MATCH(ROUNDUP((AD$1)/10,0)*10,[1]Hugst!$R$4:$W$4,0))))</f>
        <v>0</v>
      </c>
      <c r="AE306" s="168">
        <f ca="1">IF($C306-AE$1&lt;År1,0,AD305*(1-VLOOKUP($A306,[1]Hugst!$R$5:$W$9,MATCH(ROUNDUP((AE$1)/10,0)*10,[1]Hugst!$R$4:$W$4,0))))</f>
        <v>0</v>
      </c>
      <c r="AF306" s="168">
        <f>IF($C306-AF$1&lt;År1,0,AE305*(1-VLOOKUP($A306,[1]Hugst!$R$5:$W$9,MATCH(ROUNDUP((AF$1)/10,0)*10,[1]Hugst!$R$4:$W$4,0))))</f>
        <v>0</v>
      </c>
      <c r="AG306" s="168">
        <f>IF($C306-AG$1&lt;År1,0,AF305*(1-VLOOKUP($A306,[1]Hugst!$R$5:$W$9,MATCH(ROUNDUP((AG$1)/10,0)*10,[1]Hugst!$R$4:$W$4,0))))</f>
        <v>0</v>
      </c>
      <c r="AH306" s="168">
        <f>IF($C306-AH$1&lt;År1,0,AG305*(1-VLOOKUP($A306,[1]Hugst!$R$5:$W$9,MATCH(ROUNDUP((AH$1)/10,0)*10,[1]Hugst!$R$4:$W$4,0))))</f>
        <v>0</v>
      </c>
      <c r="AI306" s="168">
        <f>IF($C306-AI$1&lt;År1,0,AH305*(1-VLOOKUP($A306,[1]Hugst!$R$5:$W$9,MATCH(ROUNDUP((AI$1)/10,0)*10,[1]Hugst!$R$4:$W$4,0))))</f>
        <v>0</v>
      </c>
      <c r="AJ306" s="168">
        <f>IF($C306-AJ$1&lt;År1,0,AI305*(1-VLOOKUP($A306,[1]Hugst!$R$5:$W$9,MATCH(ROUNDUP((AJ$1)/10,0)*10,[1]Hugst!$R$4:$W$4,0))))</f>
        <v>0</v>
      </c>
    </row>
    <row r="307" spans="1:36" x14ac:dyDescent="0.25">
      <c r="A307" s="168" t="s">
        <v>180</v>
      </c>
      <c r="B307" s="168" t="s">
        <v>24</v>
      </c>
      <c r="C307" s="168">
        <v>2046</v>
      </c>
      <c r="D307" s="168" cm="1">
        <f t="array" ref="D307">(IF(B307="Vestdanmark",Skovbrug!$C$22-(Skovbrug!$C$22)*(1-Skovbrug!$C$9)^(C307-Skovbrug!$B$12),Skovbrug!$F$22-(Skovbrug!$F$22)*(1-Skovbrug!$C$9)^(C307-Skovbrug!$B$12))*VLOOKUP(A307,Skovbrug!$A$13:$D$17,IF('Skovbrug-alder'!C307&lt;=År2,3,4),FALSE)-IF(C307&gt;2020,SUM(INDEX($C$1:$D$311,MATCH(1,(2020=$C$1:$C$311)*(B307=$B$1:$B$311)*(A307=$A$1:$A$311),0),2):D306),0))</f>
        <v>0</v>
      </c>
      <c r="E307" s="168">
        <f t="shared" ca="1" si="7"/>
        <v>0</v>
      </c>
      <c r="F307" s="168">
        <f ca="1">IF(C307&lt;=År2,IF(B307="Vestdanmark",(Arealanvendelse!$M$27-Arealanvendelse!$J$27),(Arealanvendelse!$M$37-Arealanvendelse!$J$37))/(Arealanvendelse!$M$3-Arealanvendelse!$J$3),IF(B307="Vestdanmark",(Arealanvendelse!$P$27-Arealanvendelse!$M$27),(Arealanvendelse!$P$37-Arealanvendelse!$M$37))/(Arealanvendelse!$P$3-Arealanvendelse!$M$3))*VLOOKUP(A307,Skovbrug!$A$13:$D$17,IF('Skovbrug-alder'!C307&lt;=År2,3,4),FALSE)+D307+E307</f>
        <v>0</v>
      </c>
      <c r="G307" s="168">
        <f ca="1">IF($C307-G$1&lt;År1,0,F306*(1-VLOOKUP($A307,[1]Hugst!$R$5:$W$9,MATCH(ROUNDUP((G$1)/10,0)*10,[1]Hugst!$R$4:$W$4,0))))</f>
        <v>0</v>
      </c>
      <c r="H307" s="168">
        <f ca="1">IF($C307-H$1&lt;År1,0,G306*(1-VLOOKUP($A307,[1]Hugst!$R$5:$W$9,MATCH(ROUNDUP((H$1)/10,0)*10,[1]Hugst!$R$4:$W$4,0))))</f>
        <v>0</v>
      </c>
      <c r="I307" s="168">
        <f ca="1">IF($C307-I$1&lt;År1,0,H306*(1-VLOOKUP($A307,[1]Hugst!$R$5:$W$9,MATCH(ROUNDUP((I$1)/10,0)*10,[1]Hugst!$R$4:$W$4,0))))</f>
        <v>0</v>
      </c>
      <c r="J307" s="168">
        <f ca="1">IF($C307-J$1&lt;År1,0,I306*(1-VLOOKUP($A307,[1]Hugst!$R$5:$W$9,MATCH(ROUNDUP((J$1)/10,0)*10,[1]Hugst!$R$4:$W$4,0))))</f>
        <v>0</v>
      </c>
      <c r="K307" s="168">
        <f ca="1">IF($C307-K$1&lt;År1,0,J306*(1-VLOOKUP($A307,[1]Hugst!$R$5:$W$9,MATCH(ROUNDUP((K$1)/10,0)*10,[1]Hugst!$R$4:$W$4,0))))</f>
        <v>0</v>
      </c>
      <c r="L307" s="168">
        <f ca="1">IF($C307-L$1&lt;År1,0,K306*(1-VLOOKUP($A307,[1]Hugst!$R$5:$W$9,MATCH(ROUNDUP((L$1)/10,0)*10,[1]Hugst!$R$4:$W$4,0))))</f>
        <v>0</v>
      </c>
      <c r="M307" s="168">
        <f ca="1">IF($C307-M$1&lt;År1,0,L306*(1-VLOOKUP($A307,[1]Hugst!$R$5:$W$9,MATCH(ROUNDUP((M$1)/10,0)*10,[1]Hugst!$R$4:$W$4,0))))</f>
        <v>0</v>
      </c>
      <c r="N307" s="168">
        <f ca="1">IF($C307-N$1&lt;År1,0,M306*(1-VLOOKUP($A307,[1]Hugst!$R$5:$W$9,MATCH(ROUNDUP((N$1)/10,0)*10,[1]Hugst!$R$4:$W$4,0))))</f>
        <v>0</v>
      </c>
      <c r="O307" s="168">
        <f ca="1">IF($C307-O$1&lt;År1,0,N306*(1-VLOOKUP($A307,[1]Hugst!$R$5:$W$9,MATCH(ROUNDUP((O$1)/10,0)*10,[1]Hugst!$R$4:$W$4,0))))</f>
        <v>0</v>
      </c>
      <c r="P307" s="168">
        <f ca="1">IF($C307-P$1&lt;År1,0,O306*(1-VLOOKUP($A307,[1]Hugst!$R$5:$W$9,MATCH(ROUNDUP((P$1)/10,0)*10,[1]Hugst!$R$4:$W$4,0))))</f>
        <v>0</v>
      </c>
      <c r="Q307" s="168">
        <f ca="1">IF($C307-Q$1&lt;År1,0,P306*(1-VLOOKUP($A307,[1]Hugst!$R$5:$W$9,MATCH(ROUNDUP((Q$1)/10,0)*10,[1]Hugst!$R$4:$W$4,0))))</f>
        <v>0</v>
      </c>
      <c r="R307" s="168">
        <f ca="1">IF($C307-R$1&lt;År1,0,Q306*(1-VLOOKUP($A307,[1]Hugst!$R$5:$W$9,MATCH(ROUNDUP((R$1)/10,0)*10,[1]Hugst!$R$4:$W$4,0))))</f>
        <v>0</v>
      </c>
      <c r="S307" s="168">
        <f ca="1">IF($C307-S$1&lt;År1,0,R306*(1-VLOOKUP($A307,[1]Hugst!$R$5:$W$9,MATCH(ROUNDUP((S$1)/10,0)*10,[1]Hugst!$R$4:$W$4,0))))</f>
        <v>0</v>
      </c>
      <c r="T307" s="168">
        <f ca="1">IF($C307-T$1&lt;År1,0,S306*(1-VLOOKUP($A307,[1]Hugst!$R$5:$W$9,MATCH(ROUNDUP((T$1)/10,0)*10,[1]Hugst!$R$4:$W$4,0))))</f>
        <v>0</v>
      </c>
      <c r="U307" s="168">
        <f ca="1">IF($C307-U$1&lt;År1,0,T306*(1-VLOOKUP($A307,[1]Hugst!$R$5:$W$9,MATCH(ROUNDUP((U$1)/10,0)*10,[1]Hugst!$R$4:$W$4,0))))</f>
        <v>0</v>
      </c>
      <c r="V307" s="168">
        <f ca="1">IF($C307-V$1&lt;År1,0,U306*(1-VLOOKUP($A307,[1]Hugst!$R$5:$W$9,MATCH(ROUNDUP((V$1)/10,0)*10,[1]Hugst!$R$4:$W$4,0))))</f>
        <v>0</v>
      </c>
      <c r="W307" s="168">
        <f ca="1">IF($C307-W$1&lt;År1,0,V306*(1-VLOOKUP($A307,[1]Hugst!$R$5:$W$9,MATCH(ROUNDUP((W$1)/10,0)*10,[1]Hugst!$R$4:$W$4,0))))</f>
        <v>0</v>
      </c>
      <c r="X307" s="168">
        <f ca="1">IF($C307-X$1&lt;År1,0,W306*(1-VLOOKUP($A307,[1]Hugst!$R$5:$W$9,MATCH(ROUNDUP((X$1)/10,0)*10,[1]Hugst!$R$4:$W$4,0))))</f>
        <v>0</v>
      </c>
      <c r="Y307" s="168">
        <f ca="1">IF($C307-Y$1&lt;År1,0,X306*(1-VLOOKUP($A307,[1]Hugst!$R$5:$W$9,MATCH(ROUNDUP((Y$1)/10,0)*10,[1]Hugst!$R$4:$W$4,0))))</f>
        <v>0</v>
      </c>
      <c r="Z307" s="168">
        <f ca="1">IF($C307-Z$1&lt;År1,0,Y306*(1-VLOOKUP($A307,[1]Hugst!$R$5:$W$9,MATCH(ROUNDUP((Z$1)/10,0)*10,[1]Hugst!$R$4:$W$4,0))))</f>
        <v>0</v>
      </c>
      <c r="AA307" s="168">
        <f ca="1">IF($C307-AA$1&lt;År1,0,Z306*(1-VLOOKUP($A307,[1]Hugst!$R$5:$W$9,MATCH(ROUNDUP((AA$1)/10,0)*10,[1]Hugst!$R$4:$W$4,0))))</f>
        <v>0</v>
      </c>
      <c r="AB307" s="168">
        <f ca="1">IF($C307-AB$1&lt;År1,0,AA306*(1-VLOOKUP($A307,[1]Hugst!$R$5:$W$9,MATCH(ROUNDUP((AB$1)/10,0)*10,[1]Hugst!$R$4:$W$4,0))))</f>
        <v>0</v>
      </c>
      <c r="AC307" s="168">
        <f ca="1">IF($C307-AC$1&lt;År1,0,AB306*(1-VLOOKUP($A307,[1]Hugst!$R$5:$W$9,MATCH(ROUNDUP((AC$1)/10,0)*10,[1]Hugst!$R$4:$W$4,0))))</f>
        <v>0</v>
      </c>
      <c r="AD307" s="168">
        <f ca="1">IF($C307-AD$1&lt;År1,0,AC306*(1-VLOOKUP($A307,[1]Hugst!$R$5:$W$9,MATCH(ROUNDUP((AD$1)/10,0)*10,[1]Hugst!$R$4:$W$4,0))))</f>
        <v>0</v>
      </c>
      <c r="AE307" s="168">
        <f ca="1">IF($C307-AE$1&lt;År1,0,AD306*(1-VLOOKUP($A307,[1]Hugst!$R$5:$W$9,MATCH(ROUNDUP((AE$1)/10,0)*10,[1]Hugst!$R$4:$W$4,0))))</f>
        <v>0</v>
      </c>
      <c r="AF307" s="168">
        <f ca="1">IF($C307-AF$1&lt;År1,0,AE306*(1-VLOOKUP($A307,[1]Hugst!$R$5:$W$9,MATCH(ROUNDUP((AF$1)/10,0)*10,[1]Hugst!$R$4:$W$4,0))))</f>
        <v>0</v>
      </c>
      <c r="AG307" s="168">
        <f>IF($C307-AG$1&lt;År1,0,AF306*(1-VLOOKUP($A307,[1]Hugst!$R$5:$W$9,MATCH(ROUNDUP((AG$1)/10,0)*10,[1]Hugst!$R$4:$W$4,0))))</f>
        <v>0</v>
      </c>
      <c r="AH307" s="168">
        <f>IF($C307-AH$1&lt;År1,0,AG306*(1-VLOOKUP($A307,[1]Hugst!$R$5:$W$9,MATCH(ROUNDUP((AH$1)/10,0)*10,[1]Hugst!$R$4:$W$4,0))))</f>
        <v>0</v>
      </c>
      <c r="AI307" s="168">
        <f>IF($C307-AI$1&lt;År1,0,AH306*(1-VLOOKUP($A307,[1]Hugst!$R$5:$W$9,MATCH(ROUNDUP((AI$1)/10,0)*10,[1]Hugst!$R$4:$W$4,0))))</f>
        <v>0</v>
      </c>
      <c r="AJ307" s="168">
        <f>IF($C307-AJ$1&lt;År1,0,AI306*(1-VLOOKUP($A307,[1]Hugst!$R$5:$W$9,MATCH(ROUNDUP((AJ$1)/10,0)*10,[1]Hugst!$R$4:$W$4,0))))</f>
        <v>0</v>
      </c>
    </row>
    <row r="308" spans="1:36" x14ac:dyDescent="0.25">
      <c r="A308" s="168" t="s">
        <v>180</v>
      </c>
      <c r="B308" s="168" t="s">
        <v>24</v>
      </c>
      <c r="C308" s="168">
        <v>2047</v>
      </c>
      <c r="D308" s="168" cm="1">
        <f t="array" ref="D308">(IF(B308="Vestdanmark",Skovbrug!$C$22-(Skovbrug!$C$22)*(1-Skovbrug!$C$9)^(C308-Skovbrug!$B$12),Skovbrug!$F$22-(Skovbrug!$F$22)*(1-Skovbrug!$C$9)^(C308-Skovbrug!$B$12))*VLOOKUP(A308,Skovbrug!$A$13:$D$17,IF('Skovbrug-alder'!C308&lt;=År2,3,4),FALSE)-IF(C308&gt;2020,SUM(INDEX($C$1:$D$311,MATCH(1,(2020=$C$1:$C$311)*(B308=$B$1:$B$311)*(A308=$A$1:$A$311),0),2):D307),0))</f>
        <v>0</v>
      </c>
      <c r="E308" s="168">
        <f t="shared" ca="1" si="7"/>
        <v>0</v>
      </c>
      <c r="F308" s="168">
        <f ca="1">IF(C308&lt;=År2,IF(B308="Vestdanmark",(Arealanvendelse!$M$27-Arealanvendelse!$J$27),(Arealanvendelse!$M$37-Arealanvendelse!$J$37))/(Arealanvendelse!$M$3-Arealanvendelse!$J$3),IF(B308="Vestdanmark",(Arealanvendelse!$P$27-Arealanvendelse!$M$27),(Arealanvendelse!$P$37-Arealanvendelse!$M$37))/(Arealanvendelse!$P$3-Arealanvendelse!$M$3))*VLOOKUP(A308,Skovbrug!$A$13:$D$17,IF('Skovbrug-alder'!C308&lt;=År2,3,4),FALSE)+D308+E308</f>
        <v>0</v>
      </c>
      <c r="G308" s="168">
        <f ca="1">IF($C308-G$1&lt;År1,0,F307*(1-VLOOKUP($A308,[1]Hugst!$R$5:$W$9,MATCH(ROUNDUP((G$1)/10,0)*10,[1]Hugst!$R$4:$W$4,0))))</f>
        <v>0</v>
      </c>
      <c r="H308" s="168">
        <f ca="1">IF($C308-H$1&lt;År1,0,G307*(1-VLOOKUP($A308,[1]Hugst!$R$5:$W$9,MATCH(ROUNDUP((H$1)/10,0)*10,[1]Hugst!$R$4:$W$4,0))))</f>
        <v>0</v>
      </c>
      <c r="I308" s="168">
        <f ca="1">IF($C308-I$1&lt;År1,0,H307*(1-VLOOKUP($A308,[1]Hugst!$R$5:$W$9,MATCH(ROUNDUP((I$1)/10,0)*10,[1]Hugst!$R$4:$W$4,0))))</f>
        <v>0</v>
      </c>
      <c r="J308" s="168">
        <f ca="1">IF($C308-J$1&lt;År1,0,I307*(1-VLOOKUP($A308,[1]Hugst!$R$5:$W$9,MATCH(ROUNDUP((J$1)/10,0)*10,[1]Hugst!$R$4:$W$4,0))))</f>
        <v>0</v>
      </c>
      <c r="K308" s="168">
        <f ca="1">IF($C308-K$1&lt;År1,0,J307*(1-VLOOKUP($A308,[1]Hugst!$R$5:$W$9,MATCH(ROUNDUP((K$1)/10,0)*10,[1]Hugst!$R$4:$W$4,0))))</f>
        <v>0</v>
      </c>
      <c r="L308" s="168">
        <f ca="1">IF($C308-L$1&lt;År1,0,K307*(1-VLOOKUP($A308,[1]Hugst!$R$5:$W$9,MATCH(ROUNDUP((L$1)/10,0)*10,[1]Hugst!$R$4:$W$4,0))))</f>
        <v>0</v>
      </c>
      <c r="M308" s="168">
        <f ca="1">IF($C308-M$1&lt;År1,0,L307*(1-VLOOKUP($A308,[1]Hugst!$R$5:$W$9,MATCH(ROUNDUP((M$1)/10,0)*10,[1]Hugst!$R$4:$W$4,0))))</f>
        <v>0</v>
      </c>
      <c r="N308" s="168">
        <f ca="1">IF($C308-N$1&lt;År1,0,M307*(1-VLOOKUP($A308,[1]Hugst!$R$5:$W$9,MATCH(ROUNDUP((N$1)/10,0)*10,[1]Hugst!$R$4:$W$4,0))))</f>
        <v>0</v>
      </c>
      <c r="O308" s="168">
        <f ca="1">IF($C308-O$1&lt;År1,0,N307*(1-VLOOKUP($A308,[1]Hugst!$R$5:$W$9,MATCH(ROUNDUP((O$1)/10,0)*10,[1]Hugst!$R$4:$W$4,0))))</f>
        <v>0</v>
      </c>
      <c r="P308" s="168">
        <f ca="1">IF($C308-P$1&lt;År1,0,O307*(1-VLOOKUP($A308,[1]Hugst!$R$5:$W$9,MATCH(ROUNDUP((P$1)/10,0)*10,[1]Hugst!$R$4:$W$4,0))))</f>
        <v>0</v>
      </c>
      <c r="Q308" s="168">
        <f ca="1">IF($C308-Q$1&lt;År1,0,P307*(1-VLOOKUP($A308,[1]Hugst!$R$5:$W$9,MATCH(ROUNDUP((Q$1)/10,0)*10,[1]Hugst!$R$4:$W$4,0))))</f>
        <v>0</v>
      </c>
      <c r="R308" s="168">
        <f ca="1">IF($C308-R$1&lt;År1,0,Q307*(1-VLOOKUP($A308,[1]Hugst!$R$5:$W$9,MATCH(ROUNDUP((R$1)/10,0)*10,[1]Hugst!$R$4:$W$4,0))))</f>
        <v>0</v>
      </c>
      <c r="S308" s="168">
        <f ca="1">IF($C308-S$1&lt;År1,0,R307*(1-VLOOKUP($A308,[1]Hugst!$R$5:$W$9,MATCH(ROUNDUP((S$1)/10,0)*10,[1]Hugst!$R$4:$W$4,0))))</f>
        <v>0</v>
      </c>
      <c r="T308" s="168">
        <f ca="1">IF($C308-T$1&lt;År1,0,S307*(1-VLOOKUP($A308,[1]Hugst!$R$5:$W$9,MATCH(ROUNDUP((T$1)/10,0)*10,[1]Hugst!$R$4:$W$4,0))))</f>
        <v>0</v>
      </c>
      <c r="U308" s="168">
        <f ca="1">IF($C308-U$1&lt;År1,0,T307*(1-VLOOKUP($A308,[1]Hugst!$R$5:$W$9,MATCH(ROUNDUP((U$1)/10,0)*10,[1]Hugst!$R$4:$W$4,0))))</f>
        <v>0</v>
      </c>
      <c r="V308" s="168">
        <f ca="1">IF($C308-V$1&lt;År1,0,U307*(1-VLOOKUP($A308,[1]Hugst!$R$5:$W$9,MATCH(ROUNDUP((V$1)/10,0)*10,[1]Hugst!$R$4:$W$4,0))))</f>
        <v>0</v>
      </c>
      <c r="W308" s="168">
        <f ca="1">IF($C308-W$1&lt;År1,0,V307*(1-VLOOKUP($A308,[1]Hugst!$R$5:$W$9,MATCH(ROUNDUP((W$1)/10,0)*10,[1]Hugst!$R$4:$W$4,0))))</f>
        <v>0</v>
      </c>
      <c r="X308" s="168">
        <f ca="1">IF($C308-X$1&lt;År1,0,W307*(1-VLOOKUP($A308,[1]Hugst!$R$5:$W$9,MATCH(ROUNDUP((X$1)/10,0)*10,[1]Hugst!$R$4:$W$4,0))))</f>
        <v>0</v>
      </c>
      <c r="Y308" s="168">
        <f ca="1">IF($C308-Y$1&lt;År1,0,X307*(1-VLOOKUP($A308,[1]Hugst!$R$5:$W$9,MATCH(ROUNDUP((Y$1)/10,0)*10,[1]Hugst!$R$4:$W$4,0))))</f>
        <v>0</v>
      </c>
      <c r="Z308" s="168">
        <f ca="1">IF($C308-Z$1&lt;År1,0,Y307*(1-VLOOKUP($A308,[1]Hugst!$R$5:$W$9,MATCH(ROUNDUP((Z$1)/10,0)*10,[1]Hugst!$R$4:$W$4,0))))</f>
        <v>0</v>
      </c>
      <c r="AA308" s="168">
        <f ca="1">IF($C308-AA$1&lt;År1,0,Z307*(1-VLOOKUP($A308,[1]Hugst!$R$5:$W$9,MATCH(ROUNDUP((AA$1)/10,0)*10,[1]Hugst!$R$4:$W$4,0))))</f>
        <v>0</v>
      </c>
      <c r="AB308" s="168">
        <f ca="1">IF($C308-AB$1&lt;År1,0,AA307*(1-VLOOKUP($A308,[1]Hugst!$R$5:$W$9,MATCH(ROUNDUP((AB$1)/10,0)*10,[1]Hugst!$R$4:$W$4,0))))</f>
        <v>0</v>
      </c>
      <c r="AC308" s="168">
        <f ca="1">IF($C308-AC$1&lt;År1,0,AB307*(1-VLOOKUP($A308,[1]Hugst!$R$5:$W$9,MATCH(ROUNDUP((AC$1)/10,0)*10,[1]Hugst!$R$4:$W$4,0))))</f>
        <v>0</v>
      </c>
      <c r="AD308" s="168">
        <f ca="1">IF($C308-AD$1&lt;År1,0,AC307*(1-VLOOKUP($A308,[1]Hugst!$R$5:$W$9,MATCH(ROUNDUP((AD$1)/10,0)*10,[1]Hugst!$R$4:$W$4,0))))</f>
        <v>0</v>
      </c>
      <c r="AE308" s="168">
        <f ca="1">IF($C308-AE$1&lt;År1,0,AD307*(1-VLOOKUP($A308,[1]Hugst!$R$5:$W$9,MATCH(ROUNDUP((AE$1)/10,0)*10,[1]Hugst!$R$4:$W$4,0))))</f>
        <v>0</v>
      </c>
      <c r="AF308" s="168">
        <f ca="1">IF($C308-AF$1&lt;År1,0,AE307*(1-VLOOKUP($A308,[1]Hugst!$R$5:$W$9,MATCH(ROUNDUP((AF$1)/10,0)*10,[1]Hugst!$R$4:$W$4,0))))</f>
        <v>0</v>
      </c>
      <c r="AG308" s="168">
        <f ca="1">IF($C308-AG$1&lt;År1,0,AF307*(1-VLOOKUP($A308,[1]Hugst!$R$5:$W$9,MATCH(ROUNDUP((AG$1)/10,0)*10,[1]Hugst!$R$4:$W$4,0))))</f>
        <v>0</v>
      </c>
      <c r="AH308" s="168">
        <f>IF($C308-AH$1&lt;År1,0,AG307*(1-VLOOKUP($A308,[1]Hugst!$R$5:$W$9,MATCH(ROUNDUP((AH$1)/10,0)*10,[1]Hugst!$R$4:$W$4,0))))</f>
        <v>0</v>
      </c>
      <c r="AI308" s="168">
        <f>IF($C308-AI$1&lt;År1,0,AH307*(1-VLOOKUP($A308,[1]Hugst!$R$5:$W$9,MATCH(ROUNDUP((AI$1)/10,0)*10,[1]Hugst!$R$4:$W$4,0))))</f>
        <v>0</v>
      </c>
      <c r="AJ308" s="168">
        <f>IF($C308-AJ$1&lt;År1,0,AI307*(1-VLOOKUP($A308,[1]Hugst!$R$5:$W$9,MATCH(ROUNDUP((AJ$1)/10,0)*10,[1]Hugst!$R$4:$W$4,0))))</f>
        <v>0</v>
      </c>
    </row>
    <row r="309" spans="1:36" x14ac:dyDescent="0.25">
      <c r="A309" s="168" t="s">
        <v>180</v>
      </c>
      <c r="B309" s="168" t="s">
        <v>24</v>
      </c>
      <c r="C309" s="168">
        <v>2048</v>
      </c>
      <c r="D309" s="168" cm="1">
        <f t="array" ref="D309">(IF(B309="Vestdanmark",Skovbrug!$C$22-(Skovbrug!$C$22)*(1-Skovbrug!$C$9)^(C309-Skovbrug!$B$12),Skovbrug!$F$22-(Skovbrug!$F$22)*(1-Skovbrug!$C$9)^(C309-Skovbrug!$B$12))*VLOOKUP(A309,Skovbrug!$A$13:$D$17,IF('Skovbrug-alder'!C309&lt;=År2,3,4),FALSE)-IF(C309&gt;2020,SUM(INDEX($C$1:$D$311,MATCH(1,(2020=$C$1:$C$311)*(B309=$B$1:$B$311)*(A309=$A$1:$A$311),0),2):D308),0))</f>
        <v>0</v>
      </c>
      <c r="E309" s="168">
        <f t="shared" ca="1" si="7"/>
        <v>0</v>
      </c>
      <c r="F309" s="168">
        <f ca="1">IF(C309&lt;=År2,IF(B309="Vestdanmark",(Arealanvendelse!$M$27-Arealanvendelse!$J$27),(Arealanvendelse!$M$37-Arealanvendelse!$J$37))/(Arealanvendelse!$M$3-Arealanvendelse!$J$3),IF(B309="Vestdanmark",(Arealanvendelse!$P$27-Arealanvendelse!$M$27),(Arealanvendelse!$P$37-Arealanvendelse!$M$37))/(Arealanvendelse!$P$3-Arealanvendelse!$M$3))*VLOOKUP(A309,Skovbrug!$A$13:$D$17,IF('Skovbrug-alder'!C309&lt;=År2,3,4),FALSE)+D309+E309</f>
        <v>0</v>
      </c>
      <c r="G309" s="168">
        <f ca="1">IF($C309-G$1&lt;År1,0,F308*(1-VLOOKUP($A309,[1]Hugst!$R$5:$W$9,MATCH(ROUNDUP((G$1)/10,0)*10,[1]Hugst!$R$4:$W$4,0))))</f>
        <v>0</v>
      </c>
      <c r="H309" s="168">
        <f ca="1">IF($C309-H$1&lt;År1,0,G308*(1-VLOOKUP($A309,[1]Hugst!$R$5:$W$9,MATCH(ROUNDUP((H$1)/10,0)*10,[1]Hugst!$R$4:$W$4,0))))</f>
        <v>0</v>
      </c>
      <c r="I309" s="168">
        <f ca="1">IF($C309-I$1&lt;År1,0,H308*(1-VLOOKUP($A309,[1]Hugst!$R$5:$W$9,MATCH(ROUNDUP((I$1)/10,0)*10,[1]Hugst!$R$4:$W$4,0))))</f>
        <v>0</v>
      </c>
      <c r="J309" s="168">
        <f ca="1">IF($C309-J$1&lt;År1,0,I308*(1-VLOOKUP($A309,[1]Hugst!$R$5:$W$9,MATCH(ROUNDUP((J$1)/10,0)*10,[1]Hugst!$R$4:$W$4,0))))</f>
        <v>0</v>
      </c>
      <c r="K309" s="168">
        <f ca="1">IF($C309-K$1&lt;År1,0,J308*(1-VLOOKUP($A309,[1]Hugst!$R$5:$W$9,MATCH(ROUNDUP((K$1)/10,0)*10,[1]Hugst!$R$4:$W$4,0))))</f>
        <v>0</v>
      </c>
      <c r="L309" s="168">
        <f ca="1">IF($C309-L$1&lt;År1,0,K308*(1-VLOOKUP($A309,[1]Hugst!$R$5:$W$9,MATCH(ROUNDUP((L$1)/10,0)*10,[1]Hugst!$R$4:$W$4,0))))</f>
        <v>0</v>
      </c>
      <c r="M309" s="168">
        <f ca="1">IF($C309-M$1&lt;År1,0,L308*(1-VLOOKUP($A309,[1]Hugst!$R$5:$W$9,MATCH(ROUNDUP((M$1)/10,0)*10,[1]Hugst!$R$4:$W$4,0))))</f>
        <v>0</v>
      </c>
      <c r="N309" s="168">
        <f ca="1">IF($C309-N$1&lt;År1,0,M308*(1-VLOOKUP($A309,[1]Hugst!$R$5:$W$9,MATCH(ROUNDUP((N$1)/10,0)*10,[1]Hugst!$R$4:$W$4,0))))</f>
        <v>0</v>
      </c>
      <c r="O309" s="168">
        <f ca="1">IF($C309-O$1&lt;År1,0,N308*(1-VLOOKUP($A309,[1]Hugst!$R$5:$W$9,MATCH(ROUNDUP((O$1)/10,0)*10,[1]Hugst!$R$4:$W$4,0))))</f>
        <v>0</v>
      </c>
      <c r="P309" s="168">
        <f ca="1">IF($C309-P$1&lt;År1,0,O308*(1-VLOOKUP($A309,[1]Hugst!$R$5:$W$9,MATCH(ROUNDUP((P$1)/10,0)*10,[1]Hugst!$R$4:$W$4,0))))</f>
        <v>0</v>
      </c>
      <c r="Q309" s="168">
        <f ca="1">IF($C309-Q$1&lt;År1,0,P308*(1-VLOOKUP($A309,[1]Hugst!$R$5:$W$9,MATCH(ROUNDUP((Q$1)/10,0)*10,[1]Hugst!$R$4:$W$4,0))))</f>
        <v>0</v>
      </c>
      <c r="R309" s="168">
        <f ca="1">IF($C309-R$1&lt;År1,0,Q308*(1-VLOOKUP($A309,[1]Hugst!$R$5:$W$9,MATCH(ROUNDUP((R$1)/10,0)*10,[1]Hugst!$R$4:$W$4,0))))</f>
        <v>0</v>
      </c>
      <c r="S309" s="168">
        <f ca="1">IF($C309-S$1&lt;År1,0,R308*(1-VLOOKUP($A309,[1]Hugst!$R$5:$W$9,MATCH(ROUNDUP((S$1)/10,0)*10,[1]Hugst!$R$4:$W$4,0))))</f>
        <v>0</v>
      </c>
      <c r="T309" s="168">
        <f ca="1">IF($C309-T$1&lt;År1,0,S308*(1-VLOOKUP($A309,[1]Hugst!$R$5:$W$9,MATCH(ROUNDUP((T$1)/10,0)*10,[1]Hugst!$R$4:$W$4,0))))</f>
        <v>0</v>
      </c>
      <c r="U309" s="168">
        <f ca="1">IF($C309-U$1&lt;År1,0,T308*(1-VLOOKUP($A309,[1]Hugst!$R$5:$W$9,MATCH(ROUNDUP((U$1)/10,0)*10,[1]Hugst!$R$4:$W$4,0))))</f>
        <v>0</v>
      </c>
      <c r="V309" s="168">
        <f ca="1">IF($C309-V$1&lt;År1,0,U308*(1-VLOOKUP($A309,[1]Hugst!$R$5:$W$9,MATCH(ROUNDUP((V$1)/10,0)*10,[1]Hugst!$R$4:$W$4,0))))</f>
        <v>0</v>
      </c>
      <c r="W309" s="168">
        <f ca="1">IF($C309-W$1&lt;År1,0,V308*(1-VLOOKUP($A309,[1]Hugst!$R$5:$W$9,MATCH(ROUNDUP((W$1)/10,0)*10,[1]Hugst!$R$4:$W$4,0))))</f>
        <v>0</v>
      </c>
      <c r="X309" s="168">
        <f ca="1">IF($C309-X$1&lt;År1,0,W308*(1-VLOOKUP($A309,[1]Hugst!$R$5:$W$9,MATCH(ROUNDUP((X$1)/10,0)*10,[1]Hugst!$R$4:$W$4,0))))</f>
        <v>0</v>
      </c>
      <c r="Y309" s="168">
        <f ca="1">IF($C309-Y$1&lt;År1,0,X308*(1-VLOOKUP($A309,[1]Hugst!$R$5:$W$9,MATCH(ROUNDUP((Y$1)/10,0)*10,[1]Hugst!$R$4:$W$4,0))))</f>
        <v>0</v>
      </c>
      <c r="Z309" s="168">
        <f ca="1">IF($C309-Z$1&lt;År1,0,Y308*(1-VLOOKUP($A309,[1]Hugst!$R$5:$W$9,MATCH(ROUNDUP((Z$1)/10,0)*10,[1]Hugst!$R$4:$W$4,0))))</f>
        <v>0</v>
      </c>
      <c r="AA309" s="168">
        <f ca="1">IF($C309-AA$1&lt;År1,0,Z308*(1-VLOOKUP($A309,[1]Hugst!$R$5:$W$9,MATCH(ROUNDUP((AA$1)/10,0)*10,[1]Hugst!$R$4:$W$4,0))))</f>
        <v>0</v>
      </c>
      <c r="AB309" s="168">
        <f ca="1">IF($C309-AB$1&lt;År1,0,AA308*(1-VLOOKUP($A309,[1]Hugst!$R$5:$W$9,MATCH(ROUNDUP((AB$1)/10,0)*10,[1]Hugst!$R$4:$W$4,0))))</f>
        <v>0</v>
      </c>
      <c r="AC309" s="168">
        <f ca="1">IF($C309-AC$1&lt;År1,0,AB308*(1-VLOOKUP($A309,[1]Hugst!$R$5:$W$9,MATCH(ROUNDUP((AC$1)/10,0)*10,[1]Hugst!$R$4:$W$4,0))))</f>
        <v>0</v>
      </c>
      <c r="AD309" s="168">
        <f ca="1">IF($C309-AD$1&lt;År1,0,AC308*(1-VLOOKUP($A309,[1]Hugst!$R$5:$W$9,MATCH(ROUNDUP((AD$1)/10,0)*10,[1]Hugst!$R$4:$W$4,0))))</f>
        <v>0</v>
      </c>
      <c r="AE309" s="168">
        <f ca="1">IF($C309-AE$1&lt;År1,0,AD308*(1-VLOOKUP($A309,[1]Hugst!$R$5:$W$9,MATCH(ROUNDUP((AE$1)/10,0)*10,[1]Hugst!$R$4:$W$4,0))))</f>
        <v>0</v>
      </c>
      <c r="AF309" s="168">
        <f ca="1">IF($C309-AF$1&lt;År1,0,AE308*(1-VLOOKUP($A309,[1]Hugst!$R$5:$W$9,MATCH(ROUNDUP((AF$1)/10,0)*10,[1]Hugst!$R$4:$W$4,0))))</f>
        <v>0</v>
      </c>
      <c r="AG309" s="168">
        <f ca="1">IF($C309-AG$1&lt;År1,0,AF308*(1-VLOOKUP($A309,[1]Hugst!$R$5:$W$9,MATCH(ROUNDUP((AG$1)/10,0)*10,[1]Hugst!$R$4:$W$4,0))))</f>
        <v>0</v>
      </c>
      <c r="AH309" s="168">
        <f ca="1">IF($C309-AH$1&lt;År1,0,AG308*(1-VLOOKUP($A309,[1]Hugst!$R$5:$W$9,MATCH(ROUNDUP((AH$1)/10,0)*10,[1]Hugst!$R$4:$W$4,0))))</f>
        <v>0</v>
      </c>
      <c r="AI309" s="168">
        <f>IF($C309-AI$1&lt;År1,0,AH308*(1-VLOOKUP($A309,[1]Hugst!$R$5:$W$9,MATCH(ROUNDUP((AI$1)/10,0)*10,[1]Hugst!$R$4:$W$4,0))))</f>
        <v>0</v>
      </c>
      <c r="AJ309" s="168">
        <f>IF($C309-AJ$1&lt;År1,0,AI308*(1-VLOOKUP($A309,[1]Hugst!$R$5:$W$9,MATCH(ROUNDUP((AJ$1)/10,0)*10,[1]Hugst!$R$4:$W$4,0))))</f>
        <v>0</v>
      </c>
    </row>
    <row r="310" spans="1:36" x14ac:dyDescent="0.25">
      <c r="A310" s="168" t="s">
        <v>180</v>
      </c>
      <c r="B310" s="168" t="s">
        <v>24</v>
      </c>
      <c r="C310" s="168">
        <v>2049</v>
      </c>
      <c r="D310" s="168" cm="1">
        <f t="array" ref="D310">(IF(B310="Vestdanmark",Skovbrug!$C$22-(Skovbrug!$C$22)*(1-Skovbrug!$C$9)^(C310-Skovbrug!$B$12),Skovbrug!$F$22-(Skovbrug!$F$22)*(1-Skovbrug!$C$9)^(C310-Skovbrug!$B$12))*VLOOKUP(A310,Skovbrug!$A$13:$D$17,IF('Skovbrug-alder'!C310&lt;=År2,3,4),FALSE)-IF(C310&gt;2020,SUM(INDEX($C$1:$D$311,MATCH(1,(2020=$C$1:$C$311)*(B310=$B$1:$B$311)*(A310=$A$1:$A$311),0),2):D309),0))</f>
        <v>0</v>
      </c>
      <c r="E310" s="168">
        <f t="shared" ca="1" si="7"/>
        <v>0</v>
      </c>
      <c r="F310" s="168">
        <f ca="1">IF(C310&lt;=År2,IF(B310="Vestdanmark",(Arealanvendelse!$M$27-Arealanvendelse!$J$27),(Arealanvendelse!$M$37-Arealanvendelse!$J$37))/(Arealanvendelse!$M$3-Arealanvendelse!$J$3),IF(B310="Vestdanmark",(Arealanvendelse!$P$27-Arealanvendelse!$M$27),(Arealanvendelse!$P$37-Arealanvendelse!$M$37))/(Arealanvendelse!$P$3-Arealanvendelse!$M$3))*VLOOKUP(A310,Skovbrug!$A$13:$D$17,IF('Skovbrug-alder'!C310&lt;=År2,3,4),FALSE)+D310+E310</f>
        <v>0</v>
      </c>
      <c r="G310" s="168">
        <f ca="1">IF($C310-G$1&lt;År1,0,F309*(1-VLOOKUP($A310,[1]Hugst!$R$5:$W$9,MATCH(ROUNDUP((G$1)/10,0)*10,[1]Hugst!$R$4:$W$4,0))))</f>
        <v>0</v>
      </c>
      <c r="H310" s="168">
        <f ca="1">IF($C310-H$1&lt;År1,0,G309*(1-VLOOKUP($A310,[1]Hugst!$R$5:$W$9,MATCH(ROUNDUP((H$1)/10,0)*10,[1]Hugst!$R$4:$W$4,0))))</f>
        <v>0</v>
      </c>
      <c r="I310" s="168">
        <f ca="1">IF($C310-I$1&lt;År1,0,H309*(1-VLOOKUP($A310,[1]Hugst!$R$5:$W$9,MATCH(ROUNDUP((I$1)/10,0)*10,[1]Hugst!$R$4:$W$4,0))))</f>
        <v>0</v>
      </c>
      <c r="J310" s="168">
        <f ca="1">IF($C310-J$1&lt;År1,0,I309*(1-VLOOKUP($A310,[1]Hugst!$R$5:$W$9,MATCH(ROUNDUP((J$1)/10,0)*10,[1]Hugst!$R$4:$W$4,0))))</f>
        <v>0</v>
      </c>
      <c r="K310" s="168">
        <f ca="1">IF($C310-K$1&lt;År1,0,J309*(1-VLOOKUP($A310,[1]Hugst!$R$5:$W$9,MATCH(ROUNDUP((K$1)/10,0)*10,[1]Hugst!$R$4:$W$4,0))))</f>
        <v>0</v>
      </c>
      <c r="L310" s="168">
        <f ca="1">IF($C310-L$1&lt;År1,0,K309*(1-VLOOKUP($A310,[1]Hugst!$R$5:$W$9,MATCH(ROUNDUP((L$1)/10,0)*10,[1]Hugst!$R$4:$W$4,0))))</f>
        <v>0</v>
      </c>
      <c r="M310" s="168">
        <f ca="1">IF($C310-M$1&lt;År1,0,L309*(1-VLOOKUP($A310,[1]Hugst!$R$5:$W$9,MATCH(ROUNDUP((M$1)/10,0)*10,[1]Hugst!$R$4:$W$4,0))))</f>
        <v>0</v>
      </c>
      <c r="N310" s="168">
        <f ca="1">IF($C310-N$1&lt;År1,0,M309*(1-VLOOKUP($A310,[1]Hugst!$R$5:$W$9,MATCH(ROUNDUP((N$1)/10,0)*10,[1]Hugst!$R$4:$W$4,0))))</f>
        <v>0</v>
      </c>
      <c r="O310" s="168">
        <f ca="1">IF($C310-O$1&lt;År1,0,N309*(1-VLOOKUP($A310,[1]Hugst!$R$5:$W$9,MATCH(ROUNDUP((O$1)/10,0)*10,[1]Hugst!$R$4:$W$4,0))))</f>
        <v>0</v>
      </c>
      <c r="P310" s="168">
        <f ca="1">IF($C310-P$1&lt;År1,0,O309*(1-VLOOKUP($A310,[1]Hugst!$R$5:$W$9,MATCH(ROUNDUP((P$1)/10,0)*10,[1]Hugst!$R$4:$W$4,0))))</f>
        <v>0</v>
      </c>
      <c r="Q310" s="168">
        <f ca="1">IF($C310-Q$1&lt;År1,0,P309*(1-VLOOKUP($A310,[1]Hugst!$R$5:$W$9,MATCH(ROUNDUP((Q$1)/10,0)*10,[1]Hugst!$R$4:$W$4,0))))</f>
        <v>0</v>
      </c>
      <c r="R310" s="168">
        <f ca="1">IF($C310-R$1&lt;År1,0,Q309*(1-VLOOKUP($A310,[1]Hugst!$R$5:$W$9,MATCH(ROUNDUP((R$1)/10,0)*10,[1]Hugst!$R$4:$W$4,0))))</f>
        <v>0</v>
      </c>
      <c r="S310" s="168">
        <f ca="1">IF($C310-S$1&lt;År1,0,R309*(1-VLOOKUP($A310,[1]Hugst!$R$5:$W$9,MATCH(ROUNDUP((S$1)/10,0)*10,[1]Hugst!$R$4:$W$4,0))))</f>
        <v>0</v>
      </c>
      <c r="T310" s="168">
        <f ca="1">IF($C310-T$1&lt;År1,0,S309*(1-VLOOKUP($A310,[1]Hugst!$R$5:$W$9,MATCH(ROUNDUP((T$1)/10,0)*10,[1]Hugst!$R$4:$W$4,0))))</f>
        <v>0</v>
      </c>
      <c r="U310" s="168">
        <f ca="1">IF($C310-U$1&lt;År1,0,T309*(1-VLOOKUP($A310,[1]Hugst!$R$5:$W$9,MATCH(ROUNDUP((U$1)/10,0)*10,[1]Hugst!$R$4:$W$4,0))))</f>
        <v>0</v>
      </c>
      <c r="V310" s="168">
        <f ca="1">IF($C310-V$1&lt;År1,0,U309*(1-VLOOKUP($A310,[1]Hugst!$R$5:$W$9,MATCH(ROUNDUP((V$1)/10,0)*10,[1]Hugst!$R$4:$W$4,0))))</f>
        <v>0</v>
      </c>
      <c r="W310" s="168">
        <f ca="1">IF($C310-W$1&lt;År1,0,V309*(1-VLOOKUP($A310,[1]Hugst!$R$5:$W$9,MATCH(ROUNDUP((W$1)/10,0)*10,[1]Hugst!$R$4:$W$4,0))))</f>
        <v>0</v>
      </c>
      <c r="X310" s="168">
        <f ca="1">IF($C310-X$1&lt;År1,0,W309*(1-VLOOKUP($A310,[1]Hugst!$R$5:$W$9,MATCH(ROUNDUP((X$1)/10,0)*10,[1]Hugst!$R$4:$W$4,0))))</f>
        <v>0</v>
      </c>
      <c r="Y310" s="168">
        <f ca="1">IF($C310-Y$1&lt;År1,0,X309*(1-VLOOKUP($A310,[1]Hugst!$R$5:$W$9,MATCH(ROUNDUP((Y$1)/10,0)*10,[1]Hugst!$R$4:$W$4,0))))</f>
        <v>0</v>
      </c>
      <c r="Z310" s="168">
        <f ca="1">IF($C310-Z$1&lt;År1,0,Y309*(1-VLOOKUP($A310,[1]Hugst!$R$5:$W$9,MATCH(ROUNDUP((Z$1)/10,0)*10,[1]Hugst!$R$4:$W$4,0))))</f>
        <v>0</v>
      </c>
      <c r="AA310" s="168">
        <f ca="1">IF($C310-AA$1&lt;År1,0,Z309*(1-VLOOKUP($A310,[1]Hugst!$R$5:$W$9,MATCH(ROUNDUP((AA$1)/10,0)*10,[1]Hugst!$R$4:$W$4,0))))</f>
        <v>0</v>
      </c>
      <c r="AB310" s="168">
        <f ca="1">IF($C310-AB$1&lt;År1,0,AA309*(1-VLOOKUP($A310,[1]Hugst!$R$5:$W$9,MATCH(ROUNDUP((AB$1)/10,0)*10,[1]Hugst!$R$4:$W$4,0))))</f>
        <v>0</v>
      </c>
      <c r="AC310" s="168">
        <f ca="1">IF($C310-AC$1&lt;År1,0,AB309*(1-VLOOKUP($A310,[1]Hugst!$R$5:$W$9,MATCH(ROUNDUP((AC$1)/10,0)*10,[1]Hugst!$R$4:$W$4,0))))</f>
        <v>0</v>
      </c>
      <c r="AD310" s="168">
        <f ca="1">IF($C310-AD$1&lt;År1,0,AC309*(1-VLOOKUP($A310,[1]Hugst!$R$5:$W$9,MATCH(ROUNDUP((AD$1)/10,0)*10,[1]Hugst!$R$4:$W$4,0))))</f>
        <v>0</v>
      </c>
      <c r="AE310" s="168">
        <f ca="1">IF($C310-AE$1&lt;År1,0,AD309*(1-VLOOKUP($A310,[1]Hugst!$R$5:$W$9,MATCH(ROUNDUP((AE$1)/10,0)*10,[1]Hugst!$R$4:$W$4,0))))</f>
        <v>0</v>
      </c>
      <c r="AF310" s="168">
        <f ca="1">IF($C310-AF$1&lt;År1,0,AE309*(1-VLOOKUP($A310,[1]Hugst!$R$5:$W$9,MATCH(ROUNDUP((AF$1)/10,0)*10,[1]Hugst!$R$4:$W$4,0))))</f>
        <v>0</v>
      </c>
      <c r="AG310" s="168">
        <f ca="1">IF($C310-AG$1&lt;År1,0,AF309*(1-VLOOKUP($A310,[1]Hugst!$R$5:$W$9,MATCH(ROUNDUP((AG$1)/10,0)*10,[1]Hugst!$R$4:$W$4,0))))</f>
        <v>0</v>
      </c>
      <c r="AH310" s="168">
        <f ca="1">IF($C310-AH$1&lt;År1,0,AG309*(1-VLOOKUP($A310,[1]Hugst!$R$5:$W$9,MATCH(ROUNDUP((AH$1)/10,0)*10,[1]Hugst!$R$4:$W$4,0))))</f>
        <v>0</v>
      </c>
      <c r="AI310" s="168">
        <f ca="1">IF($C310-AI$1&lt;År1,0,AH309*(1-VLOOKUP($A310,[1]Hugst!$R$5:$W$9,MATCH(ROUNDUP((AI$1)/10,0)*10,[1]Hugst!$R$4:$W$4,0))))</f>
        <v>0</v>
      </c>
      <c r="AJ310" s="168">
        <f>IF($C310-AJ$1&lt;År1,0,AI309*(1-VLOOKUP($A310,[1]Hugst!$R$5:$W$9,MATCH(ROUNDUP((AJ$1)/10,0)*10,[1]Hugst!$R$4:$W$4,0))))</f>
        <v>0</v>
      </c>
    </row>
    <row r="311" spans="1:36" x14ac:dyDescent="0.25">
      <c r="A311" s="168" t="s">
        <v>180</v>
      </c>
      <c r="B311" s="168" t="s">
        <v>24</v>
      </c>
      <c r="C311" s="168">
        <v>2050</v>
      </c>
      <c r="D311" s="168" cm="1">
        <f t="array" ref="D311">(IF(B311="Vestdanmark",Skovbrug!$C$22-(Skovbrug!$C$22)*(1-Skovbrug!$C$9)^(C311-Skovbrug!$B$12),Skovbrug!$F$22-(Skovbrug!$F$22)*(1-Skovbrug!$C$9)^(C311-Skovbrug!$B$12))*VLOOKUP(A311,Skovbrug!$A$13:$D$17,IF('Skovbrug-alder'!C311&lt;=År2,3,4),FALSE)-IF(C311&gt;2020,SUM(INDEX($C$1:$D$311,MATCH(1,(2020=$C$1:$C$311)*(B311=$B$1:$B$311)*(A311=$A$1:$A$311),0),2):D310),0))</f>
        <v>0</v>
      </c>
      <c r="E311" s="168">
        <f ca="1">IF(C311=2020,SUM(G311:AJ311),SUM(F310:AJ310)-SUM(G311:AJ311))</f>
        <v>0</v>
      </c>
      <c r="F311" s="168">
        <f ca="1">IF(C311&lt;=År2,IF(B311="Vestdanmark",(Arealanvendelse!$M$27-Arealanvendelse!$J$27),(Arealanvendelse!$M$37-Arealanvendelse!$J$37))/(Arealanvendelse!$M$3-Arealanvendelse!$J$3),IF(B311="Vestdanmark",(Arealanvendelse!$P$27-Arealanvendelse!$M$27),(Arealanvendelse!$P$37-Arealanvendelse!$M$37))/(Arealanvendelse!$P$3-Arealanvendelse!$M$3))*VLOOKUP(A311,Skovbrug!$A$13:$D$17,IF('Skovbrug-alder'!C311&lt;=År2,3,4),FALSE)+D311+E311</f>
        <v>0</v>
      </c>
      <c r="G311" s="168">
        <f ca="1">IF($C311-G$1&lt;År1,0,F310*(1-VLOOKUP($A311,[1]Hugst!$R$5:$W$9,MATCH(ROUNDUP((G$1)/10,0)*10,[1]Hugst!$R$4:$W$4,0))))</f>
        <v>0</v>
      </c>
      <c r="H311" s="168">
        <f ca="1">IF($C311-H$1&lt;År1,0,G310*(1-VLOOKUP($A311,[1]Hugst!$R$5:$W$9,MATCH(ROUNDUP((H$1)/10,0)*10,[1]Hugst!$R$4:$W$4,0))))</f>
        <v>0</v>
      </c>
      <c r="I311" s="168">
        <f ca="1">IF($C311-I$1&lt;År1,0,H310*(1-VLOOKUP($A311,[1]Hugst!$R$5:$W$9,MATCH(ROUNDUP((I$1)/10,0)*10,[1]Hugst!$R$4:$W$4,0))))</f>
        <v>0</v>
      </c>
      <c r="J311" s="168">
        <f ca="1">IF($C311-J$1&lt;År1,0,I310*(1-VLOOKUP($A311,[1]Hugst!$R$5:$W$9,MATCH(ROUNDUP((J$1)/10,0)*10,[1]Hugst!$R$4:$W$4,0))))</f>
        <v>0</v>
      </c>
      <c r="K311" s="168">
        <f ca="1">IF($C311-K$1&lt;År1,0,J310*(1-VLOOKUP($A311,[1]Hugst!$R$5:$W$9,MATCH(ROUNDUP((K$1)/10,0)*10,[1]Hugst!$R$4:$W$4,0))))</f>
        <v>0</v>
      </c>
      <c r="L311" s="168">
        <f ca="1">IF($C311-L$1&lt;År1,0,K310*(1-VLOOKUP($A311,[1]Hugst!$R$5:$W$9,MATCH(ROUNDUP((L$1)/10,0)*10,[1]Hugst!$R$4:$W$4,0))))</f>
        <v>0</v>
      </c>
      <c r="M311" s="168">
        <f ca="1">IF($C311-M$1&lt;År1,0,L310*(1-VLOOKUP($A311,[1]Hugst!$R$5:$W$9,MATCH(ROUNDUP((M$1)/10,0)*10,[1]Hugst!$R$4:$W$4,0))))</f>
        <v>0</v>
      </c>
      <c r="N311" s="168">
        <f ca="1">IF($C311-N$1&lt;År1,0,M310*(1-VLOOKUP($A311,[1]Hugst!$R$5:$W$9,MATCH(ROUNDUP((N$1)/10,0)*10,[1]Hugst!$R$4:$W$4,0))))</f>
        <v>0</v>
      </c>
      <c r="O311" s="168">
        <f ca="1">IF($C311-O$1&lt;År1,0,N310*(1-VLOOKUP($A311,[1]Hugst!$R$5:$W$9,MATCH(ROUNDUP((O$1)/10,0)*10,[1]Hugst!$R$4:$W$4,0))))</f>
        <v>0</v>
      </c>
      <c r="P311" s="168">
        <f ca="1">IF($C311-P$1&lt;År1,0,O310*(1-VLOOKUP($A311,[1]Hugst!$R$5:$W$9,MATCH(ROUNDUP((P$1)/10,0)*10,[1]Hugst!$R$4:$W$4,0))))</f>
        <v>0</v>
      </c>
      <c r="Q311" s="168">
        <f ca="1">IF($C311-Q$1&lt;År1,0,P310*(1-VLOOKUP($A311,[1]Hugst!$R$5:$W$9,MATCH(ROUNDUP((Q$1)/10,0)*10,[1]Hugst!$R$4:$W$4,0))))</f>
        <v>0</v>
      </c>
      <c r="R311" s="168">
        <f ca="1">IF($C311-R$1&lt;År1,0,Q310*(1-VLOOKUP($A311,[1]Hugst!$R$5:$W$9,MATCH(ROUNDUP((R$1)/10,0)*10,[1]Hugst!$R$4:$W$4,0))))</f>
        <v>0</v>
      </c>
      <c r="S311" s="168">
        <f ca="1">IF($C311-S$1&lt;År1,0,R310*(1-VLOOKUP($A311,[1]Hugst!$R$5:$W$9,MATCH(ROUNDUP((S$1)/10,0)*10,[1]Hugst!$R$4:$W$4,0))))</f>
        <v>0</v>
      </c>
      <c r="T311" s="168">
        <f ca="1">IF($C311-T$1&lt;År1,0,S310*(1-VLOOKUP($A311,[1]Hugst!$R$5:$W$9,MATCH(ROUNDUP((T$1)/10,0)*10,[1]Hugst!$R$4:$W$4,0))))</f>
        <v>0</v>
      </c>
      <c r="U311" s="168">
        <f ca="1">IF($C311-U$1&lt;År1,0,T310*(1-VLOOKUP($A311,[1]Hugst!$R$5:$W$9,MATCH(ROUNDUP((U$1)/10,0)*10,[1]Hugst!$R$4:$W$4,0))))</f>
        <v>0</v>
      </c>
      <c r="V311" s="168">
        <f ca="1">IF($C311-V$1&lt;År1,0,U310*(1-VLOOKUP($A311,[1]Hugst!$R$5:$W$9,MATCH(ROUNDUP((V$1)/10,0)*10,[1]Hugst!$R$4:$W$4,0))))</f>
        <v>0</v>
      </c>
      <c r="W311" s="168">
        <f ca="1">IF($C311-W$1&lt;År1,0,V310*(1-VLOOKUP($A311,[1]Hugst!$R$5:$W$9,MATCH(ROUNDUP((W$1)/10,0)*10,[1]Hugst!$R$4:$W$4,0))))</f>
        <v>0</v>
      </c>
      <c r="X311" s="168">
        <f ca="1">IF($C311-X$1&lt;År1,0,W310*(1-VLOOKUP($A311,[1]Hugst!$R$5:$W$9,MATCH(ROUNDUP((X$1)/10,0)*10,[1]Hugst!$R$4:$W$4,0))))</f>
        <v>0</v>
      </c>
      <c r="Y311" s="168">
        <f ca="1">IF($C311-Y$1&lt;År1,0,X310*(1-VLOOKUP($A311,[1]Hugst!$R$5:$W$9,MATCH(ROUNDUP((Y$1)/10,0)*10,[1]Hugst!$R$4:$W$4,0))))</f>
        <v>0</v>
      </c>
      <c r="Z311" s="168">
        <f ca="1">IF($C311-Z$1&lt;År1,0,Y310*(1-VLOOKUP($A311,[1]Hugst!$R$5:$W$9,MATCH(ROUNDUP((Z$1)/10,0)*10,[1]Hugst!$R$4:$W$4,0))))</f>
        <v>0</v>
      </c>
      <c r="AA311" s="168">
        <f ca="1">IF($C311-AA$1&lt;År1,0,Z310*(1-VLOOKUP($A311,[1]Hugst!$R$5:$W$9,MATCH(ROUNDUP((AA$1)/10,0)*10,[1]Hugst!$R$4:$W$4,0))))</f>
        <v>0</v>
      </c>
      <c r="AB311" s="168">
        <f ca="1">IF($C311-AB$1&lt;År1,0,AA310*(1-VLOOKUP($A311,[1]Hugst!$R$5:$W$9,MATCH(ROUNDUP((AB$1)/10,0)*10,[1]Hugst!$R$4:$W$4,0))))</f>
        <v>0</v>
      </c>
      <c r="AC311" s="168">
        <f ca="1">IF($C311-AC$1&lt;År1,0,AB310*(1-VLOOKUP($A311,[1]Hugst!$R$5:$W$9,MATCH(ROUNDUP((AC$1)/10,0)*10,[1]Hugst!$R$4:$W$4,0))))</f>
        <v>0</v>
      </c>
      <c r="AD311" s="168">
        <f ca="1">IF($C311-AD$1&lt;År1,0,AC310*(1-VLOOKUP($A311,[1]Hugst!$R$5:$W$9,MATCH(ROUNDUP((AD$1)/10,0)*10,[1]Hugst!$R$4:$W$4,0))))</f>
        <v>0</v>
      </c>
      <c r="AE311" s="168">
        <f ca="1">IF($C311-AE$1&lt;År1,0,AD310*(1-VLOOKUP($A311,[1]Hugst!$R$5:$W$9,MATCH(ROUNDUP((AE$1)/10,0)*10,[1]Hugst!$R$4:$W$4,0))))</f>
        <v>0</v>
      </c>
      <c r="AF311" s="168">
        <f ca="1">IF($C311-AF$1&lt;År1,0,AE310*(1-VLOOKUP($A311,[1]Hugst!$R$5:$W$9,MATCH(ROUNDUP((AF$1)/10,0)*10,[1]Hugst!$R$4:$W$4,0))))</f>
        <v>0</v>
      </c>
      <c r="AG311" s="168">
        <f ca="1">IF($C311-AG$1&lt;År1,0,AF310*(1-VLOOKUP($A311,[1]Hugst!$R$5:$W$9,MATCH(ROUNDUP((AG$1)/10,0)*10,[1]Hugst!$R$4:$W$4,0))))</f>
        <v>0</v>
      </c>
      <c r="AH311" s="168">
        <f ca="1">IF($C311-AH$1&lt;År1,0,AG310*(1-VLOOKUP($A311,[1]Hugst!$R$5:$W$9,MATCH(ROUNDUP((AH$1)/10,0)*10,[1]Hugst!$R$4:$W$4,0))))</f>
        <v>0</v>
      </c>
      <c r="AI311" s="168">
        <f ca="1">IF($C311-AI$1&lt;År1,0,AH310*(1-VLOOKUP($A311,[1]Hugst!$R$5:$W$9,MATCH(ROUNDUP((AI$1)/10,0)*10,[1]Hugst!$R$4:$W$4,0))))</f>
        <v>0</v>
      </c>
      <c r="AJ311" s="168">
        <f ca="1">IF($C311-AJ$1&lt;År1,0,AI310*(1-VLOOKUP($A311,[1]Hugst!$R$5:$W$9,MATCH(ROUNDUP((AJ$1)/10,0)*10,[1]Hugst!$R$4:$W$4,0))))</f>
        <v>0</v>
      </c>
    </row>
  </sheetData>
  <phoneticPr fontId="10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D7C89D-4652-4B62-8AE2-986E6C0F35A4}">
  <sheetPr codeName="Sheet16">
    <tabColor theme="9" tint="0.39997558519241921"/>
  </sheetPr>
  <dimension ref="A1:G13"/>
  <sheetViews>
    <sheetView workbookViewId="0">
      <selection activeCell="D4" sqref="D4:F7"/>
    </sheetView>
  </sheetViews>
  <sheetFormatPr defaultColWidth="9.140625" defaultRowHeight="15" x14ac:dyDescent="0.25"/>
  <cols>
    <col min="1" max="1" width="22.140625" style="1" bestFit="1" customWidth="1"/>
    <col min="2" max="2" width="15" style="1" customWidth="1"/>
    <col min="3" max="5" width="9.140625" style="1"/>
    <col min="6" max="6" width="13.5703125" style="1" customWidth="1"/>
    <col min="7" max="7" width="46.140625" style="1" customWidth="1"/>
    <col min="8" max="8" width="11.5703125" style="1" bestFit="1" customWidth="1"/>
    <col min="9" max="16384" width="9.140625" style="1"/>
  </cols>
  <sheetData>
    <row r="1" spans="1:7" x14ac:dyDescent="0.25">
      <c r="A1" s="316" t="s">
        <v>274</v>
      </c>
      <c r="F1" s="75"/>
    </row>
    <row r="2" spans="1:7" s="320" customFormat="1" x14ac:dyDescent="0.25">
      <c r="A2" s="319"/>
      <c r="C2" s="427" t="s">
        <v>320</v>
      </c>
      <c r="D2" s="427"/>
      <c r="E2" s="427"/>
    </row>
    <row r="3" spans="1:7" s="12" customFormat="1" x14ac:dyDescent="0.25">
      <c r="B3" s="324"/>
      <c r="C3" s="2">
        <f>År1</f>
        <v>2019</v>
      </c>
      <c r="D3" s="2">
        <f>År2</f>
        <v>2030</v>
      </c>
      <c r="E3" s="2">
        <f>År3</f>
        <v>2050</v>
      </c>
      <c r="F3" s="325" t="s">
        <v>321</v>
      </c>
      <c r="G3" s="12" t="s">
        <v>317</v>
      </c>
    </row>
    <row r="4" spans="1:7" s="12" customFormat="1" x14ac:dyDescent="0.25">
      <c r="A4" s="108" t="s">
        <v>98</v>
      </c>
      <c r="B4" s="2" t="s">
        <v>23</v>
      </c>
      <c r="C4" s="113">
        <f>(502+3901)/10/F4</f>
        <v>2.9353333333333332E-3</v>
      </c>
      <c r="D4" s="3">
        <v>0.7</v>
      </c>
      <c r="E4" s="8">
        <v>0.7</v>
      </c>
      <c r="F4" s="321">
        <v>150000</v>
      </c>
      <c r="G4" s="428"/>
    </row>
    <row r="5" spans="1:7" s="12" customFormat="1" x14ac:dyDescent="0.25">
      <c r="A5" s="108" t="s">
        <v>98</v>
      </c>
      <c r="B5" s="2" t="s">
        <v>24</v>
      </c>
      <c r="C5" s="322">
        <f>(0.6)/F5</f>
        <v>1.2E-5</v>
      </c>
      <c r="D5" s="3">
        <v>0.7</v>
      </c>
      <c r="E5" s="8">
        <v>0.7</v>
      </c>
      <c r="F5" s="110">
        <v>50000</v>
      </c>
      <c r="G5" s="428"/>
    </row>
    <row r="6" spans="1:7" s="12" customFormat="1" x14ac:dyDescent="0.25">
      <c r="A6" s="108" t="s">
        <v>99</v>
      </c>
      <c r="B6" s="2" t="s">
        <v>23</v>
      </c>
      <c r="C6" s="113">
        <f>17/F6</f>
        <v>3.6170212765957447E-4</v>
      </c>
      <c r="D6" s="8">
        <v>0.08</v>
      </c>
      <c r="E6" s="3">
        <v>0.08</v>
      </c>
      <c r="F6" s="321">
        <v>47000</v>
      </c>
      <c r="G6" s="429"/>
    </row>
    <row r="7" spans="1:7" s="12" customFormat="1" x14ac:dyDescent="0.25">
      <c r="A7" s="108" t="s">
        <v>99</v>
      </c>
      <c r="B7" s="2" t="s">
        <v>24</v>
      </c>
      <c r="C7" s="86">
        <f>0/F7</f>
        <v>0</v>
      </c>
      <c r="D7" s="8">
        <v>0.08</v>
      </c>
      <c r="E7" s="3">
        <v>0.08</v>
      </c>
      <c r="F7" s="321">
        <v>20000</v>
      </c>
      <c r="G7" s="429"/>
    </row>
    <row r="8" spans="1:7" s="12" customFormat="1" x14ac:dyDescent="0.25">
      <c r="A8" s="317"/>
      <c r="C8" s="12" t="s">
        <v>240</v>
      </c>
      <c r="F8" s="318"/>
    </row>
    <row r="9" spans="1:7" x14ac:dyDescent="0.25">
      <c r="A9" s="317"/>
      <c r="B9" s="12"/>
      <c r="C9" s="12"/>
      <c r="D9" s="12"/>
      <c r="E9" s="12"/>
    </row>
    <row r="10" spans="1:7" x14ac:dyDescent="0.25">
      <c r="B10" s="1" t="s">
        <v>23</v>
      </c>
      <c r="E10" s="1" t="s">
        <v>24</v>
      </c>
    </row>
    <row r="11" spans="1:7" x14ac:dyDescent="0.25">
      <c r="B11" s="151">
        <f>År1</f>
        <v>2019</v>
      </c>
      <c r="C11" s="151">
        <f>År2</f>
        <v>2030</v>
      </c>
      <c r="D11" s="151">
        <f>År3</f>
        <v>2050</v>
      </c>
      <c r="E11" s="151">
        <f>År1</f>
        <v>2019</v>
      </c>
      <c r="F11" s="151">
        <f>År2</f>
        <v>2030</v>
      </c>
      <c r="G11" s="151">
        <f>År3</f>
        <v>2050</v>
      </c>
    </row>
    <row r="12" spans="1:7" x14ac:dyDescent="0.25">
      <c r="A12" s="108" t="s">
        <v>98</v>
      </c>
      <c r="B12" s="1">
        <f>C4*$F4</f>
        <v>440.29999999999995</v>
      </c>
      <c r="C12" s="1">
        <f t="shared" ref="C12:D12" si="0">D4*$F4</f>
        <v>105000</v>
      </c>
      <c r="D12" s="1">
        <f t="shared" si="0"/>
        <v>105000</v>
      </c>
      <c r="E12" s="1">
        <f>C5*$F$5</f>
        <v>0.6</v>
      </c>
      <c r="F12" s="1">
        <f t="shared" ref="F12:G12" si="1">D5*$F$5</f>
        <v>35000</v>
      </c>
      <c r="G12" s="1">
        <f t="shared" si="1"/>
        <v>35000</v>
      </c>
    </row>
    <row r="13" spans="1:7" x14ac:dyDescent="0.25">
      <c r="A13" s="108" t="s">
        <v>99</v>
      </c>
      <c r="B13" s="1">
        <f>C6*$F6</f>
        <v>17</v>
      </c>
      <c r="C13" s="1">
        <f t="shared" ref="C13:D13" si="2">D6*$F6</f>
        <v>3760</v>
      </c>
      <c r="D13" s="1">
        <f t="shared" si="2"/>
        <v>3760</v>
      </c>
      <c r="E13" s="1">
        <f>C7*$F$7</f>
        <v>0</v>
      </c>
      <c r="F13" s="1">
        <f t="shared" ref="F13:G13" si="3">D7*$F$7</f>
        <v>1600</v>
      </c>
      <c r="G13" s="1">
        <f t="shared" si="3"/>
        <v>1600</v>
      </c>
    </row>
  </sheetData>
  <mergeCells count="3">
    <mergeCell ref="C2:E2"/>
    <mergeCell ref="G4:G5"/>
    <mergeCell ref="G6:G7"/>
  </mergeCells>
  <phoneticPr fontId="10" type="noConversion"/>
  <hyperlinks>
    <hyperlink ref="A1" location="Resume!A1" display="Arealer, ha" xr:uid="{0E9E64D1-EA87-4720-ABBC-D40686FB3072}"/>
  </hyperlink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E39F99-1BEE-4D0B-860F-E68BB426AE81}">
  <sheetPr codeName="Sheet6">
    <tabColor theme="9" tint="0.39997558519241921"/>
  </sheetPr>
  <dimension ref="A1:J36"/>
  <sheetViews>
    <sheetView zoomScale="103" workbookViewId="0">
      <selection activeCell="E48" sqref="E48"/>
    </sheetView>
  </sheetViews>
  <sheetFormatPr defaultColWidth="9.140625" defaultRowHeight="15" x14ac:dyDescent="0.25"/>
  <cols>
    <col min="1" max="1" width="58" style="1" bestFit="1" customWidth="1"/>
    <col min="2" max="5" width="9.140625" style="1"/>
    <col min="6" max="10" width="10.5703125" style="1" customWidth="1"/>
    <col min="11" max="16384" width="9.140625" style="1"/>
  </cols>
  <sheetData>
    <row r="1" spans="1:10" x14ac:dyDescent="0.25">
      <c r="A1" s="226" t="s">
        <v>274</v>
      </c>
    </row>
    <row r="2" spans="1:10" ht="15.75" x14ac:dyDescent="0.25">
      <c r="A2" s="224" t="s">
        <v>25</v>
      </c>
    </row>
    <row r="3" spans="1:10" x14ac:dyDescent="0.25">
      <c r="A3" s="6" t="s">
        <v>304</v>
      </c>
    </row>
    <row r="4" spans="1:10" x14ac:dyDescent="0.25">
      <c r="A4" s="25" t="s">
        <v>154</v>
      </c>
      <c r="B4" s="84">
        <f>År1</f>
        <v>2019</v>
      </c>
      <c r="C4" s="84">
        <f>År2</f>
        <v>2030</v>
      </c>
      <c r="D4" s="84">
        <f>År3</f>
        <v>2050</v>
      </c>
      <c r="F4" s="25" t="s">
        <v>324</v>
      </c>
      <c r="G4" s="25"/>
      <c r="H4" s="84">
        <f>År1</f>
        <v>2019</v>
      </c>
      <c r="I4" s="84">
        <f>År2</f>
        <v>2030</v>
      </c>
      <c r="J4" s="84">
        <f>År3</f>
        <v>2050</v>
      </c>
    </row>
    <row r="5" spans="1:10" x14ac:dyDescent="0.25">
      <c r="A5" s="2" t="s">
        <v>220</v>
      </c>
      <c r="B5" s="87">
        <v>0</v>
      </c>
      <c r="C5" s="3"/>
      <c r="D5" s="3"/>
      <c r="F5" s="25" t="str">
        <f>A5</f>
        <v>Planteprotein*</v>
      </c>
      <c r="G5" s="25" t="s">
        <v>49</v>
      </c>
      <c r="H5" s="10">
        <f>SUMIFS('Resultat-Produktion &amp; forbrug'!$N$3:$N$1000,'Resultat-Produktion &amp; forbrug'!$A$3:$A$1000,Adfærd!$G5,'Resultat-Produktion &amp; forbrug'!$D$3:$D$1000,Adfærd!H$4)</f>
        <v>212954.7645341866</v>
      </c>
      <c r="I5" s="10">
        <f>SUMIFS('Resultat-Produktion &amp; forbrug'!$N$3:$N$1000,'Resultat-Produktion &amp; forbrug'!$A$3:$A$1000,Adfærd!$G5,'Resultat-Produktion &amp; forbrug'!$D$3:$D$1000,Adfærd!I$4)</f>
        <v>212125.14362511929</v>
      </c>
      <c r="J5" s="10">
        <f>SUMIFS('Resultat-Produktion &amp; forbrug'!$N$3:$N$1000,'Resultat-Produktion &amp; forbrug'!$A$3:$A$1000,Adfærd!$G5,'Resultat-Produktion &amp; forbrug'!$D$3:$D$1000,Adfærd!J$4)</f>
        <v>222884.37279909273</v>
      </c>
    </row>
    <row r="6" spans="1:10" x14ac:dyDescent="0.25">
      <c r="A6" s="2" t="s">
        <v>106</v>
      </c>
      <c r="B6" s="87">
        <v>0</v>
      </c>
      <c r="C6" s="3"/>
      <c r="D6" s="3"/>
      <c r="F6" s="25" t="str">
        <f t="shared" ref="F6:F7" si="0">A6</f>
        <v>Muslinger</v>
      </c>
      <c r="G6" s="25" t="s">
        <v>106</v>
      </c>
      <c r="H6" s="10">
        <f>SUMIFS('Resultat-Produktion &amp; forbrug'!$N$3:$N$1000,'Resultat-Produktion &amp; forbrug'!$A$3:$A$1000,Adfærd!$G6,'Resultat-Produktion &amp; forbrug'!$D$3:$D$1000,Adfærd!H$4)</f>
        <v>880.09999999999991</v>
      </c>
      <c r="I6" s="10">
        <f>SUMIFS('Resultat-Produktion &amp; forbrug'!$N$3:$N$1000,'Resultat-Produktion &amp; forbrug'!$A$3:$A$1000,Adfærd!$G6,'Resultat-Produktion &amp; forbrug'!$D$3:$D$1000,Adfærd!I$4)</f>
        <v>279460.19505556813</v>
      </c>
      <c r="J6" s="10">
        <f>SUMIFS('Resultat-Produktion &amp; forbrug'!$N$3:$N$1000,'Resultat-Produktion &amp; forbrug'!$A$3:$A$1000,Adfærd!$G6,'Resultat-Produktion &amp; forbrug'!$D$3:$D$1000,Adfærd!J$4)</f>
        <v>279460.19505556813</v>
      </c>
    </row>
    <row r="7" spans="1:10" x14ac:dyDescent="0.25">
      <c r="A7" s="2" t="s">
        <v>99</v>
      </c>
      <c r="B7" s="87">
        <v>0</v>
      </c>
      <c r="C7" s="3"/>
      <c r="D7" s="3"/>
      <c r="F7" s="25" t="str">
        <f t="shared" si="0"/>
        <v>Tang</v>
      </c>
      <c r="G7" s="25" t="s">
        <v>99</v>
      </c>
      <c r="H7" s="10">
        <f>SUMIFS('Resultat-Produktion &amp; forbrug'!$N$3:$N$1000,'Resultat-Produktion &amp; forbrug'!$A$3:$A$1000,Adfærd!$G7,'Resultat-Produktion &amp; forbrug'!$D$3:$D$1000,Adfærd!H$4)</f>
        <v>76.5</v>
      </c>
      <c r="I7" s="10">
        <f>SUMIFS('Resultat-Produktion &amp; forbrug'!$N$3:$N$1000,'Resultat-Produktion &amp; forbrug'!$A$3:$A$1000,Adfærd!$G7,'Resultat-Produktion &amp; forbrug'!$D$3:$D$1000,Adfærd!I$4)</f>
        <v>120600</v>
      </c>
      <c r="J7" s="10">
        <f>SUMIFS('Resultat-Produktion &amp; forbrug'!$N$3:$N$1000,'Resultat-Produktion &amp; forbrug'!$A$3:$A$1000,Adfærd!$G7,'Resultat-Produktion &amp; forbrug'!$D$3:$D$1000,Adfærd!J$4)</f>
        <v>120600</v>
      </c>
    </row>
    <row r="8" spans="1:10" x14ac:dyDescent="0.25">
      <c r="A8" s="2" t="s">
        <v>206</v>
      </c>
      <c r="B8" s="87">
        <v>0</v>
      </c>
      <c r="C8" s="3"/>
      <c r="D8" s="3"/>
    </row>
    <row r="9" spans="1:10" x14ac:dyDescent="0.25">
      <c r="A9" s="1" t="s">
        <v>221</v>
      </c>
      <c r="B9" s="114"/>
      <c r="C9" s="114"/>
      <c r="D9" s="114"/>
    </row>
    <row r="10" spans="1:10" x14ac:dyDescent="0.25">
      <c r="B10" s="6"/>
      <c r="C10" s="6"/>
      <c r="D10" s="6"/>
    </row>
    <row r="11" spans="1:10" x14ac:dyDescent="0.25">
      <c r="A11" s="2" t="s">
        <v>17</v>
      </c>
      <c r="B11" s="84">
        <f>År1</f>
        <v>2019</v>
      </c>
      <c r="C11" s="84">
        <f>År2</f>
        <v>2030</v>
      </c>
      <c r="D11" s="84">
        <f>År3</f>
        <v>2050</v>
      </c>
    </row>
    <row r="12" spans="1:10" x14ac:dyDescent="0.25">
      <c r="A12" s="92" t="s">
        <v>322</v>
      </c>
      <c r="B12" s="87">
        <f>1.14*1000/7/SUM(Adfærd!$B$17:$B$29,Adfærd!$B$30)</f>
        <v>0.12853760288645846</v>
      </c>
      <c r="C12" s="3">
        <f>1.14*1000/7/SUM(Adfærd!$B$17:$B$29,Adfærd!$B$30)</f>
        <v>0.12853760288645846</v>
      </c>
      <c r="D12" s="3">
        <f>1.14*1000/7/SUM(Adfærd!$B$17:$B$29,Adfærd!$B$30)</f>
        <v>0.12853760288645846</v>
      </c>
    </row>
    <row r="13" spans="1:10" x14ac:dyDescent="0.25">
      <c r="A13" s="180" t="s">
        <v>323</v>
      </c>
      <c r="B13" s="87">
        <v>0.32862000000000002</v>
      </c>
      <c r="C13" s="3">
        <f>B13</f>
        <v>0.32862000000000002</v>
      </c>
      <c r="D13" s="3">
        <f>C13</f>
        <v>0.32862000000000002</v>
      </c>
    </row>
    <row r="14" spans="1:10" x14ac:dyDescent="0.25">
      <c r="A14" s="12"/>
      <c r="B14" s="14"/>
      <c r="C14" s="14"/>
      <c r="D14" s="14"/>
    </row>
    <row r="15" spans="1:10" hidden="1" x14ac:dyDescent="0.25">
      <c r="A15" s="6" t="s">
        <v>153</v>
      </c>
      <c r="B15" s="6"/>
      <c r="C15" s="6"/>
      <c r="D15" s="6"/>
      <c r="F15" s="1" t="s">
        <v>94</v>
      </c>
    </row>
    <row r="16" spans="1:10" hidden="1" x14ac:dyDescent="0.25">
      <c r="A16" s="2" t="s">
        <v>16</v>
      </c>
      <c r="B16" s="84">
        <f>År1</f>
        <v>2019</v>
      </c>
      <c r="C16" s="84">
        <f>År2</f>
        <v>2030</v>
      </c>
      <c r="D16" s="84">
        <f>År3</f>
        <v>2050</v>
      </c>
    </row>
    <row r="17" spans="1:9" hidden="1" x14ac:dyDescent="0.25">
      <c r="A17" s="2" t="s">
        <v>48</v>
      </c>
      <c r="B17" s="109">
        <v>218</v>
      </c>
      <c r="C17" s="115">
        <f>B17</f>
        <v>218</v>
      </c>
      <c r="D17" s="115">
        <f>B17</f>
        <v>218</v>
      </c>
      <c r="I17" s="111"/>
    </row>
    <row r="18" spans="1:9" hidden="1" x14ac:dyDescent="0.25">
      <c r="A18" s="2" t="s">
        <v>6</v>
      </c>
      <c r="B18" s="109">
        <v>199</v>
      </c>
      <c r="C18" s="115">
        <f>B18</f>
        <v>199</v>
      </c>
      <c r="D18" s="115">
        <f>B18</f>
        <v>199</v>
      </c>
    </row>
    <row r="19" spans="1:9" hidden="1" x14ac:dyDescent="0.25">
      <c r="A19" s="2" t="s">
        <v>12</v>
      </c>
      <c r="B19" s="109">
        <v>91</v>
      </c>
      <c r="C19" s="115">
        <f>B19</f>
        <v>91</v>
      </c>
      <c r="D19" s="115">
        <f>B19</f>
        <v>91</v>
      </c>
    </row>
    <row r="20" spans="1:9" hidden="1" x14ac:dyDescent="0.25">
      <c r="A20" s="2" t="s">
        <v>13</v>
      </c>
      <c r="B20" s="115">
        <f>B32*B34</f>
        <v>89.78</v>
      </c>
      <c r="C20" s="115">
        <f>$B20*(1-SUM(C$5:C$8))</f>
        <v>89.78</v>
      </c>
      <c r="D20" s="115">
        <f>$B20*(1-SUM(D$5:D$8))</f>
        <v>89.78</v>
      </c>
    </row>
    <row r="21" spans="1:9" hidden="1" x14ac:dyDescent="0.25">
      <c r="A21" s="2" t="s">
        <v>14</v>
      </c>
      <c r="B21" s="115">
        <f>B32*B33</f>
        <v>44.22</v>
      </c>
      <c r="C21" s="115">
        <f>$B21*(1-SUM(C$5:C$8))</f>
        <v>44.22</v>
      </c>
      <c r="D21" s="115">
        <f>$B21*(1-SUM(D$5:D$8))</f>
        <v>44.22</v>
      </c>
    </row>
    <row r="22" spans="1:9" hidden="1" x14ac:dyDescent="0.25">
      <c r="A22" s="2" t="s">
        <v>49</v>
      </c>
      <c r="B22" s="115">
        <f>SUM($B$20:$B$21,$B$27)*B5</f>
        <v>0</v>
      </c>
      <c r="C22" s="115">
        <f t="shared" ref="C22:D22" si="1">SUM($B$20:$B$21,$B$27)*C5</f>
        <v>0</v>
      </c>
      <c r="D22" s="115">
        <f t="shared" si="1"/>
        <v>0</v>
      </c>
      <c r="F22" s="1" t="s">
        <v>205</v>
      </c>
    </row>
    <row r="23" spans="1:9" hidden="1" x14ac:dyDescent="0.25">
      <c r="A23" s="2" t="s">
        <v>106</v>
      </c>
      <c r="B23" s="115">
        <f>SUM($B$20:$B$21,$B$27)*B6</f>
        <v>0</v>
      </c>
      <c r="C23" s="115">
        <f t="shared" ref="C23:D25" si="2">SUM($B$20:$B$21,$B$27)*C6</f>
        <v>0</v>
      </c>
      <c r="D23" s="115">
        <f t="shared" si="2"/>
        <v>0</v>
      </c>
      <c r="F23" s="1" t="s">
        <v>207</v>
      </c>
    </row>
    <row r="24" spans="1:9" hidden="1" x14ac:dyDescent="0.25">
      <c r="A24" s="2" t="s">
        <v>99</v>
      </c>
      <c r="B24" s="115">
        <f>SUM($B$20:$B$21,$B$27)*B7</f>
        <v>0</v>
      </c>
      <c r="C24" s="115">
        <f t="shared" si="2"/>
        <v>0</v>
      </c>
      <c r="D24" s="115">
        <f t="shared" si="2"/>
        <v>0</v>
      </c>
    </row>
    <row r="25" spans="1:9" hidden="1" x14ac:dyDescent="0.25">
      <c r="A25" s="2" t="s">
        <v>206</v>
      </c>
      <c r="B25" s="115">
        <f>SUM($B$20:$B$21,$B$27)*B8</f>
        <v>0</v>
      </c>
      <c r="C25" s="115">
        <f t="shared" si="2"/>
        <v>0</v>
      </c>
      <c r="D25" s="115">
        <f t="shared" si="2"/>
        <v>0</v>
      </c>
    </row>
    <row r="26" spans="1:9" hidden="1" x14ac:dyDescent="0.25">
      <c r="A26" s="2" t="s">
        <v>116</v>
      </c>
      <c r="B26" s="109">
        <f>304+44</f>
        <v>348</v>
      </c>
      <c r="C26" s="115">
        <f>B26</f>
        <v>348</v>
      </c>
      <c r="D26" s="115">
        <f>B26</f>
        <v>348</v>
      </c>
      <c r="F26" s="1" t="s">
        <v>316</v>
      </c>
    </row>
    <row r="27" spans="1:9" hidden="1" x14ac:dyDescent="0.25">
      <c r="A27" s="2" t="s">
        <v>96</v>
      </c>
      <c r="B27" s="109">
        <v>26</v>
      </c>
      <c r="C27" s="115">
        <f>$B27*(1-SUM(C$5:C$8))</f>
        <v>26</v>
      </c>
      <c r="D27" s="115">
        <f>$B27*(1-SUM(D$5:D$8))</f>
        <v>26</v>
      </c>
    </row>
    <row r="28" spans="1:9" hidden="1" x14ac:dyDescent="0.25">
      <c r="A28" s="2" t="s">
        <v>15</v>
      </c>
      <c r="B28" s="109">
        <v>24</v>
      </c>
      <c r="C28" s="115">
        <f>B28</f>
        <v>24</v>
      </c>
      <c r="D28" s="115">
        <f>B28</f>
        <v>24</v>
      </c>
    </row>
    <row r="29" spans="1:9" hidden="1" x14ac:dyDescent="0.25">
      <c r="A29" s="2" t="s">
        <v>54</v>
      </c>
      <c r="B29" s="109">
        <v>190</v>
      </c>
      <c r="C29" s="115">
        <f>B29</f>
        <v>190</v>
      </c>
      <c r="D29" s="115">
        <f>B29</f>
        <v>190</v>
      </c>
    </row>
    <row r="30" spans="1:9" hidden="1" x14ac:dyDescent="0.25">
      <c r="A30" s="2" t="s">
        <v>19</v>
      </c>
      <c r="B30" s="109">
        <v>37</v>
      </c>
      <c r="C30" s="116">
        <f>B30</f>
        <v>37</v>
      </c>
      <c r="D30" s="116">
        <f>B30</f>
        <v>37</v>
      </c>
    </row>
    <row r="31" spans="1:9" hidden="1" x14ac:dyDescent="0.25">
      <c r="A31" s="309" t="s">
        <v>30</v>
      </c>
      <c r="B31" s="308">
        <f>SUM(B17:B30)</f>
        <v>1267</v>
      </c>
      <c r="C31" s="308">
        <f>SUM(C17:C30)</f>
        <v>1267</v>
      </c>
      <c r="D31" s="308">
        <f>SUM(D17:D30)</f>
        <v>1267</v>
      </c>
    </row>
    <row r="32" spans="1:9" hidden="1" x14ac:dyDescent="0.25">
      <c r="A32" s="4" t="s">
        <v>18</v>
      </c>
      <c r="B32" s="102">
        <v>134</v>
      </c>
      <c r="C32" s="114"/>
    </row>
    <row r="33" spans="1:4" hidden="1" x14ac:dyDescent="0.25">
      <c r="A33" s="4" t="s">
        <v>20</v>
      </c>
      <c r="B33" s="105">
        <v>0.33</v>
      </c>
      <c r="C33" s="114" t="s">
        <v>152</v>
      </c>
    </row>
    <row r="34" spans="1:4" hidden="1" x14ac:dyDescent="0.25">
      <c r="A34" s="5" t="s">
        <v>21</v>
      </c>
      <c r="B34" s="117">
        <v>0.67</v>
      </c>
      <c r="C34" s="114"/>
    </row>
    <row r="35" spans="1:4" x14ac:dyDescent="0.25">
      <c r="A35" s="12"/>
      <c r="B35" s="12"/>
      <c r="C35" s="12"/>
      <c r="D35" s="12"/>
    </row>
    <row r="36" spans="1:4" x14ac:dyDescent="0.25">
      <c r="A36" s="12"/>
      <c r="B36" s="12"/>
      <c r="C36" s="104"/>
      <c r="D36" s="104"/>
    </row>
  </sheetData>
  <hyperlinks>
    <hyperlink ref="A1" location="Resume!A1" display="Arket indeholder data på forbrugerniveau af madvarer" xr:uid="{DB18E37A-FE51-4A46-9861-1109AE63CC08}"/>
  </hyperlinks>
  <pageMargins left="0.7" right="0.7" top="0.75" bottom="0.75" header="0.3" footer="0.3"/>
  <pageSetup orientation="portrait" horizontalDpi="300" verticalDpi="300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48690C-F835-4AD2-ADCF-BB8964038570}">
  <sheetPr codeName="Sheet22">
    <tabColor theme="9" tint="0.39997558519241921"/>
    <pageSetUpPr autoPageBreaks="0"/>
  </sheetPr>
  <dimension ref="A1:AC60"/>
  <sheetViews>
    <sheetView showGridLines="0" zoomScale="85" zoomScaleNormal="85" workbookViewId="0">
      <selection activeCell="C3" sqref="C3"/>
    </sheetView>
  </sheetViews>
  <sheetFormatPr defaultColWidth="9.140625" defaultRowHeight="12" x14ac:dyDescent="0.2"/>
  <cols>
    <col min="1" max="1" width="15.85546875" style="123" customWidth="1"/>
    <col min="2" max="2" width="10.140625" style="123" bestFit="1" customWidth="1"/>
    <col min="3" max="3" width="10.140625" style="123" customWidth="1"/>
    <col min="4" max="4" width="11.85546875" style="123" bestFit="1" customWidth="1"/>
    <col min="5" max="5" width="11" style="123" customWidth="1"/>
    <col min="6" max="6" width="13.42578125" style="123" customWidth="1"/>
    <col min="7" max="7" width="24.28515625" style="123" customWidth="1"/>
    <col min="8" max="8" width="10" style="123" hidden="1" customWidth="1"/>
    <col min="9" max="12" width="9.28515625" style="123" hidden="1" customWidth="1"/>
    <col min="13" max="13" width="24.28515625" style="123" hidden="1" customWidth="1"/>
    <col min="14" max="14" width="12.7109375" style="123" hidden="1" customWidth="1"/>
    <col min="15" max="15" width="9.28515625" style="123" hidden="1" customWidth="1"/>
    <col min="16" max="16" width="9.85546875" style="123" hidden="1" customWidth="1"/>
    <col min="17" max="22" width="0" style="123" hidden="1" customWidth="1"/>
    <col min="23" max="23" width="2.5703125" style="123" hidden="1" customWidth="1"/>
    <col min="24" max="16384" width="9.140625" style="123"/>
  </cols>
  <sheetData>
    <row r="1" spans="1:29" ht="12.75" thickBot="1" x14ac:dyDescent="0.25">
      <c r="A1" s="225" t="s">
        <v>274</v>
      </c>
    </row>
    <row r="2" spans="1:29" ht="46.5" customHeight="1" x14ac:dyDescent="0.2">
      <c r="A2" s="229" t="s">
        <v>138</v>
      </c>
      <c r="B2" s="229">
        <f>År1</f>
        <v>2019</v>
      </c>
      <c r="C2" s="229">
        <f>År2</f>
        <v>2030</v>
      </c>
      <c r="D2" s="229">
        <f>År3</f>
        <v>2050</v>
      </c>
      <c r="E2" s="121"/>
      <c r="F2" s="433" t="s">
        <v>327</v>
      </c>
      <c r="G2" s="434"/>
      <c r="M2" s="122"/>
      <c r="Z2" s="344" t="s">
        <v>150</v>
      </c>
      <c r="AA2" s="229">
        <f>År1</f>
        <v>2019</v>
      </c>
      <c r="AB2" s="229">
        <f>År2</f>
        <v>2030</v>
      </c>
      <c r="AC2" s="229">
        <f>År3</f>
        <v>2050</v>
      </c>
    </row>
    <row r="3" spans="1:29" x14ac:dyDescent="0.2">
      <c r="A3" s="177" t="s">
        <v>135</v>
      </c>
      <c r="B3" s="230">
        <f>N12/SUMIFS('Resultater - Danmark'!H$3:H$504,'Resultater - Danmark'!$F$3:$F$504,$A3)</f>
        <v>0.16508293217043288</v>
      </c>
      <c r="C3" s="178">
        <v>0.53</v>
      </c>
      <c r="D3" s="178">
        <v>0.53</v>
      </c>
      <c r="E3" s="155"/>
      <c r="F3" s="171" t="s">
        <v>103</v>
      </c>
      <c r="G3" s="172">
        <v>0.85</v>
      </c>
      <c r="H3" s="147"/>
      <c r="N3" s="245"/>
      <c r="Z3" s="177" t="s">
        <v>110</v>
      </c>
      <c r="AA3" s="230">
        <f>SUM(C12:C14)/SUM(C12:C15)</f>
        <v>0.73155031690147754</v>
      </c>
      <c r="AB3" s="230">
        <f>SUM(D12:D14)/SUM(D12:D15)</f>
        <v>0.89469856663830138</v>
      </c>
      <c r="AC3" s="230">
        <f>SUM(E12:E14)/SUM(E12:E15)</f>
        <v>0.88782160204184191</v>
      </c>
    </row>
    <row r="4" spans="1:29" x14ac:dyDescent="0.2">
      <c r="A4" s="177" t="s">
        <v>136</v>
      </c>
      <c r="B4" s="230">
        <f>N13/SUMIFS('Resultater - Danmark'!H$3:H$504,'Resultater - Danmark'!$F$3:$F$504,$A4)</f>
        <v>0.30985833926453143</v>
      </c>
      <c r="C4" s="178">
        <v>0.76</v>
      </c>
      <c r="D4" s="178">
        <v>0.76</v>
      </c>
      <c r="E4" s="155"/>
      <c r="F4" s="171"/>
      <c r="G4" s="172"/>
      <c r="N4" s="245"/>
      <c r="Z4" s="345" t="s">
        <v>202</v>
      </c>
      <c r="AA4" s="177"/>
      <c r="AB4" s="177"/>
      <c r="AC4" s="177"/>
    </row>
    <row r="5" spans="1:29" x14ac:dyDescent="0.2">
      <c r="A5" s="177" t="s">
        <v>137</v>
      </c>
      <c r="B5" s="230">
        <v>0.5</v>
      </c>
      <c r="C5" s="178">
        <v>0.5</v>
      </c>
      <c r="D5" s="178">
        <v>0.5</v>
      </c>
      <c r="E5" s="155"/>
      <c r="F5" s="171"/>
      <c r="G5" s="172"/>
      <c r="H5" s="124"/>
      <c r="N5" s="245"/>
      <c r="Z5" s="177" t="s">
        <v>135</v>
      </c>
      <c r="AA5" s="346">
        <f t="shared" ref="AA5:AC6" si="0">C12/C$29</f>
        <v>0.22267199142680771</v>
      </c>
      <c r="AB5" s="346">
        <f t="shared" si="0"/>
        <v>0.36572991465890953</v>
      </c>
      <c r="AC5" s="346">
        <f t="shared" si="0"/>
        <v>0.35614057204854455</v>
      </c>
    </row>
    <row r="6" spans="1:29" x14ac:dyDescent="0.2">
      <c r="A6" s="177" t="s">
        <v>140</v>
      </c>
      <c r="B6" s="230">
        <f>N15/SUMIFS('Resultater - Danmark'!H$3:H$504,'Resultater - Danmark'!$F$3:$F$504,$A6)</f>
        <v>0.37924884410556858</v>
      </c>
      <c r="C6" s="178">
        <v>0.37924884410556858</v>
      </c>
      <c r="D6" s="178">
        <v>0.37924884410556858</v>
      </c>
      <c r="E6" s="155"/>
      <c r="F6" s="171"/>
      <c r="G6" s="172"/>
      <c r="H6" s="125"/>
      <c r="Z6" s="347" t="s">
        <v>136</v>
      </c>
      <c r="AA6" s="346">
        <f t="shared" si="0"/>
        <v>0.33257225498473725</v>
      </c>
      <c r="AB6" s="346">
        <f t="shared" si="0"/>
        <v>0.42256194691635995</v>
      </c>
      <c r="AC6" s="346">
        <f t="shared" si="0"/>
        <v>0.42158942273481931</v>
      </c>
    </row>
    <row r="7" spans="1:29" x14ac:dyDescent="0.2">
      <c r="A7" s="177" t="s">
        <v>101</v>
      </c>
      <c r="B7" s="230">
        <f>N16/SUMIFS('Resultater - Danmark'!H$3:H$504,'Resultater - Danmark'!$F$3:$F$504,$A7)</f>
        <v>0.25812101313640656</v>
      </c>
      <c r="C7" s="178">
        <v>0.5</v>
      </c>
      <c r="D7" s="178">
        <v>0.5</v>
      </c>
      <c r="F7" s="171"/>
      <c r="G7" s="173"/>
      <c r="N7" s="156"/>
    </row>
    <row r="8" spans="1:29" ht="12.75" thickBot="1" x14ac:dyDescent="0.25">
      <c r="A8" s="177" t="s">
        <v>208</v>
      </c>
      <c r="B8" s="230">
        <v>0</v>
      </c>
      <c r="C8" s="178">
        <v>0</v>
      </c>
      <c r="D8" s="178">
        <v>0</v>
      </c>
      <c r="F8" s="174"/>
      <c r="G8" s="175"/>
      <c r="I8" s="156"/>
    </row>
    <row r="10" spans="1:29" ht="23.45" customHeight="1" x14ac:dyDescent="0.2">
      <c r="A10" s="126"/>
      <c r="B10" s="127"/>
      <c r="C10" s="431" t="s">
        <v>210</v>
      </c>
      <c r="D10" s="431"/>
      <c r="E10" s="431"/>
      <c r="F10" s="430" t="s">
        <v>328</v>
      </c>
      <c r="G10" s="430"/>
      <c r="J10" s="432" t="s">
        <v>211</v>
      </c>
      <c r="K10" s="432"/>
      <c r="L10" s="432"/>
    </row>
    <row r="11" spans="1:29" x14ac:dyDescent="0.2">
      <c r="C11" s="128">
        <f>År1</f>
        <v>2019</v>
      </c>
      <c r="D11" s="128">
        <f>År2</f>
        <v>2030</v>
      </c>
      <c r="E11" s="128">
        <f>År3</f>
        <v>2050</v>
      </c>
      <c r="F11" s="128">
        <v>2030</v>
      </c>
      <c r="G11" s="128">
        <v>2050</v>
      </c>
      <c r="H11" s="128" t="s">
        <v>105</v>
      </c>
      <c r="I11" s="128" t="s">
        <v>144</v>
      </c>
      <c r="J11" s="128">
        <f>År1</f>
        <v>2019</v>
      </c>
      <c r="K11" s="128">
        <f>År2</f>
        <v>2030</v>
      </c>
      <c r="L11" s="128">
        <f>År3</f>
        <v>2050</v>
      </c>
      <c r="M11" s="122" t="s">
        <v>214</v>
      </c>
    </row>
    <row r="12" spans="1:29" x14ac:dyDescent="0.2">
      <c r="A12" s="129" t="s">
        <v>135</v>
      </c>
      <c r="B12" s="129" t="s">
        <v>139</v>
      </c>
      <c r="C12" s="130">
        <f>SUMIFS('Resultater - Danmark'!H$3:H$504,'Resultater - Danmark'!$F$3:$F$504,$A12)*B3</f>
        <v>2914869.3333333335</v>
      </c>
      <c r="D12" s="130">
        <f>SUMIFS('Resultater - Danmark'!I$3:I$504,'Resultater - Danmark'!$F$3:$F$504,$A12)*C3</f>
        <v>10976808.596855611</v>
      </c>
      <c r="E12" s="130">
        <f>SUMIFS('Resultater - Danmark'!J$3:J$504,'Resultater - Danmark'!$F$3:$F$504,$A12)*D3</f>
        <v>10508939.137061905</v>
      </c>
      <c r="F12" s="238">
        <f>SUMIFS('Resultat-Produktion &amp; forbrug'!$F$3:$F$290,'Resultat-Produktion &amp; forbrug'!$A$3:$A$290,$A12,'Resultat-Produktion &amp; forbrug'!$D$3:$D$290,Biogasanlæg!F$11)-SUMIFS('Resultat-Produktion &amp; forbrug'!$G$3:$G$290,'Resultat-Produktion &amp; forbrug'!$A$3:$A$290,$A12,'Resultat-Produktion &amp; forbrug'!$D$3:$D$290,Biogasanlæg!F$11)-SUMIFS('Resultat-Produktion &amp; forbrug'!$H$3:$H$290,'Resultat-Produktion &amp; forbrug'!$A$3:$A$290,$A12,'Resultat-Produktion &amp; forbrug'!$D$3:$D$290,Biogasanlæg!F$11)-SUMIFS('Resultat-Produktion &amp; forbrug'!$I$3:$I$290,'Resultat-Produktion &amp; forbrug'!$A$3:$A$290,$A12,'Resultat-Produktion &amp; forbrug'!$D$3:$D$290,Biogasanlæg!F$11)-SUMIFS('Resultat-Produktion &amp; forbrug'!$J$3:$J$290,'Resultat-Produktion &amp; forbrug'!$A$3:$A$290,$A12,'Resultat-Produktion &amp; forbrug'!$D$3:$D$290,Biogasanlæg!F$11)-SUMIFS('Resultat-Produktion &amp; forbrug'!$M$3:$M$290,'Resultat-Produktion &amp; forbrug'!$A$3:$A$290,$A12,'Resultat-Produktion &amp; forbrug'!$D$3:$D$290,Biogasanlæg!F$11)</f>
        <v>9734151.0198530871</v>
      </c>
      <c r="G12" s="238">
        <f>SUMIFS('Resultat-Produktion &amp; forbrug'!$F$3:$F$290,'Resultat-Produktion &amp; forbrug'!$A$3:$A$290,$A12,'Resultat-Produktion &amp; forbrug'!$D$3:$D$290,Biogasanlæg!G$11)-SUMIFS('Resultat-Produktion &amp; forbrug'!$G$3:$G$290,'Resultat-Produktion &amp; forbrug'!$A$3:$A$290,$A12,'Resultat-Produktion &amp; forbrug'!$D$3:$D$290,Biogasanlæg!G$11)-SUMIFS('Resultat-Produktion &amp; forbrug'!$H$3:$H$290,'Resultat-Produktion &amp; forbrug'!$A$3:$A$290,$A12,'Resultat-Produktion &amp; forbrug'!$D$3:$D$290,Biogasanlæg!G$11)-SUMIFS('Resultat-Produktion &amp; forbrug'!$I$3:$I$290,'Resultat-Produktion &amp; forbrug'!$A$3:$A$290,$A12,'Resultat-Produktion &amp; forbrug'!$D$3:$D$290,Biogasanlæg!G$11)-SUMIFS('Resultat-Produktion &amp; forbrug'!$J$3:$J$290,'Resultat-Produktion &amp; forbrug'!$A$3:$A$290,$A12,'Resultat-Produktion &amp; forbrug'!$D$3:$D$290,Biogasanlæg!G$11)-SUMIFS('Resultat-Produktion &amp; forbrug'!$M$3:$M$290,'Resultat-Produktion &amp; forbrug'!$A$3:$A$290,$A12,'Resultat-Produktion &amp; forbrug'!$D$3:$D$290,Biogasanlæg!G$11)</f>
        <v>9319247.9139982928</v>
      </c>
      <c r="H12" s="131">
        <f>VLOOKUP(A12,[1]Biogasudbytte!$A$2:$C$18,3,FALSE)</f>
        <v>0.05</v>
      </c>
      <c r="I12" s="132">
        <f>VLOOKUP(A12,[1]Biogasudbytte!$A$2:$C$18,2,FALSE)*IFERROR(VLOOKUP(A12,$F$3:$G$8,2,FALSE),1)</f>
        <v>12</v>
      </c>
      <c r="J12" s="131">
        <f t="shared" ref="J12:J28" si="1">C12/C$29</f>
        <v>0.22267199142680771</v>
      </c>
      <c r="K12" s="131">
        <f t="shared" ref="K12:K28" si="2">D12/D$29</f>
        <v>0.36572991465890953</v>
      </c>
      <c r="L12" s="131">
        <f t="shared" ref="L12:L28" si="3">E12/E$29</f>
        <v>0.35614057204854455</v>
      </c>
      <c r="M12" s="123" t="s">
        <v>212</v>
      </c>
      <c r="N12" s="123">
        <f>S12+2/3*T12</f>
        <v>2914869.3333333335</v>
      </c>
      <c r="O12" s="149">
        <f t="shared" ref="O12:O16" si="4">N12-C12</f>
        <v>0</v>
      </c>
      <c r="P12" s="138">
        <f>C12*I12</f>
        <v>34978432</v>
      </c>
      <c r="Q12" s="123">
        <f>P12*35.9/1000000000</f>
        <v>1.2557257088</v>
      </c>
      <c r="S12" s="123">
        <v>2517134</v>
      </c>
      <c r="T12" s="123">
        <v>596603</v>
      </c>
      <c r="Y12" s="149"/>
      <c r="Z12" s="149"/>
      <c r="AA12" s="149"/>
    </row>
    <row r="13" spans="1:29" x14ac:dyDescent="0.2">
      <c r="A13" s="124" t="s">
        <v>136</v>
      </c>
      <c r="B13" s="124" t="s">
        <v>139</v>
      </c>
      <c r="C13" s="133">
        <f>SUMIFS('Resultater - Danmark'!H$3:H$504,'Resultater - Danmark'!$F$3:$F$504,$A13)*B4</f>
        <v>4353509.666666667</v>
      </c>
      <c r="D13" s="133">
        <f>SUMIFS('Resultater - Danmark'!I$3:I$504,'Resultater - Danmark'!$F$3:$F$504,$A13)*C4</f>
        <v>12682532.726209817</v>
      </c>
      <c r="E13" s="133">
        <f>SUMIFS('Resultater - Danmark'!J$3:J$504,'Resultater - Danmark'!$F$3:$F$504,$A13)*D4</f>
        <v>12440193.373265473</v>
      </c>
      <c r="F13" s="239">
        <f>SUMIFS('Resultat-Produktion &amp; forbrug'!$F$3:$F$290,'Resultat-Produktion &amp; forbrug'!$A$3:$A$290,$A13,'Resultat-Produktion &amp; forbrug'!$D$3:$D$290,Biogasanlæg!F$11)-SUMIFS('Resultat-Produktion &amp; forbrug'!$G$3:$G$290,'Resultat-Produktion &amp; forbrug'!$A$3:$A$290,$A13,'Resultat-Produktion &amp; forbrug'!$D$3:$D$290,Biogasanlæg!F$11)-SUMIFS('Resultat-Produktion &amp; forbrug'!$H$3:$H$290,'Resultat-Produktion &amp; forbrug'!$A$3:$A$290,$A13,'Resultat-Produktion &amp; forbrug'!$D$3:$D$290,Biogasanlæg!F$11)-SUMIFS('Resultat-Produktion &amp; forbrug'!$I$3:$I$290,'Resultat-Produktion &amp; forbrug'!$A$3:$A$290,$A13,'Resultat-Produktion &amp; forbrug'!$D$3:$D$290,Biogasanlæg!F$11)-SUMIFS('Resultat-Produktion &amp; forbrug'!$J$3:$J$290,'Resultat-Produktion &amp; forbrug'!$A$3:$A$290,$A13,'Resultat-Produktion &amp; forbrug'!$D$3:$D$290,Biogasanlæg!F$11)-SUMIFS('Resultat-Produktion &amp; forbrug'!$M$3:$M$290,'Resultat-Produktion &amp; forbrug'!$A$3:$A$290,$A13,'Resultat-Produktion &amp; forbrug'!$D$3:$D$290,Biogasanlæg!F$11)</f>
        <v>4005010.3345925752</v>
      </c>
      <c r="G13" s="239">
        <f>SUMIFS('Resultat-Produktion &amp; forbrug'!$F$3:$F$290,'Resultat-Produktion &amp; forbrug'!$A$3:$A$290,$A13,'Resultat-Produktion &amp; forbrug'!$D$3:$D$290,Biogasanlæg!G$11)-SUMIFS('Resultat-Produktion &amp; forbrug'!$G$3:$G$290,'Resultat-Produktion &amp; forbrug'!$A$3:$A$290,$A13,'Resultat-Produktion &amp; forbrug'!$D$3:$D$290,Biogasanlæg!G$11)-SUMIFS('Resultat-Produktion &amp; forbrug'!$H$3:$H$290,'Resultat-Produktion &amp; forbrug'!$A$3:$A$290,$A13,'Resultat-Produktion &amp; forbrug'!$D$3:$D$290,Biogasanlæg!G$11)-SUMIFS('Resultat-Produktion &amp; forbrug'!$I$3:$I$290,'Resultat-Produktion &amp; forbrug'!$A$3:$A$290,$A13,'Resultat-Produktion &amp; forbrug'!$D$3:$D$290,Biogasanlæg!G$11)-SUMIFS('Resultat-Produktion &amp; forbrug'!$J$3:$J$290,'Resultat-Produktion &amp; forbrug'!$A$3:$A$290,$A13,'Resultat-Produktion &amp; forbrug'!$D$3:$D$290,Biogasanlæg!G$11)-SUMIFS('Resultat-Produktion &amp; forbrug'!$M$3:$M$290,'Resultat-Produktion &amp; forbrug'!$A$3:$A$290,$A13,'Resultat-Produktion &amp; forbrug'!$D$3:$D$290,Biogasanlæg!G$11)</f>
        <v>3928482.1178733073</v>
      </c>
      <c r="H13" s="134">
        <f>VLOOKUP(A13,[1]Biogasudbytte!$A$2:$C$18,3,FALSE)</f>
        <v>7.5999999999999998E-2</v>
      </c>
      <c r="I13" s="135">
        <f>VLOOKUP(A13,[1]Biogasudbytte!$A$2:$C$18,2,FALSE)*IFERROR(VLOOKUP(A13,$F$3:$G$8,2,FALSE),1)</f>
        <v>14.1</v>
      </c>
      <c r="J13" s="134">
        <f t="shared" si="1"/>
        <v>0.33257225498473725</v>
      </c>
      <c r="K13" s="134">
        <f t="shared" si="2"/>
        <v>0.42256194691635995</v>
      </c>
      <c r="L13" s="134">
        <f t="shared" si="3"/>
        <v>0.42158942273481931</v>
      </c>
      <c r="M13" s="123" t="s">
        <v>213</v>
      </c>
      <c r="N13" s="123">
        <f>S13+1/3*T13</f>
        <v>4353509.666666667</v>
      </c>
      <c r="O13" s="149">
        <f t="shared" si="4"/>
        <v>0</v>
      </c>
      <c r="P13" s="138">
        <f t="shared" ref="P13:P28" si="5">C13*I13</f>
        <v>61384486.300000004</v>
      </c>
      <c r="Q13" s="123">
        <f t="shared" ref="Q13:Q28" si="6">P13*35.9/1000000000</f>
        <v>2.2037030581699999</v>
      </c>
      <c r="S13" s="123">
        <v>4154642</v>
      </c>
      <c r="T13" s="123">
        <v>596603</v>
      </c>
    </row>
    <row r="14" spans="1:29" x14ac:dyDescent="0.2">
      <c r="A14" s="124" t="s">
        <v>137</v>
      </c>
      <c r="B14" s="124" t="s">
        <v>139</v>
      </c>
      <c r="C14" s="133">
        <f>SUMIFS('Resultater - Danmark'!H$3:H$504,'Resultater - Danmark'!$F$3:$F$504,$A14)*B5</f>
        <v>4441.5</v>
      </c>
      <c r="D14" s="133">
        <f>SUMIFS('Resultater - Danmark'!I$3:I$504,'Resultater - Danmark'!$F$3:$F$504,$A14)*C5</f>
        <v>5425.7568364190029</v>
      </c>
      <c r="E14" s="133">
        <f>SUMIFS('Resultater - Danmark'!J$3:J$504,'Resultater - Danmark'!$F$3:$F$504,$A14)*D5</f>
        <v>5603.1780719105845</v>
      </c>
      <c r="F14" s="239">
        <f>SUMIFS('Resultat-Produktion &amp; forbrug'!$F$3:$F$290,'Resultat-Produktion &amp; forbrug'!$A$3:$A$290,$A14,'Resultat-Produktion &amp; forbrug'!$D$3:$D$290,Biogasanlæg!F$11)-SUMIFS('Resultat-Produktion &amp; forbrug'!$G$3:$G$290,'Resultat-Produktion &amp; forbrug'!$A$3:$A$290,$A14,'Resultat-Produktion &amp; forbrug'!$D$3:$D$290,Biogasanlæg!F$11)-SUMIFS('Resultat-Produktion &amp; forbrug'!$H$3:$H$290,'Resultat-Produktion &amp; forbrug'!$A$3:$A$290,$A14,'Resultat-Produktion &amp; forbrug'!$D$3:$D$290,Biogasanlæg!F$11)-SUMIFS('Resultat-Produktion &amp; forbrug'!$I$3:$I$290,'Resultat-Produktion &amp; forbrug'!$A$3:$A$290,$A14,'Resultat-Produktion &amp; forbrug'!$D$3:$D$290,Biogasanlæg!F$11)-SUMIFS('Resultat-Produktion &amp; forbrug'!$J$3:$J$290,'Resultat-Produktion &amp; forbrug'!$A$3:$A$290,$A14,'Resultat-Produktion &amp; forbrug'!$D$3:$D$290,Biogasanlæg!F$11)-SUMIFS('Resultat-Produktion &amp; forbrug'!$M$3:$M$290,'Resultat-Produktion &amp; forbrug'!$A$3:$A$290,$A14,'Resultat-Produktion &amp; forbrug'!$D$3:$D$290,Biogasanlæg!F$11)</f>
        <v>5425.756836419002</v>
      </c>
      <c r="G14" s="239">
        <f>SUMIFS('Resultat-Produktion &amp; forbrug'!$F$3:$F$290,'Resultat-Produktion &amp; forbrug'!$A$3:$A$290,$A14,'Resultat-Produktion &amp; forbrug'!$D$3:$D$290,Biogasanlæg!G$11)-SUMIFS('Resultat-Produktion &amp; forbrug'!$G$3:$G$290,'Resultat-Produktion &amp; forbrug'!$A$3:$A$290,$A14,'Resultat-Produktion &amp; forbrug'!$D$3:$D$290,Biogasanlæg!G$11)-SUMIFS('Resultat-Produktion &amp; forbrug'!$H$3:$H$290,'Resultat-Produktion &amp; forbrug'!$A$3:$A$290,$A14,'Resultat-Produktion &amp; forbrug'!$D$3:$D$290,Biogasanlæg!G$11)-SUMIFS('Resultat-Produktion &amp; forbrug'!$I$3:$I$290,'Resultat-Produktion &amp; forbrug'!$A$3:$A$290,$A14,'Resultat-Produktion &amp; forbrug'!$D$3:$D$290,Biogasanlæg!G$11)-SUMIFS('Resultat-Produktion &amp; forbrug'!$J$3:$J$290,'Resultat-Produktion &amp; forbrug'!$A$3:$A$290,$A14,'Resultat-Produktion &amp; forbrug'!$D$3:$D$290,Biogasanlæg!G$11)-SUMIFS('Resultat-Produktion &amp; forbrug'!$M$3:$M$290,'Resultat-Produktion &amp; forbrug'!$A$3:$A$290,$A14,'Resultat-Produktion &amp; forbrug'!$D$3:$D$290,Biogasanlæg!G$11)</f>
        <v>5603.1780719105855</v>
      </c>
      <c r="H14" s="134">
        <f>VLOOKUP(A14,[1]Biogasudbytte!$A$2:$C$18,3,FALSE)</f>
        <v>6.3E-2</v>
      </c>
      <c r="I14" s="135">
        <f>VLOOKUP(A14,[1]Biogasudbytte!$A$2:$C$18,2,FALSE)*IFERROR(VLOOKUP(A14,$F$3:$G$8,2,FALSE),1)</f>
        <v>13.1</v>
      </c>
      <c r="J14" s="134">
        <f t="shared" si="1"/>
        <v>3.3929399119623192E-4</v>
      </c>
      <c r="K14" s="134">
        <f t="shared" si="2"/>
        <v>1.8077764290359879E-4</v>
      </c>
      <c r="L14" s="134">
        <f t="shared" si="3"/>
        <v>1.8988777247576721E-4</v>
      </c>
      <c r="M14" s="126" t="s">
        <v>145</v>
      </c>
      <c r="N14" s="127">
        <v>11417</v>
      </c>
      <c r="O14" s="149">
        <f t="shared" si="4"/>
        <v>6975.5</v>
      </c>
      <c r="P14" s="138">
        <f t="shared" si="5"/>
        <v>58183.65</v>
      </c>
      <c r="Q14" s="123">
        <f t="shared" si="6"/>
        <v>2.0887930350000001E-3</v>
      </c>
    </row>
    <row r="15" spans="1:29" x14ac:dyDescent="0.2">
      <c r="A15" s="124" t="s">
        <v>140</v>
      </c>
      <c r="B15" s="124" t="s">
        <v>139</v>
      </c>
      <c r="C15" s="133">
        <f>SUMIFS('Resultater - Danmark'!H$3:H$504,'Resultater - Danmark'!$F$3:$F$504,$A15)*B6</f>
        <v>2668834</v>
      </c>
      <c r="D15" s="133">
        <f>SUMIFS('Resultater - Danmark'!I$3:I$504,'Resultater - Danmark'!$F$3:$F$504,$A15)*C6</f>
        <v>2785221.7345641684</v>
      </c>
      <c r="E15" s="133">
        <f>SUMIFS('Resultater - Danmark'!J$3:J$504,'Resultater - Danmark'!$F$3:$F$504,$A15)*D6</f>
        <v>2900386.1464459291</v>
      </c>
      <c r="F15" s="239">
        <f>SUMIFS('Resultat-Produktion &amp; forbrug'!$F$3:$F$290,'Resultat-Produktion &amp; forbrug'!$A$3:$A$290,$A15,'Resultat-Produktion &amp; forbrug'!$D$3:$D$290,Biogasanlæg!F$11)-SUMIFS('Resultat-Produktion &amp; forbrug'!$G$3:$G$290,'Resultat-Produktion &amp; forbrug'!$A$3:$A$290,$A15,'Resultat-Produktion &amp; forbrug'!$D$3:$D$290,Biogasanlæg!F$11)-SUMIFS('Resultat-Produktion &amp; forbrug'!$H$3:$H$290,'Resultat-Produktion &amp; forbrug'!$A$3:$A$290,$A15,'Resultat-Produktion &amp; forbrug'!$D$3:$D$290,Biogasanlæg!F$11)-SUMIFS('Resultat-Produktion &amp; forbrug'!$I$3:$I$290,'Resultat-Produktion &amp; forbrug'!$A$3:$A$290,$A15,'Resultat-Produktion &amp; forbrug'!$D$3:$D$290,Biogasanlæg!F$11)-SUMIFS('Resultat-Produktion &amp; forbrug'!$J$3:$J$290,'Resultat-Produktion &amp; forbrug'!$A$3:$A$290,$A15,'Resultat-Produktion &amp; forbrug'!$D$3:$D$290,Biogasanlæg!F$11)-SUMIFS('Resultat-Produktion &amp; forbrug'!$M$3:$M$290,'Resultat-Produktion &amp; forbrug'!$A$3:$A$290,$A15,'Resultat-Produktion &amp; forbrug'!$D$3:$D$290,Biogasanlæg!F$11)</f>
        <v>4558826.316875292</v>
      </c>
      <c r="G15" s="239">
        <f>SUMIFS('Resultat-Produktion &amp; forbrug'!$F$3:$F$290,'Resultat-Produktion &amp; forbrug'!$A$3:$A$290,$A15,'Resultat-Produktion &amp; forbrug'!$D$3:$D$290,Biogasanlæg!G$11)-SUMIFS('Resultat-Produktion &amp; forbrug'!$G$3:$G$290,'Resultat-Produktion &amp; forbrug'!$A$3:$A$290,$A15,'Resultat-Produktion &amp; forbrug'!$D$3:$D$290,Biogasanlæg!G$11)-SUMIFS('Resultat-Produktion &amp; forbrug'!$H$3:$H$290,'Resultat-Produktion &amp; forbrug'!$A$3:$A$290,$A15,'Resultat-Produktion &amp; forbrug'!$D$3:$D$290,Biogasanlæg!G$11)-SUMIFS('Resultat-Produktion &amp; forbrug'!$I$3:$I$290,'Resultat-Produktion &amp; forbrug'!$A$3:$A$290,$A15,'Resultat-Produktion &amp; forbrug'!$D$3:$D$290,Biogasanlæg!G$11)-SUMIFS('Resultat-Produktion &amp; forbrug'!$J$3:$J$290,'Resultat-Produktion &amp; forbrug'!$A$3:$A$290,$A15,'Resultat-Produktion &amp; forbrug'!$D$3:$D$290,Biogasanlæg!G$11)-SUMIFS('Resultat-Produktion &amp; forbrug'!$M$3:$M$290,'Resultat-Produktion &amp; forbrug'!$A$3:$A$290,$A15,'Resultat-Produktion &amp; forbrug'!$D$3:$D$290,Biogasanlæg!G$11)</f>
        <v>4747326.4083181685</v>
      </c>
      <c r="H15" s="134">
        <f>VLOOKUP(A15,[1]Biogasudbytte!$A$2:$C$18,3,FALSE)</f>
        <v>0.06</v>
      </c>
      <c r="I15" s="135">
        <f>VLOOKUP(A15,[1]Biogasudbytte!$A$2:$C$18,2,FALSE)*IFERROR(VLOOKUP(A15,$F$3:$G$8,2,FALSE),1)</f>
        <v>13.9</v>
      </c>
      <c r="J15" s="134">
        <f t="shared" si="1"/>
        <v>0.20387691989197443</v>
      </c>
      <c r="K15" s="134">
        <f t="shared" si="2"/>
        <v>9.2799186421096025E-2</v>
      </c>
      <c r="L15" s="134">
        <f t="shared" si="3"/>
        <v>9.8292050975348808E-2</v>
      </c>
      <c r="M15" s="136" t="s">
        <v>294</v>
      </c>
      <c r="N15" s="137">
        <f>SUM(S15:Z15)</f>
        <v>2668834</v>
      </c>
      <c r="O15" s="149">
        <f t="shared" si="4"/>
        <v>0</v>
      </c>
      <c r="P15" s="138">
        <f>C15*I15</f>
        <v>37096792.600000001</v>
      </c>
      <c r="Q15" s="123">
        <f t="shared" si="6"/>
        <v>1.3317748543399999</v>
      </c>
      <c r="S15" s="164">
        <v>2666649</v>
      </c>
      <c r="T15" s="123">
        <v>2185</v>
      </c>
      <c r="U15" s="164" t="s">
        <v>296</v>
      </c>
      <c r="V15" s="126"/>
      <c r="W15" s="126"/>
    </row>
    <row r="16" spans="1:29" x14ac:dyDescent="0.2">
      <c r="A16" s="124" t="s">
        <v>101</v>
      </c>
      <c r="B16" s="124" t="s">
        <v>139</v>
      </c>
      <c r="C16" s="133">
        <f>SUMIFS('Resultater - Danmark'!H$3:H$504,'Resultater - Danmark'!$F$3:$F$504,$A16)*B7</f>
        <v>757087</v>
      </c>
      <c r="D16" s="133">
        <f>SUMIFS('Resultater - Danmark'!I$3:I$504,'Resultater - Danmark'!$F$3:$F$504,$A16)*C7</f>
        <v>1806588.5568306167</v>
      </c>
      <c r="E16" s="133">
        <f>SUMIFS('Resultater - Danmark'!J$3:J$504,'Resultater - Danmark'!$F$3:$F$504,$A16)*D7</f>
        <v>1893021.5008227446</v>
      </c>
      <c r="F16" s="239">
        <f>SUMIFS('Resultat-Produktion &amp; forbrug'!$F$3:$F$290,'Resultat-Produktion &amp; forbrug'!$A$3:$A$290,$A16,'Resultat-Produktion &amp; forbrug'!$D$3:$D$290,Biogasanlæg!F$11)-SUMIFS('Resultat-Produktion &amp; forbrug'!$G$3:$G$290,'Resultat-Produktion &amp; forbrug'!$A$3:$A$290,$A16,'Resultat-Produktion &amp; forbrug'!$D$3:$D$290,Biogasanlæg!F$11)-SUMIFS('Resultat-Produktion &amp; forbrug'!$H$3:$H$290,'Resultat-Produktion &amp; forbrug'!$A$3:$A$290,$A16,'Resultat-Produktion &amp; forbrug'!$D$3:$D$290,Biogasanlæg!F$11)-SUMIFS('Resultat-Produktion &amp; forbrug'!$I$3:$I$290,'Resultat-Produktion &amp; forbrug'!$A$3:$A$290,$A16,'Resultat-Produktion &amp; forbrug'!$D$3:$D$290,Biogasanlæg!F$11)-SUMIFS('Resultat-Produktion &amp; forbrug'!$J$3:$J$290,'Resultat-Produktion &amp; forbrug'!$A$3:$A$290,$A16,'Resultat-Produktion &amp; forbrug'!$D$3:$D$290,Biogasanlæg!F$11)-SUMIFS('Resultat-Produktion &amp; forbrug'!$M$3:$M$290,'Resultat-Produktion &amp; forbrug'!$A$3:$A$290,$A16,'Resultat-Produktion &amp; forbrug'!$D$3:$D$290,Biogasanlæg!F$11)</f>
        <v>1806588.5568306167</v>
      </c>
      <c r="G16" s="239">
        <f>SUMIFS('Resultat-Produktion &amp; forbrug'!$F$3:$F$290,'Resultat-Produktion &amp; forbrug'!$A$3:$A$290,$A16,'Resultat-Produktion &amp; forbrug'!$D$3:$D$290,Biogasanlæg!G$11)-SUMIFS('Resultat-Produktion &amp; forbrug'!$G$3:$G$290,'Resultat-Produktion &amp; forbrug'!$A$3:$A$290,$A16,'Resultat-Produktion &amp; forbrug'!$D$3:$D$290,Biogasanlæg!G$11)-SUMIFS('Resultat-Produktion &amp; forbrug'!$H$3:$H$290,'Resultat-Produktion &amp; forbrug'!$A$3:$A$290,$A16,'Resultat-Produktion &amp; forbrug'!$D$3:$D$290,Biogasanlæg!G$11)-SUMIFS('Resultat-Produktion &amp; forbrug'!$I$3:$I$290,'Resultat-Produktion &amp; forbrug'!$A$3:$A$290,$A16,'Resultat-Produktion &amp; forbrug'!$D$3:$D$290,Biogasanlæg!G$11)-SUMIFS('Resultat-Produktion &amp; forbrug'!$J$3:$J$290,'Resultat-Produktion &amp; forbrug'!$A$3:$A$290,$A16,'Resultat-Produktion &amp; forbrug'!$D$3:$D$290,Biogasanlæg!G$11)-SUMIFS('Resultat-Produktion &amp; forbrug'!$M$3:$M$290,'Resultat-Produktion &amp; forbrug'!$A$3:$A$290,$A16,'Resultat-Produktion &amp; forbrug'!$D$3:$D$290,Biogasanlæg!G$11)</f>
        <v>1893021.5008227448</v>
      </c>
      <c r="H16" s="134">
        <f>VLOOKUP(A16,[1]Biogasudbytte!$A$2:$C$18,3,FALSE)</f>
        <v>0.3</v>
      </c>
      <c r="I16" s="135">
        <f>VLOOKUP(A16,[1]Biogasudbytte!$A$2:$C$18,2,FALSE)*IFERROR(VLOOKUP(A16,$F$3:$G$8,2,FALSE),1)</f>
        <v>60</v>
      </c>
      <c r="J16" s="134">
        <f t="shared" si="1"/>
        <v>5.7835206554718369E-2</v>
      </c>
      <c r="K16" s="134">
        <f t="shared" si="2"/>
        <v>6.0192675574455512E-2</v>
      </c>
      <c r="L16" s="134">
        <f t="shared" si="3"/>
        <v>6.4153170116436189E-2</v>
      </c>
      <c r="M16" s="243" t="s">
        <v>156</v>
      </c>
      <c r="N16" s="244">
        <v>757087</v>
      </c>
      <c r="O16" s="149">
        <f t="shared" si="4"/>
        <v>0</v>
      </c>
      <c r="P16" s="138">
        <f t="shared" si="5"/>
        <v>45425220</v>
      </c>
      <c r="Q16" s="123">
        <f t="shared" si="6"/>
        <v>1.6307653980000001</v>
      </c>
    </row>
    <row r="17" spans="1:23" x14ac:dyDescent="0.2">
      <c r="A17" s="125" t="s">
        <v>208</v>
      </c>
      <c r="B17" s="124" t="s">
        <v>139</v>
      </c>
      <c r="C17" s="133">
        <f>SUMIFS('Resultater - Danmark'!H$3:H$504,'Resultater - Danmark'!$F$3:$F$504,$A17)*B8</f>
        <v>0</v>
      </c>
      <c r="D17" s="133">
        <f>SUMIFS('Resultater - Danmark'!I$3:I$504,'Resultater - Danmark'!$F$3:$F$504,$A17)*C8</f>
        <v>0</v>
      </c>
      <c r="E17" s="133">
        <f>SUMIFS('Resultater - Danmark'!J$3:J$504,'Resultater - Danmark'!$F$3:$F$504,$A17)*D8</f>
        <v>0</v>
      </c>
      <c r="F17" s="239">
        <f>SUMIFS('Resultat-Produktion &amp; forbrug'!$F$3:$F$290,'Resultat-Produktion &amp; forbrug'!$A$3:$A$290,$A17,'Resultat-Produktion &amp; forbrug'!$D$3:$D$290,Biogasanlæg!F$11)-SUMIFS('Resultat-Produktion &amp; forbrug'!$G$3:$G$290,'Resultat-Produktion &amp; forbrug'!$A$3:$A$290,$A17,'Resultat-Produktion &amp; forbrug'!$D$3:$D$290,Biogasanlæg!F$11)-SUMIFS('Resultat-Produktion &amp; forbrug'!$H$3:$H$290,'Resultat-Produktion &amp; forbrug'!$A$3:$A$290,$A17,'Resultat-Produktion &amp; forbrug'!$D$3:$D$290,Biogasanlæg!F$11)-SUMIFS('Resultat-Produktion &amp; forbrug'!$I$3:$I$290,'Resultat-Produktion &amp; forbrug'!$A$3:$A$290,$A17,'Resultat-Produktion &amp; forbrug'!$D$3:$D$290,Biogasanlæg!F$11)-SUMIFS('Resultat-Produktion &amp; forbrug'!$J$3:$J$290,'Resultat-Produktion &amp; forbrug'!$A$3:$A$290,$A17,'Resultat-Produktion &amp; forbrug'!$D$3:$D$290,Biogasanlæg!F$11)-SUMIFS('Resultat-Produktion &amp; forbrug'!$M$3:$M$290,'Resultat-Produktion &amp; forbrug'!$A$3:$A$290,$A17,'Resultat-Produktion &amp; forbrug'!$D$3:$D$290,Biogasanlæg!F$11)</f>
        <v>0</v>
      </c>
      <c r="G17" s="239">
        <f>SUMIFS('Resultat-Produktion &amp; forbrug'!$F$3:$F$290,'Resultat-Produktion &amp; forbrug'!$A$3:$A$290,$A17,'Resultat-Produktion &amp; forbrug'!$D$3:$D$290,Biogasanlæg!G$11)-SUMIFS('Resultat-Produktion &amp; forbrug'!$G$3:$G$290,'Resultat-Produktion &amp; forbrug'!$A$3:$A$290,$A17,'Resultat-Produktion &amp; forbrug'!$D$3:$D$290,Biogasanlæg!G$11)-SUMIFS('Resultat-Produktion &amp; forbrug'!$H$3:$H$290,'Resultat-Produktion &amp; forbrug'!$A$3:$A$290,$A17,'Resultat-Produktion &amp; forbrug'!$D$3:$D$290,Biogasanlæg!G$11)-SUMIFS('Resultat-Produktion &amp; forbrug'!$I$3:$I$290,'Resultat-Produktion &amp; forbrug'!$A$3:$A$290,$A17,'Resultat-Produktion &amp; forbrug'!$D$3:$D$290,Biogasanlæg!G$11)-SUMIFS('Resultat-Produktion &amp; forbrug'!$J$3:$J$290,'Resultat-Produktion &amp; forbrug'!$A$3:$A$290,$A17,'Resultat-Produktion &amp; forbrug'!$D$3:$D$290,Biogasanlæg!G$11)-SUMIFS('Resultat-Produktion &amp; forbrug'!$M$3:$M$290,'Resultat-Produktion &amp; forbrug'!$A$3:$A$290,$A17,'Resultat-Produktion &amp; forbrug'!$D$3:$D$290,Biogasanlæg!G$11)</f>
        <v>0</v>
      </c>
      <c r="H17" s="134">
        <f>VLOOKUP(A17,[1]Biogasudbytte!$A$2:$C$18,3,FALSE)</f>
        <v>4.2763387558472386E-2</v>
      </c>
      <c r="I17" s="135">
        <f>VLOOKUP(A17,[1]Biogasudbytte!$A$2:$C$18,2,FALSE)*IFERROR(VLOOKUP(A17,$F$3:$G$8,2,FALSE),1)</f>
        <v>15.822453396634783</v>
      </c>
      <c r="J17" s="134">
        <f t="shared" si="1"/>
        <v>0</v>
      </c>
      <c r="K17" s="134">
        <f t="shared" si="2"/>
        <v>0</v>
      </c>
      <c r="L17" s="134">
        <f t="shared" si="3"/>
        <v>0</v>
      </c>
      <c r="M17" s="123" t="s">
        <v>149</v>
      </c>
      <c r="N17" s="138"/>
      <c r="O17" s="149"/>
      <c r="P17" s="138">
        <f t="shared" si="5"/>
        <v>0</v>
      </c>
      <c r="Q17" s="123">
        <f t="shared" si="6"/>
        <v>0</v>
      </c>
    </row>
    <row r="18" spans="1:23" x14ac:dyDescent="0.2">
      <c r="A18" s="124" t="s">
        <v>102</v>
      </c>
      <c r="B18" s="124" t="s">
        <v>139</v>
      </c>
      <c r="C18" s="246">
        <f t="shared" ref="C18" si="7">N18</f>
        <v>729134</v>
      </c>
      <c r="D18" s="247">
        <v>363995</v>
      </c>
      <c r="E18" s="247">
        <v>369777</v>
      </c>
      <c r="F18" s="239">
        <f ca="1">SUMIFS('Resultat-Produktion &amp; forbrug'!$F$3:$F$290,'Resultat-Produktion &amp; forbrug'!$A$3:$A$290,$A18,'Resultat-Produktion &amp; forbrug'!$D$3:$D$290,Biogasanlæg!F$11)-SUMIFS('Resultat-Produktion &amp; forbrug'!$G$3:$G$290,'Resultat-Produktion &amp; forbrug'!$A$3:$A$290,$A18,'Resultat-Produktion &amp; forbrug'!$D$3:$D$290,Biogasanlæg!F$11)-SUMIFS('Resultat-Produktion &amp; forbrug'!$H$3:$H$290,'Resultat-Produktion &amp; forbrug'!$A$3:$A$290,$A18,'Resultat-Produktion &amp; forbrug'!$D$3:$D$290,Biogasanlæg!F$11)-SUMIFS('Resultat-Produktion &amp; forbrug'!$I$3:$I$290,'Resultat-Produktion &amp; forbrug'!$A$3:$A$290,$A18,'Resultat-Produktion &amp; forbrug'!$D$3:$D$290,Biogasanlæg!F$11)-SUMIFS('Resultat-Produktion &amp; forbrug'!$J$3:$J$290,'Resultat-Produktion &amp; forbrug'!$A$3:$A$290,$A18,'Resultat-Produktion &amp; forbrug'!$D$3:$D$290,Biogasanlæg!F$11)-SUMIFS('Resultat-Produktion &amp; forbrug'!$M$3:$M$290,'Resultat-Produktion &amp; forbrug'!$A$3:$A$290,$A18,'Resultat-Produktion &amp; forbrug'!$D$3:$D$290,Biogasanlæg!F$11)</f>
        <v>-2.8257256140932441E-2</v>
      </c>
      <c r="G18" s="239">
        <f ca="1">SUMIFS('Resultat-Produktion &amp; forbrug'!$F$3:$F$290,'Resultat-Produktion &amp; forbrug'!$A$3:$A$290,$A18,'Resultat-Produktion &amp; forbrug'!$D$3:$D$290,Biogasanlæg!G$11)-SUMIFS('Resultat-Produktion &amp; forbrug'!$G$3:$G$290,'Resultat-Produktion &amp; forbrug'!$A$3:$A$290,$A18,'Resultat-Produktion &amp; forbrug'!$D$3:$D$290,Biogasanlæg!G$11)-SUMIFS('Resultat-Produktion &amp; forbrug'!$H$3:$H$290,'Resultat-Produktion &amp; forbrug'!$A$3:$A$290,$A18,'Resultat-Produktion &amp; forbrug'!$D$3:$D$290,Biogasanlæg!G$11)-SUMIFS('Resultat-Produktion &amp; forbrug'!$I$3:$I$290,'Resultat-Produktion &amp; forbrug'!$A$3:$A$290,$A18,'Resultat-Produktion &amp; forbrug'!$D$3:$D$290,Biogasanlæg!G$11)-SUMIFS('Resultat-Produktion &amp; forbrug'!$J$3:$J$290,'Resultat-Produktion &amp; forbrug'!$A$3:$A$290,$A18,'Resultat-Produktion &amp; forbrug'!$D$3:$D$290,Biogasanlæg!G$11)-SUMIFS('Resultat-Produktion &amp; forbrug'!$M$3:$M$290,'Resultat-Produktion &amp; forbrug'!$A$3:$A$290,$A18,'Resultat-Produktion &amp; forbrug'!$D$3:$D$290,Biogasanlæg!G$11)</f>
        <v>-0.18489040050189942</v>
      </c>
      <c r="H18" s="134">
        <f>VLOOKUP(A18,[1]Biogasudbytte!$A$2:$C$18,3,FALSE)</f>
        <v>0.28000000000000003</v>
      </c>
      <c r="I18" s="135">
        <f>VLOOKUP(A18,[1]Biogasudbytte!$A$2:$C$18,2,FALSE)*IFERROR(VLOOKUP(A18,$F$3:$G$8,2,FALSE),1)</f>
        <v>94.9</v>
      </c>
      <c r="J18" s="134">
        <f t="shared" si="1"/>
        <v>5.5699827755684647E-2</v>
      </c>
      <c r="K18" s="134">
        <f t="shared" si="2"/>
        <v>1.2127738140975156E-2</v>
      </c>
      <c r="L18" s="134">
        <f t="shared" si="3"/>
        <v>1.2531483015821646E-2</v>
      </c>
      <c r="M18" s="158" t="s">
        <v>292</v>
      </c>
      <c r="N18" s="159">
        <f>SUM(S18:Z18)</f>
        <v>729134</v>
      </c>
      <c r="O18" s="149">
        <f>N18-C18</f>
        <v>0</v>
      </c>
      <c r="P18" s="138">
        <f>C18*I18</f>
        <v>69194816.600000009</v>
      </c>
      <c r="Q18" s="123">
        <f>P18*35.9/1000000000</f>
        <v>2.48409391594</v>
      </c>
      <c r="S18" s="123">
        <v>338470</v>
      </c>
      <c r="T18" s="123">
        <v>199809</v>
      </c>
      <c r="U18" s="123">
        <v>60011</v>
      </c>
      <c r="V18" s="123">
        <v>44821</v>
      </c>
      <c r="W18" s="123">
        <v>86023</v>
      </c>
    </row>
    <row r="19" spans="1:23" x14ac:dyDescent="0.2">
      <c r="A19" s="124" t="s">
        <v>103</v>
      </c>
      <c r="B19" s="124" t="s">
        <v>139</v>
      </c>
      <c r="C19" s="246">
        <f>N19</f>
        <v>995654</v>
      </c>
      <c r="D19" s="247">
        <v>725968</v>
      </c>
      <c r="E19" s="247">
        <v>723032</v>
      </c>
      <c r="F19" s="239">
        <f>SUMIFS('Resultat-Produktion &amp; forbrug'!$F$3:$F$290,'Resultat-Produktion &amp; forbrug'!$A$3:$A$290,$A19,'Resultat-Produktion &amp; forbrug'!$D$3:$D$290,Biogasanlæg!F$11)-SUMIFS('Resultat-Produktion &amp; forbrug'!$G$3:$G$290,'Resultat-Produktion &amp; forbrug'!$A$3:$A$290,$A19,'Resultat-Produktion &amp; forbrug'!$D$3:$D$290,Biogasanlæg!F$11)-SUMIFS('Resultat-Produktion &amp; forbrug'!$H$3:$H$290,'Resultat-Produktion &amp; forbrug'!$A$3:$A$290,$A19,'Resultat-Produktion &amp; forbrug'!$D$3:$D$290,Biogasanlæg!F$11)-SUMIFS('Resultat-Produktion &amp; forbrug'!$I$3:$I$290,'Resultat-Produktion &amp; forbrug'!$A$3:$A$290,$A19,'Resultat-Produktion &amp; forbrug'!$D$3:$D$290,Biogasanlæg!F$11)-SUMIFS('Resultat-Produktion &amp; forbrug'!$J$3:$J$290,'Resultat-Produktion &amp; forbrug'!$A$3:$A$290,$A19,'Resultat-Produktion &amp; forbrug'!$D$3:$D$290,Biogasanlæg!F$11)-SUMIFS('Resultat-Produktion &amp; forbrug'!$M$3:$M$290,'Resultat-Produktion &amp; forbrug'!$A$3:$A$290,$A19,'Resultat-Produktion &amp; forbrug'!$D$3:$D$290,Biogasanlæg!F$11)</f>
        <v>74190.483462749049</v>
      </c>
      <c r="G19" s="239">
        <f>SUMIFS('Resultat-Produktion &amp; forbrug'!$F$3:$F$290,'Resultat-Produktion &amp; forbrug'!$A$3:$A$290,$A19,'Resultat-Produktion &amp; forbrug'!$D$3:$D$290,Biogasanlæg!G$11)-SUMIFS('Resultat-Produktion &amp; forbrug'!$G$3:$G$290,'Resultat-Produktion &amp; forbrug'!$A$3:$A$290,$A19,'Resultat-Produktion &amp; forbrug'!$D$3:$D$290,Biogasanlæg!G$11)-SUMIFS('Resultat-Produktion &amp; forbrug'!$H$3:$H$290,'Resultat-Produktion &amp; forbrug'!$A$3:$A$290,$A19,'Resultat-Produktion &amp; forbrug'!$D$3:$D$290,Biogasanlæg!G$11)-SUMIFS('Resultat-Produktion &amp; forbrug'!$I$3:$I$290,'Resultat-Produktion &amp; forbrug'!$A$3:$A$290,$A19,'Resultat-Produktion &amp; forbrug'!$D$3:$D$290,Biogasanlæg!G$11)-SUMIFS('Resultat-Produktion &amp; forbrug'!$J$3:$J$290,'Resultat-Produktion &amp; forbrug'!$A$3:$A$290,$A19,'Resultat-Produktion &amp; forbrug'!$D$3:$D$290,Biogasanlæg!G$11)-SUMIFS('Resultat-Produktion &amp; forbrug'!$M$3:$M$290,'Resultat-Produktion &amp; forbrug'!$A$3:$A$290,$A19,'Resultat-Produktion &amp; forbrug'!$D$3:$D$290,Biogasanlæg!G$11)</f>
        <v>73602.662086251541</v>
      </c>
      <c r="H19" s="134">
        <f>VLOOKUP(A19,[1]Biogasudbytte!$A$2:$C$18,3,FALSE)</f>
        <v>0.42</v>
      </c>
      <c r="I19" s="135">
        <f>VLOOKUP(A19,[1]Biogasudbytte!$A$2:$C$18,2,FALSE)*IFERROR(VLOOKUP(A19,$F$3:$G$8,2,FALSE),1)</f>
        <v>102.595</v>
      </c>
      <c r="J19" s="134">
        <f t="shared" si="1"/>
        <v>7.6059758980185313E-2</v>
      </c>
      <c r="K19" s="134">
        <f t="shared" si="2"/>
        <v>2.4188106437526485E-2</v>
      </c>
      <c r="L19" s="134">
        <f t="shared" si="3"/>
        <v>2.450304704699199E-2</v>
      </c>
      <c r="M19" s="160" t="s">
        <v>293</v>
      </c>
      <c r="N19" s="161">
        <f>SUM(S19:Z19)</f>
        <v>995654</v>
      </c>
      <c r="O19" s="149">
        <f>N19-C19</f>
        <v>0</v>
      </c>
      <c r="P19" s="138">
        <f>C19*I19</f>
        <v>102149122.13</v>
      </c>
      <c r="Q19" s="123">
        <f>P19*35.9/1000000000</f>
        <v>3.6671534844669997</v>
      </c>
      <c r="S19" s="123">
        <v>995654</v>
      </c>
    </row>
    <row r="20" spans="1:23" x14ac:dyDescent="0.2">
      <c r="A20" s="124" t="s">
        <v>67</v>
      </c>
      <c r="B20" s="124" t="s">
        <v>139</v>
      </c>
      <c r="C20" s="246">
        <f>N20</f>
        <v>75934</v>
      </c>
      <c r="D20" s="247">
        <v>75934</v>
      </c>
      <c r="E20" s="247">
        <v>75934</v>
      </c>
      <c r="F20" s="239">
        <f>SUMIFS('Resultat-Produktion &amp; forbrug'!$F$3:$F$290,'Resultat-Produktion &amp; forbrug'!$A$3:$A$290,$A20,'Resultat-Produktion &amp; forbrug'!$D$3:$D$290,Biogasanlæg!F$11)-SUMIFS('Resultat-Produktion &amp; forbrug'!$G$3:$G$290,'Resultat-Produktion &amp; forbrug'!$A$3:$A$290,$A20,'Resultat-Produktion &amp; forbrug'!$D$3:$D$290,Biogasanlæg!F$11)-SUMIFS('Resultat-Produktion &amp; forbrug'!$H$3:$H$290,'Resultat-Produktion &amp; forbrug'!$A$3:$A$290,$A20,'Resultat-Produktion &amp; forbrug'!$D$3:$D$290,Biogasanlæg!F$11)-SUMIFS('Resultat-Produktion &amp; forbrug'!$I$3:$I$290,'Resultat-Produktion &amp; forbrug'!$A$3:$A$290,$A20,'Resultat-Produktion &amp; forbrug'!$D$3:$D$290,Biogasanlæg!F$11)-SUMIFS('Resultat-Produktion &amp; forbrug'!$J$3:$J$290,'Resultat-Produktion &amp; forbrug'!$A$3:$A$290,$A20,'Resultat-Produktion &amp; forbrug'!$D$3:$D$290,Biogasanlæg!F$11)-SUMIFS('Resultat-Produktion &amp; forbrug'!$M$3:$M$290,'Resultat-Produktion &amp; forbrug'!$A$3:$A$290,$A20,'Resultat-Produktion &amp; forbrug'!$D$3:$D$290,Biogasanlæg!F$11)</f>
        <v>1464187.9964662502</v>
      </c>
      <c r="G20" s="239">
        <f>SUMIFS('Resultat-Produktion &amp; forbrug'!$F$3:$F$290,'Resultat-Produktion &amp; forbrug'!$A$3:$A$290,$A20,'Resultat-Produktion &amp; forbrug'!$D$3:$D$290,Biogasanlæg!G$11)-SUMIFS('Resultat-Produktion &amp; forbrug'!$G$3:$G$290,'Resultat-Produktion &amp; forbrug'!$A$3:$A$290,$A20,'Resultat-Produktion &amp; forbrug'!$D$3:$D$290,Biogasanlæg!G$11)-SUMIFS('Resultat-Produktion &amp; forbrug'!$H$3:$H$290,'Resultat-Produktion &amp; forbrug'!$A$3:$A$290,$A20,'Resultat-Produktion &amp; forbrug'!$D$3:$D$290,Biogasanlæg!G$11)-SUMIFS('Resultat-Produktion &amp; forbrug'!$I$3:$I$290,'Resultat-Produktion &amp; forbrug'!$A$3:$A$290,$A20,'Resultat-Produktion &amp; forbrug'!$D$3:$D$290,Biogasanlæg!G$11)-SUMIFS('Resultat-Produktion &amp; forbrug'!$J$3:$J$290,'Resultat-Produktion &amp; forbrug'!$A$3:$A$290,$A20,'Resultat-Produktion &amp; forbrug'!$D$3:$D$290,Biogasanlæg!G$11)-SUMIFS('Resultat-Produktion &amp; forbrug'!$M$3:$M$290,'Resultat-Produktion &amp; forbrug'!$A$3:$A$290,$A20,'Resultat-Produktion &amp; forbrug'!$D$3:$D$290,Biogasanlæg!G$11)</f>
        <v>1362753.9369395981</v>
      </c>
      <c r="H20" s="134">
        <f>VLOOKUP(A20,[1]Biogasudbytte!$A$2:$C$18,3,FALSE)</f>
        <v>0.85</v>
      </c>
      <c r="I20" s="135">
        <f>VLOOKUP(A20,[1]Biogasudbytte!$A$2:$C$18,2,FALSE)*IFERROR(VLOOKUP(A20,$F$3:$G$8,2,FALSE),1)</f>
        <v>160.6</v>
      </c>
      <c r="J20" s="134">
        <f t="shared" si="1"/>
        <v>5.8007317184497744E-3</v>
      </c>
      <c r="K20" s="134">
        <f t="shared" si="2"/>
        <v>2.5300008736296037E-3</v>
      </c>
      <c r="L20" s="134">
        <f t="shared" si="3"/>
        <v>2.573349968557809E-3</v>
      </c>
      <c r="M20" s="123" t="s">
        <v>146</v>
      </c>
      <c r="N20" s="138">
        <v>75934</v>
      </c>
      <c r="O20" s="149">
        <f t="shared" ref="O20:O28" si="8">N20-C20</f>
        <v>0</v>
      </c>
      <c r="P20" s="138">
        <f t="shared" si="5"/>
        <v>12195000.4</v>
      </c>
      <c r="Q20" s="123">
        <f t="shared" si="6"/>
        <v>0.43780051436</v>
      </c>
    </row>
    <row r="21" spans="1:23" x14ac:dyDescent="0.2">
      <c r="A21" s="124" t="s">
        <v>48</v>
      </c>
      <c r="B21" s="124" t="s">
        <v>139</v>
      </c>
      <c r="C21" s="246">
        <f t="shared" ref="C21:C28" si="9">N21</f>
        <v>3786</v>
      </c>
      <c r="D21" s="247">
        <v>3786</v>
      </c>
      <c r="E21" s="247">
        <v>3786</v>
      </c>
      <c r="F21" s="239">
        <f>SUMIFS('Resultat-Produktion &amp; forbrug'!$F$3:$F$290,'Resultat-Produktion &amp; forbrug'!$A$3:$A$290,$A21,'Resultat-Produktion &amp; forbrug'!$D$3:$D$290,Biogasanlæg!F$11)-SUMIFS('Resultat-Produktion &amp; forbrug'!$G$3:$G$290,'Resultat-Produktion &amp; forbrug'!$A$3:$A$290,$A21,'Resultat-Produktion &amp; forbrug'!$D$3:$D$290,Biogasanlæg!F$11)-SUMIFS('Resultat-Produktion &amp; forbrug'!$H$3:$H$290,'Resultat-Produktion &amp; forbrug'!$A$3:$A$290,$A21,'Resultat-Produktion &amp; forbrug'!$D$3:$D$290,Biogasanlæg!F$11)-SUMIFS('Resultat-Produktion &amp; forbrug'!$I$3:$I$290,'Resultat-Produktion &amp; forbrug'!$A$3:$A$290,$A21,'Resultat-Produktion &amp; forbrug'!$D$3:$D$290,Biogasanlæg!F$11)-SUMIFS('Resultat-Produktion &amp; forbrug'!$J$3:$J$290,'Resultat-Produktion &amp; forbrug'!$A$3:$A$290,$A21,'Resultat-Produktion &amp; forbrug'!$D$3:$D$290,Biogasanlæg!F$11)-SUMIFS('Resultat-Produktion &amp; forbrug'!$M$3:$M$290,'Resultat-Produktion &amp; forbrug'!$A$3:$A$290,$A21,'Resultat-Produktion &amp; forbrug'!$D$3:$D$290,Biogasanlæg!F$11)</f>
        <v>1105257.6049126345</v>
      </c>
      <c r="G21" s="239">
        <f>SUMIFS('Resultat-Produktion &amp; forbrug'!$F$3:$F$290,'Resultat-Produktion &amp; forbrug'!$A$3:$A$290,$A21,'Resultat-Produktion &amp; forbrug'!$D$3:$D$290,Biogasanlæg!G$11)-SUMIFS('Resultat-Produktion &amp; forbrug'!$G$3:$G$290,'Resultat-Produktion &amp; forbrug'!$A$3:$A$290,$A21,'Resultat-Produktion &amp; forbrug'!$D$3:$D$290,Biogasanlæg!G$11)-SUMIFS('Resultat-Produktion &amp; forbrug'!$H$3:$H$290,'Resultat-Produktion &amp; forbrug'!$A$3:$A$290,$A21,'Resultat-Produktion &amp; forbrug'!$D$3:$D$290,Biogasanlæg!G$11)-SUMIFS('Resultat-Produktion &amp; forbrug'!$I$3:$I$290,'Resultat-Produktion &amp; forbrug'!$A$3:$A$290,$A21,'Resultat-Produktion &amp; forbrug'!$D$3:$D$290,Biogasanlæg!G$11)-SUMIFS('Resultat-Produktion &amp; forbrug'!$J$3:$J$290,'Resultat-Produktion &amp; forbrug'!$A$3:$A$290,$A21,'Resultat-Produktion &amp; forbrug'!$D$3:$D$290,Biogasanlæg!G$11)-SUMIFS('Resultat-Produktion &amp; forbrug'!$M$3:$M$290,'Resultat-Produktion &amp; forbrug'!$A$3:$A$290,$A21,'Resultat-Produktion &amp; forbrug'!$D$3:$D$290,Biogasanlæg!G$11)</f>
        <v>1483657.8880686327</v>
      </c>
      <c r="H21" s="134">
        <f>VLOOKUP(A21,[1]Biogasudbytte!$A$2:$C$18,3,FALSE)</f>
        <v>0.31</v>
      </c>
      <c r="I21" s="135">
        <f>VLOOKUP(A21,[1]Biogasudbytte!$A$2:$C$18,2,FALSE)*IFERROR(VLOOKUP(A21,$F$3:$G$8,2,FALSE),1)</f>
        <v>95.4</v>
      </c>
      <c r="J21" s="134">
        <f t="shared" si="1"/>
        <v>2.8921919411661239E-4</v>
      </c>
      <c r="K21" s="134">
        <f t="shared" si="2"/>
        <v>1.2614353659179918E-4</v>
      </c>
      <c r="L21" s="134">
        <f t="shared" si="3"/>
        <v>1.2830488293728585E-4</v>
      </c>
      <c r="M21" s="123" t="s">
        <v>157</v>
      </c>
      <c r="N21" s="138">
        <v>3786</v>
      </c>
      <c r="O21" s="149">
        <f t="shared" si="8"/>
        <v>0</v>
      </c>
      <c r="P21" s="138">
        <f t="shared" si="5"/>
        <v>361184.4</v>
      </c>
      <c r="Q21" s="123">
        <f t="shared" si="6"/>
        <v>1.2966519960000001E-2</v>
      </c>
    </row>
    <row r="22" spans="1:23" x14ac:dyDescent="0.2">
      <c r="A22" s="124" t="s">
        <v>51</v>
      </c>
      <c r="B22" s="124" t="s">
        <v>139</v>
      </c>
      <c r="C22" s="246">
        <f t="shared" si="9"/>
        <v>85677</v>
      </c>
      <c r="D22" s="247">
        <v>85677</v>
      </c>
      <c r="E22" s="247">
        <v>85677</v>
      </c>
      <c r="F22" s="239">
        <f>SUMIFS('Resultat-Produktion &amp; forbrug'!$F$3:$F$290,'Resultat-Produktion &amp; forbrug'!$A$3:$A$290,$A22,'Resultat-Produktion &amp; forbrug'!$D$3:$D$290,Biogasanlæg!F$11)-SUMIFS('Resultat-Produktion &amp; forbrug'!$G$3:$G$290,'Resultat-Produktion &amp; forbrug'!$A$3:$A$290,$A22,'Resultat-Produktion &amp; forbrug'!$D$3:$D$290,Biogasanlæg!F$11)-SUMIFS('Resultat-Produktion &amp; forbrug'!$H$3:$H$290,'Resultat-Produktion &amp; forbrug'!$A$3:$A$290,$A22,'Resultat-Produktion &amp; forbrug'!$D$3:$D$290,Biogasanlæg!F$11)-SUMIFS('Resultat-Produktion &amp; forbrug'!$I$3:$I$290,'Resultat-Produktion &amp; forbrug'!$A$3:$A$290,$A22,'Resultat-Produktion &amp; forbrug'!$D$3:$D$290,Biogasanlæg!F$11)-SUMIFS('Resultat-Produktion &amp; forbrug'!$J$3:$J$290,'Resultat-Produktion &amp; forbrug'!$A$3:$A$290,$A22,'Resultat-Produktion &amp; forbrug'!$D$3:$D$290,Biogasanlæg!F$11)-SUMIFS('Resultat-Produktion &amp; forbrug'!$M$3:$M$290,'Resultat-Produktion &amp; forbrug'!$A$3:$A$290,$A22,'Resultat-Produktion &amp; forbrug'!$D$3:$D$290,Biogasanlæg!F$11)</f>
        <v>2055724.8237033989</v>
      </c>
      <c r="G22" s="239">
        <f>SUMIFS('Resultat-Produktion &amp; forbrug'!$F$3:$F$290,'Resultat-Produktion &amp; forbrug'!$A$3:$A$290,$A22,'Resultat-Produktion &amp; forbrug'!$D$3:$D$290,Biogasanlæg!G$11)-SUMIFS('Resultat-Produktion &amp; forbrug'!$G$3:$G$290,'Resultat-Produktion &amp; forbrug'!$A$3:$A$290,$A22,'Resultat-Produktion &amp; forbrug'!$D$3:$D$290,Biogasanlæg!G$11)-SUMIFS('Resultat-Produktion &amp; forbrug'!$H$3:$H$290,'Resultat-Produktion &amp; forbrug'!$A$3:$A$290,$A22,'Resultat-Produktion &amp; forbrug'!$D$3:$D$290,Biogasanlæg!G$11)-SUMIFS('Resultat-Produktion &amp; forbrug'!$I$3:$I$290,'Resultat-Produktion &amp; forbrug'!$A$3:$A$290,$A22,'Resultat-Produktion &amp; forbrug'!$D$3:$D$290,Biogasanlæg!G$11)-SUMIFS('Resultat-Produktion &amp; forbrug'!$J$3:$J$290,'Resultat-Produktion &amp; forbrug'!$A$3:$A$290,$A22,'Resultat-Produktion &amp; forbrug'!$D$3:$D$290,Biogasanlæg!G$11)-SUMIFS('Resultat-Produktion &amp; forbrug'!$M$3:$M$290,'Resultat-Produktion &amp; forbrug'!$A$3:$A$290,$A22,'Resultat-Produktion &amp; forbrug'!$D$3:$D$290,Biogasanlæg!G$11)</f>
        <v>2997199.321406953</v>
      </c>
      <c r="H22" s="134">
        <f>VLOOKUP(A22,[1]Biogasudbytte!$A$2:$C$18,3,FALSE)</f>
        <v>0.28000000000000003</v>
      </c>
      <c r="I22" s="135">
        <f>VLOOKUP(A22,[1]Biogasudbytte!$A$2:$C$18,2,FALSE)*IFERROR(VLOOKUP(A22,$F$3:$G$8,2,FALSE),1)</f>
        <v>51.25</v>
      </c>
      <c r="J22" s="134">
        <f t="shared" si="1"/>
        <v>6.5450166123425784E-3</v>
      </c>
      <c r="K22" s="134">
        <f t="shared" si="2"/>
        <v>2.8546222357568882E-3</v>
      </c>
      <c r="L22" s="134">
        <f t="shared" si="3"/>
        <v>2.9035334007971054E-3</v>
      </c>
      <c r="M22" s="162" t="s">
        <v>295</v>
      </c>
      <c r="N22" s="163">
        <f>SUM(S22:Z22)</f>
        <v>85677</v>
      </c>
      <c r="O22" s="149">
        <f t="shared" si="8"/>
        <v>0</v>
      </c>
      <c r="P22" s="138">
        <f t="shared" si="5"/>
        <v>4390946.25</v>
      </c>
      <c r="Q22" s="123">
        <f t="shared" si="6"/>
        <v>0.15763497037499999</v>
      </c>
      <c r="S22" s="123">
        <v>66010</v>
      </c>
      <c r="T22" s="123">
        <v>2139</v>
      </c>
      <c r="U22" s="123">
        <v>14273</v>
      </c>
      <c r="V22" s="123">
        <v>3255</v>
      </c>
    </row>
    <row r="23" spans="1:23" x14ac:dyDescent="0.2">
      <c r="A23" s="124" t="s">
        <v>53</v>
      </c>
      <c r="B23" s="124" t="s">
        <v>139</v>
      </c>
      <c r="C23" s="246">
        <f t="shared" si="9"/>
        <v>330026</v>
      </c>
      <c r="D23" s="247">
        <v>330026</v>
      </c>
      <c r="E23" s="247">
        <v>330026</v>
      </c>
      <c r="F23" s="239">
        <f>SUMIFS('Resultat-Produktion &amp; forbrug'!$F$3:$F$290,'Resultat-Produktion &amp; forbrug'!$A$3:$A$290,$A23,'Resultat-Produktion &amp; forbrug'!$D$3:$D$290,Biogasanlæg!F$11)-SUMIFS('Resultat-Produktion &amp; forbrug'!$G$3:$G$290,'Resultat-Produktion &amp; forbrug'!$A$3:$A$290,$A23,'Resultat-Produktion &amp; forbrug'!$D$3:$D$290,Biogasanlæg!F$11)-SUMIFS('Resultat-Produktion &amp; forbrug'!$H$3:$H$290,'Resultat-Produktion &amp; forbrug'!$A$3:$A$290,$A23,'Resultat-Produktion &amp; forbrug'!$D$3:$D$290,Biogasanlæg!F$11)-SUMIFS('Resultat-Produktion &amp; forbrug'!$I$3:$I$290,'Resultat-Produktion &amp; forbrug'!$A$3:$A$290,$A23,'Resultat-Produktion &amp; forbrug'!$D$3:$D$290,Biogasanlæg!F$11)-SUMIFS('Resultat-Produktion &amp; forbrug'!$J$3:$J$290,'Resultat-Produktion &amp; forbrug'!$A$3:$A$290,$A23,'Resultat-Produktion &amp; forbrug'!$D$3:$D$290,Biogasanlæg!F$11)-SUMIFS('Resultat-Produktion &amp; forbrug'!$M$3:$M$290,'Resultat-Produktion &amp; forbrug'!$A$3:$A$290,$A23,'Resultat-Produktion &amp; forbrug'!$D$3:$D$290,Biogasanlæg!F$11)</f>
        <v>432993.11192472273</v>
      </c>
      <c r="G23" s="239">
        <f>SUMIFS('Resultat-Produktion &amp; forbrug'!$F$3:$F$290,'Resultat-Produktion &amp; forbrug'!$A$3:$A$290,$A23,'Resultat-Produktion &amp; forbrug'!$D$3:$D$290,Biogasanlæg!G$11)-SUMIFS('Resultat-Produktion &amp; forbrug'!$G$3:$G$290,'Resultat-Produktion &amp; forbrug'!$A$3:$A$290,$A23,'Resultat-Produktion &amp; forbrug'!$D$3:$D$290,Biogasanlæg!G$11)-SUMIFS('Resultat-Produktion &amp; forbrug'!$H$3:$H$290,'Resultat-Produktion &amp; forbrug'!$A$3:$A$290,$A23,'Resultat-Produktion &amp; forbrug'!$D$3:$D$290,Biogasanlæg!G$11)-SUMIFS('Resultat-Produktion &amp; forbrug'!$I$3:$I$290,'Resultat-Produktion &amp; forbrug'!$A$3:$A$290,$A23,'Resultat-Produktion &amp; forbrug'!$D$3:$D$290,Biogasanlæg!G$11)-SUMIFS('Resultat-Produktion &amp; forbrug'!$J$3:$J$290,'Resultat-Produktion &amp; forbrug'!$A$3:$A$290,$A23,'Resultat-Produktion &amp; forbrug'!$D$3:$D$290,Biogasanlæg!G$11)-SUMIFS('Resultat-Produktion &amp; forbrug'!$M$3:$M$290,'Resultat-Produktion &amp; forbrug'!$A$3:$A$290,$A23,'Resultat-Produktion &amp; forbrug'!$D$3:$D$290,Biogasanlæg!G$11)</f>
        <v>831111.14735517185</v>
      </c>
      <c r="H23" s="134">
        <f>VLOOKUP(A23,[1]Biogasudbytte!$A$2:$C$18,3,FALSE)</f>
        <v>0.3</v>
      </c>
      <c r="I23" s="135">
        <f>VLOOKUP(A23,[1]Biogasudbytte!$A$2:$C$18,2,FALSE)*IFERROR(VLOOKUP(A23,$F$3:$G$8,2,FALSE),1)</f>
        <v>100</v>
      </c>
      <c r="J23" s="134">
        <f t="shared" si="1"/>
        <v>2.5211266180012976E-2</v>
      </c>
      <c r="K23" s="134">
        <f t="shared" si="2"/>
        <v>1.099594474570658E-2</v>
      </c>
      <c r="L23" s="134">
        <f t="shared" si="3"/>
        <v>1.118434952357652E-2</v>
      </c>
      <c r="M23" s="123" t="s">
        <v>147</v>
      </c>
      <c r="N23" s="138">
        <v>330026</v>
      </c>
      <c r="O23" s="149">
        <f t="shared" si="8"/>
        <v>0</v>
      </c>
      <c r="P23" s="138">
        <f t="shared" si="5"/>
        <v>33002600</v>
      </c>
      <c r="Q23" s="123">
        <f t="shared" si="6"/>
        <v>1.1847933399999999</v>
      </c>
    </row>
    <row r="24" spans="1:23" x14ac:dyDescent="0.2">
      <c r="A24" s="124" t="s">
        <v>52</v>
      </c>
      <c r="B24" s="124" t="s">
        <v>139</v>
      </c>
      <c r="C24" s="246">
        <f t="shared" si="9"/>
        <v>28645</v>
      </c>
      <c r="D24" s="247">
        <v>28645</v>
      </c>
      <c r="E24" s="247">
        <v>28645</v>
      </c>
      <c r="F24" s="239">
        <f>SUMIFS('Resultat-Produktion &amp; forbrug'!$F$3:$F$290,'Resultat-Produktion &amp; forbrug'!$A$3:$A$290,$A24,'Resultat-Produktion &amp; forbrug'!$D$3:$D$290,Biogasanlæg!F$11)-SUMIFS('Resultat-Produktion &amp; forbrug'!$G$3:$G$290,'Resultat-Produktion &amp; forbrug'!$A$3:$A$290,$A24,'Resultat-Produktion &amp; forbrug'!$D$3:$D$290,Biogasanlæg!F$11)-SUMIFS('Resultat-Produktion &amp; forbrug'!$H$3:$H$290,'Resultat-Produktion &amp; forbrug'!$A$3:$A$290,$A24,'Resultat-Produktion &amp; forbrug'!$D$3:$D$290,Biogasanlæg!F$11)-SUMIFS('Resultat-Produktion &amp; forbrug'!$I$3:$I$290,'Resultat-Produktion &amp; forbrug'!$A$3:$A$290,$A24,'Resultat-Produktion &amp; forbrug'!$D$3:$D$290,Biogasanlæg!F$11)-SUMIFS('Resultat-Produktion &amp; forbrug'!$J$3:$J$290,'Resultat-Produktion &amp; forbrug'!$A$3:$A$290,$A24,'Resultat-Produktion &amp; forbrug'!$D$3:$D$290,Biogasanlæg!F$11)-SUMIFS('Resultat-Produktion &amp; forbrug'!$M$3:$M$290,'Resultat-Produktion &amp; forbrug'!$A$3:$A$290,$A24,'Resultat-Produktion &amp; forbrug'!$D$3:$D$290,Biogasanlæg!F$11)</f>
        <v>1591844.6498058075</v>
      </c>
      <c r="G24" s="239">
        <f>SUMIFS('Resultat-Produktion &amp; forbrug'!$F$3:$F$290,'Resultat-Produktion &amp; forbrug'!$A$3:$A$290,$A24,'Resultat-Produktion &amp; forbrug'!$D$3:$D$290,Biogasanlæg!G$11)-SUMIFS('Resultat-Produktion &amp; forbrug'!$G$3:$G$290,'Resultat-Produktion &amp; forbrug'!$A$3:$A$290,$A24,'Resultat-Produktion &amp; forbrug'!$D$3:$D$290,Biogasanlæg!G$11)-SUMIFS('Resultat-Produktion &amp; forbrug'!$H$3:$H$290,'Resultat-Produktion &amp; forbrug'!$A$3:$A$290,$A24,'Resultat-Produktion &amp; forbrug'!$D$3:$D$290,Biogasanlæg!G$11)-SUMIFS('Resultat-Produktion &amp; forbrug'!$I$3:$I$290,'Resultat-Produktion &amp; forbrug'!$A$3:$A$290,$A24,'Resultat-Produktion &amp; forbrug'!$D$3:$D$290,Biogasanlæg!G$11)-SUMIFS('Resultat-Produktion &amp; forbrug'!$J$3:$J$290,'Resultat-Produktion &amp; forbrug'!$A$3:$A$290,$A24,'Resultat-Produktion &amp; forbrug'!$D$3:$D$290,Biogasanlæg!G$11)-SUMIFS('Resultat-Produktion &amp; forbrug'!$M$3:$M$290,'Resultat-Produktion &amp; forbrug'!$A$3:$A$290,$A24,'Resultat-Produktion &amp; forbrug'!$D$3:$D$290,Biogasanlæg!G$11)</f>
        <v>1708160.4963920587</v>
      </c>
      <c r="H24" s="134">
        <f>VLOOKUP(A24,[1]Biogasudbytte!$A$2:$C$18,3,FALSE)</f>
        <v>0.2</v>
      </c>
      <c r="I24" s="135">
        <f>VLOOKUP(A24,[1]Biogasudbytte!$A$2:$C$18,2,FALSE)*IFERROR(VLOOKUP(A24,$F$3:$G$8,2,FALSE),1)</f>
        <v>75.599999999999994</v>
      </c>
      <c r="J24" s="134">
        <f t="shared" si="1"/>
        <v>2.1882418952642265E-3</v>
      </c>
      <c r="K24" s="134">
        <f t="shared" si="2"/>
        <v>9.5440612933758251E-4</v>
      </c>
      <c r="L24" s="134">
        <f t="shared" si="3"/>
        <v>9.7075894657648002E-4</v>
      </c>
      <c r="M24" s="123" t="s">
        <v>148</v>
      </c>
      <c r="N24" s="138">
        <v>28645</v>
      </c>
      <c r="O24" s="149">
        <f t="shared" si="8"/>
        <v>0</v>
      </c>
      <c r="P24" s="138">
        <f t="shared" si="5"/>
        <v>2165562</v>
      </c>
      <c r="Q24" s="123">
        <f t="shared" si="6"/>
        <v>7.7743675799999995E-2</v>
      </c>
    </row>
    <row r="25" spans="1:23" x14ac:dyDescent="0.2">
      <c r="A25" s="125" t="s">
        <v>162</v>
      </c>
      <c r="B25" s="124" t="s">
        <v>139</v>
      </c>
      <c r="C25" s="246">
        <f t="shared" si="9"/>
        <v>78</v>
      </c>
      <c r="D25" s="247">
        <v>78</v>
      </c>
      <c r="E25" s="247">
        <v>78</v>
      </c>
      <c r="F25" s="239">
        <f>SUMIFS('Resultat-Produktion &amp; forbrug'!$F$3:$F$290,'Resultat-Produktion &amp; forbrug'!$A$3:$A$290,$A25,'Resultat-Produktion &amp; forbrug'!$D$3:$D$290,Biogasanlæg!F$11)-SUMIFS('Resultat-Produktion &amp; forbrug'!$G$3:$G$290,'Resultat-Produktion &amp; forbrug'!$A$3:$A$290,$A25,'Resultat-Produktion &amp; forbrug'!$D$3:$D$290,Biogasanlæg!F$11)-SUMIFS('Resultat-Produktion &amp; forbrug'!$H$3:$H$290,'Resultat-Produktion &amp; forbrug'!$A$3:$A$290,$A25,'Resultat-Produktion &amp; forbrug'!$D$3:$D$290,Biogasanlæg!F$11)-SUMIFS('Resultat-Produktion &amp; forbrug'!$I$3:$I$290,'Resultat-Produktion &amp; forbrug'!$A$3:$A$290,$A25,'Resultat-Produktion &amp; forbrug'!$D$3:$D$290,Biogasanlæg!F$11)-SUMIFS('Resultat-Produktion &amp; forbrug'!$J$3:$J$290,'Resultat-Produktion &amp; forbrug'!$A$3:$A$290,$A25,'Resultat-Produktion &amp; forbrug'!$D$3:$D$290,Biogasanlæg!F$11)-SUMIFS('Resultat-Produktion &amp; forbrug'!$M$3:$M$290,'Resultat-Produktion &amp; forbrug'!$A$3:$A$290,$A25,'Resultat-Produktion &amp; forbrug'!$D$3:$D$290,Biogasanlæg!F$11)</f>
        <v>982731</v>
      </c>
      <c r="G25" s="239">
        <f>SUMIFS('Resultat-Produktion &amp; forbrug'!$F$3:$F$290,'Resultat-Produktion &amp; forbrug'!$A$3:$A$290,$A25,'Resultat-Produktion &amp; forbrug'!$D$3:$D$290,Biogasanlæg!G$11)-SUMIFS('Resultat-Produktion &amp; forbrug'!$G$3:$G$290,'Resultat-Produktion &amp; forbrug'!$A$3:$A$290,$A25,'Resultat-Produktion &amp; forbrug'!$D$3:$D$290,Biogasanlæg!G$11)-SUMIFS('Resultat-Produktion &amp; forbrug'!$H$3:$H$290,'Resultat-Produktion &amp; forbrug'!$A$3:$A$290,$A25,'Resultat-Produktion &amp; forbrug'!$D$3:$D$290,Biogasanlæg!G$11)-SUMIFS('Resultat-Produktion &amp; forbrug'!$I$3:$I$290,'Resultat-Produktion &amp; forbrug'!$A$3:$A$290,$A25,'Resultat-Produktion &amp; forbrug'!$D$3:$D$290,Biogasanlæg!G$11)-SUMIFS('Resultat-Produktion &amp; forbrug'!$J$3:$J$290,'Resultat-Produktion &amp; forbrug'!$A$3:$A$290,$A25,'Resultat-Produktion &amp; forbrug'!$D$3:$D$290,Biogasanlæg!G$11)-SUMIFS('Resultat-Produktion &amp; forbrug'!$M$3:$M$290,'Resultat-Produktion &amp; forbrug'!$A$3:$A$290,$A25,'Resultat-Produktion &amp; forbrug'!$D$3:$D$290,Biogasanlæg!G$11)</f>
        <v>982731</v>
      </c>
      <c r="H25" s="134">
        <f>VLOOKUP(A25,[1]Biogasudbytte!$A$2:$C$18,3,FALSE)</f>
        <v>0.3</v>
      </c>
      <c r="I25" s="135">
        <f>VLOOKUP(A25,[1]Biogasudbytte!$A$2:$C$18,2,FALSE)*IFERROR(VLOOKUP(A25,$F$3:$G$8,2,FALSE),1)</f>
        <v>47.3</v>
      </c>
      <c r="J25" s="134">
        <f t="shared" si="1"/>
        <v>5.9585570895657067E-6</v>
      </c>
      <c r="K25" s="134">
        <f t="shared" si="2"/>
        <v>2.5988367285156726E-6</v>
      </c>
      <c r="L25" s="134">
        <f t="shared" si="3"/>
        <v>2.6433652586128626E-6</v>
      </c>
      <c r="M25" s="123" t="s">
        <v>163</v>
      </c>
      <c r="N25" s="138">
        <v>78</v>
      </c>
      <c r="O25" s="149">
        <f t="shared" si="8"/>
        <v>0</v>
      </c>
      <c r="P25" s="138">
        <f t="shared" si="5"/>
        <v>3689.3999999999996</v>
      </c>
      <c r="Q25" s="123">
        <f t="shared" si="6"/>
        <v>1.3244945999999998E-4</v>
      </c>
    </row>
    <row r="26" spans="1:23" x14ac:dyDescent="0.2">
      <c r="A26" s="125" t="s">
        <v>158</v>
      </c>
      <c r="B26" s="125" t="s">
        <v>139</v>
      </c>
      <c r="C26" s="246">
        <f t="shared" si="9"/>
        <v>142742</v>
      </c>
      <c r="D26" s="247">
        <v>142742</v>
      </c>
      <c r="E26" s="247">
        <v>142742</v>
      </c>
      <c r="F26" s="239">
        <f>SUMIFS('Resultat-Produktion &amp; forbrug'!$F$3:$F$290,'Resultat-Produktion &amp; forbrug'!$A$3:$A$290,$A26,'Resultat-Produktion &amp; forbrug'!$D$3:$D$290,Biogasanlæg!F$11)-SUMIFS('Resultat-Produktion &amp; forbrug'!$G$3:$G$290,'Resultat-Produktion &amp; forbrug'!$A$3:$A$290,$A26,'Resultat-Produktion &amp; forbrug'!$D$3:$D$290,Biogasanlæg!F$11)-SUMIFS('Resultat-Produktion &amp; forbrug'!$H$3:$H$290,'Resultat-Produktion &amp; forbrug'!$A$3:$A$290,$A26,'Resultat-Produktion &amp; forbrug'!$D$3:$D$290,Biogasanlæg!F$11)-SUMIFS('Resultat-Produktion &amp; forbrug'!$I$3:$I$290,'Resultat-Produktion &amp; forbrug'!$A$3:$A$290,$A26,'Resultat-Produktion &amp; forbrug'!$D$3:$D$290,Biogasanlæg!F$11)-SUMIFS('Resultat-Produktion &amp; forbrug'!$J$3:$J$290,'Resultat-Produktion &amp; forbrug'!$A$3:$A$290,$A26,'Resultat-Produktion &amp; forbrug'!$D$3:$D$290,Biogasanlæg!F$11)-SUMIFS('Resultat-Produktion &amp; forbrug'!$M$3:$M$290,'Resultat-Produktion &amp; forbrug'!$A$3:$A$290,$A26,'Resultat-Produktion &amp; forbrug'!$D$3:$D$290,Biogasanlæg!F$11)</f>
        <v>-142742</v>
      </c>
      <c r="G26" s="239">
        <f>SUMIFS('Resultat-Produktion &amp; forbrug'!$F$3:$F$290,'Resultat-Produktion &amp; forbrug'!$A$3:$A$290,$A26,'Resultat-Produktion &amp; forbrug'!$D$3:$D$290,Biogasanlæg!G$11)-SUMIFS('Resultat-Produktion &amp; forbrug'!$G$3:$G$290,'Resultat-Produktion &amp; forbrug'!$A$3:$A$290,$A26,'Resultat-Produktion &amp; forbrug'!$D$3:$D$290,Biogasanlæg!G$11)-SUMIFS('Resultat-Produktion &amp; forbrug'!$H$3:$H$290,'Resultat-Produktion &amp; forbrug'!$A$3:$A$290,$A26,'Resultat-Produktion &amp; forbrug'!$D$3:$D$290,Biogasanlæg!G$11)-SUMIFS('Resultat-Produktion &amp; forbrug'!$I$3:$I$290,'Resultat-Produktion &amp; forbrug'!$A$3:$A$290,$A26,'Resultat-Produktion &amp; forbrug'!$D$3:$D$290,Biogasanlæg!G$11)-SUMIFS('Resultat-Produktion &amp; forbrug'!$J$3:$J$290,'Resultat-Produktion &amp; forbrug'!$A$3:$A$290,$A26,'Resultat-Produktion &amp; forbrug'!$D$3:$D$290,Biogasanlæg!G$11)-SUMIFS('Resultat-Produktion &amp; forbrug'!$M$3:$M$290,'Resultat-Produktion &amp; forbrug'!$A$3:$A$290,$A26,'Resultat-Produktion &amp; forbrug'!$D$3:$D$290,Biogasanlæg!G$11)</f>
        <v>-142742</v>
      </c>
      <c r="H26" s="134">
        <f>VLOOKUP(A26,[1]Biogasudbytte!$A$2:$C$18,3,FALSE)</f>
        <v>0.9</v>
      </c>
      <c r="I26" s="135">
        <f>VLOOKUP(A26,[1]Biogasudbytte!$A$2:$C$18,2,FALSE)*IFERROR(VLOOKUP(A26,$F$3:$G$8,2,FALSE),1)</f>
        <v>423.36</v>
      </c>
      <c r="J26" s="134">
        <f t="shared" si="1"/>
        <v>1.090431225742036E-2</v>
      </c>
      <c r="K26" s="134">
        <f t="shared" si="2"/>
        <v>4.7559378500228733E-3</v>
      </c>
      <c r="L26" s="134">
        <f t="shared" si="3"/>
        <v>4.8374262018579129E-3</v>
      </c>
      <c r="M26" s="123" t="s">
        <v>161</v>
      </c>
      <c r="N26" s="123">
        <v>142742</v>
      </c>
      <c r="O26" s="149">
        <f t="shared" si="8"/>
        <v>0</v>
      </c>
      <c r="P26" s="138">
        <f t="shared" si="5"/>
        <v>60431253.120000005</v>
      </c>
      <c r="Q26" s="123">
        <f t="shared" si="6"/>
        <v>2.169481987008</v>
      </c>
    </row>
    <row r="27" spans="1:23" x14ac:dyDescent="0.2">
      <c r="A27" s="124" t="s">
        <v>106</v>
      </c>
      <c r="B27" s="124" t="s">
        <v>139</v>
      </c>
      <c r="C27" s="246">
        <f t="shared" si="9"/>
        <v>0</v>
      </c>
      <c r="D27" s="247">
        <v>0</v>
      </c>
      <c r="E27" s="247">
        <v>0</v>
      </c>
      <c r="F27" s="239">
        <f>SUMIFS('Resultat-Produktion &amp; forbrug'!$F$3:$F$290,'Resultat-Produktion &amp; forbrug'!$A$3:$A$290,$A27,'Resultat-Produktion &amp; forbrug'!$D$3:$D$290,Biogasanlæg!F$11)-SUMIFS('Resultat-Produktion &amp; forbrug'!$G$3:$G$290,'Resultat-Produktion &amp; forbrug'!$A$3:$A$290,$A27,'Resultat-Produktion &amp; forbrug'!$D$3:$D$290,Biogasanlæg!F$11)-SUMIFS('Resultat-Produktion &amp; forbrug'!$H$3:$H$290,'Resultat-Produktion &amp; forbrug'!$A$3:$A$290,$A27,'Resultat-Produktion &amp; forbrug'!$D$3:$D$290,Biogasanlæg!F$11)-SUMIFS('Resultat-Produktion &amp; forbrug'!$I$3:$I$290,'Resultat-Produktion &amp; forbrug'!$A$3:$A$290,$A27,'Resultat-Produktion &amp; forbrug'!$D$3:$D$290,Biogasanlæg!F$11)-SUMIFS('Resultat-Produktion &amp; forbrug'!$J$3:$J$290,'Resultat-Produktion &amp; forbrug'!$A$3:$A$290,$A27,'Resultat-Produktion &amp; forbrug'!$D$3:$D$290,Biogasanlæg!F$11)-SUMIFS('Resultat-Produktion &amp; forbrug'!$M$3:$M$290,'Resultat-Produktion &amp; forbrug'!$A$3:$A$290,$A27,'Resultat-Produktion &amp; forbrug'!$D$3:$D$290,Biogasanlæg!F$11)</f>
        <v>279460.19505556813</v>
      </c>
      <c r="G27" s="239">
        <f>SUMIFS('Resultat-Produktion &amp; forbrug'!$F$3:$F$290,'Resultat-Produktion &amp; forbrug'!$A$3:$A$290,$A27,'Resultat-Produktion &amp; forbrug'!$D$3:$D$290,Biogasanlæg!G$11)-SUMIFS('Resultat-Produktion &amp; forbrug'!$G$3:$G$290,'Resultat-Produktion &amp; forbrug'!$A$3:$A$290,$A27,'Resultat-Produktion &amp; forbrug'!$D$3:$D$290,Biogasanlæg!G$11)-SUMIFS('Resultat-Produktion &amp; forbrug'!$H$3:$H$290,'Resultat-Produktion &amp; forbrug'!$A$3:$A$290,$A27,'Resultat-Produktion &amp; forbrug'!$D$3:$D$290,Biogasanlæg!G$11)-SUMIFS('Resultat-Produktion &amp; forbrug'!$I$3:$I$290,'Resultat-Produktion &amp; forbrug'!$A$3:$A$290,$A27,'Resultat-Produktion &amp; forbrug'!$D$3:$D$290,Biogasanlæg!G$11)-SUMIFS('Resultat-Produktion &amp; forbrug'!$J$3:$J$290,'Resultat-Produktion &amp; forbrug'!$A$3:$A$290,$A27,'Resultat-Produktion &amp; forbrug'!$D$3:$D$290,Biogasanlæg!G$11)-SUMIFS('Resultat-Produktion &amp; forbrug'!$M$3:$M$290,'Resultat-Produktion &amp; forbrug'!$A$3:$A$290,$A27,'Resultat-Produktion &amp; forbrug'!$D$3:$D$290,Biogasanlæg!G$11)</f>
        <v>279460.19505556813</v>
      </c>
      <c r="H27" s="134">
        <f>VLOOKUP(A27,[1]Biogasudbytte!$A$2:$C$18,3,FALSE)</f>
        <v>0.15</v>
      </c>
      <c r="I27" s="135">
        <f>VLOOKUP(A27,[1]Biogasudbytte!$A$2:$C$18,2,FALSE)*IFERROR(VLOOKUP(A27,$F$3:$G$8,2,FALSE),1)</f>
        <v>25</v>
      </c>
      <c r="J27" s="134">
        <f t="shared" si="1"/>
        <v>0</v>
      </c>
      <c r="K27" s="134">
        <f t="shared" si="2"/>
        <v>0</v>
      </c>
      <c r="L27" s="134">
        <f t="shared" si="3"/>
        <v>0</v>
      </c>
      <c r="M27" s="123" t="s">
        <v>149</v>
      </c>
      <c r="O27" s="149">
        <f t="shared" si="8"/>
        <v>0</v>
      </c>
      <c r="P27" s="138">
        <f t="shared" si="5"/>
        <v>0</v>
      </c>
      <c r="Q27" s="123">
        <f t="shared" si="6"/>
        <v>0</v>
      </c>
    </row>
    <row r="28" spans="1:23" ht="12.75" thickBot="1" x14ac:dyDescent="0.25">
      <c r="A28" s="139" t="s">
        <v>99</v>
      </c>
      <c r="B28" s="139" t="s">
        <v>139</v>
      </c>
      <c r="C28" s="248">
        <f t="shared" si="9"/>
        <v>0</v>
      </c>
      <c r="D28" s="249">
        <v>0</v>
      </c>
      <c r="E28" s="249">
        <v>0</v>
      </c>
      <c r="F28" s="240">
        <f>SUMIFS('Resultat-Produktion &amp; forbrug'!$F$3:$F$290,'Resultat-Produktion &amp; forbrug'!$A$3:$A$290,$A28,'Resultat-Produktion &amp; forbrug'!$D$3:$D$290,Biogasanlæg!F$11)-SUMIFS('Resultat-Produktion &amp; forbrug'!$G$3:$G$290,'Resultat-Produktion &amp; forbrug'!$A$3:$A$290,$A28,'Resultat-Produktion &amp; forbrug'!$D$3:$D$290,Biogasanlæg!F$11)-SUMIFS('Resultat-Produktion &amp; forbrug'!$H$3:$H$290,'Resultat-Produktion &amp; forbrug'!$A$3:$A$290,$A28,'Resultat-Produktion &amp; forbrug'!$D$3:$D$290,Biogasanlæg!F$11)-SUMIFS('Resultat-Produktion &amp; forbrug'!$I$3:$I$290,'Resultat-Produktion &amp; forbrug'!$A$3:$A$290,$A28,'Resultat-Produktion &amp; forbrug'!$D$3:$D$290,Biogasanlæg!F$11)-SUMIFS('Resultat-Produktion &amp; forbrug'!$J$3:$J$290,'Resultat-Produktion &amp; forbrug'!$A$3:$A$290,$A28,'Resultat-Produktion &amp; forbrug'!$D$3:$D$290,Biogasanlæg!F$11)-SUMIFS('Resultat-Produktion &amp; forbrug'!$M$3:$M$290,'Resultat-Produktion &amp; forbrug'!$A$3:$A$290,$A28,'Resultat-Produktion &amp; forbrug'!$D$3:$D$290,Biogasanlæg!F$11)</f>
        <v>120600</v>
      </c>
      <c r="G28" s="240">
        <f>SUMIFS('Resultat-Produktion &amp; forbrug'!$F$3:$F$290,'Resultat-Produktion &amp; forbrug'!$A$3:$A$290,$A28,'Resultat-Produktion &amp; forbrug'!$D$3:$D$290,Biogasanlæg!G$11)-SUMIFS('Resultat-Produktion &amp; forbrug'!$G$3:$G$290,'Resultat-Produktion &amp; forbrug'!$A$3:$A$290,$A28,'Resultat-Produktion &amp; forbrug'!$D$3:$D$290,Biogasanlæg!G$11)-SUMIFS('Resultat-Produktion &amp; forbrug'!$H$3:$H$290,'Resultat-Produktion &amp; forbrug'!$A$3:$A$290,$A28,'Resultat-Produktion &amp; forbrug'!$D$3:$D$290,Biogasanlæg!G$11)-SUMIFS('Resultat-Produktion &amp; forbrug'!$I$3:$I$290,'Resultat-Produktion &amp; forbrug'!$A$3:$A$290,$A28,'Resultat-Produktion &amp; forbrug'!$D$3:$D$290,Biogasanlæg!G$11)-SUMIFS('Resultat-Produktion &amp; forbrug'!$J$3:$J$290,'Resultat-Produktion &amp; forbrug'!$A$3:$A$290,$A28,'Resultat-Produktion &amp; forbrug'!$D$3:$D$290,Biogasanlæg!G$11)-SUMIFS('Resultat-Produktion &amp; forbrug'!$M$3:$M$290,'Resultat-Produktion &amp; forbrug'!$A$3:$A$290,$A28,'Resultat-Produktion &amp; forbrug'!$D$3:$D$290,Biogasanlæg!G$11)</f>
        <v>120600</v>
      </c>
      <c r="H28" s="140">
        <f>VLOOKUP(A28,[1]Biogasudbytte!$A$2:$C$18,3,FALSE)</f>
        <v>0.15</v>
      </c>
      <c r="I28" s="141">
        <f>VLOOKUP(A28,[1]Biogasudbytte!$A$2:$C$18,2,FALSE)*IFERROR(VLOOKUP(A28,$F$3:$G$8,2,FALSE),1)</f>
        <v>25</v>
      </c>
      <c r="J28" s="140">
        <f t="shared" si="1"/>
        <v>0</v>
      </c>
      <c r="K28" s="140">
        <f t="shared" si="2"/>
        <v>0</v>
      </c>
      <c r="L28" s="140">
        <f t="shared" si="3"/>
        <v>0</v>
      </c>
      <c r="M28" s="123" t="s">
        <v>149</v>
      </c>
      <c r="O28" s="149">
        <f t="shared" si="8"/>
        <v>0</v>
      </c>
      <c r="P28" s="138">
        <f t="shared" si="5"/>
        <v>0</v>
      </c>
      <c r="Q28" s="123">
        <f t="shared" si="6"/>
        <v>0</v>
      </c>
    </row>
    <row r="29" spans="1:23" x14ac:dyDescent="0.2">
      <c r="A29" s="123" t="s">
        <v>104</v>
      </c>
      <c r="B29" s="123" t="s">
        <v>139</v>
      </c>
      <c r="C29" s="142">
        <f>SUM(C12:C28)</f>
        <v>13090417.5</v>
      </c>
      <c r="D29" s="142">
        <f>SUM(D12:D28)</f>
        <v>30013428.371296629</v>
      </c>
      <c r="E29" s="142">
        <f>SUM(E12:E28)</f>
        <v>29507840.335667964</v>
      </c>
      <c r="F29" s="142"/>
      <c r="G29" s="142"/>
      <c r="H29" s="143"/>
      <c r="I29" s="143"/>
      <c r="J29" s="144">
        <f>SUM(J12:J28)</f>
        <v>1</v>
      </c>
      <c r="K29" s="144">
        <f>SUM(K12:K28)</f>
        <v>1</v>
      </c>
      <c r="L29" s="144">
        <f>SUM(L12:L28)</f>
        <v>0.99999999999999978</v>
      </c>
      <c r="N29" s="123">
        <f>SUM(N12:N28)</f>
        <v>13097393</v>
      </c>
      <c r="P29" s="138">
        <f>SUM(P12:P28)</f>
        <v>462837288.84999996</v>
      </c>
      <c r="Q29" s="123">
        <f>P29*35.9/1000000000</f>
        <v>16.615858669714999</v>
      </c>
    </row>
    <row r="30" spans="1:23" x14ac:dyDescent="0.2">
      <c r="A30" s="145" t="s">
        <v>123</v>
      </c>
      <c r="C30" s="146">
        <f>SUMPRODUCT(C12:C28,$H$12:$H$28)/C29</f>
        <v>0.13822427556900557</v>
      </c>
      <c r="D30" s="146">
        <f>SUMPRODUCT(D12:D28,$H$12:$H$28)/D29</f>
        <v>9.8352805761487513E-2</v>
      </c>
      <c r="E30" s="146">
        <f>SUMPRODUCT(E12:E28,$H$12:$H$28)/E29</f>
        <v>9.9747401334403782E-2</v>
      </c>
      <c r="F30" s="157"/>
      <c r="G30" s="157"/>
    </row>
    <row r="31" spans="1:23" x14ac:dyDescent="0.2">
      <c r="A31" s="145" t="s">
        <v>160</v>
      </c>
      <c r="C31" s="146">
        <f>SUM(C21:C24)/C29</f>
        <v>3.4233743881736389E-2</v>
      </c>
      <c r="D31" s="146">
        <f>SUM(D21:D24)/D29</f>
        <v>1.4931116647392851E-2</v>
      </c>
      <c r="E31" s="146">
        <f>SUM(E21:E24)/E29</f>
        <v>1.5186946753887392E-2</v>
      </c>
      <c r="F31" s="157"/>
      <c r="G31" s="157"/>
    </row>
    <row r="32" spans="1:23" x14ac:dyDescent="0.2">
      <c r="A32" s="123" t="s">
        <v>142</v>
      </c>
      <c r="B32" s="123" t="s">
        <v>143</v>
      </c>
      <c r="C32" s="123">
        <f>SUMPRODUCT(C12:C28,$I$12:$I$28)</f>
        <v>462837288.84999996</v>
      </c>
      <c r="D32" s="123">
        <f>SUMPRODUCT(D12:D28,$I$12:$I$28)</f>
        <v>679300435.56666172</v>
      </c>
      <c r="E32" s="123">
        <f>SUMPRODUCT(E12:E28,$I$12:$I$28)</f>
        <v>677305596.23549116</v>
      </c>
    </row>
    <row r="33" spans="1:15" x14ac:dyDescent="0.2">
      <c r="A33" s="123" t="s">
        <v>142</v>
      </c>
      <c r="B33" s="123" t="s">
        <v>122</v>
      </c>
      <c r="C33" s="123">
        <f>C32*[1]Energiindhold!$C$10</f>
        <v>16.615858669714999</v>
      </c>
      <c r="D33" s="123">
        <f>D32*[1]Energiindhold!$C$10</f>
        <v>24.386885636843157</v>
      </c>
      <c r="E33" s="123">
        <f>E32*[1]Energiindhold!$C$10</f>
        <v>24.315270904854135</v>
      </c>
    </row>
    <row r="34" spans="1:15" x14ac:dyDescent="0.2">
      <c r="C34" s="250"/>
    </row>
    <row r="35" spans="1:15" x14ac:dyDescent="0.2">
      <c r="A35" s="177"/>
      <c r="B35" s="177" t="s">
        <v>27</v>
      </c>
      <c r="C35" s="177" t="s">
        <v>28</v>
      </c>
    </row>
    <row r="36" spans="1:15" x14ac:dyDescent="0.2">
      <c r="A36" s="177" t="s">
        <v>158</v>
      </c>
      <c r="B36" s="178">
        <v>0.8</v>
      </c>
      <c r="C36" s="178">
        <v>0.2</v>
      </c>
    </row>
    <row r="38" spans="1:15" hidden="1" x14ac:dyDescent="0.2">
      <c r="C38" s="128">
        <f>År1</f>
        <v>2019</v>
      </c>
      <c r="D38" s="128">
        <f>År2</f>
        <v>2030</v>
      </c>
      <c r="E38" s="128">
        <f>År3</f>
        <v>2050</v>
      </c>
      <c r="F38" s="128" t="s">
        <v>105</v>
      </c>
      <c r="G38" s="128" t="s">
        <v>144</v>
      </c>
      <c r="K38" s="128">
        <f>År1</f>
        <v>2019</v>
      </c>
      <c r="L38" s="128">
        <f>År2</f>
        <v>2030</v>
      </c>
      <c r="M38" s="128">
        <f>År3</f>
        <v>2050</v>
      </c>
      <c r="N38" s="128" t="s">
        <v>105</v>
      </c>
      <c r="O38" s="128" t="s">
        <v>144</v>
      </c>
    </row>
    <row r="39" spans="1:15" hidden="1" x14ac:dyDescent="0.2">
      <c r="A39" s="129" t="str">
        <f t="shared" ref="A39:A55" si="10">A12</f>
        <v>Svinegylle</v>
      </c>
      <c r="B39" s="129" t="s">
        <v>139</v>
      </c>
      <c r="C39" s="130">
        <f>SUMIFS('Resultater - Vestdanmark'!H$3:H$504,'Resultater - Vestdanmark'!$F$3:$F$504,$A39)*B3</f>
        <v>2534442.072977222</v>
      </c>
      <c r="D39" s="130">
        <f>SUMIFS('Resultater - Vestdanmark'!I$3:I$504,'Resultater - Vestdanmark'!$F$3:$F$504,$A39)*C3</f>
        <v>9587593.8998603616</v>
      </c>
      <c r="E39" s="130">
        <f>SUMIFS('Resultater - Vestdanmark'!J$3:J$504,'Resultater - Vestdanmark'!$F$3:$F$504,$A39)*D3</f>
        <v>9178937.5641805995</v>
      </c>
      <c r="F39" s="131">
        <f>VLOOKUP(A39,[1]Biogasudbytte!$A$2:$C$18,3,FALSE)</f>
        <v>0.05</v>
      </c>
      <c r="G39" s="132">
        <f t="shared" ref="G39:G55" si="11">I12</f>
        <v>12</v>
      </c>
      <c r="I39" s="129" t="str">
        <f>A39</f>
        <v>Svinegylle</v>
      </c>
      <c r="J39" s="129" t="s">
        <v>139</v>
      </c>
      <c r="K39" s="130">
        <f>SUMIFS('Resultater - Østdanmark'!H$3:H$504,'Resultater - Østdanmark'!$F$3:$F$504,$A39)*B3</f>
        <v>380427.26035611134</v>
      </c>
      <c r="L39" s="130">
        <f>SUMIFS('Resultater - Østdanmark'!I$3:I$504,'Resultater - Østdanmark'!$F$3:$F$504,$A39)*C3</f>
        <v>1389214.6969952502</v>
      </c>
      <c r="M39" s="130">
        <f>SUMIFS('Resultater - Østdanmark'!J$3:J$504,'Resultater - Østdanmark'!$F$3:$F$504,$A39)*D3</f>
        <v>1330001.5728813037</v>
      </c>
      <c r="N39" s="131">
        <f>VLOOKUP(I39,[1]Biogasudbytte!$A$2:$C$18,3,FALSE)</f>
        <v>0.05</v>
      </c>
      <c r="O39" s="132">
        <f t="shared" ref="O39:O55" si="12">I12</f>
        <v>12</v>
      </c>
    </row>
    <row r="40" spans="1:15" hidden="1" x14ac:dyDescent="0.2">
      <c r="A40" s="124" t="str">
        <f t="shared" si="10"/>
        <v>Kvæggylle</v>
      </c>
      <c r="B40" s="124" t="s">
        <v>139</v>
      </c>
      <c r="C40" s="133">
        <f>SUMIFS('Resultater - Vestdanmark'!H$3:H$504,'Resultater - Vestdanmark'!$F$3:$F$504,$A40)*B4</f>
        <v>4066864.6068164087</v>
      </c>
      <c r="D40" s="133">
        <f>SUMIFS('Resultater - Vestdanmark'!I$3:I$504,'Resultater - Vestdanmark'!$F$3:$F$504,$A40)*C4</f>
        <v>11840949.000738235</v>
      </c>
      <c r="E40" s="133">
        <f>SUMIFS('Resultater - Vestdanmark'!J$3:J$504,'Resultater - Vestdanmark'!$F$3:$F$504,$A40)*D4</f>
        <v>11614690.73032544</v>
      </c>
      <c r="F40" s="134">
        <f>VLOOKUP(A40,[1]Biogasudbytte!$A$2:$C$18,3,FALSE)</f>
        <v>7.5999999999999998E-2</v>
      </c>
      <c r="G40" s="135">
        <f t="shared" si="11"/>
        <v>14.1</v>
      </c>
      <c r="I40" s="124" t="str">
        <f t="shared" ref="I40:I55" si="13">A40</f>
        <v>Kvæggylle</v>
      </c>
      <c r="J40" s="124" t="s">
        <v>139</v>
      </c>
      <c r="K40" s="133">
        <f>SUMIFS('Resultater - Østdanmark'!H$3:H$504,'Resultater - Østdanmark'!$F$3:$F$504,$A40)*B4</f>
        <v>286645.05985025823</v>
      </c>
      <c r="L40" s="133">
        <f>SUMIFS('Resultater - Østdanmark'!I$3:I$504,'Resultater - Østdanmark'!$F$3:$F$504,$A40)*C4</f>
        <v>841583.7254715825</v>
      </c>
      <c r="M40" s="133">
        <f>SUMIFS('Resultater - Østdanmark'!J$3:J$504,'Resultater - Østdanmark'!$F$3:$F$504,$A40)*D4</f>
        <v>825502.64294003148</v>
      </c>
      <c r="N40" s="134">
        <f>VLOOKUP(I40,[1]Biogasudbytte!$A$2:$C$18,3,FALSE)</f>
        <v>7.5999999999999998E-2</v>
      </c>
      <c r="O40" s="135">
        <f t="shared" si="12"/>
        <v>14.1</v>
      </c>
    </row>
    <row r="41" spans="1:15" hidden="1" x14ac:dyDescent="0.2">
      <c r="A41" s="124" t="str">
        <f t="shared" si="10"/>
        <v>Fjerkrægylle</v>
      </c>
      <c r="B41" s="124" t="s">
        <v>139</v>
      </c>
      <c r="C41" s="133">
        <f>SUMIFS('Resultater - Vestdanmark'!H$3:H$504,'Resultater - Vestdanmark'!$F$3:$F$504,$A41)*B5</f>
        <v>4103.8061780475591</v>
      </c>
      <c r="D41" s="133">
        <f>SUMIFS('Resultater - Vestdanmark'!I$3:I$504,'Resultater - Vestdanmark'!$F$3:$F$504,$A41)*C5</f>
        <v>5005.6356813272896</v>
      </c>
      <c r="E41" s="133">
        <f>SUMIFS('Resultater - Vestdanmark'!J$3:J$504,'Resultater - Vestdanmark'!$F$3:$F$504,$A41)*D5</f>
        <v>5169.3190334894534</v>
      </c>
      <c r="F41" s="134">
        <f>VLOOKUP(A41,[1]Biogasudbytte!$A$2:$C$18,3,FALSE)</f>
        <v>6.3E-2</v>
      </c>
      <c r="G41" s="135">
        <f t="shared" si="11"/>
        <v>13.1</v>
      </c>
      <c r="I41" s="124" t="str">
        <f t="shared" si="13"/>
        <v>Fjerkrægylle</v>
      </c>
      <c r="J41" s="124" t="s">
        <v>139</v>
      </c>
      <c r="K41" s="133">
        <f>SUMIFS('Resultater - Østdanmark'!H$3:H$504,'Resultater - Østdanmark'!$F$3:$F$504,$A41)*B5</f>
        <v>337.693821952441</v>
      </c>
      <c r="L41" s="133">
        <f>SUMIFS('Resultater - Østdanmark'!I$3:I$504,'Resultater - Østdanmark'!$F$3:$F$504,$A41)*C5</f>
        <v>420.12115509171275</v>
      </c>
      <c r="M41" s="133">
        <f>SUMIFS('Resultater - Østdanmark'!J$3:J$504,'Resultater - Østdanmark'!$F$3:$F$504,$A41)*D5</f>
        <v>433.85903842113186</v>
      </c>
      <c r="N41" s="134">
        <f>VLOOKUP(I41,[1]Biogasudbytte!$A$2:$C$18,3,FALSE)</f>
        <v>6.3E-2</v>
      </c>
      <c r="O41" s="135">
        <f t="shared" si="12"/>
        <v>13.1</v>
      </c>
    </row>
    <row r="42" spans="1:15" hidden="1" x14ac:dyDescent="0.2">
      <c r="A42" s="124" t="str">
        <f t="shared" si="10"/>
        <v>Spildevandsslam</v>
      </c>
      <c r="B42" s="124" t="s">
        <v>139</v>
      </c>
      <c r="C42" s="133">
        <f>SUMIFS('Resultater - Vestdanmark'!H$3:H$504,'Resultater - Vestdanmark'!$F$3:$F$504,$A42)*B6</f>
        <v>1460182.5874658169</v>
      </c>
      <c r="D42" s="133">
        <f>SUMIFS('Resultater - Vestdanmark'!I$3:I$504,'Resultater - Vestdanmark'!$F$3:$F$504,$A42)*C6</f>
        <v>1516336.6800324824</v>
      </c>
      <c r="E42" s="133">
        <f>SUMIFS('Resultater - Vestdanmark'!J$3:J$504,'Resultater - Vestdanmark'!$F$3:$F$504,$A42)*D6</f>
        <v>1572264.2235564108</v>
      </c>
      <c r="F42" s="134">
        <f>VLOOKUP(A42,[1]Biogasudbytte!$A$2:$C$18,3,FALSE)</f>
        <v>0.06</v>
      </c>
      <c r="G42" s="135">
        <f t="shared" si="11"/>
        <v>13.9</v>
      </c>
      <c r="I42" s="124" t="str">
        <f t="shared" si="13"/>
        <v>Spildevandsslam</v>
      </c>
      <c r="J42" s="124" t="s">
        <v>139</v>
      </c>
      <c r="K42" s="133">
        <f>SUMIFS('Resultater - Østdanmark'!H$3:H$504,'Resultater - Østdanmark'!$F$3:$F$504,$A42)*B6</f>
        <v>1208651.4125341829</v>
      </c>
      <c r="L42" s="133">
        <f>SUMIFS('Resultater - Østdanmark'!I$3:I$504,'Resultater - Østdanmark'!$F$3:$F$504,$A42)*C6</f>
        <v>1268885.054531686</v>
      </c>
      <c r="M42" s="133">
        <f>SUMIFS('Resultater - Østdanmark'!J$3:J$504,'Resultater - Østdanmark'!$F$3:$F$504,$A42)*D6</f>
        <v>1328121.9228895183</v>
      </c>
      <c r="N42" s="134">
        <f>VLOOKUP(I42,[1]Biogasudbytte!$A$2:$C$18,3,FALSE)</f>
        <v>0.06</v>
      </c>
      <c r="O42" s="135">
        <f t="shared" si="12"/>
        <v>13.9</v>
      </c>
    </row>
    <row r="43" spans="1:15" hidden="1" x14ac:dyDescent="0.2">
      <c r="A43" s="124" t="str">
        <f t="shared" si="10"/>
        <v>Dybstrøelse</v>
      </c>
      <c r="B43" s="124" t="s">
        <v>139</v>
      </c>
      <c r="C43" s="133">
        <f>SUMIFS('Resultater - Vestdanmark'!H$3:H$504,'Resultater - Vestdanmark'!$F$3:$F$504,$A43)*B7</f>
        <v>671194.67155029252</v>
      </c>
      <c r="D43" s="133">
        <f>SUMIFS('Resultater - Vestdanmark'!I$3:I$504,'Resultater - Vestdanmark'!$F$3:$F$504,$A43)*C7</f>
        <v>1591755.4910753078</v>
      </c>
      <c r="E43" s="133">
        <f>SUMIFS('Resultater - Vestdanmark'!J$3:J$504,'Resultater - Vestdanmark'!$F$3:$F$504,$A43)*D7</f>
        <v>1666786.636613145</v>
      </c>
      <c r="F43" s="134">
        <f>VLOOKUP(A43,[1]Biogasudbytte!$A$2:$C$18,3,FALSE)</f>
        <v>0.3</v>
      </c>
      <c r="G43" s="135">
        <f t="shared" si="11"/>
        <v>60</v>
      </c>
      <c r="I43" s="124" t="str">
        <f t="shared" si="13"/>
        <v>Dybstrøelse</v>
      </c>
      <c r="J43" s="124" t="s">
        <v>139</v>
      </c>
      <c r="K43" s="133">
        <f>SUMIFS('Resultater - Østdanmark'!H$3:H$504,'Resultater - Østdanmark'!$F$3:$F$504,$A43)*B7</f>
        <v>85892.328449707566</v>
      </c>
      <c r="L43" s="133">
        <f>SUMIFS('Resultater - Østdanmark'!I$3:I$504,'Resultater - Østdanmark'!$F$3:$F$504,$A43)*C7</f>
        <v>214833.06575530887</v>
      </c>
      <c r="M43" s="133">
        <f>SUMIFS('Resultater - Østdanmark'!J$3:J$504,'Resultater - Østdanmark'!$F$3:$F$504,$A43)*D7</f>
        <v>226234.86420959991</v>
      </c>
      <c r="N43" s="134">
        <f>VLOOKUP(I43,[1]Biogasudbytte!$A$2:$C$18,3,FALSE)</f>
        <v>0.3</v>
      </c>
      <c r="O43" s="135">
        <f t="shared" si="12"/>
        <v>60</v>
      </c>
    </row>
    <row r="44" spans="1:15" hidden="1" x14ac:dyDescent="0.2">
      <c r="A44" s="125" t="str">
        <f t="shared" si="10"/>
        <v>Brun saft</v>
      </c>
      <c r="B44" s="124" t="s">
        <v>139</v>
      </c>
      <c r="C44" s="133">
        <f>SUMIFS('Resultater - Vestdanmark'!H$3:H$504,'Resultater - Vestdanmark'!$F$3:$F$504,$A44)*B8</f>
        <v>0</v>
      </c>
      <c r="D44" s="133">
        <f>SUMIFS('Resultater - Vestdanmark'!I$3:I$504,'Resultater - Vestdanmark'!$F$3:$F$504,$A44)*C8</f>
        <v>0</v>
      </c>
      <c r="E44" s="133">
        <f>SUMIFS('Resultater - Vestdanmark'!J$3:J$504,'Resultater - Vestdanmark'!$F$3:$F$504,$A44)*D8</f>
        <v>0</v>
      </c>
      <c r="F44" s="134">
        <f>VLOOKUP(A44,[1]Biogasudbytte!$A$2:$C$18,3,FALSE)</f>
        <v>4.2763387558472386E-2</v>
      </c>
      <c r="G44" s="135">
        <f t="shared" si="11"/>
        <v>15.822453396634783</v>
      </c>
      <c r="I44" s="125" t="str">
        <f t="shared" si="13"/>
        <v>Brun saft</v>
      </c>
      <c r="J44" s="124" t="s">
        <v>139</v>
      </c>
      <c r="K44" s="133">
        <f>SUMIFS('Resultater - Østdanmark'!H$3:H$504,'Resultater - Østdanmark'!$F$3:$F$504,$A44)*B8</f>
        <v>0</v>
      </c>
      <c r="L44" s="133">
        <f>SUMIFS('Resultater - Østdanmark'!I$3:I$504,'Resultater - Østdanmark'!$F$3:$F$504,$A44)*C8</f>
        <v>0</v>
      </c>
      <c r="M44" s="133">
        <f>SUMIFS('Resultater - Østdanmark'!J$3:J$504,'Resultater - Østdanmark'!$F$3:$F$504,$A44)*D8</f>
        <v>0</v>
      </c>
      <c r="N44" s="134">
        <f>VLOOKUP(I44,[1]Biogasudbytte!$A$2:$C$18,3,FALSE)</f>
        <v>4.2763387558472386E-2</v>
      </c>
      <c r="O44" s="135">
        <f t="shared" si="12"/>
        <v>15.822453396634783</v>
      </c>
    </row>
    <row r="45" spans="1:15" hidden="1" x14ac:dyDescent="0.2">
      <c r="A45" s="124" t="str">
        <f t="shared" si="10"/>
        <v>Bioaffald</v>
      </c>
      <c r="B45" s="124" t="s">
        <v>139</v>
      </c>
      <c r="C45" s="133">
        <f ca="1">SUMIFS('Resultater - Vestdanmark'!H$3:H$504,'Resultater - Vestdanmark'!$F$3:$F$504,$A45)/SUMIFS('Resultater - Danmark'!H$3:H$504,'Resultater - Danmark'!$F$3:$F$504,$A45)*C18</f>
        <v>393543.64426779439</v>
      </c>
      <c r="D45" s="133">
        <f ca="1">SUMIFS('Resultater - Vestdanmark'!I$3:I$504,'Resultater - Vestdanmark'!$F$3:$F$504,$A45)/SUMIFS('Resultater - Danmark'!I$3:I$504,'Resultater - Danmark'!$F$3:$F$504,$A45)*D18</f>
        <v>195082.24112879002</v>
      </c>
      <c r="E45" s="133">
        <f ca="1">SUMIFS('Resultater - Vestdanmark'!J$3:J$504,'Resultater - Vestdanmark'!$F$3:$F$504,$A45)/SUMIFS('Resultater - Danmark'!J$3:J$504,'Resultater - Danmark'!$F$3:$F$504,$A45)*E18</f>
        <v>197484.23354298095</v>
      </c>
      <c r="F45" s="134">
        <f>VLOOKUP(A45,[1]Biogasudbytte!$A$2:$C$18,3,FALSE)</f>
        <v>0.28000000000000003</v>
      </c>
      <c r="G45" s="135">
        <f t="shared" si="11"/>
        <v>94.9</v>
      </c>
      <c r="I45" s="124" t="str">
        <f t="shared" si="13"/>
        <v>Bioaffald</v>
      </c>
      <c r="J45" s="124" t="s">
        <v>139</v>
      </c>
      <c r="K45" s="133">
        <f ca="1">SUMIFS('Resultater - Østdanmark'!H$3:H$504,'Resultater - Østdanmark'!$F$3:$F$504,$A45)/SUMIFS('Resultater - Danmark'!H$3:H$504,'Resultater - Danmark'!$F$3:$F$504,$A45)*C18</f>
        <v>335590.35573220561</v>
      </c>
      <c r="L45" s="133">
        <f ca="1">SUMIFS('Resultater - Østdanmark'!I$3:I$504,'Resultater - Østdanmark'!$F$3:$F$504,$A45)/SUMIFS('Resultater - Danmark'!I$3:I$504,'Resultater - Danmark'!$F$3:$F$504,$A45)*D18</f>
        <v>168912.75887120995</v>
      </c>
      <c r="M45" s="133">
        <f ca="1">SUMIFS('Resultater - Østdanmark'!J$3:J$504,'Resultater - Østdanmark'!$F$3:$F$504,$A45)/SUMIFS('Resultater - Danmark'!J$3:J$504,'Resultater - Danmark'!$F$3:$F$504,$A45)*E18</f>
        <v>172292.76645701908</v>
      </c>
      <c r="N45" s="134">
        <f>VLOOKUP(I45,[1]Biogasudbytte!$A$2:$C$18,3,FALSE)</f>
        <v>0.28000000000000003</v>
      </c>
      <c r="O45" s="135">
        <f t="shared" si="12"/>
        <v>94.9</v>
      </c>
    </row>
    <row r="46" spans="1:15" hidden="1" x14ac:dyDescent="0.2">
      <c r="A46" s="124" t="str">
        <f t="shared" si="10"/>
        <v>Industriaffald</v>
      </c>
      <c r="B46" s="124" t="s">
        <v>139</v>
      </c>
      <c r="C46" s="133">
        <f>SUMIFS('Resultater - Vestdanmark'!H$3:H$504,'Resultater - Vestdanmark'!$F$3:$F$504,$A46)/SUMIFS('Resultater - Danmark'!H$3:H$504,'Resultater - Danmark'!$F$3:$F$504,$A46)*C19</f>
        <v>716103.75203569303</v>
      </c>
      <c r="D46" s="133">
        <f>SUMIFS('Resultater - Vestdanmark'!I$3:I$504,'Resultater - Vestdanmark'!$F$3:$F$504,$A46)/SUMIFS('Resultater - Danmark'!I$3:I$504,'Resultater - Danmark'!$F$3:$F$504,$A46)*D19</f>
        <v>534945.77839568327</v>
      </c>
      <c r="E46" s="133">
        <f>SUMIFS('Resultater - Vestdanmark'!J$3:J$504,'Resultater - Vestdanmark'!$F$3:$F$504,$A46)/SUMIFS('Resultater - Danmark'!J$3:J$504,'Resultater - Danmark'!$F$3:$F$504,$A46)*E19</f>
        <v>531600.61023474101</v>
      </c>
      <c r="F46" s="134">
        <f>VLOOKUP(A46,[1]Biogasudbytte!$A$2:$C$18,3,FALSE)</f>
        <v>0.42</v>
      </c>
      <c r="G46" s="135">
        <f t="shared" si="11"/>
        <v>102.595</v>
      </c>
      <c r="I46" s="124" t="str">
        <f t="shared" si="13"/>
        <v>Industriaffald</v>
      </c>
      <c r="J46" s="124" t="s">
        <v>139</v>
      </c>
      <c r="K46" s="133">
        <f>SUMIFS('Resultater - Østdanmark'!H$3:H$504,'Resultater - Østdanmark'!$F$3:$F$504,$A46)/SUMIFS('Resultater - Danmark'!H$3:H$504,'Resultater - Danmark'!$F$3:$F$504,$A46)*C19</f>
        <v>279550.24796430691</v>
      </c>
      <c r="L46" s="133">
        <f>SUMIFS('Resultater - Østdanmark'!I$3:I$504,'Resultater - Østdanmark'!$F$3:$F$504,$A46)/SUMIFS('Resultater - Danmark'!I$3:I$504,'Resultater - Danmark'!$F$3:$F$504,$A46)*D19</f>
        <v>191022.2216043165</v>
      </c>
      <c r="M46" s="133">
        <f>SUMIFS('Resultater - Østdanmark'!J$3:J$504,'Resultater - Østdanmark'!$F$3:$F$504,$A46)/SUMIFS('Resultater - Danmark'!J$3:J$504,'Resultater - Danmark'!$F$3:$F$504,$A46)*E19</f>
        <v>191431.38976525888</v>
      </c>
      <c r="N46" s="134">
        <f>VLOOKUP(I46,[1]Biogasudbytte!$A$2:$C$18,3,FALSE)</f>
        <v>0.42</v>
      </c>
      <c r="O46" s="135">
        <f t="shared" si="12"/>
        <v>102.595</v>
      </c>
    </row>
    <row r="47" spans="1:15" hidden="1" x14ac:dyDescent="0.2">
      <c r="A47" s="124" t="str">
        <f t="shared" si="10"/>
        <v>Halm</v>
      </c>
      <c r="B47" s="124" t="s">
        <v>139</v>
      </c>
      <c r="C47" s="133">
        <f>SUMIFS('Resultater - Vestdanmark'!H$3:H$504,'Resultater - Vestdanmark'!$F$3:$F$504,$A47)/SUMIFS('Resultater - Danmark'!H$3:H$504,'Resultater - Danmark'!$F$3:$F$504,$A47)*C20</f>
        <v>53194.904606816119</v>
      </c>
      <c r="D47" s="133">
        <f>SUMIFS('Resultater - Vestdanmark'!I$3:I$504,'Resultater - Vestdanmark'!$F$3:$F$504,$A47)/SUMIFS('Resultater - Danmark'!I$3:I$504,'Resultater - Danmark'!$F$3:$F$504,$A47)*D20</f>
        <v>52104.863193195859</v>
      </c>
      <c r="E47" s="133">
        <f>SUMIFS('Resultater - Vestdanmark'!J$3:J$504,'Resultater - Vestdanmark'!$F$3:$F$504,$A47)/SUMIFS('Resultater - Danmark'!J$3:J$504,'Resultater - Danmark'!$F$3:$F$504,$A47)*E20</f>
        <v>51791.286576119739</v>
      </c>
      <c r="F47" s="134">
        <f>VLOOKUP(A47,[1]Biogasudbytte!$A$2:$C$18,3,FALSE)</f>
        <v>0.85</v>
      </c>
      <c r="G47" s="135">
        <f t="shared" si="11"/>
        <v>160.6</v>
      </c>
      <c r="I47" s="124" t="str">
        <f t="shared" si="13"/>
        <v>Halm</v>
      </c>
      <c r="J47" s="124" t="s">
        <v>139</v>
      </c>
      <c r="K47" s="133">
        <f>SUMIFS('Resultater - Østdanmark'!H$3:H$504,'Resultater - Østdanmark'!$F$3:$F$504,$A47)/SUMIFS('Resultater - Danmark'!H$3:H$504,'Resultater - Danmark'!$F$3:$F$504,$A47)*C20</f>
        <v>22739.095393183845</v>
      </c>
      <c r="L47" s="133">
        <f>SUMIFS('Resultater - Østdanmark'!I$3:I$504,'Resultater - Østdanmark'!$F$3:$F$504,$A47)/SUMIFS('Resultater - Danmark'!I$3:I$504,'Resultater - Danmark'!$F$3:$F$504,$A47)*D20</f>
        <v>23829.136806804134</v>
      </c>
      <c r="M47" s="133">
        <f>SUMIFS('Resultater - Østdanmark'!J$3:J$504,'Resultater - Østdanmark'!$F$3:$F$504,$A47)/SUMIFS('Resultater - Danmark'!J$3:J$504,'Resultater - Danmark'!$F$3:$F$504,$A47)*E20</f>
        <v>24142.713423880243</v>
      </c>
      <c r="N47" s="134">
        <f>VLOOKUP(I47,[1]Biogasudbytte!$A$2:$C$18,3,FALSE)</f>
        <v>0.85</v>
      </c>
      <c r="O47" s="135">
        <f t="shared" si="12"/>
        <v>160.6</v>
      </c>
    </row>
    <row r="48" spans="1:15" hidden="1" x14ac:dyDescent="0.2">
      <c r="A48" s="124" t="str">
        <f t="shared" si="10"/>
        <v>Korn</v>
      </c>
      <c r="B48" s="124" t="s">
        <v>139</v>
      </c>
      <c r="C48" s="133">
        <f>SUMIFS('Resultater - Vestdanmark'!H$3:H$504,'Resultater - Vestdanmark'!$F$3:$F$504,$A48)/SUMIFS('Resultater - Danmark'!H$3:H$504,'Resultater - Danmark'!$F$3:$F$504,$A48)*C21</f>
        <v>2843.3935258054057</v>
      </c>
      <c r="D48" s="133">
        <f>SUMIFS('Resultater - Vestdanmark'!I$3:I$504,'Resultater - Vestdanmark'!$F$3:$F$504,$A48)/SUMIFS('Resultater - Danmark'!I$3:I$504,'Resultater - Danmark'!$F$3:$F$504,$A48)*D21</f>
        <v>2838.8656563257464</v>
      </c>
      <c r="E48" s="133">
        <f>SUMIFS('Resultater - Vestdanmark'!J$3:J$504,'Resultater - Vestdanmark'!$F$3:$F$504,$A48)/SUMIFS('Resultater - Danmark'!J$3:J$504,'Resultater - Danmark'!$F$3:$F$504,$A48)*E21</f>
        <v>2832.9524091506291</v>
      </c>
      <c r="F48" s="134">
        <f>VLOOKUP(A48,[1]Biogasudbytte!$A$2:$C$18,3,FALSE)</f>
        <v>0.31</v>
      </c>
      <c r="G48" s="135">
        <f t="shared" si="11"/>
        <v>95.4</v>
      </c>
      <c r="I48" s="124" t="str">
        <f t="shared" si="13"/>
        <v>Korn</v>
      </c>
      <c r="J48" s="124" t="s">
        <v>139</v>
      </c>
      <c r="K48" s="133">
        <f>SUMIFS('Resultater - Østdanmark'!H$3:H$504,'Resultater - Østdanmark'!$F$3:$F$504,$A48)/SUMIFS('Resultater - Danmark'!H$3:H$504,'Resultater - Danmark'!$F$3:$F$504,$A48)*C21</f>
        <v>942.6064741945944</v>
      </c>
      <c r="L48" s="133">
        <f>SUMIFS('Resultater - Østdanmark'!I$3:I$504,'Resultater - Østdanmark'!$F$3:$F$504,$A48)/SUMIFS('Resultater - Danmark'!I$3:I$504,'Resultater - Danmark'!$F$3:$F$504,$A48)*D21</f>
        <v>947.1343436742535</v>
      </c>
      <c r="M48" s="133">
        <f>SUMIFS('Resultater - Østdanmark'!J$3:J$504,'Resultater - Østdanmark'!$F$3:$F$504,$A48)/SUMIFS('Resultater - Danmark'!J$3:J$504,'Resultater - Danmark'!$F$3:$F$504,$A48)*E21</f>
        <v>953.04759084937086</v>
      </c>
      <c r="N48" s="134">
        <f>VLOOKUP(I48,[1]Biogasudbytte!$A$2:$C$18,3,FALSE)</f>
        <v>0.31</v>
      </c>
      <c r="O48" s="135">
        <f t="shared" si="12"/>
        <v>95.4</v>
      </c>
    </row>
    <row r="49" spans="1:15" hidden="1" x14ac:dyDescent="0.2">
      <c r="A49" s="124" t="str">
        <f t="shared" si="10"/>
        <v>Græs</v>
      </c>
      <c r="B49" s="124" t="s">
        <v>139</v>
      </c>
      <c r="C49" s="133">
        <f>SUMIFS('Resultater - Vestdanmark'!H$3:H$504,'Resultater - Vestdanmark'!$F$3:$F$504,$A49)/SUMIFS('Resultater - Danmark'!H$3:H$504,'Resultater - Danmark'!$F$3:$F$504,$A49)*C22</f>
        <v>75399.16825098735</v>
      </c>
      <c r="D49" s="133">
        <f>SUMIFS('Resultater - Vestdanmark'!I$3:I$504,'Resultater - Vestdanmark'!$F$3:$F$504,$A49)/SUMIFS('Resultater - Danmark'!I$3:I$504,'Resultater - Danmark'!$F$3:$F$504,$A49)*D22</f>
        <v>75311.342010026739</v>
      </c>
      <c r="E49" s="133">
        <f>SUMIFS('Resultater - Vestdanmark'!J$3:J$504,'Resultater - Vestdanmark'!$F$3:$F$504,$A49)/SUMIFS('Resultater - Danmark'!J$3:J$504,'Resultater - Danmark'!$F$3:$F$504,$A49)*E22</f>
        <v>75243.769743329321</v>
      </c>
      <c r="F49" s="134">
        <f>VLOOKUP(A49,[1]Biogasudbytte!$A$2:$C$18,3,FALSE)</f>
        <v>0.28000000000000003</v>
      </c>
      <c r="G49" s="135">
        <f t="shared" si="11"/>
        <v>51.25</v>
      </c>
      <c r="I49" s="124" t="str">
        <f t="shared" si="13"/>
        <v>Græs</v>
      </c>
      <c r="J49" s="124" t="s">
        <v>139</v>
      </c>
      <c r="K49" s="133">
        <f>SUMIFS('Resultater - Østdanmark'!H$3:H$504,'Resultater - Østdanmark'!$F$3:$F$504,$A49)/SUMIFS('Resultater - Danmark'!H$3:H$504,'Resultater - Danmark'!$F$3:$F$504,$A49)*C22</f>
        <v>10277.831749012612</v>
      </c>
      <c r="L49" s="133">
        <f>SUMIFS('Resultater - Østdanmark'!I$3:I$504,'Resultater - Østdanmark'!$F$3:$F$504,$A49)/SUMIFS('Resultater - Danmark'!I$3:I$504,'Resultater - Danmark'!$F$3:$F$504,$A49)*D22</f>
        <v>10365.657989973257</v>
      </c>
      <c r="M49" s="133">
        <f>SUMIFS('Resultater - Østdanmark'!J$3:J$504,'Resultater - Østdanmark'!$F$3:$F$504,$A49)/SUMIFS('Resultater - Danmark'!J$3:J$504,'Resultater - Danmark'!$F$3:$F$504,$A49)*E22</f>
        <v>10433.230256670677</v>
      </c>
      <c r="N49" s="134">
        <f>VLOOKUP(I49,[1]Biogasudbytte!$A$2:$C$18,3,FALSE)</f>
        <v>0.28000000000000003</v>
      </c>
      <c r="O49" s="135">
        <f t="shared" si="12"/>
        <v>51.25</v>
      </c>
    </row>
    <row r="50" spans="1:15" hidden="1" x14ac:dyDescent="0.2">
      <c r="A50" s="124" t="str">
        <f t="shared" si="10"/>
        <v>Majs</v>
      </c>
      <c r="B50" s="124" t="s">
        <v>139</v>
      </c>
      <c r="C50" s="133">
        <f>SUMIFS('Resultater - Vestdanmark'!H$3:H$504,'Resultater - Vestdanmark'!$F$3:$F$504,$A50)/SUMIFS('Resultater - Danmark'!H$3:H$504,'Resultater - Danmark'!$F$3:$F$504,$A50)*C23</f>
        <v>314874.94627501385</v>
      </c>
      <c r="D50" s="133">
        <f>SUMIFS('Resultater - Vestdanmark'!I$3:I$504,'Resultater - Vestdanmark'!$F$3:$F$504,$A50)/SUMIFS('Resultater - Danmark'!I$3:I$504,'Resultater - Danmark'!$F$3:$F$504,$A50)*D23</f>
        <v>314782.00911940058</v>
      </c>
      <c r="E50" s="133">
        <f>SUMIFS('Resultater - Vestdanmark'!J$3:J$504,'Resultater - Vestdanmark'!$F$3:$F$504,$A50)/SUMIFS('Resultater - Danmark'!J$3:J$504,'Resultater - Danmark'!$F$3:$F$504,$A50)*E23</f>
        <v>314661.48085110582</v>
      </c>
      <c r="F50" s="134">
        <f>VLOOKUP(A50,[1]Biogasudbytte!$A$2:$C$18,3,FALSE)</f>
        <v>0.3</v>
      </c>
      <c r="G50" s="135">
        <f t="shared" si="11"/>
        <v>100</v>
      </c>
      <c r="I50" s="124" t="str">
        <f t="shared" si="13"/>
        <v>Majs</v>
      </c>
      <c r="J50" s="124" t="s">
        <v>139</v>
      </c>
      <c r="K50" s="133">
        <f>SUMIFS('Resultater - Østdanmark'!H$3:H$504,'Resultater - Østdanmark'!$F$3:$F$504,$A50)/SUMIFS('Resultater - Danmark'!H$3:H$504,'Resultater - Danmark'!$F$3:$F$504,$A50)*C23</f>
        <v>15151.053724986185</v>
      </c>
      <c r="L50" s="133">
        <f>SUMIFS('Resultater - Østdanmark'!I$3:I$504,'Resultater - Østdanmark'!$F$3:$F$504,$A50)/SUMIFS('Resultater - Danmark'!I$3:I$504,'Resultater - Danmark'!$F$3:$F$504,$A50)*D23</f>
        <v>15243.990880599462</v>
      </c>
      <c r="M50" s="133">
        <f>SUMIFS('Resultater - Østdanmark'!J$3:J$504,'Resultater - Østdanmark'!$F$3:$F$504,$A50)/SUMIFS('Resultater - Danmark'!J$3:J$504,'Resultater - Danmark'!$F$3:$F$504,$A50)*E23</f>
        <v>15364.519148894226</v>
      </c>
      <c r="N50" s="134">
        <f>VLOOKUP(I50,[1]Biogasudbytte!$A$2:$C$18,3,FALSE)</f>
        <v>0.3</v>
      </c>
      <c r="O50" s="135">
        <f t="shared" si="12"/>
        <v>100</v>
      </c>
    </row>
    <row r="51" spans="1:15" hidden="1" x14ac:dyDescent="0.2">
      <c r="A51" s="124" t="str">
        <f t="shared" si="10"/>
        <v>Roer</v>
      </c>
      <c r="B51" s="124" t="s">
        <v>139</v>
      </c>
      <c r="C51" s="133">
        <f>SUMIFS('Resultater - Vestdanmark'!H$3:H$504,'Resultater - Vestdanmark'!$F$3:$F$504,$A51)/SUMIFS('Resultater - Danmark'!H$3:H$504,'Resultater - Danmark'!$F$3:$F$504,$A51)*C24</f>
        <v>4141.9679702877811</v>
      </c>
      <c r="D51" s="133">
        <f>SUMIFS('Resultater - Vestdanmark'!I$3:I$504,'Resultater - Vestdanmark'!$F$3:$F$504,$A51)/SUMIFS('Resultater - Danmark'!I$3:I$504,'Resultater - Danmark'!$F$3:$F$504,$A51)*D24</f>
        <v>4123.4286638275544</v>
      </c>
      <c r="E51" s="133">
        <f>SUMIFS('Resultater - Vestdanmark'!J$3:J$504,'Resultater - Vestdanmark'!$F$3:$F$504,$A51)/SUMIFS('Resultater - Danmark'!J$3:J$504,'Resultater - Danmark'!$F$3:$F$504,$A51)*E24</f>
        <v>4092.8191064506923</v>
      </c>
      <c r="F51" s="134">
        <f>VLOOKUP(A51,[1]Biogasudbytte!$A$2:$C$18,3,FALSE)</f>
        <v>0.2</v>
      </c>
      <c r="G51" s="135">
        <f t="shared" si="11"/>
        <v>75.599999999999994</v>
      </c>
      <c r="I51" s="124" t="str">
        <f t="shared" si="13"/>
        <v>Roer</v>
      </c>
      <c r="J51" s="124" t="s">
        <v>139</v>
      </c>
      <c r="K51" s="133">
        <f>SUMIFS('Resultater - Østdanmark'!H$3:H$504,'Resultater - Østdanmark'!$F$3:$F$504,$A51)/SUMIFS('Resultater - Danmark'!H$3:H$504,'Resultater - Danmark'!$F$3:$F$504,$A51)*C24</f>
        <v>24503.032029712213</v>
      </c>
      <c r="L51" s="133">
        <f>SUMIFS('Resultater - Østdanmark'!I$3:I$504,'Resultater - Østdanmark'!$F$3:$F$504,$A51)/SUMIFS('Resultater - Danmark'!I$3:I$504,'Resultater - Danmark'!$F$3:$F$504,$A51)*D24</f>
        <v>24521.571336172448</v>
      </c>
      <c r="M51" s="133">
        <f>SUMIFS('Resultater - Østdanmark'!J$3:J$504,'Resultater - Østdanmark'!$F$3:$F$504,$A51)/SUMIFS('Resultater - Danmark'!J$3:J$504,'Resultater - Danmark'!$F$3:$F$504,$A51)*E24</f>
        <v>24552.18089354931</v>
      </c>
      <c r="N51" s="134">
        <f>VLOOKUP(I51,[1]Biogasudbytte!$A$2:$C$18,3,FALSE)</f>
        <v>0.2</v>
      </c>
      <c r="O51" s="135">
        <f t="shared" si="12"/>
        <v>75.599999999999994</v>
      </c>
    </row>
    <row r="52" spans="1:15" hidden="1" x14ac:dyDescent="0.2">
      <c r="A52" s="124" t="str">
        <f t="shared" si="10"/>
        <v>Have/parkaffald</v>
      </c>
      <c r="B52" s="124" t="s">
        <v>139</v>
      </c>
      <c r="C52" s="133">
        <f>SUMIFS('Resultater - Vestdanmark'!H$3:H$504,'Resultater - Vestdanmark'!$F$3:$F$504,$A52)/SUMIFS('Resultater - Danmark'!H$3:H$504,'Resultater - Danmark'!$F$3:$F$504,$A52)*C25</f>
        <v>42.099811904105366</v>
      </c>
      <c r="D52" s="133">
        <f>SUMIFS('Resultater - Vestdanmark'!I$3:I$504,'Resultater - Vestdanmark'!$F$3:$F$504,$A52)/SUMIFS('Resultater - Danmark'!I$3:I$504,'Resultater - Danmark'!$F$3:$F$504,$A52)*D25</f>
        <v>41.80391161429587</v>
      </c>
      <c r="E52" s="133">
        <f>SUMIFS('Resultater - Vestdanmark'!J$3:J$504,'Resultater - Vestdanmark'!$F$3:$F$504,$A52)/SUMIFS('Resultater - Danmark'!J$3:J$504,'Resultater - Danmark'!$F$3:$F$504,$A52)*E25</f>
        <v>41.656918132692169</v>
      </c>
      <c r="F52" s="134">
        <f>VLOOKUP(A52,[1]Biogasudbytte!$A$2:$C$18,3,FALSE)</f>
        <v>0.3</v>
      </c>
      <c r="G52" s="135">
        <f t="shared" si="11"/>
        <v>47.3</v>
      </c>
      <c r="I52" s="124" t="str">
        <f t="shared" si="13"/>
        <v>Have/parkaffald</v>
      </c>
      <c r="J52" s="124" t="s">
        <v>139</v>
      </c>
      <c r="K52" s="133">
        <f>SUMIFS('Resultater - Østdanmark'!H$3:H$504,'Resultater - Østdanmark'!$F$3:$F$504,$A52)/SUMIFS('Resultater - Danmark'!H$3:H$504,'Resultater - Danmark'!$F$3:$F$504,$A52)*C25</f>
        <v>35.900188095894634</v>
      </c>
      <c r="L52" s="133">
        <f>SUMIFS('Resultater - Østdanmark'!I$3:I$504,'Resultater - Østdanmark'!$F$3:$F$504,$A52)/SUMIFS('Resultater - Danmark'!I$3:I$504,'Resultater - Danmark'!$F$3:$F$504,$A52)*D25</f>
        <v>36.19608838570413</v>
      </c>
      <c r="M52" s="133">
        <f>SUMIFS('Resultater - Østdanmark'!J$3:J$504,'Resultater - Østdanmark'!$F$3:$F$504,$A52)/SUMIFS('Resultater - Danmark'!J$3:J$504,'Resultater - Danmark'!$F$3:$F$504,$A52)*E25</f>
        <v>36.343081867307831</v>
      </c>
      <c r="N52" s="134">
        <f>VLOOKUP(I52,[1]Biogasudbytte!$A$2:$C$18,3,FALSE)</f>
        <v>0.3</v>
      </c>
      <c r="O52" s="135">
        <f t="shared" si="12"/>
        <v>47.3</v>
      </c>
    </row>
    <row r="53" spans="1:15" hidden="1" x14ac:dyDescent="0.2">
      <c r="A53" s="125" t="str">
        <f t="shared" si="10"/>
        <v>Glycerin</v>
      </c>
      <c r="B53" s="125" t="s">
        <v>139</v>
      </c>
      <c r="C53" s="133">
        <f>C26*$B$36</f>
        <v>114193.60000000001</v>
      </c>
      <c r="D53" s="133">
        <f>D26*$B$36</f>
        <v>114193.60000000001</v>
      </c>
      <c r="E53" s="133">
        <f>E26*$B$36</f>
        <v>114193.60000000001</v>
      </c>
      <c r="F53" s="134">
        <f>VLOOKUP(A53,[1]Biogasudbytte!$A$2:$C$18,3,FALSE)</f>
        <v>0.9</v>
      </c>
      <c r="G53" s="135">
        <f t="shared" si="11"/>
        <v>423.36</v>
      </c>
      <c r="I53" s="125" t="str">
        <f t="shared" si="13"/>
        <v>Glycerin</v>
      </c>
      <c r="J53" s="125" t="s">
        <v>139</v>
      </c>
      <c r="K53" s="133">
        <f>C26*$C$36</f>
        <v>28548.400000000001</v>
      </c>
      <c r="L53" s="133">
        <f>D26*$C$36</f>
        <v>28548.400000000001</v>
      </c>
      <c r="M53" s="133">
        <f>E26*$C$36</f>
        <v>28548.400000000001</v>
      </c>
      <c r="N53" s="134">
        <f>VLOOKUP(I53,[1]Biogasudbytte!$A$2:$C$18,3,FALSE)</f>
        <v>0.9</v>
      </c>
      <c r="O53" s="135">
        <f t="shared" si="12"/>
        <v>423.36</v>
      </c>
    </row>
    <row r="54" spans="1:15" hidden="1" x14ac:dyDescent="0.2">
      <c r="A54" s="124" t="str">
        <f t="shared" si="10"/>
        <v>Muslinger</v>
      </c>
      <c r="B54" s="124" t="s">
        <v>139</v>
      </c>
      <c r="C54" s="133">
        <f>SUMIFS('Resultater - Vestdanmark'!H$3:H$504,'Resultater - Vestdanmark'!$F$3:$F$504,$A54)/SUMIFS('Resultater - Danmark'!H$3:H$504,'Resultater - Danmark'!$F$3:$F$504,$A54)*C27</f>
        <v>0</v>
      </c>
      <c r="D54" s="133">
        <f>SUMIFS('Resultater - Vestdanmark'!I$3:I$504,'Resultater - Vestdanmark'!$F$3:$F$504,$A54)/SUMIFS('Resultater - Danmark'!I$3:I$504,'Resultater - Danmark'!$F$3:$F$504,$A54)*D27</f>
        <v>0</v>
      </c>
      <c r="E54" s="133">
        <f>SUMIFS('Resultater - Vestdanmark'!J$3:J$504,'Resultater - Vestdanmark'!$F$3:$F$504,$A54)/SUMIFS('Resultater - Danmark'!J$3:J$504,'Resultater - Danmark'!$F$3:$F$504,$A54)*E27</f>
        <v>0</v>
      </c>
      <c r="F54" s="134">
        <f>VLOOKUP(A54,[1]Biogasudbytte!$A$2:$C$18,3,FALSE)</f>
        <v>0.15</v>
      </c>
      <c r="G54" s="135">
        <f t="shared" si="11"/>
        <v>25</v>
      </c>
      <c r="I54" s="124" t="str">
        <f t="shared" si="13"/>
        <v>Muslinger</v>
      </c>
      <c r="J54" s="124" t="s">
        <v>139</v>
      </c>
      <c r="K54" s="133">
        <f>SUMIFS('Resultater - Østdanmark'!H$3:H$504,'Resultater - Østdanmark'!$F$3:$F$504,$A54)/SUMIFS('Resultater - Danmark'!H$3:H$504,'Resultater - Danmark'!$F$3:$F$504,$A54)*C27</f>
        <v>0</v>
      </c>
      <c r="L54" s="133">
        <f>SUMIFS('Resultater - Østdanmark'!I$3:I$504,'Resultater - Østdanmark'!$F$3:$F$504,$A54)/SUMIFS('Resultater - Danmark'!I$3:I$504,'Resultater - Danmark'!$F$3:$F$504,$A54)*D27</f>
        <v>0</v>
      </c>
      <c r="M54" s="133">
        <f>SUMIFS('Resultater - Østdanmark'!J$3:J$504,'Resultater - Østdanmark'!$F$3:$F$504,$A54)/SUMIFS('Resultater - Danmark'!J$3:J$504,'Resultater - Danmark'!$F$3:$F$504,$A54)*E27</f>
        <v>0</v>
      </c>
      <c r="N54" s="134">
        <f>VLOOKUP(I54,[1]Biogasudbytte!$A$2:$C$18,3,FALSE)</f>
        <v>0.15</v>
      </c>
      <c r="O54" s="135">
        <f t="shared" si="12"/>
        <v>25</v>
      </c>
    </row>
    <row r="55" spans="1:15" ht="12.75" hidden="1" thickBot="1" x14ac:dyDescent="0.25">
      <c r="A55" s="139" t="str">
        <f t="shared" si="10"/>
        <v>Tang</v>
      </c>
      <c r="B55" s="139" t="s">
        <v>139</v>
      </c>
      <c r="C55" s="176">
        <f>SUMIFS('Resultater - Vestdanmark'!H$3:H$504,'Resultater - Vestdanmark'!$F$3:$F$504,$A55)/SUMIFS('Resultater - Danmark'!H$3:H$504,'Resultater - Danmark'!$F$3:$F$504,$A55)*C28</f>
        <v>0</v>
      </c>
      <c r="D55" s="176">
        <f>SUMIFS('Resultater - Vestdanmark'!I$3:I$504,'Resultater - Vestdanmark'!$F$3:$F$504,$A55)/SUMIFS('Resultater - Danmark'!I$3:I$504,'Resultater - Danmark'!$F$3:$F$504,$A55)*D28</f>
        <v>0</v>
      </c>
      <c r="E55" s="176">
        <f>SUMIFS('Resultater - Vestdanmark'!J$3:J$504,'Resultater - Vestdanmark'!$F$3:$F$504,$A55)/SUMIFS('Resultater - Danmark'!J$3:J$504,'Resultater - Danmark'!$F$3:$F$504,$A55)*E28</f>
        <v>0</v>
      </c>
      <c r="F55" s="140">
        <f>VLOOKUP(A55,[1]Biogasudbytte!$A$2:$C$18,3,FALSE)</f>
        <v>0.15</v>
      </c>
      <c r="G55" s="141">
        <f t="shared" si="11"/>
        <v>25</v>
      </c>
      <c r="I55" s="139" t="str">
        <f t="shared" si="13"/>
        <v>Tang</v>
      </c>
      <c r="J55" s="139" t="s">
        <v>139</v>
      </c>
      <c r="K55" s="176">
        <f>SUMIFS('Resultater - Østdanmark'!H$3:H$504,'Resultater - Østdanmark'!$F$3:$F$504,$A55)/SUMIFS('Resultater - Danmark'!H$3:H$504,'Resultater - Danmark'!$F$3:$F$504,$A55)*C28</f>
        <v>0</v>
      </c>
      <c r="L55" s="176">
        <f>SUMIFS('Resultater - Østdanmark'!I$3:I$504,'Resultater - Østdanmark'!$F$3:$F$504,$A55)/SUMIFS('Resultater - Danmark'!I$3:I$504,'Resultater - Danmark'!$F$3:$F$504,$A55)*D28</f>
        <v>0</v>
      </c>
      <c r="M55" s="176">
        <f>SUMIFS('Resultater - Østdanmark'!J$3:J$504,'Resultater - Østdanmark'!$F$3:$F$504,$A55)/SUMIFS('Resultater - Danmark'!J$3:J$504,'Resultater - Danmark'!$F$3:$F$504,$A55)*E28</f>
        <v>0</v>
      </c>
      <c r="N55" s="140">
        <f>VLOOKUP(I55,[1]Biogasudbytte!$A$2:$C$18,3,FALSE)</f>
        <v>0.15</v>
      </c>
      <c r="O55" s="141">
        <f t="shared" si="12"/>
        <v>25</v>
      </c>
    </row>
    <row r="56" spans="1:15" hidden="1" x14ac:dyDescent="0.2">
      <c r="A56" s="123" t="s">
        <v>104</v>
      </c>
      <c r="B56" s="123" t="s">
        <v>139</v>
      </c>
      <c r="C56" s="142">
        <f ca="1">SUM(C39:C55)</f>
        <v>10411125.221732087</v>
      </c>
      <c r="D56" s="142">
        <f ca="1">SUM(D39:D55)</f>
        <v>25835064.63946658</v>
      </c>
      <c r="E56" s="142">
        <f ca="1">SUM(E39:E55)</f>
        <v>25329790.883091103</v>
      </c>
      <c r="F56" s="143"/>
      <c r="G56" s="143"/>
      <c r="I56" s="123" t="s">
        <v>104</v>
      </c>
      <c r="J56" s="123" t="s">
        <v>139</v>
      </c>
      <c r="K56" s="142">
        <f ca="1">SUM(K39:K55)</f>
        <v>2679292.2782679098</v>
      </c>
      <c r="L56" s="142">
        <f ca="1">SUM(L39:L55)</f>
        <v>4178363.7318300549</v>
      </c>
      <c r="M56" s="142">
        <f ca="1">SUM(M39:M55)</f>
        <v>4178049.4525768631</v>
      </c>
      <c r="N56" s="143"/>
      <c r="O56" s="143"/>
    </row>
    <row r="57" spans="1:15" hidden="1" x14ac:dyDescent="0.2">
      <c r="A57" s="145" t="s">
        <v>123</v>
      </c>
      <c r="C57" s="146">
        <f ca="1">SUMPRODUCT(C39:C55,$F$39:$F$55)/C56</f>
        <v>0.13459391872775978</v>
      </c>
      <c r="D57" s="146">
        <f ca="1">SUMPRODUCT(D39:D55,$F$39:$F$55)/D56</f>
        <v>9.6447086117599862E-2</v>
      </c>
      <c r="E57" s="146">
        <f ca="1">SUMPRODUCT(E39:E55,$F$39:$F$55)/E56</f>
        <v>9.786506125766517E-2</v>
      </c>
      <c r="I57" s="145" t="s">
        <v>123</v>
      </c>
      <c r="K57" s="146">
        <f ca="1">SUMPRODUCT(K39:K55,$N$39:$N$55)/K56</f>
        <v>0.15233102307854454</v>
      </c>
      <c r="L57" s="146">
        <f ca="1">SUMPRODUCT(L39:L55,$N$39:$N$55)/L56</f>
        <v>0.11013598055057529</v>
      </c>
      <c r="M57" s="146">
        <f ca="1">SUMPRODUCT(M39:M55,$N$39:$N$55)/M56</f>
        <v>0.11115925297853492</v>
      </c>
    </row>
    <row r="58" spans="1:15" hidden="1" x14ac:dyDescent="0.2">
      <c r="A58" s="145" t="s">
        <v>160</v>
      </c>
      <c r="C58" s="146">
        <f ca="1">SUM(C48:C51)/C56</f>
        <v>3.81572085208291E-2</v>
      </c>
      <c r="D58" s="146">
        <f ca="1">SUM(D48:D51)/D56</f>
        <v>1.536886595758789E-2</v>
      </c>
      <c r="E58" s="146">
        <f ca="1">SUM(E48:E51)/E56</f>
        <v>1.5666573164444916E-2</v>
      </c>
      <c r="I58" s="145" t="s">
        <v>160</v>
      </c>
      <c r="K58" s="146">
        <f ca="1">SUM(K48:K51)/K56</f>
        <v>1.898804560837036E-2</v>
      </c>
      <c r="L58" s="146">
        <f ca="1">SUM(L48:L51)/L56</f>
        <v>1.2224487342093585E-2</v>
      </c>
      <c r="M58" s="146">
        <f ca="1">SUM(M48:M51)/M56</f>
        <v>1.2279169615458201E-2</v>
      </c>
    </row>
    <row r="59" spans="1:15" hidden="1" x14ac:dyDescent="0.2">
      <c r="A59" s="123" t="s">
        <v>142</v>
      </c>
      <c r="B59" s="123" t="s">
        <v>143</v>
      </c>
      <c r="C59" s="123">
        <f ca="1">SUMPRODUCT(C39:C55,$I$12:$I$28)</f>
        <v>352020220.2509163</v>
      </c>
      <c r="D59" s="123">
        <f ca="1">SUMPRODUCT(D39:D55,$I$12:$I$28)</f>
        <v>564688044.70115554</v>
      </c>
      <c r="E59" s="123">
        <f ca="1">SUMPRODUCT(E39:E55,$I$12:$I$28)</f>
        <v>561691322.982669</v>
      </c>
      <c r="I59" s="123" t="s">
        <v>142</v>
      </c>
      <c r="J59" s="123" t="s">
        <v>143</v>
      </c>
      <c r="K59" s="123">
        <f ca="1">SUMPRODUCT(K39:K55,$I$12:$I$28)</f>
        <v>110817068.59908372</v>
      </c>
      <c r="L59" s="123">
        <f ca="1">SUMPRODUCT(L39:L55,$I$12:$I$28)</f>
        <v>114612390.86550628</v>
      </c>
      <c r="M59" s="123">
        <f ca="1">SUMPRODUCT(M39:M55,$I$12:$I$28)</f>
        <v>115614273.25282219</v>
      </c>
    </row>
    <row r="60" spans="1:15" hidden="1" x14ac:dyDescent="0.2">
      <c r="A60" s="123" t="s">
        <v>142</v>
      </c>
      <c r="B60" s="123" t="s">
        <v>122</v>
      </c>
      <c r="C60" s="123">
        <f ca="1">C59*[1]Energiindhold!$C$10</f>
        <v>12.637525907007896</v>
      </c>
      <c r="D60" s="123">
        <f ca="1">D59*[1]Energiindhold!$C$10</f>
        <v>20.272300804771486</v>
      </c>
      <c r="E60" s="123">
        <f ca="1">E59*[1]Energiindhold!$C$10</f>
        <v>20.164718495077818</v>
      </c>
      <c r="I60" s="123" t="s">
        <v>142</v>
      </c>
      <c r="J60" s="123" t="s">
        <v>122</v>
      </c>
      <c r="K60" s="123">
        <f ca="1">K59*[1]Energiindhold!$C$10</f>
        <v>3.9783327627071059</v>
      </c>
      <c r="L60" s="123">
        <f ca="1">L59*[1]Energiindhold!$C$10</f>
        <v>4.1145848320716754</v>
      </c>
      <c r="M60" s="123">
        <f ca="1">M59*[1]Energiindhold!$C$10</f>
        <v>4.1505524097763171</v>
      </c>
    </row>
  </sheetData>
  <mergeCells count="4">
    <mergeCell ref="F10:G10"/>
    <mergeCell ref="C10:E10"/>
    <mergeCell ref="J10:L10"/>
    <mergeCell ref="F2:G2"/>
  </mergeCells>
  <conditionalFormatting sqref="C57:E57 C30:G31">
    <cfRule type="cellIs" dxfId="16" priority="7" operator="greaterThan">
      <formula>13%</formula>
    </cfRule>
  </conditionalFormatting>
  <conditionalFormatting sqref="K57:M57">
    <cfRule type="cellIs" dxfId="15" priority="5" operator="greaterThan">
      <formula>13%</formula>
    </cfRule>
  </conditionalFormatting>
  <conditionalFormatting sqref="C58:E58">
    <cfRule type="cellIs" dxfId="14" priority="2" operator="greaterThan">
      <formula>13%</formula>
    </cfRule>
  </conditionalFormatting>
  <conditionalFormatting sqref="K58:M58">
    <cfRule type="cellIs" dxfId="13" priority="1" operator="greaterThan">
      <formula>13%</formula>
    </cfRule>
  </conditionalFormatting>
  <hyperlinks>
    <hyperlink ref="A1" location="Resume!A1" display="% af alt produceret" xr:uid="{0D01C50C-EAA6-4BDE-A936-53C722D7B96A}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3CED11-E78A-4181-9F3D-9C80FCFD4911}">
  <sheetPr codeName="Sheet8">
    <tabColor theme="9" tint="0.39997558519241921"/>
  </sheetPr>
  <dimension ref="A1:D20"/>
  <sheetViews>
    <sheetView zoomScaleNormal="100" workbookViewId="0">
      <selection activeCell="E16" sqref="E16"/>
    </sheetView>
  </sheetViews>
  <sheetFormatPr defaultColWidth="9.140625" defaultRowHeight="15" x14ac:dyDescent="0.25"/>
  <cols>
    <col min="1" max="1" width="25" style="1" customWidth="1"/>
    <col min="2" max="2" width="11.5703125" style="1" bestFit="1" customWidth="1"/>
    <col min="3" max="4" width="9.140625" style="1"/>
    <col min="5" max="5" width="45.7109375" style="1" customWidth="1"/>
    <col min="6" max="16384" width="9.140625" style="1"/>
  </cols>
  <sheetData>
    <row r="1" spans="1:4" x14ac:dyDescent="0.25">
      <c r="A1" s="226" t="s">
        <v>274</v>
      </c>
    </row>
    <row r="2" spans="1:4" ht="15.75" x14ac:dyDescent="0.25">
      <c r="A2" s="224" t="s">
        <v>311</v>
      </c>
    </row>
    <row r="3" spans="1:4" x14ac:dyDescent="0.25">
      <c r="A3" s="2" t="s">
        <v>139</v>
      </c>
      <c r="B3" s="2">
        <f>År1</f>
        <v>2019</v>
      </c>
      <c r="C3" s="2">
        <f>År2</f>
        <v>2030</v>
      </c>
      <c r="D3" s="2">
        <f>År3</f>
        <v>2050</v>
      </c>
    </row>
    <row r="4" spans="1:4" x14ac:dyDescent="0.25">
      <c r="A4" s="2" t="s">
        <v>67</v>
      </c>
      <c r="B4" s="109">
        <v>0</v>
      </c>
      <c r="C4" s="110">
        <v>0</v>
      </c>
      <c r="D4" s="110">
        <v>0</v>
      </c>
    </row>
    <row r="5" spans="1:4" x14ac:dyDescent="0.25">
      <c r="A5" s="306"/>
    </row>
    <row r="6" spans="1:4" x14ac:dyDescent="0.25">
      <c r="A6" s="306"/>
    </row>
    <row r="7" spans="1:4" ht="15.75" x14ac:dyDescent="0.25">
      <c r="A7" s="224" t="s">
        <v>297</v>
      </c>
    </row>
    <row r="8" spans="1:4" x14ac:dyDescent="0.25">
      <c r="A8" s="2"/>
      <c r="B8" s="2">
        <f>År1</f>
        <v>2019</v>
      </c>
      <c r="C8" s="2">
        <f>År2</f>
        <v>2030</v>
      </c>
      <c r="D8" s="2">
        <f>År3</f>
        <v>2050</v>
      </c>
    </row>
    <row r="9" spans="1:4" x14ac:dyDescent="0.25">
      <c r="A9" s="2" t="str">
        <f>'[1]Processer - data'!$D481</f>
        <v>Halm</v>
      </c>
      <c r="B9" s="87">
        <v>0</v>
      </c>
      <c r="C9" s="3">
        <v>0</v>
      </c>
      <c r="D9" s="3">
        <v>0</v>
      </c>
    </row>
    <row r="10" spans="1:4" x14ac:dyDescent="0.25">
      <c r="A10" s="2" t="str">
        <f>'[1]Processer - data'!$D482</f>
        <v>Rapsolie</v>
      </c>
      <c r="B10" s="87">
        <v>0.48</v>
      </c>
      <c r="C10" s="3">
        <v>0</v>
      </c>
      <c r="D10" s="3">
        <v>0</v>
      </c>
    </row>
    <row r="11" spans="1:4" x14ac:dyDescent="0.25">
      <c r="A11" s="2" t="str">
        <f>'[1]Processer - data'!$D483</f>
        <v>Pil &amp; poppel</v>
      </c>
      <c r="B11" s="87">
        <v>0</v>
      </c>
      <c r="C11" s="3">
        <v>0</v>
      </c>
      <c r="D11" s="3">
        <v>0</v>
      </c>
    </row>
    <row r="12" spans="1:4" x14ac:dyDescent="0.25">
      <c r="A12" s="2" t="str">
        <f>'[1]Processer - data'!$D485</f>
        <v>Have/parkaffald</v>
      </c>
      <c r="B12" s="87">
        <v>0</v>
      </c>
      <c r="C12" s="3">
        <v>0</v>
      </c>
      <c r="D12" s="3">
        <v>0</v>
      </c>
    </row>
    <row r="13" spans="1:4" x14ac:dyDescent="0.25">
      <c r="A13" s="2" t="str">
        <f>'[1]Processer - data'!$D486</f>
        <v>Bioaffald</v>
      </c>
      <c r="B13" s="87">
        <v>0</v>
      </c>
      <c r="C13" s="3">
        <v>0</v>
      </c>
      <c r="D13" s="3">
        <v>0</v>
      </c>
    </row>
    <row r="15" spans="1:4" x14ac:dyDescent="0.25">
      <c r="A15" s="2" t="s">
        <v>246</v>
      </c>
      <c r="B15" s="2">
        <f>År1</f>
        <v>2019</v>
      </c>
      <c r="C15" s="2">
        <f>År2</f>
        <v>2030</v>
      </c>
      <c r="D15" s="2">
        <f>År3</f>
        <v>2050</v>
      </c>
    </row>
    <row r="16" spans="1:4" x14ac:dyDescent="0.25">
      <c r="A16" s="2" t="str">
        <f>A9</f>
        <v>Halm</v>
      </c>
      <c r="B16" s="348">
        <f>SUMIFS('Forbrug af biomasse'!$E$2:$E$403,'Forbrug af biomasse'!$D$2:$D$403,'Forbrug til andet'!B$15,'Forbrug af biomasse'!$C$2:$C$403,'Forbrug til andet'!$A16,'Forbrug af biomasse'!$A$2:$A$403,"Materialer")</f>
        <v>0</v>
      </c>
      <c r="C16" s="348">
        <f>SUMIFS('Forbrug af biomasse'!$E$2:$E$403,'Forbrug af biomasse'!$D$2:$D$403,'Forbrug til andet'!C$15,'Forbrug af biomasse'!$C$2:$C$403,'Forbrug til andet'!$A16,'Forbrug af biomasse'!$A$2:$A$403,"Materialer")</f>
        <v>0</v>
      </c>
      <c r="D16" s="348">
        <f>SUMIFS('Forbrug af biomasse'!$E$2:$E$403,'Forbrug af biomasse'!$D$2:$D$403,'Forbrug til andet'!D$15,'Forbrug af biomasse'!$C$2:$C$403,'Forbrug til andet'!$A16,'Forbrug af biomasse'!$A$2:$A$403,"Materialer")</f>
        <v>0</v>
      </c>
    </row>
    <row r="17" spans="1:4" x14ac:dyDescent="0.25">
      <c r="A17" s="2" t="str">
        <f>A10</f>
        <v>Rapsolie</v>
      </c>
      <c r="B17" s="348">
        <f>SUMIFS('Forbrug af biomasse'!$E$2:$E$403,'Forbrug af biomasse'!$D$2:$D$403,'Forbrug til andet'!B$15,'Forbrug af biomasse'!$C$2:$C$403,'Forbrug til andet'!$A17,'Forbrug af biomasse'!$A$2:$A$403,"Materialer")</f>
        <v>104190.75509932752</v>
      </c>
      <c r="C17" s="348">
        <f>SUMIFS('Forbrug af biomasse'!$E$2:$E$403,'Forbrug af biomasse'!$D$2:$D$403,'Forbrug til andet'!C$15,'Forbrug af biomasse'!$C$2:$C$403,'Forbrug til andet'!$A17,'Forbrug af biomasse'!$A$2:$A$403,"Materialer")</f>
        <v>0</v>
      </c>
      <c r="D17" s="348">
        <f>SUMIFS('Forbrug af biomasse'!$E$2:$E$403,'Forbrug af biomasse'!$D$2:$D$403,'Forbrug til andet'!D$15,'Forbrug af biomasse'!$C$2:$C$403,'Forbrug til andet'!$A17,'Forbrug af biomasse'!$A$2:$A$403,"Materialer")</f>
        <v>0</v>
      </c>
    </row>
    <row r="18" spans="1:4" x14ac:dyDescent="0.25">
      <c r="A18" s="2" t="str">
        <f>A11</f>
        <v>Pil &amp; poppel</v>
      </c>
      <c r="B18" s="348">
        <f>SUMIFS('Forbrug af biomasse'!$E$2:$E$403,'Forbrug af biomasse'!$D$2:$D$403,'Forbrug til andet'!B$15,'Forbrug af biomasse'!$C$2:$C$403,'Forbrug til andet'!$A18,'Forbrug af biomasse'!$A$2:$A$403,"Materialer")</f>
        <v>0</v>
      </c>
      <c r="C18" s="348">
        <f>SUMIFS('Forbrug af biomasse'!$E$2:$E$403,'Forbrug af biomasse'!$D$2:$D$403,'Forbrug til andet'!C$15,'Forbrug af biomasse'!$C$2:$C$403,'Forbrug til andet'!$A18,'Forbrug af biomasse'!$A$2:$A$403,"Materialer")</f>
        <v>0</v>
      </c>
      <c r="D18" s="348">
        <f>SUMIFS('Forbrug af biomasse'!$E$2:$E$403,'Forbrug af biomasse'!$D$2:$D$403,'Forbrug til andet'!D$15,'Forbrug af biomasse'!$C$2:$C$403,'Forbrug til andet'!$A18,'Forbrug af biomasse'!$A$2:$A$403,"Materialer")</f>
        <v>0</v>
      </c>
    </row>
    <row r="19" spans="1:4" x14ac:dyDescent="0.25">
      <c r="A19" s="2" t="str">
        <f t="shared" ref="A19:A20" si="0">A12</f>
        <v>Have/parkaffald</v>
      </c>
      <c r="B19" s="348">
        <f>SUMIFS('Forbrug af biomasse'!$E$2:$E$403,'Forbrug af biomasse'!$D$2:$D$403,'Forbrug til andet'!B$15,'Forbrug af biomasse'!$C$2:$C$403,'Forbrug til andet'!$A19,'Forbrug af biomasse'!$A$2:$A$403,"Materialer")</f>
        <v>0</v>
      </c>
      <c r="C19" s="348">
        <f>SUMIFS('Forbrug af biomasse'!$E$2:$E$403,'Forbrug af biomasse'!$D$2:$D$403,'Forbrug til andet'!C$15,'Forbrug af biomasse'!$C$2:$C$403,'Forbrug til andet'!$A19,'Forbrug af biomasse'!$A$2:$A$403,"Materialer")</f>
        <v>0</v>
      </c>
      <c r="D19" s="348">
        <f>SUMIFS('Forbrug af biomasse'!$E$2:$E$403,'Forbrug af biomasse'!$D$2:$D$403,'Forbrug til andet'!D$15,'Forbrug af biomasse'!$C$2:$C$403,'Forbrug til andet'!$A19,'Forbrug af biomasse'!$A$2:$A$403,"Materialer")</f>
        <v>0</v>
      </c>
    </row>
    <row r="20" spans="1:4" x14ac:dyDescent="0.25">
      <c r="A20" s="2" t="str">
        <f t="shared" si="0"/>
        <v>Bioaffald</v>
      </c>
      <c r="B20" s="348">
        <f ca="1">SUMIFS('Forbrug af biomasse'!$E$2:$E$403,'Forbrug af biomasse'!$D$2:$D$403,'Forbrug til andet'!B$15,'Forbrug af biomasse'!$C$2:$C$403,'Forbrug til andet'!$A20,'Forbrug af biomasse'!$A$2:$A$403,"Materialer")</f>
        <v>0</v>
      </c>
      <c r="C20" s="348">
        <f ca="1">SUMIFS('Forbrug af biomasse'!$E$2:$E$403,'Forbrug af biomasse'!$D$2:$D$403,'Forbrug til andet'!C$15,'Forbrug af biomasse'!$C$2:$C$403,'Forbrug til andet'!$A20,'Forbrug af biomasse'!$A$2:$A$403,"Materialer")</f>
        <v>0</v>
      </c>
      <c r="D20" s="348">
        <f ca="1">SUMIFS('Forbrug af biomasse'!$E$2:$E$403,'Forbrug af biomasse'!$D$2:$D$403,'Forbrug til andet'!D$15,'Forbrug af biomasse'!$C$2:$C$403,'Forbrug til andet'!$A20,'Forbrug af biomasse'!$A$2:$A$403,"Materialer")</f>
        <v>0</v>
      </c>
    </row>
  </sheetData>
  <hyperlinks>
    <hyperlink ref="A1" location="Resume!A1" display="Andel af restprodukter, der skal bruges til materialer og kemi" xr:uid="{2ADFAA73-6F3A-408B-A4EB-208A02DB2964}"/>
  </hyperlinks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5CCAA6-B7D2-4926-A470-3639DE0D1070}">
  <sheetPr codeName="Sheet19">
    <tabColor rgb="FFFF0000"/>
  </sheetPr>
  <dimension ref="A1:I230"/>
  <sheetViews>
    <sheetView topLeftCell="A171" workbookViewId="0">
      <selection activeCell="G185" activeCellId="1" sqref="G206 G185"/>
    </sheetView>
  </sheetViews>
  <sheetFormatPr defaultRowHeight="15" x14ac:dyDescent="0.25"/>
  <cols>
    <col min="6" max="6" width="21.28515625" customWidth="1"/>
  </cols>
  <sheetData>
    <row r="1" spans="1:9" x14ac:dyDescent="0.25">
      <c r="A1" s="95"/>
      <c r="B1" s="95"/>
      <c r="C1" s="95"/>
      <c r="D1" s="95"/>
      <c r="E1" s="95"/>
      <c r="F1" s="95"/>
      <c r="G1" s="95" t="s">
        <v>85</v>
      </c>
      <c r="H1" s="95"/>
      <c r="I1" s="95"/>
    </row>
    <row r="2" spans="1:9" x14ac:dyDescent="0.25">
      <c r="A2" s="95" t="s">
        <v>64</v>
      </c>
      <c r="B2" s="95" t="s">
        <v>57</v>
      </c>
      <c r="C2" s="95" t="s">
        <v>59</v>
      </c>
      <c r="D2" s="95" t="s">
        <v>63</v>
      </c>
      <c r="E2" s="95"/>
      <c r="F2" s="95" t="s">
        <v>97</v>
      </c>
      <c r="G2" s="95">
        <f>År1</f>
        <v>2019</v>
      </c>
      <c r="H2" s="95">
        <f>År2</f>
        <v>2030</v>
      </c>
      <c r="I2" s="95">
        <f>År3</f>
        <v>2050</v>
      </c>
    </row>
    <row r="3" spans="1:9" x14ac:dyDescent="0.25">
      <c r="A3" t="s">
        <v>23</v>
      </c>
      <c r="B3" s="1" t="str">
        <f>[1]Afgrødefordeling!$C$2</f>
        <v>Korn</v>
      </c>
      <c r="C3" t="s">
        <v>7</v>
      </c>
      <c r="D3" t="str">
        <f t="shared" ref="D3:D16" si="0">Jordbund1</f>
        <v>JB1-10</v>
      </c>
      <c r="F3" t="str">
        <f>CONCATENATE("Areal-",IF(LEFT(B3,3)&lt;&gt;"Pil",IF(LEFT(B3,3)&lt;&gt;"Frø",LOWER(B3),"frøgræs"),"pil-poppel"))</f>
        <v>Areal-korn</v>
      </c>
      <c r="G3" s="96" cm="1">
        <f t="array" ref="G3">IF($A3="Vestdanmark",IF($C3="Konventionel",IF(G$2=2019,SUMPRODUCT(($B3='Landbrugsareal - resultat'!$B$6:$B$19)*(INDEX('Landbrugsareal - resultat'!$C$6:$E$19,,MATCH($D3,'Landbrugsareal - resultat'!$C$5:$E$5,0)))),IF(G$2=2030,SUMPRODUCT(($B3='Landbrugsareal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resultat'!$I$5:$K$5,0)))))),IF(G$2=2019,SUMPRODUCT(($B3='Landbrugsareal - resultat'!$B$6:$B$19)*(INDEX('Landbrugsareal - resultat'!$L$6:$N$19,,MATCH($D3,'Landbrugsareal - resultat'!$L$5:$N$5,0)))),IF(G$2=2030,SUMPRODUCT(($B3='Landbrugsareal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resultat'!$R$5:$T$5,0))))))),IF($C3="Konventionel",IF(G$2=2019,SUMPRODUCT((B3='Landbrugsareal - resultat'!$B$33:$B$46)*(INDEX('Landbrugsareal - resultat'!$C$33:$E$46,,MATCH($D3,'Landbrugsareal - resultat'!$C$5:$E$5,0)))),IF(G$2=2030,SUMPRODUCT(($B3='Landbrugsareal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resultat'!$I$5:$K$5,0)))))),IF(G$2=2019,SUMPRODUCT(($B3='Landbrugsareal - resultat'!$B$33:$B$46)*(INDEX('Landbrugsareal - resultat'!$L$33:$N$46,,MATCH($D3,'Landbrugsareal - resultat'!$L$5:$N$5,0)))),IF(G$2=2030,SUMPRODUCT(($B3='Landbrugsareal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856024.05830682674</v>
      </c>
      <c r="H3" s="96" cm="1">
        <f t="array" ref="H3">IF($A3="Vestdanmark",IF($C3="Konventionel",IF(H$2=2019,SUMPRODUCT(($B3='Landbrugsareal - resultat'!$B$6:$B$19)*(INDEX('Landbrugsareal - resultat'!$C$6:$E$19,,MATCH($D3,'Landbrugsareal - resultat'!$C$5:$E$5,0)))),IF(H$2=2030,SUMPRODUCT(($B3='Landbrugsareal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resultat'!$I$5:$K$5,0)))))),IF(H$2=2019,SUMPRODUCT(($B3='Landbrugsareal - resultat'!$B$6:$B$19)*(INDEX('Landbrugsareal - resultat'!$L$6:$N$19,,MATCH($D3,'Landbrugsareal - resultat'!$L$5:$N$5,0)))),IF(H$2=2030,SUMPRODUCT(($B3='Landbrugsareal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resultat'!$R$5:$T$5,0))))))),IF($C3="Konventionel",IF(H$2=2019,SUMPRODUCT(($B3='Landbrugsareal - resultat'!$B$33:$B$46)*(INDEX('Landbrugsareal - resultat'!$C$33:$E$46,,MATCH($D3,'Landbrugsareal - resultat'!$C$5:$E$5,0)))),IF(H$2=2030,SUMPRODUCT(($B3='Landbrugsareal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resultat'!$I$5:$K$5,0)))))),IF(H$2=2019,SUMPRODUCT(($B3='Landbrugsareal - resultat'!$B$33:$B$46)*(INDEX('Landbrugsareal - resultat'!$L$33:$N$46,,MATCH($D3,'Landbrugsareal - resultat'!$L$5:$N$5,0)))),IF(H$2=2030,SUMPRODUCT(($B3='Landbrugsareal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826963.57771767024</v>
      </c>
      <c r="I3" s="96" cm="1">
        <f t="array" ref="I3">IF($A3="Vestdanmark",IF($C3="Konventionel",IF(I$2=2019,SUMPRODUCT(($B3='Landbrugsareal - resultat'!$B$6:$B$19)*(INDEX('Landbrugsareal - resultat'!$C$6:$E$19,,MATCH($D3,'Landbrugsareal - resultat'!$C$5:$E$5,0)))),IF(I$2=2030,SUMPRODUCT(($B3='Landbrugsareal - resultat'!$B$6:$B$19)*(INDEX('Landbrugsareal - resultat'!$F$6:$H$19,,MATCH($D3,'Landbrugsareal - resultat'!$F$5:$H$5,0)))),SUMPRODUCT(($B3='Landbrugsareal - resultat'!$B$6:$B$19)*(INDEX('Landbrugsareal - resultat'!$I$6:$K$19,,MATCH($D3,'Landbrugsareal - resultat'!$I$5:$K$5,0)))))),IF(I$2=2019,SUMPRODUCT(($B3='Landbrugsareal - resultat'!$B$6:$B$19)*(INDEX('Landbrugsareal - resultat'!$L$6:$N$19,,MATCH($D3,'Landbrugsareal - resultat'!$L$5:$N$5,0)))),IF(I$2=2030,SUMPRODUCT(($B3='Landbrugsareal - resultat'!$B$6:$B$19)*(INDEX('Landbrugsareal - resultat'!$O$6:$Q$19,,MATCH($D3,'Landbrugsareal - resultat'!$O$5:$Q$5,0)))),SUMPRODUCT(($B3='Landbrugsareal - resultat'!$B$6:$B$19)*(INDEX('Landbrugsareal - resultat'!$R$6:$T$19,,MATCH($D3,'Landbrugsareal - resultat'!$R$5:$T$5,0))))))),IF($C3="Konventionel",IF(I$2=2019,SUMPRODUCT((C3='Landbrugsareal - resultat'!$B$33:$B$46)*(INDEX('Landbrugsareal - resultat'!$C$33:$E$46,,MATCH($D3,'Landbrugsareal - resultat'!$C$5:$E$5,0)))),IF(I$2=2030,SUMPRODUCT(($B3='Landbrugsareal - resultat'!$B$33:$B$46)*(INDEX('Landbrugsareal - resultat'!$F$33:$H$46,,MATCH($D3,'Landbrugsareal - resultat'!$F$5:$H$5,0)))),SUMPRODUCT(($B3='Landbrugsareal - resultat'!$B$33:$B$46)*(INDEX('Landbrugsareal - resultat'!$I$33:$K$46,,MATCH($D3,'Landbrugsareal - resultat'!$I$5:$K$5,0)))))),IF(I$2=2019,SUMPRODUCT(($B3='Landbrugsareal - resultat'!$B$33:$B$46)*(INDEX('Landbrugsareal - resultat'!$L$33:$N$46,,MATCH($D3,'Landbrugsareal - resultat'!$L$5:$N$5,0)))),IF(I$2=2030,SUMPRODUCT(($B3='Landbrugsareal - resultat'!$B$33:$B$46)*(INDEX('Landbrugsareal - resultat'!$O$33:$Q$46,,MATCH($D3,'Landbrugsareal - resultat'!$O$5:$Q$5,0)))),SUMPRODUCT(($B3='Landbrugsareal - resultat'!$B$33:$B$46)*(INDEX('Landbrugsareal - resultat'!$R$33:$T$46,,MATCH($D3,'Landbrugsareal - resultat'!$R$5:$T$5,0))))))))</f>
        <v>774548.48763626383</v>
      </c>
    </row>
    <row r="4" spans="1:9" x14ac:dyDescent="0.25">
      <c r="A4" t="s">
        <v>23</v>
      </c>
      <c r="B4" s="1" t="str">
        <f>[1]Afgrødefordeling!$C$3</f>
        <v>Bælgsæd</v>
      </c>
      <c r="C4" t="s">
        <v>7</v>
      </c>
      <c r="D4" t="str">
        <f t="shared" si="0"/>
        <v>JB1-10</v>
      </c>
      <c r="F4" t="str">
        <f t="shared" ref="F4:F67" si="1">CONCATENATE("Areal-",IF(LEFT(B4,3)&lt;&gt;"Pil",IF(LEFT(B4,3)&lt;&gt;"Frø",LOWER(B4),"frøgræs"),"pil-poppel"))</f>
        <v>Areal-bælgsæd</v>
      </c>
      <c r="G4" s="96" cm="1">
        <f t="array" ref="G4">IF($A4="Vestdanmark",IF($C4="Konventionel",IF(G$2=2019,SUMPRODUCT(($B4='Landbrugsareal - resultat'!$B$6:$B$19)*(INDEX('Landbrugsareal - resultat'!$C$6:$E$19,,MATCH($D4,'Landbrugsareal - resultat'!$C$5:$E$5,0)))),IF(G$2=2030,SUMPRODUCT(($B4='Landbrugsareal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resultat'!$I$5:$K$5,0)))))),IF(G$2=2019,SUMPRODUCT(($B4='Landbrugsareal - resultat'!$B$6:$B$19)*(INDEX('Landbrugsareal - resultat'!$L$6:$N$19,,MATCH($D4,'Landbrugsareal - resultat'!$L$5:$N$5,0)))),IF(G$2=2030,SUMPRODUCT(($B4='Landbrugsareal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resultat'!$R$5:$T$5,0))))))),IF($C4="Konventionel",IF(G$2=2019,SUMPRODUCT((B4='Landbrugsareal - resultat'!$B$33:$B$46)*(INDEX('Landbrugsareal - resultat'!$C$33:$E$46,,MATCH($D4,'Landbrugsareal - resultat'!$C$5:$E$5,0)))),IF(G$2=2030,SUMPRODUCT(($B4='Landbrugsareal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resultat'!$I$5:$K$5,0)))))),IF(G$2=2019,SUMPRODUCT(($B4='Landbrugsareal - resultat'!$B$33:$B$46)*(INDEX('Landbrugsareal - resultat'!$L$33:$N$46,,MATCH($D4,'Landbrugsareal - resultat'!$L$5:$N$5,0)))),IF(G$2=2030,SUMPRODUCT(($B4='Landbrugsareal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59143.999319161092</v>
      </c>
      <c r="H4" s="96" cm="1">
        <f t="array" ref="H4">IF($A4="Vestdanmark",IF($C4="Konventionel",IF(H$2=2019,SUMPRODUCT(($B4='Landbrugsareal - resultat'!$B$6:$B$19)*(INDEX('Landbrugsareal - resultat'!$C$6:$E$19,,MATCH($D4,'Landbrugsareal - resultat'!$C$5:$E$5,0)))),IF(H$2=2030,SUMPRODUCT(($B4='Landbrugsareal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resultat'!$I$5:$K$5,0)))))),IF(H$2=2019,SUMPRODUCT(($B4='Landbrugsareal - resultat'!$B$6:$B$19)*(INDEX('Landbrugsareal - resultat'!$L$6:$N$19,,MATCH($D4,'Landbrugsareal - resultat'!$L$5:$N$5,0)))),IF(H$2=2030,SUMPRODUCT(($B4='Landbrugsareal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resultat'!$R$5:$T$5,0))))))),IF($C4="Konventionel",IF(H$2=2019,SUMPRODUCT(($B4='Landbrugsareal - resultat'!$B$33:$B$46)*(INDEX('Landbrugsareal - resultat'!$C$33:$E$46,,MATCH($D4,'Landbrugsareal - resultat'!$C$5:$E$5,0)))),IF(H$2=2030,SUMPRODUCT(($B4='Landbrugsareal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resultat'!$I$5:$K$5,0)))))),IF(H$2=2019,SUMPRODUCT(($B4='Landbrugsareal - resultat'!$B$33:$B$46)*(INDEX('Landbrugsareal - resultat'!$L$33:$N$46,,MATCH($D4,'Landbrugsareal - resultat'!$L$5:$N$5,0)))),IF(H$2=2030,SUMPRODUCT(($B4='Landbrugsareal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57136.166679995331</v>
      </c>
      <c r="I4" s="96" cm="1">
        <f t="array" ref="I4">IF($A4="Vestdanmark",IF($C4="Konventionel",IF(I$2=2019,SUMPRODUCT(($B4='Landbrugsareal - resultat'!$B$6:$B$19)*(INDEX('Landbrugsareal - resultat'!$C$6:$E$19,,MATCH($D4,'Landbrugsareal - resultat'!$C$5:$E$5,0)))),IF(I$2=2030,SUMPRODUCT(($B4='Landbrugsareal - resultat'!$B$6:$B$19)*(INDEX('Landbrugsareal - resultat'!$F$6:$H$19,,MATCH($D4,'Landbrugsareal - resultat'!$F$5:$H$5,0)))),SUMPRODUCT(($B4='Landbrugsareal - resultat'!$B$6:$B$19)*(INDEX('Landbrugsareal - resultat'!$I$6:$K$19,,MATCH($D4,'Landbrugsareal - resultat'!$I$5:$K$5,0)))))),IF(I$2=2019,SUMPRODUCT(($B4='Landbrugsareal - resultat'!$B$6:$B$19)*(INDEX('Landbrugsareal - resultat'!$L$6:$N$19,,MATCH($D4,'Landbrugsareal - resultat'!$L$5:$N$5,0)))),IF(I$2=2030,SUMPRODUCT(($B4='Landbrugsareal - resultat'!$B$6:$B$19)*(INDEX('Landbrugsareal - resultat'!$O$6:$Q$19,,MATCH($D4,'Landbrugsareal - resultat'!$O$5:$Q$5,0)))),SUMPRODUCT(($B4='Landbrugsareal - resultat'!$B$6:$B$19)*(INDEX('Landbrugsareal - resultat'!$R$6:$T$19,,MATCH($D4,'Landbrugsareal - resultat'!$R$5:$T$5,0))))))),IF($C4="Konventionel",IF(I$2=2019,SUMPRODUCT((C4='Landbrugsareal - resultat'!$B$33:$B$46)*(INDEX('Landbrugsareal - resultat'!$C$33:$E$46,,MATCH($D4,'Landbrugsareal - resultat'!$C$5:$E$5,0)))),IF(I$2=2030,SUMPRODUCT(($B4='Landbrugsareal - resultat'!$B$33:$B$46)*(INDEX('Landbrugsareal - resultat'!$F$33:$H$46,,MATCH($D4,'Landbrugsareal - resultat'!$F$5:$H$5,0)))),SUMPRODUCT(($B4='Landbrugsareal - resultat'!$B$33:$B$46)*(INDEX('Landbrugsareal - resultat'!$I$33:$K$46,,MATCH($D4,'Landbrugsareal - resultat'!$I$5:$K$5,0)))))),IF(I$2=2019,SUMPRODUCT(($B4='Landbrugsareal - resultat'!$B$33:$B$46)*(INDEX('Landbrugsareal - resultat'!$L$33:$N$46,,MATCH($D4,'Landbrugsareal - resultat'!$L$5:$N$5,0)))),IF(I$2=2030,SUMPRODUCT(($B4='Landbrugsareal - resultat'!$B$33:$B$46)*(INDEX('Landbrugsareal - resultat'!$O$33:$Q$46,,MATCH($D4,'Landbrugsareal - resultat'!$O$5:$Q$5,0)))),SUMPRODUCT(($B4='Landbrugsareal - resultat'!$B$33:$B$46)*(INDEX('Landbrugsareal - resultat'!$R$33:$T$46,,MATCH($D4,'Landbrugsareal - resultat'!$R$5:$T$5,0))))))))</f>
        <v>53514.728681838846</v>
      </c>
    </row>
    <row r="5" spans="1:9" x14ac:dyDescent="0.25">
      <c r="A5" t="s">
        <v>23</v>
      </c>
      <c r="B5" s="1" t="str">
        <f>[1]Afgrødefordeling!$C$4</f>
        <v>Raps</v>
      </c>
      <c r="C5" t="s">
        <v>7</v>
      </c>
      <c r="D5" t="str">
        <f t="shared" si="0"/>
        <v>JB1-10</v>
      </c>
      <c r="F5" t="str">
        <f t="shared" si="1"/>
        <v>Areal-raps</v>
      </c>
      <c r="G5" s="96" cm="1">
        <f t="array" ref="G5">IF($A5="Vestdanmark",IF($C5="Konventionel",IF(G$2=2019,SUMPRODUCT(($B5='Landbrugsareal - resultat'!$B$6:$B$19)*(INDEX('Landbrugsareal - resultat'!$C$6:$E$19,,MATCH($D5,'Landbrugsareal - resultat'!$C$5:$E$5,0)))),IF(G$2=2030,SUMPRODUCT(($B5='Landbrugsareal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resultat'!$I$5:$K$5,0)))))),IF(G$2=2019,SUMPRODUCT(($B5='Landbrugsareal - resultat'!$B$6:$B$19)*(INDEX('Landbrugsareal - resultat'!$L$6:$N$19,,MATCH($D5,'Landbrugsareal - resultat'!$L$5:$N$5,0)))),IF(G$2=2030,SUMPRODUCT(($B5='Landbrugsareal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resultat'!$R$5:$T$5,0))))))),IF($C5="Konventionel",IF(G$2=2019,SUMPRODUCT((B5='Landbrugsareal - resultat'!$B$33:$B$46)*(INDEX('Landbrugsareal - resultat'!$C$33:$E$46,,MATCH($D5,'Landbrugsareal - resultat'!$C$5:$E$5,0)))),IF(G$2=2030,SUMPRODUCT(($B5='Landbrugsareal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resultat'!$I$5:$K$5,0)))))),IF(G$2=2019,SUMPRODUCT(($B5='Landbrugsareal - resultat'!$B$33:$B$46)*(INDEX('Landbrugsareal - resultat'!$L$33:$N$46,,MATCH($D5,'Landbrugsareal - resultat'!$L$5:$N$5,0)))),IF(G$2=2030,SUMPRODUCT(($B5='Landbrugsareal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99458.982869280968</v>
      </c>
      <c r="H5" s="96" cm="1">
        <f t="array" ref="H5">IF($A5="Vestdanmark",IF($C5="Konventionel",IF(H$2=2019,SUMPRODUCT(($B5='Landbrugsareal - resultat'!$B$6:$B$19)*(INDEX('Landbrugsareal - resultat'!$C$6:$E$19,,MATCH($D5,'Landbrugsareal - resultat'!$C$5:$E$5,0)))),IF(H$2=2030,SUMPRODUCT(($B5='Landbrugsareal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resultat'!$I$5:$K$5,0)))))),IF(H$2=2019,SUMPRODUCT(($B5='Landbrugsareal - resultat'!$B$6:$B$19)*(INDEX('Landbrugsareal - resultat'!$L$6:$N$19,,MATCH($D5,'Landbrugsareal - resultat'!$L$5:$N$5,0)))),IF(H$2=2030,SUMPRODUCT(($B5='Landbrugsareal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resultat'!$R$5:$T$5,0))))))),IF($C5="Konventionel",IF(H$2=2019,SUMPRODUCT(($B5='Landbrugsareal - resultat'!$B$33:$B$46)*(INDEX('Landbrugsareal - resultat'!$C$33:$E$46,,MATCH($D5,'Landbrugsareal - resultat'!$C$5:$E$5,0)))),IF(H$2=2030,SUMPRODUCT(($B5='Landbrugsareal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resultat'!$I$5:$K$5,0)))))),IF(H$2=2019,SUMPRODUCT(($B5='Landbrugsareal - resultat'!$B$33:$B$46)*(INDEX('Landbrugsareal - resultat'!$L$33:$N$46,,MATCH($D5,'Landbrugsareal - resultat'!$L$5:$N$5,0)))),IF(H$2=2030,SUMPRODUCT(($B5='Landbrugsareal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96082.528886425716</v>
      </c>
      <c r="I5" s="96" cm="1">
        <f t="array" ref="I5">IF($A5="Vestdanmark",IF($C5="Konventionel",IF(I$2=2019,SUMPRODUCT(($B5='Landbrugsareal - resultat'!$B$6:$B$19)*(INDEX('Landbrugsareal - resultat'!$C$6:$E$19,,MATCH($D5,'Landbrugsareal - resultat'!$C$5:$E$5,0)))),IF(I$2=2030,SUMPRODUCT(($B5='Landbrugsareal - resultat'!$B$6:$B$19)*(INDEX('Landbrugsareal - resultat'!$F$6:$H$19,,MATCH($D5,'Landbrugsareal - resultat'!$F$5:$H$5,0)))),SUMPRODUCT(($B5='Landbrugsareal - resultat'!$B$6:$B$19)*(INDEX('Landbrugsareal - resultat'!$I$6:$K$19,,MATCH($D5,'Landbrugsareal - resultat'!$I$5:$K$5,0)))))),IF(I$2=2019,SUMPRODUCT(($B5='Landbrugsareal - resultat'!$B$6:$B$19)*(INDEX('Landbrugsareal - resultat'!$L$6:$N$19,,MATCH($D5,'Landbrugsareal - resultat'!$L$5:$N$5,0)))),IF(I$2=2030,SUMPRODUCT(($B5='Landbrugsareal - resultat'!$B$6:$B$19)*(INDEX('Landbrugsareal - resultat'!$O$6:$Q$19,,MATCH($D5,'Landbrugsareal - resultat'!$O$5:$Q$5,0)))),SUMPRODUCT(($B5='Landbrugsareal - resultat'!$B$6:$B$19)*(INDEX('Landbrugsareal - resultat'!$R$6:$T$19,,MATCH($D5,'Landbrugsareal - resultat'!$R$5:$T$5,0))))))),IF($C5="Konventionel",IF(I$2=2019,SUMPRODUCT((C5='Landbrugsareal - resultat'!$B$33:$B$46)*(INDEX('Landbrugsareal - resultat'!$C$33:$E$46,,MATCH($D5,'Landbrugsareal - resultat'!$C$5:$E$5,0)))),IF(I$2=2030,SUMPRODUCT(($B5='Landbrugsareal - resultat'!$B$33:$B$46)*(INDEX('Landbrugsareal - resultat'!$F$33:$H$46,,MATCH($D5,'Landbrugsareal - resultat'!$F$5:$H$5,0)))),SUMPRODUCT(($B5='Landbrugsareal - resultat'!$B$33:$B$46)*(INDEX('Landbrugsareal - resultat'!$I$33:$K$46,,MATCH($D5,'Landbrugsareal - resultat'!$I$5:$K$5,0)))))),IF(I$2=2019,SUMPRODUCT(($B5='Landbrugsareal - resultat'!$B$33:$B$46)*(INDEX('Landbrugsareal - resultat'!$L$33:$N$46,,MATCH($D5,'Landbrugsareal - resultat'!$L$5:$N$5,0)))),IF(I$2=2030,SUMPRODUCT(($B5='Landbrugsareal - resultat'!$B$33:$B$46)*(INDEX('Landbrugsareal - resultat'!$O$33:$Q$46,,MATCH($D5,'Landbrugsareal - resultat'!$O$5:$Q$5,0)))),SUMPRODUCT(($B5='Landbrugsareal - resultat'!$B$33:$B$46)*(INDEX('Landbrugsareal - resultat'!$R$33:$T$46,,MATCH($D5,'Landbrugsareal - resultat'!$R$5:$T$5,0))))))))</f>
        <v>89992.569736434336</v>
      </c>
    </row>
    <row r="6" spans="1:9" x14ac:dyDescent="0.25">
      <c r="A6" t="s">
        <v>23</v>
      </c>
      <c r="B6" s="1" t="str">
        <f>[1]Afgrødefordeling!$C$5</f>
        <v>Græs</v>
      </c>
      <c r="C6" t="s">
        <v>7</v>
      </c>
      <c r="D6" t="str">
        <f t="shared" si="0"/>
        <v>JB1-10</v>
      </c>
      <c r="F6" t="str">
        <f t="shared" si="1"/>
        <v>Areal-græs</v>
      </c>
      <c r="G6" s="96" cm="1">
        <f t="array" ref="G6">IF($A6="Vestdanmark",IF($C6="Konventionel",IF(G$2=2019,SUMPRODUCT(($B6='Landbrugsareal - resultat'!$B$6:$B$19)*(INDEX('Landbrugsareal - resultat'!$C$6:$E$19,,MATCH($D6,'Landbrugsareal - resultat'!$C$5:$E$5,0)))),IF(G$2=2030,SUMPRODUCT(($B6='Landbrugsareal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resultat'!$I$5:$K$5,0)))))),IF(G$2=2019,SUMPRODUCT(($B6='Landbrugsareal - resultat'!$B$6:$B$19)*(INDEX('Landbrugsareal - resultat'!$L$6:$N$19,,MATCH($D6,'Landbrugsareal - resultat'!$L$5:$N$5,0)))),IF(G$2=2030,SUMPRODUCT(($B6='Landbrugsareal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resultat'!$R$5:$T$5,0))))))),IF($C6="Konventionel",IF(G$2=2019,SUMPRODUCT((B6='Landbrugsareal - resultat'!$B$33:$B$46)*(INDEX('Landbrugsareal - resultat'!$C$33:$E$46,,MATCH($D6,'Landbrugsareal - resultat'!$C$5:$E$5,0)))),IF(G$2=2030,SUMPRODUCT(($B6='Landbrugsareal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resultat'!$I$5:$K$5,0)))))),IF(G$2=2019,SUMPRODUCT(($B6='Landbrugsareal - resultat'!$B$33:$B$46)*(INDEX('Landbrugsareal - resultat'!$L$33:$N$46,,MATCH($D6,'Landbrugsareal - resultat'!$L$5:$N$5,0)))),IF(G$2=2030,SUMPRODUCT(($B6='Landbrugsareal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189636.9989648702</v>
      </c>
      <c r="H6" s="96" cm="1">
        <f t="array" ref="H6">IF($A6="Vestdanmark",IF($C6="Konventionel",IF(H$2=2019,SUMPRODUCT(($B6='Landbrugsareal - resultat'!$B$6:$B$19)*(INDEX('Landbrugsareal - resultat'!$C$6:$E$19,,MATCH($D6,'Landbrugsareal - resultat'!$C$5:$E$5,0)))),IF(H$2=2030,SUMPRODUCT(($B6='Landbrugsareal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resultat'!$I$5:$K$5,0)))))),IF(H$2=2019,SUMPRODUCT(($B6='Landbrugsareal - resultat'!$B$6:$B$19)*(INDEX('Landbrugsareal - resultat'!$L$6:$N$19,,MATCH($D6,'Landbrugsareal - resultat'!$L$5:$N$5,0)))),IF(H$2=2030,SUMPRODUCT(($B6='Landbrugsareal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resultat'!$R$5:$T$5,0))))))),IF($C6="Konventionel",IF(H$2=2019,SUMPRODUCT(($B6='Landbrugsareal - resultat'!$B$33:$B$46)*(INDEX('Landbrugsareal - resultat'!$C$33:$E$46,,MATCH($D6,'Landbrugsareal - resultat'!$C$5:$E$5,0)))),IF(H$2=2030,SUMPRODUCT(($B6='Landbrugsareal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resultat'!$I$5:$K$5,0)))))),IF(H$2=2019,SUMPRODUCT(($B6='Landbrugsareal - resultat'!$B$33:$B$46)*(INDEX('Landbrugsareal - resultat'!$L$33:$N$46,,MATCH($D6,'Landbrugsareal - resultat'!$L$5:$N$5,0)))),IF(H$2=2030,SUMPRODUCT(($B6='Landbrugsareal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183199.16316583334</v>
      </c>
      <c r="I6" s="96" cm="1">
        <f t="array" ref="I6">IF($A6="Vestdanmark",IF($C6="Konventionel",IF(I$2=2019,SUMPRODUCT(($B6='Landbrugsareal - resultat'!$B$6:$B$19)*(INDEX('Landbrugsareal - resultat'!$C$6:$E$19,,MATCH($D6,'Landbrugsareal - resultat'!$C$5:$E$5,0)))),IF(I$2=2030,SUMPRODUCT(($B6='Landbrugsareal - resultat'!$B$6:$B$19)*(INDEX('Landbrugsareal - resultat'!$F$6:$H$19,,MATCH($D6,'Landbrugsareal - resultat'!$F$5:$H$5,0)))),SUMPRODUCT(($B6='Landbrugsareal - resultat'!$B$6:$B$19)*(INDEX('Landbrugsareal - resultat'!$I$6:$K$19,,MATCH($D6,'Landbrugsareal - resultat'!$I$5:$K$5,0)))))),IF(I$2=2019,SUMPRODUCT(($B6='Landbrugsareal - resultat'!$B$6:$B$19)*(INDEX('Landbrugsareal - resultat'!$L$6:$N$19,,MATCH($D6,'Landbrugsareal - resultat'!$L$5:$N$5,0)))),IF(I$2=2030,SUMPRODUCT(($B6='Landbrugsareal - resultat'!$B$6:$B$19)*(INDEX('Landbrugsareal - resultat'!$O$6:$Q$19,,MATCH($D6,'Landbrugsareal - resultat'!$O$5:$Q$5,0)))),SUMPRODUCT(($B6='Landbrugsareal - resultat'!$B$6:$B$19)*(INDEX('Landbrugsareal - resultat'!$R$6:$T$19,,MATCH($D6,'Landbrugsareal - resultat'!$R$5:$T$5,0))))))),IF($C6="Konventionel",IF(I$2=2019,SUMPRODUCT((C6='Landbrugsareal - resultat'!$B$33:$B$46)*(INDEX('Landbrugsareal - resultat'!$C$33:$E$46,,MATCH($D6,'Landbrugsareal - resultat'!$C$5:$E$5,0)))),IF(I$2=2030,SUMPRODUCT(($B6='Landbrugsareal - resultat'!$B$33:$B$46)*(INDEX('Landbrugsareal - resultat'!$F$33:$H$46,,MATCH($D6,'Landbrugsareal - resultat'!$F$5:$H$5,0)))),SUMPRODUCT(($B6='Landbrugsareal - resultat'!$B$33:$B$46)*(INDEX('Landbrugsareal - resultat'!$I$33:$K$46,,MATCH($D6,'Landbrugsareal - resultat'!$I$5:$K$5,0)))))),IF(I$2=2019,SUMPRODUCT(($B6='Landbrugsareal - resultat'!$B$33:$B$46)*(INDEX('Landbrugsareal - resultat'!$L$33:$N$46,,MATCH($D6,'Landbrugsareal - resultat'!$L$5:$N$5,0)))),IF(I$2=2030,SUMPRODUCT(($B6='Landbrugsareal - resultat'!$B$33:$B$46)*(INDEX('Landbrugsareal - resultat'!$O$33:$Q$46,,MATCH($D6,'Landbrugsareal - resultat'!$O$5:$Q$5,0)))),SUMPRODUCT(($B6='Landbrugsareal - resultat'!$B$33:$B$46)*(INDEX('Landbrugsareal - resultat'!$R$33:$T$46,,MATCH($D6,'Landbrugsareal - resultat'!$R$5:$T$5,0))))))))</f>
        <v>171587.52645182351</v>
      </c>
    </row>
    <row r="7" spans="1:9" x14ac:dyDescent="0.25">
      <c r="A7" t="s">
        <v>23</v>
      </c>
      <c r="B7" s="1" t="str">
        <f>[1]Afgrødefordeling!$C$6</f>
        <v>Grøntsager</v>
      </c>
      <c r="C7" t="s">
        <v>7</v>
      </c>
      <c r="D7" t="str">
        <f t="shared" si="0"/>
        <v>JB1-10</v>
      </c>
      <c r="F7" t="str">
        <f t="shared" si="1"/>
        <v>Areal-grøntsager</v>
      </c>
      <c r="G7" s="96" cm="1">
        <f t="array" ref="G7">IF($A7="Vestdanmark",IF($C7="Konventionel",IF(G$2=2019,SUMPRODUCT(($B7='Landbrugsareal - resultat'!$B$6:$B$19)*(INDEX('Landbrugsareal - resultat'!$C$6:$E$19,,MATCH($D7,'Landbrugsareal - resultat'!$C$5:$E$5,0)))),IF(G$2=2030,SUMPRODUCT(($B7='Landbrugsareal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resultat'!$I$5:$K$5,0)))))),IF(G$2=2019,SUMPRODUCT(($B7='Landbrugsareal - resultat'!$B$6:$B$19)*(INDEX('Landbrugsareal - resultat'!$L$6:$N$19,,MATCH($D7,'Landbrugsareal - resultat'!$L$5:$N$5,0)))),IF(G$2=2030,SUMPRODUCT(($B7='Landbrugsareal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resultat'!$R$5:$T$5,0))))))),IF($C7="Konventionel",IF(G$2=2019,SUMPRODUCT((B7='Landbrugsareal - resultat'!$B$33:$B$46)*(INDEX('Landbrugsareal - resultat'!$C$33:$E$46,,MATCH($D7,'Landbrugsareal - resultat'!$C$5:$E$5,0)))),IF(G$2=2030,SUMPRODUCT(($B7='Landbrugsareal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resultat'!$I$5:$K$5,0)))))),IF(G$2=2019,SUMPRODUCT(($B7='Landbrugsareal - resultat'!$B$33:$B$46)*(INDEX('Landbrugsareal - resultat'!$L$33:$N$46,,MATCH($D7,'Landbrugsareal - resultat'!$L$5:$N$5,0)))),IF(G$2=2030,SUMPRODUCT(($B7='Landbrugsareal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7338.5205805106789</v>
      </c>
      <c r="H7" s="96" cm="1">
        <f t="array" ref="H7">IF($A7="Vestdanmark",IF($C7="Konventionel",IF(H$2=2019,SUMPRODUCT(($B7='Landbrugsareal - resultat'!$B$6:$B$19)*(INDEX('Landbrugsareal - resultat'!$C$6:$E$19,,MATCH($D7,'Landbrugsareal - resultat'!$C$5:$E$5,0)))),IF(H$2=2030,SUMPRODUCT(($B7='Landbrugsareal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resultat'!$I$5:$K$5,0)))))),IF(H$2=2019,SUMPRODUCT(($B7='Landbrugsareal - resultat'!$B$6:$B$19)*(INDEX('Landbrugsareal - resultat'!$L$6:$N$19,,MATCH($D7,'Landbrugsareal - resultat'!$L$5:$N$5,0)))),IF(H$2=2030,SUMPRODUCT(($B7='Landbrugsareal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resultat'!$R$5:$T$5,0))))))),IF($C7="Konventionel",IF(H$2=2019,SUMPRODUCT(($B7='Landbrugsareal - resultat'!$B$33:$B$46)*(INDEX('Landbrugsareal - resultat'!$C$33:$E$46,,MATCH($D7,'Landbrugsareal - resultat'!$C$5:$E$5,0)))),IF(H$2=2030,SUMPRODUCT(($B7='Landbrugsareal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resultat'!$I$5:$K$5,0)))))),IF(H$2=2019,SUMPRODUCT(($B7='Landbrugsareal - resultat'!$B$33:$B$46)*(INDEX('Landbrugsareal - resultat'!$L$33:$N$46,,MATCH($D7,'Landbrugsareal - resultat'!$L$5:$N$5,0)))),IF(H$2=2030,SUMPRODUCT(($B7='Landbrugsareal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7089.3909762506346</v>
      </c>
      <c r="I7" s="96" cm="1">
        <f t="array" ref="I7">IF($A7="Vestdanmark",IF($C7="Konventionel",IF(I$2=2019,SUMPRODUCT(($B7='Landbrugsareal - resultat'!$B$6:$B$19)*(INDEX('Landbrugsareal - resultat'!$C$6:$E$19,,MATCH($D7,'Landbrugsareal - resultat'!$C$5:$E$5,0)))),IF(I$2=2030,SUMPRODUCT(($B7='Landbrugsareal - resultat'!$B$6:$B$19)*(INDEX('Landbrugsareal - resultat'!$F$6:$H$19,,MATCH($D7,'Landbrugsareal - resultat'!$F$5:$H$5,0)))),SUMPRODUCT(($B7='Landbrugsareal - resultat'!$B$6:$B$19)*(INDEX('Landbrugsareal - resultat'!$I$6:$K$19,,MATCH($D7,'Landbrugsareal - resultat'!$I$5:$K$5,0)))))),IF(I$2=2019,SUMPRODUCT(($B7='Landbrugsareal - resultat'!$B$6:$B$19)*(INDEX('Landbrugsareal - resultat'!$L$6:$N$19,,MATCH($D7,'Landbrugsareal - resultat'!$L$5:$N$5,0)))),IF(I$2=2030,SUMPRODUCT(($B7='Landbrugsareal - resultat'!$B$6:$B$19)*(INDEX('Landbrugsareal - resultat'!$O$6:$Q$19,,MATCH($D7,'Landbrugsareal - resultat'!$O$5:$Q$5,0)))),SUMPRODUCT(($B7='Landbrugsareal - resultat'!$B$6:$B$19)*(INDEX('Landbrugsareal - resultat'!$R$6:$T$19,,MATCH($D7,'Landbrugsareal - resultat'!$R$5:$T$5,0))))))),IF($C7="Konventionel",IF(I$2=2019,SUMPRODUCT((C7='Landbrugsareal - resultat'!$B$33:$B$46)*(INDEX('Landbrugsareal - resultat'!$C$33:$E$46,,MATCH($D7,'Landbrugsareal - resultat'!$C$5:$E$5,0)))),IF(I$2=2030,SUMPRODUCT(($B7='Landbrugsareal - resultat'!$B$33:$B$46)*(INDEX('Landbrugsareal - resultat'!$F$33:$H$46,,MATCH($D7,'Landbrugsareal - resultat'!$F$5:$H$5,0)))),SUMPRODUCT(($B7='Landbrugsareal - resultat'!$B$33:$B$46)*(INDEX('Landbrugsareal - resultat'!$I$33:$K$46,,MATCH($D7,'Landbrugsareal - resultat'!$I$5:$K$5,0)))))),IF(I$2=2019,SUMPRODUCT(($B7='Landbrugsareal - resultat'!$B$33:$B$46)*(INDEX('Landbrugsareal - resultat'!$L$33:$N$46,,MATCH($D7,'Landbrugsareal - resultat'!$L$5:$N$5,0)))),IF(I$2=2030,SUMPRODUCT(($B7='Landbrugsareal - resultat'!$B$33:$B$46)*(INDEX('Landbrugsareal - resultat'!$O$33:$Q$46,,MATCH($D7,'Landbrugsareal - resultat'!$O$5:$Q$5,0)))),SUMPRODUCT(($B7='Landbrugsareal - resultat'!$B$33:$B$46)*(INDEX('Landbrugsareal - resultat'!$R$33:$T$46,,MATCH($D7,'Landbrugsareal - resultat'!$R$5:$T$5,0))))))))</f>
        <v>6640.0470430292489</v>
      </c>
    </row>
    <row r="8" spans="1:9" x14ac:dyDescent="0.25">
      <c r="A8" t="s">
        <v>23</v>
      </c>
      <c r="B8" s="1" t="str">
        <f>[1]Afgrødefordeling!$C$7</f>
        <v>Kartofler</v>
      </c>
      <c r="C8" t="s">
        <v>7</v>
      </c>
      <c r="D8" t="str">
        <f t="shared" si="0"/>
        <v>JB1-10</v>
      </c>
      <c r="F8" t="str">
        <f t="shared" si="1"/>
        <v>Areal-kartofler</v>
      </c>
      <c r="G8" s="96" cm="1">
        <f t="array" ref="G8">IF($A8="Vestdanmark",IF($C8="Konventionel",IF(G$2=2019,SUMPRODUCT(($B8='Landbrugsareal - resultat'!$B$6:$B$19)*(INDEX('Landbrugsareal - resultat'!$C$6:$E$19,,MATCH($D8,'Landbrugsareal - resultat'!$C$5:$E$5,0)))),IF(G$2=2030,SUMPRODUCT(($B8='Landbrugsareal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resultat'!$I$5:$K$5,0)))))),IF(G$2=2019,SUMPRODUCT(($B8='Landbrugsareal - resultat'!$B$6:$B$19)*(INDEX('Landbrugsareal - resultat'!$L$6:$N$19,,MATCH($D8,'Landbrugsareal - resultat'!$L$5:$N$5,0)))),IF(G$2=2030,SUMPRODUCT(($B8='Landbrugsareal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resultat'!$R$5:$T$5,0))))))),IF($C8="Konventionel",IF(G$2=2019,SUMPRODUCT((B8='Landbrugsareal - resultat'!$B$33:$B$46)*(INDEX('Landbrugsareal - resultat'!$C$33:$E$46,,MATCH($D8,'Landbrugsareal - resultat'!$C$5:$E$5,0)))),IF(G$2=2030,SUMPRODUCT(($B8='Landbrugsareal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resultat'!$I$5:$K$5,0)))))),IF(G$2=2019,SUMPRODUCT(($B8='Landbrugsareal - resultat'!$B$33:$B$46)*(INDEX('Landbrugsareal - resultat'!$L$33:$N$46,,MATCH($D8,'Landbrugsareal - resultat'!$L$5:$N$5,0)))),IF(G$2=2030,SUMPRODUCT(($B8='Landbrugsareal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43716.498839298802</v>
      </c>
      <c r="H8" s="96" cm="1">
        <f t="array" ref="H8">IF($A8="Vestdanmark",IF($C8="Konventionel",IF(H$2=2019,SUMPRODUCT(($B8='Landbrugsareal - resultat'!$B$6:$B$19)*(INDEX('Landbrugsareal - resultat'!$C$6:$E$19,,MATCH($D8,'Landbrugsareal - resultat'!$C$5:$E$5,0)))),IF(H$2=2030,SUMPRODUCT(($B8='Landbrugsareal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resultat'!$I$5:$K$5,0)))))),IF(H$2=2019,SUMPRODUCT(($B8='Landbrugsareal - resultat'!$B$6:$B$19)*(INDEX('Landbrugsareal - resultat'!$L$6:$N$19,,MATCH($D8,'Landbrugsareal - resultat'!$L$5:$N$5,0)))),IF(H$2=2030,SUMPRODUCT(($B8='Landbrugsareal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resultat'!$R$5:$T$5,0))))))),IF($C8="Konventionel",IF(H$2=2019,SUMPRODUCT(($B8='Landbrugsareal - resultat'!$B$33:$B$46)*(INDEX('Landbrugsareal - resultat'!$C$33:$E$46,,MATCH($D8,'Landbrugsareal - resultat'!$C$5:$E$5,0)))),IF(H$2=2030,SUMPRODUCT(($B8='Landbrugsareal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resultat'!$I$5:$K$5,0)))))),IF(H$2=2019,SUMPRODUCT(($B8='Landbrugsareal - resultat'!$B$33:$B$46)*(INDEX('Landbrugsareal - resultat'!$L$33:$N$46,,MATCH($D8,'Landbrugsareal - resultat'!$L$5:$N$5,0)))),IF(H$2=2030,SUMPRODUCT(($B8='Landbrugsareal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42232.402155780161</v>
      </c>
      <c r="I8" s="96" cm="1">
        <f t="array" ref="I8">IF($A8="Vestdanmark",IF($C8="Konventionel",IF(I$2=2019,SUMPRODUCT(($B8='Landbrugsareal - resultat'!$B$6:$B$19)*(INDEX('Landbrugsareal - resultat'!$C$6:$E$19,,MATCH($D8,'Landbrugsareal - resultat'!$C$5:$E$5,0)))),IF(I$2=2030,SUMPRODUCT(($B8='Landbrugsareal - resultat'!$B$6:$B$19)*(INDEX('Landbrugsareal - resultat'!$F$6:$H$19,,MATCH($D8,'Landbrugsareal - resultat'!$F$5:$H$5,0)))),SUMPRODUCT(($B8='Landbrugsareal - resultat'!$B$6:$B$19)*(INDEX('Landbrugsareal - resultat'!$I$6:$K$19,,MATCH($D8,'Landbrugsareal - resultat'!$I$5:$K$5,0)))))),IF(I$2=2019,SUMPRODUCT(($B8='Landbrugsareal - resultat'!$B$6:$B$19)*(INDEX('Landbrugsareal - resultat'!$L$6:$N$19,,MATCH($D8,'Landbrugsareal - resultat'!$L$5:$N$5,0)))),IF(I$2=2030,SUMPRODUCT(($B8='Landbrugsareal - resultat'!$B$6:$B$19)*(INDEX('Landbrugsareal - resultat'!$O$6:$Q$19,,MATCH($D8,'Landbrugsareal - resultat'!$O$5:$Q$5,0)))),SUMPRODUCT(($B8='Landbrugsareal - resultat'!$B$6:$B$19)*(INDEX('Landbrugsareal - resultat'!$R$6:$T$19,,MATCH($D8,'Landbrugsareal - resultat'!$R$5:$T$5,0))))))),IF($C8="Konventionel",IF(I$2=2019,SUMPRODUCT((C8='Landbrugsareal - resultat'!$B$33:$B$46)*(INDEX('Landbrugsareal - resultat'!$C$33:$E$46,,MATCH($D8,'Landbrugsareal - resultat'!$C$5:$E$5,0)))),IF(I$2=2030,SUMPRODUCT(($B8='Landbrugsareal - resultat'!$B$33:$B$46)*(INDEX('Landbrugsareal - resultat'!$F$33:$H$46,,MATCH($D8,'Landbrugsareal - resultat'!$F$5:$H$5,0)))),SUMPRODUCT(($B8='Landbrugsareal - resultat'!$B$33:$B$46)*(INDEX('Landbrugsareal - resultat'!$I$33:$K$46,,MATCH($D8,'Landbrugsareal - resultat'!$I$5:$K$5,0)))))),IF(I$2=2019,SUMPRODUCT(($B8='Landbrugsareal - resultat'!$B$33:$B$46)*(INDEX('Landbrugsareal - resultat'!$L$33:$N$46,,MATCH($D8,'Landbrugsareal - resultat'!$L$5:$N$5,0)))),IF(I$2=2030,SUMPRODUCT(($B8='Landbrugsareal - resultat'!$B$33:$B$46)*(INDEX('Landbrugsareal - resultat'!$O$33:$Q$46,,MATCH($D8,'Landbrugsareal - resultat'!$O$5:$Q$5,0)))),SUMPRODUCT(($B8='Landbrugsareal - resultat'!$B$33:$B$46)*(INDEX('Landbrugsareal - resultat'!$R$33:$T$46,,MATCH($D8,'Landbrugsareal - resultat'!$R$5:$T$5,0))))))))</f>
        <v>39555.603294264722</v>
      </c>
    </row>
    <row r="9" spans="1:9" x14ac:dyDescent="0.25">
      <c r="A9" t="s">
        <v>23</v>
      </c>
      <c r="B9" s="1" t="str">
        <f>[1]Afgrødefordeling!$C$8</f>
        <v>Roer</v>
      </c>
      <c r="C9" t="s">
        <v>7</v>
      </c>
      <c r="D9" t="str">
        <f t="shared" si="0"/>
        <v>JB1-10</v>
      </c>
      <c r="F9" t="str">
        <f t="shared" si="1"/>
        <v>Areal-roer</v>
      </c>
      <c r="G9" s="96" cm="1">
        <f t="array" ref="G9">IF($A9="Vestdanmark",IF($C9="Konventionel",IF(G$2=2019,SUMPRODUCT(($B9='Landbrugsareal - resultat'!$B$6:$B$19)*(INDEX('Landbrugsareal - resultat'!$C$6:$E$19,,MATCH($D9,'Landbrugsareal - resultat'!$C$5:$E$5,0)))),IF(G$2=2030,SUMPRODUCT(($B9='Landbrugsareal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resultat'!$I$5:$K$5,0)))))),IF(G$2=2019,SUMPRODUCT(($B9='Landbrugsareal - resultat'!$B$6:$B$19)*(INDEX('Landbrugsareal - resultat'!$L$6:$N$19,,MATCH($D9,'Landbrugsareal - resultat'!$L$5:$N$5,0)))),IF(G$2=2030,SUMPRODUCT(($B9='Landbrugsareal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resultat'!$R$5:$T$5,0))))))),IF($C9="Konventionel",IF(G$2=2019,SUMPRODUCT((B9='Landbrugsareal - resultat'!$B$33:$B$46)*(INDEX('Landbrugsareal - resultat'!$C$33:$E$46,,MATCH($D9,'Landbrugsareal - resultat'!$C$5:$E$5,0)))),IF(G$2=2030,SUMPRODUCT(($B9='Landbrugsareal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resultat'!$I$5:$K$5,0)))))),IF(G$2=2019,SUMPRODUCT(($B9='Landbrugsareal - resultat'!$B$33:$B$46)*(INDEX('Landbrugsareal - resultat'!$L$33:$N$46,,MATCH($D9,'Landbrugsareal - resultat'!$L$5:$N$5,0)))),IF(G$2=2030,SUMPRODUCT(($B9='Landbrugsareal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4267.6414750315462</v>
      </c>
      <c r="H9" s="96" cm="1">
        <f t="array" ref="H9">IF($A9="Vestdanmark",IF($C9="Konventionel",IF(H$2=2019,SUMPRODUCT(($B9='Landbrugsareal - resultat'!$B$6:$B$19)*(INDEX('Landbrugsareal - resultat'!$C$6:$E$19,,MATCH($D9,'Landbrugsareal - resultat'!$C$5:$E$5,0)))),IF(H$2=2030,SUMPRODUCT(($B9='Landbrugsareal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resultat'!$I$5:$K$5,0)))))),IF(H$2=2019,SUMPRODUCT(($B9='Landbrugsareal - resultat'!$B$6:$B$19)*(INDEX('Landbrugsareal - resultat'!$L$6:$N$19,,MATCH($D9,'Landbrugsareal - resultat'!$L$5:$N$5,0)))),IF(H$2=2030,SUMPRODUCT(($B9='Landbrugsareal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resultat'!$R$5:$T$5,0))))))),IF($C9="Konventionel",IF(H$2=2019,SUMPRODUCT(($B9='Landbrugsareal - resultat'!$B$33:$B$46)*(INDEX('Landbrugsareal - resultat'!$C$33:$E$46,,MATCH($D9,'Landbrugsareal - resultat'!$C$5:$E$5,0)))),IF(H$2=2030,SUMPRODUCT(($B9='Landbrugsareal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resultat'!$I$5:$K$5,0)))))),IF(H$2=2019,SUMPRODUCT(($B9='Landbrugsareal - resultat'!$B$33:$B$46)*(INDEX('Landbrugsareal - resultat'!$L$33:$N$46,,MATCH($D9,'Landbrugsareal - resultat'!$L$5:$N$5,0)))),IF(H$2=2030,SUMPRODUCT(($B9='Landbrugsareal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4122.7627055119856</v>
      </c>
      <c r="I9" s="96" cm="1">
        <f t="array" ref="I9">IF($A9="Vestdanmark",IF($C9="Konventionel",IF(I$2=2019,SUMPRODUCT(($B9='Landbrugsareal - resultat'!$B$6:$B$19)*(INDEX('Landbrugsareal - resultat'!$C$6:$E$19,,MATCH($D9,'Landbrugsareal - resultat'!$C$5:$E$5,0)))),IF(I$2=2030,SUMPRODUCT(($B9='Landbrugsareal - resultat'!$B$6:$B$19)*(INDEX('Landbrugsareal - resultat'!$F$6:$H$19,,MATCH($D9,'Landbrugsareal - resultat'!$F$5:$H$5,0)))),SUMPRODUCT(($B9='Landbrugsareal - resultat'!$B$6:$B$19)*(INDEX('Landbrugsareal - resultat'!$I$6:$K$19,,MATCH($D9,'Landbrugsareal - resultat'!$I$5:$K$5,0)))))),IF(I$2=2019,SUMPRODUCT(($B9='Landbrugsareal - resultat'!$B$6:$B$19)*(INDEX('Landbrugsareal - resultat'!$L$6:$N$19,,MATCH($D9,'Landbrugsareal - resultat'!$L$5:$N$5,0)))),IF(I$2=2030,SUMPRODUCT(($B9='Landbrugsareal - resultat'!$B$6:$B$19)*(INDEX('Landbrugsareal - resultat'!$O$6:$Q$19,,MATCH($D9,'Landbrugsareal - resultat'!$O$5:$Q$5,0)))),SUMPRODUCT(($B9='Landbrugsareal - resultat'!$B$6:$B$19)*(INDEX('Landbrugsareal - resultat'!$R$6:$T$19,,MATCH($D9,'Landbrugsareal - resultat'!$R$5:$T$5,0))))))),IF($C9="Konventionel",IF(I$2=2019,SUMPRODUCT((C9='Landbrugsareal - resultat'!$B$33:$B$46)*(INDEX('Landbrugsareal - resultat'!$C$33:$E$46,,MATCH($D9,'Landbrugsareal - resultat'!$C$5:$E$5,0)))),IF(I$2=2030,SUMPRODUCT(($B9='Landbrugsareal - resultat'!$B$33:$B$46)*(INDEX('Landbrugsareal - resultat'!$F$33:$H$46,,MATCH($D9,'Landbrugsareal - resultat'!$F$5:$H$5,0)))),SUMPRODUCT(($B9='Landbrugsareal - resultat'!$B$33:$B$46)*(INDEX('Landbrugsareal - resultat'!$I$33:$K$46,,MATCH($D9,'Landbrugsareal - resultat'!$I$5:$K$5,0)))))),IF(I$2=2019,SUMPRODUCT(($B9='Landbrugsareal - resultat'!$B$33:$B$46)*(INDEX('Landbrugsareal - resultat'!$L$33:$N$46,,MATCH($D9,'Landbrugsareal - resultat'!$L$5:$N$5,0)))),IF(I$2=2030,SUMPRODUCT(($B9='Landbrugsareal - resultat'!$B$33:$B$46)*(INDEX('Landbrugsareal - resultat'!$O$33:$Q$46,,MATCH($D9,'Landbrugsareal - resultat'!$O$5:$Q$5,0)))),SUMPRODUCT(($B9='Landbrugsareal - resultat'!$B$33:$B$46)*(INDEX('Landbrugsareal - resultat'!$R$33:$T$46,,MATCH($D9,'Landbrugsareal - resultat'!$R$5:$T$5,0))))))))</f>
        <v>3861.4513437830055</v>
      </c>
    </row>
    <row r="10" spans="1:9" x14ac:dyDescent="0.25">
      <c r="A10" t="s">
        <v>23</v>
      </c>
      <c r="B10" s="1" t="str">
        <f>[1]Afgrødefordeling!$C$9</f>
        <v>Majs</v>
      </c>
      <c r="C10" t="s">
        <v>7</v>
      </c>
      <c r="D10" t="str">
        <f t="shared" si="0"/>
        <v>JB1-10</v>
      </c>
      <c r="F10" t="str">
        <f t="shared" si="1"/>
        <v>Areal-majs</v>
      </c>
      <c r="G10" s="96" cm="1">
        <f t="array" ref="G10">IF($A10="Vestdanmark",IF($C10="Konventionel",IF(G$2=2019,SUMPRODUCT(($B10='Landbrugsareal - resultat'!$B$6:$B$19)*(INDEX('Landbrugsareal - resultat'!$C$6:$E$19,,MATCH($D10,'Landbrugsareal - resultat'!$C$5:$E$5,0)))),IF(G$2=2030,SUMPRODUCT(($B10='Landbrugsareal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resultat'!$I$5:$K$5,0)))))),IF(G$2=2019,SUMPRODUCT(($B10='Landbrugsareal - resultat'!$B$6:$B$19)*(INDEX('Landbrugsareal - resultat'!$L$6:$N$19,,MATCH($D10,'Landbrugsareal - resultat'!$L$5:$N$5,0)))),IF(G$2=2030,SUMPRODUCT(($B10='Landbrugsareal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resultat'!$R$5:$T$5,0))))))),IF($C10="Konventionel",IF(G$2=2019,SUMPRODUCT((B10='Landbrugsareal - resultat'!$B$33:$B$46)*(INDEX('Landbrugsareal - resultat'!$C$33:$E$46,,MATCH($D10,'Landbrugsareal - resultat'!$C$5:$E$5,0)))),IF(G$2=2030,SUMPRODUCT(($B10='Landbrugsareal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resultat'!$I$5:$K$5,0)))))),IF(G$2=2019,SUMPRODUCT(($B10='Landbrugsareal - resultat'!$B$33:$B$46)*(INDEX('Landbrugsareal - resultat'!$L$33:$N$46,,MATCH($D10,'Landbrugsareal - resultat'!$L$5:$N$5,0)))),IF(G$2=2030,SUMPRODUCT(($B10='Landbrugsareal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146143.69836902106</v>
      </c>
      <c r="H10" s="96" cm="1">
        <f t="array" ref="H10">IF($A10="Vestdanmark",IF($C10="Konventionel",IF(H$2=2019,SUMPRODUCT(($B10='Landbrugsareal - resultat'!$B$6:$B$19)*(INDEX('Landbrugsareal - resultat'!$C$6:$E$19,,MATCH($D10,'Landbrugsareal - resultat'!$C$5:$E$5,0)))),IF(H$2=2030,SUMPRODUCT(($B10='Landbrugsareal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resultat'!$I$5:$K$5,0)))))),IF(H$2=2019,SUMPRODUCT(($B10='Landbrugsareal - resultat'!$B$6:$B$19)*(INDEX('Landbrugsareal - resultat'!$L$6:$N$19,,MATCH($D10,'Landbrugsareal - resultat'!$L$5:$N$5,0)))),IF(H$2=2030,SUMPRODUCT(($B10='Landbrugsareal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resultat'!$R$5:$T$5,0))))))),IF($C10="Konventionel",IF(H$2=2019,SUMPRODUCT(($B10='Landbrugsareal - resultat'!$B$33:$B$46)*(INDEX('Landbrugsareal - resultat'!$C$33:$E$46,,MATCH($D10,'Landbrugsareal - resultat'!$C$5:$E$5,0)))),IF(H$2=2030,SUMPRODUCT(($B10='Landbrugsareal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resultat'!$I$5:$K$5,0)))))),IF(H$2=2019,SUMPRODUCT(($B10='Landbrugsareal - resultat'!$B$33:$B$46)*(INDEX('Landbrugsareal - resultat'!$L$33:$N$46,,MATCH($D10,'Landbrugsareal - resultat'!$L$5:$N$5,0)))),IF(H$2=2030,SUMPRODUCT(($B10='Landbrugsareal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141182.38207368137</v>
      </c>
      <c r="I10" s="96" cm="1">
        <f t="array" ref="I10">IF($A10="Vestdanmark",IF($C10="Konventionel",IF(I$2=2019,SUMPRODUCT(($B10='Landbrugsareal - resultat'!$B$6:$B$19)*(INDEX('Landbrugsareal - resultat'!$C$6:$E$19,,MATCH($D10,'Landbrugsareal - resultat'!$C$5:$E$5,0)))),IF(I$2=2030,SUMPRODUCT(($B10='Landbrugsareal - resultat'!$B$6:$B$19)*(INDEX('Landbrugsareal - resultat'!$F$6:$H$19,,MATCH($D10,'Landbrugsareal - resultat'!$F$5:$H$5,0)))),SUMPRODUCT(($B10='Landbrugsareal - resultat'!$B$6:$B$19)*(INDEX('Landbrugsareal - resultat'!$I$6:$K$19,,MATCH($D10,'Landbrugsareal - resultat'!$I$5:$K$5,0)))))),IF(I$2=2019,SUMPRODUCT(($B10='Landbrugsareal - resultat'!$B$6:$B$19)*(INDEX('Landbrugsareal - resultat'!$L$6:$N$19,,MATCH($D10,'Landbrugsareal - resultat'!$L$5:$N$5,0)))),IF(I$2=2030,SUMPRODUCT(($B10='Landbrugsareal - resultat'!$B$6:$B$19)*(INDEX('Landbrugsareal - resultat'!$O$6:$Q$19,,MATCH($D10,'Landbrugsareal - resultat'!$O$5:$Q$5,0)))),SUMPRODUCT(($B10='Landbrugsareal - resultat'!$B$6:$B$19)*(INDEX('Landbrugsareal - resultat'!$R$6:$T$19,,MATCH($D10,'Landbrugsareal - resultat'!$R$5:$T$5,0))))))),IF($C10="Konventionel",IF(I$2=2019,SUMPRODUCT((C10='Landbrugsareal - resultat'!$B$33:$B$46)*(INDEX('Landbrugsareal - resultat'!$C$33:$E$46,,MATCH($D10,'Landbrugsareal - resultat'!$C$5:$E$5,0)))),IF(I$2=2030,SUMPRODUCT(($B10='Landbrugsareal - resultat'!$B$33:$B$46)*(INDEX('Landbrugsareal - resultat'!$F$33:$H$46,,MATCH($D10,'Landbrugsareal - resultat'!$F$5:$H$5,0)))),SUMPRODUCT(($B10='Landbrugsareal - resultat'!$B$33:$B$46)*(INDEX('Landbrugsareal - resultat'!$I$33:$K$46,,MATCH($D10,'Landbrugsareal - resultat'!$I$5:$K$5,0)))))),IF(I$2=2019,SUMPRODUCT(($B10='Landbrugsareal - resultat'!$B$33:$B$46)*(INDEX('Landbrugsareal - resultat'!$L$33:$N$46,,MATCH($D10,'Landbrugsareal - resultat'!$L$5:$N$5,0)))),IF(I$2=2030,SUMPRODUCT(($B10='Landbrugsareal - resultat'!$B$33:$B$46)*(INDEX('Landbrugsareal - resultat'!$O$33:$Q$46,,MATCH($D10,'Landbrugsareal - resultat'!$O$5:$Q$5,0)))),SUMPRODUCT(($B10='Landbrugsareal - resultat'!$B$33:$B$46)*(INDEX('Landbrugsareal - resultat'!$R$33:$T$46,,MATCH($D10,'Landbrugsareal - resultat'!$R$5:$T$5,0))))))))</f>
        <v>132233.87760057871</v>
      </c>
    </row>
    <row r="11" spans="1:9" x14ac:dyDescent="0.25">
      <c r="A11" t="s">
        <v>23</v>
      </c>
      <c r="B11" s="1" t="str">
        <f>[1]Afgrødefordeling!$C$10</f>
        <v>Frugt</v>
      </c>
      <c r="C11" t="s">
        <v>7</v>
      </c>
      <c r="D11" t="str">
        <f t="shared" si="0"/>
        <v>JB1-10</v>
      </c>
      <c r="F11" t="str">
        <f t="shared" si="1"/>
        <v>Areal-frugt</v>
      </c>
      <c r="G11" s="96" cm="1">
        <f t="array" ref="G11">IF($A11="Vestdanmark",IF($C11="Konventionel",IF(G$2=2019,SUMPRODUCT(($B11='Landbrugsareal - resultat'!$B$6:$B$19)*(INDEX('Landbrugsareal - resultat'!$C$6:$E$19,,MATCH($D11,'Landbrugsareal - resultat'!$C$5:$E$5,0)))),IF(G$2=2030,SUMPRODUCT(($B11='Landbrugsareal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resultat'!$I$5:$K$5,0)))))),IF(G$2=2019,SUMPRODUCT(($B11='Landbrugsareal - resultat'!$B$6:$B$19)*(INDEX('Landbrugsareal - resultat'!$L$6:$N$19,,MATCH($D11,'Landbrugsareal - resultat'!$L$5:$N$5,0)))),IF(G$2=2030,SUMPRODUCT(($B11='Landbrugsareal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resultat'!$R$5:$T$5,0))))))),IF($C11="Konventionel",IF(G$2=2019,SUMPRODUCT((B11='Landbrugsareal - resultat'!$B$33:$B$46)*(INDEX('Landbrugsareal - resultat'!$C$33:$E$46,,MATCH($D11,'Landbrugsareal - resultat'!$C$5:$E$5,0)))),IF(G$2=2030,SUMPRODUCT(($B11='Landbrugsareal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resultat'!$I$5:$K$5,0)))))),IF(G$2=2019,SUMPRODUCT(($B11='Landbrugsareal - resultat'!$B$33:$B$46)*(INDEX('Landbrugsareal - resultat'!$L$33:$N$46,,MATCH($D11,'Landbrugsareal - resultat'!$L$5:$N$5,0)))),IF(G$2=2030,SUMPRODUCT(($B11='Landbrugsareal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2685.4308255346846</v>
      </c>
      <c r="H11" s="96" cm="1">
        <f t="array" ref="H11">IF($A11="Vestdanmark",IF($C11="Konventionel",IF(H$2=2019,SUMPRODUCT(($B11='Landbrugsareal - resultat'!$B$6:$B$19)*(INDEX('Landbrugsareal - resultat'!$C$6:$E$19,,MATCH($D11,'Landbrugsareal - resultat'!$C$5:$E$5,0)))),IF(H$2=2030,SUMPRODUCT(($B11='Landbrugsareal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resultat'!$I$5:$K$5,0)))))),IF(H$2=2019,SUMPRODUCT(($B11='Landbrugsareal - resultat'!$B$6:$B$19)*(INDEX('Landbrugsareal - resultat'!$L$6:$N$19,,MATCH($D11,'Landbrugsareal - resultat'!$L$5:$N$5,0)))),IF(H$2=2030,SUMPRODUCT(($B11='Landbrugsareal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resultat'!$R$5:$T$5,0))))))),IF($C11="Konventionel",IF(H$2=2019,SUMPRODUCT(($B11='Landbrugsareal - resultat'!$B$33:$B$46)*(INDEX('Landbrugsareal - resultat'!$C$33:$E$46,,MATCH($D11,'Landbrugsareal - resultat'!$C$5:$E$5,0)))),IF(H$2=2030,SUMPRODUCT(($B11='Landbrugsareal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resultat'!$I$5:$K$5,0)))))),IF(H$2=2019,SUMPRODUCT(($B11='Landbrugsareal - resultat'!$B$33:$B$46)*(INDEX('Landbrugsareal - resultat'!$L$33:$N$46,,MATCH($D11,'Landbrugsareal - resultat'!$L$5:$N$5,0)))),IF(H$2=2030,SUMPRODUCT(($B11='Landbrugsareal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2594.265268186527</v>
      </c>
      <c r="I11" s="96" cm="1">
        <f t="array" ref="I11">IF($A11="Vestdanmark",IF($C11="Konventionel",IF(I$2=2019,SUMPRODUCT(($B11='Landbrugsareal - resultat'!$B$6:$B$19)*(INDEX('Landbrugsareal - resultat'!$C$6:$E$19,,MATCH($D11,'Landbrugsareal - resultat'!$C$5:$E$5,0)))),IF(I$2=2030,SUMPRODUCT(($B11='Landbrugsareal - resultat'!$B$6:$B$19)*(INDEX('Landbrugsareal - resultat'!$F$6:$H$19,,MATCH($D11,'Landbrugsareal - resultat'!$F$5:$H$5,0)))),SUMPRODUCT(($B11='Landbrugsareal - resultat'!$B$6:$B$19)*(INDEX('Landbrugsareal - resultat'!$I$6:$K$19,,MATCH($D11,'Landbrugsareal - resultat'!$I$5:$K$5,0)))))),IF(I$2=2019,SUMPRODUCT(($B11='Landbrugsareal - resultat'!$B$6:$B$19)*(INDEX('Landbrugsareal - resultat'!$L$6:$N$19,,MATCH($D11,'Landbrugsareal - resultat'!$L$5:$N$5,0)))),IF(I$2=2030,SUMPRODUCT(($B11='Landbrugsareal - resultat'!$B$6:$B$19)*(INDEX('Landbrugsareal - resultat'!$O$6:$Q$19,,MATCH($D11,'Landbrugsareal - resultat'!$O$5:$Q$5,0)))),SUMPRODUCT(($B11='Landbrugsareal - resultat'!$B$6:$B$19)*(INDEX('Landbrugsareal - resultat'!$R$6:$T$19,,MATCH($D11,'Landbrugsareal - resultat'!$R$5:$T$5,0))))))),IF($C11="Konventionel",IF(I$2=2019,SUMPRODUCT((C11='Landbrugsareal - resultat'!$B$33:$B$46)*(INDEX('Landbrugsareal - resultat'!$C$33:$E$46,,MATCH($D11,'Landbrugsareal - resultat'!$C$5:$E$5,0)))),IF(I$2=2030,SUMPRODUCT(($B11='Landbrugsareal - resultat'!$B$33:$B$46)*(INDEX('Landbrugsareal - resultat'!$F$33:$H$46,,MATCH($D11,'Landbrugsareal - resultat'!$F$5:$H$5,0)))),SUMPRODUCT(($B11='Landbrugsareal - resultat'!$B$33:$B$46)*(INDEX('Landbrugsareal - resultat'!$I$33:$K$46,,MATCH($D11,'Landbrugsareal - resultat'!$I$5:$K$5,0)))))),IF(I$2=2019,SUMPRODUCT(($B11='Landbrugsareal - resultat'!$B$33:$B$46)*(INDEX('Landbrugsareal - resultat'!$L$33:$N$46,,MATCH($D11,'Landbrugsareal - resultat'!$L$5:$N$5,0)))),IF(I$2=2030,SUMPRODUCT(($B11='Landbrugsareal - resultat'!$B$33:$B$46)*(INDEX('Landbrugsareal - resultat'!$O$33:$Q$46,,MATCH($D11,'Landbrugsareal - resultat'!$O$5:$Q$5,0)))),SUMPRODUCT(($B11='Landbrugsareal - resultat'!$B$33:$B$46)*(INDEX('Landbrugsareal - resultat'!$R$33:$T$46,,MATCH($D11,'Landbrugsareal - resultat'!$R$5:$T$5,0))))))))</f>
        <v>2429.8340267256312</v>
      </c>
    </row>
    <row r="12" spans="1:9" x14ac:dyDescent="0.25">
      <c r="A12" t="s">
        <v>23</v>
      </c>
      <c r="B12" s="1" t="str">
        <f>[1]Afgrødefordeling!$C$11</f>
        <v>Øvrige</v>
      </c>
      <c r="C12" t="s">
        <v>7</v>
      </c>
      <c r="D12" t="str">
        <f t="shared" si="0"/>
        <v>JB1-10</v>
      </c>
      <c r="F12" t="str">
        <f t="shared" si="1"/>
        <v>Areal-øvrige</v>
      </c>
      <c r="G12" s="96" cm="1">
        <f t="array" ref="G12">IF($A12="Vestdanmark",IF($C12="Konventionel",IF(G$2=2019,SUMPRODUCT(($B12='Landbrugsareal - resultat'!$B$6:$B$19)*(INDEX('Landbrugsareal - resultat'!$C$6:$E$19,,MATCH($D12,'Landbrugsareal - resultat'!$C$5:$E$5,0)))),IF(G$2=2030,SUMPRODUCT(($B12='Landbrugsareal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resultat'!$I$5:$K$5,0)))))),IF(G$2=2019,SUMPRODUCT(($B12='Landbrugsareal - resultat'!$B$6:$B$19)*(INDEX('Landbrugsareal - resultat'!$L$6:$N$19,,MATCH($D12,'Landbrugsareal - resultat'!$L$5:$N$5,0)))),IF(G$2=2030,SUMPRODUCT(($B12='Landbrugsareal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resultat'!$R$5:$T$5,0))))))),IF($C12="Konventionel",IF(G$2=2019,SUMPRODUCT((B12='Landbrugsareal - resultat'!$B$33:$B$46)*(INDEX('Landbrugsareal - resultat'!$C$33:$E$46,,MATCH($D12,'Landbrugsareal - resultat'!$C$5:$E$5,0)))),IF(G$2=2030,SUMPRODUCT(($B12='Landbrugsareal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resultat'!$I$5:$K$5,0)))))),IF(G$2=2019,SUMPRODUCT(($B12='Landbrugsareal - resultat'!$B$33:$B$46)*(INDEX('Landbrugsareal - resultat'!$L$33:$N$46,,MATCH($D12,'Landbrugsareal - resultat'!$L$5:$N$5,0)))),IF(G$2=2030,SUMPRODUCT(($B12='Landbrugsareal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47494.264779726094</v>
      </c>
      <c r="H12" s="96" cm="1">
        <f t="array" ref="H12">IF($A12="Vestdanmark",IF($C12="Konventionel",IF(H$2=2019,SUMPRODUCT(($B12='Landbrugsareal - resultat'!$B$6:$B$19)*(INDEX('Landbrugsareal - resultat'!$C$6:$E$19,,MATCH($D12,'Landbrugsareal - resultat'!$C$5:$E$5,0)))),IF(H$2=2030,SUMPRODUCT(($B12='Landbrugsareal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resultat'!$I$5:$K$5,0)))))),IF(H$2=2019,SUMPRODUCT(($B12='Landbrugsareal - resultat'!$B$6:$B$19)*(INDEX('Landbrugsareal - resultat'!$L$6:$N$19,,MATCH($D12,'Landbrugsareal - resultat'!$L$5:$N$5,0)))),IF(H$2=2030,SUMPRODUCT(($B12='Landbrugsareal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resultat'!$R$5:$T$5,0))))))),IF($C12="Konventionel",IF(H$2=2019,SUMPRODUCT(($B12='Landbrugsareal - resultat'!$B$33:$B$46)*(INDEX('Landbrugsareal - resultat'!$C$33:$E$46,,MATCH($D12,'Landbrugsareal - resultat'!$C$5:$E$5,0)))),IF(H$2=2030,SUMPRODUCT(($B12='Landbrugsareal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resultat'!$I$5:$K$5,0)))))),IF(H$2=2019,SUMPRODUCT(($B12='Landbrugsareal - resultat'!$B$33:$B$46)*(INDEX('Landbrugsareal - resultat'!$L$33:$N$46,,MATCH($D12,'Landbrugsareal - resultat'!$L$5:$N$5,0)))),IF(H$2=2030,SUMPRODUCT(($B12='Landbrugsareal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45881.919721974475</v>
      </c>
      <c r="I12" s="96" cm="1">
        <f t="array" ref="I12">IF($A12="Vestdanmark",IF($C12="Konventionel",IF(I$2=2019,SUMPRODUCT(($B12='Landbrugsareal - resultat'!$B$6:$B$19)*(INDEX('Landbrugsareal - resultat'!$C$6:$E$19,,MATCH($D12,'Landbrugsareal - resultat'!$C$5:$E$5,0)))),IF(I$2=2030,SUMPRODUCT(($B12='Landbrugsareal - resultat'!$B$6:$B$19)*(INDEX('Landbrugsareal - resultat'!$F$6:$H$19,,MATCH($D12,'Landbrugsareal - resultat'!$F$5:$H$5,0)))),SUMPRODUCT(($B12='Landbrugsareal - resultat'!$B$6:$B$19)*(INDEX('Landbrugsareal - resultat'!$I$6:$K$19,,MATCH($D12,'Landbrugsareal - resultat'!$I$5:$K$5,0)))))),IF(I$2=2019,SUMPRODUCT(($B12='Landbrugsareal - resultat'!$B$6:$B$19)*(INDEX('Landbrugsareal - resultat'!$L$6:$N$19,,MATCH($D12,'Landbrugsareal - resultat'!$L$5:$N$5,0)))),IF(I$2=2030,SUMPRODUCT(($B12='Landbrugsareal - resultat'!$B$6:$B$19)*(INDEX('Landbrugsareal - resultat'!$O$6:$Q$19,,MATCH($D12,'Landbrugsareal - resultat'!$O$5:$Q$5,0)))),SUMPRODUCT(($B12='Landbrugsareal - resultat'!$B$6:$B$19)*(INDEX('Landbrugsareal - resultat'!$R$6:$T$19,,MATCH($D12,'Landbrugsareal - resultat'!$R$5:$T$5,0))))))),IF($C12="Konventionel",IF(I$2=2019,SUMPRODUCT((C12='Landbrugsareal - resultat'!$B$33:$B$46)*(INDEX('Landbrugsareal - resultat'!$C$33:$E$46,,MATCH($D12,'Landbrugsareal - resultat'!$C$5:$E$5,0)))),IF(I$2=2030,SUMPRODUCT(($B12='Landbrugsareal - resultat'!$B$33:$B$46)*(INDEX('Landbrugsareal - resultat'!$F$33:$H$46,,MATCH($D12,'Landbrugsareal - resultat'!$F$5:$H$5,0)))),SUMPRODUCT(($B12='Landbrugsareal - resultat'!$B$33:$B$46)*(INDEX('Landbrugsareal - resultat'!$I$33:$K$46,,MATCH($D12,'Landbrugsareal - resultat'!$I$5:$K$5,0)))))),IF(I$2=2019,SUMPRODUCT(($B12='Landbrugsareal - resultat'!$B$33:$B$46)*(INDEX('Landbrugsareal - resultat'!$L$33:$N$46,,MATCH($D12,'Landbrugsareal - resultat'!$L$5:$N$5,0)))),IF(I$2=2030,SUMPRODUCT(($B12='Landbrugsareal - resultat'!$B$33:$B$46)*(INDEX('Landbrugsareal - resultat'!$O$33:$Q$46,,MATCH($D12,'Landbrugsareal - resultat'!$O$5:$Q$5,0)))),SUMPRODUCT(($B12='Landbrugsareal - resultat'!$B$33:$B$46)*(INDEX('Landbrugsareal - resultat'!$R$33:$T$46,,MATCH($D12,'Landbrugsareal - resultat'!$R$5:$T$5,0))))))))</f>
        <v>42973.804999470703</v>
      </c>
    </row>
    <row r="13" spans="1:9" x14ac:dyDescent="0.25">
      <c r="A13" t="s">
        <v>23</v>
      </c>
      <c r="B13" s="1" t="str">
        <f>[1]Afgrødefordeling!$C$12</f>
        <v>Frø</v>
      </c>
      <c r="C13" t="s">
        <v>7</v>
      </c>
      <c r="D13" t="str">
        <f t="shared" si="0"/>
        <v>JB1-10</v>
      </c>
      <c r="F13" t="str">
        <f t="shared" si="1"/>
        <v>Areal-frøgræs</v>
      </c>
      <c r="G13" s="96" cm="1">
        <f t="array" ref="G13">IF($A13="Vestdanmark",IF($C13="Konventionel",IF(G$2=2019,SUMPRODUCT(($B13='Landbrugsareal - resultat'!$B$6:$B$19)*(INDEX('Landbrugsareal - resultat'!$C$6:$E$19,,MATCH($D13,'Landbrugsareal - resultat'!$C$5:$E$5,0)))),IF(G$2=2030,SUMPRODUCT(($B13='Landbrugsareal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resultat'!$I$5:$K$5,0)))))),IF(G$2=2019,SUMPRODUCT(($B13='Landbrugsareal - resultat'!$B$6:$B$19)*(INDEX('Landbrugsareal - resultat'!$L$6:$N$19,,MATCH($D13,'Landbrugsareal - resultat'!$L$5:$N$5,0)))),IF(G$2=2030,SUMPRODUCT(($B13='Landbrugsareal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resultat'!$R$5:$T$5,0))))))),IF($C13="Konventionel",IF(G$2=2019,SUMPRODUCT((B13='Landbrugsareal - resultat'!$B$33:$B$46)*(INDEX('Landbrugsareal - resultat'!$C$33:$E$46,,MATCH($D13,'Landbrugsareal - resultat'!$C$5:$E$5,0)))),IF(G$2=2030,SUMPRODUCT(($B13='Landbrugsareal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resultat'!$I$5:$K$5,0)))))),IF(G$2=2019,SUMPRODUCT(($B13='Landbrugsareal - resultat'!$B$33:$B$46)*(INDEX('Landbrugsareal - resultat'!$L$33:$N$46,,MATCH($D13,'Landbrugsareal - resultat'!$L$5:$N$5,0)))),IF(G$2=2030,SUMPRODUCT(($B13='Landbrugsareal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49959.789539022684</v>
      </c>
      <c r="H13" s="96" cm="1">
        <f t="array" ref="H13">IF($A13="Vestdanmark",IF($C13="Konventionel",IF(H$2=2019,SUMPRODUCT(($B13='Landbrugsareal - resultat'!$B$6:$B$19)*(INDEX('Landbrugsareal - resultat'!$C$6:$E$19,,MATCH($D13,'Landbrugsareal - resultat'!$C$5:$E$5,0)))),IF(H$2=2030,SUMPRODUCT(($B13='Landbrugsareal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resultat'!$I$5:$K$5,0)))))),IF(H$2=2019,SUMPRODUCT(($B13='Landbrugsareal - resultat'!$B$6:$B$19)*(INDEX('Landbrugsareal - resultat'!$L$6:$N$19,,MATCH($D13,'Landbrugsareal - resultat'!$L$5:$N$5,0)))),IF(H$2=2030,SUMPRODUCT(($B13='Landbrugsareal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resultat'!$R$5:$T$5,0))))))),IF($C13="Konventionel",IF(H$2=2019,SUMPRODUCT(($B13='Landbrugsareal - resultat'!$B$33:$B$46)*(INDEX('Landbrugsareal - resultat'!$C$33:$E$46,,MATCH($D13,'Landbrugsareal - resultat'!$C$5:$E$5,0)))),IF(H$2=2030,SUMPRODUCT(($B13='Landbrugsareal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resultat'!$I$5:$K$5,0)))))),IF(H$2=2019,SUMPRODUCT(($B13='Landbrugsareal - resultat'!$B$33:$B$46)*(INDEX('Landbrugsareal - resultat'!$L$33:$N$46,,MATCH($D13,'Landbrugsareal - resultat'!$L$5:$N$5,0)))),IF(H$2=2030,SUMPRODUCT(($B13='Landbrugsareal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48263.74434023608</v>
      </c>
      <c r="I13" s="96" cm="1">
        <f t="array" ref="I13">IF($A13="Vestdanmark",IF($C13="Konventionel",IF(I$2=2019,SUMPRODUCT(($B13='Landbrugsareal - resultat'!$B$6:$B$19)*(INDEX('Landbrugsareal - resultat'!$C$6:$E$19,,MATCH($D13,'Landbrugsareal - resultat'!$C$5:$E$5,0)))),IF(I$2=2030,SUMPRODUCT(($B13='Landbrugsareal - resultat'!$B$6:$B$19)*(INDEX('Landbrugsareal - resultat'!$F$6:$H$19,,MATCH($D13,'Landbrugsareal - resultat'!$F$5:$H$5,0)))),SUMPRODUCT(($B13='Landbrugsareal - resultat'!$B$6:$B$19)*(INDEX('Landbrugsareal - resultat'!$I$6:$K$19,,MATCH($D13,'Landbrugsareal - resultat'!$I$5:$K$5,0)))))),IF(I$2=2019,SUMPRODUCT(($B13='Landbrugsareal - resultat'!$B$6:$B$19)*(INDEX('Landbrugsareal - resultat'!$L$6:$N$19,,MATCH($D13,'Landbrugsareal - resultat'!$L$5:$N$5,0)))),IF(I$2=2030,SUMPRODUCT(($B13='Landbrugsareal - resultat'!$B$6:$B$19)*(INDEX('Landbrugsareal - resultat'!$O$6:$Q$19,,MATCH($D13,'Landbrugsareal - resultat'!$O$5:$Q$5,0)))),SUMPRODUCT(($B13='Landbrugsareal - resultat'!$B$6:$B$19)*(INDEX('Landbrugsareal - resultat'!$R$6:$T$19,,MATCH($D13,'Landbrugsareal - resultat'!$R$5:$T$5,0))))))),IF($C13="Konventionel",IF(I$2=2019,SUMPRODUCT((C13='Landbrugsareal - resultat'!$B$33:$B$46)*(INDEX('Landbrugsareal - resultat'!$C$33:$E$46,,MATCH($D13,'Landbrugsareal - resultat'!$C$5:$E$5,0)))),IF(I$2=2030,SUMPRODUCT(($B13='Landbrugsareal - resultat'!$B$33:$B$46)*(INDEX('Landbrugsareal - resultat'!$F$33:$H$46,,MATCH($D13,'Landbrugsareal - resultat'!$F$5:$H$5,0)))),SUMPRODUCT(($B13='Landbrugsareal - resultat'!$B$33:$B$46)*(INDEX('Landbrugsareal - resultat'!$I$33:$K$46,,MATCH($D13,'Landbrugsareal - resultat'!$I$5:$K$5,0)))))),IF(I$2=2019,SUMPRODUCT(($B13='Landbrugsareal - resultat'!$B$33:$B$46)*(INDEX('Landbrugsareal - resultat'!$L$33:$N$46,,MATCH($D13,'Landbrugsareal - resultat'!$L$5:$N$5,0)))),IF(I$2=2030,SUMPRODUCT(($B13='Landbrugsareal - resultat'!$B$33:$B$46)*(INDEX('Landbrugsareal - resultat'!$O$33:$Q$46,,MATCH($D13,'Landbrugsareal - resultat'!$O$5:$Q$5,0)))),SUMPRODUCT(($B13='Landbrugsareal - resultat'!$B$33:$B$46)*(INDEX('Landbrugsareal - resultat'!$R$33:$T$46,,MATCH($D13,'Landbrugsareal - resultat'!$R$5:$T$5,0))))))))</f>
        <v>45204.663414034621</v>
      </c>
    </row>
    <row r="14" spans="1:9" x14ac:dyDescent="0.25">
      <c r="A14" t="s">
        <v>23</v>
      </c>
      <c r="B14" s="1" t="str">
        <f>[1]Afgrødefordeling!$C$13</f>
        <v>Juletræer</v>
      </c>
      <c r="C14" t="s">
        <v>7</v>
      </c>
      <c r="D14" t="str">
        <f t="shared" si="0"/>
        <v>JB1-10</v>
      </c>
      <c r="F14" t="str">
        <f t="shared" si="1"/>
        <v>Areal-juletræer</v>
      </c>
      <c r="G14" s="96" cm="1">
        <f t="array" ref="G14">IF($A14="Vestdanmark",IF($C14="Konventionel",IF(G$2=2019,SUMPRODUCT(($B14='Landbrugsareal - resultat'!$B$6:$B$19)*(INDEX('Landbrugsareal - resultat'!$C$6:$E$19,,MATCH($D14,'Landbrugsareal - resultat'!$C$5:$E$5,0)))),IF(G$2=2030,SUMPRODUCT(($B14='Landbrugsareal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resultat'!$I$5:$K$5,0)))))),IF(G$2=2019,SUMPRODUCT(($B14='Landbrugsareal - resultat'!$B$6:$B$19)*(INDEX('Landbrugsareal - resultat'!$L$6:$N$19,,MATCH($D14,'Landbrugsareal - resultat'!$L$5:$N$5,0)))),IF(G$2=2030,SUMPRODUCT(($B14='Landbrugsareal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resultat'!$R$5:$T$5,0))))))),IF($C14="Konventionel",IF(G$2=2019,SUMPRODUCT((B14='Landbrugsareal - resultat'!$B$33:$B$46)*(INDEX('Landbrugsareal - resultat'!$C$33:$E$46,,MATCH($D14,'Landbrugsareal - resultat'!$C$5:$E$5,0)))),IF(G$2=2030,SUMPRODUCT(($B14='Landbrugsareal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resultat'!$I$5:$K$5,0)))))),IF(G$2=2019,SUMPRODUCT(($B14='Landbrugsareal - resultat'!$B$33:$B$46)*(INDEX('Landbrugsareal - resultat'!$L$33:$N$46,,MATCH($D14,'Landbrugsareal - resultat'!$L$5:$N$5,0)))),IF(G$2=2030,SUMPRODUCT(($B14='Landbrugsareal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13468.89657573873</v>
      </c>
      <c r="H14" s="96" cm="1">
        <f t="array" ref="H14">IF($A14="Vestdanmark",IF($C14="Konventionel",IF(H$2=2019,SUMPRODUCT(($B14='Landbrugsareal - resultat'!$B$6:$B$19)*(INDEX('Landbrugsareal - resultat'!$C$6:$E$19,,MATCH($D14,'Landbrugsareal - resultat'!$C$5:$E$5,0)))),IF(H$2=2030,SUMPRODUCT(($B14='Landbrugsareal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resultat'!$I$5:$K$5,0)))))),IF(H$2=2019,SUMPRODUCT(($B14='Landbrugsareal - resultat'!$B$6:$B$19)*(INDEX('Landbrugsareal - resultat'!$L$6:$N$19,,MATCH($D14,'Landbrugsareal - resultat'!$L$5:$N$5,0)))),IF(H$2=2030,SUMPRODUCT(($B14='Landbrugsareal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resultat'!$R$5:$T$5,0))))))),IF($C14="Konventionel",IF(H$2=2019,SUMPRODUCT(($B14='Landbrugsareal - resultat'!$B$33:$B$46)*(INDEX('Landbrugsareal - resultat'!$C$33:$E$46,,MATCH($D14,'Landbrugsareal - resultat'!$C$5:$E$5,0)))),IF(H$2=2030,SUMPRODUCT(($B14='Landbrugsareal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resultat'!$I$5:$K$5,0)))))),IF(H$2=2019,SUMPRODUCT(($B14='Landbrugsareal - resultat'!$B$33:$B$46)*(INDEX('Landbrugsareal - resultat'!$L$33:$N$46,,MATCH($D14,'Landbrugsareal - resultat'!$L$5:$N$5,0)))),IF(H$2=2030,SUMPRODUCT(($B14='Landbrugsareal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13011.65170779564</v>
      </c>
      <c r="I14" s="96" cm="1">
        <f t="array" ref="I14">IF($A14="Vestdanmark",IF($C14="Konventionel",IF(I$2=2019,SUMPRODUCT(($B14='Landbrugsareal - resultat'!$B$6:$B$19)*(INDEX('Landbrugsareal - resultat'!$C$6:$E$19,,MATCH($D14,'Landbrugsareal - resultat'!$C$5:$E$5,0)))),IF(I$2=2030,SUMPRODUCT(($B14='Landbrugsareal - resultat'!$B$6:$B$19)*(INDEX('Landbrugsareal - resultat'!$F$6:$H$19,,MATCH($D14,'Landbrugsareal - resultat'!$F$5:$H$5,0)))),SUMPRODUCT(($B14='Landbrugsareal - resultat'!$B$6:$B$19)*(INDEX('Landbrugsareal - resultat'!$I$6:$K$19,,MATCH($D14,'Landbrugsareal - resultat'!$I$5:$K$5,0)))))),IF(I$2=2019,SUMPRODUCT(($B14='Landbrugsareal - resultat'!$B$6:$B$19)*(INDEX('Landbrugsareal - resultat'!$L$6:$N$19,,MATCH($D14,'Landbrugsareal - resultat'!$L$5:$N$5,0)))),IF(I$2=2030,SUMPRODUCT(($B14='Landbrugsareal - resultat'!$B$6:$B$19)*(INDEX('Landbrugsareal - resultat'!$O$6:$Q$19,,MATCH($D14,'Landbrugsareal - resultat'!$O$5:$Q$5,0)))),SUMPRODUCT(($B14='Landbrugsareal - resultat'!$B$6:$B$19)*(INDEX('Landbrugsareal - resultat'!$R$6:$T$19,,MATCH($D14,'Landbrugsareal - resultat'!$R$5:$T$5,0))))))),IF($C14="Konventionel",IF(I$2=2019,SUMPRODUCT((C14='Landbrugsareal - resultat'!$B$33:$B$46)*(INDEX('Landbrugsareal - resultat'!$C$33:$E$46,,MATCH($D14,'Landbrugsareal - resultat'!$C$5:$E$5,0)))),IF(I$2=2030,SUMPRODUCT(($B14='Landbrugsareal - resultat'!$B$33:$B$46)*(INDEX('Landbrugsareal - resultat'!$F$33:$H$46,,MATCH($D14,'Landbrugsareal - resultat'!$F$5:$H$5,0)))),SUMPRODUCT(($B14='Landbrugsareal - resultat'!$B$33:$B$46)*(INDEX('Landbrugsareal - resultat'!$I$33:$K$46,,MATCH($D14,'Landbrugsareal - resultat'!$I$5:$K$5,0)))))),IF(I$2=2019,SUMPRODUCT(($B14='Landbrugsareal - resultat'!$B$33:$B$46)*(INDEX('Landbrugsareal - resultat'!$L$33:$N$46,,MATCH($D14,'Landbrugsareal - resultat'!$L$5:$N$5,0)))),IF(I$2=2030,SUMPRODUCT(($B14='Landbrugsareal - resultat'!$B$33:$B$46)*(INDEX('Landbrugsareal - resultat'!$O$33:$Q$46,,MATCH($D14,'Landbrugsareal - resultat'!$O$5:$Q$5,0)))),SUMPRODUCT(($B14='Landbrugsareal - resultat'!$B$33:$B$46)*(INDEX('Landbrugsareal - resultat'!$R$33:$T$46,,MATCH($D14,'Landbrugsareal - resultat'!$R$5:$T$5,0))))))))</f>
        <v>12186.939574458089</v>
      </c>
    </row>
    <row r="15" spans="1:9" x14ac:dyDescent="0.25">
      <c r="A15" t="s">
        <v>23</v>
      </c>
      <c r="B15" s="1" t="str">
        <f>[1]Afgrødefordeling!$C$14</f>
        <v>Pil &amp; poppel</v>
      </c>
      <c r="C15" t="s">
        <v>7</v>
      </c>
      <c r="D15" t="str">
        <f t="shared" si="0"/>
        <v>JB1-10</v>
      </c>
      <c r="F15" t="str">
        <f t="shared" si="1"/>
        <v>Areal-pil-poppel</v>
      </c>
      <c r="G15" s="96" cm="1">
        <f t="array" ref="G15">IF($A15="Vestdanmark",IF($C15="Konventionel",IF(G$2=2019,SUMPRODUCT(($B15='Landbrugsareal - resultat'!$B$6:$B$19)*(INDEX('Landbrugsareal - resultat'!$C$6:$E$19,,MATCH($D15,'Landbrugsareal - resultat'!$C$5:$E$5,0)))),IF(G$2=2030,SUMPRODUCT(($B15='Landbrugsareal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resultat'!$I$5:$K$5,0)))))),IF(G$2=2019,SUMPRODUCT(($B15='Landbrugsareal - resultat'!$B$6:$B$19)*(INDEX('Landbrugsareal - resultat'!$L$6:$N$19,,MATCH($D15,'Landbrugsareal - resultat'!$L$5:$N$5,0)))),IF(G$2=2030,SUMPRODUCT(($B15='Landbrugsareal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resultat'!$R$5:$T$5,0))))))),IF($C15="Konventionel",IF(G$2=2019,SUMPRODUCT((B15='Landbrugsareal - resultat'!$B$33:$B$46)*(INDEX('Landbrugsareal - resultat'!$C$33:$E$46,,MATCH($D15,'Landbrugsareal - resultat'!$C$5:$E$5,0)))),IF(G$2=2030,SUMPRODUCT(($B15='Landbrugsareal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resultat'!$I$5:$K$5,0)))))),IF(G$2=2019,SUMPRODUCT(($B15='Landbrugsareal - resultat'!$B$33:$B$46)*(INDEX('Landbrugsareal - resultat'!$L$33:$N$46,,MATCH($D15,'Landbrugsareal - resultat'!$L$5:$N$5,0)))),IF(G$2=2030,SUMPRODUCT(($B15='Landbrugsareal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4954.292308391774</v>
      </c>
      <c r="H15" s="96" cm="1">
        <f t="array" ref="H15">IF($A15="Vestdanmark",IF($C15="Konventionel",IF(H$2=2019,SUMPRODUCT(($B15='Landbrugsareal - resultat'!$B$6:$B$19)*(INDEX('Landbrugsareal - resultat'!$C$6:$E$19,,MATCH($D15,'Landbrugsareal - resultat'!$C$5:$E$5,0)))),IF(H$2=2030,SUMPRODUCT(($B15='Landbrugsareal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resultat'!$I$5:$K$5,0)))))),IF(H$2=2019,SUMPRODUCT(($B15='Landbrugsareal - resultat'!$B$6:$B$19)*(INDEX('Landbrugsareal - resultat'!$L$6:$N$19,,MATCH($D15,'Landbrugsareal - resultat'!$L$5:$N$5,0)))),IF(H$2=2030,SUMPRODUCT(($B15='Landbrugsareal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resultat'!$R$5:$T$5,0))))))),IF($C15="Konventionel",IF(H$2=2019,SUMPRODUCT(($B15='Landbrugsareal - resultat'!$B$33:$B$46)*(INDEX('Landbrugsareal - resultat'!$C$33:$E$46,,MATCH($D15,'Landbrugsareal - resultat'!$C$5:$E$5,0)))),IF(H$2=2030,SUMPRODUCT(($B15='Landbrugsareal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resultat'!$I$5:$K$5,0)))))),IF(H$2=2019,SUMPRODUCT(($B15='Landbrugsareal - resultat'!$B$33:$B$46)*(INDEX('Landbrugsareal - resultat'!$L$33:$N$46,,MATCH($D15,'Landbrugsareal - resultat'!$L$5:$N$5,0)))),IF(H$2=2030,SUMPRODUCT(($B15='Landbrugsareal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4786.1029753188222</v>
      </c>
      <c r="I15" s="96" cm="1">
        <f t="array" ref="I15">IF($A15="Vestdanmark",IF($C15="Konventionel",IF(I$2=2019,SUMPRODUCT(($B15='Landbrugsareal - resultat'!$B$6:$B$19)*(INDEX('Landbrugsareal - resultat'!$C$6:$E$19,,MATCH($D15,'Landbrugsareal - resultat'!$C$5:$E$5,0)))),IF(I$2=2030,SUMPRODUCT(($B15='Landbrugsareal - resultat'!$B$6:$B$19)*(INDEX('Landbrugsareal - resultat'!$F$6:$H$19,,MATCH($D15,'Landbrugsareal - resultat'!$F$5:$H$5,0)))),SUMPRODUCT(($B15='Landbrugsareal - resultat'!$B$6:$B$19)*(INDEX('Landbrugsareal - resultat'!$I$6:$K$19,,MATCH($D15,'Landbrugsareal - resultat'!$I$5:$K$5,0)))))),IF(I$2=2019,SUMPRODUCT(($B15='Landbrugsareal - resultat'!$B$6:$B$19)*(INDEX('Landbrugsareal - resultat'!$L$6:$N$19,,MATCH($D15,'Landbrugsareal - resultat'!$L$5:$N$5,0)))),IF(I$2=2030,SUMPRODUCT(($B15='Landbrugsareal - resultat'!$B$6:$B$19)*(INDEX('Landbrugsareal - resultat'!$O$6:$Q$19,,MATCH($D15,'Landbrugsareal - resultat'!$O$5:$Q$5,0)))),SUMPRODUCT(($B15='Landbrugsareal - resultat'!$B$6:$B$19)*(INDEX('Landbrugsareal - resultat'!$R$6:$T$19,,MATCH($D15,'Landbrugsareal - resultat'!$R$5:$T$5,0))))))),IF($C15="Konventionel",IF(I$2=2019,SUMPRODUCT((C15='Landbrugsareal - resultat'!$B$33:$B$46)*(INDEX('Landbrugsareal - resultat'!$C$33:$E$46,,MATCH($D15,'Landbrugsareal - resultat'!$C$5:$E$5,0)))),IF(I$2=2030,SUMPRODUCT(($B15='Landbrugsareal - resultat'!$B$33:$B$46)*(INDEX('Landbrugsareal - resultat'!$F$33:$H$46,,MATCH($D15,'Landbrugsareal - resultat'!$F$5:$H$5,0)))),SUMPRODUCT(($B15='Landbrugsareal - resultat'!$B$33:$B$46)*(INDEX('Landbrugsareal - resultat'!$I$33:$K$46,,MATCH($D15,'Landbrugsareal - resultat'!$I$5:$K$5,0)))))),IF(I$2=2019,SUMPRODUCT(($B15='Landbrugsareal - resultat'!$B$33:$B$46)*(INDEX('Landbrugsareal - resultat'!$L$33:$N$46,,MATCH($D15,'Landbrugsareal - resultat'!$L$5:$N$5,0)))),IF(I$2=2030,SUMPRODUCT(($B15='Landbrugsareal - resultat'!$B$33:$B$46)*(INDEX('Landbrugsareal - resultat'!$O$33:$Q$46,,MATCH($D15,'Landbrugsareal - resultat'!$O$5:$Q$5,0)))),SUMPRODUCT(($B15='Landbrugsareal - resultat'!$B$33:$B$46)*(INDEX('Landbrugsareal - resultat'!$R$33:$T$46,,MATCH($D15,'Landbrugsareal - resultat'!$R$5:$T$5,0))))))))</f>
        <v>4482.7473918932728</v>
      </c>
    </row>
    <row r="16" spans="1:9" x14ac:dyDescent="0.25">
      <c r="A16" t="s">
        <v>23</v>
      </c>
      <c r="B16" s="1" t="str">
        <f>[1]Afgrødefordeling!$C$15</f>
        <v>Permanent græs</v>
      </c>
      <c r="C16" t="s">
        <v>7</v>
      </c>
      <c r="D16" t="str">
        <f t="shared" si="0"/>
        <v>JB1-10</v>
      </c>
      <c r="F16" t="str">
        <f t="shared" si="1"/>
        <v>Areal-permanent græs</v>
      </c>
      <c r="G16" s="96" cm="1">
        <f t="array" ref="G16">IF($A16="Vestdanmark",IF($C16="Konventionel",IF(G$2=2019,SUMPRODUCT(($B16='Landbrugsareal - resultat'!$B$6:$B$19)*(INDEX('Landbrugsareal - resultat'!$C$6:$E$19,,MATCH($D16,'Landbrugsareal - resultat'!$C$5:$E$5,0)))),IF(G$2=2030,SUMPRODUCT(($B16='Landbrugsareal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resultat'!$I$5:$K$5,0)))))),IF(G$2=2019,SUMPRODUCT(($B16='Landbrugsareal - resultat'!$B$6:$B$19)*(INDEX('Landbrugsareal - resultat'!$L$6:$N$19,,MATCH($D16,'Landbrugsareal - resultat'!$L$5:$N$5,0)))),IF(G$2=2030,SUMPRODUCT(($B16='Landbrugsareal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resultat'!$R$5:$T$5,0))))))),IF($C16="Konventionel",IF(G$2=2019,SUMPRODUCT((B16='Landbrugsareal - resultat'!$B$33:$B$46)*(INDEX('Landbrugsareal - resultat'!$C$33:$E$46,,MATCH($D16,'Landbrugsareal - resultat'!$C$5:$E$5,0)))),IF(G$2=2030,SUMPRODUCT(($B16='Landbrugsareal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resultat'!$I$5:$K$5,0)))))),IF(G$2=2019,SUMPRODUCT(($B16='Landbrugsareal - resultat'!$B$33:$B$46)*(INDEX('Landbrugsareal - resultat'!$L$33:$N$46,,MATCH($D16,'Landbrugsareal - resultat'!$L$5:$N$5,0)))),IF(G$2=2030,SUMPRODUCT(($B16='Landbrugsareal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119415.94261463804</v>
      </c>
      <c r="H16" s="96" cm="1">
        <f t="array" ref="H16">IF($A16="Vestdanmark",IF($C16="Konventionel",IF(H$2=2019,SUMPRODUCT(($B16='Landbrugsareal - resultat'!$B$6:$B$19)*(INDEX('Landbrugsareal - resultat'!$C$6:$E$19,,MATCH($D16,'Landbrugsareal - resultat'!$C$5:$E$5,0)))),IF(H$2=2030,SUMPRODUCT(($B16='Landbrugsareal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resultat'!$I$5:$K$5,0)))))),IF(H$2=2019,SUMPRODUCT(($B16='Landbrugsareal - resultat'!$B$6:$B$19)*(INDEX('Landbrugsareal - resultat'!$L$6:$N$19,,MATCH($D16,'Landbrugsareal - resultat'!$L$5:$N$5,0)))),IF(H$2=2030,SUMPRODUCT(($B16='Landbrugsareal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resultat'!$R$5:$T$5,0))))))),IF($C16="Konventionel",IF(H$2=2019,SUMPRODUCT(($B16='Landbrugsareal - resultat'!$B$33:$B$46)*(INDEX('Landbrugsareal - resultat'!$C$33:$E$46,,MATCH($D16,'Landbrugsareal - resultat'!$C$5:$E$5,0)))),IF(H$2=2030,SUMPRODUCT(($B16='Landbrugsareal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resultat'!$I$5:$K$5,0)))))),IF(H$2=2019,SUMPRODUCT(($B16='Landbrugsareal - resultat'!$B$33:$B$46)*(INDEX('Landbrugsareal - resultat'!$L$33:$N$46,,MATCH($D16,'Landbrugsareal - resultat'!$L$5:$N$5,0)))),IF(H$2=2030,SUMPRODUCT(($B16='Landbrugsareal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115361.98566247879</v>
      </c>
      <c r="I16" s="96" cm="1">
        <f t="array" ref="I16">IF($A16="Vestdanmark",IF($C16="Konventionel",IF(I$2=2019,SUMPRODUCT(($B16='Landbrugsareal - resultat'!$B$6:$B$19)*(INDEX('Landbrugsareal - resultat'!$C$6:$E$19,,MATCH($D16,'Landbrugsareal - resultat'!$C$5:$E$5,0)))),IF(I$2=2030,SUMPRODUCT(($B16='Landbrugsareal - resultat'!$B$6:$B$19)*(INDEX('Landbrugsareal - resultat'!$F$6:$H$19,,MATCH($D16,'Landbrugsareal - resultat'!$F$5:$H$5,0)))),SUMPRODUCT(($B16='Landbrugsareal - resultat'!$B$6:$B$19)*(INDEX('Landbrugsareal - resultat'!$I$6:$K$19,,MATCH($D16,'Landbrugsareal - resultat'!$I$5:$K$5,0)))))),IF(I$2=2019,SUMPRODUCT(($B16='Landbrugsareal - resultat'!$B$6:$B$19)*(INDEX('Landbrugsareal - resultat'!$L$6:$N$19,,MATCH($D16,'Landbrugsareal - resultat'!$L$5:$N$5,0)))),IF(I$2=2030,SUMPRODUCT(($B16='Landbrugsareal - resultat'!$B$6:$B$19)*(INDEX('Landbrugsareal - resultat'!$O$6:$Q$19,,MATCH($D16,'Landbrugsareal - resultat'!$O$5:$Q$5,0)))),SUMPRODUCT(($B16='Landbrugsareal - resultat'!$B$6:$B$19)*(INDEX('Landbrugsareal - resultat'!$R$6:$T$19,,MATCH($D16,'Landbrugsareal - resultat'!$R$5:$T$5,0))))))),IF($C16="Konventionel",IF(I$2=2019,SUMPRODUCT((C16='Landbrugsareal - resultat'!$B$33:$B$46)*(INDEX('Landbrugsareal - resultat'!$C$33:$E$46,,MATCH($D16,'Landbrugsareal - resultat'!$C$5:$E$5,0)))),IF(I$2=2030,SUMPRODUCT(($B16='Landbrugsareal - resultat'!$B$33:$B$46)*(INDEX('Landbrugsareal - resultat'!$F$33:$H$46,,MATCH($D16,'Landbrugsareal - resultat'!$F$5:$H$5,0)))),SUMPRODUCT(($B16='Landbrugsareal - resultat'!$B$33:$B$46)*(INDEX('Landbrugsareal - resultat'!$I$33:$K$46,,MATCH($D16,'Landbrugsareal - resultat'!$I$5:$K$5,0)))))),IF(I$2=2019,SUMPRODUCT(($B16='Landbrugsareal - resultat'!$B$33:$B$46)*(INDEX('Landbrugsareal - resultat'!$L$33:$N$46,,MATCH($D16,'Landbrugsareal - resultat'!$L$5:$N$5,0)))),IF(I$2=2030,SUMPRODUCT(($B16='Landbrugsareal - resultat'!$B$33:$B$46)*(INDEX('Landbrugsareal - resultat'!$O$33:$Q$46,,MATCH($D16,'Landbrugsareal - resultat'!$O$5:$Q$5,0)))),SUMPRODUCT(($B16='Landbrugsareal - resultat'!$B$33:$B$46)*(INDEX('Landbrugsareal - resultat'!$R$33:$T$46,,MATCH($D16,'Landbrugsareal - resultat'!$R$5:$T$5,0))))))))</f>
        <v>108050.04468539612</v>
      </c>
    </row>
    <row r="17" spans="1:9" x14ac:dyDescent="0.25">
      <c r="A17" t="s">
        <v>23</v>
      </c>
      <c r="B17" s="1" t="str">
        <f>[1]Afgrødefordeling!$C$2</f>
        <v>Korn</v>
      </c>
      <c r="C17" t="s">
        <v>7</v>
      </c>
      <c r="D17" t="str">
        <f t="shared" ref="D17:D30" si="2">Organ6</f>
        <v>OC6</v>
      </c>
      <c r="F17" t="str">
        <f t="shared" si="1"/>
        <v>Areal-korn</v>
      </c>
      <c r="G17" s="96" cm="1">
        <f t="array" ref="G17">IF($A17="Vestdanmark",IF($C17="Konventionel",IF(G$2=2019,SUMPRODUCT(($B17='Landbrugsareal - resultat'!$B$6:$B$19)*(INDEX('Landbrugsareal - resultat'!$C$6:$E$19,,MATCH($D17,'Landbrugsareal - resultat'!$C$5:$E$5,0)))),IF(G$2=2030,SUMPRODUCT(($B17='Landbrugsareal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resultat'!$I$5:$K$5,0)))))),IF(G$2=2019,SUMPRODUCT(($B17='Landbrugsareal - resultat'!$B$6:$B$19)*(INDEX('Landbrugsareal - resultat'!$L$6:$N$19,,MATCH($D17,'Landbrugsareal - resultat'!$L$5:$N$5,0)))),IF(G$2=2030,SUMPRODUCT(($B17='Landbrugsareal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resultat'!$R$5:$T$5,0))))))),IF($C17="Konventionel",IF(G$2=2019,SUMPRODUCT((B17='Landbrugsareal - resultat'!$B$33:$B$46)*(INDEX('Landbrugsareal - resultat'!$C$33:$E$46,,MATCH($D17,'Landbrugsareal - resultat'!$C$5:$E$5,0)))),IF(G$2=2030,SUMPRODUCT(($B17='Landbrugsareal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resultat'!$I$5:$K$5,0)))))),IF(G$2=2019,SUMPRODUCT(($B17='Landbrugsareal - resultat'!$B$33:$B$46)*(INDEX('Landbrugsareal - resultat'!$L$33:$N$46,,MATCH($D17,'Landbrugsareal - resultat'!$L$5:$N$5,0)))),IF(G$2=2030,SUMPRODUCT(($B17='Landbrugsareal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22635.91835790575</v>
      </c>
      <c r="H17" s="96" cm="1">
        <f t="array" ref="H17">IF($A17="Vestdanmark",IF($C17="Konventionel",IF(H$2=2019,SUMPRODUCT(($B17='Landbrugsareal - resultat'!$B$6:$B$19)*(INDEX('Landbrugsareal - resultat'!$C$6:$E$19,,MATCH($D17,'Landbrugsareal - resultat'!$C$5:$E$5,0)))),IF(H$2=2030,SUMPRODUCT(($B17='Landbrugsareal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resultat'!$I$5:$K$5,0)))))),IF(H$2=2019,SUMPRODUCT(($B17='Landbrugsareal - resultat'!$B$6:$B$19)*(INDEX('Landbrugsareal - resultat'!$L$6:$N$19,,MATCH($D17,'Landbrugsareal - resultat'!$L$5:$N$5,0)))),IF(H$2=2030,SUMPRODUCT(($B17='Landbrugsareal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resultat'!$R$5:$T$5,0))))))),IF($C17="Konventionel",IF(H$2=2019,SUMPRODUCT(($B17='Landbrugsareal - resultat'!$B$33:$B$46)*(INDEX('Landbrugsareal - resultat'!$C$33:$E$46,,MATCH($D17,'Landbrugsareal - resultat'!$C$5:$E$5,0)))),IF(H$2=2030,SUMPRODUCT(($B17='Landbrugsareal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resultat'!$I$5:$K$5,0)))))),IF(H$2=2019,SUMPRODUCT(($B17='Landbrugsareal - resultat'!$B$33:$B$46)*(INDEX('Landbrugsareal - resultat'!$L$33:$N$46,,MATCH($D17,'Landbrugsareal - resultat'!$L$5:$N$5,0)))),IF(H$2=2030,SUMPRODUCT(($B17='Landbrugsareal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20435.609145451021</v>
      </c>
      <c r="I17" s="96" cm="1">
        <f t="array" ref="I17">IF($A17="Vestdanmark",IF($C17="Konventionel",IF(I$2=2019,SUMPRODUCT(($B17='Landbrugsareal - resultat'!$B$6:$B$19)*(INDEX('Landbrugsareal - resultat'!$C$6:$E$19,,MATCH($D17,'Landbrugsareal - resultat'!$C$5:$E$5,0)))),IF(I$2=2030,SUMPRODUCT(($B17='Landbrugsareal - resultat'!$B$6:$B$19)*(INDEX('Landbrugsareal - resultat'!$F$6:$H$19,,MATCH($D17,'Landbrugsareal - resultat'!$F$5:$H$5,0)))),SUMPRODUCT(($B17='Landbrugsareal - resultat'!$B$6:$B$19)*(INDEX('Landbrugsareal - resultat'!$I$6:$K$19,,MATCH($D17,'Landbrugsareal - resultat'!$I$5:$K$5,0)))))),IF(I$2=2019,SUMPRODUCT(($B17='Landbrugsareal - resultat'!$B$6:$B$19)*(INDEX('Landbrugsareal - resultat'!$L$6:$N$19,,MATCH($D17,'Landbrugsareal - resultat'!$L$5:$N$5,0)))),IF(I$2=2030,SUMPRODUCT(($B17='Landbrugsareal - resultat'!$B$6:$B$19)*(INDEX('Landbrugsareal - resultat'!$O$6:$Q$19,,MATCH($D17,'Landbrugsareal - resultat'!$O$5:$Q$5,0)))),SUMPRODUCT(($B17='Landbrugsareal - resultat'!$B$6:$B$19)*(INDEX('Landbrugsareal - resultat'!$R$6:$T$19,,MATCH($D17,'Landbrugsareal - resultat'!$R$5:$T$5,0))))))),IF($C17="Konventionel",IF(I$2=2019,SUMPRODUCT((C17='Landbrugsareal - resultat'!$B$33:$B$46)*(INDEX('Landbrugsareal - resultat'!$C$33:$E$46,,MATCH($D17,'Landbrugsareal - resultat'!$C$5:$E$5,0)))),IF(I$2=2030,SUMPRODUCT(($B17='Landbrugsareal - resultat'!$B$33:$B$46)*(INDEX('Landbrugsareal - resultat'!$F$33:$H$46,,MATCH($D17,'Landbrugsareal - resultat'!$F$5:$H$5,0)))),SUMPRODUCT(($B17='Landbrugsareal - resultat'!$B$33:$B$46)*(INDEX('Landbrugsareal - resultat'!$I$33:$K$46,,MATCH($D17,'Landbrugsareal - resultat'!$I$5:$K$5,0)))))),IF(I$2=2019,SUMPRODUCT(($B17='Landbrugsareal - resultat'!$B$33:$B$46)*(INDEX('Landbrugsareal - resultat'!$L$33:$N$46,,MATCH($D17,'Landbrugsareal - resultat'!$L$5:$N$5,0)))),IF(I$2=2030,SUMPRODUCT(($B17='Landbrugsareal - resultat'!$B$33:$B$46)*(INDEX('Landbrugsareal - resultat'!$O$33:$Q$46,,MATCH($D17,'Landbrugsareal - resultat'!$O$5:$Q$5,0)))),SUMPRODUCT(($B17='Landbrugsareal - resultat'!$B$33:$B$46)*(INDEX('Landbrugsareal - resultat'!$R$33:$T$46,,MATCH($D17,'Landbrugsareal - resultat'!$R$5:$T$5,0))))))))</f>
        <v>19490.609878609357</v>
      </c>
    </row>
    <row r="18" spans="1:9" x14ac:dyDescent="0.25">
      <c r="A18" t="s">
        <v>23</v>
      </c>
      <c r="B18" s="1" t="str">
        <f>[1]Afgrødefordeling!$C$3</f>
        <v>Bælgsæd</v>
      </c>
      <c r="C18" t="s">
        <v>7</v>
      </c>
      <c r="D18" t="str">
        <f t="shared" si="2"/>
        <v>OC6</v>
      </c>
      <c r="F18" t="str">
        <f t="shared" si="1"/>
        <v>Areal-bælgsæd</v>
      </c>
      <c r="G18" s="96" cm="1">
        <f t="array" ref="G18">IF($A18="Vestdanmark",IF($C18="Konventionel",IF(G$2=2019,SUMPRODUCT(($B18='Landbrugsareal - resultat'!$B$6:$B$19)*(INDEX('Landbrugsareal - resultat'!$C$6:$E$19,,MATCH($D18,'Landbrugsareal - resultat'!$C$5:$E$5,0)))),IF(G$2=2030,SUMPRODUCT(($B18='Landbrugsareal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resultat'!$I$5:$K$5,0)))))),IF(G$2=2019,SUMPRODUCT(($B18='Landbrugsareal - resultat'!$B$6:$B$19)*(INDEX('Landbrugsareal - resultat'!$L$6:$N$19,,MATCH($D18,'Landbrugsareal - resultat'!$L$5:$N$5,0)))),IF(G$2=2030,SUMPRODUCT(($B18='Landbrugsareal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resultat'!$R$5:$T$5,0))))))),IF($C18="Konventionel",IF(G$2=2019,SUMPRODUCT((B18='Landbrugsareal - resultat'!$B$33:$B$46)*(INDEX('Landbrugsareal - resultat'!$C$33:$E$46,,MATCH($D18,'Landbrugsareal - resultat'!$C$5:$E$5,0)))),IF(G$2=2030,SUMPRODUCT(($B18='Landbrugsareal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resultat'!$I$5:$K$5,0)))))),IF(G$2=2019,SUMPRODUCT(($B18='Landbrugsareal - resultat'!$B$33:$B$46)*(INDEX('Landbrugsareal - resultat'!$L$33:$N$46,,MATCH($D18,'Landbrugsareal - resultat'!$L$5:$N$5,0)))),IF(G$2=2030,SUMPRODUCT(($B18='Landbrugsareal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1940.4460603454415</v>
      </c>
      <c r="H18" s="96" cm="1">
        <f t="array" ref="H18">IF($A18="Vestdanmark",IF($C18="Konventionel",IF(H$2=2019,SUMPRODUCT(($B18='Landbrugsareal - resultat'!$B$6:$B$19)*(INDEX('Landbrugsareal - resultat'!$C$6:$E$19,,MATCH($D18,'Landbrugsareal - resultat'!$C$5:$E$5,0)))),IF(H$2=2030,SUMPRODUCT(($B18='Landbrugsareal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resultat'!$I$5:$K$5,0)))))),IF(H$2=2019,SUMPRODUCT(($B18='Landbrugsareal - resultat'!$B$6:$B$19)*(INDEX('Landbrugsareal - resultat'!$L$6:$N$19,,MATCH($D18,'Landbrugsareal - resultat'!$L$5:$N$5,0)))),IF(H$2=2030,SUMPRODUCT(($B18='Landbrugsareal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resultat'!$R$5:$T$5,0))))))),IF($C18="Konventionel",IF(H$2=2019,SUMPRODUCT(($B18='Landbrugsareal - resultat'!$B$33:$B$46)*(INDEX('Landbrugsareal - resultat'!$C$33:$E$46,,MATCH($D18,'Landbrugsareal - resultat'!$C$5:$E$5,0)))),IF(H$2=2030,SUMPRODUCT(($B18='Landbrugsareal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resultat'!$I$5:$K$5,0)))))),IF(H$2=2019,SUMPRODUCT(($B18='Landbrugsareal - resultat'!$B$33:$B$46)*(INDEX('Landbrugsareal - resultat'!$L$33:$N$46,,MATCH($D18,'Landbrugsareal - resultat'!$L$5:$N$5,0)))),IF(H$2=2030,SUMPRODUCT(($B18='Landbrugsareal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1751.8263067599466</v>
      </c>
      <c r="I18" s="96" cm="1">
        <f t="array" ref="I18">IF($A18="Vestdanmark",IF($C18="Konventionel",IF(I$2=2019,SUMPRODUCT(($B18='Landbrugsareal - resultat'!$B$6:$B$19)*(INDEX('Landbrugsareal - resultat'!$C$6:$E$19,,MATCH($D18,'Landbrugsareal - resultat'!$C$5:$E$5,0)))),IF(I$2=2030,SUMPRODUCT(($B18='Landbrugsareal - resultat'!$B$6:$B$19)*(INDEX('Landbrugsareal - resultat'!$F$6:$H$19,,MATCH($D18,'Landbrugsareal - resultat'!$F$5:$H$5,0)))),SUMPRODUCT(($B18='Landbrugsareal - resultat'!$B$6:$B$19)*(INDEX('Landbrugsareal - resultat'!$I$6:$K$19,,MATCH($D18,'Landbrugsareal - resultat'!$I$5:$K$5,0)))))),IF(I$2=2019,SUMPRODUCT(($B18='Landbrugsareal - resultat'!$B$6:$B$19)*(INDEX('Landbrugsareal - resultat'!$L$6:$N$19,,MATCH($D18,'Landbrugsareal - resultat'!$L$5:$N$5,0)))),IF(I$2=2030,SUMPRODUCT(($B18='Landbrugsareal - resultat'!$B$6:$B$19)*(INDEX('Landbrugsareal - resultat'!$O$6:$Q$19,,MATCH($D18,'Landbrugsareal - resultat'!$O$5:$Q$5,0)))),SUMPRODUCT(($B18='Landbrugsareal - resultat'!$B$6:$B$19)*(INDEX('Landbrugsareal - resultat'!$R$6:$T$19,,MATCH($D18,'Landbrugsareal - resultat'!$R$5:$T$5,0))))))),IF($C18="Konventionel",IF(I$2=2019,SUMPRODUCT((C18='Landbrugsareal - resultat'!$B$33:$B$46)*(INDEX('Landbrugsareal - resultat'!$C$33:$E$46,,MATCH($D18,'Landbrugsareal - resultat'!$C$5:$E$5,0)))),IF(I$2=2030,SUMPRODUCT(($B18='Landbrugsareal - resultat'!$B$33:$B$46)*(INDEX('Landbrugsareal - resultat'!$F$33:$H$46,,MATCH($D18,'Landbrugsareal - resultat'!$F$5:$H$5,0)))),SUMPRODUCT(($B18='Landbrugsareal - resultat'!$B$33:$B$46)*(INDEX('Landbrugsareal - resultat'!$I$33:$K$46,,MATCH($D18,'Landbrugsareal - resultat'!$I$5:$K$5,0)))))),IF(I$2=2019,SUMPRODUCT(($B18='Landbrugsareal - resultat'!$B$33:$B$46)*(INDEX('Landbrugsareal - resultat'!$L$33:$N$46,,MATCH($D18,'Landbrugsareal - resultat'!$L$5:$N$5,0)))),IF(I$2=2030,SUMPRODUCT(($B18='Landbrugsareal - resultat'!$B$33:$B$46)*(INDEX('Landbrugsareal - resultat'!$O$33:$Q$46,,MATCH($D18,'Landbrugsareal - resultat'!$O$5:$Q$5,0)))),SUMPRODUCT(($B18='Landbrugsareal - resultat'!$B$33:$B$46)*(INDEX('Landbrugsareal - resultat'!$R$33:$T$46,,MATCH($D18,'Landbrugsareal - resultat'!$R$5:$T$5,0))))))))</f>
        <v>1670.8169977768277</v>
      </c>
    </row>
    <row r="19" spans="1:9" x14ac:dyDescent="0.25">
      <c r="A19" t="s">
        <v>23</v>
      </c>
      <c r="B19" s="1" t="str">
        <f>[1]Afgrødefordeling!$C$4</f>
        <v>Raps</v>
      </c>
      <c r="C19" t="s">
        <v>7</v>
      </c>
      <c r="D19" t="str">
        <f t="shared" si="2"/>
        <v>OC6</v>
      </c>
      <c r="F19" t="str">
        <f t="shared" si="1"/>
        <v>Areal-raps</v>
      </c>
      <c r="G19" s="96" cm="1">
        <f t="array" ref="G19">IF($A19="Vestdanmark",IF($C19="Konventionel",IF(G$2=2019,SUMPRODUCT(($B19='Landbrugsareal - resultat'!$B$6:$B$19)*(INDEX('Landbrugsareal - resultat'!$C$6:$E$19,,MATCH($D19,'Landbrugsareal - resultat'!$C$5:$E$5,0)))),IF(G$2=2030,SUMPRODUCT(($B19='Landbrugsareal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resultat'!$I$5:$K$5,0)))))),IF(G$2=2019,SUMPRODUCT(($B19='Landbrugsareal - resultat'!$B$6:$B$19)*(INDEX('Landbrugsareal - resultat'!$L$6:$N$19,,MATCH($D19,'Landbrugsareal - resultat'!$L$5:$N$5,0)))),IF(G$2=2030,SUMPRODUCT(($B19='Landbrugsareal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resultat'!$R$5:$T$5,0))))))),IF($C19="Konventionel",IF(G$2=2019,SUMPRODUCT((B19='Landbrugsareal - resultat'!$B$33:$B$46)*(INDEX('Landbrugsareal - resultat'!$C$33:$E$46,,MATCH($D19,'Landbrugsareal - resultat'!$C$5:$E$5,0)))),IF(G$2=2030,SUMPRODUCT(($B19='Landbrugsareal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resultat'!$I$5:$K$5,0)))))),IF(G$2=2019,SUMPRODUCT(($B19='Landbrugsareal - resultat'!$B$33:$B$46)*(INDEX('Landbrugsareal - resultat'!$L$33:$N$46,,MATCH($D19,'Landbrugsareal - resultat'!$L$5:$N$5,0)))),IF(G$2=2030,SUMPRODUCT(($B19='Landbrugsareal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2077.7966510372653</v>
      </c>
      <c r="H19" s="96" cm="1">
        <f t="array" ref="H19">IF($A19="Vestdanmark",IF($C19="Konventionel",IF(H$2=2019,SUMPRODUCT(($B19='Landbrugsareal - resultat'!$B$6:$B$19)*(INDEX('Landbrugsareal - resultat'!$C$6:$E$19,,MATCH($D19,'Landbrugsareal - resultat'!$C$5:$E$5,0)))),IF(H$2=2030,SUMPRODUCT(($B19='Landbrugsareal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resultat'!$I$5:$K$5,0)))))),IF(H$2=2019,SUMPRODUCT(($B19='Landbrugsareal - resultat'!$B$6:$B$19)*(INDEX('Landbrugsareal - resultat'!$L$6:$N$19,,MATCH($D19,'Landbrugsareal - resultat'!$L$5:$N$5,0)))),IF(H$2=2030,SUMPRODUCT(($B19='Landbrugsareal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resultat'!$R$5:$T$5,0))))))),IF($C19="Konventionel",IF(H$2=2019,SUMPRODUCT(($B19='Landbrugsareal - resultat'!$B$33:$B$46)*(INDEX('Landbrugsareal - resultat'!$C$33:$E$46,,MATCH($D19,'Landbrugsareal - resultat'!$C$5:$E$5,0)))),IF(H$2=2030,SUMPRODUCT(($B19='Landbrugsareal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resultat'!$I$5:$K$5,0)))))),IF(H$2=2019,SUMPRODUCT(($B19='Landbrugsareal - resultat'!$B$33:$B$46)*(INDEX('Landbrugsareal - resultat'!$L$33:$N$46,,MATCH($D19,'Landbrugsareal - resultat'!$L$5:$N$5,0)))),IF(H$2=2030,SUMPRODUCT(($B19='Landbrugsareal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1875.8258257056677</v>
      </c>
      <c r="I19" s="96" cm="1">
        <f t="array" ref="I19">IF($A19="Vestdanmark",IF($C19="Konventionel",IF(I$2=2019,SUMPRODUCT(($B19='Landbrugsareal - resultat'!$B$6:$B$19)*(INDEX('Landbrugsareal - resultat'!$C$6:$E$19,,MATCH($D19,'Landbrugsareal - resultat'!$C$5:$E$5,0)))),IF(I$2=2030,SUMPRODUCT(($B19='Landbrugsareal - resultat'!$B$6:$B$19)*(INDEX('Landbrugsareal - resultat'!$F$6:$H$19,,MATCH($D19,'Landbrugsareal - resultat'!$F$5:$H$5,0)))),SUMPRODUCT(($B19='Landbrugsareal - resultat'!$B$6:$B$19)*(INDEX('Landbrugsareal - resultat'!$I$6:$K$19,,MATCH($D19,'Landbrugsareal - resultat'!$I$5:$K$5,0)))))),IF(I$2=2019,SUMPRODUCT(($B19='Landbrugsareal - resultat'!$B$6:$B$19)*(INDEX('Landbrugsareal - resultat'!$L$6:$N$19,,MATCH($D19,'Landbrugsareal - resultat'!$L$5:$N$5,0)))),IF(I$2=2030,SUMPRODUCT(($B19='Landbrugsareal - resultat'!$B$6:$B$19)*(INDEX('Landbrugsareal - resultat'!$O$6:$Q$19,,MATCH($D19,'Landbrugsareal - resultat'!$O$5:$Q$5,0)))),SUMPRODUCT(($B19='Landbrugsareal - resultat'!$B$6:$B$19)*(INDEX('Landbrugsareal - resultat'!$R$6:$T$19,,MATCH($D19,'Landbrugsareal - resultat'!$R$5:$T$5,0))))))),IF($C19="Konventionel",IF(I$2=2019,SUMPRODUCT((C19='Landbrugsareal - resultat'!$B$33:$B$46)*(INDEX('Landbrugsareal - resultat'!$C$33:$E$46,,MATCH($D19,'Landbrugsareal - resultat'!$C$5:$E$5,0)))),IF(I$2=2030,SUMPRODUCT(($B19='Landbrugsareal - resultat'!$B$33:$B$46)*(INDEX('Landbrugsareal - resultat'!$F$33:$H$46,,MATCH($D19,'Landbrugsareal - resultat'!$F$5:$H$5,0)))),SUMPRODUCT(($B19='Landbrugsareal - resultat'!$B$33:$B$46)*(INDEX('Landbrugsareal - resultat'!$I$33:$K$46,,MATCH($D19,'Landbrugsareal - resultat'!$I$5:$K$5,0)))))),IF(I$2=2019,SUMPRODUCT(($B19='Landbrugsareal - resultat'!$B$33:$B$46)*(INDEX('Landbrugsareal - resultat'!$L$33:$N$46,,MATCH($D19,'Landbrugsareal - resultat'!$L$5:$N$5,0)))),IF(I$2=2030,SUMPRODUCT(($B19='Landbrugsareal - resultat'!$B$33:$B$46)*(INDEX('Landbrugsareal - resultat'!$O$33:$Q$46,,MATCH($D19,'Landbrugsareal - resultat'!$O$5:$Q$5,0)))),SUMPRODUCT(($B19='Landbrugsareal - resultat'!$B$33:$B$46)*(INDEX('Landbrugsareal - resultat'!$R$33:$T$46,,MATCH($D19,'Landbrugsareal - resultat'!$R$5:$T$5,0))))))))</f>
        <v>1789.0824349215904</v>
      </c>
    </row>
    <row r="20" spans="1:9" x14ac:dyDescent="0.25">
      <c r="A20" t="s">
        <v>23</v>
      </c>
      <c r="B20" s="1" t="str">
        <f>[1]Afgrødefordeling!$C$5</f>
        <v>Græs</v>
      </c>
      <c r="C20" t="s">
        <v>7</v>
      </c>
      <c r="D20" t="str">
        <f t="shared" si="2"/>
        <v>OC6</v>
      </c>
      <c r="F20" t="str">
        <f t="shared" si="1"/>
        <v>Areal-græs</v>
      </c>
      <c r="G20" s="96" cm="1">
        <f t="array" ref="G20">IF($A20="Vestdanmark",IF($C20="Konventionel",IF(G$2=2019,SUMPRODUCT(($B20='Landbrugsareal - resultat'!$B$6:$B$19)*(INDEX('Landbrugsareal - resultat'!$C$6:$E$19,,MATCH($D20,'Landbrugsareal - resultat'!$C$5:$E$5,0)))),IF(G$2=2030,SUMPRODUCT(($B20='Landbrugsareal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resultat'!$I$5:$K$5,0)))))),IF(G$2=2019,SUMPRODUCT(($B20='Landbrugsareal - resultat'!$B$6:$B$19)*(INDEX('Landbrugsareal - resultat'!$L$6:$N$19,,MATCH($D20,'Landbrugsareal - resultat'!$L$5:$N$5,0)))),IF(G$2=2030,SUMPRODUCT(($B20='Landbrugsareal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resultat'!$R$5:$T$5,0))))))),IF($C20="Konventionel",IF(G$2=2019,SUMPRODUCT((B20='Landbrugsareal - resultat'!$B$33:$B$46)*(INDEX('Landbrugsareal - resultat'!$C$33:$E$46,,MATCH($D20,'Landbrugsareal - resultat'!$C$5:$E$5,0)))),IF(G$2=2030,SUMPRODUCT(($B20='Landbrugsareal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resultat'!$I$5:$K$5,0)))))),IF(G$2=2019,SUMPRODUCT(($B20='Landbrugsareal - resultat'!$B$33:$B$46)*(INDEX('Landbrugsareal - resultat'!$L$33:$N$46,,MATCH($D20,'Landbrugsareal - resultat'!$L$5:$N$5,0)))),IF(G$2=2030,SUMPRODUCT(($B20='Landbrugsareal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19174.640913496198</v>
      </c>
      <c r="H20" s="96" cm="1">
        <f t="array" ref="H20">IF($A20="Vestdanmark",IF($C20="Konventionel",IF(H$2=2019,SUMPRODUCT(($B20='Landbrugsareal - resultat'!$B$6:$B$19)*(INDEX('Landbrugsareal - resultat'!$C$6:$E$19,,MATCH($D20,'Landbrugsareal - resultat'!$C$5:$E$5,0)))),IF(H$2=2030,SUMPRODUCT(($B20='Landbrugsareal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resultat'!$I$5:$K$5,0)))))),IF(H$2=2019,SUMPRODUCT(($B20='Landbrugsareal - resultat'!$B$6:$B$19)*(INDEX('Landbrugsareal - resultat'!$L$6:$N$19,,MATCH($D20,'Landbrugsareal - resultat'!$L$5:$N$5,0)))),IF(H$2=2030,SUMPRODUCT(($B20='Landbrugsareal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resultat'!$R$5:$T$5,0))))))),IF($C20="Konventionel",IF(H$2=2019,SUMPRODUCT(($B20='Landbrugsareal - resultat'!$B$33:$B$46)*(INDEX('Landbrugsareal - resultat'!$C$33:$E$46,,MATCH($D20,'Landbrugsareal - resultat'!$C$5:$E$5,0)))),IF(H$2=2030,SUMPRODUCT(($B20='Landbrugsareal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resultat'!$I$5:$K$5,0)))))),IF(H$2=2019,SUMPRODUCT(($B20='Landbrugsareal - resultat'!$B$33:$B$46)*(INDEX('Landbrugsareal - resultat'!$L$33:$N$46,,MATCH($D20,'Landbrugsareal - resultat'!$L$5:$N$5,0)))),IF(H$2=2030,SUMPRODUCT(($B20='Landbrugsareal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17310.782845959839</v>
      </c>
      <c r="I20" s="96" cm="1">
        <f t="array" ref="I20">IF($A20="Vestdanmark",IF($C20="Konventionel",IF(I$2=2019,SUMPRODUCT(($B20='Landbrugsareal - resultat'!$B$6:$B$19)*(INDEX('Landbrugsareal - resultat'!$C$6:$E$19,,MATCH($D20,'Landbrugsareal - resultat'!$C$5:$E$5,0)))),IF(I$2=2030,SUMPRODUCT(($B20='Landbrugsareal - resultat'!$B$6:$B$19)*(INDEX('Landbrugsareal - resultat'!$F$6:$H$19,,MATCH($D20,'Landbrugsareal - resultat'!$F$5:$H$5,0)))),SUMPRODUCT(($B20='Landbrugsareal - resultat'!$B$6:$B$19)*(INDEX('Landbrugsareal - resultat'!$I$6:$K$19,,MATCH($D20,'Landbrugsareal - resultat'!$I$5:$K$5,0)))))),IF(I$2=2019,SUMPRODUCT(($B20='Landbrugsareal - resultat'!$B$6:$B$19)*(INDEX('Landbrugsareal - resultat'!$L$6:$N$19,,MATCH($D20,'Landbrugsareal - resultat'!$L$5:$N$5,0)))),IF(I$2=2030,SUMPRODUCT(($B20='Landbrugsareal - resultat'!$B$6:$B$19)*(INDEX('Landbrugsareal - resultat'!$O$6:$Q$19,,MATCH($D20,'Landbrugsareal - resultat'!$O$5:$Q$5,0)))),SUMPRODUCT(($B20='Landbrugsareal - resultat'!$B$6:$B$19)*(INDEX('Landbrugsareal - resultat'!$R$6:$T$19,,MATCH($D20,'Landbrugsareal - resultat'!$R$5:$T$5,0))))))),IF($C20="Konventionel",IF(I$2=2019,SUMPRODUCT((C20='Landbrugsareal - resultat'!$B$33:$B$46)*(INDEX('Landbrugsareal - resultat'!$C$33:$E$46,,MATCH($D20,'Landbrugsareal - resultat'!$C$5:$E$5,0)))),IF(I$2=2030,SUMPRODUCT(($B20='Landbrugsareal - resultat'!$B$33:$B$46)*(INDEX('Landbrugsareal - resultat'!$F$33:$H$46,,MATCH($D20,'Landbrugsareal - resultat'!$F$5:$H$5,0)))),SUMPRODUCT(($B20='Landbrugsareal - resultat'!$B$33:$B$46)*(INDEX('Landbrugsareal - resultat'!$I$33:$K$46,,MATCH($D20,'Landbrugsareal - resultat'!$I$5:$K$5,0)))))),IF(I$2=2019,SUMPRODUCT(($B20='Landbrugsareal - resultat'!$B$33:$B$46)*(INDEX('Landbrugsareal - resultat'!$L$33:$N$46,,MATCH($D20,'Landbrugsareal - resultat'!$L$5:$N$5,0)))),IF(I$2=2030,SUMPRODUCT(($B20='Landbrugsareal - resultat'!$B$33:$B$46)*(INDEX('Landbrugsareal - resultat'!$O$33:$Q$46,,MATCH($D20,'Landbrugsareal - resultat'!$O$5:$Q$5,0)))),SUMPRODUCT(($B20='Landbrugsareal - resultat'!$B$33:$B$46)*(INDEX('Landbrugsareal - resultat'!$R$33:$T$46,,MATCH($D20,'Landbrugsareal - resultat'!$R$5:$T$5,0))))))))</f>
        <v>16510.284217244931</v>
      </c>
    </row>
    <row r="21" spans="1:9" x14ac:dyDescent="0.25">
      <c r="A21" t="s">
        <v>23</v>
      </c>
      <c r="B21" s="1" t="str">
        <f>[1]Afgrødefordeling!$C$6</f>
        <v>Grøntsager</v>
      </c>
      <c r="C21" t="s">
        <v>7</v>
      </c>
      <c r="D21" t="str">
        <f t="shared" si="2"/>
        <v>OC6</v>
      </c>
      <c r="F21" t="str">
        <f t="shared" si="1"/>
        <v>Areal-grøntsager</v>
      </c>
      <c r="G21" s="96" cm="1">
        <f t="array" ref="G21">IF($A21="Vestdanmark",IF($C21="Konventionel",IF(G$2=2019,SUMPRODUCT(($B21='Landbrugsareal - resultat'!$B$6:$B$19)*(INDEX('Landbrugsareal - resultat'!$C$6:$E$19,,MATCH($D21,'Landbrugsareal - resultat'!$C$5:$E$5,0)))),IF(G$2=2030,SUMPRODUCT(($B21='Landbrugsareal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resultat'!$I$5:$K$5,0)))))),IF(G$2=2019,SUMPRODUCT(($B21='Landbrugsareal - resultat'!$B$6:$B$19)*(INDEX('Landbrugsareal - resultat'!$L$6:$N$19,,MATCH($D21,'Landbrugsareal - resultat'!$L$5:$N$5,0)))),IF(G$2=2030,SUMPRODUCT(($B21='Landbrugsareal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resultat'!$R$5:$T$5,0))))))),IF($C21="Konventionel",IF(G$2=2019,SUMPRODUCT((B21='Landbrugsareal - resultat'!$B$33:$B$46)*(INDEX('Landbrugsareal - resultat'!$C$33:$E$46,,MATCH($D21,'Landbrugsareal - resultat'!$C$5:$E$5,0)))),IF(G$2=2030,SUMPRODUCT(($B21='Landbrugsareal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resultat'!$I$5:$K$5,0)))))),IF(G$2=2019,SUMPRODUCT(($B21='Landbrugsareal - resultat'!$B$33:$B$46)*(INDEX('Landbrugsareal - resultat'!$L$33:$N$46,,MATCH($D21,'Landbrugsareal - resultat'!$L$5:$N$5,0)))),IF(G$2=2030,SUMPRODUCT(($B21='Landbrugsareal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89.680516787297492</v>
      </c>
      <c r="H21" s="96" cm="1">
        <f t="array" ref="H21">IF($A21="Vestdanmark",IF($C21="Konventionel",IF(H$2=2019,SUMPRODUCT(($B21='Landbrugsareal - resultat'!$B$6:$B$19)*(INDEX('Landbrugsareal - resultat'!$C$6:$E$19,,MATCH($D21,'Landbrugsareal - resultat'!$C$5:$E$5,0)))),IF(H$2=2030,SUMPRODUCT(($B21='Landbrugsareal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resultat'!$I$5:$K$5,0)))))),IF(H$2=2019,SUMPRODUCT(($B21='Landbrugsareal - resultat'!$B$6:$B$19)*(INDEX('Landbrugsareal - resultat'!$L$6:$N$19,,MATCH($D21,'Landbrugsareal - resultat'!$L$5:$N$5,0)))),IF(H$2=2030,SUMPRODUCT(($B21='Landbrugsareal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resultat'!$R$5:$T$5,0))))))),IF($C21="Konventionel",IF(H$2=2019,SUMPRODUCT(($B21='Landbrugsareal - resultat'!$B$33:$B$46)*(INDEX('Landbrugsareal - resultat'!$C$33:$E$46,,MATCH($D21,'Landbrugsareal - resultat'!$C$5:$E$5,0)))),IF(H$2=2030,SUMPRODUCT(($B21='Landbrugsareal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resultat'!$I$5:$K$5,0)))))),IF(H$2=2019,SUMPRODUCT(($B21='Landbrugsareal - resultat'!$B$33:$B$46)*(INDEX('Landbrugsareal - resultat'!$L$33:$N$46,,MATCH($D21,'Landbrugsareal - resultat'!$L$5:$N$5,0)))),IF(H$2=2030,SUMPRODUCT(($B21='Landbrugsareal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80.963182498279139</v>
      </c>
      <c r="I21" s="96" cm="1">
        <f t="array" ref="I21">IF($A21="Vestdanmark",IF($C21="Konventionel",IF(I$2=2019,SUMPRODUCT(($B21='Landbrugsareal - resultat'!$B$6:$B$19)*(INDEX('Landbrugsareal - resultat'!$C$6:$E$19,,MATCH($D21,'Landbrugsareal - resultat'!$C$5:$E$5,0)))),IF(I$2=2030,SUMPRODUCT(($B21='Landbrugsareal - resultat'!$B$6:$B$19)*(INDEX('Landbrugsareal - resultat'!$F$6:$H$19,,MATCH($D21,'Landbrugsareal - resultat'!$F$5:$H$5,0)))),SUMPRODUCT(($B21='Landbrugsareal - resultat'!$B$6:$B$19)*(INDEX('Landbrugsareal - resultat'!$I$6:$K$19,,MATCH($D21,'Landbrugsareal - resultat'!$I$5:$K$5,0)))))),IF(I$2=2019,SUMPRODUCT(($B21='Landbrugsareal - resultat'!$B$6:$B$19)*(INDEX('Landbrugsareal - resultat'!$L$6:$N$19,,MATCH($D21,'Landbrugsareal - resultat'!$L$5:$N$5,0)))),IF(I$2=2030,SUMPRODUCT(($B21='Landbrugsareal - resultat'!$B$6:$B$19)*(INDEX('Landbrugsareal - resultat'!$O$6:$Q$19,,MATCH($D21,'Landbrugsareal - resultat'!$O$5:$Q$5,0)))),SUMPRODUCT(($B21='Landbrugsareal - resultat'!$B$6:$B$19)*(INDEX('Landbrugsareal - resultat'!$R$6:$T$19,,MATCH($D21,'Landbrugsareal - resultat'!$R$5:$T$5,0))))))),IF($C21="Konventionel",IF(I$2=2019,SUMPRODUCT((C21='Landbrugsareal - resultat'!$B$33:$B$46)*(INDEX('Landbrugsareal - resultat'!$C$33:$E$46,,MATCH($D21,'Landbrugsareal - resultat'!$C$5:$E$5,0)))),IF(I$2=2030,SUMPRODUCT(($B21='Landbrugsareal - resultat'!$B$33:$B$46)*(INDEX('Landbrugsareal - resultat'!$F$33:$H$46,,MATCH($D21,'Landbrugsareal - resultat'!$F$5:$H$5,0)))),SUMPRODUCT(($B21='Landbrugsareal - resultat'!$B$33:$B$46)*(INDEX('Landbrugsareal - resultat'!$I$33:$K$46,,MATCH($D21,'Landbrugsareal - resultat'!$I$5:$K$5,0)))))),IF(I$2=2019,SUMPRODUCT(($B21='Landbrugsareal - resultat'!$B$33:$B$46)*(INDEX('Landbrugsareal - resultat'!$L$33:$N$46,,MATCH($D21,'Landbrugsareal - resultat'!$L$5:$N$5,0)))),IF(I$2=2030,SUMPRODUCT(($B21='Landbrugsareal - resultat'!$B$33:$B$46)*(INDEX('Landbrugsareal - resultat'!$O$33:$Q$46,,MATCH($D21,'Landbrugsareal - resultat'!$O$5:$Q$5,0)))),SUMPRODUCT(($B21='Landbrugsareal - resultat'!$B$33:$B$46)*(INDEX('Landbrugsareal - resultat'!$R$33:$T$46,,MATCH($D21,'Landbrugsareal - resultat'!$R$5:$T$5,0))))))))</f>
        <v>77.219220301826923</v>
      </c>
    </row>
    <row r="22" spans="1:9" x14ac:dyDescent="0.25">
      <c r="A22" t="s">
        <v>23</v>
      </c>
      <c r="B22" s="1" t="str">
        <f>[1]Afgrødefordeling!$C$7</f>
        <v>Kartofler</v>
      </c>
      <c r="C22" t="s">
        <v>7</v>
      </c>
      <c r="D22" t="str">
        <f t="shared" si="2"/>
        <v>OC6</v>
      </c>
      <c r="F22" t="str">
        <f t="shared" si="1"/>
        <v>Areal-kartofler</v>
      </c>
      <c r="G22" s="96" cm="1">
        <f t="array" ref="G22">IF($A22="Vestdanmark",IF($C22="Konventionel",IF(G$2=2019,SUMPRODUCT(($B22='Landbrugsareal - resultat'!$B$6:$B$19)*(INDEX('Landbrugsareal - resultat'!$C$6:$E$19,,MATCH($D22,'Landbrugsareal - resultat'!$C$5:$E$5,0)))),IF(G$2=2030,SUMPRODUCT(($B22='Landbrugsareal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resultat'!$I$5:$K$5,0)))))),IF(G$2=2019,SUMPRODUCT(($B22='Landbrugsareal - resultat'!$B$6:$B$19)*(INDEX('Landbrugsareal - resultat'!$L$6:$N$19,,MATCH($D22,'Landbrugsareal - resultat'!$L$5:$N$5,0)))),IF(G$2=2030,SUMPRODUCT(($B22='Landbrugsareal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resultat'!$R$5:$T$5,0))))))),IF($C22="Konventionel",IF(G$2=2019,SUMPRODUCT((B22='Landbrugsareal - resultat'!$B$33:$B$46)*(INDEX('Landbrugsareal - resultat'!$C$33:$E$46,,MATCH($D22,'Landbrugsareal - resultat'!$C$5:$E$5,0)))),IF(G$2=2030,SUMPRODUCT(($B22='Landbrugsareal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resultat'!$I$5:$K$5,0)))))),IF(G$2=2019,SUMPRODUCT(($B22='Landbrugsareal - resultat'!$B$33:$B$46)*(INDEX('Landbrugsareal - resultat'!$L$33:$N$46,,MATCH($D22,'Landbrugsareal - resultat'!$L$5:$N$5,0)))),IF(G$2=2030,SUMPRODUCT(($B22='Landbrugsareal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1415.8229166406438</v>
      </c>
      <c r="H22" s="96" cm="1">
        <f t="array" ref="H22">IF($A22="Vestdanmark",IF($C22="Konventionel",IF(H$2=2019,SUMPRODUCT(($B22='Landbrugsareal - resultat'!$B$6:$B$19)*(INDEX('Landbrugsareal - resultat'!$C$6:$E$19,,MATCH($D22,'Landbrugsareal - resultat'!$C$5:$E$5,0)))),IF(H$2=2030,SUMPRODUCT(($B22='Landbrugsareal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resultat'!$I$5:$K$5,0)))))),IF(H$2=2019,SUMPRODUCT(($B22='Landbrugsareal - resultat'!$B$6:$B$19)*(INDEX('Landbrugsareal - resultat'!$L$6:$N$19,,MATCH($D22,'Landbrugsareal - resultat'!$L$5:$N$5,0)))),IF(H$2=2030,SUMPRODUCT(($B22='Landbrugsareal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resultat'!$R$5:$T$5,0))))))),IF($C22="Konventionel",IF(H$2=2019,SUMPRODUCT(($B22='Landbrugsareal - resultat'!$B$33:$B$46)*(INDEX('Landbrugsareal - resultat'!$C$33:$E$46,,MATCH($D22,'Landbrugsareal - resultat'!$C$5:$E$5,0)))),IF(H$2=2030,SUMPRODUCT(($B22='Landbrugsareal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resultat'!$I$5:$K$5,0)))))),IF(H$2=2019,SUMPRODUCT(($B22='Landbrugsareal - resultat'!$B$33:$B$46)*(INDEX('Landbrugsareal - resultat'!$L$33:$N$46,,MATCH($D22,'Landbrugsareal - resultat'!$L$5:$N$5,0)))),IF(H$2=2030,SUMPRODUCT(($B22='Landbrugsareal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1278.1988027243244</v>
      </c>
      <c r="I22" s="96" cm="1">
        <f t="array" ref="I22">IF($A22="Vestdanmark",IF($C22="Konventionel",IF(I$2=2019,SUMPRODUCT(($B22='Landbrugsareal - resultat'!$B$6:$B$19)*(INDEX('Landbrugsareal - resultat'!$C$6:$E$19,,MATCH($D22,'Landbrugsareal - resultat'!$C$5:$E$5,0)))),IF(I$2=2030,SUMPRODUCT(($B22='Landbrugsareal - resultat'!$B$6:$B$19)*(INDEX('Landbrugsareal - resultat'!$F$6:$H$19,,MATCH($D22,'Landbrugsareal - resultat'!$F$5:$H$5,0)))),SUMPRODUCT(($B22='Landbrugsareal - resultat'!$B$6:$B$19)*(INDEX('Landbrugsareal - resultat'!$I$6:$K$19,,MATCH($D22,'Landbrugsareal - resultat'!$I$5:$K$5,0)))))),IF(I$2=2019,SUMPRODUCT(($B22='Landbrugsareal - resultat'!$B$6:$B$19)*(INDEX('Landbrugsareal - resultat'!$L$6:$N$19,,MATCH($D22,'Landbrugsareal - resultat'!$L$5:$N$5,0)))),IF(I$2=2030,SUMPRODUCT(($B22='Landbrugsareal - resultat'!$B$6:$B$19)*(INDEX('Landbrugsareal - resultat'!$O$6:$Q$19,,MATCH($D22,'Landbrugsareal - resultat'!$O$5:$Q$5,0)))),SUMPRODUCT(($B22='Landbrugsareal - resultat'!$B$6:$B$19)*(INDEX('Landbrugsareal - resultat'!$R$6:$T$19,,MATCH($D22,'Landbrugsareal - resultat'!$R$5:$T$5,0))))))),IF($C22="Konventionel",IF(I$2=2019,SUMPRODUCT((C22='Landbrugsareal - resultat'!$B$33:$B$46)*(INDEX('Landbrugsareal - resultat'!$C$33:$E$46,,MATCH($D22,'Landbrugsareal - resultat'!$C$5:$E$5,0)))),IF(I$2=2030,SUMPRODUCT(($B22='Landbrugsareal - resultat'!$B$33:$B$46)*(INDEX('Landbrugsareal - resultat'!$F$33:$H$46,,MATCH($D22,'Landbrugsareal - resultat'!$F$5:$H$5,0)))),SUMPRODUCT(($B22='Landbrugsareal - resultat'!$B$33:$B$46)*(INDEX('Landbrugsareal - resultat'!$I$33:$K$46,,MATCH($D22,'Landbrugsareal - resultat'!$I$5:$K$5,0)))))),IF(I$2=2019,SUMPRODUCT(($B22='Landbrugsareal - resultat'!$B$33:$B$46)*(INDEX('Landbrugsareal - resultat'!$L$33:$N$46,,MATCH($D22,'Landbrugsareal - resultat'!$L$5:$N$5,0)))),IF(I$2=2030,SUMPRODUCT(($B22='Landbrugsareal - resultat'!$B$33:$B$46)*(INDEX('Landbrugsareal - resultat'!$O$33:$Q$46,,MATCH($D22,'Landbrugsareal - resultat'!$O$5:$Q$5,0)))),SUMPRODUCT(($B22='Landbrugsareal - resultat'!$B$33:$B$46)*(INDEX('Landbrugsareal - resultat'!$R$33:$T$46,,MATCH($D22,'Landbrugsareal - resultat'!$R$5:$T$5,0))))))))</f>
        <v>1219.0913436388062</v>
      </c>
    </row>
    <row r="23" spans="1:9" x14ac:dyDescent="0.25">
      <c r="A23" t="s">
        <v>23</v>
      </c>
      <c r="B23" s="1" t="str">
        <f>[1]Afgrødefordeling!$C$8</f>
        <v>Roer</v>
      </c>
      <c r="C23" t="s">
        <v>7</v>
      </c>
      <c r="D23" t="str">
        <f t="shared" si="2"/>
        <v>OC6</v>
      </c>
      <c r="F23" t="str">
        <f t="shared" si="1"/>
        <v>Areal-roer</v>
      </c>
      <c r="G23" s="96" cm="1">
        <f t="array" ref="G23">IF($A23="Vestdanmark",IF($C23="Konventionel",IF(G$2=2019,SUMPRODUCT(($B23='Landbrugsareal - resultat'!$B$6:$B$19)*(INDEX('Landbrugsareal - resultat'!$C$6:$E$19,,MATCH($D23,'Landbrugsareal - resultat'!$C$5:$E$5,0)))),IF(G$2=2030,SUMPRODUCT(($B23='Landbrugsareal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resultat'!$I$5:$K$5,0)))))),IF(G$2=2019,SUMPRODUCT(($B23='Landbrugsareal - resultat'!$B$6:$B$19)*(INDEX('Landbrugsareal - resultat'!$L$6:$N$19,,MATCH($D23,'Landbrugsareal - resultat'!$L$5:$N$5,0)))),IF(G$2=2030,SUMPRODUCT(($B23='Landbrugsareal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resultat'!$R$5:$T$5,0))))))),IF($C23="Konventionel",IF(G$2=2019,SUMPRODUCT((B23='Landbrugsareal - resultat'!$B$33:$B$46)*(INDEX('Landbrugsareal - resultat'!$C$33:$E$46,,MATCH($D23,'Landbrugsareal - resultat'!$C$5:$E$5,0)))),IF(G$2=2030,SUMPRODUCT(($B23='Landbrugsareal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resultat'!$I$5:$K$5,0)))))),IF(G$2=2019,SUMPRODUCT(($B23='Landbrugsareal - resultat'!$B$33:$B$46)*(INDEX('Landbrugsareal - resultat'!$L$33:$N$46,,MATCH($D23,'Landbrugsareal - resultat'!$L$5:$N$5,0)))),IF(G$2=2030,SUMPRODUCT(($B23='Landbrugsareal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37.144566460621057</v>
      </c>
      <c r="H23" s="96" cm="1">
        <f t="array" ref="H23">IF($A23="Vestdanmark",IF($C23="Konventionel",IF(H$2=2019,SUMPRODUCT(($B23='Landbrugsareal - resultat'!$B$6:$B$19)*(INDEX('Landbrugsareal - resultat'!$C$6:$E$19,,MATCH($D23,'Landbrugsareal - resultat'!$C$5:$E$5,0)))),IF(H$2=2030,SUMPRODUCT(($B23='Landbrugsareal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resultat'!$I$5:$K$5,0)))))),IF(H$2=2019,SUMPRODUCT(($B23='Landbrugsareal - resultat'!$B$6:$B$19)*(INDEX('Landbrugsareal - resultat'!$L$6:$N$19,,MATCH($D23,'Landbrugsareal - resultat'!$L$5:$N$5,0)))),IF(H$2=2030,SUMPRODUCT(($B23='Landbrugsareal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resultat'!$R$5:$T$5,0))))))),IF($C23="Konventionel",IF(H$2=2019,SUMPRODUCT(($B23='Landbrugsareal - resultat'!$B$33:$B$46)*(INDEX('Landbrugsareal - resultat'!$C$33:$E$46,,MATCH($D23,'Landbrugsareal - resultat'!$C$5:$E$5,0)))),IF(H$2=2030,SUMPRODUCT(($B23='Landbrugsareal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resultat'!$I$5:$K$5,0)))))),IF(H$2=2019,SUMPRODUCT(($B23='Landbrugsareal - resultat'!$B$33:$B$46)*(INDEX('Landbrugsareal - resultat'!$L$33:$N$46,,MATCH($D23,'Landbrugsareal - resultat'!$L$5:$N$5,0)))),IF(H$2=2030,SUMPRODUCT(($B23='Landbrugsareal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33.533953872093285</v>
      </c>
      <c r="I23" s="96" cm="1">
        <f t="array" ref="I23">IF($A23="Vestdanmark",IF($C23="Konventionel",IF(I$2=2019,SUMPRODUCT(($B23='Landbrugsareal - resultat'!$B$6:$B$19)*(INDEX('Landbrugsareal - resultat'!$C$6:$E$19,,MATCH($D23,'Landbrugsareal - resultat'!$C$5:$E$5,0)))),IF(I$2=2030,SUMPRODUCT(($B23='Landbrugsareal - resultat'!$B$6:$B$19)*(INDEX('Landbrugsareal - resultat'!$F$6:$H$19,,MATCH($D23,'Landbrugsareal - resultat'!$F$5:$H$5,0)))),SUMPRODUCT(($B23='Landbrugsareal - resultat'!$B$6:$B$19)*(INDEX('Landbrugsareal - resultat'!$I$6:$K$19,,MATCH($D23,'Landbrugsareal - resultat'!$I$5:$K$5,0)))))),IF(I$2=2019,SUMPRODUCT(($B23='Landbrugsareal - resultat'!$B$6:$B$19)*(INDEX('Landbrugsareal - resultat'!$L$6:$N$19,,MATCH($D23,'Landbrugsareal - resultat'!$L$5:$N$5,0)))),IF(I$2=2030,SUMPRODUCT(($B23='Landbrugsareal - resultat'!$B$6:$B$19)*(INDEX('Landbrugsareal - resultat'!$O$6:$Q$19,,MATCH($D23,'Landbrugsareal - resultat'!$O$5:$Q$5,0)))),SUMPRODUCT(($B23='Landbrugsareal - resultat'!$B$6:$B$19)*(INDEX('Landbrugsareal - resultat'!$R$6:$T$19,,MATCH($D23,'Landbrugsareal - resultat'!$R$5:$T$5,0))))))),IF($C23="Konventionel",IF(I$2=2019,SUMPRODUCT((C23='Landbrugsareal - resultat'!$B$33:$B$46)*(INDEX('Landbrugsareal - resultat'!$C$33:$E$46,,MATCH($D23,'Landbrugsareal - resultat'!$C$5:$E$5,0)))),IF(I$2=2030,SUMPRODUCT(($B23='Landbrugsareal - resultat'!$B$33:$B$46)*(INDEX('Landbrugsareal - resultat'!$F$33:$H$46,,MATCH($D23,'Landbrugsareal - resultat'!$F$5:$H$5,0)))),SUMPRODUCT(($B23='Landbrugsareal - resultat'!$B$33:$B$46)*(INDEX('Landbrugsareal - resultat'!$I$33:$K$46,,MATCH($D23,'Landbrugsareal - resultat'!$I$5:$K$5,0)))))),IF(I$2=2019,SUMPRODUCT(($B23='Landbrugsareal - resultat'!$B$33:$B$46)*(INDEX('Landbrugsareal - resultat'!$L$33:$N$46,,MATCH($D23,'Landbrugsareal - resultat'!$L$5:$N$5,0)))),IF(I$2=2030,SUMPRODUCT(($B23='Landbrugsareal - resultat'!$B$33:$B$46)*(INDEX('Landbrugsareal - resultat'!$O$33:$Q$46,,MATCH($D23,'Landbrugsareal - resultat'!$O$5:$Q$5,0)))),SUMPRODUCT(($B23='Landbrugsareal - resultat'!$B$33:$B$46)*(INDEX('Landbrugsareal - resultat'!$R$33:$T$46,,MATCH($D23,'Landbrugsareal - resultat'!$R$5:$T$5,0))))))))</f>
        <v>31.983250802863537</v>
      </c>
    </row>
    <row r="24" spans="1:9" x14ac:dyDescent="0.25">
      <c r="A24" t="s">
        <v>23</v>
      </c>
      <c r="B24" s="1" t="str">
        <f>[1]Afgrødefordeling!$C$9</f>
        <v>Majs</v>
      </c>
      <c r="C24" t="s">
        <v>7</v>
      </c>
      <c r="D24" t="str">
        <f t="shared" si="2"/>
        <v>OC6</v>
      </c>
      <c r="F24" t="str">
        <f t="shared" si="1"/>
        <v>Areal-majs</v>
      </c>
      <c r="G24" s="96" cm="1">
        <f t="array" ref="G24">IF($A24="Vestdanmark",IF($C24="Konventionel",IF(G$2=2019,SUMPRODUCT(($B24='Landbrugsareal - resultat'!$B$6:$B$19)*(INDEX('Landbrugsareal - resultat'!$C$6:$E$19,,MATCH($D24,'Landbrugsareal - resultat'!$C$5:$E$5,0)))),IF(G$2=2030,SUMPRODUCT(($B24='Landbrugsareal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resultat'!$I$5:$K$5,0)))))),IF(G$2=2019,SUMPRODUCT(($B24='Landbrugsareal - resultat'!$B$6:$B$19)*(INDEX('Landbrugsareal - resultat'!$L$6:$N$19,,MATCH($D24,'Landbrugsareal - resultat'!$L$5:$N$5,0)))),IF(G$2=2030,SUMPRODUCT(($B24='Landbrugsareal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resultat'!$R$5:$T$5,0))))))),IF($C24="Konventionel",IF(G$2=2019,SUMPRODUCT((B24='Landbrugsareal - resultat'!$B$33:$B$46)*(INDEX('Landbrugsareal - resultat'!$C$33:$E$46,,MATCH($D24,'Landbrugsareal - resultat'!$C$5:$E$5,0)))),IF(G$2=2030,SUMPRODUCT(($B24='Landbrugsareal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resultat'!$I$5:$K$5,0)))))),IF(G$2=2019,SUMPRODUCT(($B24='Landbrugsareal - resultat'!$B$33:$B$46)*(INDEX('Landbrugsareal - resultat'!$L$33:$N$46,,MATCH($D24,'Landbrugsareal - resultat'!$L$5:$N$5,0)))),IF(G$2=2030,SUMPRODUCT(($B24='Landbrugsareal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4794.8053396620016</v>
      </c>
      <c r="H24" s="96" cm="1">
        <f t="array" ref="H24">IF($A24="Vestdanmark",IF($C24="Konventionel",IF(H$2=2019,SUMPRODUCT(($B24='Landbrugsareal - resultat'!$B$6:$B$19)*(INDEX('Landbrugsareal - resultat'!$C$6:$E$19,,MATCH($D24,'Landbrugsareal - resultat'!$C$5:$E$5,0)))),IF(H$2=2030,SUMPRODUCT(($B24='Landbrugsareal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resultat'!$I$5:$K$5,0)))))),IF(H$2=2019,SUMPRODUCT(($B24='Landbrugsareal - resultat'!$B$6:$B$19)*(INDEX('Landbrugsareal - resultat'!$L$6:$N$19,,MATCH($D24,'Landbrugsareal - resultat'!$L$5:$N$5,0)))),IF(H$2=2030,SUMPRODUCT(($B24='Landbrugsareal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resultat'!$R$5:$T$5,0))))))),IF($C24="Konventionel",IF(H$2=2019,SUMPRODUCT(($B24='Landbrugsareal - resultat'!$B$33:$B$46)*(INDEX('Landbrugsareal - resultat'!$C$33:$E$46,,MATCH($D24,'Landbrugsareal - resultat'!$C$5:$E$5,0)))),IF(H$2=2030,SUMPRODUCT(($B24='Landbrugsareal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resultat'!$I$5:$K$5,0)))))),IF(H$2=2019,SUMPRODUCT(($B24='Landbrugsareal - resultat'!$B$33:$B$46)*(INDEX('Landbrugsareal - resultat'!$L$33:$N$46,,MATCH($D24,'Landbrugsareal - resultat'!$L$5:$N$5,0)))),IF(H$2=2030,SUMPRODUCT(($B24='Landbrugsareal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4328.7295130057018</v>
      </c>
      <c r="I24" s="96" cm="1">
        <f t="array" ref="I24">IF($A24="Vestdanmark",IF($C24="Konventionel",IF(I$2=2019,SUMPRODUCT(($B24='Landbrugsareal - resultat'!$B$6:$B$19)*(INDEX('Landbrugsareal - resultat'!$C$6:$E$19,,MATCH($D24,'Landbrugsareal - resultat'!$C$5:$E$5,0)))),IF(I$2=2030,SUMPRODUCT(($B24='Landbrugsareal - resultat'!$B$6:$B$19)*(INDEX('Landbrugsareal - resultat'!$F$6:$H$19,,MATCH($D24,'Landbrugsareal - resultat'!$F$5:$H$5,0)))),SUMPRODUCT(($B24='Landbrugsareal - resultat'!$B$6:$B$19)*(INDEX('Landbrugsareal - resultat'!$I$6:$K$19,,MATCH($D24,'Landbrugsareal - resultat'!$I$5:$K$5,0)))))),IF(I$2=2019,SUMPRODUCT(($B24='Landbrugsareal - resultat'!$B$6:$B$19)*(INDEX('Landbrugsareal - resultat'!$L$6:$N$19,,MATCH($D24,'Landbrugsareal - resultat'!$L$5:$N$5,0)))),IF(I$2=2030,SUMPRODUCT(($B24='Landbrugsareal - resultat'!$B$6:$B$19)*(INDEX('Landbrugsareal - resultat'!$O$6:$Q$19,,MATCH($D24,'Landbrugsareal - resultat'!$O$5:$Q$5,0)))),SUMPRODUCT(($B24='Landbrugsareal - resultat'!$B$6:$B$19)*(INDEX('Landbrugsareal - resultat'!$R$6:$T$19,,MATCH($D24,'Landbrugsareal - resultat'!$R$5:$T$5,0))))))),IF($C24="Konventionel",IF(I$2=2019,SUMPRODUCT((C24='Landbrugsareal - resultat'!$B$33:$B$46)*(INDEX('Landbrugsareal - resultat'!$C$33:$E$46,,MATCH($D24,'Landbrugsareal - resultat'!$C$5:$E$5,0)))),IF(I$2=2030,SUMPRODUCT(($B24='Landbrugsareal - resultat'!$B$33:$B$46)*(INDEX('Landbrugsareal - resultat'!$F$33:$H$46,,MATCH($D24,'Landbrugsareal - resultat'!$F$5:$H$5,0)))),SUMPRODUCT(($B24='Landbrugsareal - resultat'!$B$33:$B$46)*(INDEX('Landbrugsareal - resultat'!$I$33:$K$46,,MATCH($D24,'Landbrugsareal - resultat'!$I$5:$K$5,0)))))),IF(I$2=2019,SUMPRODUCT(($B24='Landbrugsareal - resultat'!$B$33:$B$46)*(INDEX('Landbrugsareal - resultat'!$L$33:$N$46,,MATCH($D24,'Landbrugsareal - resultat'!$L$5:$N$5,0)))),IF(I$2=2030,SUMPRODUCT(($B24='Landbrugsareal - resultat'!$B$33:$B$46)*(INDEX('Landbrugsareal - resultat'!$O$33:$Q$46,,MATCH($D24,'Landbrugsareal - resultat'!$O$5:$Q$5,0)))),SUMPRODUCT(($B24='Landbrugsareal - resultat'!$B$33:$B$46)*(INDEX('Landbrugsareal - resultat'!$R$33:$T$46,,MATCH($D24,'Landbrugsareal - resultat'!$R$5:$T$5,0))))))))</f>
        <v>4128.5570499765372</v>
      </c>
    </row>
    <row r="25" spans="1:9" x14ac:dyDescent="0.25">
      <c r="A25" t="s">
        <v>23</v>
      </c>
      <c r="B25" s="1" t="str">
        <f>[1]Afgrødefordeling!$C$10</f>
        <v>Frugt</v>
      </c>
      <c r="C25" t="s">
        <v>7</v>
      </c>
      <c r="D25" t="str">
        <f t="shared" si="2"/>
        <v>OC6</v>
      </c>
      <c r="F25" t="str">
        <f t="shared" si="1"/>
        <v>Areal-frugt</v>
      </c>
      <c r="G25" s="96" cm="1">
        <f t="array" ref="G25">IF($A25="Vestdanmark",IF($C25="Konventionel",IF(G$2=2019,SUMPRODUCT(($B25='Landbrugsareal - resultat'!$B$6:$B$19)*(INDEX('Landbrugsareal - resultat'!$C$6:$E$19,,MATCH($D25,'Landbrugsareal - resultat'!$C$5:$E$5,0)))),IF(G$2=2030,SUMPRODUCT(($B25='Landbrugsareal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resultat'!$I$5:$K$5,0)))))),IF(G$2=2019,SUMPRODUCT(($B25='Landbrugsareal - resultat'!$B$6:$B$19)*(INDEX('Landbrugsareal - resultat'!$L$6:$N$19,,MATCH($D25,'Landbrugsareal - resultat'!$L$5:$N$5,0)))),IF(G$2=2030,SUMPRODUCT(($B25='Landbrugsareal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resultat'!$R$5:$T$5,0))))))),IF($C25="Konventionel",IF(G$2=2019,SUMPRODUCT((B25='Landbrugsareal - resultat'!$B$33:$B$46)*(INDEX('Landbrugsareal - resultat'!$C$33:$E$46,,MATCH($D25,'Landbrugsareal - resultat'!$C$5:$E$5,0)))),IF(G$2=2030,SUMPRODUCT(($B25='Landbrugsareal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resultat'!$I$5:$K$5,0)))))),IF(G$2=2019,SUMPRODUCT(($B25='Landbrugsareal - resultat'!$B$33:$B$46)*(INDEX('Landbrugsareal - resultat'!$L$33:$N$46,,MATCH($D25,'Landbrugsareal - resultat'!$L$5:$N$5,0)))),IF(G$2=2030,SUMPRODUCT(($B25='Landbrugsareal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81.683630839432524</v>
      </c>
      <c r="H25" s="96" cm="1">
        <f t="array" ref="H25">IF($A25="Vestdanmark",IF($C25="Konventionel",IF(H$2=2019,SUMPRODUCT(($B25='Landbrugsareal - resultat'!$B$6:$B$19)*(INDEX('Landbrugsareal - resultat'!$C$6:$E$19,,MATCH($D25,'Landbrugsareal - resultat'!$C$5:$E$5,0)))),IF(H$2=2030,SUMPRODUCT(($B25='Landbrugsareal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resultat'!$I$5:$K$5,0)))))),IF(H$2=2019,SUMPRODUCT(($B25='Landbrugsareal - resultat'!$B$6:$B$19)*(INDEX('Landbrugsareal - resultat'!$L$6:$N$19,,MATCH($D25,'Landbrugsareal - resultat'!$L$5:$N$5,0)))),IF(H$2=2030,SUMPRODUCT(($B25='Landbrugsareal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resultat'!$R$5:$T$5,0))))))),IF($C25="Konventionel",IF(H$2=2019,SUMPRODUCT(($B25='Landbrugsareal - resultat'!$B$33:$B$46)*(INDEX('Landbrugsareal - resultat'!$C$33:$E$46,,MATCH($D25,'Landbrugsareal - resultat'!$C$5:$E$5,0)))),IF(H$2=2030,SUMPRODUCT(($B25='Landbrugsareal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resultat'!$I$5:$K$5,0)))))),IF(H$2=2019,SUMPRODUCT(($B25='Landbrugsareal - resultat'!$B$33:$B$46)*(INDEX('Landbrugsareal - resultat'!$L$33:$N$46,,MATCH($D25,'Landbrugsareal - resultat'!$L$5:$N$5,0)))),IF(H$2=2030,SUMPRODUCT(($B25='Landbrugsareal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73.74362846793683</v>
      </c>
      <c r="I25" s="96" cm="1">
        <f t="array" ref="I25">IF($A25="Vestdanmark",IF($C25="Konventionel",IF(I$2=2019,SUMPRODUCT(($B25='Landbrugsareal - resultat'!$B$6:$B$19)*(INDEX('Landbrugsareal - resultat'!$C$6:$E$19,,MATCH($D25,'Landbrugsareal - resultat'!$C$5:$E$5,0)))),IF(I$2=2030,SUMPRODUCT(($B25='Landbrugsareal - resultat'!$B$6:$B$19)*(INDEX('Landbrugsareal - resultat'!$F$6:$H$19,,MATCH($D25,'Landbrugsareal - resultat'!$F$5:$H$5,0)))),SUMPRODUCT(($B25='Landbrugsareal - resultat'!$B$6:$B$19)*(INDEX('Landbrugsareal - resultat'!$I$6:$K$19,,MATCH($D25,'Landbrugsareal - resultat'!$I$5:$K$5,0)))))),IF(I$2=2019,SUMPRODUCT(($B25='Landbrugsareal - resultat'!$B$6:$B$19)*(INDEX('Landbrugsareal - resultat'!$L$6:$N$19,,MATCH($D25,'Landbrugsareal - resultat'!$L$5:$N$5,0)))),IF(I$2=2030,SUMPRODUCT(($B25='Landbrugsareal - resultat'!$B$6:$B$19)*(INDEX('Landbrugsareal - resultat'!$O$6:$Q$19,,MATCH($D25,'Landbrugsareal - resultat'!$O$5:$Q$5,0)))),SUMPRODUCT(($B25='Landbrugsareal - resultat'!$B$6:$B$19)*(INDEX('Landbrugsareal - resultat'!$R$6:$T$19,,MATCH($D25,'Landbrugsareal - resultat'!$R$5:$T$5,0))))))),IF($C25="Konventionel",IF(I$2=2019,SUMPRODUCT((C25='Landbrugsareal - resultat'!$B$33:$B$46)*(INDEX('Landbrugsareal - resultat'!$C$33:$E$46,,MATCH($D25,'Landbrugsareal - resultat'!$C$5:$E$5,0)))),IF(I$2=2030,SUMPRODUCT(($B25='Landbrugsareal - resultat'!$B$33:$B$46)*(INDEX('Landbrugsareal - resultat'!$F$33:$H$46,,MATCH($D25,'Landbrugsareal - resultat'!$F$5:$H$5,0)))),SUMPRODUCT(($B25='Landbrugsareal - resultat'!$B$33:$B$46)*(INDEX('Landbrugsareal - resultat'!$I$33:$K$46,,MATCH($D25,'Landbrugsareal - resultat'!$I$5:$K$5,0)))))),IF(I$2=2019,SUMPRODUCT(($B25='Landbrugsareal - resultat'!$B$33:$B$46)*(INDEX('Landbrugsareal - resultat'!$L$33:$N$46,,MATCH($D25,'Landbrugsareal - resultat'!$L$5:$N$5,0)))),IF(I$2=2030,SUMPRODUCT(($B25='Landbrugsareal - resultat'!$B$33:$B$46)*(INDEX('Landbrugsareal - resultat'!$O$33:$Q$46,,MATCH($D25,'Landbrugsareal - resultat'!$O$5:$Q$5,0)))),SUMPRODUCT(($B25='Landbrugsareal - resultat'!$B$33:$B$46)*(INDEX('Landbrugsareal - resultat'!$R$33:$T$46,,MATCH($D25,'Landbrugsareal - resultat'!$R$5:$T$5,0))))))))</f>
        <v>70.333518480980217</v>
      </c>
    </row>
    <row r="26" spans="1:9" x14ac:dyDescent="0.25">
      <c r="A26" t="s">
        <v>23</v>
      </c>
      <c r="B26" s="1" t="str">
        <f>[1]Afgrødefordeling!$C$11</f>
        <v>Øvrige</v>
      </c>
      <c r="C26" t="s">
        <v>7</v>
      </c>
      <c r="D26" t="str">
        <f t="shared" si="2"/>
        <v>OC6</v>
      </c>
      <c r="F26" t="str">
        <f t="shared" si="1"/>
        <v>Areal-øvrige</v>
      </c>
      <c r="G26" s="96" cm="1">
        <f t="array" ref="G26">IF($A26="Vestdanmark",IF($C26="Konventionel",IF(G$2=2019,SUMPRODUCT(($B26='Landbrugsareal - resultat'!$B$6:$B$19)*(INDEX('Landbrugsareal - resultat'!$C$6:$E$19,,MATCH($D26,'Landbrugsareal - resultat'!$C$5:$E$5,0)))),IF(G$2=2030,SUMPRODUCT(($B26='Landbrugsareal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resultat'!$I$5:$K$5,0)))))),IF(G$2=2019,SUMPRODUCT(($B26='Landbrugsareal - resultat'!$B$6:$B$19)*(INDEX('Landbrugsareal - resultat'!$L$6:$N$19,,MATCH($D26,'Landbrugsareal - resultat'!$L$5:$N$5,0)))),IF(G$2=2030,SUMPRODUCT(($B26='Landbrugsareal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resultat'!$R$5:$T$5,0))))))),IF($C26="Konventionel",IF(G$2=2019,SUMPRODUCT((B26='Landbrugsareal - resultat'!$B$33:$B$46)*(INDEX('Landbrugsareal - resultat'!$C$33:$E$46,,MATCH($D26,'Landbrugsareal - resultat'!$C$5:$E$5,0)))),IF(G$2=2030,SUMPRODUCT(($B26='Landbrugsareal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resultat'!$I$5:$K$5,0)))))),IF(G$2=2019,SUMPRODUCT(($B26='Landbrugsareal - resultat'!$B$33:$B$46)*(INDEX('Landbrugsareal - resultat'!$L$33:$N$46,,MATCH($D26,'Landbrugsareal - resultat'!$L$5:$N$5,0)))),IF(G$2=2030,SUMPRODUCT(($B26='Landbrugsareal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1444.648640496996</v>
      </c>
      <c r="H26" s="96" cm="1">
        <f t="array" ref="H26">IF($A26="Vestdanmark",IF($C26="Konventionel",IF(H$2=2019,SUMPRODUCT(($B26='Landbrugsareal - resultat'!$B$6:$B$19)*(INDEX('Landbrugsareal - resultat'!$C$6:$E$19,,MATCH($D26,'Landbrugsareal - resultat'!$C$5:$E$5,0)))),IF(H$2=2030,SUMPRODUCT(($B26='Landbrugsareal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resultat'!$I$5:$K$5,0)))))),IF(H$2=2019,SUMPRODUCT(($B26='Landbrugsareal - resultat'!$B$6:$B$19)*(INDEX('Landbrugsareal - resultat'!$L$6:$N$19,,MATCH($D26,'Landbrugsareal - resultat'!$L$5:$N$5,0)))),IF(H$2=2030,SUMPRODUCT(($B26='Landbrugsareal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resultat'!$R$5:$T$5,0))))))),IF($C26="Konventionel",IF(H$2=2019,SUMPRODUCT(($B26='Landbrugsareal - resultat'!$B$33:$B$46)*(INDEX('Landbrugsareal - resultat'!$C$33:$E$46,,MATCH($D26,'Landbrugsareal - resultat'!$C$5:$E$5,0)))),IF(H$2=2030,SUMPRODUCT(($B26='Landbrugsareal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resultat'!$I$5:$K$5,0)))))),IF(H$2=2019,SUMPRODUCT(($B26='Landbrugsareal - resultat'!$B$33:$B$46)*(INDEX('Landbrugsareal - resultat'!$L$33:$N$46,,MATCH($D26,'Landbrugsareal - resultat'!$L$5:$N$5,0)))),IF(H$2=2030,SUMPRODUCT(($B26='Landbrugsareal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1304.2225414898148</v>
      </c>
      <c r="I26" s="96" cm="1">
        <f t="array" ref="I26">IF($A26="Vestdanmark",IF($C26="Konventionel",IF(I$2=2019,SUMPRODUCT(($B26='Landbrugsareal - resultat'!$B$6:$B$19)*(INDEX('Landbrugsareal - resultat'!$C$6:$E$19,,MATCH($D26,'Landbrugsareal - resultat'!$C$5:$E$5,0)))),IF(I$2=2030,SUMPRODUCT(($B26='Landbrugsareal - resultat'!$B$6:$B$19)*(INDEX('Landbrugsareal - resultat'!$F$6:$H$19,,MATCH($D26,'Landbrugsareal - resultat'!$F$5:$H$5,0)))),SUMPRODUCT(($B26='Landbrugsareal - resultat'!$B$6:$B$19)*(INDEX('Landbrugsareal - resultat'!$I$6:$K$19,,MATCH($D26,'Landbrugsareal - resultat'!$I$5:$K$5,0)))))),IF(I$2=2019,SUMPRODUCT(($B26='Landbrugsareal - resultat'!$B$6:$B$19)*(INDEX('Landbrugsareal - resultat'!$L$6:$N$19,,MATCH($D26,'Landbrugsareal - resultat'!$L$5:$N$5,0)))),IF(I$2=2030,SUMPRODUCT(($B26='Landbrugsareal - resultat'!$B$6:$B$19)*(INDEX('Landbrugsareal - resultat'!$O$6:$Q$19,,MATCH($D26,'Landbrugsareal - resultat'!$O$5:$Q$5,0)))),SUMPRODUCT(($B26='Landbrugsareal - resultat'!$B$6:$B$19)*(INDEX('Landbrugsareal - resultat'!$R$6:$T$19,,MATCH($D26,'Landbrugsareal - resultat'!$R$5:$T$5,0))))))),IF($C26="Konventionel",IF(I$2=2019,SUMPRODUCT((C26='Landbrugsareal - resultat'!$B$33:$B$46)*(INDEX('Landbrugsareal - resultat'!$C$33:$E$46,,MATCH($D26,'Landbrugsareal - resultat'!$C$5:$E$5,0)))),IF(I$2=2030,SUMPRODUCT(($B26='Landbrugsareal - resultat'!$B$33:$B$46)*(INDEX('Landbrugsareal - resultat'!$F$33:$H$46,,MATCH($D26,'Landbrugsareal - resultat'!$F$5:$H$5,0)))),SUMPRODUCT(($B26='Landbrugsareal - resultat'!$B$33:$B$46)*(INDEX('Landbrugsareal - resultat'!$I$33:$K$46,,MATCH($D26,'Landbrugsareal - resultat'!$I$5:$K$5,0)))))),IF(I$2=2019,SUMPRODUCT(($B26='Landbrugsareal - resultat'!$B$33:$B$46)*(INDEX('Landbrugsareal - resultat'!$L$33:$N$46,,MATCH($D26,'Landbrugsareal - resultat'!$L$5:$N$5,0)))),IF(I$2=2030,SUMPRODUCT(($B26='Landbrugsareal - resultat'!$B$33:$B$46)*(INDEX('Landbrugsareal - resultat'!$O$33:$Q$46,,MATCH($D26,'Landbrugsareal - resultat'!$O$5:$Q$5,0)))),SUMPRODUCT(($B26='Landbrugsareal - resultat'!$B$33:$B$46)*(INDEX('Landbrugsareal - resultat'!$R$33:$T$46,,MATCH($D26,'Landbrugsareal - resultat'!$R$5:$T$5,0))))))))</f>
        <v>1243.9116725191875</v>
      </c>
    </row>
    <row r="27" spans="1:9" x14ac:dyDescent="0.25">
      <c r="A27" t="s">
        <v>23</v>
      </c>
      <c r="B27" s="1" t="str">
        <f>[1]Afgrødefordeling!$C$12</f>
        <v>Frø</v>
      </c>
      <c r="C27" t="s">
        <v>7</v>
      </c>
      <c r="D27" t="str">
        <f t="shared" si="2"/>
        <v>OC6</v>
      </c>
      <c r="F27" t="str">
        <f t="shared" si="1"/>
        <v>Areal-frøgræs</v>
      </c>
      <c r="G27" s="96" cm="1">
        <f t="array" ref="G27">IF($A27="Vestdanmark",IF($C27="Konventionel",IF(G$2=2019,SUMPRODUCT(($B27='Landbrugsareal - resultat'!$B$6:$B$19)*(INDEX('Landbrugsareal - resultat'!$C$6:$E$19,,MATCH($D27,'Landbrugsareal - resultat'!$C$5:$E$5,0)))),IF(G$2=2030,SUMPRODUCT(($B27='Landbrugsareal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resultat'!$I$5:$K$5,0)))))),IF(G$2=2019,SUMPRODUCT(($B27='Landbrugsareal - resultat'!$B$6:$B$19)*(INDEX('Landbrugsareal - resultat'!$L$6:$N$19,,MATCH($D27,'Landbrugsareal - resultat'!$L$5:$N$5,0)))),IF(G$2=2030,SUMPRODUCT(($B27='Landbrugsareal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resultat'!$R$5:$T$5,0))))))),IF($C27="Konventionel",IF(G$2=2019,SUMPRODUCT((B27='Landbrugsareal - resultat'!$B$33:$B$46)*(INDEX('Landbrugsareal - resultat'!$C$33:$E$46,,MATCH($D27,'Landbrugsareal - resultat'!$C$5:$E$5,0)))),IF(G$2=2030,SUMPRODUCT(($B27='Landbrugsareal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resultat'!$I$5:$K$5,0)))))),IF(G$2=2019,SUMPRODUCT(($B27='Landbrugsareal - resultat'!$B$33:$B$46)*(INDEX('Landbrugsareal - resultat'!$L$33:$N$46,,MATCH($D27,'Landbrugsareal - resultat'!$L$5:$N$5,0)))),IF(G$2=2030,SUMPRODUCT(($B27='Landbrugsareal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3565.8188704270801</v>
      </c>
      <c r="H27" s="96" cm="1">
        <f t="array" ref="H27">IF($A27="Vestdanmark",IF($C27="Konventionel",IF(H$2=2019,SUMPRODUCT(($B27='Landbrugsareal - resultat'!$B$6:$B$19)*(INDEX('Landbrugsareal - resultat'!$C$6:$E$19,,MATCH($D27,'Landbrugsareal - resultat'!$C$5:$E$5,0)))),IF(H$2=2030,SUMPRODUCT(($B27='Landbrugsareal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resultat'!$I$5:$K$5,0)))))),IF(H$2=2019,SUMPRODUCT(($B27='Landbrugsareal - resultat'!$B$6:$B$19)*(INDEX('Landbrugsareal - resultat'!$L$6:$N$19,,MATCH($D27,'Landbrugsareal - resultat'!$L$5:$N$5,0)))),IF(H$2=2030,SUMPRODUCT(($B27='Landbrugsareal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resultat'!$R$5:$T$5,0))))))),IF($C27="Konventionel",IF(H$2=2019,SUMPRODUCT(($B27='Landbrugsareal - resultat'!$B$33:$B$46)*(INDEX('Landbrugsareal - resultat'!$C$33:$E$46,,MATCH($D27,'Landbrugsareal - resultat'!$C$5:$E$5,0)))),IF(H$2=2030,SUMPRODUCT(($B27='Landbrugsareal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resultat'!$I$5:$K$5,0)))))),IF(H$2=2019,SUMPRODUCT(($B27='Landbrugsareal - resultat'!$B$33:$B$46)*(INDEX('Landbrugsareal - resultat'!$L$33:$N$46,,MATCH($D27,'Landbrugsareal - resultat'!$L$5:$N$5,0)))),IF(H$2=2030,SUMPRODUCT(($B27='Landbrugsareal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3219.2058465377545</v>
      </c>
      <c r="I27" s="96" cm="1">
        <f t="array" ref="I27">IF($A27="Vestdanmark",IF($C27="Konventionel",IF(I$2=2019,SUMPRODUCT(($B27='Landbrugsareal - resultat'!$B$6:$B$19)*(INDEX('Landbrugsareal - resultat'!$C$6:$E$19,,MATCH($D27,'Landbrugsareal - resultat'!$C$5:$E$5,0)))),IF(I$2=2030,SUMPRODUCT(($B27='Landbrugsareal - resultat'!$B$6:$B$19)*(INDEX('Landbrugsareal - resultat'!$F$6:$H$19,,MATCH($D27,'Landbrugsareal - resultat'!$F$5:$H$5,0)))),SUMPRODUCT(($B27='Landbrugsareal - resultat'!$B$6:$B$19)*(INDEX('Landbrugsareal - resultat'!$I$6:$K$19,,MATCH($D27,'Landbrugsareal - resultat'!$I$5:$K$5,0)))))),IF(I$2=2019,SUMPRODUCT(($B27='Landbrugsareal - resultat'!$B$6:$B$19)*(INDEX('Landbrugsareal - resultat'!$L$6:$N$19,,MATCH($D27,'Landbrugsareal - resultat'!$L$5:$N$5,0)))),IF(I$2=2030,SUMPRODUCT(($B27='Landbrugsareal - resultat'!$B$6:$B$19)*(INDEX('Landbrugsareal - resultat'!$O$6:$Q$19,,MATCH($D27,'Landbrugsareal - resultat'!$O$5:$Q$5,0)))),SUMPRODUCT(($B27='Landbrugsareal - resultat'!$B$6:$B$19)*(INDEX('Landbrugsareal - resultat'!$R$6:$T$19,,MATCH($D27,'Landbrugsareal - resultat'!$R$5:$T$5,0))))))),IF($C27="Konventionel",IF(I$2=2019,SUMPRODUCT((C27='Landbrugsareal - resultat'!$B$33:$B$46)*(INDEX('Landbrugsareal - resultat'!$C$33:$E$46,,MATCH($D27,'Landbrugsareal - resultat'!$C$5:$E$5,0)))),IF(I$2=2030,SUMPRODUCT(($B27='Landbrugsareal - resultat'!$B$33:$B$46)*(INDEX('Landbrugsareal - resultat'!$F$33:$H$46,,MATCH($D27,'Landbrugsareal - resultat'!$F$5:$H$5,0)))),SUMPRODUCT(($B27='Landbrugsareal - resultat'!$B$33:$B$46)*(INDEX('Landbrugsareal - resultat'!$I$33:$K$46,,MATCH($D27,'Landbrugsareal - resultat'!$I$5:$K$5,0)))))),IF(I$2=2019,SUMPRODUCT(($B27='Landbrugsareal - resultat'!$B$33:$B$46)*(INDEX('Landbrugsareal - resultat'!$L$33:$N$46,,MATCH($D27,'Landbrugsareal - resultat'!$L$5:$N$5,0)))),IF(I$2=2030,SUMPRODUCT(($B27='Landbrugsareal - resultat'!$B$33:$B$46)*(INDEX('Landbrugsareal - resultat'!$O$33:$Q$46,,MATCH($D27,'Landbrugsareal - resultat'!$O$5:$Q$5,0)))),SUMPRODUCT(($B27='Landbrugsareal - resultat'!$B$33:$B$46)*(INDEX('Landbrugsareal - resultat'!$R$33:$T$46,,MATCH($D27,'Landbrugsareal - resultat'!$R$5:$T$5,0))))))))</f>
        <v>3070.3408362932341</v>
      </c>
    </row>
    <row r="28" spans="1:9" x14ac:dyDescent="0.25">
      <c r="A28" t="s">
        <v>23</v>
      </c>
      <c r="B28" s="1" t="str">
        <f>[1]Afgrødefordeling!$C$13</f>
        <v>Juletræer</v>
      </c>
      <c r="C28" t="s">
        <v>7</v>
      </c>
      <c r="D28" t="str">
        <f t="shared" si="2"/>
        <v>OC6</v>
      </c>
      <c r="F28" t="str">
        <f t="shared" si="1"/>
        <v>Areal-juletræer</v>
      </c>
      <c r="G28" s="96" cm="1">
        <f t="array" ref="G28">IF($A28="Vestdanmark",IF($C28="Konventionel",IF(G$2=2019,SUMPRODUCT(($B28='Landbrugsareal - resultat'!$B$6:$B$19)*(INDEX('Landbrugsareal - resultat'!$C$6:$E$19,,MATCH($D28,'Landbrugsareal - resultat'!$C$5:$E$5,0)))),IF(G$2=2030,SUMPRODUCT(($B28='Landbrugsareal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resultat'!$I$5:$K$5,0)))))),IF(G$2=2019,SUMPRODUCT(($B28='Landbrugsareal - resultat'!$B$6:$B$19)*(INDEX('Landbrugsareal - resultat'!$L$6:$N$19,,MATCH($D28,'Landbrugsareal - resultat'!$L$5:$N$5,0)))),IF(G$2=2030,SUMPRODUCT(($B28='Landbrugsareal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resultat'!$R$5:$T$5,0))))))),IF($C28="Konventionel",IF(G$2=2019,SUMPRODUCT((B28='Landbrugsareal - resultat'!$B$33:$B$46)*(INDEX('Landbrugsareal - resultat'!$C$33:$E$46,,MATCH($D28,'Landbrugsareal - resultat'!$C$5:$E$5,0)))),IF(G$2=2030,SUMPRODUCT(($B28='Landbrugsareal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resultat'!$I$5:$K$5,0)))))),IF(G$2=2019,SUMPRODUCT(($B28='Landbrugsareal - resultat'!$B$33:$B$46)*(INDEX('Landbrugsareal - resultat'!$L$33:$N$46,,MATCH($D28,'Landbrugsareal - resultat'!$L$5:$N$5,0)))),IF(G$2=2030,SUMPRODUCT(($B28='Landbrugsareal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409.68784794078073</v>
      </c>
      <c r="H28" s="96" cm="1">
        <f t="array" ref="H28">IF($A28="Vestdanmark",IF($C28="Konventionel",IF(H$2=2019,SUMPRODUCT(($B28='Landbrugsareal - resultat'!$B$6:$B$19)*(INDEX('Landbrugsareal - resultat'!$C$6:$E$19,,MATCH($D28,'Landbrugsareal - resultat'!$C$5:$E$5,0)))),IF(H$2=2030,SUMPRODUCT(($B28='Landbrugsareal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resultat'!$I$5:$K$5,0)))))),IF(H$2=2019,SUMPRODUCT(($B28='Landbrugsareal - resultat'!$B$6:$B$19)*(INDEX('Landbrugsareal - resultat'!$L$6:$N$19,,MATCH($D28,'Landbrugsareal - resultat'!$L$5:$N$5,0)))),IF(H$2=2030,SUMPRODUCT(($B28='Landbrugsareal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resultat'!$R$5:$T$5,0))))))),IF($C28="Konventionel",IF(H$2=2019,SUMPRODUCT(($B28='Landbrugsareal - resultat'!$B$33:$B$46)*(INDEX('Landbrugsareal - resultat'!$C$33:$E$46,,MATCH($D28,'Landbrugsareal - resultat'!$C$5:$E$5,0)))),IF(H$2=2030,SUMPRODUCT(($B28='Landbrugsareal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resultat'!$I$5:$K$5,0)))))),IF(H$2=2019,SUMPRODUCT(($B28='Landbrugsareal - resultat'!$B$33:$B$46)*(INDEX('Landbrugsareal - resultat'!$L$33:$N$46,,MATCH($D28,'Landbrugsareal - resultat'!$L$5:$N$5,0)))),IF(H$2=2030,SUMPRODUCT(($B28='Landbrugsareal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369.86441635732047</v>
      </c>
      <c r="I28" s="96" cm="1">
        <f t="array" ref="I28">IF($A28="Vestdanmark",IF($C28="Konventionel",IF(I$2=2019,SUMPRODUCT(($B28='Landbrugsareal - resultat'!$B$6:$B$19)*(INDEX('Landbrugsareal - resultat'!$C$6:$E$19,,MATCH($D28,'Landbrugsareal - resultat'!$C$5:$E$5,0)))),IF(I$2=2030,SUMPRODUCT(($B28='Landbrugsareal - resultat'!$B$6:$B$19)*(INDEX('Landbrugsareal - resultat'!$F$6:$H$19,,MATCH($D28,'Landbrugsareal - resultat'!$F$5:$H$5,0)))),SUMPRODUCT(($B28='Landbrugsareal - resultat'!$B$6:$B$19)*(INDEX('Landbrugsareal - resultat'!$I$6:$K$19,,MATCH($D28,'Landbrugsareal - resultat'!$I$5:$K$5,0)))))),IF(I$2=2019,SUMPRODUCT(($B28='Landbrugsareal - resultat'!$B$6:$B$19)*(INDEX('Landbrugsareal - resultat'!$L$6:$N$19,,MATCH($D28,'Landbrugsareal - resultat'!$L$5:$N$5,0)))),IF(I$2=2030,SUMPRODUCT(($B28='Landbrugsareal - resultat'!$B$6:$B$19)*(INDEX('Landbrugsareal - resultat'!$O$6:$Q$19,,MATCH($D28,'Landbrugsareal - resultat'!$O$5:$Q$5,0)))),SUMPRODUCT(($B28='Landbrugsareal - resultat'!$B$6:$B$19)*(INDEX('Landbrugsareal - resultat'!$R$6:$T$19,,MATCH($D28,'Landbrugsareal - resultat'!$R$5:$T$5,0))))))),IF($C28="Konventionel",IF(I$2=2019,SUMPRODUCT((C28='Landbrugsareal - resultat'!$B$33:$B$46)*(INDEX('Landbrugsareal - resultat'!$C$33:$E$46,,MATCH($D28,'Landbrugsareal - resultat'!$C$5:$E$5,0)))),IF(I$2=2030,SUMPRODUCT(($B28='Landbrugsareal - resultat'!$B$33:$B$46)*(INDEX('Landbrugsareal - resultat'!$F$33:$H$46,,MATCH($D28,'Landbrugsareal - resultat'!$F$5:$H$5,0)))),SUMPRODUCT(($B28='Landbrugsareal - resultat'!$B$33:$B$46)*(INDEX('Landbrugsareal - resultat'!$I$33:$K$46,,MATCH($D28,'Landbrugsareal - resultat'!$I$5:$K$5,0)))))),IF(I$2=2019,SUMPRODUCT(($B28='Landbrugsareal - resultat'!$B$33:$B$46)*(INDEX('Landbrugsareal - resultat'!$L$33:$N$46,,MATCH($D28,'Landbrugsareal - resultat'!$L$5:$N$5,0)))),IF(I$2=2030,SUMPRODUCT(($B28='Landbrugsareal - resultat'!$B$33:$B$46)*(INDEX('Landbrugsareal - resultat'!$O$33:$Q$46,,MATCH($D28,'Landbrugsareal - resultat'!$O$5:$Q$5,0)))),SUMPRODUCT(($B28='Landbrugsareal - resultat'!$B$33:$B$46)*(INDEX('Landbrugsareal - resultat'!$R$33:$T$46,,MATCH($D28,'Landbrugsareal - resultat'!$R$5:$T$5,0))))))))</f>
        <v>352.76085953154842</v>
      </c>
    </row>
    <row r="29" spans="1:9" x14ac:dyDescent="0.25">
      <c r="A29" t="s">
        <v>23</v>
      </c>
      <c r="B29" s="1" t="str">
        <f>[1]Afgrødefordeling!$C$14</f>
        <v>Pil &amp; poppel</v>
      </c>
      <c r="C29" t="s">
        <v>7</v>
      </c>
      <c r="D29" t="str">
        <f t="shared" si="2"/>
        <v>OC6</v>
      </c>
      <c r="F29" t="str">
        <f t="shared" si="1"/>
        <v>Areal-pil-poppel</v>
      </c>
      <c r="G29" s="96" cm="1">
        <f t="array" ref="G29">IF($A29="Vestdanmark",IF($C29="Konventionel",IF(G$2=2019,SUMPRODUCT(($B29='Landbrugsareal - resultat'!$B$6:$B$19)*(INDEX('Landbrugsareal - resultat'!$C$6:$E$19,,MATCH($D29,'Landbrugsareal - resultat'!$C$5:$E$5,0)))),IF(G$2=2030,SUMPRODUCT(($B29='Landbrugsareal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resultat'!$I$5:$K$5,0)))))),IF(G$2=2019,SUMPRODUCT(($B29='Landbrugsareal - resultat'!$B$6:$B$19)*(INDEX('Landbrugsareal - resultat'!$L$6:$N$19,,MATCH($D29,'Landbrugsareal - resultat'!$L$5:$N$5,0)))),IF(G$2=2030,SUMPRODUCT(($B29='Landbrugsareal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resultat'!$R$5:$T$5,0))))))),IF($C29="Konventionel",IF(G$2=2019,SUMPRODUCT((B29='Landbrugsareal - resultat'!$B$33:$B$46)*(INDEX('Landbrugsareal - resultat'!$C$33:$E$46,,MATCH($D29,'Landbrugsareal - resultat'!$C$5:$E$5,0)))),IF(G$2=2030,SUMPRODUCT(($B29='Landbrugsareal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resultat'!$I$5:$K$5,0)))))),IF(G$2=2019,SUMPRODUCT(($B29='Landbrugsareal - resultat'!$B$33:$B$46)*(INDEX('Landbrugsareal - resultat'!$L$33:$N$46,,MATCH($D29,'Landbrugsareal - resultat'!$L$5:$N$5,0)))),IF(G$2=2030,SUMPRODUCT(($B29='Landbrugsareal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672.85851532837171</v>
      </c>
      <c r="H29" s="96" cm="1">
        <f t="array" ref="H29">IF($A29="Vestdanmark",IF($C29="Konventionel",IF(H$2=2019,SUMPRODUCT(($B29='Landbrugsareal - resultat'!$B$6:$B$19)*(INDEX('Landbrugsareal - resultat'!$C$6:$E$19,,MATCH($D29,'Landbrugsareal - resultat'!$C$5:$E$5,0)))),IF(H$2=2030,SUMPRODUCT(($B29='Landbrugsareal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resultat'!$I$5:$K$5,0)))))),IF(H$2=2019,SUMPRODUCT(($B29='Landbrugsareal - resultat'!$B$6:$B$19)*(INDEX('Landbrugsareal - resultat'!$L$6:$N$19,,MATCH($D29,'Landbrugsareal - resultat'!$L$5:$N$5,0)))),IF(H$2=2030,SUMPRODUCT(($B29='Landbrugsareal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resultat'!$R$5:$T$5,0))))))),IF($C29="Konventionel",IF(H$2=2019,SUMPRODUCT(($B29='Landbrugsareal - resultat'!$B$33:$B$46)*(INDEX('Landbrugsareal - resultat'!$C$33:$E$46,,MATCH($D29,'Landbrugsareal - resultat'!$C$5:$E$5,0)))),IF(H$2=2030,SUMPRODUCT(($B29='Landbrugsareal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resultat'!$I$5:$K$5,0)))))),IF(H$2=2019,SUMPRODUCT(($B29='Landbrugsareal - resultat'!$B$33:$B$46)*(INDEX('Landbrugsareal - resultat'!$L$33:$N$46,,MATCH($D29,'Landbrugsareal - resultat'!$L$5:$N$5,0)))),IF(H$2=2030,SUMPRODUCT(($B29='Landbrugsareal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607.45375610690382</v>
      </c>
      <c r="I29" s="96" cm="1">
        <f t="array" ref="I29">IF($A29="Vestdanmark",IF($C29="Konventionel",IF(I$2=2019,SUMPRODUCT(($B29='Landbrugsareal - resultat'!$B$6:$B$19)*(INDEX('Landbrugsareal - resultat'!$C$6:$E$19,,MATCH($D29,'Landbrugsareal - resultat'!$C$5:$E$5,0)))),IF(I$2=2030,SUMPRODUCT(($B29='Landbrugsareal - resultat'!$B$6:$B$19)*(INDEX('Landbrugsareal - resultat'!$F$6:$H$19,,MATCH($D29,'Landbrugsareal - resultat'!$F$5:$H$5,0)))),SUMPRODUCT(($B29='Landbrugsareal - resultat'!$B$6:$B$19)*(INDEX('Landbrugsareal - resultat'!$I$6:$K$19,,MATCH($D29,'Landbrugsareal - resultat'!$I$5:$K$5,0)))))),IF(I$2=2019,SUMPRODUCT(($B29='Landbrugsareal - resultat'!$B$6:$B$19)*(INDEX('Landbrugsareal - resultat'!$L$6:$N$19,,MATCH($D29,'Landbrugsareal - resultat'!$L$5:$N$5,0)))),IF(I$2=2030,SUMPRODUCT(($B29='Landbrugsareal - resultat'!$B$6:$B$19)*(INDEX('Landbrugsareal - resultat'!$O$6:$Q$19,,MATCH($D29,'Landbrugsareal - resultat'!$O$5:$Q$5,0)))),SUMPRODUCT(($B29='Landbrugsareal - resultat'!$B$6:$B$19)*(INDEX('Landbrugsareal - resultat'!$R$6:$T$19,,MATCH($D29,'Landbrugsareal - resultat'!$R$5:$T$5,0))))))),IF($C29="Konventionel",IF(I$2=2019,SUMPRODUCT((C29='Landbrugsareal - resultat'!$B$33:$B$46)*(INDEX('Landbrugsareal - resultat'!$C$33:$E$46,,MATCH($D29,'Landbrugsareal - resultat'!$C$5:$E$5,0)))),IF(I$2=2030,SUMPRODUCT(($B29='Landbrugsareal - resultat'!$B$33:$B$46)*(INDEX('Landbrugsareal - resultat'!$F$33:$H$46,,MATCH($D29,'Landbrugsareal - resultat'!$F$5:$H$5,0)))),SUMPRODUCT(($B29='Landbrugsareal - resultat'!$B$33:$B$46)*(INDEX('Landbrugsareal - resultat'!$I$33:$K$46,,MATCH($D29,'Landbrugsareal - resultat'!$I$5:$K$5,0)))))),IF(I$2=2019,SUMPRODUCT(($B29='Landbrugsareal - resultat'!$B$33:$B$46)*(INDEX('Landbrugsareal - resultat'!$L$33:$N$46,,MATCH($D29,'Landbrugsareal - resultat'!$L$5:$N$5,0)))),IF(I$2=2030,SUMPRODUCT(($B29='Landbrugsareal - resultat'!$B$33:$B$46)*(INDEX('Landbrugsareal - resultat'!$O$33:$Q$46,,MATCH($D29,'Landbrugsareal - resultat'!$O$5:$Q$5,0)))),SUMPRODUCT(($B29='Landbrugsareal - resultat'!$B$33:$B$46)*(INDEX('Landbrugsareal - resultat'!$R$33:$T$46,,MATCH($D29,'Landbrugsareal - resultat'!$R$5:$T$5,0))))))))</f>
        <v>579.36340900369441</v>
      </c>
    </row>
    <row r="30" spans="1:9" x14ac:dyDescent="0.25">
      <c r="A30" t="s">
        <v>23</v>
      </c>
      <c r="B30" s="1" t="str">
        <f>[1]Afgrødefordeling!$C$15</f>
        <v>Permanent græs</v>
      </c>
      <c r="C30" t="s">
        <v>7</v>
      </c>
      <c r="D30" t="str">
        <f t="shared" si="2"/>
        <v>OC6</v>
      </c>
      <c r="F30" t="str">
        <f t="shared" si="1"/>
        <v>Areal-permanent græs</v>
      </c>
      <c r="G30" s="96" cm="1">
        <f t="array" ref="G30">IF($A30="Vestdanmark",IF($C30="Konventionel",IF(G$2=2019,SUMPRODUCT(($B30='Landbrugsareal - resultat'!$B$6:$B$19)*(INDEX('Landbrugsareal - resultat'!$C$6:$E$19,,MATCH($D30,'Landbrugsareal - resultat'!$C$5:$E$5,0)))),IF(G$2=2030,SUMPRODUCT(($B30='Landbrugsareal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resultat'!$I$5:$K$5,0)))))),IF(G$2=2019,SUMPRODUCT(($B30='Landbrugsareal - resultat'!$B$6:$B$19)*(INDEX('Landbrugsareal - resultat'!$L$6:$N$19,,MATCH($D30,'Landbrugsareal - resultat'!$L$5:$N$5,0)))),IF(G$2=2030,SUMPRODUCT(($B30='Landbrugsareal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resultat'!$R$5:$T$5,0))))))),IF($C30="Konventionel",IF(G$2=2019,SUMPRODUCT((B30='Landbrugsareal - resultat'!$B$33:$B$46)*(INDEX('Landbrugsareal - resultat'!$C$33:$E$46,,MATCH($D30,'Landbrugsareal - resultat'!$C$5:$E$5,0)))),IF(G$2=2030,SUMPRODUCT(($B30='Landbrugsareal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resultat'!$I$5:$K$5,0)))))),IF(G$2=2019,SUMPRODUCT(($B30='Landbrugsareal - resultat'!$B$33:$B$46)*(INDEX('Landbrugsareal - resultat'!$L$33:$N$46,,MATCH($D30,'Landbrugsareal - resultat'!$L$5:$N$5,0)))),IF(G$2=2030,SUMPRODUCT(($B30='Landbrugsareal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19018.389680733297</v>
      </c>
      <c r="H30" s="96" cm="1">
        <f t="array" ref="H30">IF($A30="Vestdanmark",IF($C30="Konventionel",IF(H$2=2019,SUMPRODUCT(($B30='Landbrugsareal - resultat'!$B$6:$B$19)*(INDEX('Landbrugsareal - resultat'!$C$6:$E$19,,MATCH($D30,'Landbrugsareal - resultat'!$C$5:$E$5,0)))),IF(H$2=2030,SUMPRODUCT(($B30='Landbrugsareal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resultat'!$I$5:$K$5,0)))))),IF(H$2=2019,SUMPRODUCT(($B30='Landbrugsareal - resultat'!$B$6:$B$19)*(INDEX('Landbrugsareal - resultat'!$L$6:$N$19,,MATCH($D30,'Landbrugsareal - resultat'!$L$5:$N$5,0)))),IF(H$2=2030,SUMPRODUCT(($B30='Landbrugsareal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resultat'!$R$5:$T$5,0))))))),IF($C30="Konventionel",IF(H$2=2019,SUMPRODUCT(($B30='Landbrugsareal - resultat'!$B$33:$B$46)*(INDEX('Landbrugsareal - resultat'!$C$33:$E$46,,MATCH($D30,'Landbrugsareal - resultat'!$C$5:$E$5,0)))),IF(H$2=2030,SUMPRODUCT(($B30='Landbrugsareal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resultat'!$I$5:$K$5,0)))))),IF(H$2=2019,SUMPRODUCT(($B30='Landbrugsareal - resultat'!$B$33:$B$46)*(INDEX('Landbrugsareal - resultat'!$L$33:$N$46,,MATCH($D30,'Landbrugsareal - resultat'!$L$5:$N$5,0)))),IF(H$2=2030,SUMPRODUCT(($B30='Landbrugsareal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17169.719909137468</v>
      </c>
      <c r="I30" s="96" cm="1">
        <f t="array" ref="I30">IF($A30="Vestdanmark",IF($C30="Konventionel",IF(I$2=2019,SUMPRODUCT(($B30='Landbrugsareal - resultat'!$B$6:$B$19)*(INDEX('Landbrugsareal - resultat'!$C$6:$E$19,,MATCH($D30,'Landbrugsareal - resultat'!$C$5:$E$5,0)))),IF(I$2=2030,SUMPRODUCT(($B30='Landbrugsareal - resultat'!$B$6:$B$19)*(INDEX('Landbrugsareal - resultat'!$F$6:$H$19,,MATCH($D30,'Landbrugsareal - resultat'!$F$5:$H$5,0)))),SUMPRODUCT(($B30='Landbrugsareal - resultat'!$B$6:$B$19)*(INDEX('Landbrugsareal - resultat'!$I$6:$K$19,,MATCH($D30,'Landbrugsareal - resultat'!$I$5:$K$5,0)))))),IF(I$2=2019,SUMPRODUCT(($B30='Landbrugsareal - resultat'!$B$6:$B$19)*(INDEX('Landbrugsareal - resultat'!$L$6:$N$19,,MATCH($D30,'Landbrugsareal - resultat'!$L$5:$N$5,0)))),IF(I$2=2030,SUMPRODUCT(($B30='Landbrugsareal - resultat'!$B$6:$B$19)*(INDEX('Landbrugsareal - resultat'!$O$6:$Q$19,,MATCH($D30,'Landbrugsareal - resultat'!$O$5:$Q$5,0)))),SUMPRODUCT(($B30='Landbrugsareal - resultat'!$B$6:$B$19)*(INDEX('Landbrugsareal - resultat'!$R$6:$T$19,,MATCH($D30,'Landbrugsareal - resultat'!$R$5:$T$5,0))))))),IF($C30="Konventionel",IF(I$2=2019,SUMPRODUCT((C30='Landbrugsareal - resultat'!$B$33:$B$46)*(INDEX('Landbrugsareal - resultat'!$C$33:$E$46,,MATCH($D30,'Landbrugsareal - resultat'!$C$5:$E$5,0)))),IF(I$2=2030,SUMPRODUCT(($B30='Landbrugsareal - resultat'!$B$33:$B$46)*(INDEX('Landbrugsareal - resultat'!$F$33:$H$46,,MATCH($D30,'Landbrugsareal - resultat'!$F$5:$H$5,0)))),SUMPRODUCT(($B30='Landbrugsareal - resultat'!$B$33:$B$46)*(INDEX('Landbrugsareal - resultat'!$I$33:$K$46,,MATCH($D30,'Landbrugsareal - resultat'!$I$5:$K$5,0)))))),IF(I$2=2019,SUMPRODUCT(($B30='Landbrugsareal - resultat'!$B$33:$B$46)*(INDEX('Landbrugsareal - resultat'!$L$33:$N$46,,MATCH($D30,'Landbrugsareal - resultat'!$L$5:$N$5,0)))),IF(I$2=2030,SUMPRODUCT(($B30='Landbrugsareal - resultat'!$B$33:$B$46)*(INDEX('Landbrugsareal - resultat'!$O$33:$Q$46,,MATCH($D30,'Landbrugsareal - resultat'!$O$5:$Q$5,0)))),SUMPRODUCT(($B30='Landbrugsareal - resultat'!$B$33:$B$46)*(INDEX('Landbrugsareal - resultat'!$R$33:$T$46,,MATCH($D30,'Landbrugsareal - resultat'!$R$5:$T$5,0))))))))</f>
        <v>16375.744422009724</v>
      </c>
    </row>
    <row r="31" spans="1:9" x14ac:dyDescent="0.25">
      <c r="A31" t="s">
        <v>23</v>
      </c>
      <c r="B31" s="1" t="str">
        <f>[1]Afgrødefordeling!$C$2</f>
        <v>Korn</v>
      </c>
      <c r="C31" t="s">
        <v>7</v>
      </c>
      <c r="D31" t="str">
        <f t="shared" ref="D31:D44" si="3">Organ12</f>
        <v>OC12</v>
      </c>
      <c r="F31" t="str">
        <f t="shared" si="1"/>
        <v>Areal-korn</v>
      </c>
      <c r="G31" s="96" cm="1">
        <f t="array" ref="G31">IF($A31="Vestdanmark",IF($C31="Konventionel",IF(G$2=2019,SUMPRODUCT(($B31='Landbrugsareal - resultat'!$B$6:$B$19)*(INDEX('Landbrugsareal - resultat'!$C$6:$E$19,,MATCH($D31,'Landbrugsareal - resultat'!$C$5:$E$5,0)))),IF(G$2=2030,SUMPRODUCT(($B31='Landbrugsareal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resultat'!$I$5:$K$5,0)))))),IF(G$2=2019,SUMPRODUCT(($B31='Landbrugsareal - resultat'!$B$6:$B$19)*(INDEX('Landbrugsareal - resultat'!$L$6:$N$19,,MATCH($D31,'Landbrugsareal - resultat'!$L$5:$N$5,0)))),IF(G$2=2030,SUMPRODUCT(($B31='Landbrugsareal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resultat'!$R$5:$T$5,0))))))),IF($C31="Konventionel",IF(G$2=2019,SUMPRODUCT((B31='Landbrugsareal - resultat'!$B$33:$B$46)*(INDEX('Landbrugsareal - resultat'!$C$33:$E$46,,MATCH($D31,'Landbrugsareal - resultat'!$C$5:$E$5,0)))),IF(G$2=2030,SUMPRODUCT(($B31='Landbrugsareal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resultat'!$I$5:$K$5,0)))))),IF(G$2=2019,SUMPRODUCT(($B31='Landbrugsareal - resultat'!$B$33:$B$46)*(INDEX('Landbrugsareal - resultat'!$L$33:$N$46,,MATCH($D31,'Landbrugsareal - resultat'!$L$5:$N$5,0)))),IF(G$2=2030,SUMPRODUCT(($B31='Landbrugsareal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11442.363018493961</v>
      </c>
      <c r="H31" s="96" cm="1">
        <f t="array" ref="H31">IF($A31="Vestdanmark",IF($C31="Konventionel",IF(H$2=2019,SUMPRODUCT(($B31='Landbrugsareal - resultat'!$B$6:$B$19)*(INDEX('Landbrugsareal - resultat'!$C$6:$E$19,,MATCH($D31,'Landbrugsareal - resultat'!$C$5:$E$5,0)))),IF(H$2=2030,SUMPRODUCT(($B31='Landbrugsareal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resultat'!$I$5:$K$5,0)))))),IF(H$2=2019,SUMPRODUCT(($B31='Landbrugsareal - resultat'!$B$6:$B$19)*(INDEX('Landbrugsareal - resultat'!$L$6:$N$19,,MATCH($D31,'Landbrugsareal - resultat'!$L$5:$N$5,0)))),IF(H$2=2030,SUMPRODUCT(($B31='Landbrugsareal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resultat'!$R$5:$T$5,0))))))),IF($C31="Konventionel",IF(H$2=2019,SUMPRODUCT(($B31='Landbrugsareal - resultat'!$B$33:$B$46)*(INDEX('Landbrugsareal - resultat'!$C$33:$E$46,,MATCH($D31,'Landbrugsareal - resultat'!$C$5:$E$5,0)))),IF(H$2=2030,SUMPRODUCT(($B31='Landbrugsareal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resultat'!$I$5:$K$5,0)))))),IF(H$2=2019,SUMPRODUCT(($B31='Landbrugsareal - resultat'!$B$33:$B$46)*(INDEX('Landbrugsareal - resultat'!$L$33:$N$46,,MATCH($D31,'Landbrugsareal - resultat'!$L$5:$N$5,0)))),IF(H$2=2030,SUMPRODUCT(($B31='Landbrugsareal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10092.973017126162</v>
      </c>
      <c r="I31" s="96" cm="1">
        <f t="array" ref="I31">IF($A31="Vestdanmark",IF($C31="Konventionel",IF(I$2=2019,SUMPRODUCT(($B31='Landbrugsareal - resultat'!$B$6:$B$19)*(INDEX('Landbrugsareal - resultat'!$C$6:$E$19,,MATCH($D31,'Landbrugsareal - resultat'!$C$5:$E$5,0)))),IF(I$2=2030,SUMPRODUCT(($B31='Landbrugsareal - resultat'!$B$6:$B$19)*(INDEX('Landbrugsareal - resultat'!$F$6:$H$19,,MATCH($D31,'Landbrugsareal - resultat'!$F$5:$H$5,0)))),SUMPRODUCT(($B31='Landbrugsareal - resultat'!$B$6:$B$19)*(INDEX('Landbrugsareal - resultat'!$I$6:$K$19,,MATCH($D31,'Landbrugsareal - resultat'!$I$5:$K$5,0)))))),IF(I$2=2019,SUMPRODUCT(($B31='Landbrugsareal - resultat'!$B$6:$B$19)*(INDEX('Landbrugsareal - resultat'!$L$6:$N$19,,MATCH($D31,'Landbrugsareal - resultat'!$L$5:$N$5,0)))),IF(I$2=2030,SUMPRODUCT(($B31='Landbrugsareal - resultat'!$B$6:$B$19)*(INDEX('Landbrugsareal - resultat'!$O$6:$Q$19,,MATCH($D31,'Landbrugsareal - resultat'!$O$5:$Q$5,0)))),SUMPRODUCT(($B31='Landbrugsareal - resultat'!$B$6:$B$19)*(INDEX('Landbrugsareal - resultat'!$R$6:$T$19,,MATCH($D31,'Landbrugsareal - resultat'!$R$5:$T$5,0))))))),IF($C31="Konventionel",IF(I$2=2019,SUMPRODUCT((C31='Landbrugsareal - resultat'!$B$33:$B$46)*(INDEX('Landbrugsareal - resultat'!$C$33:$E$46,,MATCH($D31,'Landbrugsareal - resultat'!$C$5:$E$5,0)))),IF(I$2=2030,SUMPRODUCT(($B31='Landbrugsareal - resultat'!$B$33:$B$46)*(INDEX('Landbrugsareal - resultat'!$F$33:$H$46,,MATCH($D31,'Landbrugsareal - resultat'!$F$5:$H$5,0)))),SUMPRODUCT(($B31='Landbrugsareal - resultat'!$B$33:$B$46)*(INDEX('Landbrugsareal - resultat'!$I$33:$K$46,,MATCH($D31,'Landbrugsareal - resultat'!$I$5:$K$5,0)))))),IF(I$2=2019,SUMPRODUCT(($B31='Landbrugsareal - resultat'!$B$33:$B$46)*(INDEX('Landbrugsareal - resultat'!$L$33:$N$46,,MATCH($D31,'Landbrugsareal - resultat'!$L$5:$N$5,0)))),IF(I$2=2030,SUMPRODUCT(($B31='Landbrugsareal - resultat'!$B$33:$B$46)*(INDEX('Landbrugsareal - resultat'!$O$33:$Q$46,,MATCH($D31,'Landbrugsareal - resultat'!$O$5:$Q$5,0)))),SUMPRODUCT(($B31='Landbrugsareal - resultat'!$B$33:$B$46)*(INDEX('Landbrugsareal - resultat'!$R$33:$T$46,,MATCH($D31,'Landbrugsareal - resultat'!$R$5:$T$5,0))))))))</f>
        <v>9626.2459411896907</v>
      </c>
    </row>
    <row r="32" spans="1:9" x14ac:dyDescent="0.25">
      <c r="A32" t="s">
        <v>23</v>
      </c>
      <c r="B32" s="1" t="str">
        <f>[1]Afgrødefordeling!$C$3</f>
        <v>Bælgsæd</v>
      </c>
      <c r="C32" t="s">
        <v>7</v>
      </c>
      <c r="D32" t="str">
        <f t="shared" si="3"/>
        <v>OC12</v>
      </c>
      <c r="F32" t="str">
        <f t="shared" si="1"/>
        <v>Areal-bælgsæd</v>
      </c>
      <c r="G32" s="96" cm="1">
        <f t="array" ref="G32">IF($A32="Vestdanmark",IF($C32="Konventionel",IF(G$2=2019,SUMPRODUCT(($B32='Landbrugsareal - resultat'!$B$6:$B$19)*(INDEX('Landbrugsareal - resultat'!$C$6:$E$19,,MATCH($D32,'Landbrugsareal - resultat'!$C$5:$E$5,0)))),IF(G$2=2030,SUMPRODUCT(($B32='Landbrugsareal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resultat'!$I$5:$K$5,0)))))),IF(G$2=2019,SUMPRODUCT(($B32='Landbrugsareal - resultat'!$B$6:$B$19)*(INDEX('Landbrugsareal - resultat'!$L$6:$N$19,,MATCH($D32,'Landbrugsareal - resultat'!$L$5:$N$5,0)))),IF(G$2=2030,SUMPRODUCT(($B32='Landbrugsareal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resultat'!$R$5:$T$5,0))))))),IF($C32="Konventionel",IF(G$2=2019,SUMPRODUCT((B32='Landbrugsareal - resultat'!$B$33:$B$46)*(INDEX('Landbrugsareal - resultat'!$C$33:$E$46,,MATCH($D32,'Landbrugsareal - resultat'!$C$5:$E$5,0)))),IF(G$2=2030,SUMPRODUCT(($B32='Landbrugsareal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resultat'!$I$5:$K$5,0)))))),IF(G$2=2019,SUMPRODUCT(($B32='Landbrugsareal - resultat'!$B$33:$B$46)*(INDEX('Landbrugsareal - resultat'!$L$33:$N$46,,MATCH($D32,'Landbrugsareal - resultat'!$L$5:$N$5,0)))),IF(G$2=2030,SUMPRODUCT(($B32='Landbrugsareal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658.84236387306271</v>
      </c>
      <c r="H32" s="96" cm="1">
        <f t="array" ref="H32">IF($A32="Vestdanmark",IF($C32="Konventionel",IF(H$2=2019,SUMPRODUCT(($B32='Landbrugsareal - resultat'!$B$6:$B$19)*(INDEX('Landbrugsareal - resultat'!$C$6:$E$19,,MATCH($D32,'Landbrugsareal - resultat'!$C$5:$E$5,0)))),IF(H$2=2030,SUMPRODUCT(($B32='Landbrugsareal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resultat'!$I$5:$K$5,0)))))),IF(H$2=2019,SUMPRODUCT(($B32='Landbrugsareal - resultat'!$B$6:$B$19)*(INDEX('Landbrugsareal - resultat'!$L$6:$N$19,,MATCH($D32,'Landbrugsareal - resultat'!$L$5:$N$5,0)))),IF(H$2=2030,SUMPRODUCT(($B32='Landbrugsareal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resultat'!$R$5:$T$5,0))))))),IF($C32="Konventionel",IF(H$2=2019,SUMPRODUCT(($B32='Landbrugsareal - resultat'!$B$33:$B$46)*(INDEX('Landbrugsareal - resultat'!$C$33:$E$46,,MATCH($D32,'Landbrugsareal - resultat'!$C$5:$E$5,0)))),IF(H$2=2030,SUMPRODUCT(($B32='Landbrugsareal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resultat'!$I$5:$K$5,0)))))),IF(H$2=2019,SUMPRODUCT(($B32='Landbrugsareal - resultat'!$B$33:$B$46)*(INDEX('Landbrugsareal - resultat'!$L$33:$N$46,,MATCH($D32,'Landbrugsareal - resultat'!$L$5:$N$5,0)))),IF(H$2=2030,SUMPRODUCT(($B32='Landbrugsareal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581.14553701562829</v>
      </c>
      <c r="I32" s="96" cm="1">
        <f t="array" ref="I32">IF($A32="Vestdanmark",IF($C32="Konventionel",IF(I$2=2019,SUMPRODUCT(($B32='Landbrugsareal - resultat'!$B$6:$B$19)*(INDEX('Landbrugsareal - resultat'!$C$6:$E$19,,MATCH($D32,'Landbrugsareal - resultat'!$C$5:$E$5,0)))),IF(I$2=2030,SUMPRODUCT(($B32='Landbrugsareal - resultat'!$B$6:$B$19)*(INDEX('Landbrugsareal - resultat'!$F$6:$H$19,,MATCH($D32,'Landbrugsareal - resultat'!$F$5:$H$5,0)))),SUMPRODUCT(($B32='Landbrugsareal - resultat'!$B$6:$B$19)*(INDEX('Landbrugsareal - resultat'!$I$6:$K$19,,MATCH($D32,'Landbrugsareal - resultat'!$I$5:$K$5,0)))))),IF(I$2=2019,SUMPRODUCT(($B32='Landbrugsareal - resultat'!$B$6:$B$19)*(INDEX('Landbrugsareal - resultat'!$L$6:$N$19,,MATCH($D32,'Landbrugsareal - resultat'!$L$5:$N$5,0)))),IF(I$2=2030,SUMPRODUCT(($B32='Landbrugsareal - resultat'!$B$6:$B$19)*(INDEX('Landbrugsareal - resultat'!$O$6:$Q$19,,MATCH($D32,'Landbrugsareal - resultat'!$O$5:$Q$5,0)))),SUMPRODUCT(($B32='Landbrugsareal - resultat'!$B$6:$B$19)*(INDEX('Landbrugsareal - resultat'!$R$6:$T$19,,MATCH($D32,'Landbrugsareal - resultat'!$R$5:$T$5,0))))))),IF($C32="Konventionel",IF(I$2=2019,SUMPRODUCT((C32='Landbrugsareal - resultat'!$B$33:$B$46)*(INDEX('Landbrugsareal - resultat'!$C$33:$E$46,,MATCH($D32,'Landbrugsareal - resultat'!$C$5:$E$5,0)))),IF(I$2=2030,SUMPRODUCT(($B32='Landbrugsareal - resultat'!$B$33:$B$46)*(INDEX('Landbrugsareal - resultat'!$F$33:$H$46,,MATCH($D32,'Landbrugsareal - resultat'!$F$5:$H$5,0)))),SUMPRODUCT(($B32='Landbrugsareal - resultat'!$B$33:$B$46)*(INDEX('Landbrugsareal - resultat'!$I$33:$K$46,,MATCH($D32,'Landbrugsareal - resultat'!$I$5:$K$5,0)))))),IF(I$2=2019,SUMPRODUCT(($B32='Landbrugsareal - resultat'!$B$33:$B$46)*(INDEX('Landbrugsareal - resultat'!$L$33:$N$46,,MATCH($D32,'Landbrugsareal - resultat'!$L$5:$N$5,0)))),IF(I$2=2030,SUMPRODUCT(($B32='Landbrugsareal - resultat'!$B$33:$B$46)*(INDEX('Landbrugsareal - resultat'!$O$33:$Q$46,,MATCH($D32,'Landbrugsareal - resultat'!$O$5:$Q$5,0)))),SUMPRODUCT(($B32='Landbrugsareal - resultat'!$B$33:$B$46)*(INDEX('Landbrugsareal - resultat'!$R$33:$T$46,,MATCH($D32,'Landbrugsareal - resultat'!$R$5:$T$5,0))))))))</f>
        <v>554.27175495710208</v>
      </c>
    </row>
    <row r="33" spans="1:9" x14ac:dyDescent="0.25">
      <c r="A33" t="s">
        <v>23</v>
      </c>
      <c r="B33" s="1" t="str">
        <f>[1]Afgrødefordeling!$C$4</f>
        <v>Raps</v>
      </c>
      <c r="C33" t="s">
        <v>7</v>
      </c>
      <c r="D33" t="str">
        <f t="shared" si="3"/>
        <v>OC12</v>
      </c>
      <c r="F33" t="str">
        <f t="shared" si="1"/>
        <v>Areal-raps</v>
      </c>
      <c r="G33" s="96" cm="1">
        <f t="array" ref="G33">IF($A33="Vestdanmark",IF($C33="Konventionel",IF(G$2=2019,SUMPRODUCT(($B33='Landbrugsareal - resultat'!$B$6:$B$19)*(INDEX('Landbrugsareal - resultat'!$C$6:$E$19,,MATCH($D33,'Landbrugsareal - resultat'!$C$5:$E$5,0)))),IF(G$2=2030,SUMPRODUCT(($B33='Landbrugsareal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resultat'!$I$5:$K$5,0)))))),IF(G$2=2019,SUMPRODUCT(($B33='Landbrugsareal - resultat'!$B$6:$B$19)*(INDEX('Landbrugsareal - resultat'!$L$6:$N$19,,MATCH($D33,'Landbrugsareal - resultat'!$L$5:$N$5,0)))),IF(G$2=2030,SUMPRODUCT(($B33='Landbrugsareal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resultat'!$R$5:$T$5,0))))))),IF($C33="Konventionel",IF(G$2=2019,SUMPRODUCT((B33='Landbrugsareal - resultat'!$B$33:$B$46)*(INDEX('Landbrugsareal - resultat'!$C$33:$E$46,,MATCH($D33,'Landbrugsareal - resultat'!$C$5:$E$5,0)))),IF(G$2=2030,SUMPRODUCT(($B33='Landbrugsareal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resultat'!$I$5:$K$5,0)))))),IF(G$2=2019,SUMPRODUCT(($B33='Landbrugsareal - resultat'!$B$33:$B$46)*(INDEX('Landbrugsareal - resultat'!$L$33:$N$46,,MATCH($D33,'Landbrugsareal - resultat'!$L$5:$N$5,0)))),IF(G$2=2030,SUMPRODUCT(($B33='Landbrugsareal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853.17102732786998</v>
      </c>
      <c r="H33" s="96" cm="1">
        <f t="array" ref="H33">IF($A33="Vestdanmark",IF($C33="Konventionel",IF(H$2=2019,SUMPRODUCT(($B33='Landbrugsareal - resultat'!$B$6:$B$19)*(INDEX('Landbrugsareal - resultat'!$C$6:$E$19,,MATCH($D33,'Landbrugsareal - resultat'!$C$5:$E$5,0)))),IF(H$2=2030,SUMPRODUCT(($B33='Landbrugsareal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resultat'!$I$5:$K$5,0)))))),IF(H$2=2019,SUMPRODUCT(($B33='Landbrugsareal - resultat'!$B$6:$B$19)*(INDEX('Landbrugsareal - resultat'!$L$6:$N$19,,MATCH($D33,'Landbrugsareal - resultat'!$L$5:$N$5,0)))),IF(H$2=2030,SUMPRODUCT(($B33='Landbrugsareal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resultat'!$R$5:$T$5,0))))))),IF($C33="Konventionel",IF(H$2=2019,SUMPRODUCT(($B33='Landbrugsareal - resultat'!$B$33:$B$46)*(INDEX('Landbrugsareal - resultat'!$C$33:$E$46,,MATCH($D33,'Landbrugsareal - resultat'!$C$5:$E$5,0)))),IF(H$2=2030,SUMPRODUCT(($B33='Landbrugsareal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resultat'!$I$5:$K$5,0)))))),IF(H$2=2019,SUMPRODUCT(($B33='Landbrugsareal - resultat'!$B$33:$B$46)*(INDEX('Landbrugsareal - resultat'!$L$33:$N$46,,MATCH($D33,'Landbrugsareal - resultat'!$L$5:$N$5,0)))),IF(H$2=2030,SUMPRODUCT(($B33='Landbrugsareal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752.55715483735639</v>
      </c>
      <c r="I33" s="96" cm="1">
        <f t="array" ref="I33">IF($A33="Vestdanmark",IF($C33="Konventionel",IF(I$2=2019,SUMPRODUCT(($B33='Landbrugsareal - resultat'!$B$6:$B$19)*(INDEX('Landbrugsareal - resultat'!$C$6:$E$19,,MATCH($D33,'Landbrugsareal - resultat'!$C$5:$E$5,0)))),IF(I$2=2030,SUMPRODUCT(($B33='Landbrugsareal - resultat'!$B$6:$B$19)*(INDEX('Landbrugsareal - resultat'!$F$6:$H$19,,MATCH($D33,'Landbrugsareal - resultat'!$F$5:$H$5,0)))),SUMPRODUCT(($B33='Landbrugsareal - resultat'!$B$6:$B$19)*(INDEX('Landbrugsareal - resultat'!$I$6:$K$19,,MATCH($D33,'Landbrugsareal - resultat'!$I$5:$K$5,0)))))),IF(I$2=2019,SUMPRODUCT(($B33='Landbrugsareal - resultat'!$B$6:$B$19)*(INDEX('Landbrugsareal - resultat'!$L$6:$N$19,,MATCH($D33,'Landbrugsareal - resultat'!$L$5:$N$5,0)))),IF(I$2=2030,SUMPRODUCT(($B33='Landbrugsareal - resultat'!$B$6:$B$19)*(INDEX('Landbrugsareal - resultat'!$O$6:$Q$19,,MATCH($D33,'Landbrugsareal - resultat'!$O$5:$Q$5,0)))),SUMPRODUCT(($B33='Landbrugsareal - resultat'!$B$6:$B$19)*(INDEX('Landbrugsareal - resultat'!$R$6:$T$19,,MATCH($D33,'Landbrugsareal - resultat'!$R$5:$T$5,0))))))),IF($C33="Konventionel",IF(I$2=2019,SUMPRODUCT((C33='Landbrugsareal - resultat'!$B$33:$B$46)*(INDEX('Landbrugsareal - resultat'!$C$33:$E$46,,MATCH($D33,'Landbrugsareal - resultat'!$C$5:$E$5,0)))),IF(I$2=2030,SUMPRODUCT(($B33='Landbrugsareal - resultat'!$B$33:$B$46)*(INDEX('Landbrugsareal - resultat'!$F$33:$H$46,,MATCH($D33,'Landbrugsareal - resultat'!$F$5:$H$5,0)))),SUMPRODUCT(($B33='Landbrugsareal - resultat'!$B$33:$B$46)*(INDEX('Landbrugsareal - resultat'!$I$33:$K$46,,MATCH($D33,'Landbrugsareal - resultat'!$I$5:$K$5,0)))))),IF(I$2=2019,SUMPRODUCT(($B33='Landbrugsareal - resultat'!$B$33:$B$46)*(INDEX('Landbrugsareal - resultat'!$L$33:$N$46,,MATCH($D33,'Landbrugsareal - resultat'!$L$5:$N$5,0)))),IF(I$2=2030,SUMPRODUCT(($B33='Landbrugsareal - resultat'!$B$33:$B$46)*(INDEX('Landbrugsareal - resultat'!$O$33:$Q$46,,MATCH($D33,'Landbrugsareal - resultat'!$O$5:$Q$5,0)))),SUMPRODUCT(($B33='Landbrugsareal - resultat'!$B$33:$B$46)*(INDEX('Landbrugsareal - resultat'!$R$33:$T$46,,MATCH($D33,'Landbrugsareal - resultat'!$R$5:$T$5,0))))))))</f>
        <v>717.75682397782543</v>
      </c>
    </row>
    <row r="34" spans="1:9" x14ac:dyDescent="0.25">
      <c r="A34" t="s">
        <v>23</v>
      </c>
      <c r="B34" s="1" t="str">
        <f>[1]Afgrødefordeling!$C$5</f>
        <v>Græs</v>
      </c>
      <c r="C34" t="s">
        <v>7</v>
      </c>
      <c r="D34" t="str">
        <f t="shared" si="3"/>
        <v>OC12</v>
      </c>
      <c r="F34" t="str">
        <f t="shared" si="1"/>
        <v>Areal-græs</v>
      </c>
      <c r="G34" s="96" cm="1">
        <f t="array" ref="G34">IF($A34="Vestdanmark",IF($C34="Konventionel",IF(G$2=2019,SUMPRODUCT(($B34='Landbrugsareal - resultat'!$B$6:$B$19)*(INDEX('Landbrugsareal - resultat'!$C$6:$E$19,,MATCH($D34,'Landbrugsareal - resultat'!$C$5:$E$5,0)))),IF(G$2=2030,SUMPRODUCT(($B34='Landbrugsareal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resultat'!$I$5:$K$5,0)))))),IF(G$2=2019,SUMPRODUCT(($B34='Landbrugsareal - resultat'!$B$6:$B$19)*(INDEX('Landbrugsareal - resultat'!$L$6:$N$19,,MATCH($D34,'Landbrugsareal - resultat'!$L$5:$N$5,0)))),IF(G$2=2030,SUMPRODUCT(($B34='Landbrugsareal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resultat'!$R$5:$T$5,0))))))),IF($C34="Konventionel",IF(G$2=2019,SUMPRODUCT((B34='Landbrugsareal - resultat'!$B$33:$B$46)*(INDEX('Landbrugsareal - resultat'!$C$33:$E$46,,MATCH($D34,'Landbrugsareal - resultat'!$C$5:$E$5,0)))),IF(G$2=2030,SUMPRODUCT(($B34='Landbrugsareal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resultat'!$I$5:$K$5,0)))))),IF(G$2=2019,SUMPRODUCT(($B34='Landbrugsareal - resultat'!$B$33:$B$46)*(INDEX('Landbrugsareal - resultat'!$L$33:$N$46,,MATCH($D34,'Landbrugsareal - resultat'!$L$5:$N$5,0)))),IF(G$2=2030,SUMPRODUCT(($B34='Landbrugsareal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19676.81711863153</v>
      </c>
      <c r="H34" s="96" cm="1">
        <f t="array" ref="H34">IF($A34="Vestdanmark",IF($C34="Konventionel",IF(H$2=2019,SUMPRODUCT(($B34='Landbrugsareal - resultat'!$B$6:$B$19)*(INDEX('Landbrugsareal - resultat'!$C$6:$E$19,,MATCH($D34,'Landbrugsareal - resultat'!$C$5:$E$5,0)))),IF(H$2=2030,SUMPRODUCT(($B34='Landbrugsareal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resultat'!$I$5:$K$5,0)))))),IF(H$2=2019,SUMPRODUCT(($B34='Landbrugsareal - resultat'!$B$6:$B$19)*(INDEX('Landbrugsareal - resultat'!$L$6:$N$19,,MATCH($D34,'Landbrugsareal - resultat'!$L$5:$N$5,0)))),IF(H$2=2030,SUMPRODUCT(($B34='Landbrugsareal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resultat'!$R$5:$T$5,0))))))),IF($C34="Konventionel",IF(H$2=2019,SUMPRODUCT(($B34='Landbrugsareal - resultat'!$B$33:$B$46)*(INDEX('Landbrugsareal - resultat'!$C$33:$E$46,,MATCH($D34,'Landbrugsareal - resultat'!$C$5:$E$5,0)))),IF(H$2=2030,SUMPRODUCT(($B34='Landbrugsareal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resultat'!$I$5:$K$5,0)))))),IF(H$2=2019,SUMPRODUCT(($B34='Landbrugsareal - resultat'!$B$33:$B$46)*(INDEX('Landbrugsareal - resultat'!$L$33:$N$46,,MATCH($D34,'Landbrugsareal - resultat'!$L$5:$N$5,0)))),IF(H$2=2030,SUMPRODUCT(($B34='Landbrugsareal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17356.343608421324</v>
      </c>
      <c r="I34" s="96" cm="1">
        <f t="array" ref="I34">IF($A34="Vestdanmark",IF($C34="Konventionel",IF(I$2=2019,SUMPRODUCT(($B34='Landbrugsareal - resultat'!$B$6:$B$19)*(INDEX('Landbrugsareal - resultat'!$C$6:$E$19,,MATCH($D34,'Landbrugsareal - resultat'!$C$5:$E$5,0)))),IF(I$2=2030,SUMPRODUCT(($B34='Landbrugsareal - resultat'!$B$6:$B$19)*(INDEX('Landbrugsareal - resultat'!$F$6:$H$19,,MATCH($D34,'Landbrugsareal - resultat'!$F$5:$H$5,0)))),SUMPRODUCT(($B34='Landbrugsareal - resultat'!$B$6:$B$19)*(INDEX('Landbrugsareal - resultat'!$I$6:$K$19,,MATCH($D34,'Landbrugsareal - resultat'!$I$5:$K$5,0)))))),IF(I$2=2019,SUMPRODUCT(($B34='Landbrugsareal - resultat'!$B$6:$B$19)*(INDEX('Landbrugsareal - resultat'!$L$6:$N$19,,MATCH($D34,'Landbrugsareal - resultat'!$L$5:$N$5,0)))),IF(I$2=2030,SUMPRODUCT(($B34='Landbrugsareal - resultat'!$B$6:$B$19)*(INDEX('Landbrugsareal - resultat'!$O$6:$Q$19,,MATCH($D34,'Landbrugsareal - resultat'!$O$5:$Q$5,0)))),SUMPRODUCT(($B34='Landbrugsareal - resultat'!$B$6:$B$19)*(INDEX('Landbrugsareal - resultat'!$R$6:$T$19,,MATCH($D34,'Landbrugsareal - resultat'!$R$5:$T$5,0))))))),IF($C34="Konventionel",IF(I$2=2019,SUMPRODUCT((C34='Landbrugsareal - resultat'!$B$33:$B$46)*(INDEX('Landbrugsareal - resultat'!$C$33:$E$46,,MATCH($D34,'Landbrugsareal - resultat'!$C$5:$E$5,0)))),IF(I$2=2030,SUMPRODUCT(($B34='Landbrugsareal - resultat'!$B$33:$B$46)*(INDEX('Landbrugsareal - resultat'!$F$33:$H$46,,MATCH($D34,'Landbrugsareal - resultat'!$F$5:$H$5,0)))),SUMPRODUCT(($B34='Landbrugsareal - resultat'!$B$33:$B$46)*(INDEX('Landbrugsareal - resultat'!$I$33:$K$46,,MATCH($D34,'Landbrugsareal - resultat'!$I$5:$K$5,0)))))),IF(I$2=2019,SUMPRODUCT(($B34='Landbrugsareal - resultat'!$B$33:$B$46)*(INDEX('Landbrugsareal - resultat'!$L$33:$N$46,,MATCH($D34,'Landbrugsareal - resultat'!$L$5:$N$5,0)))),IF(I$2=2030,SUMPRODUCT(($B34='Landbrugsareal - resultat'!$B$33:$B$46)*(INDEX('Landbrugsareal - resultat'!$O$33:$Q$46,,MATCH($D34,'Landbrugsareal - resultat'!$O$5:$Q$5,0)))),SUMPRODUCT(($B34='Landbrugsareal - resultat'!$B$33:$B$46)*(INDEX('Landbrugsareal - resultat'!$R$33:$T$46,,MATCH($D34,'Landbrugsareal - resultat'!$R$5:$T$5,0))))))))</f>
        <v>16553.738123638836</v>
      </c>
    </row>
    <row r="35" spans="1:9" x14ac:dyDescent="0.25">
      <c r="A35" t="s">
        <v>23</v>
      </c>
      <c r="B35" s="1" t="str">
        <f>[1]Afgrødefordeling!$C$6</f>
        <v>Grøntsager</v>
      </c>
      <c r="C35" t="s">
        <v>7</v>
      </c>
      <c r="D35" t="str">
        <f t="shared" si="3"/>
        <v>OC12</v>
      </c>
      <c r="F35" t="str">
        <f t="shared" si="1"/>
        <v>Areal-grøntsager</v>
      </c>
      <c r="G35" s="96" cm="1">
        <f t="array" ref="G35">IF($A35="Vestdanmark",IF($C35="Konventionel",IF(G$2=2019,SUMPRODUCT(($B35='Landbrugsareal - resultat'!$B$6:$B$19)*(INDEX('Landbrugsareal - resultat'!$C$6:$E$19,,MATCH($D35,'Landbrugsareal - resultat'!$C$5:$E$5,0)))),IF(G$2=2030,SUMPRODUCT(($B35='Landbrugsareal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resultat'!$I$5:$K$5,0)))))),IF(G$2=2019,SUMPRODUCT(($B35='Landbrugsareal - resultat'!$B$6:$B$19)*(INDEX('Landbrugsareal - resultat'!$L$6:$N$19,,MATCH($D35,'Landbrugsareal - resultat'!$L$5:$N$5,0)))),IF(G$2=2030,SUMPRODUCT(($B35='Landbrugsareal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resultat'!$R$5:$T$5,0))))))),IF($C35="Konventionel",IF(G$2=2019,SUMPRODUCT((B35='Landbrugsareal - resultat'!$B$33:$B$46)*(INDEX('Landbrugsareal - resultat'!$C$33:$E$46,,MATCH($D35,'Landbrugsareal - resultat'!$C$5:$E$5,0)))),IF(G$2=2030,SUMPRODUCT(($B35='Landbrugsareal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resultat'!$I$5:$K$5,0)))))),IF(G$2=2019,SUMPRODUCT(($B35='Landbrugsareal - resultat'!$B$33:$B$46)*(INDEX('Landbrugsareal - resultat'!$L$33:$N$46,,MATCH($D35,'Landbrugsareal - resultat'!$L$5:$N$5,0)))),IF(G$2=2030,SUMPRODUCT(($B35='Landbrugsareal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22.870610645607062</v>
      </c>
      <c r="H35" s="96" cm="1">
        <f t="array" ref="H35">IF($A35="Vestdanmark",IF($C35="Konventionel",IF(H$2=2019,SUMPRODUCT(($B35='Landbrugsareal - resultat'!$B$6:$B$19)*(INDEX('Landbrugsareal - resultat'!$C$6:$E$19,,MATCH($D35,'Landbrugsareal - resultat'!$C$5:$E$5,0)))),IF(H$2=2030,SUMPRODUCT(($B35='Landbrugsareal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resultat'!$I$5:$K$5,0)))))),IF(H$2=2019,SUMPRODUCT(($B35='Landbrugsareal - resultat'!$B$6:$B$19)*(INDEX('Landbrugsareal - resultat'!$L$6:$N$19,,MATCH($D35,'Landbrugsareal - resultat'!$L$5:$N$5,0)))),IF(H$2=2030,SUMPRODUCT(($B35='Landbrugsareal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resultat'!$R$5:$T$5,0))))))),IF($C35="Konventionel",IF(H$2=2019,SUMPRODUCT(($B35='Landbrugsareal - resultat'!$B$33:$B$46)*(INDEX('Landbrugsareal - resultat'!$C$33:$E$46,,MATCH($D35,'Landbrugsareal - resultat'!$C$5:$E$5,0)))),IF(H$2=2030,SUMPRODUCT(($B35='Landbrugsareal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resultat'!$I$5:$K$5,0)))))),IF(H$2=2019,SUMPRODUCT(($B35='Landbrugsareal - resultat'!$B$33:$B$46)*(INDEX('Landbrugsareal - resultat'!$L$33:$N$46,,MATCH($D35,'Landbrugsareal - resultat'!$L$5:$N$5,0)))),IF(H$2=2030,SUMPRODUCT(($B35='Landbrugsareal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20.173495261269249</v>
      </c>
      <c r="I35" s="96" cm="1">
        <f t="array" ref="I35">IF($A35="Vestdanmark",IF($C35="Konventionel",IF(I$2=2019,SUMPRODUCT(($B35='Landbrugsareal - resultat'!$B$6:$B$19)*(INDEX('Landbrugsareal - resultat'!$C$6:$E$19,,MATCH($D35,'Landbrugsareal - resultat'!$C$5:$E$5,0)))),IF(I$2=2030,SUMPRODUCT(($B35='Landbrugsareal - resultat'!$B$6:$B$19)*(INDEX('Landbrugsareal - resultat'!$F$6:$H$19,,MATCH($D35,'Landbrugsareal - resultat'!$F$5:$H$5,0)))),SUMPRODUCT(($B35='Landbrugsareal - resultat'!$B$6:$B$19)*(INDEX('Landbrugsareal - resultat'!$I$6:$K$19,,MATCH($D35,'Landbrugsareal - resultat'!$I$5:$K$5,0)))))),IF(I$2=2019,SUMPRODUCT(($B35='Landbrugsareal - resultat'!$B$6:$B$19)*(INDEX('Landbrugsareal - resultat'!$L$6:$N$19,,MATCH($D35,'Landbrugsareal - resultat'!$L$5:$N$5,0)))),IF(I$2=2030,SUMPRODUCT(($B35='Landbrugsareal - resultat'!$B$6:$B$19)*(INDEX('Landbrugsareal - resultat'!$O$6:$Q$19,,MATCH($D35,'Landbrugsareal - resultat'!$O$5:$Q$5,0)))),SUMPRODUCT(($B35='Landbrugsareal - resultat'!$B$6:$B$19)*(INDEX('Landbrugsareal - resultat'!$R$6:$T$19,,MATCH($D35,'Landbrugsareal - resultat'!$R$5:$T$5,0))))))),IF($C35="Konventionel",IF(I$2=2019,SUMPRODUCT((C35='Landbrugsareal - resultat'!$B$33:$B$46)*(INDEX('Landbrugsareal - resultat'!$C$33:$E$46,,MATCH($D35,'Landbrugsareal - resultat'!$C$5:$E$5,0)))),IF(I$2=2030,SUMPRODUCT(($B35='Landbrugsareal - resultat'!$B$33:$B$46)*(INDEX('Landbrugsareal - resultat'!$F$33:$H$46,,MATCH($D35,'Landbrugsareal - resultat'!$F$5:$H$5,0)))),SUMPRODUCT(($B35='Landbrugsareal - resultat'!$B$33:$B$46)*(INDEX('Landbrugsareal - resultat'!$I$33:$K$46,,MATCH($D35,'Landbrugsareal - resultat'!$I$5:$K$5,0)))))),IF(I$2=2019,SUMPRODUCT(($B35='Landbrugsareal - resultat'!$B$33:$B$46)*(INDEX('Landbrugsareal - resultat'!$L$33:$N$46,,MATCH($D35,'Landbrugsareal - resultat'!$L$5:$N$5,0)))),IF(I$2=2030,SUMPRODUCT(($B35='Landbrugsareal - resultat'!$B$33:$B$46)*(INDEX('Landbrugsareal - resultat'!$O$33:$Q$46,,MATCH($D35,'Landbrugsareal - resultat'!$O$5:$Q$5,0)))),SUMPRODUCT(($B35='Landbrugsareal - resultat'!$B$33:$B$46)*(INDEX('Landbrugsareal - resultat'!$R$33:$T$46,,MATCH($D35,'Landbrugsareal - resultat'!$R$5:$T$5,0))))))))</f>
        <v>19.24061686768454</v>
      </c>
    </row>
    <row r="36" spans="1:9" x14ac:dyDescent="0.25">
      <c r="A36" t="s">
        <v>23</v>
      </c>
      <c r="B36" s="1" t="str">
        <f>[1]Afgrødefordeling!$C$7</f>
        <v>Kartofler</v>
      </c>
      <c r="C36" t="s">
        <v>7</v>
      </c>
      <c r="D36" t="str">
        <f t="shared" si="3"/>
        <v>OC12</v>
      </c>
      <c r="F36" t="str">
        <f t="shared" si="1"/>
        <v>Areal-kartofler</v>
      </c>
      <c r="G36" s="96" cm="1">
        <f t="array" ref="G36">IF($A36="Vestdanmark",IF($C36="Konventionel",IF(G$2=2019,SUMPRODUCT(($B36='Landbrugsareal - resultat'!$B$6:$B$19)*(INDEX('Landbrugsareal - resultat'!$C$6:$E$19,,MATCH($D36,'Landbrugsareal - resultat'!$C$5:$E$5,0)))),IF(G$2=2030,SUMPRODUCT(($B36='Landbrugsareal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resultat'!$I$5:$K$5,0)))))),IF(G$2=2019,SUMPRODUCT(($B36='Landbrugsareal - resultat'!$B$6:$B$19)*(INDEX('Landbrugsareal - resultat'!$L$6:$N$19,,MATCH($D36,'Landbrugsareal - resultat'!$L$5:$N$5,0)))),IF(G$2=2030,SUMPRODUCT(($B36='Landbrugsareal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resultat'!$R$5:$T$5,0))))))),IF($C36="Konventionel",IF(G$2=2019,SUMPRODUCT((B36='Landbrugsareal - resultat'!$B$33:$B$46)*(INDEX('Landbrugsareal - resultat'!$C$33:$E$46,,MATCH($D36,'Landbrugsareal - resultat'!$C$5:$E$5,0)))),IF(G$2=2030,SUMPRODUCT(($B36='Landbrugsareal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resultat'!$I$5:$K$5,0)))))),IF(G$2=2019,SUMPRODUCT(($B36='Landbrugsareal - resultat'!$B$33:$B$46)*(INDEX('Landbrugsareal - resultat'!$L$33:$N$46,,MATCH($D36,'Landbrugsareal - resultat'!$L$5:$N$5,0)))),IF(G$2=2030,SUMPRODUCT(($B36='Landbrugsareal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1210.548128147522</v>
      </c>
      <c r="H36" s="96" cm="1">
        <f t="array" ref="H36">IF($A36="Vestdanmark",IF($C36="Konventionel",IF(H$2=2019,SUMPRODUCT(($B36='Landbrugsareal - resultat'!$B$6:$B$19)*(INDEX('Landbrugsareal - resultat'!$C$6:$E$19,,MATCH($D36,'Landbrugsareal - resultat'!$C$5:$E$5,0)))),IF(H$2=2030,SUMPRODUCT(($B36='Landbrugsareal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resultat'!$I$5:$K$5,0)))))),IF(H$2=2019,SUMPRODUCT(($B36='Landbrugsareal - resultat'!$B$6:$B$19)*(INDEX('Landbrugsareal - resultat'!$L$6:$N$19,,MATCH($D36,'Landbrugsareal - resultat'!$L$5:$N$5,0)))),IF(H$2=2030,SUMPRODUCT(($B36='Landbrugsareal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resultat'!$R$5:$T$5,0))))))),IF($C36="Konventionel",IF(H$2=2019,SUMPRODUCT(($B36='Landbrugsareal - resultat'!$B$33:$B$46)*(INDEX('Landbrugsareal - resultat'!$C$33:$E$46,,MATCH($D36,'Landbrugsareal - resultat'!$C$5:$E$5,0)))),IF(H$2=2030,SUMPRODUCT(($B36='Landbrugsareal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resultat'!$I$5:$K$5,0)))))),IF(H$2=2019,SUMPRODUCT(($B36='Landbrugsareal - resultat'!$B$33:$B$46)*(INDEX('Landbrugsareal - resultat'!$L$33:$N$46,,MATCH($D36,'Landbrugsareal - resultat'!$L$5:$N$5,0)))),IF(H$2=2030,SUMPRODUCT(($B36='Landbrugsareal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1067.7890199408878</v>
      </c>
      <c r="I36" s="96" cm="1">
        <f t="array" ref="I36">IF($A36="Vestdanmark",IF($C36="Konventionel",IF(I$2=2019,SUMPRODUCT(($B36='Landbrugsareal - resultat'!$B$6:$B$19)*(INDEX('Landbrugsareal - resultat'!$C$6:$E$19,,MATCH($D36,'Landbrugsareal - resultat'!$C$5:$E$5,0)))),IF(I$2=2030,SUMPRODUCT(($B36='Landbrugsareal - resultat'!$B$6:$B$19)*(INDEX('Landbrugsareal - resultat'!$F$6:$H$19,,MATCH($D36,'Landbrugsareal - resultat'!$F$5:$H$5,0)))),SUMPRODUCT(($B36='Landbrugsareal - resultat'!$B$6:$B$19)*(INDEX('Landbrugsareal - resultat'!$I$6:$K$19,,MATCH($D36,'Landbrugsareal - resultat'!$I$5:$K$5,0)))))),IF(I$2=2019,SUMPRODUCT(($B36='Landbrugsareal - resultat'!$B$6:$B$19)*(INDEX('Landbrugsareal - resultat'!$L$6:$N$19,,MATCH($D36,'Landbrugsareal - resultat'!$L$5:$N$5,0)))),IF(I$2=2030,SUMPRODUCT(($B36='Landbrugsareal - resultat'!$B$6:$B$19)*(INDEX('Landbrugsareal - resultat'!$O$6:$Q$19,,MATCH($D36,'Landbrugsareal - resultat'!$O$5:$Q$5,0)))),SUMPRODUCT(($B36='Landbrugsareal - resultat'!$B$6:$B$19)*(INDEX('Landbrugsareal - resultat'!$R$6:$T$19,,MATCH($D36,'Landbrugsareal - resultat'!$R$5:$T$5,0))))))),IF($C36="Konventionel",IF(I$2=2019,SUMPRODUCT((C36='Landbrugsareal - resultat'!$B$33:$B$46)*(INDEX('Landbrugsareal - resultat'!$C$33:$E$46,,MATCH($D36,'Landbrugsareal - resultat'!$C$5:$E$5,0)))),IF(I$2=2030,SUMPRODUCT(($B36='Landbrugsareal - resultat'!$B$33:$B$46)*(INDEX('Landbrugsareal - resultat'!$F$33:$H$46,,MATCH($D36,'Landbrugsareal - resultat'!$F$5:$H$5,0)))),SUMPRODUCT(($B36='Landbrugsareal - resultat'!$B$33:$B$46)*(INDEX('Landbrugsareal - resultat'!$I$33:$K$46,,MATCH($D36,'Landbrugsareal - resultat'!$I$5:$K$5,0)))))),IF(I$2=2019,SUMPRODUCT(($B36='Landbrugsareal - resultat'!$B$33:$B$46)*(INDEX('Landbrugsareal - resultat'!$L$33:$N$46,,MATCH($D36,'Landbrugsareal - resultat'!$L$5:$N$5,0)))),IF(I$2=2030,SUMPRODUCT(($B36='Landbrugsareal - resultat'!$B$33:$B$46)*(INDEX('Landbrugsareal - resultat'!$O$33:$Q$46,,MATCH($D36,'Landbrugsareal - resultat'!$O$5:$Q$5,0)))),SUMPRODUCT(($B36='Landbrugsareal - resultat'!$B$33:$B$46)*(INDEX('Landbrugsareal - resultat'!$R$33:$T$46,,MATCH($D36,'Landbrugsareal - resultat'!$R$5:$T$5,0))))))))</f>
        <v>1018.4114930072051</v>
      </c>
    </row>
    <row r="37" spans="1:9" x14ac:dyDescent="0.25">
      <c r="A37" t="s">
        <v>23</v>
      </c>
      <c r="B37" s="1" t="str">
        <f>[1]Afgrødefordeling!$C$8</f>
        <v>Roer</v>
      </c>
      <c r="C37" t="s">
        <v>7</v>
      </c>
      <c r="D37" t="str">
        <f t="shared" si="3"/>
        <v>OC12</v>
      </c>
      <c r="F37" t="str">
        <f t="shared" si="1"/>
        <v>Areal-roer</v>
      </c>
      <c r="G37" s="96" cm="1">
        <f t="array" ref="G37">IF($A37="Vestdanmark",IF($C37="Konventionel",IF(G$2=2019,SUMPRODUCT(($B37='Landbrugsareal - resultat'!$B$6:$B$19)*(INDEX('Landbrugsareal - resultat'!$C$6:$E$19,,MATCH($D37,'Landbrugsareal - resultat'!$C$5:$E$5,0)))),IF(G$2=2030,SUMPRODUCT(($B37='Landbrugsareal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resultat'!$I$5:$K$5,0)))))),IF(G$2=2019,SUMPRODUCT(($B37='Landbrugsareal - resultat'!$B$6:$B$19)*(INDEX('Landbrugsareal - resultat'!$L$6:$N$19,,MATCH($D37,'Landbrugsareal - resultat'!$L$5:$N$5,0)))),IF(G$2=2030,SUMPRODUCT(($B37='Landbrugsareal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resultat'!$R$5:$T$5,0))))))),IF($C37="Konventionel",IF(G$2=2019,SUMPRODUCT((B37='Landbrugsareal - resultat'!$B$33:$B$46)*(INDEX('Landbrugsareal - resultat'!$C$33:$E$46,,MATCH($D37,'Landbrugsareal - resultat'!$C$5:$E$5,0)))),IF(G$2=2030,SUMPRODUCT(($B37='Landbrugsareal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resultat'!$I$5:$K$5,0)))))),IF(G$2=2019,SUMPRODUCT(($B37='Landbrugsareal - resultat'!$B$33:$B$46)*(INDEX('Landbrugsareal - resultat'!$L$33:$N$46,,MATCH($D37,'Landbrugsareal - resultat'!$L$5:$N$5,0)))),IF(G$2=2030,SUMPRODUCT(($B37='Landbrugsareal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13.090943352111134</v>
      </c>
      <c r="H37" s="96" cm="1">
        <f t="array" ref="H37">IF($A37="Vestdanmark",IF($C37="Konventionel",IF(H$2=2019,SUMPRODUCT(($B37='Landbrugsareal - resultat'!$B$6:$B$19)*(INDEX('Landbrugsareal - resultat'!$C$6:$E$19,,MATCH($D37,'Landbrugsareal - resultat'!$C$5:$E$5,0)))),IF(H$2=2030,SUMPRODUCT(($B37='Landbrugsareal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resultat'!$I$5:$K$5,0)))))),IF(H$2=2019,SUMPRODUCT(($B37='Landbrugsareal - resultat'!$B$6:$B$19)*(INDEX('Landbrugsareal - resultat'!$L$6:$N$19,,MATCH($D37,'Landbrugsareal - resultat'!$L$5:$N$5,0)))),IF(H$2=2030,SUMPRODUCT(($B37='Landbrugsareal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resultat'!$R$5:$T$5,0))))))),IF($C37="Konventionel",IF(H$2=2019,SUMPRODUCT(($B37='Landbrugsareal - resultat'!$B$33:$B$46)*(INDEX('Landbrugsareal - resultat'!$C$33:$E$46,,MATCH($D37,'Landbrugsareal - resultat'!$C$5:$E$5,0)))),IF(H$2=2030,SUMPRODUCT(($B37='Landbrugsareal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resultat'!$I$5:$K$5,0)))))),IF(H$2=2019,SUMPRODUCT(($B37='Landbrugsareal - resultat'!$B$33:$B$46)*(INDEX('Landbrugsareal - resultat'!$L$33:$N$46,,MATCH($D37,'Landbrugsareal - resultat'!$L$5:$N$5,0)))),IF(H$2=2030,SUMPRODUCT(($B37='Landbrugsareal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11.547137405799177</v>
      </c>
      <c r="I37" s="96" cm="1">
        <f t="array" ref="I37">IF($A37="Vestdanmark",IF($C37="Konventionel",IF(I$2=2019,SUMPRODUCT(($B37='Landbrugsareal - resultat'!$B$6:$B$19)*(INDEX('Landbrugsareal - resultat'!$C$6:$E$19,,MATCH($D37,'Landbrugsareal - resultat'!$C$5:$E$5,0)))),IF(I$2=2030,SUMPRODUCT(($B37='Landbrugsareal - resultat'!$B$6:$B$19)*(INDEX('Landbrugsareal - resultat'!$F$6:$H$19,,MATCH($D37,'Landbrugsareal - resultat'!$F$5:$H$5,0)))),SUMPRODUCT(($B37='Landbrugsareal - resultat'!$B$6:$B$19)*(INDEX('Landbrugsareal - resultat'!$I$6:$K$19,,MATCH($D37,'Landbrugsareal - resultat'!$I$5:$K$5,0)))))),IF(I$2=2019,SUMPRODUCT(($B37='Landbrugsareal - resultat'!$B$6:$B$19)*(INDEX('Landbrugsareal - resultat'!$L$6:$N$19,,MATCH($D37,'Landbrugsareal - resultat'!$L$5:$N$5,0)))),IF(I$2=2030,SUMPRODUCT(($B37='Landbrugsareal - resultat'!$B$6:$B$19)*(INDEX('Landbrugsareal - resultat'!$O$6:$Q$19,,MATCH($D37,'Landbrugsareal - resultat'!$O$5:$Q$5,0)))),SUMPRODUCT(($B37='Landbrugsareal - resultat'!$B$6:$B$19)*(INDEX('Landbrugsareal - resultat'!$R$6:$T$19,,MATCH($D37,'Landbrugsareal - resultat'!$R$5:$T$5,0))))))),IF($C37="Konventionel",IF(I$2=2019,SUMPRODUCT((C37='Landbrugsareal - resultat'!$B$33:$B$46)*(INDEX('Landbrugsareal - resultat'!$C$33:$E$46,,MATCH($D37,'Landbrugsareal - resultat'!$C$5:$E$5,0)))),IF(I$2=2030,SUMPRODUCT(($B37='Landbrugsareal - resultat'!$B$33:$B$46)*(INDEX('Landbrugsareal - resultat'!$F$33:$H$46,,MATCH($D37,'Landbrugsareal - resultat'!$F$5:$H$5,0)))),SUMPRODUCT(($B37='Landbrugsareal - resultat'!$B$33:$B$46)*(INDEX('Landbrugsareal - resultat'!$I$33:$K$46,,MATCH($D37,'Landbrugsareal - resultat'!$I$5:$K$5,0)))))),IF(I$2=2019,SUMPRODUCT(($B37='Landbrugsareal - resultat'!$B$33:$B$46)*(INDEX('Landbrugsareal - resultat'!$L$33:$N$46,,MATCH($D37,'Landbrugsareal - resultat'!$L$5:$N$5,0)))),IF(I$2=2030,SUMPRODUCT(($B37='Landbrugsareal - resultat'!$B$33:$B$46)*(INDEX('Landbrugsareal - resultat'!$O$33:$Q$46,,MATCH($D37,'Landbrugsareal - resultat'!$O$5:$Q$5,0)))),SUMPRODUCT(($B37='Landbrugsareal - resultat'!$B$33:$B$46)*(INDEX('Landbrugsareal - resultat'!$R$33:$T$46,,MATCH($D37,'Landbrugsareal - resultat'!$R$5:$T$5,0))))))))</f>
        <v>11.013165733854706</v>
      </c>
    </row>
    <row r="38" spans="1:9" x14ac:dyDescent="0.25">
      <c r="A38" t="s">
        <v>23</v>
      </c>
      <c r="B38" s="1" t="str">
        <f>[1]Afgrødefordeling!$C$9</f>
        <v>Majs</v>
      </c>
      <c r="C38" t="s">
        <v>7</v>
      </c>
      <c r="D38" t="str">
        <f t="shared" si="3"/>
        <v>OC12</v>
      </c>
      <c r="F38" t="str">
        <f t="shared" si="1"/>
        <v>Areal-majs</v>
      </c>
      <c r="G38" s="96" cm="1">
        <f t="array" ref="G38">IF($A38="Vestdanmark",IF($C38="Konventionel",IF(G$2=2019,SUMPRODUCT(($B38='Landbrugsareal - resultat'!$B$6:$B$19)*(INDEX('Landbrugsareal - resultat'!$C$6:$E$19,,MATCH($D38,'Landbrugsareal - resultat'!$C$5:$E$5,0)))),IF(G$2=2030,SUMPRODUCT(($B38='Landbrugsareal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resultat'!$I$5:$K$5,0)))))),IF(G$2=2019,SUMPRODUCT(($B38='Landbrugsareal - resultat'!$B$6:$B$19)*(INDEX('Landbrugsareal - resultat'!$L$6:$N$19,,MATCH($D38,'Landbrugsareal - resultat'!$L$5:$N$5,0)))),IF(G$2=2030,SUMPRODUCT(($B38='Landbrugsareal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resultat'!$R$5:$T$5,0))))))),IF($C38="Konventionel",IF(G$2=2019,SUMPRODUCT((B38='Landbrugsareal - resultat'!$B$33:$B$46)*(INDEX('Landbrugsareal - resultat'!$C$33:$E$46,,MATCH($D38,'Landbrugsareal - resultat'!$C$5:$E$5,0)))),IF(G$2=2030,SUMPRODUCT(($B38='Landbrugsareal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resultat'!$I$5:$K$5,0)))))),IF(G$2=2019,SUMPRODUCT(($B38='Landbrugsareal - resultat'!$B$33:$B$46)*(INDEX('Landbrugsareal - resultat'!$L$33:$N$46,,MATCH($D38,'Landbrugsareal - resultat'!$L$5:$N$5,0)))),IF(G$2=2030,SUMPRODUCT(($B38='Landbrugsareal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1627.9869607567055</v>
      </c>
      <c r="H38" s="96" cm="1">
        <f t="array" ref="H38">IF($A38="Vestdanmark",IF($C38="Konventionel",IF(H$2=2019,SUMPRODUCT(($B38='Landbrugsareal - resultat'!$B$6:$B$19)*(INDEX('Landbrugsareal - resultat'!$C$6:$E$19,,MATCH($D38,'Landbrugsareal - resultat'!$C$5:$E$5,0)))),IF(H$2=2030,SUMPRODUCT(($B38='Landbrugsareal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resultat'!$I$5:$K$5,0)))))),IF(H$2=2019,SUMPRODUCT(($B38='Landbrugsareal - resultat'!$B$6:$B$19)*(INDEX('Landbrugsareal - resultat'!$L$6:$N$19,,MATCH($D38,'Landbrugsareal - resultat'!$L$5:$N$5,0)))),IF(H$2=2030,SUMPRODUCT(($B38='Landbrugsareal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resultat'!$R$5:$T$5,0))))))),IF($C38="Konventionel",IF(H$2=2019,SUMPRODUCT(($B38='Landbrugsareal - resultat'!$B$33:$B$46)*(INDEX('Landbrugsareal - resultat'!$C$33:$E$46,,MATCH($D38,'Landbrugsareal - resultat'!$C$5:$E$5,0)))),IF(H$2=2030,SUMPRODUCT(($B38='Landbrugsareal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resultat'!$I$5:$K$5,0)))))),IF(H$2=2019,SUMPRODUCT(($B38='Landbrugsareal - resultat'!$B$33:$B$46)*(INDEX('Landbrugsareal - resultat'!$L$33:$N$46,,MATCH($D38,'Landbrugsareal - resultat'!$L$5:$N$5,0)))),IF(H$2=2030,SUMPRODUCT(($B38='Landbrugsareal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1435.9995781110367</v>
      </c>
      <c r="I38" s="96" cm="1">
        <f t="array" ref="I38">IF($A38="Vestdanmark",IF($C38="Konventionel",IF(I$2=2019,SUMPRODUCT(($B38='Landbrugsareal - resultat'!$B$6:$B$19)*(INDEX('Landbrugsareal - resultat'!$C$6:$E$19,,MATCH($D38,'Landbrugsareal - resultat'!$C$5:$E$5,0)))),IF(I$2=2030,SUMPRODUCT(($B38='Landbrugsareal - resultat'!$B$6:$B$19)*(INDEX('Landbrugsareal - resultat'!$F$6:$H$19,,MATCH($D38,'Landbrugsareal - resultat'!$F$5:$H$5,0)))),SUMPRODUCT(($B38='Landbrugsareal - resultat'!$B$6:$B$19)*(INDEX('Landbrugsareal - resultat'!$I$6:$K$19,,MATCH($D38,'Landbrugsareal - resultat'!$I$5:$K$5,0)))))),IF(I$2=2019,SUMPRODUCT(($B38='Landbrugsareal - resultat'!$B$6:$B$19)*(INDEX('Landbrugsareal - resultat'!$L$6:$N$19,,MATCH($D38,'Landbrugsareal - resultat'!$L$5:$N$5,0)))),IF(I$2=2030,SUMPRODUCT(($B38='Landbrugsareal - resultat'!$B$6:$B$19)*(INDEX('Landbrugsareal - resultat'!$O$6:$Q$19,,MATCH($D38,'Landbrugsareal - resultat'!$O$5:$Q$5,0)))),SUMPRODUCT(($B38='Landbrugsareal - resultat'!$B$6:$B$19)*(INDEX('Landbrugsareal - resultat'!$R$6:$T$19,,MATCH($D38,'Landbrugsareal - resultat'!$R$5:$T$5,0))))))),IF($C38="Konventionel",IF(I$2=2019,SUMPRODUCT((C38='Landbrugsareal - resultat'!$B$33:$B$46)*(INDEX('Landbrugsareal - resultat'!$C$33:$E$46,,MATCH($D38,'Landbrugsareal - resultat'!$C$5:$E$5,0)))),IF(I$2=2030,SUMPRODUCT(($B38='Landbrugsareal - resultat'!$B$33:$B$46)*(INDEX('Landbrugsareal - resultat'!$F$33:$H$46,,MATCH($D38,'Landbrugsareal - resultat'!$F$5:$H$5,0)))),SUMPRODUCT(($B38='Landbrugsareal - resultat'!$B$33:$B$46)*(INDEX('Landbrugsareal - resultat'!$I$33:$K$46,,MATCH($D38,'Landbrugsareal - resultat'!$I$5:$K$5,0)))))),IF(I$2=2019,SUMPRODUCT(($B38='Landbrugsareal - resultat'!$B$33:$B$46)*(INDEX('Landbrugsareal - resultat'!$L$33:$N$46,,MATCH($D38,'Landbrugsareal - resultat'!$L$5:$N$5,0)))),IF(I$2=2030,SUMPRODUCT(($B38='Landbrugsareal - resultat'!$B$33:$B$46)*(INDEX('Landbrugsareal - resultat'!$O$33:$Q$46,,MATCH($D38,'Landbrugsareal - resultat'!$O$5:$Q$5,0)))),SUMPRODUCT(($B38='Landbrugsareal - resultat'!$B$33:$B$46)*(INDEX('Landbrugsareal - resultat'!$R$33:$T$46,,MATCH($D38,'Landbrugsareal - resultat'!$R$5:$T$5,0))))))))</f>
        <v>1369.5949733428961</v>
      </c>
    </row>
    <row r="39" spans="1:9" x14ac:dyDescent="0.25">
      <c r="A39" t="s">
        <v>23</v>
      </c>
      <c r="B39" s="1" t="str">
        <f>[1]Afgrødefordeling!$C$10</f>
        <v>Frugt</v>
      </c>
      <c r="C39" t="s">
        <v>7</v>
      </c>
      <c r="D39" t="str">
        <f t="shared" si="3"/>
        <v>OC12</v>
      </c>
      <c r="F39" t="str">
        <f t="shared" si="1"/>
        <v>Areal-frugt</v>
      </c>
      <c r="G39" s="96" cm="1">
        <f t="array" ref="G39">IF($A39="Vestdanmark",IF($C39="Konventionel",IF(G$2=2019,SUMPRODUCT(($B39='Landbrugsareal - resultat'!$B$6:$B$19)*(INDEX('Landbrugsareal - resultat'!$C$6:$E$19,,MATCH($D39,'Landbrugsareal - resultat'!$C$5:$E$5,0)))),IF(G$2=2030,SUMPRODUCT(($B39='Landbrugsareal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resultat'!$I$5:$K$5,0)))))),IF(G$2=2019,SUMPRODUCT(($B39='Landbrugsareal - resultat'!$B$6:$B$19)*(INDEX('Landbrugsareal - resultat'!$L$6:$N$19,,MATCH($D39,'Landbrugsareal - resultat'!$L$5:$N$5,0)))),IF(G$2=2030,SUMPRODUCT(($B39='Landbrugsareal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resultat'!$R$5:$T$5,0))))))),IF($C39="Konventionel",IF(G$2=2019,SUMPRODUCT((B39='Landbrugsareal - resultat'!$B$33:$B$46)*(INDEX('Landbrugsareal - resultat'!$C$33:$E$46,,MATCH($D39,'Landbrugsareal - resultat'!$C$5:$E$5,0)))),IF(G$2=2030,SUMPRODUCT(($B39='Landbrugsareal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resultat'!$I$5:$K$5,0)))))),IF(G$2=2019,SUMPRODUCT(($B39='Landbrugsareal - resultat'!$B$33:$B$46)*(INDEX('Landbrugsareal - resultat'!$L$33:$N$46,,MATCH($D39,'Landbrugsareal - resultat'!$L$5:$N$5,0)))),IF(G$2=2030,SUMPRODUCT(($B39='Landbrugsareal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46.653159168791504</v>
      </c>
      <c r="H39" s="96" cm="1">
        <f t="array" ref="H39">IF($A39="Vestdanmark",IF($C39="Konventionel",IF(H$2=2019,SUMPRODUCT(($B39='Landbrugsareal - resultat'!$B$6:$B$19)*(INDEX('Landbrugsareal - resultat'!$C$6:$E$19,,MATCH($D39,'Landbrugsareal - resultat'!$C$5:$E$5,0)))),IF(H$2=2030,SUMPRODUCT(($B39='Landbrugsareal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resultat'!$I$5:$K$5,0)))))),IF(H$2=2019,SUMPRODUCT(($B39='Landbrugsareal - resultat'!$B$6:$B$19)*(INDEX('Landbrugsareal - resultat'!$L$6:$N$19,,MATCH($D39,'Landbrugsareal - resultat'!$L$5:$N$5,0)))),IF(H$2=2030,SUMPRODUCT(($B39='Landbrugsareal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resultat'!$R$5:$T$5,0))))))),IF($C39="Konventionel",IF(H$2=2019,SUMPRODUCT(($B39='Landbrugsareal - resultat'!$B$33:$B$46)*(INDEX('Landbrugsareal - resultat'!$C$33:$E$46,,MATCH($D39,'Landbrugsareal - resultat'!$C$5:$E$5,0)))),IF(H$2=2030,SUMPRODUCT(($B39='Landbrugsareal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resultat'!$I$5:$K$5,0)))))),IF(H$2=2019,SUMPRODUCT(($B39='Landbrugsareal - resultat'!$B$33:$B$46)*(INDEX('Landbrugsareal - resultat'!$L$33:$N$46,,MATCH($D39,'Landbrugsareal - resultat'!$L$5:$N$5,0)))),IF(H$2=2030,SUMPRODUCT(($B39='Landbrugsareal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41.15138419339192</v>
      </c>
      <c r="I39" s="96" cm="1">
        <f t="array" ref="I39">IF($A39="Vestdanmark",IF($C39="Konventionel",IF(I$2=2019,SUMPRODUCT(($B39='Landbrugsareal - resultat'!$B$6:$B$19)*(INDEX('Landbrugsareal - resultat'!$C$6:$E$19,,MATCH($D39,'Landbrugsareal - resultat'!$C$5:$E$5,0)))),IF(I$2=2030,SUMPRODUCT(($B39='Landbrugsareal - resultat'!$B$6:$B$19)*(INDEX('Landbrugsareal - resultat'!$F$6:$H$19,,MATCH($D39,'Landbrugsareal - resultat'!$F$5:$H$5,0)))),SUMPRODUCT(($B39='Landbrugsareal - resultat'!$B$6:$B$19)*(INDEX('Landbrugsareal - resultat'!$I$6:$K$19,,MATCH($D39,'Landbrugsareal - resultat'!$I$5:$K$5,0)))))),IF(I$2=2019,SUMPRODUCT(($B39='Landbrugsareal - resultat'!$B$6:$B$19)*(INDEX('Landbrugsareal - resultat'!$L$6:$N$19,,MATCH($D39,'Landbrugsareal - resultat'!$L$5:$N$5,0)))),IF(I$2=2030,SUMPRODUCT(($B39='Landbrugsareal - resultat'!$B$6:$B$19)*(INDEX('Landbrugsareal - resultat'!$O$6:$Q$19,,MATCH($D39,'Landbrugsareal - resultat'!$O$5:$Q$5,0)))),SUMPRODUCT(($B39='Landbrugsareal - resultat'!$B$6:$B$19)*(INDEX('Landbrugsareal - resultat'!$R$6:$T$19,,MATCH($D39,'Landbrugsareal - resultat'!$R$5:$T$5,0))))))),IF($C39="Konventionel",IF(I$2=2019,SUMPRODUCT((C39='Landbrugsareal - resultat'!$B$33:$B$46)*(INDEX('Landbrugsareal - resultat'!$C$33:$E$46,,MATCH($D39,'Landbrugsareal - resultat'!$C$5:$E$5,0)))),IF(I$2=2030,SUMPRODUCT(($B39='Landbrugsareal - resultat'!$B$33:$B$46)*(INDEX('Landbrugsareal - resultat'!$F$33:$H$46,,MATCH($D39,'Landbrugsareal - resultat'!$F$5:$H$5,0)))),SUMPRODUCT(($B39='Landbrugsareal - resultat'!$B$33:$B$46)*(INDEX('Landbrugsareal - resultat'!$I$33:$K$46,,MATCH($D39,'Landbrugsareal - resultat'!$I$5:$K$5,0)))))),IF(I$2=2019,SUMPRODUCT(($B39='Landbrugsareal - resultat'!$B$33:$B$46)*(INDEX('Landbrugsareal - resultat'!$L$33:$N$46,,MATCH($D39,'Landbrugsareal - resultat'!$L$5:$N$5,0)))),IF(I$2=2030,SUMPRODUCT(($B39='Landbrugsareal - resultat'!$B$33:$B$46)*(INDEX('Landbrugsareal - resultat'!$O$33:$Q$46,,MATCH($D39,'Landbrugsareal - resultat'!$O$5:$Q$5,0)))),SUMPRODUCT(($B39='Landbrugsareal - resultat'!$B$33:$B$46)*(INDEX('Landbrugsareal - resultat'!$R$33:$T$46,,MATCH($D39,'Landbrugsareal - resultat'!$R$5:$T$5,0))))))))</f>
        <v>39.248430011038536</v>
      </c>
    </row>
    <row r="40" spans="1:9" x14ac:dyDescent="0.25">
      <c r="A40" t="s">
        <v>23</v>
      </c>
      <c r="B40" s="1" t="str">
        <f>[1]Afgrødefordeling!$C$11</f>
        <v>Øvrige</v>
      </c>
      <c r="C40" t="s">
        <v>7</v>
      </c>
      <c r="D40" t="str">
        <f t="shared" si="3"/>
        <v>OC12</v>
      </c>
      <c r="F40" t="str">
        <f t="shared" si="1"/>
        <v>Areal-øvrige</v>
      </c>
      <c r="G40" s="96" cm="1">
        <f t="array" ref="G40">IF($A40="Vestdanmark",IF($C40="Konventionel",IF(G$2=2019,SUMPRODUCT(($B40='Landbrugsareal - resultat'!$B$6:$B$19)*(INDEX('Landbrugsareal - resultat'!$C$6:$E$19,,MATCH($D40,'Landbrugsareal - resultat'!$C$5:$E$5,0)))),IF(G$2=2030,SUMPRODUCT(($B40='Landbrugsareal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resultat'!$I$5:$K$5,0)))))),IF(G$2=2019,SUMPRODUCT(($B40='Landbrugsareal - resultat'!$B$6:$B$19)*(INDEX('Landbrugsareal - resultat'!$L$6:$N$19,,MATCH($D40,'Landbrugsareal - resultat'!$L$5:$N$5,0)))),IF(G$2=2030,SUMPRODUCT(($B40='Landbrugsareal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resultat'!$R$5:$T$5,0))))))),IF($C40="Konventionel",IF(G$2=2019,SUMPRODUCT((B40='Landbrugsareal - resultat'!$B$33:$B$46)*(INDEX('Landbrugsareal - resultat'!$C$33:$E$46,,MATCH($D40,'Landbrugsareal - resultat'!$C$5:$E$5,0)))),IF(G$2=2030,SUMPRODUCT(($B40='Landbrugsareal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resultat'!$I$5:$K$5,0)))))),IF(G$2=2019,SUMPRODUCT(($B40='Landbrugsareal - resultat'!$B$33:$B$46)*(INDEX('Landbrugsareal - resultat'!$L$33:$N$46,,MATCH($D40,'Landbrugsareal - resultat'!$L$5:$N$5,0)))),IF(G$2=2030,SUMPRODUCT(($B40='Landbrugsareal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825.10317275892578</v>
      </c>
      <c r="H40" s="96" cm="1">
        <f t="array" ref="H40">IF($A40="Vestdanmark",IF($C40="Konventionel",IF(H$2=2019,SUMPRODUCT(($B40='Landbrugsareal - resultat'!$B$6:$B$19)*(INDEX('Landbrugsareal - resultat'!$C$6:$E$19,,MATCH($D40,'Landbrugsareal - resultat'!$C$5:$E$5,0)))),IF(H$2=2030,SUMPRODUCT(($B40='Landbrugsareal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resultat'!$I$5:$K$5,0)))))),IF(H$2=2019,SUMPRODUCT(($B40='Landbrugsareal - resultat'!$B$6:$B$19)*(INDEX('Landbrugsareal - resultat'!$L$6:$N$19,,MATCH($D40,'Landbrugsareal - resultat'!$L$5:$N$5,0)))),IF(H$2=2030,SUMPRODUCT(($B40='Landbrugsareal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resultat'!$R$5:$T$5,0))))))),IF($C40="Konventionel",IF(H$2=2019,SUMPRODUCT(($B40='Landbrugsareal - resultat'!$B$33:$B$46)*(INDEX('Landbrugsareal - resultat'!$C$33:$E$46,,MATCH($D40,'Landbrugsareal - resultat'!$C$5:$E$5,0)))),IF(H$2=2030,SUMPRODUCT(($B40='Landbrugsareal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resultat'!$I$5:$K$5,0)))))),IF(H$2=2019,SUMPRODUCT(($B40='Landbrugsareal - resultat'!$B$33:$B$46)*(INDEX('Landbrugsareal - resultat'!$L$33:$N$46,,MATCH($D40,'Landbrugsareal - resultat'!$L$5:$N$5,0)))),IF(H$2=2030,SUMPRODUCT(($B40='Landbrugsareal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727.79932305426189</v>
      </c>
      <c r="I40" s="96" cm="1">
        <f t="array" ref="I40">IF($A40="Vestdanmark",IF($C40="Konventionel",IF(I$2=2019,SUMPRODUCT(($B40='Landbrugsareal - resultat'!$B$6:$B$19)*(INDEX('Landbrugsareal - resultat'!$C$6:$E$19,,MATCH($D40,'Landbrugsareal - resultat'!$C$5:$E$5,0)))),IF(I$2=2030,SUMPRODUCT(($B40='Landbrugsareal - resultat'!$B$6:$B$19)*(INDEX('Landbrugsareal - resultat'!$F$6:$H$19,,MATCH($D40,'Landbrugsareal - resultat'!$F$5:$H$5,0)))),SUMPRODUCT(($B40='Landbrugsareal - resultat'!$B$6:$B$19)*(INDEX('Landbrugsareal - resultat'!$I$6:$K$19,,MATCH($D40,'Landbrugsareal - resultat'!$I$5:$K$5,0)))))),IF(I$2=2019,SUMPRODUCT(($B40='Landbrugsareal - resultat'!$B$6:$B$19)*(INDEX('Landbrugsareal - resultat'!$L$6:$N$19,,MATCH($D40,'Landbrugsareal - resultat'!$L$5:$N$5,0)))),IF(I$2=2030,SUMPRODUCT(($B40='Landbrugsareal - resultat'!$B$6:$B$19)*(INDEX('Landbrugsareal - resultat'!$O$6:$Q$19,,MATCH($D40,'Landbrugsareal - resultat'!$O$5:$Q$5,0)))),SUMPRODUCT(($B40='Landbrugsareal - resultat'!$B$6:$B$19)*(INDEX('Landbrugsareal - resultat'!$R$6:$T$19,,MATCH($D40,'Landbrugsareal - resultat'!$R$5:$T$5,0))))))),IF($C40="Konventionel",IF(I$2=2019,SUMPRODUCT((C40='Landbrugsareal - resultat'!$B$33:$B$46)*(INDEX('Landbrugsareal - resultat'!$C$33:$E$46,,MATCH($D40,'Landbrugsareal - resultat'!$C$5:$E$5,0)))),IF(I$2=2030,SUMPRODUCT(($B40='Landbrugsareal - resultat'!$B$33:$B$46)*(INDEX('Landbrugsareal - resultat'!$F$33:$H$46,,MATCH($D40,'Landbrugsareal - resultat'!$F$5:$H$5,0)))),SUMPRODUCT(($B40='Landbrugsareal - resultat'!$B$33:$B$46)*(INDEX('Landbrugsareal - resultat'!$I$33:$K$46,,MATCH($D40,'Landbrugsareal - resultat'!$I$5:$K$5,0)))))),IF(I$2=2019,SUMPRODUCT(($B40='Landbrugsareal - resultat'!$B$33:$B$46)*(INDEX('Landbrugsareal - resultat'!$L$33:$N$46,,MATCH($D40,'Landbrugsareal - resultat'!$L$5:$N$5,0)))),IF(I$2=2030,SUMPRODUCT(($B40='Landbrugsareal - resultat'!$B$33:$B$46)*(INDEX('Landbrugsareal - resultat'!$O$33:$Q$46,,MATCH($D40,'Landbrugsareal - resultat'!$O$5:$Q$5,0)))),SUMPRODUCT(($B40='Landbrugsareal - resultat'!$B$33:$B$46)*(INDEX('Landbrugsareal - resultat'!$R$33:$T$46,,MATCH($D40,'Landbrugsareal - resultat'!$R$5:$T$5,0))))))))</f>
        <v>694.14386302863124</v>
      </c>
    </row>
    <row r="41" spans="1:9" x14ac:dyDescent="0.25">
      <c r="A41" t="s">
        <v>23</v>
      </c>
      <c r="B41" s="1" t="str">
        <f>[1]Afgrødefordeling!$C$12</f>
        <v>Frø</v>
      </c>
      <c r="C41" t="s">
        <v>7</v>
      </c>
      <c r="D41" t="str">
        <f t="shared" si="3"/>
        <v>OC12</v>
      </c>
      <c r="F41" t="str">
        <f t="shared" si="1"/>
        <v>Areal-frøgræs</v>
      </c>
      <c r="G41" s="96" cm="1">
        <f t="array" ref="G41">IF($A41="Vestdanmark",IF($C41="Konventionel",IF(G$2=2019,SUMPRODUCT(($B41='Landbrugsareal - resultat'!$B$6:$B$19)*(INDEX('Landbrugsareal - resultat'!$C$6:$E$19,,MATCH($D41,'Landbrugsareal - resultat'!$C$5:$E$5,0)))),IF(G$2=2030,SUMPRODUCT(($B41='Landbrugsareal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resultat'!$I$5:$K$5,0)))))),IF(G$2=2019,SUMPRODUCT(($B41='Landbrugsareal - resultat'!$B$6:$B$19)*(INDEX('Landbrugsareal - resultat'!$L$6:$N$19,,MATCH($D41,'Landbrugsareal - resultat'!$L$5:$N$5,0)))),IF(G$2=2030,SUMPRODUCT(($B41='Landbrugsareal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resultat'!$R$5:$T$5,0))))))),IF($C41="Konventionel",IF(G$2=2019,SUMPRODUCT((B41='Landbrugsareal - resultat'!$B$33:$B$46)*(INDEX('Landbrugsareal - resultat'!$C$33:$E$46,,MATCH($D41,'Landbrugsareal - resultat'!$C$5:$E$5,0)))),IF(G$2=2030,SUMPRODUCT(($B41='Landbrugsareal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resultat'!$I$5:$K$5,0)))))),IF(G$2=2019,SUMPRODUCT(($B41='Landbrugsareal - resultat'!$B$33:$B$46)*(INDEX('Landbrugsareal - resultat'!$L$33:$N$46,,MATCH($D41,'Landbrugsareal - resultat'!$L$5:$N$5,0)))),IF(G$2=2030,SUMPRODUCT(($B41='Landbrugsareal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2625.2024337684684</v>
      </c>
      <c r="H41" s="96" cm="1">
        <f t="array" ref="H41">IF($A41="Vestdanmark",IF($C41="Konventionel",IF(H$2=2019,SUMPRODUCT(($B41='Landbrugsareal - resultat'!$B$6:$B$19)*(INDEX('Landbrugsareal - resultat'!$C$6:$E$19,,MATCH($D41,'Landbrugsareal - resultat'!$C$5:$E$5,0)))),IF(H$2=2030,SUMPRODUCT(($B41='Landbrugsareal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resultat'!$I$5:$K$5,0)))))),IF(H$2=2019,SUMPRODUCT(($B41='Landbrugsareal - resultat'!$B$6:$B$19)*(INDEX('Landbrugsareal - resultat'!$L$6:$N$19,,MATCH($D41,'Landbrugsareal - resultat'!$L$5:$N$5,0)))),IF(H$2=2030,SUMPRODUCT(($B41='Landbrugsareal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resultat'!$R$5:$T$5,0))))))),IF($C41="Konventionel",IF(H$2=2019,SUMPRODUCT(($B41='Landbrugsareal - resultat'!$B$33:$B$46)*(INDEX('Landbrugsareal - resultat'!$C$33:$E$46,,MATCH($D41,'Landbrugsareal - resultat'!$C$5:$E$5,0)))),IF(H$2=2030,SUMPRODUCT(($B41='Landbrugsareal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resultat'!$I$5:$K$5,0)))))),IF(H$2=2019,SUMPRODUCT(($B41='Landbrugsareal - resultat'!$B$33:$B$46)*(INDEX('Landbrugsareal - resultat'!$L$33:$N$46,,MATCH($D41,'Landbrugsareal - resultat'!$L$5:$N$5,0)))),IF(H$2=2030,SUMPRODUCT(($B41='Landbrugsareal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2315.6141162183199</v>
      </c>
      <c r="I41" s="96" cm="1">
        <f t="array" ref="I41">IF($A41="Vestdanmark",IF($C41="Konventionel",IF(I$2=2019,SUMPRODUCT(($B41='Landbrugsareal - resultat'!$B$6:$B$19)*(INDEX('Landbrugsareal - resultat'!$C$6:$E$19,,MATCH($D41,'Landbrugsareal - resultat'!$C$5:$E$5,0)))),IF(I$2=2030,SUMPRODUCT(($B41='Landbrugsareal - resultat'!$B$6:$B$19)*(INDEX('Landbrugsareal - resultat'!$F$6:$H$19,,MATCH($D41,'Landbrugsareal - resultat'!$F$5:$H$5,0)))),SUMPRODUCT(($B41='Landbrugsareal - resultat'!$B$6:$B$19)*(INDEX('Landbrugsareal - resultat'!$I$6:$K$19,,MATCH($D41,'Landbrugsareal - resultat'!$I$5:$K$5,0)))))),IF(I$2=2019,SUMPRODUCT(($B41='Landbrugsareal - resultat'!$B$6:$B$19)*(INDEX('Landbrugsareal - resultat'!$L$6:$N$19,,MATCH($D41,'Landbrugsareal - resultat'!$L$5:$N$5,0)))),IF(I$2=2030,SUMPRODUCT(($B41='Landbrugsareal - resultat'!$B$6:$B$19)*(INDEX('Landbrugsareal - resultat'!$O$6:$Q$19,,MATCH($D41,'Landbrugsareal - resultat'!$O$5:$Q$5,0)))),SUMPRODUCT(($B41='Landbrugsareal - resultat'!$B$6:$B$19)*(INDEX('Landbrugsareal - resultat'!$R$6:$T$19,,MATCH($D41,'Landbrugsareal - resultat'!$R$5:$T$5,0))))))),IF($C41="Konventionel",IF(I$2=2019,SUMPRODUCT((C41='Landbrugsareal - resultat'!$B$33:$B$46)*(INDEX('Landbrugsareal - resultat'!$C$33:$E$46,,MATCH($D41,'Landbrugsareal - resultat'!$C$5:$E$5,0)))),IF(I$2=2030,SUMPRODUCT(($B41='Landbrugsareal - resultat'!$B$33:$B$46)*(INDEX('Landbrugsareal - resultat'!$F$33:$H$46,,MATCH($D41,'Landbrugsareal - resultat'!$F$5:$H$5,0)))),SUMPRODUCT(($B41='Landbrugsareal - resultat'!$B$33:$B$46)*(INDEX('Landbrugsareal - resultat'!$I$33:$K$46,,MATCH($D41,'Landbrugsareal - resultat'!$I$5:$K$5,0)))))),IF(I$2=2019,SUMPRODUCT(($B41='Landbrugsareal - resultat'!$B$33:$B$46)*(INDEX('Landbrugsareal - resultat'!$L$33:$N$46,,MATCH($D41,'Landbrugsareal - resultat'!$L$5:$N$5,0)))),IF(I$2=2030,SUMPRODUCT(($B41='Landbrugsareal - resultat'!$B$33:$B$46)*(INDEX('Landbrugsareal - resultat'!$O$33:$Q$46,,MATCH($D41,'Landbrugsareal - resultat'!$O$5:$Q$5,0)))),SUMPRODUCT(($B41='Landbrugsareal - resultat'!$B$33:$B$46)*(INDEX('Landbrugsareal - resultat'!$R$33:$T$46,,MATCH($D41,'Landbrugsareal - resultat'!$R$5:$T$5,0))))))))</f>
        <v>2208.533694659091</v>
      </c>
    </row>
    <row r="42" spans="1:9" x14ac:dyDescent="0.25">
      <c r="A42" t="s">
        <v>23</v>
      </c>
      <c r="B42" s="1" t="str">
        <f>[1]Afgrødefordeling!$C$13</f>
        <v>Juletræer</v>
      </c>
      <c r="C42" t="s">
        <v>7</v>
      </c>
      <c r="D42" t="str">
        <f t="shared" si="3"/>
        <v>OC12</v>
      </c>
      <c r="F42" t="str">
        <f t="shared" si="1"/>
        <v>Areal-juletræer</v>
      </c>
      <c r="G42" s="96" cm="1">
        <f t="array" ref="G42">IF($A42="Vestdanmark",IF($C42="Konventionel",IF(G$2=2019,SUMPRODUCT(($B42='Landbrugsareal - resultat'!$B$6:$B$19)*(INDEX('Landbrugsareal - resultat'!$C$6:$E$19,,MATCH($D42,'Landbrugsareal - resultat'!$C$5:$E$5,0)))),IF(G$2=2030,SUMPRODUCT(($B42='Landbrugsareal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resultat'!$I$5:$K$5,0)))))),IF(G$2=2019,SUMPRODUCT(($B42='Landbrugsareal - resultat'!$B$6:$B$19)*(INDEX('Landbrugsareal - resultat'!$L$6:$N$19,,MATCH($D42,'Landbrugsareal - resultat'!$L$5:$N$5,0)))),IF(G$2=2030,SUMPRODUCT(($B42='Landbrugsareal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resultat'!$R$5:$T$5,0))))))),IF($C42="Konventionel",IF(G$2=2019,SUMPRODUCT((B42='Landbrugsareal - resultat'!$B$33:$B$46)*(INDEX('Landbrugsareal - resultat'!$C$33:$E$46,,MATCH($D42,'Landbrugsareal - resultat'!$C$5:$E$5,0)))),IF(G$2=2030,SUMPRODUCT(($B42='Landbrugsareal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resultat'!$I$5:$K$5,0)))))),IF(G$2=2019,SUMPRODUCT(($B42='Landbrugsareal - resultat'!$B$33:$B$46)*(INDEX('Landbrugsareal - resultat'!$L$33:$N$46,,MATCH($D42,'Landbrugsareal - resultat'!$L$5:$N$5,0)))),IF(G$2=2030,SUMPRODUCT(($B42='Landbrugsareal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233.9909744838869</v>
      </c>
      <c r="H42" s="96" cm="1">
        <f t="array" ref="H42">IF($A42="Vestdanmark",IF($C42="Konventionel",IF(H$2=2019,SUMPRODUCT(($B42='Landbrugsareal - resultat'!$B$6:$B$19)*(INDEX('Landbrugsareal - resultat'!$C$6:$E$19,,MATCH($D42,'Landbrugsareal - resultat'!$C$5:$E$5,0)))),IF(H$2=2030,SUMPRODUCT(($B42='Landbrugsareal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resultat'!$I$5:$K$5,0)))))),IF(H$2=2019,SUMPRODUCT(($B42='Landbrugsareal - resultat'!$B$6:$B$19)*(INDEX('Landbrugsareal - resultat'!$L$6:$N$19,,MATCH($D42,'Landbrugsareal - resultat'!$L$5:$N$5,0)))),IF(H$2=2030,SUMPRODUCT(($B42='Landbrugsareal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resultat'!$R$5:$T$5,0))))))),IF($C42="Konventionel",IF(H$2=2019,SUMPRODUCT(($B42='Landbrugsareal - resultat'!$B$33:$B$46)*(INDEX('Landbrugsareal - resultat'!$C$33:$E$46,,MATCH($D42,'Landbrugsareal - resultat'!$C$5:$E$5,0)))),IF(H$2=2030,SUMPRODUCT(($B42='Landbrugsareal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resultat'!$I$5:$K$5,0)))))),IF(H$2=2019,SUMPRODUCT(($B42='Landbrugsareal - resultat'!$B$33:$B$46)*(INDEX('Landbrugsareal - resultat'!$L$33:$N$46,,MATCH($D42,'Landbrugsareal - resultat'!$L$5:$N$5,0)))),IF(H$2=2030,SUMPRODUCT(($B42='Landbrugsareal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206.39657978861854</v>
      </c>
      <c r="I42" s="96" cm="1">
        <f t="array" ref="I42">IF($A42="Vestdanmark",IF($C42="Konventionel",IF(I$2=2019,SUMPRODUCT(($B42='Landbrugsareal - resultat'!$B$6:$B$19)*(INDEX('Landbrugsareal - resultat'!$C$6:$E$19,,MATCH($D42,'Landbrugsareal - resultat'!$C$5:$E$5,0)))),IF(I$2=2030,SUMPRODUCT(($B42='Landbrugsareal - resultat'!$B$6:$B$19)*(INDEX('Landbrugsareal - resultat'!$F$6:$H$19,,MATCH($D42,'Landbrugsareal - resultat'!$F$5:$H$5,0)))),SUMPRODUCT(($B42='Landbrugsareal - resultat'!$B$6:$B$19)*(INDEX('Landbrugsareal - resultat'!$I$6:$K$19,,MATCH($D42,'Landbrugsareal - resultat'!$I$5:$K$5,0)))))),IF(I$2=2019,SUMPRODUCT(($B42='Landbrugsareal - resultat'!$B$6:$B$19)*(INDEX('Landbrugsareal - resultat'!$L$6:$N$19,,MATCH($D42,'Landbrugsareal - resultat'!$L$5:$N$5,0)))),IF(I$2=2030,SUMPRODUCT(($B42='Landbrugsareal - resultat'!$B$6:$B$19)*(INDEX('Landbrugsareal - resultat'!$O$6:$Q$19,,MATCH($D42,'Landbrugsareal - resultat'!$O$5:$Q$5,0)))),SUMPRODUCT(($B42='Landbrugsareal - resultat'!$B$6:$B$19)*(INDEX('Landbrugsareal - resultat'!$R$6:$T$19,,MATCH($D42,'Landbrugsareal - resultat'!$R$5:$T$5,0))))))),IF($C42="Konventionel",IF(I$2=2019,SUMPRODUCT((C42='Landbrugsareal - resultat'!$B$33:$B$46)*(INDEX('Landbrugsareal - resultat'!$C$33:$E$46,,MATCH($D42,'Landbrugsareal - resultat'!$C$5:$E$5,0)))),IF(I$2=2030,SUMPRODUCT(($B42='Landbrugsareal - resultat'!$B$33:$B$46)*(INDEX('Landbrugsareal - resultat'!$F$33:$H$46,,MATCH($D42,'Landbrugsareal - resultat'!$F$5:$H$5,0)))),SUMPRODUCT(($B42='Landbrugsareal - resultat'!$B$33:$B$46)*(INDEX('Landbrugsareal - resultat'!$I$33:$K$46,,MATCH($D42,'Landbrugsareal - resultat'!$I$5:$K$5,0)))))),IF(I$2=2019,SUMPRODUCT(($B42='Landbrugsareal - resultat'!$B$33:$B$46)*(INDEX('Landbrugsareal - resultat'!$L$33:$N$46,,MATCH($D42,'Landbrugsareal - resultat'!$L$5:$N$5,0)))),IF(I$2=2030,SUMPRODUCT(($B42='Landbrugsareal - resultat'!$B$33:$B$46)*(INDEX('Landbrugsareal - resultat'!$O$33:$Q$46,,MATCH($D42,'Landbrugsareal - resultat'!$O$5:$Q$5,0)))),SUMPRODUCT(($B42='Landbrugsareal - resultat'!$B$33:$B$46)*(INDEX('Landbrugsareal - resultat'!$R$33:$T$46,,MATCH($D42,'Landbrugsareal - resultat'!$R$5:$T$5,0))))))))</f>
        <v>196.85222927816218</v>
      </c>
    </row>
    <row r="43" spans="1:9" x14ac:dyDescent="0.25">
      <c r="A43" t="s">
        <v>23</v>
      </c>
      <c r="B43" s="1" t="str">
        <f>[1]Afgrødefordeling!$C$14</f>
        <v>Pil &amp; poppel</v>
      </c>
      <c r="C43" t="s">
        <v>7</v>
      </c>
      <c r="D43" t="str">
        <f t="shared" si="3"/>
        <v>OC12</v>
      </c>
      <c r="F43" t="str">
        <f t="shared" si="1"/>
        <v>Areal-pil-poppel</v>
      </c>
      <c r="G43" s="96" cm="1">
        <f t="array" ref="G43">IF($A43="Vestdanmark",IF($C43="Konventionel",IF(G$2=2019,SUMPRODUCT(($B43='Landbrugsareal - resultat'!$B$6:$B$19)*(INDEX('Landbrugsareal - resultat'!$C$6:$E$19,,MATCH($D43,'Landbrugsareal - resultat'!$C$5:$E$5,0)))),IF(G$2=2030,SUMPRODUCT(($B43='Landbrugsareal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resultat'!$I$5:$K$5,0)))))),IF(G$2=2019,SUMPRODUCT(($B43='Landbrugsareal - resultat'!$B$6:$B$19)*(INDEX('Landbrugsareal - resultat'!$L$6:$N$19,,MATCH($D43,'Landbrugsareal - resultat'!$L$5:$N$5,0)))),IF(G$2=2030,SUMPRODUCT(($B43='Landbrugsareal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resultat'!$R$5:$T$5,0))))))),IF($C43="Konventionel",IF(G$2=2019,SUMPRODUCT((B43='Landbrugsareal - resultat'!$B$33:$B$46)*(INDEX('Landbrugsareal - resultat'!$C$33:$E$46,,MATCH($D43,'Landbrugsareal - resultat'!$C$5:$E$5,0)))),IF(G$2=2030,SUMPRODUCT(($B43='Landbrugsareal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resultat'!$I$5:$K$5,0)))))),IF(G$2=2019,SUMPRODUCT(($B43='Landbrugsareal - resultat'!$B$33:$B$46)*(INDEX('Landbrugsareal - resultat'!$L$33:$N$46,,MATCH($D43,'Landbrugsareal - resultat'!$L$5:$N$5,0)))),IF(G$2=2030,SUMPRODUCT(($B43='Landbrugsareal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552.34127487506601</v>
      </c>
      <c r="H43" s="96" cm="1">
        <f t="array" ref="H43">IF($A43="Vestdanmark",IF($C43="Konventionel",IF(H$2=2019,SUMPRODUCT(($B43='Landbrugsareal - resultat'!$B$6:$B$19)*(INDEX('Landbrugsareal - resultat'!$C$6:$E$19,,MATCH($D43,'Landbrugsareal - resultat'!$C$5:$E$5,0)))),IF(H$2=2030,SUMPRODUCT(($B43='Landbrugsareal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resultat'!$I$5:$K$5,0)))))),IF(H$2=2019,SUMPRODUCT(($B43='Landbrugsareal - resultat'!$B$6:$B$19)*(INDEX('Landbrugsareal - resultat'!$L$6:$N$19,,MATCH($D43,'Landbrugsareal - resultat'!$L$5:$N$5,0)))),IF(H$2=2030,SUMPRODUCT(($B43='Landbrugsareal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resultat'!$R$5:$T$5,0))))))),IF($C43="Konventionel",IF(H$2=2019,SUMPRODUCT(($B43='Landbrugsareal - resultat'!$B$33:$B$46)*(INDEX('Landbrugsareal - resultat'!$C$33:$E$46,,MATCH($D43,'Landbrugsareal - resultat'!$C$5:$E$5,0)))),IF(H$2=2030,SUMPRODUCT(($B43='Landbrugsareal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resultat'!$I$5:$K$5,0)))))),IF(H$2=2019,SUMPRODUCT(($B43='Landbrugsareal - resultat'!$B$33:$B$46)*(INDEX('Landbrugsareal - resultat'!$L$33:$N$46,,MATCH($D43,'Landbrugsareal - resultat'!$L$5:$N$5,0)))),IF(H$2=2030,SUMPRODUCT(($B43='Landbrugsareal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487.2040481978043</v>
      </c>
      <c r="I43" s="96" cm="1">
        <f t="array" ref="I43">IF($A43="Vestdanmark",IF($C43="Konventionel",IF(I$2=2019,SUMPRODUCT(($B43='Landbrugsareal - resultat'!$B$6:$B$19)*(INDEX('Landbrugsareal - resultat'!$C$6:$E$19,,MATCH($D43,'Landbrugsareal - resultat'!$C$5:$E$5,0)))),IF(I$2=2030,SUMPRODUCT(($B43='Landbrugsareal - resultat'!$B$6:$B$19)*(INDEX('Landbrugsareal - resultat'!$F$6:$H$19,,MATCH($D43,'Landbrugsareal - resultat'!$F$5:$H$5,0)))),SUMPRODUCT(($B43='Landbrugsareal - resultat'!$B$6:$B$19)*(INDEX('Landbrugsareal - resultat'!$I$6:$K$19,,MATCH($D43,'Landbrugsareal - resultat'!$I$5:$K$5,0)))))),IF(I$2=2019,SUMPRODUCT(($B43='Landbrugsareal - resultat'!$B$6:$B$19)*(INDEX('Landbrugsareal - resultat'!$L$6:$N$19,,MATCH($D43,'Landbrugsareal - resultat'!$L$5:$N$5,0)))),IF(I$2=2030,SUMPRODUCT(($B43='Landbrugsareal - resultat'!$B$6:$B$19)*(INDEX('Landbrugsareal - resultat'!$O$6:$Q$19,,MATCH($D43,'Landbrugsareal - resultat'!$O$5:$Q$5,0)))),SUMPRODUCT(($B43='Landbrugsareal - resultat'!$B$6:$B$19)*(INDEX('Landbrugsareal - resultat'!$R$6:$T$19,,MATCH($D43,'Landbrugsareal - resultat'!$R$5:$T$5,0))))))),IF($C43="Konventionel",IF(I$2=2019,SUMPRODUCT((C43='Landbrugsareal - resultat'!$B$33:$B$46)*(INDEX('Landbrugsareal - resultat'!$C$33:$E$46,,MATCH($D43,'Landbrugsareal - resultat'!$C$5:$E$5,0)))),IF(I$2=2030,SUMPRODUCT(($B43='Landbrugsareal - resultat'!$B$33:$B$46)*(INDEX('Landbrugsareal - resultat'!$F$33:$H$46,,MATCH($D43,'Landbrugsareal - resultat'!$F$5:$H$5,0)))),SUMPRODUCT(($B43='Landbrugsareal - resultat'!$B$33:$B$46)*(INDEX('Landbrugsareal - resultat'!$I$33:$K$46,,MATCH($D43,'Landbrugsareal - resultat'!$I$5:$K$5,0)))))),IF(I$2=2019,SUMPRODUCT(($B43='Landbrugsareal - resultat'!$B$33:$B$46)*(INDEX('Landbrugsareal - resultat'!$L$33:$N$46,,MATCH($D43,'Landbrugsareal - resultat'!$L$5:$N$5,0)))),IF(I$2=2030,SUMPRODUCT(($B43='Landbrugsareal - resultat'!$B$33:$B$46)*(INDEX('Landbrugsareal - resultat'!$O$33:$Q$46,,MATCH($D43,'Landbrugsareal - resultat'!$O$5:$Q$5,0)))),SUMPRODUCT(($B43='Landbrugsareal - resultat'!$B$33:$B$46)*(INDEX('Landbrugsareal - resultat'!$R$33:$T$46,,MATCH($D43,'Landbrugsareal - resultat'!$R$5:$T$5,0))))))))</f>
        <v>464.67438122911972</v>
      </c>
    </row>
    <row r="44" spans="1:9" x14ac:dyDescent="0.25">
      <c r="A44" t="s">
        <v>23</v>
      </c>
      <c r="B44" s="1" t="str">
        <f>[1]Afgrødefordeling!$C$15</f>
        <v>Permanent græs</v>
      </c>
      <c r="C44" t="s">
        <v>7</v>
      </c>
      <c r="D44" t="str">
        <f t="shared" si="3"/>
        <v>OC12</v>
      </c>
      <c r="F44" t="str">
        <f t="shared" si="1"/>
        <v>Areal-permanent græs</v>
      </c>
      <c r="G44" s="96" cm="1">
        <f t="array" ref="G44">IF($A44="Vestdanmark",IF($C44="Konventionel",IF(G$2=2019,SUMPRODUCT(($B44='Landbrugsareal - resultat'!$B$6:$B$19)*(INDEX('Landbrugsareal - resultat'!$C$6:$E$19,,MATCH($D44,'Landbrugsareal - resultat'!$C$5:$E$5,0)))),IF(G$2=2030,SUMPRODUCT(($B44='Landbrugsareal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resultat'!$I$5:$K$5,0)))))),IF(G$2=2019,SUMPRODUCT(($B44='Landbrugsareal - resultat'!$B$6:$B$19)*(INDEX('Landbrugsareal - resultat'!$L$6:$N$19,,MATCH($D44,'Landbrugsareal - resultat'!$L$5:$N$5,0)))),IF(G$2=2030,SUMPRODUCT(($B44='Landbrugsareal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resultat'!$R$5:$T$5,0))))))),IF($C44="Konventionel",IF(G$2=2019,SUMPRODUCT((B44='Landbrugsareal - resultat'!$B$33:$B$46)*(INDEX('Landbrugsareal - resultat'!$C$33:$E$46,,MATCH($D44,'Landbrugsareal - resultat'!$C$5:$E$5,0)))),IF(G$2=2030,SUMPRODUCT(($B44='Landbrugsareal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resultat'!$I$5:$K$5,0)))))),IF(G$2=2019,SUMPRODUCT(($B44='Landbrugsareal - resultat'!$B$33:$B$46)*(INDEX('Landbrugsareal - resultat'!$L$33:$N$46,,MATCH($D44,'Landbrugsareal - resultat'!$L$5:$N$5,0)))),IF(G$2=2030,SUMPRODUCT(($B44='Landbrugsareal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20428.487949592105</v>
      </c>
      <c r="H44" s="96" cm="1">
        <f t="array" ref="H44">IF($A44="Vestdanmark",IF($C44="Konventionel",IF(H$2=2019,SUMPRODUCT(($B44='Landbrugsareal - resultat'!$B$6:$B$19)*(INDEX('Landbrugsareal - resultat'!$C$6:$E$19,,MATCH($D44,'Landbrugsareal - resultat'!$C$5:$E$5,0)))),IF(H$2=2030,SUMPRODUCT(($B44='Landbrugsareal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resultat'!$I$5:$K$5,0)))))),IF(H$2=2019,SUMPRODUCT(($B44='Landbrugsareal - resultat'!$B$6:$B$19)*(INDEX('Landbrugsareal - resultat'!$L$6:$N$19,,MATCH($D44,'Landbrugsareal - resultat'!$L$5:$N$5,0)))),IF(H$2=2030,SUMPRODUCT(($B44='Landbrugsareal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resultat'!$R$5:$T$5,0))))))),IF($C44="Konventionel",IF(H$2=2019,SUMPRODUCT(($B44='Landbrugsareal - resultat'!$B$33:$B$46)*(INDEX('Landbrugsareal - resultat'!$C$33:$E$46,,MATCH($D44,'Landbrugsareal - resultat'!$C$5:$E$5,0)))),IF(H$2=2030,SUMPRODUCT(($B44='Landbrugsareal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resultat'!$I$5:$K$5,0)))))),IF(H$2=2019,SUMPRODUCT(($B44='Landbrugsareal - resultat'!$B$33:$B$46)*(INDEX('Landbrugsareal - resultat'!$L$33:$N$46,,MATCH($D44,'Landbrugsareal - resultat'!$L$5:$N$5,0)))),IF(H$2=2030,SUMPRODUCT(($B44='Landbrugsareal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18019.370415242949</v>
      </c>
      <c r="I44" s="96" cm="1">
        <f t="array" ref="I44">IF($A44="Vestdanmark",IF($C44="Konventionel",IF(I$2=2019,SUMPRODUCT(($B44='Landbrugsareal - resultat'!$B$6:$B$19)*(INDEX('Landbrugsareal - resultat'!$C$6:$E$19,,MATCH($D44,'Landbrugsareal - resultat'!$C$5:$E$5,0)))),IF(I$2=2030,SUMPRODUCT(($B44='Landbrugsareal - resultat'!$B$6:$B$19)*(INDEX('Landbrugsareal - resultat'!$F$6:$H$19,,MATCH($D44,'Landbrugsareal - resultat'!$F$5:$H$5,0)))),SUMPRODUCT(($B44='Landbrugsareal - resultat'!$B$6:$B$19)*(INDEX('Landbrugsareal - resultat'!$I$6:$K$19,,MATCH($D44,'Landbrugsareal - resultat'!$I$5:$K$5,0)))))),IF(I$2=2019,SUMPRODUCT(($B44='Landbrugsareal - resultat'!$B$6:$B$19)*(INDEX('Landbrugsareal - resultat'!$L$6:$N$19,,MATCH($D44,'Landbrugsareal - resultat'!$L$5:$N$5,0)))),IF(I$2=2030,SUMPRODUCT(($B44='Landbrugsareal - resultat'!$B$6:$B$19)*(INDEX('Landbrugsareal - resultat'!$O$6:$Q$19,,MATCH($D44,'Landbrugsareal - resultat'!$O$5:$Q$5,0)))),SUMPRODUCT(($B44='Landbrugsareal - resultat'!$B$6:$B$19)*(INDEX('Landbrugsareal - resultat'!$R$6:$T$19,,MATCH($D44,'Landbrugsareal - resultat'!$R$5:$T$5,0))))))),IF($C44="Konventionel",IF(I$2=2019,SUMPRODUCT((C44='Landbrugsareal - resultat'!$B$33:$B$46)*(INDEX('Landbrugsareal - resultat'!$C$33:$E$46,,MATCH($D44,'Landbrugsareal - resultat'!$C$5:$E$5,0)))),IF(I$2=2030,SUMPRODUCT(($B44='Landbrugsareal - resultat'!$B$33:$B$46)*(INDEX('Landbrugsareal - resultat'!$F$33:$H$46,,MATCH($D44,'Landbrugsareal - resultat'!$F$5:$H$5,0)))),SUMPRODUCT(($B44='Landbrugsareal - resultat'!$B$33:$B$46)*(INDEX('Landbrugsareal - resultat'!$I$33:$K$46,,MATCH($D44,'Landbrugsareal - resultat'!$I$5:$K$5,0)))))),IF(I$2=2019,SUMPRODUCT(($B44='Landbrugsareal - resultat'!$B$33:$B$46)*(INDEX('Landbrugsareal - resultat'!$L$33:$N$46,,MATCH($D44,'Landbrugsareal - resultat'!$L$5:$N$5,0)))),IF(I$2=2030,SUMPRODUCT(($B44='Landbrugsareal - resultat'!$B$33:$B$46)*(INDEX('Landbrugsareal - resultat'!$O$33:$Q$46,,MATCH($D44,'Landbrugsareal - resultat'!$O$5:$Q$5,0)))),SUMPRODUCT(($B44='Landbrugsareal - resultat'!$B$33:$B$46)*(INDEX('Landbrugsareal - resultat'!$R$33:$T$46,,MATCH($D44,'Landbrugsareal - resultat'!$R$5:$T$5,0))))))))</f>
        <v>17186.104731301079</v>
      </c>
    </row>
    <row r="45" spans="1:9" x14ac:dyDescent="0.25">
      <c r="A45" t="s">
        <v>23</v>
      </c>
      <c r="B45" s="1" t="str">
        <f>[1]Afgrødefordeling!$C$2</f>
        <v>Korn</v>
      </c>
      <c r="C45" t="s">
        <v>8</v>
      </c>
      <c r="D45" t="str">
        <f t="shared" ref="D45:D58" si="4">Jordbund1</f>
        <v>JB1-10</v>
      </c>
      <c r="F45" t="str">
        <f t="shared" si="1"/>
        <v>Areal-korn</v>
      </c>
      <c r="G45" s="96" cm="1">
        <f t="array" ref="G45">IF($A45="Vestdanmark",IF($C45="Konventionel",IF(G$2=2019,SUMPRODUCT(($B45='Landbrugsareal - resultat'!$B$6:$B$19)*(INDEX('Landbrugsareal - resultat'!$C$6:$E$19,,MATCH($D45,'Landbrugsareal - resultat'!$C$5:$E$5,0)))),IF(G$2=2030,SUMPRODUCT(($B45='Landbrugsareal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resultat'!$I$5:$K$5,0)))))),IF(G$2=2019,SUMPRODUCT(($B45='Landbrugsareal - resultat'!$B$6:$B$19)*(INDEX('Landbrugsareal - resultat'!$L$6:$N$19,,MATCH($D45,'Landbrugsareal - resultat'!$L$5:$N$5,0)))),IF(G$2=2030,SUMPRODUCT(($B45='Landbrugsareal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resultat'!$R$5:$T$5,0))))))),IF($C45="Konventionel",IF(G$2=2019,SUMPRODUCT((B45='Landbrugsareal - resultat'!$B$33:$B$46)*(INDEX('Landbrugsareal - resultat'!$C$33:$E$46,,MATCH($D45,'Landbrugsareal - resultat'!$C$5:$E$5,0)))),IF(G$2=2030,SUMPRODUCT(($B45='Landbrugsareal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resultat'!$I$5:$K$5,0)))))),IF(G$2=2019,SUMPRODUCT(($B45='Landbrugsareal - resultat'!$B$33:$B$46)*(INDEX('Landbrugsareal - resultat'!$L$33:$N$46,,MATCH($D45,'Landbrugsareal - resultat'!$L$5:$N$5,0)))),IF(G$2=2030,SUMPRODUCT(($B45='Landbrugsareal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109452.53235846422</v>
      </c>
      <c r="H45" s="96" cm="1">
        <f t="array" ref="H45">IF($A45="Vestdanmark",IF($C45="Konventionel",IF(H$2=2019,SUMPRODUCT(($B45='Landbrugsareal - resultat'!$B$6:$B$19)*(INDEX('Landbrugsareal - resultat'!$C$6:$E$19,,MATCH($D45,'Landbrugsareal - resultat'!$C$5:$E$5,0)))),IF(H$2=2030,SUMPRODUCT(($B45='Landbrugsareal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resultat'!$I$5:$K$5,0)))))),IF(H$2=2019,SUMPRODUCT(($B45='Landbrugsareal - resultat'!$B$6:$B$19)*(INDEX('Landbrugsareal - resultat'!$L$6:$N$19,,MATCH($D45,'Landbrugsareal - resultat'!$L$5:$N$5,0)))),IF(H$2=2030,SUMPRODUCT(($B45='Landbrugsareal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resultat'!$R$5:$T$5,0))))))),IF($C45="Konventionel",IF(H$2=2019,SUMPRODUCT(($B45='Landbrugsareal - resultat'!$B$33:$B$46)*(INDEX('Landbrugsareal - resultat'!$C$33:$E$46,,MATCH($D45,'Landbrugsareal - resultat'!$C$5:$E$5,0)))),IF(H$2=2030,SUMPRODUCT(($B45='Landbrugsareal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resultat'!$I$5:$K$5,0)))))),IF(H$2=2019,SUMPRODUCT(($B45='Landbrugsareal - resultat'!$B$33:$B$46)*(INDEX('Landbrugsareal - resultat'!$L$33:$N$46,,MATCH($D45,'Landbrugsareal - resultat'!$L$5:$N$5,0)))),IF(H$2=2030,SUMPRODUCT(($B45='Landbrugsareal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129063.67975940519</v>
      </c>
      <c r="I45" s="96" cm="1">
        <f t="array" ref="I45">IF($A45="Vestdanmark",IF($C45="Konventionel",IF(I$2=2019,SUMPRODUCT(($B45='Landbrugsareal - resultat'!$B$6:$B$19)*(INDEX('Landbrugsareal - resultat'!$C$6:$E$19,,MATCH($D45,'Landbrugsareal - resultat'!$C$5:$E$5,0)))),IF(I$2=2030,SUMPRODUCT(($B45='Landbrugsareal - resultat'!$B$6:$B$19)*(INDEX('Landbrugsareal - resultat'!$F$6:$H$19,,MATCH($D45,'Landbrugsareal - resultat'!$F$5:$H$5,0)))),SUMPRODUCT(($B45='Landbrugsareal - resultat'!$B$6:$B$19)*(INDEX('Landbrugsareal - resultat'!$I$6:$K$19,,MATCH($D45,'Landbrugsareal - resultat'!$I$5:$K$5,0)))))),IF(I$2=2019,SUMPRODUCT(($B45='Landbrugsareal - resultat'!$B$6:$B$19)*(INDEX('Landbrugsareal - resultat'!$L$6:$N$19,,MATCH($D45,'Landbrugsareal - resultat'!$L$5:$N$5,0)))),IF(I$2=2030,SUMPRODUCT(($B45='Landbrugsareal - resultat'!$B$6:$B$19)*(INDEX('Landbrugsareal - resultat'!$O$6:$Q$19,,MATCH($D45,'Landbrugsareal - resultat'!$O$5:$Q$5,0)))),SUMPRODUCT(($B45='Landbrugsareal - resultat'!$B$6:$B$19)*(INDEX('Landbrugsareal - resultat'!$R$6:$T$19,,MATCH($D45,'Landbrugsareal - resultat'!$R$5:$T$5,0))))))),IF($C45="Konventionel",IF(I$2=2019,SUMPRODUCT((C45='Landbrugsareal - resultat'!$B$33:$B$46)*(INDEX('Landbrugsareal - resultat'!$C$33:$E$46,,MATCH($D45,'Landbrugsareal - resultat'!$C$5:$E$5,0)))),IF(I$2=2030,SUMPRODUCT(($B45='Landbrugsareal - resultat'!$B$33:$B$46)*(INDEX('Landbrugsareal - resultat'!$F$33:$H$46,,MATCH($D45,'Landbrugsareal - resultat'!$F$5:$H$5,0)))),SUMPRODUCT(($B45='Landbrugsareal - resultat'!$B$33:$B$46)*(INDEX('Landbrugsareal - resultat'!$I$33:$K$46,,MATCH($D45,'Landbrugsareal - resultat'!$I$5:$K$5,0)))))),IF(I$2=2019,SUMPRODUCT(($B45='Landbrugsareal - resultat'!$B$33:$B$46)*(INDEX('Landbrugsareal - resultat'!$L$33:$N$46,,MATCH($D45,'Landbrugsareal - resultat'!$L$5:$N$5,0)))),IF(I$2=2030,SUMPRODUCT(($B45='Landbrugsareal - resultat'!$B$33:$B$46)*(INDEX('Landbrugsareal - resultat'!$O$33:$Q$46,,MATCH($D45,'Landbrugsareal - resultat'!$O$5:$Q$5,0)))),SUMPRODUCT(($B45='Landbrugsareal - resultat'!$B$33:$B$46)*(INDEX('Landbrugsareal - resultat'!$R$33:$T$46,,MATCH($D45,'Landbrugsareal - resultat'!$R$5:$T$5,0))))))))</f>
        <v>164298.16404405597</v>
      </c>
    </row>
    <row r="46" spans="1:9" x14ac:dyDescent="0.25">
      <c r="A46" t="s">
        <v>23</v>
      </c>
      <c r="B46" s="1" t="str">
        <f>[1]Afgrødefordeling!$C$3</f>
        <v>Bælgsæd</v>
      </c>
      <c r="C46" t="s">
        <v>8</v>
      </c>
      <c r="D46" t="str">
        <f t="shared" si="4"/>
        <v>JB1-10</v>
      </c>
      <c r="F46" t="str">
        <f t="shared" si="1"/>
        <v>Areal-bælgsæd</v>
      </c>
      <c r="G46" s="96" cm="1">
        <f t="array" ref="G46">IF($A46="Vestdanmark",IF($C46="Konventionel",IF(G$2=2019,SUMPRODUCT(($B46='Landbrugsareal - resultat'!$B$6:$B$19)*(INDEX('Landbrugsareal - resultat'!$C$6:$E$19,,MATCH($D46,'Landbrugsareal - resultat'!$C$5:$E$5,0)))),IF(G$2=2030,SUMPRODUCT(($B46='Landbrugsareal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resultat'!$I$5:$K$5,0)))))),IF(G$2=2019,SUMPRODUCT(($B46='Landbrugsareal - resultat'!$B$6:$B$19)*(INDEX('Landbrugsareal - resultat'!$L$6:$N$19,,MATCH($D46,'Landbrugsareal - resultat'!$L$5:$N$5,0)))),IF(G$2=2030,SUMPRODUCT(($B46='Landbrugsareal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resultat'!$R$5:$T$5,0))))))),IF($C46="Konventionel",IF(G$2=2019,SUMPRODUCT((B46='Landbrugsareal - resultat'!$B$33:$B$46)*(INDEX('Landbrugsareal - resultat'!$C$33:$E$46,,MATCH($D46,'Landbrugsareal - resultat'!$C$5:$E$5,0)))),IF(G$2=2030,SUMPRODUCT(($B46='Landbrugsareal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resultat'!$I$5:$K$5,0)))))),IF(G$2=2019,SUMPRODUCT(($B46='Landbrugsareal - resultat'!$B$33:$B$46)*(INDEX('Landbrugsareal - resultat'!$L$33:$N$46,,MATCH($D46,'Landbrugsareal - resultat'!$L$5:$N$5,0)))),IF(G$2=2030,SUMPRODUCT(($B46='Landbrugsareal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7562.2413137472431</v>
      </c>
      <c r="H46" s="96" cm="1">
        <f t="array" ref="H46">IF($A46="Vestdanmark",IF($C46="Konventionel",IF(H$2=2019,SUMPRODUCT(($B46='Landbrugsareal - resultat'!$B$6:$B$19)*(INDEX('Landbrugsareal - resultat'!$C$6:$E$19,,MATCH($D46,'Landbrugsareal - resultat'!$C$5:$E$5,0)))),IF(H$2=2030,SUMPRODUCT(($B46='Landbrugsareal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resultat'!$I$5:$K$5,0)))))),IF(H$2=2019,SUMPRODUCT(($B46='Landbrugsareal - resultat'!$B$6:$B$19)*(INDEX('Landbrugsareal - resultat'!$L$6:$N$19,,MATCH($D46,'Landbrugsareal - resultat'!$L$5:$N$5,0)))),IF(H$2=2030,SUMPRODUCT(($B46='Landbrugsareal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resultat'!$R$5:$T$5,0))))))),IF($C46="Konventionel",IF(H$2=2019,SUMPRODUCT(($B46='Landbrugsareal - resultat'!$B$33:$B$46)*(INDEX('Landbrugsareal - resultat'!$C$33:$E$46,,MATCH($D46,'Landbrugsareal - resultat'!$C$5:$E$5,0)))),IF(H$2=2030,SUMPRODUCT(($B46='Landbrugsareal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resultat'!$I$5:$K$5,0)))))),IF(H$2=2019,SUMPRODUCT(($B46='Landbrugsareal - resultat'!$B$33:$B$46)*(INDEX('Landbrugsareal - resultat'!$L$33:$N$46,,MATCH($D46,'Landbrugsareal - resultat'!$L$5:$N$5,0)))),IF(H$2=2030,SUMPRODUCT(($B46='Landbrugsareal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8917.2052043923359</v>
      </c>
      <c r="I46" s="96" cm="1">
        <f t="array" ref="I46">IF($A46="Vestdanmark",IF($C46="Konventionel",IF(I$2=2019,SUMPRODUCT(($B46='Landbrugsareal - resultat'!$B$6:$B$19)*(INDEX('Landbrugsareal - resultat'!$C$6:$E$19,,MATCH($D46,'Landbrugsareal - resultat'!$C$5:$E$5,0)))),IF(I$2=2030,SUMPRODUCT(($B46='Landbrugsareal - resultat'!$B$6:$B$19)*(INDEX('Landbrugsareal - resultat'!$F$6:$H$19,,MATCH($D46,'Landbrugsareal - resultat'!$F$5:$H$5,0)))),SUMPRODUCT(($B46='Landbrugsareal - resultat'!$B$6:$B$19)*(INDEX('Landbrugsareal - resultat'!$I$6:$K$19,,MATCH($D46,'Landbrugsareal - resultat'!$I$5:$K$5,0)))))),IF(I$2=2019,SUMPRODUCT(($B46='Landbrugsareal - resultat'!$B$6:$B$19)*(INDEX('Landbrugsareal - resultat'!$L$6:$N$19,,MATCH($D46,'Landbrugsareal - resultat'!$L$5:$N$5,0)))),IF(I$2=2030,SUMPRODUCT(($B46='Landbrugsareal - resultat'!$B$6:$B$19)*(INDEX('Landbrugsareal - resultat'!$O$6:$Q$19,,MATCH($D46,'Landbrugsareal - resultat'!$O$5:$Q$5,0)))),SUMPRODUCT(($B46='Landbrugsareal - resultat'!$B$6:$B$19)*(INDEX('Landbrugsareal - resultat'!$R$6:$T$19,,MATCH($D46,'Landbrugsareal - resultat'!$R$5:$T$5,0))))))),IF($C46="Konventionel",IF(I$2=2019,SUMPRODUCT((C46='Landbrugsareal - resultat'!$B$33:$B$46)*(INDEX('Landbrugsareal - resultat'!$C$33:$E$46,,MATCH($D46,'Landbrugsareal - resultat'!$C$5:$E$5,0)))),IF(I$2=2030,SUMPRODUCT(($B46='Landbrugsareal - resultat'!$B$33:$B$46)*(INDEX('Landbrugsareal - resultat'!$F$33:$H$46,,MATCH($D46,'Landbrugsareal - resultat'!$F$5:$H$5,0)))),SUMPRODUCT(($B46='Landbrugsareal - resultat'!$B$33:$B$46)*(INDEX('Landbrugsareal - resultat'!$I$33:$K$46,,MATCH($D46,'Landbrugsareal - resultat'!$I$5:$K$5,0)))))),IF(I$2=2019,SUMPRODUCT(($B46='Landbrugsareal - resultat'!$B$33:$B$46)*(INDEX('Landbrugsareal - resultat'!$L$33:$N$46,,MATCH($D46,'Landbrugsareal - resultat'!$L$5:$N$5,0)))),IF(I$2=2030,SUMPRODUCT(($B46='Landbrugsareal - resultat'!$B$33:$B$46)*(INDEX('Landbrugsareal - resultat'!$O$33:$Q$46,,MATCH($D46,'Landbrugsareal - resultat'!$O$5:$Q$5,0)))),SUMPRODUCT(($B46='Landbrugsareal - resultat'!$B$33:$B$46)*(INDEX('Landbrugsareal - resultat'!$R$33:$T$46,,MATCH($D46,'Landbrugsareal - resultat'!$R$5:$T$5,0))))))))</f>
        <v>11351.609114329452</v>
      </c>
    </row>
    <row r="47" spans="1:9" x14ac:dyDescent="0.25">
      <c r="A47" t="s">
        <v>23</v>
      </c>
      <c r="B47" s="1" t="str">
        <f>[1]Afgrødefordeling!$C$4</f>
        <v>Raps</v>
      </c>
      <c r="C47" t="s">
        <v>8</v>
      </c>
      <c r="D47" t="str">
        <f t="shared" si="4"/>
        <v>JB1-10</v>
      </c>
      <c r="F47" t="str">
        <f t="shared" si="1"/>
        <v>Areal-raps</v>
      </c>
      <c r="G47" s="96" cm="1">
        <f t="array" ref="G47">IF($A47="Vestdanmark",IF($C47="Konventionel",IF(G$2=2019,SUMPRODUCT(($B47='Landbrugsareal - resultat'!$B$6:$B$19)*(INDEX('Landbrugsareal - resultat'!$C$6:$E$19,,MATCH($D47,'Landbrugsareal - resultat'!$C$5:$E$5,0)))),IF(G$2=2030,SUMPRODUCT(($B47='Landbrugsareal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resultat'!$I$5:$K$5,0)))))),IF(G$2=2019,SUMPRODUCT(($B47='Landbrugsareal - resultat'!$B$6:$B$19)*(INDEX('Landbrugsareal - resultat'!$L$6:$N$19,,MATCH($D47,'Landbrugsareal - resultat'!$L$5:$N$5,0)))),IF(G$2=2030,SUMPRODUCT(($B47='Landbrugsareal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resultat'!$R$5:$T$5,0))))))),IF($C47="Konventionel",IF(G$2=2019,SUMPRODUCT((B47='Landbrugsareal - resultat'!$B$33:$B$46)*(INDEX('Landbrugsareal - resultat'!$C$33:$E$46,,MATCH($D47,'Landbrugsareal - resultat'!$C$5:$E$5,0)))),IF(G$2=2030,SUMPRODUCT(($B47='Landbrugsareal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resultat'!$I$5:$K$5,0)))))),IF(G$2=2019,SUMPRODUCT(($B47='Landbrugsareal - resultat'!$B$33:$B$46)*(INDEX('Landbrugsareal - resultat'!$L$33:$N$46,,MATCH($D47,'Landbrugsareal - resultat'!$L$5:$N$5,0)))),IF(G$2=2030,SUMPRODUCT(($B47='Landbrugsareal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12716.97615879156</v>
      </c>
      <c r="H47" s="96" cm="1">
        <f t="array" ref="H47">IF($A47="Vestdanmark",IF($C47="Konventionel",IF(H$2=2019,SUMPRODUCT(($B47='Landbrugsareal - resultat'!$B$6:$B$19)*(INDEX('Landbrugsareal - resultat'!$C$6:$E$19,,MATCH($D47,'Landbrugsareal - resultat'!$C$5:$E$5,0)))),IF(H$2=2030,SUMPRODUCT(($B47='Landbrugsareal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resultat'!$I$5:$K$5,0)))))),IF(H$2=2019,SUMPRODUCT(($B47='Landbrugsareal - resultat'!$B$6:$B$19)*(INDEX('Landbrugsareal - resultat'!$L$6:$N$19,,MATCH($D47,'Landbrugsareal - resultat'!$L$5:$N$5,0)))),IF(H$2=2030,SUMPRODUCT(($B47='Landbrugsareal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resultat'!$R$5:$T$5,0))))))),IF($C47="Konventionel",IF(H$2=2019,SUMPRODUCT(($B47='Landbrugsareal - resultat'!$B$33:$B$46)*(INDEX('Landbrugsareal - resultat'!$C$33:$E$46,,MATCH($D47,'Landbrugsareal - resultat'!$C$5:$E$5,0)))),IF(H$2=2030,SUMPRODUCT(($B47='Landbrugsareal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resultat'!$I$5:$K$5,0)))))),IF(H$2=2019,SUMPRODUCT(($B47='Landbrugsareal - resultat'!$B$33:$B$46)*(INDEX('Landbrugsareal - resultat'!$L$33:$N$46,,MATCH($D47,'Landbrugsareal - resultat'!$L$5:$N$5,0)))),IF(H$2=2030,SUMPRODUCT(($B47='Landbrugsareal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14995.539190367022</v>
      </c>
      <c r="I47" s="96" cm="1">
        <f t="array" ref="I47">IF($A47="Vestdanmark",IF($C47="Konventionel",IF(I$2=2019,SUMPRODUCT(($B47='Landbrugsareal - resultat'!$B$6:$B$19)*(INDEX('Landbrugsareal - resultat'!$C$6:$E$19,,MATCH($D47,'Landbrugsareal - resultat'!$C$5:$E$5,0)))),IF(I$2=2030,SUMPRODUCT(($B47='Landbrugsareal - resultat'!$B$6:$B$19)*(INDEX('Landbrugsareal - resultat'!$F$6:$H$19,,MATCH($D47,'Landbrugsareal - resultat'!$F$5:$H$5,0)))),SUMPRODUCT(($B47='Landbrugsareal - resultat'!$B$6:$B$19)*(INDEX('Landbrugsareal - resultat'!$I$6:$K$19,,MATCH($D47,'Landbrugsareal - resultat'!$I$5:$K$5,0)))))),IF(I$2=2019,SUMPRODUCT(($B47='Landbrugsareal - resultat'!$B$6:$B$19)*(INDEX('Landbrugsareal - resultat'!$L$6:$N$19,,MATCH($D47,'Landbrugsareal - resultat'!$L$5:$N$5,0)))),IF(I$2=2030,SUMPRODUCT(($B47='Landbrugsareal - resultat'!$B$6:$B$19)*(INDEX('Landbrugsareal - resultat'!$O$6:$Q$19,,MATCH($D47,'Landbrugsareal - resultat'!$O$5:$Q$5,0)))),SUMPRODUCT(($B47='Landbrugsareal - resultat'!$B$6:$B$19)*(INDEX('Landbrugsareal - resultat'!$R$6:$T$19,,MATCH($D47,'Landbrugsareal - resultat'!$R$5:$T$5,0))))))),IF($C47="Konventionel",IF(I$2=2019,SUMPRODUCT((C47='Landbrugsareal - resultat'!$B$33:$B$46)*(INDEX('Landbrugsareal - resultat'!$C$33:$E$46,,MATCH($D47,'Landbrugsareal - resultat'!$C$5:$E$5,0)))),IF(I$2=2030,SUMPRODUCT(($B47='Landbrugsareal - resultat'!$B$33:$B$46)*(INDEX('Landbrugsareal - resultat'!$F$33:$H$46,,MATCH($D47,'Landbrugsareal - resultat'!$F$5:$H$5,0)))),SUMPRODUCT(($B47='Landbrugsareal - resultat'!$B$33:$B$46)*(INDEX('Landbrugsareal - resultat'!$I$33:$K$46,,MATCH($D47,'Landbrugsareal - resultat'!$I$5:$K$5,0)))))),IF(I$2=2019,SUMPRODUCT(($B47='Landbrugsareal - resultat'!$B$33:$B$46)*(INDEX('Landbrugsareal - resultat'!$L$33:$N$46,,MATCH($D47,'Landbrugsareal - resultat'!$L$5:$N$5,0)))),IF(I$2=2030,SUMPRODUCT(($B47='Landbrugsareal - resultat'!$B$33:$B$46)*(INDEX('Landbrugsareal - resultat'!$O$33:$Q$46,,MATCH($D47,'Landbrugsareal - resultat'!$O$5:$Q$5,0)))),SUMPRODUCT(($B47='Landbrugsareal - resultat'!$B$33:$B$46)*(INDEX('Landbrugsareal - resultat'!$R$33:$T$46,,MATCH($D47,'Landbrugsareal - resultat'!$R$5:$T$5,0))))))))</f>
        <v>19089.332974395165</v>
      </c>
    </row>
    <row r="48" spans="1:9" x14ac:dyDescent="0.25">
      <c r="A48" t="s">
        <v>23</v>
      </c>
      <c r="B48" s="1" t="str">
        <f>[1]Afgrødefordeling!$C$5</f>
        <v>Græs</v>
      </c>
      <c r="C48" t="s">
        <v>8</v>
      </c>
      <c r="D48" t="str">
        <f t="shared" si="4"/>
        <v>JB1-10</v>
      </c>
      <c r="F48" t="str">
        <f t="shared" si="1"/>
        <v>Areal-græs</v>
      </c>
      <c r="G48" s="96" cm="1">
        <f t="array" ref="G48">IF($A48="Vestdanmark",IF($C48="Konventionel",IF(G$2=2019,SUMPRODUCT(($B48='Landbrugsareal - resultat'!$B$6:$B$19)*(INDEX('Landbrugsareal - resultat'!$C$6:$E$19,,MATCH($D48,'Landbrugsareal - resultat'!$C$5:$E$5,0)))),IF(G$2=2030,SUMPRODUCT(($B48='Landbrugsareal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resultat'!$I$5:$K$5,0)))))),IF(G$2=2019,SUMPRODUCT(($B48='Landbrugsareal - resultat'!$B$6:$B$19)*(INDEX('Landbrugsareal - resultat'!$L$6:$N$19,,MATCH($D48,'Landbrugsareal - resultat'!$L$5:$N$5,0)))),IF(G$2=2030,SUMPRODUCT(($B48='Landbrugsareal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resultat'!$R$5:$T$5,0))))))),IF($C48="Konventionel",IF(G$2=2019,SUMPRODUCT((B48='Landbrugsareal - resultat'!$B$33:$B$46)*(INDEX('Landbrugsareal - resultat'!$C$33:$E$46,,MATCH($D48,'Landbrugsareal - resultat'!$C$5:$E$5,0)))),IF(G$2=2030,SUMPRODUCT(($B48='Landbrugsareal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resultat'!$I$5:$K$5,0)))))),IF(G$2=2019,SUMPRODUCT(($B48='Landbrugsareal - resultat'!$B$33:$B$46)*(INDEX('Landbrugsareal - resultat'!$L$33:$N$46,,MATCH($D48,'Landbrugsareal - resultat'!$L$5:$N$5,0)))),IF(G$2=2030,SUMPRODUCT(($B48='Landbrugsareal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24247.273851881382</v>
      </c>
      <c r="H48" s="96" cm="1">
        <f t="array" ref="H48">IF($A48="Vestdanmark",IF($C48="Konventionel",IF(H$2=2019,SUMPRODUCT(($B48='Landbrugsareal - resultat'!$B$6:$B$19)*(INDEX('Landbrugsareal - resultat'!$C$6:$E$19,,MATCH($D48,'Landbrugsareal - resultat'!$C$5:$E$5,0)))),IF(H$2=2030,SUMPRODUCT(($B48='Landbrugsareal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resultat'!$I$5:$K$5,0)))))),IF(H$2=2019,SUMPRODUCT(($B48='Landbrugsareal - resultat'!$B$6:$B$19)*(INDEX('Landbrugsareal - resultat'!$L$6:$N$19,,MATCH($D48,'Landbrugsareal - resultat'!$L$5:$N$5,0)))),IF(H$2=2030,SUMPRODUCT(($B48='Landbrugsareal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resultat'!$R$5:$T$5,0))))))),IF($C48="Konventionel",IF(H$2=2019,SUMPRODUCT(($B48='Landbrugsareal - resultat'!$B$33:$B$46)*(INDEX('Landbrugsareal - resultat'!$C$33:$E$46,,MATCH($D48,'Landbrugsareal - resultat'!$C$5:$E$5,0)))),IF(H$2=2030,SUMPRODUCT(($B48='Landbrugsareal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resultat'!$I$5:$K$5,0)))))),IF(H$2=2019,SUMPRODUCT(($B48='Landbrugsareal - resultat'!$B$33:$B$46)*(INDEX('Landbrugsareal - resultat'!$L$33:$N$46,,MATCH($D48,'Landbrugsareal - resultat'!$L$5:$N$5,0)))),IF(H$2=2030,SUMPRODUCT(($B48='Landbrugsareal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28591.77691027457</v>
      </c>
      <c r="I48" s="96" cm="1">
        <f t="array" ref="I48">IF($A48="Vestdanmark",IF($C48="Konventionel",IF(I$2=2019,SUMPRODUCT(($B48='Landbrugsareal - resultat'!$B$6:$B$19)*(INDEX('Landbrugsareal - resultat'!$C$6:$E$19,,MATCH($D48,'Landbrugsareal - resultat'!$C$5:$E$5,0)))),IF(I$2=2030,SUMPRODUCT(($B48='Landbrugsareal - resultat'!$B$6:$B$19)*(INDEX('Landbrugsareal - resultat'!$F$6:$H$19,,MATCH($D48,'Landbrugsareal - resultat'!$F$5:$H$5,0)))),SUMPRODUCT(($B48='Landbrugsareal - resultat'!$B$6:$B$19)*(INDEX('Landbrugsareal - resultat'!$I$6:$K$19,,MATCH($D48,'Landbrugsareal - resultat'!$I$5:$K$5,0)))))),IF(I$2=2019,SUMPRODUCT(($B48='Landbrugsareal - resultat'!$B$6:$B$19)*(INDEX('Landbrugsareal - resultat'!$L$6:$N$19,,MATCH($D48,'Landbrugsareal - resultat'!$L$5:$N$5,0)))),IF(I$2=2030,SUMPRODUCT(($B48='Landbrugsareal - resultat'!$B$6:$B$19)*(INDEX('Landbrugsareal - resultat'!$O$6:$Q$19,,MATCH($D48,'Landbrugsareal - resultat'!$O$5:$Q$5,0)))),SUMPRODUCT(($B48='Landbrugsareal - resultat'!$B$6:$B$19)*(INDEX('Landbrugsareal - resultat'!$R$6:$T$19,,MATCH($D48,'Landbrugsareal - resultat'!$R$5:$T$5,0))))))),IF($C48="Konventionel",IF(I$2=2019,SUMPRODUCT((C48='Landbrugsareal - resultat'!$B$33:$B$46)*(INDEX('Landbrugsareal - resultat'!$C$33:$E$46,,MATCH($D48,'Landbrugsareal - resultat'!$C$5:$E$5,0)))),IF(I$2=2030,SUMPRODUCT(($B48='Landbrugsareal - resultat'!$B$33:$B$46)*(INDEX('Landbrugsareal - resultat'!$F$33:$H$46,,MATCH($D48,'Landbrugsareal - resultat'!$F$5:$H$5,0)))),SUMPRODUCT(($B48='Landbrugsareal - resultat'!$B$33:$B$46)*(INDEX('Landbrugsareal - resultat'!$I$33:$K$46,,MATCH($D48,'Landbrugsareal - resultat'!$I$5:$K$5,0)))))),IF(I$2=2019,SUMPRODUCT(($B48='Landbrugsareal - resultat'!$B$33:$B$46)*(INDEX('Landbrugsareal - resultat'!$L$33:$N$46,,MATCH($D48,'Landbrugsareal - resultat'!$L$5:$N$5,0)))),IF(I$2=2030,SUMPRODUCT(($B48='Landbrugsareal - resultat'!$B$33:$B$46)*(INDEX('Landbrugsareal - resultat'!$O$33:$Q$46,,MATCH($D48,'Landbrugsareal - resultat'!$O$5:$Q$5,0)))),SUMPRODUCT(($B48='Landbrugsareal - resultat'!$B$33:$B$46)*(INDEX('Landbrugsareal - resultat'!$R$33:$T$46,,MATCH($D48,'Landbrugsareal - resultat'!$R$5:$T$5,0))))))))</f>
        <v>36397.35409584135</v>
      </c>
    </row>
    <row r="49" spans="1:9" x14ac:dyDescent="0.25">
      <c r="A49" t="s">
        <v>23</v>
      </c>
      <c r="B49" s="1" t="str">
        <f>[1]Afgrødefordeling!$C$6</f>
        <v>Grøntsager</v>
      </c>
      <c r="C49" t="s">
        <v>8</v>
      </c>
      <c r="D49" t="str">
        <f t="shared" si="4"/>
        <v>JB1-10</v>
      </c>
      <c r="F49" t="str">
        <f t="shared" si="1"/>
        <v>Areal-grøntsager</v>
      </c>
      <c r="G49" s="96" cm="1">
        <f t="array" ref="G49">IF($A49="Vestdanmark",IF($C49="Konventionel",IF(G$2=2019,SUMPRODUCT(($B49='Landbrugsareal - resultat'!$B$6:$B$19)*(INDEX('Landbrugsareal - resultat'!$C$6:$E$19,,MATCH($D49,'Landbrugsareal - resultat'!$C$5:$E$5,0)))),IF(G$2=2030,SUMPRODUCT(($B49='Landbrugsareal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resultat'!$I$5:$K$5,0)))))),IF(G$2=2019,SUMPRODUCT(($B49='Landbrugsareal - resultat'!$B$6:$B$19)*(INDEX('Landbrugsareal - resultat'!$L$6:$N$19,,MATCH($D49,'Landbrugsareal - resultat'!$L$5:$N$5,0)))),IF(G$2=2030,SUMPRODUCT(($B49='Landbrugsareal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resultat'!$R$5:$T$5,0))))))),IF($C49="Konventionel",IF(G$2=2019,SUMPRODUCT((B49='Landbrugsareal - resultat'!$B$33:$B$46)*(INDEX('Landbrugsareal - resultat'!$C$33:$E$46,,MATCH($D49,'Landbrugsareal - resultat'!$C$5:$E$5,0)))),IF(G$2=2030,SUMPRODUCT(($B49='Landbrugsareal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resultat'!$I$5:$K$5,0)))))),IF(G$2=2019,SUMPRODUCT(($B49='Landbrugsareal - resultat'!$B$33:$B$46)*(INDEX('Landbrugsareal - resultat'!$L$33:$N$46,,MATCH($D49,'Landbrugsareal - resultat'!$L$5:$N$5,0)))),IF(G$2=2030,SUMPRODUCT(($B49='Landbrugsareal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938.31435402683587</v>
      </c>
      <c r="H49" s="96" cm="1">
        <f t="array" ref="H49">IF($A49="Vestdanmark",IF($C49="Konventionel",IF(H$2=2019,SUMPRODUCT(($B49='Landbrugsareal - resultat'!$B$6:$B$19)*(INDEX('Landbrugsareal - resultat'!$C$6:$E$19,,MATCH($D49,'Landbrugsareal - resultat'!$C$5:$E$5,0)))),IF(H$2=2030,SUMPRODUCT(($B49='Landbrugsareal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resultat'!$I$5:$K$5,0)))))),IF(H$2=2019,SUMPRODUCT(($B49='Landbrugsareal - resultat'!$B$6:$B$19)*(INDEX('Landbrugsareal - resultat'!$L$6:$N$19,,MATCH($D49,'Landbrugsareal - resultat'!$L$5:$N$5,0)))),IF(H$2=2030,SUMPRODUCT(($B49='Landbrugsareal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resultat'!$R$5:$T$5,0))))))),IF($C49="Konventionel",IF(H$2=2019,SUMPRODUCT(($B49='Landbrugsareal - resultat'!$B$33:$B$46)*(INDEX('Landbrugsareal - resultat'!$C$33:$E$46,,MATCH($D49,'Landbrugsareal - resultat'!$C$5:$E$5,0)))),IF(H$2=2030,SUMPRODUCT(($B49='Landbrugsareal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resultat'!$I$5:$K$5,0)))))),IF(H$2=2019,SUMPRODUCT(($B49='Landbrugsareal - resultat'!$B$33:$B$46)*(INDEX('Landbrugsareal - resultat'!$L$33:$N$46,,MATCH($D49,'Landbrugsareal - resultat'!$L$5:$N$5,0)))),IF(H$2=2030,SUMPRODUCT(($B49='Landbrugsareal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1106.4367419581918</v>
      </c>
      <c r="I49" s="96" cm="1">
        <f t="array" ref="I49">IF($A49="Vestdanmark",IF($C49="Konventionel",IF(I$2=2019,SUMPRODUCT(($B49='Landbrugsareal - resultat'!$B$6:$B$19)*(INDEX('Landbrugsareal - resultat'!$C$6:$E$19,,MATCH($D49,'Landbrugsareal - resultat'!$C$5:$E$5,0)))),IF(I$2=2030,SUMPRODUCT(($B49='Landbrugsareal - resultat'!$B$6:$B$19)*(INDEX('Landbrugsareal - resultat'!$F$6:$H$19,,MATCH($D49,'Landbrugsareal - resultat'!$F$5:$H$5,0)))),SUMPRODUCT(($B49='Landbrugsareal - resultat'!$B$6:$B$19)*(INDEX('Landbrugsareal - resultat'!$I$6:$K$19,,MATCH($D49,'Landbrugsareal - resultat'!$I$5:$K$5,0)))))),IF(I$2=2019,SUMPRODUCT(($B49='Landbrugsareal - resultat'!$B$6:$B$19)*(INDEX('Landbrugsareal - resultat'!$L$6:$N$19,,MATCH($D49,'Landbrugsareal - resultat'!$L$5:$N$5,0)))),IF(I$2=2030,SUMPRODUCT(($B49='Landbrugsareal - resultat'!$B$6:$B$19)*(INDEX('Landbrugsareal - resultat'!$O$6:$Q$19,,MATCH($D49,'Landbrugsareal - resultat'!$O$5:$Q$5,0)))),SUMPRODUCT(($B49='Landbrugsareal - resultat'!$B$6:$B$19)*(INDEX('Landbrugsareal - resultat'!$R$6:$T$19,,MATCH($D49,'Landbrugsareal - resultat'!$R$5:$T$5,0))))))),IF($C49="Konventionel",IF(I$2=2019,SUMPRODUCT((C49='Landbrugsareal - resultat'!$B$33:$B$46)*(INDEX('Landbrugsareal - resultat'!$C$33:$E$46,,MATCH($D49,'Landbrugsareal - resultat'!$C$5:$E$5,0)))),IF(I$2=2030,SUMPRODUCT(($B49='Landbrugsareal - resultat'!$B$33:$B$46)*(INDEX('Landbrugsareal - resultat'!$F$33:$H$46,,MATCH($D49,'Landbrugsareal - resultat'!$F$5:$H$5,0)))),SUMPRODUCT(($B49='Landbrugsareal - resultat'!$B$33:$B$46)*(INDEX('Landbrugsareal - resultat'!$I$33:$K$46,,MATCH($D49,'Landbrugsareal - resultat'!$I$5:$K$5,0)))))),IF(I$2=2019,SUMPRODUCT(($B49='Landbrugsareal - resultat'!$B$33:$B$46)*(INDEX('Landbrugsareal - resultat'!$L$33:$N$46,,MATCH($D49,'Landbrugsareal - resultat'!$L$5:$N$5,0)))),IF(I$2=2030,SUMPRODUCT(($B49='Landbrugsareal - resultat'!$B$33:$B$46)*(INDEX('Landbrugsareal - resultat'!$O$33:$Q$46,,MATCH($D49,'Landbrugsareal - resultat'!$O$5:$Q$5,0)))),SUMPRODUCT(($B49='Landbrugsareal - resultat'!$B$33:$B$46)*(INDEX('Landbrugsareal - resultat'!$R$33:$T$46,,MATCH($D49,'Landbrugsareal - resultat'!$R$5:$T$5,0))))))))</f>
        <v>1408.4948273092346</v>
      </c>
    </row>
    <row r="50" spans="1:9" x14ac:dyDescent="0.25">
      <c r="A50" t="s">
        <v>23</v>
      </c>
      <c r="B50" s="1" t="str">
        <f>[1]Afgrødefordeling!$C$7</f>
        <v>Kartofler</v>
      </c>
      <c r="C50" t="s">
        <v>8</v>
      </c>
      <c r="D50" t="str">
        <f t="shared" si="4"/>
        <v>JB1-10</v>
      </c>
      <c r="F50" t="str">
        <f t="shared" si="1"/>
        <v>Areal-kartofler</v>
      </c>
      <c r="G50" s="96" cm="1">
        <f t="array" ref="G50">IF($A50="Vestdanmark",IF($C50="Konventionel",IF(G$2=2019,SUMPRODUCT(($B50='Landbrugsareal - resultat'!$B$6:$B$19)*(INDEX('Landbrugsareal - resultat'!$C$6:$E$19,,MATCH($D50,'Landbrugsareal - resultat'!$C$5:$E$5,0)))),IF(G$2=2030,SUMPRODUCT(($B50='Landbrugsareal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resultat'!$I$5:$K$5,0)))))),IF(G$2=2019,SUMPRODUCT(($B50='Landbrugsareal - resultat'!$B$6:$B$19)*(INDEX('Landbrugsareal - resultat'!$L$6:$N$19,,MATCH($D50,'Landbrugsareal - resultat'!$L$5:$N$5,0)))),IF(G$2=2030,SUMPRODUCT(($B50='Landbrugsareal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resultat'!$R$5:$T$5,0))))))),IF($C50="Konventionel",IF(G$2=2019,SUMPRODUCT((B50='Landbrugsareal - resultat'!$B$33:$B$46)*(INDEX('Landbrugsareal - resultat'!$C$33:$E$46,,MATCH($D50,'Landbrugsareal - resultat'!$C$5:$E$5,0)))),IF(G$2=2030,SUMPRODUCT(($B50='Landbrugsareal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resultat'!$I$5:$K$5,0)))))),IF(G$2=2019,SUMPRODUCT(($B50='Landbrugsareal - resultat'!$B$33:$B$46)*(INDEX('Landbrugsareal - resultat'!$L$33:$N$46,,MATCH($D50,'Landbrugsareal - resultat'!$L$5:$N$5,0)))),IF(G$2=2030,SUMPRODUCT(($B50='Landbrugsareal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5589.6577407781906</v>
      </c>
      <c r="H50" s="96" cm="1">
        <f t="array" ref="H50">IF($A50="Vestdanmark",IF($C50="Konventionel",IF(H$2=2019,SUMPRODUCT(($B50='Landbrugsareal - resultat'!$B$6:$B$19)*(INDEX('Landbrugsareal - resultat'!$C$6:$E$19,,MATCH($D50,'Landbrugsareal - resultat'!$C$5:$E$5,0)))),IF(H$2=2030,SUMPRODUCT(($B50='Landbrugsareal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resultat'!$I$5:$K$5,0)))))),IF(H$2=2019,SUMPRODUCT(($B50='Landbrugsareal - resultat'!$B$6:$B$19)*(INDEX('Landbrugsareal - resultat'!$L$6:$N$19,,MATCH($D50,'Landbrugsareal - resultat'!$L$5:$N$5,0)))),IF(H$2=2030,SUMPRODUCT(($B50='Landbrugsareal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resultat'!$R$5:$T$5,0))))))),IF($C50="Konventionel",IF(H$2=2019,SUMPRODUCT(($B50='Landbrugsareal - resultat'!$B$33:$B$46)*(INDEX('Landbrugsareal - resultat'!$C$33:$E$46,,MATCH($D50,'Landbrugsareal - resultat'!$C$5:$E$5,0)))),IF(H$2=2030,SUMPRODUCT(($B50='Landbrugsareal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resultat'!$I$5:$K$5,0)))))),IF(H$2=2019,SUMPRODUCT(($B50='Landbrugsareal - resultat'!$B$33:$B$46)*(INDEX('Landbrugsareal - resultat'!$L$33:$N$46,,MATCH($D50,'Landbrugsareal - resultat'!$L$5:$N$5,0)))),IF(H$2=2030,SUMPRODUCT(($B50='Landbrugsareal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6591.1841514801417</v>
      </c>
      <c r="I50" s="96" cm="1">
        <f t="array" ref="I50">IF($A50="Vestdanmark",IF($C50="Konventionel",IF(I$2=2019,SUMPRODUCT(($B50='Landbrugsareal - resultat'!$B$6:$B$19)*(INDEX('Landbrugsareal - resultat'!$C$6:$E$19,,MATCH($D50,'Landbrugsareal - resultat'!$C$5:$E$5,0)))),IF(I$2=2030,SUMPRODUCT(($B50='Landbrugsareal - resultat'!$B$6:$B$19)*(INDEX('Landbrugsareal - resultat'!$F$6:$H$19,,MATCH($D50,'Landbrugsareal - resultat'!$F$5:$H$5,0)))),SUMPRODUCT(($B50='Landbrugsareal - resultat'!$B$6:$B$19)*(INDEX('Landbrugsareal - resultat'!$I$6:$K$19,,MATCH($D50,'Landbrugsareal - resultat'!$I$5:$K$5,0)))))),IF(I$2=2019,SUMPRODUCT(($B50='Landbrugsareal - resultat'!$B$6:$B$19)*(INDEX('Landbrugsareal - resultat'!$L$6:$N$19,,MATCH($D50,'Landbrugsareal - resultat'!$L$5:$N$5,0)))),IF(I$2=2030,SUMPRODUCT(($B50='Landbrugsareal - resultat'!$B$6:$B$19)*(INDEX('Landbrugsareal - resultat'!$O$6:$Q$19,,MATCH($D50,'Landbrugsareal - resultat'!$O$5:$Q$5,0)))),SUMPRODUCT(($B50='Landbrugsareal - resultat'!$B$6:$B$19)*(INDEX('Landbrugsareal - resultat'!$R$6:$T$19,,MATCH($D50,'Landbrugsareal - resultat'!$R$5:$T$5,0))))))),IF($C50="Konventionel",IF(I$2=2019,SUMPRODUCT((C50='Landbrugsareal - resultat'!$B$33:$B$46)*(INDEX('Landbrugsareal - resultat'!$C$33:$E$46,,MATCH($D50,'Landbrugsareal - resultat'!$C$5:$E$5,0)))),IF(I$2=2030,SUMPRODUCT(($B50='Landbrugsareal - resultat'!$B$33:$B$46)*(INDEX('Landbrugsareal - resultat'!$F$33:$H$46,,MATCH($D50,'Landbrugsareal - resultat'!$F$5:$H$5,0)))),SUMPRODUCT(($B50='Landbrugsareal - resultat'!$B$33:$B$46)*(INDEX('Landbrugsareal - resultat'!$I$33:$K$46,,MATCH($D50,'Landbrugsareal - resultat'!$I$5:$K$5,0)))))),IF(I$2=2019,SUMPRODUCT(($B50='Landbrugsareal - resultat'!$B$33:$B$46)*(INDEX('Landbrugsareal - resultat'!$L$33:$N$46,,MATCH($D50,'Landbrugsareal - resultat'!$L$5:$N$5,0)))),IF(I$2=2030,SUMPRODUCT(($B50='Landbrugsareal - resultat'!$B$33:$B$46)*(INDEX('Landbrugsareal - resultat'!$O$33:$Q$46,,MATCH($D50,'Landbrugsareal - resultat'!$O$5:$Q$5,0)))),SUMPRODUCT(($B50='Landbrugsareal - resultat'!$B$33:$B$46)*(INDEX('Landbrugsareal - resultat'!$R$33:$T$46,,MATCH($D50,'Landbrugsareal - resultat'!$R$5:$T$5,0))))))))</f>
        <v>8390.5825169652435</v>
      </c>
    </row>
    <row r="51" spans="1:9" x14ac:dyDescent="0.25">
      <c r="A51" t="s">
        <v>23</v>
      </c>
      <c r="B51" s="1" t="str">
        <f>[1]Afgrødefordeling!$C$8</f>
        <v>Roer</v>
      </c>
      <c r="C51" t="s">
        <v>8</v>
      </c>
      <c r="D51" t="str">
        <f t="shared" si="4"/>
        <v>JB1-10</v>
      </c>
      <c r="F51" t="str">
        <f t="shared" si="1"/>
        <v>Areal-roer</v>
      </c>
      <c r="G51" s="96" cm="1">
        <f t="array" ref="G51">IF($A51="Vestdanmark",IF($C51="Konventionel",IF(G$2=2019,SUMPRODUCT(($B51='Landbrugsareal - resultat'!$B$6:$B$19)*(INDEX('Landbrugsareal - resultat'!$C$6:$E$19,,MATCH($D51,'Landbrugsareal - resultat'!$C$5:$E$5,0)))),IF(G$2=2030,SUMPRODUCT(($B51='Landbrugsareal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resultat'!$I$5:$K$5,0)))))),IF(G$2=2019,SUMPRODUCT(($B51='Landbrugsareal - resultat'!$B$6:$B$19)*(INDEX('Landbrugsareal - resultat'!$L$6:$N$19,,MATCH($D51,'Landbrugsareal - resultat'!$L$5:$N$5,0)))),IF(G$2=2030,SUMPRODUCT(($B51='Landbrugsareal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resultat'!$R$5:$T$5,0))))))),IF($C51="Konventionel",IF(G$2=2019,SUMPRODUCT((B51='Landbrugsareal - resultat'!$B$33:$B$46)*(INDEX('Landbrugsareal - resultat'!$C$33:$E$46,,MATCH($D51,'Landbrugsareal - resultat'!$C$5:$E$5,0)))),IF(G$2=2030,SUMPRODUCT(($B51='Landbrugsareal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resultat'!$I$5:$K$5,0)))))),IF(G$2=2019,SUMPRODUCT(($B51='Landbrugsareal - resultat'!$B$33:$B$46)*(INDEX('Landbrugsareal - resultat'!$L$33:$N$46,,MATCH($D51,'Landbrugsareal - resultat'!$L$5:$N$5,0)))),IF(G$2=2030,SUMPRODUCT(($B51='Landbrugsareal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545.66710141783074</v>
      </c>
      <c r="H51" s="96" cm="1">
        <f t="array" ref="H51">IF($A51="Vestdanmark",IF($C51="Konventionel",IF(H$2=2019,SUMPRODUCT(($B51='Landbrugsareal - resultat'!$B$6:$B$19)*(INDEX('Landbrugsareal - resultat'!$C$6:$E$19,,MATCH($D51,'Landbrugsareal - resultat'!$C$5:$E$5,0)))),IF(H$2=2030,SUMPRODUCT(($B51='Landbrugsareal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resultat'!$I$5:$K$5,0)))))),IF(H$2=2019,SUMPRODUCT(($B51='Landbrugsareal - resultat'!$B$6:$B$19)*(INDEX('Landbrugsareal - resultat'!$L$6:$N$19,,MATCH($D51,'Landbrugsareal - resultat'!$L$5:$N$5,0)))),IF(H$2=2030,SUMPRODUCT(($B51='Landbrugsareal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resultat'!$R$5:$T$5,0))))))),IF($C51="Konventionel",IF(H$2=2019,SUMPRODUCT(($B51='Landbrugsareal - resultat'!$B$33:$B$46)*(INDEX('Landbrugsareal - resultat'!$C$33:$E$46,,MATCH($D51,'Landbrugsareal - resultat'!$C$5:$E$5,0)))),IF(H$2=2030,SUMPRODUCT(($B51='Landbrugsareal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resultat'!$I$5:$K$5,0)))))),IF(H$2=2019,SUMPRODUCT(($B51='Landbrugsareal - resultat'!$B$33:$B$46)*(INDEX('Landbrugsareal - resultat'!$L$33:$N$46,,MATCH($D51,'Landbrugsareal - resultat'!$L$5:$N$5,0)))),IF(H$2=2030,SUMPRODUCT(($B51='Landbrugsareal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643.43695403944287</v>
      </c>
      <c r="I51" s="96" cm="1">
        <f t="array" ref="I51">IF($A51="Vestdanmark",IF($C51="Konventionel",IF(I$2=2019,SUMPRODUCT(($B51='Landbrugsareal - resultat'!$B$6:$B$19)*(INDEX('Landbrugsareal - resultat'!$C$6:$E$19,,MATCH($D51,'Landbrugsareal - resultat'!$C$5:$E$5,0)))),IF(I$2=2030,SUMPRODUCT(($B51='Landbrugsareal - resultat'!$B$6:$B$19)*(INDEX('Landbrugsareal - resultat'!$F$6:$H$19,,MATCH($D51,'Landbrugsareal - resultat'!$F$5:$H$5,0)))),SUMPRODUCT(($B51='Landbrugsareal - resultat'!$B$6:$B$19)*(INDEX('Landbrugsareal - resultat'!$I$6:$K$19,,MATCH($D51,'Landbrugsareal - resultat'!$I$5:$K$5,0)))))),IF(I$2=2019,SUMPRODUCT(($B51='Landbrugsareal - resultat'!$B$6:$B$19)*(INDEX('Landbrugsareal - resultat'!$L$6:$N$19,,MATCH($D51,'Landbrugsareal - resultat'!$L$5:$N$5,0)))),IF(I$2=2030,SUMPRODUCT(($B51='Landbrugsareal - resultat'!$B$6:$B$19)*(INDEX('Landbrugsareal - resultat'!$O$6:$Q$19,,MATCH($D51,'Landbrugsareal - resultat'!$O$5:$Q$5,0)))),SUMPRODUCT(($B51='Landbrugsareal - resultat'!$B$6:$B$19)*(INDEX('Landbrugsareal - resultat'!$R$6:$T$19,,MATCH($D51,'Landbrugsareal - resultat'!$R$5:$T$5,0))))))),IF($C51="Konventionel",IF(I$2=2019,SUMPRODUCT((C51='Landbrugsareal - resultat'!$B$33:$B$46)*(INDEX('Landbrugsareal - resultat'!$C$33:$E$46,,MATCH($D51,'Landbrugsareal - resultat'!$C$5:$E$5,0)))),IF(I$2=2030,SUMPRODUCT(($B51='Landbrugsareal - resultat'!$B$33:$B$46)*(INDEX('Landbrugsareal - resultat'!$F$33:$H$46,,MATCH($D51,'Landbrugsareal - resultat'!$F$5:$H$5,0)))),SUMPRODUCT(($B51='Landbrugsareal - resultat'!$B$33:$B$46)*(INDEX('Landbrugsareal - resultat'!$I$33:$K$46,,MATCH($D51,'Landbrugsareal - resultat'!$I$5:$K$5,0)))))),IF(I$2=2019,SUMPRODUCT(($B51='Landbrugsareal - resultat'!$B$33:$B$46)*(INDEX('Landbrugsareal - resultat'!$L$33:$N$46,,MATCH($D51,'Landbrugsareal - resultat'!$L$5:$N$5,0)))),IF(I$2=2030,SUMPRODUCT(($B51='Landbrugsareal - resultat'!$B$33:$B$46)*(INDEX('Landbrugsareal - resultat'!$O$33:$Q$46,,MATCH($D51,'Landbrugsareal - resultat'!$O$5:$Q$5,0)))),SUMPRODUCT(($B51='Landbrugsareal - resultat'!$B$33:$B$46)*(INDEX('Landbrugsareal - resultat'!$R$33:$T$46,,MATCH($D51,'Landbrugsareal - resultat'!$R$5:$T$5,0))))))))</f>
        <v>819.09573959033446</v>
      </c>
    </row>
    <row r="52" spans="1:9" x14ac:dyDescent="0.25">
      <c r="A52" t="s">
        <v>23</v>
      </c>
      <c r="B52" s="1" t="str">
        <f>[1]Afgrødefordeling!$C$9</f>
        <v>Majs</v>
      </c>
      <c r="C52" t="s">
        <v>8</v>
      </c>
      <c r="D52" t="str">
        <f t="shared" si="4"/>
        <v>JB1-10</v>
      </c>
      <c r="F52" t="str">
        <f t="shared" si="1"/>
        <v>Areal-majs</v>
      </c>
      <c r="G52" s="96" cm="1">
        <f t="array" ref="G52">IF($A52="Vestdanmark",IF($C52="Konventionel",IF(G$2=2019,SUMPRODUCT(($B52='Landbrugsareal - resultat'!$B$6:$B$19)*(INDEX('Landbrugsareal - resultat'!$C$6:$E$19,,MATCH($D52,'Landbrugsareal - resultat'!$C$5:$E$5,0)))),IF(G$2=2030,SUMPRODUCT(($B52='Landbrugsareal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resultat'!$I$5:$K$5,0)))))),IF(G$2=2019,SUMPRODUCT(($B52='Landbrugsareal - resultat'!$B$6:$B$19)*(INDEX('Landbrugsareal - resultat'!$L$6:$N$19,,MATCH($D52,'Landbrugsareal - resultat'!$L$5:$N$5,0)))),IF(G$2=2030,SUMPRODUCT(($B52='Landbrugsareal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resultat'!$R$5:$T$5,0))))))),IF($C52="Konventionel",IF(G$2=2019,SUMPRODUCT((B52='Landbrugsareal - resultat'!$B$33:$B$46)*(INDEX('Landbrugsareal - resultat'!$C$33:$E$46,,MATCH($D52,'Landbrugsareal - resultat'!$C$5:$E$5,0)))),IF(G$2=2030,SUMPRODUCT(($B52='Landbrugsareal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resultat'!$I$5:$K$5,0)))))),IF(G$2=2019,SUMPRODUCT(($B52='Landbrugsareal - resultat'!$B$33:$B$46)*(INDEX('Landbrugsareal - resultat'!$L$33:$N$46,,MATCH($D52,'Landbrugsareal - resultat'!$L$5:$N$5,0)))),IF(G$2=2030,SUMPRODUCT(($B52='Landbrugsareal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18686.154576496141</v>
      </c>
      <c r="H52" s="96" cm="1">
        <f t="array" ref="H52">IF($A52="Vestdanmark",IF($C52="Konventionel",IF(H$2=2019,SUMPRODUCT(($B52='Landbrugsareal - resultat'!$B$6:$B$19)*(INDEX('Landbrugsareal - resultat'!$C$6:$E$19,,MATCH($D52,'Landbrugsareal - resultat'!$C$5:$E$5,0)))),IF(H$2=2030,SUMPRODUCT(($B52='Landbrugsareal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resultat'!$I$5:$K$5,0)))))),IF(H$2=2019,SUMPRODUCT(($B52='Landbrugsareal - resultat'!$B$6:$B$19)*(INDEX('Landbrugsareal - resultat'!$L$6:$N$19,,MATCH($D52,'Landbrugsareal - resultat'!$L$5:$N$5,0)))),IF(H$2=2030,SUMPRODUCT(($B52='Landbrugsareal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resultat'!$R$5:$T$5,0))))))),IF($C52="Konventionel",IF(H$2=2019,SUMPRODUCT(($B52='Landbrugsareal - resultat'!$B$33:$B$46)*(INDEX('Landbrugsareal - resultat'!$C$33:$E$46,,MATCH($D52,'Landbrugsareal - resultat'!$C$5:$E$5,0)))),IF(H$2=2030,SUMPRODUCT(($B52='Landbrugsareal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resultat'!$I$5:$K$5,0)))))),IF(H$2=2019,SUMPRODUCT(($B52='Landbrugsareal - resultat'!$B$33:$B$46)*(INDEX('Landbrugsareal - resultat'!$L$33:$N$46,,MATCH($D52,'Landbrugsareal - resultat'!$L$5:$N$5,0)))),IF(H$2=2030,SUMPRODUCT(($B52='Landbrugsareal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22034.244601094775</v>
      </c>
      <c r="I52" s="96" cm="1">
        <f t="array" ref="I52">IF($A52="Vestdanmark",IF($C52="Konventionel",IF(I$2=2019,SUMPRODUCT(($B52='Landbrugsareal - resultat'!$B$6:$B$19)*(INDEX('Landbrugsareal - resultat'!$C$6:$E$19,,MATCH($D52,'Landbrugsareal - resultat'!$C$5:$E$5,0)))),IF(I$2=2030,SUMPRODUCT(($B52='Landbrugsareal - resultat'!$B$6:$B$19)*(INDEX('Landbrugsareal - resultat'!$F$6:$H$19,,MATCH($D52,'Landbrugsareal - resultat'!$F$5:$H$5,0)))),SUMPRODUCT(($B52='Landbrugsareal - resultat'!$B$6:$B$19)*(INDEX('Landbrugsareal - resultat'!$I$6:$K$19,,MATCH($D52,'Landbrugsareal - resultat'!$I$5:$K$5,0)))))),IF(I$2=2019,SUMPRODUCT(($B52='Landbrugsareal - resultat'!$B$6:$B$19)*(INDEX('Landbrugsareal - resultat'!$L$6:$N$19,,MATCH($D52,'Landbrugsareal - resultat'!$L$5:$N$5,0)))),IF(I$2=2030,SUMPRODUCT(($B52='Landbrugsareal - resultat'!$B$6:$B$19)*(INDEX('Landbrugsareal - resultat'!$O$6:$Q$19,,MATCH($D52,'Landbrugsareal - resultat'!$O$5:$Q$5,0)))),SUMPRODUCT(($B52='Landbrugsareal - resultat'!$B$6:$B$19)*(INDEX('Landbrugsareal - resultat'!$R$6:$T$19,,MATCH($D52,'Landbrugsareal - resultat'!$R$5:$T$5,0))))))),IF($C52="Konventionel",IF(I$2=2019,SUMPRODUCT((C52='Landbrugsareal - resultat'!$B$33:$B$46)*(INDEX('Landbrugsareal - resultat'!$C$33:$E$46,,MATCH($D52,'Landbrugsareal - resultat'!$C$5:$E$5,0)))),IF(I$2=2030,SUMPRODUCT(($B52='Landbrugsareal - resultat'!$B$33:$B$46)*(INDEX('Landbrugsareal - resultat'!$F$33:$H$46,,MATCH($D52,'Landbrugsareal - resultat'!$F$5:$H$5,0)))),SUMPRODUCT(($B52='Landbrugsareal - resultat'!$B$33:$B$46)*(INDEX('Landbrugsareal - resultat'!$I$33:$K$46,,MATCH($D52,'Landbrugsareal - resultat'!$I$5:$K$5,0)))))),IF(I$2=2019,SUMPRODUCT(($B52='Landbrugsareal - resultat'!$B$33:$B$46)*(INDEX('Landbrugsareal - resultat'!$L$33:$N$46,,MATCH($D52,'Landbrugsareal - resultat'!$L$5:$N$5,0)))),IF(I$2=2030,SUMPRODUCT(($B52='Landbrugsareal - resultat'!$B$33:$B$46)*(INDEX('Landbrugsareal - resultat'!$O$33:$Q$46,,MATCH($D52,'Landbrugsareal - resultat'!$O$5:$Q$5,0)))),SUMPRODUCT(($B52='Landbrugsareal - resultat'!$B$33:$B$46)*(INDEX('Landbrugsareal - resultat'!$R$33:$T$46,,MATCH($D52,'Landbrugsareal - resultat'!$R$5:$T$5,0))))))))</f>
        <v>28049.610400122754</v>
      </c>
    </row>
    <row r="53" spans="1:9" x14ac:dyDescent="0.25">
      <c r="A53" t="s">
        <v>23</v>
      </c>
      <c r="B53" s="1" t="str">
        <f>[1]Afgrødefordeling!$C$10</f>
        <v>Frugt</v>
      </c>
      <c r="C53" t="s">
        <v>8</v>
      </c>
      <c r="D53" t="str">
        <f t="shared" si="4"/>
        <v>JB1-10</v>
      </c>
      <c r="F53" t="str">
        <f t="shared" si="1"/>
        <v>Areal-frugt</v>
      </c>
      <c r="G53" s="96" cm="1">
        <f t="array" ref="G53">IF($A53="Vestdanmark",IF($C53="Konventionel",IF(G$2=2019,SUMPRODUCT(($B53='Landbrugsareal - resultat'!$B$6:$B$19)*(INDEX('Landbrugsareal - resultat'!$C$6:$E$19,,MATCH($D53,'Landbrugsareal - resultat'!$C$5:$E$5,0)))),IF(G$2=2030,SUMPRODUCT(($B53='Landbrugsareal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resultat'!$I$5:$K$5,0)))))),IF(G$2=2019,SUMPRODUCT(($B53='Landbrugsareal - resultat'!$B$6:$B$19)*(INDEX('Landbrugsareal - resultat'!$L$6:$N$19,,MATCH($D53,'Landbrugsareal - resultat'!$L$5:$N$5,0)))),IF(G$2=2030,SUMPRODUCT(($B53='Landbrugsareal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resultat'!$R$5:$T$5,0))))))),IF($C53="Konventionel",IF(G$2=2019,SUMPRODUCT((B53='Landbrugsareal - resultat'!$B$33:$B$46)*(INDEX('Landbrugsareal - resultat'!$C$33:$E$46,,MATCH($D53,'Landbrugsareal - resultat'!$C$5:$E$5,0)))),IF(G$2=2030,SUMPRODUCT(($B53='Landbrugsareal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resultat'!$I$5:$K$5,0)))))),IF(G$2=2019,SUMPRODUCT(($B53='Landbrugsareal - resultat'!$B$33:$B$46)*(INDEX('Landbrugsareal - resultat'!$L$33:$N$46,,MATCH($D53,'Landbrugsareal - resultat'!$L$5:$N$5,0)))),IF(G$2=2030,SUMPRODUCT(($B53='Landbrugsareal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343.36325185722677</v>
      </c>
      <c r="H53" s="96" cm="1">
        <f t="array" ref="H53">IF($A53="Vestdanmark",IF($C53="Konventionel",IF(H$2=2019,SUMPRODUCT(($B53='Landbrugsareal - resultat'!$B$6:$B$19)*(INDEX('Landbrugsareal - resultat'!$C$6:$E$19,,MATCH($D53,'Landbrugsareal - resultat'!$C$5:$E$5,0)))),IF(H$2=2030,SUMPRODUCT(($B53='Landbrugsareal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resultat'!$I$5:$K$5,0)))))),IF(H$2=2019,SUMPRODUCT(($B53='Landbrugsareal - resultat'!$B$6:$B$19)*(INDEX('Landbrugsareal - resultat'!$L$6:$N$19,,MATCH($D53,'Landbrugsareal - resultat'!$L$5:$N$5,0)))),IF(H$2=2030,SUMPRODUCT(($B53='Landbrugsareal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resultat'!$R$5:$T$5,0))))))),IF($C53="Konventionel",IF(H$2=2019,SUMPRODUCT(($B53='Landbrugsareal - resultat'!$B$33:$B$46)*(INDEX('Landbrugsareal - resultat'!$C$33:$E$46,,MATCH($D53,'Landbrugsareal - resultat'!$C$5:$E$5,0)))),IF(H$2=2030,SUMPRODUCT(($B53='Landbrugsareal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resultat'!$I$5:$K$5,0)))))),IF(H$2=2019,SUMPRODUCT(($B53='Landbrugsareal - resultat'!$B$33:$B$46)*(INDEX('Landbrugsareal - resultat'!$L$33:$N$46,,MATCH($D53,'Landbrugsareal - resultat'!$L$5:$N$5,0)))),IF(H$2=2030,SUMPRODUCT(($B53='Landbrugsareal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404.88533087304182</v>
      </c>
      <c r="I53" s="96" cm="1">
        <f t="array" ref="I53">IF($A53="Vestdanmark",IF($C53="Konventionel",IF(I$2=2019,SUMPRODUCT(($B53='Landbrugsareal - resultat'!$B$6:$B$19)*(INDEX('Landbrugsareal - resultat'!$C$6:$E$19,,MATCH($D53,'Landbrugsareal - resultat'!$C$5:$E$5,0)))),IF(I$2=2030,SUMPRODUCT(($B53='Landbrugsareal - resultat'!$B$6:$B$19)*(INDEX('Landbrugsareal - resultat'!$F$6:$H$19,,MATCH($D53,'Landbrugsareal - resultat'!$F$5:$H$5,0)))),SUMPRODUCT(($B53='Landbrugsareal - resultat'!$B$6:$B$19)*(INDEX('Landbrugsareal - resultat'!$I$6:$K$19,,MATCH($D53,'Landbrugsareal - resultat'!$I$5:$K$5,0)))))),IF(I$2=2019,SUMPRODUCT(($B53='Landbrugsareal - resultat'!$B$6:$B$19)*(INDEX('Landbrugsareal - resultat'!$L$6:$N$19,,MATCH($D53,'Landbrugsareal - resultat'!$L$5:$N$5,0)))),IF(I$2=2030,SUMPRODUCT(($B53='Landbrugsareal - resultat'!$B$6:$B$19)*(INDEX('Landbrugsareal - resultat'!$O$6:$Q$19,,MATCH($D53,'Landbrugsareal - resultat'!$O$5:$Q$5,0)))),SUMPRODUCT(($B53='Landbrugsareal - resultat'!$B$6:$B$19)*(INDEX('Landbrugsareal - resultat'!$R$6:$T$19,,MATCH($D53,'Landbrugsareal - resultat'!$R$5:$T$5,0))))))),IF($C53="Konventionel",IF(I$2=2019,SUMPRODUCT((C53='Landbrugsareal - resultat'!$B$33:$B$46)*(INDEX('Landbrugsareal - resultat'!$C$33:$E$46,,MATCH($D53,'Landbrugsareal - resultat'!$C$5:$E$5,0)))),IF(I$2=2030,SUMPRODUCT(($B53='Landbrugsareal - resultat'!$B$33:$B$46)*(INDEX('Landbrugsareal - resultat'!$F$33:$H$46,,MATCH($D53,'Landbrugsareal - resultat'!$F$5:$H$5,0)))),SUMPRODUCT(($B53='Landbrugsareal - resultat'!$B$33:$B$46)*(INDEX('Landbrugsareal - resultat'!$I$33:$K$46,,MATCH($D53,'Landbrugsareal - resultat'!$I$5:$K$5,0)))))),IF(I$2=2019,SUMPRODUCT(($B53='Landbrugsareal - resultat'!$B$33:$B$46)*(INDEX('Landbrugsareal - resultat'!$L$33:$N$46,,MATCH($D53,'Landbrugsareal - resultat'!$L$5:$N$5,0)))),IF(I$2=2030,SUMPRODUCT(($B53='Landbrugsareal - resultat'!$B$33:$B$46)*(INDEX('Landbrugsareal - resultat'!$O$33:$Q$46,,MATCH($D53,'Landbrugsareal - resultat'!$O$5:$Q$5,0)))),SUMPRODUCT(($B53='Landbrugsareal - resultat'!$B$33:$B$46)*(INDEX('Landbrugsareal - resultat'!$R$33:$T$46,,MATCH($D53,'Landbrugsareal - resultat'!$R$5:$T$5,0))))))))</f>
        <v>515.41933900240667</v>
      </c>
    </row>
    <row r="54" spans="1:9" x14ac:dyDescent="0.25">
      <c r="A54" t="s">
        <v>23</v>
      </c>
      <c r="B54" s="1" t="str">
        <f>[1]Afgrødefordeling!$C$11</f>
        <v>Øvrige</v>
      </c>
      <c r="C54" t="s">
        <v>8</v>
      </c>
      <c r="D54" t="str">
        <f t="shared" si="4"/>
        <v>JB1-10</v>
      </c>
      <c r="F54" t="str">
        <f t="shared" si="1"/>
        <v>Areal-øvrige</v>
      </c>
      <c r="G54" s="96" cm="1">
        <f t="array" ref="G54">IF($A54="Vestdanmark",IF($C54="Konventionel",IF(G$2=2019,SUMPRODUCT(($B54='Landbrugsareal - resultat'!$B$6:$B$19)*(INDEX('Landbrugsareal - resultat'!$C$6:$E$19,,MATCH($D54,'Landbrugsareal - resultat'!$C$5:$E$5,0)))),IF(G$2=2030,SUMPRODUCT(($B54='Landbrugsareal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resultat'!$I$5:$K$5,0)))))),IF(G$2=2019,SUMPRODUCT(($B54='Landbrugsareal - resultat'!$B$6:$B$19)*(INDEX('Landbrugsareal - resultat'!$L$6:$N$19,,MATCH($D54,'Landbrugsareal - resultat'!$L$5:$N$5,0)))),IF(G$2=2030,SUMPRODUCT(($B54='Landbrugsareal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resultat'!$R$5:$T$5,0))))))),IF($C54="Konventionel",IF(G$2=2019,SUMPRODUCT((B54='Landbrugsareal - resultat'!$B$33:$B$46)*(INDEX('Landbrugsareal - resultat'!$C$33:$E$46,,MATCH($D54,'Landbrugsareal - resultat'!$C$5:$E$5,0)))),IF(G$2=2030,SUMPRODUCT(($B54='Landbrugsareal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resultat'!$I$5:$K$5,0)))))),IF(G$2=2019,SUMPRODUCT(($B54='Landbrugsareal - resultat'!$B$33:$B$46)*(INDEX('Landbrugsareal - resultat'!$L$33:$N$46,,MATCH($D54,'Landbrugsareal - resultat'!$L$5:$N$5,0)))),IF(G$2=2030,SUMPRODUCT(($B54='Landbrugsareal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6072.6886145309409</v>
      </c>
      <c r="H54" s="96" cm="1">
        <f t="array" ref="H54">IF($A54="Vestdanmark",IF($C54="Konventionel",IF(H$2=2019,SUMPRODUCT(($B54='Landbrugsareal - resultat'!$B$6:$B$19)*(INDEX('Landbrugsareal - resultat'!$C$6:$E$19,,MATCH($D54,'Landbrugsareal - resultat'!$C$5:$E$5,0)))),IF(H$2=2030,SUMPRODUCT(($B54='Landbrugsareal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resultat'!$I$5:$K$5,0)))))),IF(H$2=2019,SUMPRODUCT(($B54='Landbrugsareal - resultat'!$B$6:$B$19)*(INDEX('Landbrugsareal - resultat'!$L$6:$N$19,,MATCH($D54,'Landbrugsareal - resultat'!$L$5:$N$5,0)))),IF(H$2=2030,SUMPRODUCT(($B54='Landbrugsareal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resultat'!$R$5:$T$5,0))))))),IF($C54="Konventionel",IF(H$2=2019,SUMPRODUCT(($B54='Landbrugsareal - resultat'!$B$33:$B$46)*(INDEX('Landbrugsareal - resultat'!$C$33:$E$46,,MATCH($D54,'Landbrugsareal - resultat'!$C$5:$E$5,0)))),IF(H$2=2030,SUMPRODUCT(($B54='Landbrugsareal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resultat'!$I$5:$K$5,0)))))),IF(H$2=2019,SUMPRODUCT(($B54='Landbrugsareal - resultat'!$B$33:$B$46)*(INDEX('Landbrugsareal - resultat'!$L$33:$N$46,,MATCH($D54,'Landbrugsareal - resultat'!$L$5:$N$5,0)))),IF(H$2=2030,SUMPRODUCT(($B54='Landbrugsareal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7160.7620375335891</v>
      </c>
      <c r="I54" s="96" cm="1">
        <f t="array" ref="I54">IF($A54="Vestdanmark",IF($C54="Konventionel",IF(I$2=2019,SUMPRODUCT(($B54='Landbrugsareal - resultat'!$B$6:$B$19)*(INDEX('Landbrugsareal - resultat'!$C$6:$E$19,,MATCH($D54,'Landbrugsareal - resultat'!$C$5:$E$5,0)))),IF(I$2=2030,SUMPRODUCT(($B54='Landbrugsareal - resultat'!$B$6:$B$19)*(INDEX('Landbrugsareal - resultat'!$F$6:$H$19,,MATCH($D54,'Landbrugsareal - resultat'!$F$5:$H$5,0)))),SUMPRODUCT(($B54='Landbrugsareal - resultat'!$B$6:$B$19)*(INDEX('Landbrugsareal - resultat'!$I$6:$K$19,,MATCH($D54,'Landbrugsareal - resultat'!$I$5:$K$5,0)))))),IF(I$2=2019,SUMPRODUCT(($B54='Landbrugsareal - resultat'!$B$6:$B$19)*(INDEX('Landbrugsareal - resultat'!$L$6:$N$19,,MATCH($D54,'Landbrugsareal - resultat'!$L$5:$N$5,0)))),IF(I$2=2030,SUMPRODUCT(($B54='Landbrugsareal - resultat'!$B$6:$B$19)*(INDEX('Landbrugsareal - resultat'!$O$6:$Q$19,,MATCH($D54,'Landbrugsareal - resultat'!$O$5:$Q$5,0)))),SUMPRODUCT(($B54='Landbrugsareal - resultat'!$B$6:$B$19)*(INDEX('Landbrugsareal - resultat'!$R$6:$T$19,,MATCH($D54,'Landbrugsareal - resultat'!$R$5:$T$5,0))))))),IF($C54="Konventionel",IF(I$2=2019,SUMPRODUCT((C54='Landbrugsareal - resultat'!$B$33:$B$46)*(INDEX('Landbrugsareal - resultat'!$C$33:$E$46,,MATCH($D54,'Landbrugsareal - resultat'!$C$5:$E$5,0)))),IF(I$2=2030,SUMPRODUCT(($B54='Landbrugsareal - resultat'!$B$33:$B$46)*(INDEX('Landbrugsareal - resultat'!$F$33:$H$46,,MATCH($D54,'Landbrugsareal - resultat'!$F$5:$H$5,0)))),SUMPRODUCT(($B54='Landbrugsareal - resultat'!$B$33:$B$46)*(INDEX('Landbrugsareal - resultat'!$I$33:$K$46,,MATCH($D54,'Landbrugsareal - resultat'!$I$5:$K$5,0)))))),IF(I$2=2019,SUMPRODUCT(($B54='Landbrugsareal - resultat'!$B$33:$B$46)*(INDEX('Landbrugsareal - resultat'!$L$33:$N$46,,MATCH($D54,'Landbrugsareal - resultat'!$L$5:$N$5,0)))),IF(I$2=2030,SUMPRODUCT(($B54='Landbrugsareal - resultat'!$B$33:$B$46)*(INDEX('Landbrugsareal - resultat'!$O$33:$Q$46,,MATCH($D54,'Landbrugsareal - resultat'!$O$5:$Q$5,0)))),SUMPRODUCT(($B54='Landbrugsareal - resultat'!$B$33:$B$46)*(INDEX('Landbrugsareal - resultat'!$R$33:$T$46,,MATCH($D54,'Landbrugsareal - resultat'!$R$5:$T$5,0))))))))</f>
        <v>9115.6556059483319</v>
      </c>
    </row>
    <row r="55" spans="1:9" x14ac:dyDescent="0.25">
      <c r="A55" t="s">
        <v>23</v>
      </c>
      <c r="B55" s="1" t="str">
        <f>[1]Afgrødefordeling!$C$12</f>
        <v>Frø</v>
      </c>
      <c r="C55" t="s">
        <v>8</v>
      </c>
      <c r="D55" t="str">
        <f t="shared" si="4"/>
        <v>JB1-10</v>
      </c>
      <c r="F55" t="str">
        <f t="shared" si="1"/>
        <v>Areal-frøgræs</v>
      </c>
      <c r="G55" s="96" cm="1">
        <f t="array" ref="G55">IF($A55="Vestdanmark",IF($C55="Konventionel",IF(G$2=2019,SUMPRODUCT(($B55='Landbrugsareal - resultat'!$B$6:$B$19)*(INDEX('Landbrugsareal - resultat'!$C$6:$E$19,,MATCH($D55,'Landbrugsareal - resultat'!$C$5:$E$5,0)))),IF(G$2=2030,SUMPRODUCT(($B55='Landbrugsareal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resultat'!$I$5:$K$5,0)))))),IF(G$2=2019,SUMPRODUCT(($B55='Landbrugsareal - resultat'!$B$6:$B$19)*(INDEX('Landbrugsareal - resultat'!$L$6:$N$19,,MATCH($D55,'Landbrugsareal - resultat'!$L$5:$N$5,0)))),IF(G$2=2030,SUMPRODUCT(($B55='Landbrugsareal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resultat'!$R$5:$T$5,0))))))),IF($C55="Konventionel",IF(G$2=2019,SUMPRODUCT((B55='Landbrugsareal - resultat'!$B$33:$B$46)*(INDEX('Landbrugsareal - resultat'!$C$33:$E$46,,MATCH($D55,'Landbrugsareal - resultat'!$C$5:$E$5,0)))),IF(G$2=2030,SUMPRODUCT(($B55='Landbrugsareal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resultat'!$I$5:$K$5,0)))))),IF(G$2=2019,SUMPRODUCT(($B55='Landbrugsareal - resultat'!$B$33:$B$46)*(INDEX('Landbrugsareal - resultat'!$L$33:$N$46,,MATCH($D55,'Landbrugsareal - resultat'!$L$5:$N$5,0)))),IF(G$2=2030,SUMPRODUCT(($B55='Landbrugsareal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6387.934343758774</v>
      </c>
      <c r="H55" s="96" cm="1">
        <f t="array" ref="H55">IF($A55="Vestdanmark",IF($C55="Konventionel",IF(H$2=2019,SUMPRODUCT(($B55='Landbrugsareal - resultat'!$B$6:$B$19)*(INDEX('Landbrugsareal - resultat'!$C$6:$E$19,,MATCH($D55,'Landbrugsareal - resultat'!$C$5:$E$5,0)))),IF(H$2=2030,SUMPRODUCT(($B55='Landbrugsareal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resultat'!$I$5:$K$5,0)))))),IF(H$2=2019,SUMPRODUCT(($B55='Landbrugsareal - resultat'!$B$6:$B$19)*(INDEX('Landbrugsareal - resultat'!$L$6:$N$19,,MATCH($D55,'Landbrugsareal - resultat'!$L$5:$N$5,0)))),IF(H$2=2030,SUMPRODUCT(($B55='Landbrugsareal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resultat'!$R$5:$T$5,0))))))),IF($C55="Konventionel",IF(H$2=2019,SUMPRODUCT(($B55='Landbrugsareal - resultat'!$B$33:$B$46)*(INDEX('Landbrugsareal - resultat'!$C$33:$E$46,,MATCH($D55,'Landbrugsareal - resultat'!$C$5:$E$5,0)))),IF(H$2=2030,SUMPRODUCT(($B55='Landbrugsareal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resultat'!$I$5:$K$5,0)))))),IF(H$2=2019,SUMPRODUCT(($B55='Landbrugsareal - resultat'!$B$33:$B$46)*(INDEX('Landbrugsareal - resultat'!$L$33:$N$46,,MATCH($D55,'Landbrugsareal - resultat'!$L$5:$N$5,0)))),IF(H$2=2030,SUMPRODUCT(($B55='Landbrugsareal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7532.4918912507173</v>
      </c>
      <c r="I55" s="96" cm="1">
        <f t="array" ref="I55">IF($A55="Vestdanmark",IF($C55="Konventionel",IF(I$2=2019,SUMPRODUCT(($B55='Landbrugsareal - resultat'!$B$6:$B$19)*(INDEX('Landbrugsareal - resultat'!$C$6:$E$19,,MATCH($D55,'Landbrugsareal - resultat'!$C$5:$E$5,0)))),IF(I$2=2030,SUMPRODUCT(($B55='Landbrugsareal - resultat'!$B$6:$B$19)*(INDEX('Landbrugsareal - resultat'!$F$6:$H$19,,MATCH($D55,'Landbrugsareal - resultat'!$F$5:$H$5,0)))),SUMPRODUCT(($B55='Landbrugsareal - resultat'!$B$6:$B$19)*(INDEX('Landbrugsareal - resultat'!$I$6:$K$19,,MATCH($D55,'Landbrugsareal - resultat'!$I$5:$K$5,0)))))),IF(I$2=2019,SUMPRODUCT(($B55='Landbrugsareal - resultat'!$B$6:$B$19)*(INDEX('Landbrugsareal - resultat'!$L$6:$N$19,,MATCH($D55,'Landbrugsareal - resultat'!$L$5:$N$5,0)))),IF(I$2=2030,SUMPRODUCT(($B55='Landbrugsareal - resultat'!$B$6:$B$19)*(INDEX('Landbrugsareal - resultat'!$O$6:$Q$19,,MATCH($D55,'Landbrugsareal - resultat'!$O$5:$Q$5,0)))),SUMPRODUCT(($B55='Landbrugsareal - resultat'!$B$6:$B$19)*(INDEX('Landbrugsareal - resultat'!$R$6:$T$19,,MATCH($D55,'Landbrugsareal - resultat'!$R$5:$T$5,0))))))),IF($C55="Konventionel",IF(I$2=2019,SUMPRODUCT((C55='Landbrugsareal - resultat'!$B$33:$B$46)*(INDEX('Landbrugsareal - resultat'!$C$33:$E$46,,MATCH($D55,'Landbrugsareal - resultat'!$C$5:$E$5,0)))),IF(I$2=2030,SUMPRODUCT(($B55='Landbrugsareal - resultat'!$B$33:$B$46)*(INDEX('Landbrugsareal - resultat'!$F$33:$H$46,,MATCH($D55,'Landbrugsareal - resultat'!$F$5:$H$5,0)))),SUMPRODUCT(($B55='Landbrugsareal - resultat'!$B$33:$B$46)*(INDEX('Landbrugsareal - resultat'!$I$33:$K$46,,MATCH($D55,'Landbrugsareal - resultat'!$I$5:$K$5,0)))))),IF(I$2=2019,SUMPRODUCT(($B55='Landbrugsareal - resultat'!$B$33:$B$46)*(INDEX('Landbrugsareal - resultat'!$L$33:$N$46,,MATCH($D55,'Landbrugsareal - resultat'!$L$5:$N$5,0)))),IF(I$2=2030,SUMPRODUCT(($B55='Landbrugsareal - resultat'!$B$33:$B$46)*(INDEX('Landbrugsareal - resultat'!$O$33:$Q$46,,MATCH($D55,'Landbrugsareal - resultat'!$O$5:$Q$5,0)))),SUMPRODUCT(($B55='Landbrugsareal - resultat'!$B$33:$B$46)*(INDEX('Landbrugsareal - resultat'!$R$33:$T$46,,MATCH($D55,'Landbrugsareal - resultat'!$R$5:$T$5,0))))))))</f>
        <v>9588.867996916435</v>
      </c>
    </row>
    <row r="56" spans="1:9" x14ac:dyDescent="0.25">
      <c r="A56" t="s">
        <v>23</v>
      </c>
      <c r="B56" s="1" t="str">
        <f>[1]Afgrødefordeling!$C$13</f>
        <v>Juletræer</v>
      </c>
      <c r="C56" t="s">
        <v>8</v>
      </c>
      <c r="D56" t="str">
        <f t="shared" si="4"/>
        <v>JB1-10</v>
      </c>
      <c r="F56" t="str">
        <f t="shared" si="1"/>
        <v>Areal-juletræer</v>
      </c>
      <c r="G56" s="96" cm="1">
        <f t="array" ref="G56">IF($A56="Vestdanmark",IF($C56="Konventionel",IF(G$2=2019,SUMPRODUCT(($B56='Landbrugsareal - resultat'!$B$6:$B$19)*(INDEX('Landbrugsareal - resultat'!$C$6:$E$19,,MATCH($D56,'Landbrugsareal - resultat'!$C$5:$E$5,0)))),IF(G$2=2030,SUMPRODUCT(($B56='Landbrugsareal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resultat'!$I$5:$K$5,0)))))),IF(G$2=2019,SUMPRODUCT(($B56='Landbrugsareal - resultat'!$B$6:$B$19)*(INDEX('Landbrugsareal - resultat'!$L$6:$N$19,,MATCH($D56,'Landbrugsareal - resultat'!$L$5:$N$5,0)))),IF(G$2=2030,SUMPRODUCT(($B56='Landbrugsareal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resultat'!$R$5:$T$5,0))))))),IF($C56="Konventionel",IF(G$2=2019,SUMPRODUCT((B56='Landbrugsareal - resultat'!$B$33:$B$46)*(INDEX('Landbrugsareal - resultat'!$C$33:$E$46,,MATCH($D56,'Landbrugsareal - resultat'!$C$5:$E$5,0)))),IF(G$2=2030,SUMPRODUCT(($B56='Landbrugsareal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resultat'!$I$5:$K$5,0)))))),IF(G$2=2019,SUMPRODUCT(($B56='Landbrugsareal - resultat'!$B$33:$B$46)*(INDEX('Landbrugsareal - resultat'!$L$33:$N$46,,MATCH($D56,'Landbrugsareal - resultat'!$L$5:$N$5,0)))),IF(G$2=2030,SUMPRODUCT(($B56='Landbrugsareal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1722.1535119056764</v>
      </c>
      <c r="H56" s="96" cm="1">
        <f t="array" ref="H56">IF($A56="Vestdanmark",IF($C56="Konventionel",IF(H$2=2019,SUMPRODUCT(($B56='Landbrugsareal - resultat'!$B$6:$B$19)*(INDEX('Landbrugsareal - resultat'!$C$6:$E$19,,MATCH($D56,'Landbrugsareal - resultat'!$C$5:$E$5,0)))),IF(H$2=2030,SUMPRODUCT(($B56='Landbrugsareal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resultat'!$I$5:$K$5,0)))))),IF(H$2=2019,SUMPRODUCT(($B56='Landbrugsareal - resultat'!$B$6:$B$19)*(INDEX('Landbrugsareal - resultat'!$L$6:$N$19,,MATCH($D56,'Landbrugsareal - resultat'!$L$5:$N$5,0)))),IF(H$2=2030,SUMPRODUCT(($B56='Landbrugsareal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resultat'!$R$5:$T$5,0))))))),IF($C56="Konventionel",IF(H$2=2019,SUMPRODUCT(($B56='Landbrugsareal - resultat'!$B$33:$B$46)*(INDEX('Landbrugsareal - resultat'!$C$33:$E$46,,MATCH($D56,'Landbrugsareal - resultat'!$C$5:$E$5,0)))),IF(H$2=2030,SUMPRODUCT(($B56='Landbrugsareal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resultat'!$I$5:$K$5,0)))))),IF(H$2=2019,SUMPRODUCT(($B56='Landbrugsareal - resultat'!$B$33:$B$46)*(INDEX('Landbrugsareal - resultat'!$L$33:$N$46,,MATCH($D56,'Landbrugsareal - resultat'!$L$5:$N$5,0)))),IF(H$2=2030,SUMPRODUCT(($B56='Landbrugsareal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2030.7202087311116</v>
      </c>
      <c r="I56" s="96" cm="1">
        <f t="array" ref="I56">IF($A56="Vestdanmark",IF($C56="Konventionel",IF(I$2=2019,SUMPRODUCT(($B56='Landbrugsareal - resultat'!$B$6:$B$19)*(INDEX('Landbrugsareal - resultat'!$C$6:$E$19,,MATCH($D56,'Landbrugsareal - resultat'!$C$5:$E$5,0)))),IF(I$2=2030,SUMPRODUCT(($B56='Landbrugsareal - resultat'!$B$6:$B$19)*(INDEX('Landbrugsareal - resultat'!$F$6:$H$19,,MATCH($D56,'Landbrugsareal - resultat'!$F$5:$H$5,0)))),SUMPRODUCT(($B56='Landbrugsareal - resultat'!$B$6:$B$19)*(INDEX('Landbrugsareal - resultat'!$I$6:$K$19,,MATCH($D56,'Landbrugsareal - resultat'!$I$5:$K$5,0)))))),IF(I$2=2019,SUMPRODUCT(($B56='Landbrugsareal - resultat'!$B$6:$B$19)*(INDEX('Landbrugsareal - resultat'!$L$6:$N$19,,MATCH($D56,'Landbrugsareal - resultat'!$L$5:$N$5,0)))),IF(I$2=2030,SUMPRODUCT(($B56='Landbrugsareal - resultat'!$B$6:$B$19)*(INDEX('Landbrugsareal - resultat'!$O$6:$Q$19,,MATCH($D56,'Landbrugsareal - resultat'!$O$5:$Q$5,0)))),SUMPRODUCT(($B56='Landbrugsareal - resultat'!$B$6:$B$19)*(INDEX('Landbrugsareal - resultat'!$R$6:$T$19,,MATCH($D56,'Landbrugsareal - resultat'!$R$5:$T$5,0))))))),IF($C56="Konventionel",IF(I$2=2019,SUMPRODUCT((C56='Landbrugsareal - resultat'!$B$33:$B$46)*(INDEX('Landbrugsareal - resultat'!$C$33:$E$46,,MATCH($D56,'Landbrugsareal - resultat'!$C$5:$E$5,0)))),IF(I$2=2030,SUMPRODUCT(($B56='Landbrugsareal - resultat'!$B$33:$B$46)*(INDEX('Landbrugsareal - resultat'!$F$33:$H$46,,MATCH($D56,'Landbrugsareal - resultat'!$F$5:$H$5,0)))),SUMPRODUCT(($B56='Landbrugsareal - resultat'!$B$33:$B$46)*(INDEX('Landbrugsareal - resultat'!$I$33:$K$46,,MATCH($D56,'Landbrugsareal - resultat'!$I$5:$K$5,0)))))),IF(I$2=2019,SUMPRODUCT(($B56='Landbrugsareal - resultat'!$B$33:$B$46)*(INDEX('Landbrugsareal - resultat'!$L$33:$N$46,,MATCH($D56,'Landbrugsareal - resultat'!$L$5:$N$5,0)))),IF(I$2=2030,SUMPRODUCT(($B56='Landbrugsareal - resultat'!$B$33:$B$46)*(INDEX('Landbrugsareal - resultat'!$O$33:$Q$46,,MATCH($D56,'Landbrugsareal - resultat'!$O$5:$Q$5,0)))),SUMPRODUCT(($B56='Landbrugsareal - resultat'!$B$33:$B$46)*(INDEX('Landbrugsareal - resultat'!$R$33:$T$46,,MATCH($D56,'Landbrugsareal - resultat'!$R$5:$T$5,0))))))))</f>
        <v>2585.1083945820187</v>
      </c>
    </row>
    <row r="57" spans="1:9" x14ac:dyDescent="0.25">
      <c r="A57" t="s">
        <v>23</v>
      </c>
      <c r="B57" s="1" t="str">
        <f>[1]Afgrødefordeling!$C$14</f>
        <v>Pil &amp; poppel</v>
      </c>
      <c r="C57" t="s">
        <v>8</v>
      </c>
      <c r="D57" t="str">
        <f t="shared" si="4"/>
        <v>JB1-10</v>
      </c>
      <c r="F57" t="str">
        <f t="shared" si="1"/>
        <v>Areal-pil-poppel</v>
      </c>
      <c r="G57" s="96" cm="1">
        <f t="array" ref="G57">IF($A57="Vestdanmark",IF($C57="Konventionel",IF(G$2=2019,SUMPRODUCT(($B57='Landbrugsareal - resultat'!$B$6:$B$19)*(INDEX('Landbrugsareal - resultat'!$C$6:$E$19,,MATCH($D57,'Landbrugsareal - resultat'!$C$5:$E$5,0)))),IF(G$2=2030,SUMPRODUCT(($B57='Landbrugsareal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resultat'!$I$5:$K$5,0)))))),IF(G$2=2019,SUMPRODUCT(($B57='Landbrugsareal - resultat'!$B$6:$B$19)*(INDEX('Landbrugsareal - resultat'!$L$6:$N$19,,MATCH($D57,'Landbrugsareal - resultat'!$L$5:$N$5,0)))),IF(G$2=2030,SUMPRODUCT(($B57='Landbrugsareal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resultat'!$R$5:$T$5,0))))))),IF($C57="Konventionel",IF(G$2=2019,SUMPRODUCT((B57='Landbrugsareal - resultat'!$B$33:$B$46)*(INDEX('Landbrugsareal - resultat'!$C$33:$E$46,,MATCH($D57,'Landbrugsareal - resultat'!$C$5:$E$5,0)))),IF(G$2=2030,SUMPRODUCT(($B57='Landbrugsareal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resultat'!$I$5:$K$5,0)))))),IF(G$2=2019,SUMPRODUCT(($B57='Landbrugsareal - resultat'!$B$33:$B$46)*(INDEX('Landbrugsareal - resultat'!$L$33:$N$46,,MATCH($D57,'Landbrugsareal - resultat'!$L$5:$N$5,0)))),IF(G$2=2030,SUMPRODUCT(($B57='Landbrugsareal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633.46331675549425</v>
      </c>
      <c r="H57" s="96" cm="1">
        <f t="array" ref="H57">IF($A57="Vestdanmark",IF($C57="Konventionel",IF(H$2=2019,SUMPRODUCT(($B57='Landbrugsareal - resultat'!$B$6:$B$19)*(INDEX('Landbrugsareal - resultat'!$C$6:$E$19,,MATCH($D57,'Landbrugsareal - resultat'!$C$5:$E$5,0)))),IF(H$2=2030,SUMPRODUCT(($B57='Landbrugsareal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resultat'!$I$5:$K$5,0)))))),IF(H$2=2019,SUMPRODUCT(($B57='Landbrugsareal - resultat'!$B$6:$B$19)*(INDEX('Landbrugsareal - resultat'!$L$6:$N$19,,MATCH($D57,'Landbrugsareal - resultat'!$L$5:$N$5,0)))),IF(H$2=2030,SUMPRODUCT(($B57='Landbrugsareal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resultat'!$R$5:$T$5,0))))))),IF($C57="Konventionel",IF(H$2=2019,SUMPRODUCT(($B57='Landbrugsareal - resultat'!$B$33:$B$46)*(INDEX('Landbrugsareal - resultat'!$C$33:$E$46,,MATCH($D57,'Landbrugsareal - resultat'!$C$5:$E$5,0)))),IF(H$2=2030,SUMPRODUCT(($B57='Landbrugsareal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resultat'!$I$5:$K$5,0)))))),IF(H$2=2019,SUMPRODUCT(($B57='Landbrugsareal - resultat'!$B$33:$B$46)*(INDEX('Landbrugsareal - resultat'!$L$33:$N$46,,MATCH($D57,'Landbrugsareal - resultat'!$L$5:$N$5,0)))),IF(H$2=2030,SUMPRODUCT(($B57='Landbrugsareal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746.96404817114581</v>
      </c>
      <c r="I57" s="96" cm="1">
        <f t="array" ref="I57">IF($A57="Vestdanmark",IF($C57="Konventionel",IF(I$2=2019,SUMPRODUCT(($B57='Landbrugsareal - resultat'!$B$6:$B$19)*(INDEX('Landbrugsareal - resultat'!$C$6:$E$19,,MATCH($D57,'Landbrugsareal - resultat'!$C$5:$E$5,0)))),IF(I$2=2030,SUMPRODUCT(($B57='Landbrugsareal - resultat'!$B$6:$B$19)*(INDEX('Landbrugsareal - resultat'!$F$6:$H$19,,MATCH($D57,'Landbrugsareal - resultat'!$F$5:$H$5,0)))),SUMPRODUCT(($B57='Landbrugsareal - resultat'!$B$6:$B$19)*(INDEX('Landbrugsareal - resultat'!$I$6:$K$19,,MATCH($D57,'Landbrugsareal - resultat'!$I$5:$K$5,0)))))),IF(I$2=2019,SUMPRODUCT(($B57='Landbrugsareal - resultat'!$B$6:$B$19)*(INDEX('Landbrugsareal - resultat'!$L$6:$N$19,,MATCH($D57,'Landbrugsareal - resultat'!$L$5:$N$5,0)))),IF(I$2=2030,SUMPRODUCT(($B57='Landbrugsareal - resultat'!$B$6:$B$19)*(INDEX('Landbrugsareal - resultat'!$O$6:$Q$19,,MATCH($D57,'Landbrugsareal - resultat'!$O$5:$Q$5,0)))),SUMPRODUCT(($B57='Landbrugsareal - resultat'!$B$6:$B$19)*(INDEX('Landbrugsareal - resultat'!$R$6:$T$19,,MATCH($D57,'Landbrugsareal - resultat'!$R$5:$T$5,0))))))),IF($C57="Konventionel",IF(I$2=2019,SUMPRODUCT((C57='Landbrugsareal - resultat'!$B$33:$B$46)*(INDEX('Landbrugsareal - resultat'!$C$33:$E$46,,MATCH($D57,'Landbrugsareal - resultat'!$C$5:$E$5,0)))),IF(I$2=2030,SUMPRODUCT(($B57='Landbrugsareal - resultat'!$B$33:$B$46)*(INDEX('Landbrugsareal - resultat'!$F$33:$H$46,,MATCH($D57,'Landbrugsareal - resultat'!$F$5:$H$5,0)))),SUMPRODUCT(($B57='Landbrugsareal - resultat'!$B$33:$B$46)*(INDEX('Landbrugsareal - resultat'!$I$33:$K$46,,MATCH($D57,'Landbrugsareal - resultat'!$I$5:$K$5,0)))))),IF(I$2=2019,SUMPRODUCT(($B57='Landbrugsareal - resultat'!$B$33:$B$46)*(INDEX('Landbrugsareal - resultat'!$L$33:$N$46,,MATCH($D57,'Landbrugsareal - resultat'!$L$5:$N$5,0)))),IF(I$2=2030,SUMPRODUCT(($B57='Landbrugsareal - resultat'!$B$33:$B$46)*(INDEX('Landbrugsareal - resultat'!$O$33:$Q$46,,MATCH($D57,'Landbrugsareal - resultat'!$O$5:$Q$5,0)))),SUMPRODUCT(($B57='Landbrugsareal - resultat'!$B$33:$B$46)*(INDEX('Landbrugsareal - resultat'!$R$33:$T$46,,MATCH($D57,'Landbrugsareal - resultat'!$R$5:$T$5,0))))))))</f>
        <v>950.88581040160352</v>
      </c>
    </row>
    <row r="58" spans="1:9" x14ac:dyDescent="0.25">
      <c r="A58" t="s">
        <v>23</v>
      </c>
      <c r="B58" s="1" t="str">
        <f>[1]Afgrødefordeling!$C$15</f>
        <v>Permanent græs</v>
      </c>
      <c r="C58" t="s">
        <v>8</v>
      </c>
      <c r="D58" t="str">
        <f t="shared" si="4"/>
        <v>JB1-10</v>
      </c>
      <c r="F58" t="str">
        <f t="shared" si="1"/>
        <v>Areal-permanent græs</v>
      </c>
      <c r="G58" s="96" cm="1">
        <f t="array" ref="G58">IF($A58="Vestdanmark",IF($C58="Konventionel",IF(G$2=2019,SUMPRODUCT(($B58='Landbrugsareal - resultat'!$B$6:$B$19)*(INDEX('Landbrugsareal - resultat'!$C$6:$E$19,,MATCH($D58,'Landbrugsareal - resultat'!$C$5:$E$5,0)))),IF(G$2=2030,SUMPRODUCT(($B58='Landbrugsareal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resultat'!$I$5:$K$5,0)))))),IF(G$2=2019,SUMPRODUCT(($B58='Landbrugsareal - resultat'!$B$6:$B$19)*(INDEX('Landbrugsareal - resultat'!$L$6:$N$19,,MATCH($D58,'Landbrugsareal - resultat'!$L$5:$N$5,0)))),IF(G$2=2030,SUMPRODUCT(($B58='Landbrugsareal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resultat'!$R$5:$T$5,0))))))),IF($C58="Konventionel",IF(G$2=2019,SUMPRODUCT((B58='Landbrugsareal - resultat'!$B$33:$B$46)*(INDEX('Landbrugsareal - resultat'!$C$33:$E$46,,MATCH($D58,'Landbrugsareal - resultat'!$C$5:$E$5,0)))),IF(G$2=2030,SUMPRODUCT(($B58='Landbrugsareal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resultat'!$I$5:$K$5,0)))))),IF(G$2=2019,SUMPRODUCT(($B58='Landbrugsareal - resultat'!$B$33:$B$46)*(INDEX('Landbrugsareal - resultat'!$L$33:$N$46,,MATCH($D58,'Landbrugsareal - resultat'!$L$5:$N$5,0)))),IF(G$2=2030,SUMPRODUCT(($B58='Landbrugsareal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15268.703252333511</v>
      </c>
      <c r="H58" s="96" cm="1">
        <f t="array" ref="H58">IF($A58="Vestdanmark",IF($C58="Konventionel",IF(H$2=2019,SUMPRODUCT(($B58='Landbrugsareal - resultat'!$B$6:$B$19)*(INDEX('Landbrugsareal - resultat'!$C$6:$E$19,,MATCH($D58,'Landbrugsareal - resultat'!$C$5:$E$5,0)))),IF(H$2=2030,SUMPRODUCT(($B58='Landbrugsareal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resultat'!$I$5:$K$5,0)))))),IF(H$2=2019,SUMPRODUCT(($B58='Landbrugsareal - resultat'!$B$6:$B$19)*(INDEX('Landbrugsareal - resultat'!$L$6:$N$19,,MATCH($D58,'Landbrugsareal - resultat'!$L$5:$N$5,0)))),IF(H$2=2030,SUMPRODUCT(($B58='Landbrugsareal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resultat'!$R$5:$T$5,0))))))),IF($C58="Konventionel",IF(H$2=2019,SUMPRODUCT(($B58='Landbrugsareal - resultat'!$B$33:$B$46)*(INDEX('Landbrugsareal - resultat'!$C$33:$E$46,,MATCH($D58,'Landbrugsareal - resultat'!$C$5:$E$5,0)))),IF(H$2=2030,SUMPRODUCT(($B58='Landbrugsareal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resultat'!$I$5:$K$5,0)))))),IF(H$2=2019,SUMPRODUCT(($B58='Landbrugsareal - resultat'!$B$33:$B$46)*(INDEX('Landbrugsareal - resultat'!$L$33:$N$46,,MATCH($D58,'Landbrugsareal - resultat'!$L$5:$N$5,0)))),IF(H$2=2030,SUMPRODUCT(($B58='Landbrugsareal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18004.47175079149</v>
      </c>
      <c r="I58" s="96" cm="1">
        <f t="array" ref="I58">IF($A58="Vestdanmark",IF($C58="Konventionel",IF(I$2=2019,SUMPRODUCT(($B58='Landbrugsareal - resultat'!$B$6:$B$19)*(INDEX('Landbrugsareal - resultat'!$C$6:$E$19,,MATCH($D58,'Landbrugsareal - resultat'!$C$5:$E$5,0)))),IF(I$2=2030,SUMPRODUCT(($B58='Landbrugsareal - resultat'!$B$6:$B$19)*(INDEX('Landbrugsareal - resultat'!$F$6:$H$19,,MATCH($D58,'Landbrugsareal - resultat'!$F$5:$H$5,0)))),SUMPRODUCT(($B58='Landbrugsareal - resultat'!$B$6:$B$19)*(INDEX('Landbrugsareal - resultat'!$I$6:$K$19,,MATCH($D58,'Landbrugsareal - resultat'!$I$5:$K$5,0)))))),IF(I$2=2019,SUMPRODUCT(($B58='Landbrugsareal - resultat'!$B$6:$B$19)*(INDEX('Landbrugsareal - resultat'!$L$6:$N$19,,MATCH($D58,'Landbrugsareal - resultat'!$L$5:$N$5,0)))),IF(I$2=2030,SUMPRODUCT(($B58='Landbrugsareal - resultat'!$B$6:$B$19)*(INDEX('Landbrugsareal - resultat'!$O$6:$Q$19,,MATCH($D58,'Landbrugsareal - resultat'!$O$5:$Q$5,0)))),SUMPRODUCT(($B58='Landbrugsareal - resultat'!$B$6:$B$19)*(INDEX('Landbrugsareal - resultat'!$R$6:$T$19,,MATCH($D58,'Landbrugsareal - resultat'!$R$5:$T$5,0))))))),IF($C58="Konventionel",IF(I$2=2019,SUMPRODUCT((C58='Landbrugsareal - resultat'!$B$33:$B$46)*(INDEX('Landbrugsareal - resultat'!$C$33:$E$46,,MATCH($D58,'Landbrugsareal - resultat'!$C$5:$E$5,0)))),IF(I$2=2030,SUMPRODUCT(($B58='Landbrugsareal - resultat'!$B$33:$B$46)*(INDEX('Landbrugsareal - resultat'!$F$33:$H$46,,MATCH($D58,'Landbrugsareal - resultat'!$F$5:$H$5,0)))),SUMPRODUCT(($B58='Landbrugsareal - resultat'!$B$33:$B$46)*(INDEX('Landbrugsareal - resultat'!$I$33:$K$46,,MATCH($D58,'Landbrugsareal - resultat'!$I$5:$K$5,0)))))),IF(I$2=2019,SUMPRODUCT(($B58='Landbrugsareal - resultat'!$B$33:$B$46)*(INDEX('Landbrugsareal - resultat'!$L$33:$N$46,,MATCH($D58,'Landbrugsareal - resultat'!$L$5:$N$5,0)))),IF(I$2=2030,SUMPRODUCT(($B58='Landbrugsareal - resultat'!$B$33:$B$46)*(INDEX('Landbrugsareal - resultat'!$O$33:$Q$46,,MATCH($D58,'Landbrugsareal - resultat'!$O$5:$Q$5,0)))),SUMPRODUCT(($B58='Landbrugsareal - resultat'!$B$33:$B$46)*(INDEX('Landbrugsareal - resultat'!$R$33:$T$46,,MATCH($D58,'Landbrugsareal - resultat'!$R$5:$T$5,0))))))))</f>
        <v>22919.706448417357</v>
      </c>
    </row>
    <row r="59" spans="1:9" x14ac:dyDescent="0.25">
      <c r="A59" t="s">
        <v>23</v>
      </c>
      <c r="B59" s="1" t="str">
        <f>[1]Afgrødefordeling!$C$2</f>
        <v>Korn</v>
      </c>
      <c r="C59" t="s">
        <v>8</v>
      </c>
      <c r="D59" t="str">
        <f t="shared" ref="D59:D72" si="5">Organ6</f>
        <v>OC6</v>
      </c>
      <c r="F59" t="str">
        <f t="shared" si="1"/>
        <v>Areal-korn</v>
      </c>
      <c r="G59" s="96" cm="1">
        <f t="array" ref="G59">IF($A59="Vestdanmark",IF($C59="Konventionel",IF(G$2=2019,SUMPRODUCT(($B59='Landbrugsareal - resultat'!$B$6:$B$19)*(INDEX('Landbrugsareal - resultat'!$C$6:$E$19,,MATCH($D59,'Landbrugsareal - resultat'!$C$5:$E$5,0)))),IF(G$2=2030,SUMPRODUCT(($B59='Landbrugsareal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resultat'!$I$5:$K$5,0)))))),IF(G$2=2019,SUMPRODUCT(($B59='Landbrugsareal - resultat'!$B$6:$B$19)*(INDEX('Landbrugsareal - resultat'!$L$6:$N$19,,MATCH($D59,'Landbrugsareal - resultat'!$L$5:$N$5,0)))),IF(G$2=2030,SUMPRODUCT(($B59='Landbrugsareal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resultat'!$R$5:$T$5,0))))))),IF($C59="Konventionel",IF(G$2=2019,SUMPRODUCT((B59='Landbrugsareal - resultat'!$B$33:$B$46)*(INDEX('Landbrugsareal - resultat'!$C$33:$E$46,,MATCH($D59,'Landbrugsareal - resultat'!$C$5:$E$5,0)))),IF(G$2=2030,SUMPRODUCT(($B59='Landbrugsareal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resultat'!$I$5:$K$5,0)))))),IF(G$2=2019,SUMPRODUCT(($B59='Landbrugsareal - resultat'!$B$33:$B$46)*(INDEX('Landbrugsareal - resultat'!$L$33:$N$46,,MATCH($D59,'Landbrugsareal - resultat'!$L$5:$N$5,0)))),IF(G$2=2030,SUMPRODUCT(($B59='Landbrugsareal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2894.2627984460178</v>
      </c>
      <c r="H59" s="96" cm="1">
        <f t="array" ref="H59">IF($A59="Vestdanmark",IF($C59="Konventionel",IF(H$2=2019,SUMPRODUCT(($B59='Landbrugsareal - resultat'!$B$6:$B$19)*(INDEX('Landbrugsareal - resultat'!$C$6:$E$19,,MATCH($D59,'Landbrugsareal - resultat'!$C$5:$E$5,0)))),IF(H$2=2030,SUMPRODUCT(($B59='Landbrugsareal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resultat'!$I$5:$K$5,0)))))),IF(H$2=2019,SUMPRODUCT(($B59='Landbrugsareal - resultat'!$B$6:$B$19)*(INDEX('Landbrugsareal - resultat'!$L$6:$N$19,,MATCH($D59,'Landbrugsareal - resultat'!$L$5:$N$5,0)))),IF(H$2=2030,SUMPRODUCT(($B59='Landbrugsareal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resultat'!$R$5:$T$5,0))))))),IF($C59="Konventionel",IF(H$2=2019,SUMPRODUCT(($B59='Landbrugsareal - resultat'!$B$33:$B$46)*(INDEX('Landbrugsareal - resultat'!$C$33:$E$46,,MATCH($D59,'Landbrugsareal - resultat'!$C$5:$E$5,0)))),IF(H$2=2030,SUMPRODUCT(($B59='Landbrugsareal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resultat'!$I$5:$K$5,0)))))),IF(H$2=2019,SUMPRODUCT(($B59='Landbrugsareal - resultat'!$B$33:$B$46)*(INDEX('Landbrugsareal - resultat'!$L$33:$N$46,,MATCH($D59,'Landbrugsareal - resultat'!$L$5:$N$5,0)))),IF(H$2=2030,SUMPRODUCT(($B59='Landbrugsareal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3189.372525590622</v>
      </c>
      <c r="I59" s="96" cm="1">
        <f t="array" ref="I59">IF($A59="Vestdanmark",IF($C59="Konventionel",IF(I$2=2019,SUMPRODUCT(($B59='Landbrugsareal - resultat'!$B$6:$B$19)*(INDEX('Landbrugsareal - resultat'!$C$6:$E$19,,MATCH($D59,'Landbrugsareal - resultat'!$C$5:$E$5,0)))),IF(I$2=2030,SUMPRODUCT(($B59='Landbrugsareal - resultat'!$B$6:$B$19)*(INDEX('Landbrugsareal - resultat'!$F$6:$H$19,,MATCH($D59,'Landbrugsareal - resultat'!$F$5:$H$5,0)))),SUMPRODUCT(($B59='Landbrugsareal - resultat'!$B$6:$B$19)*(INDEX('Landbrugsareal - resultat'!$I$6:$K$19,,MATCH($D59,'Landbrugsareal - resultat'!$I$5:$K$5,0)))))),IF(I$2=2019,SUMPRODUCT(($B59='Landbrugsareal - resultat'!$B$6:$B$19)*(INDEX('Landbrugsareal - resultat'!$L$6:$N$19,,MATCH($D59,'Landbrugsareal - resultat'!$L$5:$N$5,0)))),IF(I$2=2030,SUMPRODUCT(($B59='Landbrugsareal - resultat'!$B$6:$B$19)*(INDEX('Landbrugsareal - resultat'!$O$6:$Q$19,,MATCH($D59,'Landbrugsareal - resultat'!$O$5:$Q$5,0)))),SUMPRODUCT(($B59='Landbrugsareal - resultat'!$B$6:$B$19)*(INDEX('Landbrugsareal - resultat'!$R$6:$T$19,,MATCH($D59,'Landbrugsareal - resultat'!$R$5:$T$5,0))))))),IF($C59="Konventionel",IF(I$2=2019,SUMPRODUCT((C59='Landbrugsareal - resultat'!$B$33:$B$46)*(INDEX('Landbrugsareal - resultat'!$C$33:$E$46,,MATCH($D59,'Landbrugsareal - resultat'!$C$5:$E$5,0)))),IF(I$2=2030,SUMPRODUCT(($B59='Landbrugsareal - resultat'!$B$33:$B$46)*(INDEX('Landbrugsareal - resultat'!$F$33:$H$46,,MATCH($D59,'Landbrugsareal - resultat'!$F$5:$H$5,0)))),SUMPRODUCT(($B59='Landbrugsareal - resultat'!$B$33:$B$46)*(INDEX('Landbrugsareal - resultat'!$I$33:$K$46,,MATCH($D59,'Landbrugsareal - resultat'!$I$5:$K$5,0)))))),IF(I$2=2019,SUMPRODUCT(($B59='Landbrugsareal - resultat'!$B$33:$B$46)*(INDEX('Landbrugsareal - resultat'!$L$33:$N$46,,MATCH($D59,'Landbrugsareal - resultat'!$L$5:$N$5,0)))),IF(I$2=2030,SUMPRODUCT(($B59='Landbrugsareal - resultat'!$B$33:$B$46)*(INDEX('Landbrugsareal - resultat'!$O$33:$Q$46,,MATCH($D59,'Landbrugsareal - resultat'!$O$5:$Q$5,0)))),SUMPRODUCT(($B59='Landbrugsareal - resultat'!$B$33:$B$46)*(INDEX('Landbrugsareal - resultat'!$R$33:$T$46,,MATCH($D59,'Landbrugsareal - resultat'!$R$5:$T$5,0))))))))</f>
        <v>4134.3717924322873</v>
      </c>
    </row>
    <row r="60" spans="1:9" x14ac:dyDescent="0.25">
      <c r="A60" t="s">
        <v>23</v>
      </c>
      <c r="B60" s="1" t="str">
        <f>[1]Afgrødefordeling!$C$3</f>
        <v>Bælgsæd</v>
      </c>
      <c r="C60" t="s">
        <v>8</v>
      </c>
      <c r="D60" t="str">
        <f t="shared" si="5"/>
        <v>OC6</v>
      </c>
      <c r="F60" t="str">
        <f t="shared" si="1"/>
        <v>Areal-bælgsæd</v>
      </c>
      <c r="G60" s="96" cm="1">
        <f t="array" ref="G60">IF($A60="Vestdanmark",IF($C60="Konventionel",IF(G$2=2019,SUMPRODUCT(($B60='Landbrugsareal - resultat'!$B$6:$B$19)*(INDEX('Landbrugsareal - resultat'!$C$6:$E$19,,MATCH($D60,'Landbrugsareal - resultat'!$C$5:$E$5,0)))),IF(G$2=2030,SUMPRODUCT(($B60='Landbrugsareal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resultat'!$I$5:$K$5,0)))))),IF(G$2=2019,SUMPRODUCT(($B60='Landbrugsareal - resultat'!$B$6:$B$19)*(INDEX('Landbrugsareal - resultat'!$L$6:$N$19,,MATCH($D60,'Landbrugsareal - resultat'!$L$5:$N$5,0)))),IF(G$2=2030,SUMPRODUCT(($B60='Landbrugsareal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resultat'!$R$5:$T$5,0))))))),IF($C60="Konventionel",IF(G$2=2019,SUMPRODUCT((B60='Landbrugsareal - resultat'!$B$33:$B$46)*(INDEX('Landbrugsareal - resultat'!$C$33:$E$46,,MATCH($D60,'Landbrugsareal - resultat'!$C$5:$E$5,0)))),IF(G$2=2030,SUMPRODUCT(($B60='Landbrugsareal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resultat'!$I$5:$K$5,0)))))),IF(G$2=2019,SUMPRODUCT(($B60='Landbrugsareal - resultat'!$B$33:$B$46)*(INDEX('Landbrugsareal - resultat'!$L$33:$N$46,,MATCH($D60,'Landbrugsareal - resultat'!$L$5:$N$5,0)))),IF(G$2=2030,SUMPRODUCT(($B60='Landbrugsareal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248.10837166177816</v>
      </c>
      <c r="H60" s="96" cm="1">
        <f t="array" ref="H60">IF($A60="Vestdanmark",IF($C60="Konventionel",IF(H$2=2019,SUMPRODUCT(($B60='Landbrugsareal - resultat'!$B$6:$B$19)*(INDEX('Landbrugsareal - resultat'!$C$6:$E$19,,MATCH($D60,'Landbrugsareal - resultat'!$C$5:$E$5,0)))),IF(H$2=2030,SUMPRODUCT(($B60='Landbrugsareal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resultat'!$I$5:$K$5,0)))))),IF(H$2=2019,SUMPRODUCT(($B60='Landbrugsareal - resultat'!$B$6:$B$19)*(INDEX('Landbrugsareal - resultat'!$L$6:$N$19,,MATCH($D60,'Landbrugsareal - resultat'!$L$5:$N$5,0)))),IF(H$2=2030,SUMPRODUCT(($B60='Landbrugsareal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resultat'!$R$5:$T$5,0))))))),IF($C60="Konventionel",IF(H$2=2019,SUMPRODUCT(($B60='Landbrugsareal - resultat'!$B$33:$B$46)*(INDEX('Landbrugsareal - resultat'!$C$33:$E$46,,MATCH($D60,'Landbrugsareal - resultat'!$C$5:$E$5,0)))),IF(H$2=2030,SUMPRODUCT(($B60='Landbrugsareal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resultat'!$I$5:$K$5,0)))))),IF(H$2=2019,SUMPRODUCT(($B60='Landbrugsareal - resultat'!$B$33:$B$46)*(INDEX('Landbrugsareal - resultat'!$L$33:$N$46,,MATCH($D60,'Landbrugsareal - resultat'!$L$5:$N$5,0)))),IF(H$2=2030,SUMPRODUCT(($B60='Landbrugsareal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273.4064178180264</v>
      </c>
      <c r="I60" s="96" cm="1">
        <f t="array" ref="I60">IF($A60="Vestdanmark",IF($C60="Konventionel",IF(I$2=2019,SUMPRODUCT(($B60='Landbrugsareal - resultat'!$B$6:$B$19)*(INDEX('Landbrugsareal - resultat'!$C$6:$E$19,,MATCH($D60,'Landbrugsareal - resultat'!$C$5:$E$5,0)))),IF(I$2=2030,SUMPRODUCT(($B60='Landbrugsareal - resultat'!$B$6:$B$19)*(INDEX('Landbrugsareal - resultat'!$F$6:$H$19,,MATCH($D60,'Landbrugsareal - resultat'!$F$5:$H$5,0)))),SUMPRODUCT(($B60='Landbrugsareal - resultat'!$B$6:$B$19)*(INDEX('Landbrugsareal - resultat'!$I$6:$K$19,,MATCH($D60,'Landbrugsareal - resultat'!$I$5:$K$5,0)))))),IF(I$2=2019,SUMPRODUCT(($B60='Landbrugsareal - resultat'!$B$6:$B$19)*(INDEX('Landbrugsareal - resultat'!$L$6:$N$19,,MATCH($D60,'Landbrugsareal - resultat'!$L$5:$N$5,0)))),IF(I$2=2030,SUMPRODUCT(($B60='Landbrugsareal - resultat'!$B$6:$B$19)*(INDEX('Landbrugsareal - resultat'!$O$6:$Q$19,,MATCH($D60,'Landbrugsareal - resultat'!$O$5:$Q$5,0)))),SUMPRODUCT(($B60='Landbrugsareal - resultat'!$B$6:$B$19)*(INDEX('Landbrugsareal - resultat'!$R$6:$T$19,,MATCH($D60,'Landbrugsareal - resultat'!$R$5:$T$5,0))))))),IF($C60="Konventionel",IF(I$2=2019,SUMPRODUCT((C60='Landbrugsareal - resultat'!$B$33:$B$46)*(INDEX('Landbrugsareal - resultat'!$C$33:$E$46,,MATCH($D60,'Landbrugsareal - resultat'!$C$5:$E$5,0)))),IF(I$2=2030,SUMPRODUCT(($B60='Landbrugsareal - resultat'!$B$33:$B$46)*(INDEX('Landbrugsareal - resultat'!$F$33:$H$46,,MATCH($D60,'Landbrugsareal - resultat'!$F$5:$H$5,0)))),SUMPRODUCT(($B60='Landbrugsareal - resultat'!$B$33:$B$46)*(INDEX('Landbrugsareal - resultat'!$I$33:$K$46,,MATCH($D60,'Landbrugsareal - resultat'!$I$5:$K$5,0)))))),IF(I$2=2019,SUMPRODUCT(($B60='Landbrugsareal - resultat'!$B$33:$B$46)*(INDEX('Landbrugsareal - resultat'!$L$33:$N$46,,MATCH($D60,'Landbrugsareal - resultat'!$L$5:$N$5,0)))),IF(I$2=2030,SUMPRODUCT(($B60='Landbrugsareal - resultat'!$B$33:$B$46)*(INDEX('Landbrugsareal - resultat'!$O$33:$Q$46,,MATCH($D60,'Landbrugsareal - resultat'!$O$5:$Q$5,0)))),SUMPRODUCT(($B60='Landbrugsareal - resultat'!$B$33:$B$46)*(INDEX('Landbrugsareal - resultat'!$R$33:$T$46,,MATCH($D60,'Landbrugsareal - resultat'!$R$5:$T$5,0))))))))</f>
        <v>354.41572680114524</v>
      </c>
    </row>
    <row r="61" spans="1:9" x14ac:dyDescent="0.25">
      <c r="A61" t="s">
        <v>23</v>
      </c>
      <c r="B61" s="1" t="str">
        <f>[1]Afgrødefordeling!$C$4</f>
        <v>Raps</v>
      </c>
      <c r="C61" t="s">
        <v>8</v>
      </c>
      <c r="D61" t="str">
        <f t="shared" si="5"/>
        <v>OC6</v>
      </c>
      <c r="F61" t="str">
        <f t="shared" si="1"/>
        <v>Areal-raps</v>
      </c>
      <c r="G61" s="96" cm="1">
        <f t="array" ref="G61">IF($A61="Vestdanmark",IF($C61="Konventionel",IF(G$2=2019,SUMPRODUCT(($B61='Landbrugsareal - resultat'!$B$6:$B$19)*(INDEX('Landbrugsareal - resultat'!$C$6:$E$19,,MATCH($D61,'Landbrugsareal - resultat'!$C$5:$E$5,0)))),IF(G$2=2030,SUMPRODUCT(($B61='Landbrugsareal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resultat'!$I$5:$K$5,0)))))),IF(G$2=2019,SUMPRODUCT(($B61='Landbrugsareal - resultat'!$B$6:$B$19)*(INDEX('Landbrugsareal - resultat'!$L$6:$N$19,,MATCH($D61,'Landbrugsareal - resultat'!$L$5:$N$5,0)))),IF(G$2=2030,SUMPRODUCT(($B61='Landbrugsareal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resultat'!$R$5:$T$5,0))))))),IF($C61="Konventionel",IF(G$2=2019,SUMPRODUCT((B61='Landbrugsareal - resultat'!$B$33:$B$46)*(INDEX('Landbrugsareal - resultat'!$C$33:$E$46,,MATCH($D61,'Landbrugsareal - resultat'!$C$5:$E$5,0)))),IF(G$2=2030,SUMPRODUCT(($B61='Landbrugsareal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resultat'!$I$5:$K$5,0)))))),IF(G$2=2019,SUMPRODUCT(($B61='Landbrugsareal - resultat'!$B$33:$B$46)*(INDEX('Landbrugsareal - resultat'!$L$33:$N$46,,MATCH($D61,'Landbrugsareal - resultat'!$L$5:$N$5,0)))),IF(G$2=2030,SUMPRODUCT(($B61='Landbrugsareal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265.67022617540744</v>
      </c>
      <c r="H61" s="96" cm="1">
        <f t="array" ref="H61">IF($A61="Vestdanmark",IF($C61="Konventionel",IF(H$2=2019,SUMPRODUCT(($B61='Landbrugsareal - resultat'!$B$6:$B$19)*(INDEX('Landbrugsareal - resultat'!$C$6:$E$19,,MATCH($D61,'Landbrugsareal - resultat'!$C$5:$E$5,0)))),IF(H$2=2030,SUMPRODUCT(($B61='Landbrugsareal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resultat'!$I$5:$K$5,0)))))),IF(H$2=2019,SUMPRODUCT(($B61='Landbrugsareal - resultat'!$B$6:$B$19)*(INDEX('Landbrugsareal - resultat'!$L$6:$N$19,,MATCH($D61,'Landbrugsareal - resultat'!$L$5:$N$5,0)))),IF(H$2=2030,SUMPRODUCT(($B61='Landbrugsareal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resultat'!$R$5:$T$5,0))))))),IF($C61="Konventionel",IF(H$2=2019,SUMPRODUCT(($B61='Landbrugsareal - resultat'!$B$33:$B$46)*(INDEX('Landbrugsareal - resultat'!$C$33:$E$46,,MATCH($D61,'Landbrugsareal - resultat'!$C$5:$E$5,0)))),IF(H$2=2030,SUMPRODUCT(($B61='Landbrugsareal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resultat'!$I$5:$K$5,0)))))),IF(H$2=2019,SUMPRODUCT(($B61='Landbrugsareal - resultat'!$B$33:$B$46)*(INDEX('Landbrugsareal - resultat'!$L$33:$N$46,,MATCH($D61,'Landbrugsareal - resultat'!$L$5:$N$5,0)))),IF(H$2=2030,SUMPRODUCT(($B61='Landbrugsareal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292.75894389626029</v>
      </c>
      <c r="I61" s="96" cm="1">
        <f t="array" ref="I61">IF($A61="Vestdanmark",IF($C61="Konventionel",IF(I$2=2019,SUMPRODUCT(($B61='Landbrugsareal - resultat'!$B$6:$B$19)*(INDEX('Landbrugsareal - resultat'!$C$6:$E$19,,MATCH($D61,'Landbrugsareal - resultat'!$C$5:$E$5,0)))),IF(I$2=2030,SUMPRODUCT(($B61='Landbrugsareal - resultat'!$B$6:$B$19)*(INDEX('Landbrugsareal - resultat'!$F$6:$H$19,,MATCH($D61,'Landbrugsareal - resultat'!$F$5:$H$5,0)))),SUMPRODUCT(($B61='Landbrugsareal - resultat'!$B$6:$B$19)*(INDEX('Landbrugsareal - resultat'!$I$6:$K$19,,MATCH($D61,'Landbrugsareal - resultat'!$I$5:$K$5,0)))))),IF(I$2=2019,SUMPRODUCT(($B61='Landbrugsareal - resultat'!$B$6:$B$19)*(INDEX('Landbrugsareal - resultat'!$L$6:$N$19,,MATCH($D61,'Landbrugsareal - resultat'!$L$5:$N$5,0)))),IF(I$2=2030,SUMPRODUCT(($B61='Landbrugsareal - resultat'!$B$6:$B$19)*(INDEX('Landbrugsareal - resultat'!$O$6:$Q$19,,MATCH($D61,'Landbrugsareal - resultat'!$O$5:$Q$5,0)))),SUMPRODUCT(($B61='Landbrugsareal - resultat'!$B$6:$B$19)*(INDEX('Landbrugsareal - resultat'!$R$6:$T$19,,MATCH($D61,'Landbrugsareal - resultat'!$R$5:$T$5,0))))))),IF($C61="Konventionel",IF(I$2=2019,SUMPRODUCT((C61='Landbrugsareal - resultat'!$B$33:$B$46)*(INDEX('Landbrugsareal - resultat'!$C$33:$E$46,,MATCH($D61,'Landbrugsareal - resultat'!$C$5:$E$5,0)))),IF(I$2=2030,SUMPRODUCT(($B61='Landbrugsareal - resultat'!$B$33:$B$46)*(INDEX('Landbrugsareal - resultat'!$F$33:$H$46,,MATCH($D61,'Landbrugsareal - resultat'!$F$5:$H$5,0)))),SUMPRODUCT(($B61='Landbrugsareal - resultat'!$B$33:$B$46)*(INDEX('Landbrugsareal - resultat'!$I$33:$K$46,,MATCH($D61,'Landbrugsareal - resultat'!$I$5:$K$5,0)))))),IF(I$2=2019,SUMPRODUCT(($B61='Landbrugsareal - resultat'!$B$33:$B$46)*(INDEX('Landbrugsareal - resultat'!$L$33:$N$46,,MATCH($D61,'Landbrugsareal - resultat'!$L$5:$N$5,0)))),IF(I$2=2030,SUMPRODUCT(($B61='Landbrugsareal - resultat'!$B$33:$B$46)*(INDEX('Landbrugsareal - resultat'!$O$33:$Q$46,,MATCH($D61,'Landbrugsareal - resultat'!$O$5:$Q$5,0)))),SUMPRODUCT(($B61='Landbrugsareal - resultat'!$B$33:$B$46)*(INDEX('Landbrugsareal - resultat'!$R$33:$T$46,,MATCH($D61,'Landbrugsareal - resultat'!$R$5:$T$5,0))))))))</f>
        <v>379.50233468033741</v>
      </c>
    </row>
    <row r="62" spans="1:9" x14ac:dyDescent="0.25">
      <c r="A62" t="s">
        <v>23</v>
      </c>
      <c r="B62" s="1" t="str">
        <f>[1]Afgrødefordeling!$C$5</f>
        <v>Græs</v>
      </c>
      <c r="C62" t="s">
        <v>8</v>
      </c>
      <c r="D62" t="str">
        <f t="shared" si="5"/>
        <v>OC6</v>
      </c>
      <c r="F62" t="str">
        <f t="shared" si="1"/>
        <v>Areal-græs</v>
      </c>
      <c r="G62" s="96" cm="1">
        <f t="array" ref="G62">IF($A62="Vestdanmark",IF($C62="Konventionel",IF(G$2=2019,SUMPRODUCT(($B62='Landbrugsareal - resultat'!$B$6:$B$19)*(INDEX('Landbrugsareal - resultat'!$C$6:$E$19,,MATCH($D62,'Landbrugsareal - resultat'!$C$5:$E$5,0)))),IF(G$2=2030,SUMPRODUCT(($B62='Landbrugsareal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resultat'!$I$5:$K$5,0)))))),IF(G$2=2019,SUMPRODUCT(($B62='Landbrugsareal - resultat'!$B$6:$B$19)*(INDEX('Landbrugsareal - resultat'!$L$6:$N$19,,MATCH($D62,'Landbrugsareal - resultat'!$L$5:$N$5,0)))),IF(G$2=2030,SUMPRODUCT(($B62='Landbrugsareal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resultat'!$R$5:$T$5,0))))))),IF($C62="Konventionel",IF(G$2=2019,SUMPRODUCT((B62='Landbrugsareal - resultat'!$B$33:$B$46)*(INDEX('Landbrugsareal - resultat'!$C$33:$E$46,,MATCH($D62,'Landbrugsareal - resultat'!$C$5:$E$5,0)))),IF(G$2=2030,SUMPRODUCT(($B62='Landbrugsareal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resultat'!$I$5:$K$5,0)))))),IF(G$2=2019,SUMPRODUCT(($B62='Landbrugsareal - resultat'!$B$33:$B$46)*(INDEX('Landbrugsareal - resultat'!$L$33:$N$46,,MATCH($D62,'Landbrugsareal - resultat'!$L$5:$N$5,0)))),IF(G$2=2030,SUMPRODUCT(($B62='Landbrugsareal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2451.6986230474936</v>
      </c>
      <c r="H62" s="96" cm="1">
        <f t="array" ref="H62">IF($A62="Vestdanmark",IF($C62="Konventionel",IF(H$2=2019,SUMPRODUCT(($B62='Landbrugsareal - resultat'!$B$6:$B$19)*(INDEX('Landbrugsareal - resultat'!$C$6:$E$19,,MATCH($D62,'Landbrugsareal - resultat'!$C$5:$E$5,0)))),IF(H$2=2030,SUMPRODUCT(($B62='Landbrugsareal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resultat'!$I$5:$K$5,0)))))),IF(H$2=2019,SUMPRODUCT(($B62='Landbrugsareal - resultat'!$B$6:$B$19)*(INDEX('Landbrugsareal - resultat'!$L$6:$N$19,,MATCH($D62,'Landbrugsareal - resultat'!$L$5:$N$5,0)))),IF(H$2=2030,SUMPRODUCT(($B62='Landbrugsareal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resultat'!$R$5:$T$5,0))))))),IF($C62="Konventionel",IF(H$2=2019,SUMPRODUCT(($B62='Landbrugsareal - resultat'!$B$33:$B$46)*(INDEX('Landbrugsareal - resultat'!$C$33:$E$46,,MATCH($D62,'Landbrugsareal - resultat'!$C$5:$E$5,0)))),IF(H$2=2030,SUMPRODUCT(($B62='Landbrugsareal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resultat'!$I$5:$K$5,0)))))),IF(H$2=2019,SUMPRODUCT(($B62='Landbrugsareal - resultat'!$B$33:$B$46)*(INDEX('Landbrugsareal - resultat'!$L$33:$N$46,,MATCH($D62,'Landbrugsareal - resultat'!$L$5:$N$5,0)))),IF(H$2=2030,SUMPRODUCT(($B62='Landbrugsareal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2701.6828719128071</v>
      </c>
      <c r="I62" s="96" cm="1">
        <f t="array" ref="I62">IF($A62="Vestdanmark",IF($C62="Konventionel",IF(I$2=2019,SUMPRODUCT(($B62='Landbrugsareal - resultat'!$B$6:$B$19)*(INDEX('Landbrugsareal - resultat'!$C$6:$E$19,,MATCH($D62,'Landbrugsareal - resultat'!$C$5:$E$5,0)))),IF(I$2=2030,SUMPRODUCT(($B62='Landbrugsareal - resultat'!$B$6:$B$19)*(INDEX('Landbrugsareal - resultat'!$F$6:$H$19,,MATCH($D62,'Landbrugsareal - resultat'!$F$5:$H$5,0)))),SUMPRODUCT(($B62='Landbrugsareal - resultat'!$B$6:$B$19)*(INDEX('Landbrugsareal - resultat'!$I$6:$K$19,,MATCH($D62,'Landbrugsareal - resultat'!$I$5:$K$5,0)))))),IF(I$2=2019,SUMPRODUCT(($B62='Landbrugsareal - resultat'!$B$6:$B$19)*(INDEX('Landbrugsareal - resultat'!$L$6:$N$19,,MATCH($D62,'Landbrugsareal - resultat'!$L$5:$N$5,0)))),IF(I$2=2030,SUMPRODUCT(($B62='Landbrugsareal - resultat'!$B$6:$B$19)*(INDEX('Landbrugsareal - resultat'!$O$6:$Q$19,,MATCH($D62,'Landbrugsareal - resultat'!$O$5:$Q$5,0)))),SUMPRODUCT(($B62='Landbrugsareal - resultat'!$B$6:$B$19)*(INDEX('Landbrugsareal - resultat'!$R$6:$T$19,,MATCH($D62,'Landbrugsareal - resultat'!$R$5:$T$5,0))))))),IF($C62="Konventionel",IF(I$2=2019,SUMPRODUCT((C62='Landbrugsareal - resultat'!$B$33:$B$46)*(INDEX('Landbrugsareal - resultat'!$C$33:$E$46,,MATCH($D62,'Landbrugsareal - resultat'!$C$5:$E$5,0)))),IF(I$2=2030,SUMPRODUCT(($B62='Landbrugsareal - resultat'!$B$33:$B$46)*(INDEX('Landbrugsareal - resultat'!$F$33:$H$46,,MATCH($D62,'Landbrugsareal - resultat'!$F$5:$H$5,0)))),SUMPRODUCT(($B62='Landbrugsareal - resultat'!$B$33:$B$46)*(INDEX('Landbrugsareal - resultat'!$I$33:$K$46,,MATCH($D62,'Landbrugsareal - resultat'!$I$5:$K$5,0)))))),IF(I$2=2019,SUMPRODUCT(($B62='Landbrugsareal - resultat'!$B$33:$B$46)*(INDEX('Landbrugsareal - resultat'!$L$33:$N$46,,MATCH($D62,'Landbrugsareal - resultat'!$L$5:$N$5,0)))),IF(I$2=2030,SUMPRODUCT(($B62='Landbrugsareal - resultat'!$B$33:$B$46)*(INDEX('Landbrugsareal - resultat'!$O$33:$Q$46,,MATCH($D62,'Landbrugsareal - resultat'!$O$5:$Q$5,0)))),SUMPRODUCT(($B62='Landbrugsareal - resultat'!$B$33:$B$46)*(INDEX('Landbrugsareal - resultat'!$R$33:$T$46,,MATCH($D62,'Landbrugsareal - resultat'!$R$5:$T$5,0))))))))</f>
        <v>3502.1815006277125</v>
      </c>
    </row>
    <row r="63" spans="1:9" x14ac:dyDescent="0.25">
      <c r="A63" t="s">
        <v>23</v>
      </c>
      <c r="B63" s="1" t="str">
        <f>[1]Afgrødefordeling!$C$6</f>
        <v>Grøntsager</v>
      </c>
      <c r="C63" t="s">
        <v>8</v>
      </c>
      <c r="D63" t="str">
        <f t="shared" si="5"/>
        <v>OC6</v>
      </c>
      <c r="F63" t="str">
        <f t="shared" si="1"/>
        <v>Areal-grøntsager</v>
      </c>
      <c r="G63" s="96" cm="1">
        <f t="array" ref="G63">IF($A63="Vestdanmark",IF($C63="Konventionel",IF(G$2=2019,SUMPRODUCT(($B63='Landbrugsareal - resultat'!$B$6:$B$19)*(INDEX('Landbrugsareal - resultat'!$C$6:$E$19,,MATCH($D63,'Landbrugsareal - resultat'!$C$5:$E$5,0)))),IF(G$2=2030,SUMPRODUCT(($B63='Landbrugsareal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resultat'!$I$5:$K$5,0)))))),IF(G$2=2019,SUMPRODUCT(($B63='Landbrugsareal - resultat'!$B$6:$B$19)*(INDEX('Landbrugsareal - resultat'!$L$6:$N$19,,MATCH($D63,'Landbrugsareal - resultat'!$L$5:$N$5,0)))),IF(G$2=2030,SUMPRODUCT(($B63='Landbrugsareal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resultat'!$R$5:$T$5,0))))))),IF($C63="Konventionel",IF(G$2=2019,SUMPRODUCT((B63='Landbrugsareal - resultat'!$B$33:$B$46)*(INDEX('Landbrugsareal - resultat'!$C$33:$E$46,,MATCH($D63,'Landbrugsareal - resultat'!$C$5:$E$5,0)))),IF(G$2=2030,SUMPRODUCT(($B63='Landbrugsareal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resultat'!$I$5:$K$5,0)))))),IF(G$2=2019,SUMPRODUCT(($B63='Landbrugsareal - resultat'!$B$33:$B$46)*(INDEX('Landbrugsareal - resultat'!$L$33:$N$46,,MATCH($D63,'Landbrugsareal - resultat'!$L$5:$N$5,0)))),IF(G$2=2030,SUMPRODUCT(($B63='Landbrugsareal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11.466686678176497</v>
      </c>
      <c r="H63" s="96" cm="1">
        <f t="array" ref="H63">IF($A63="Vestdanmark",IF($C63="Konventionel",IF(H$2=2019,SUMPRODUCT(($B63='Landbrugsareal - resultat'!$B$6:$B$19)*(INDEX('Landbrugsareal - resultat'!$C$6:$E$19,,MATCH($D63,'Landbrugsareal - resultat'!$C$5:$E$5,0)))),IF(H$2=2030,SUMPRODUCT(($B63='Landbrugsareal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resultat'!$I$5:$K$5,0)))))),IF(H$2=2019,SUMPRODUCT(($B63='Landbrugsareal - resultat'!$B$6:$B$19)*(INDEX('Landbrugsareal - resultat'!$L$6:$N$19,,MATCH($D63,'Landbrugsareal - resultat'!$L$5:$N$5,0)))),IF(H$2=2030,SUMPRODUCT(($B63='Landbrugsareal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resultat'!$R$5:$T$5,0))))))),IF($C63="Konventionel",IF(H$2=2019,SUMPRODUCT(($B63='Landbrugsareal - resultat'!$B$33:$B$46)*(INDEX('Landbrugsareal - resultat'!$C$33:$E$46,,MATCH($D63,'Landbrugsareal - resultat'!$C$5:$E$5,0)))),IF(H$2=2030,SUMPRODUCT(($B63='Landbrugsareal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resultat'!$I$5:$K$5,0)))))),IF(H$2=2019,SUMPRODUCT(($B63='Landbrugsareal - resultat'!$B$33:$B$46)*(INDEX('Landbrugsareal - resultat'!$L$33:$N$46,,MATCH($D63,'Landbrugsareal - resultat'!$L$5:$N$5,0)))),IF(H$2=2030,SUMPRODUCT(($B63='Landbrugsareal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12.635872413026226</v>
      </c>
      <c r="I63" s="96" cm="1">
        <f t="array" ref="I63">IF($A63="Vestdanmark",IF($C63="Konventionel",IF(I$2=2019,SUMPRODUCT(($B63='Landbrugsareal - resultat'!$B$6:$B$19)*(INDEX('Landbrugsareal - resultat'!$C$6:$E$19,,MATCH($D63,'Landbrugsareal - resultat'!$C$5:$E$5,0)))),IF(I$2=2030,SUMPRODUCT(($B63='Landbrugsareal - resultat'!$B$6:$B$19)*(INDEX('Landbrugsareal - resultat'!$F$6:$H$19,,MATCH($D63,'Landbrugsareal - resultat'!$F$5:$H$5,0)))),SUMPRODUCT(($B63='Landbrugsareal - resultat'!$B$6:$B$19)*(INDEX('Landbrugsareal - resultat'!$I$6:$K$19,,MATCH($D63,'Landbrugsareal - resultat'!$I$5:$K$5,0)))))),IF(I$2=2019,SUMPRODUCT(($B63='Landbrugsareal - resultat'!$B$6:$B$19)*(INDEX('Landbrugsareal - resultat'!$L$6:$N$19,,MATCH($D63,'Landbrugsareal - resultat'!$L$5:$N$5,0)))),IF(I$2=2030,SUMPRODUCT(($B63='Landbrugsareal - resultat'!$B$6:$B$19)*(INDEX('Landbrugsareal - resultat'!$O$6:$Q$19,,MATCH($D63,'Landbrugsareal - resultat'!$O$5:$Q$5,0)))),SUMPRODUCT(($B63='Landbrugsareal - resultat'!$B$6:$B$19)*(INDEX('Landbrugsareal - resultat'!$R$6:$T$19,,MATCH($D63,'Landbrugsareal - resultat'!$R$5:$T$5,0))))))),IF($C63="Konventionel",IF(I$2=2019,SUMPRODUCT((C63='Landbrugsareal - resultat'!$B$33:$B$46)*(INDEX('Landbrugsareal - resultat'!$C$33:$E$46,,MATCH($D63,'Landbrugsareal - resultat'!$C$5:$E$5,0)))),IF(I$2=2030,SUMPRODUCT(($B63='Landbrugsareal - resultat'!$B$33:$B$46)*(INDEX('Landbrugsareal - resultat'!$F$33:$H$46,,MATCH($D63,'Landbrugsareal - resultat'!$F$5:$H$5,0)))),SUMPRODUCT(($B63='Landbrugsareal - resultat'!$B$33:$B$46)*(INDEX('Landbrugsareal - resultat'!$I$33:$K$46,,MATCH($D63,'Landbrugsareal - resultat'!$I$5:$K$5,0)))))),IF(I$2=2019,SUMPRODUCT(($B63='Landbrugsareal - resultat'!$B$33:$B$46)*(INDEX('Landbrugsareal - resultat'!$L$33:$N$46,,MATCH($D63,'Landbrugsareal - resultat'!$L$5:$N$5,0)))),IF(I$2=2030,SUMPRODUCT(($B63='Landbrugsareal - resultat'!$B$33:$B$46)*(INDEX('Landbrugsareal - resultat'!$O$33:$Q$46,,MATCH($D63,'Landbrugsareal - resultat'!$O$5:$Q$5,0)))),SUMPRODUCT(($B63='Landbrugsareal - resultat'!$B$33:$B$46)*(INDEX('Landbrugsareal - resultat'!$R$33:$T$46,,MATCH($D63,'Landbrugsareal - resultat'!$R$5:$T$5,0))))))))</f>
        <v>16.37983460947844</v>
      </c>
    </row>
    <row r="64" spans="1:9" x14ac:dyDescent="0.25">
      <c r="A64" t="s">
        <v>23</v>
      </c>
      <c r="B64" s="1" t="str">
        <f>[1]Afgrødefordeling!$C$7</f>
        <v>Kartofler</v>
      </c>
      <c r="C64" t="s">
        <v>8</v>
      </c>
      <c r="D64" t="str">
        <f t="shared" si="5"/>
        <v>OC6</v>
      </c>
      <c r="F64" t="str">
        <f t="shared" si="1"/>
        <v>Areal-kartofler</v>
      </c>
      <c r="G64" s="96" cm="1">
        <f t="array" ref="G64">IF($A64="Vestdanmark",IF($C64="Konventionel",IF(G$2=2019,SUMPRODUCT(($B64='Landbrugsareal - resultat'!$B$6:$B$19)*(INDEX('Landbrugsareal - resultat'!$C$6:$E$19,,MATCH($D64,'Landbrugsareal - resultat'!$C$5:$E$5,0)))),IF(G$2=2030,SUMPRODUCT(($B64='Landbrugsareal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resultat'!$I$5:$K$5,0)))))),IF(G$2=2019,SUMPRODUCT(($B64='Landbrugsareal - resultat'!$B$6:$B$19)*(INDEX('Landbrugsareal - resultat'!$L$6:$N$19,,MATCH($D64,'Landbrugsareal - resultat'!$L$5:$N$5,0)))),IF(G$2=2030,SUMPRODUCT(($B64='Landbrugsareal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resultat'!$R$5:$T$5,0))))))),IF($C64="Konventionel",IF(G$2=2019,SUMPRODUCT((B64='Landbrugsareal - resultat'!$B$33:$B$46)*(INDEX('Landbrugsareal - resultat'!$C$33:$E$46,,MATCH($D64,'Landbrugsareal - resultat'!$C$5:$E$5,0)))),IF(G$2=2030,SUMPRODUCT(($B64='Landbrugsareal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resultat'!$I$5:$K$5,0)))))),IF(G$2=2019,SUMPRODUCT(($B64='Landbrugsareal - resultat'!$B$33:$B$46)*(INDEX('Landbrugsareal - resultat'!$L$33:$N$46,,MATCH($D64,'Landbrugsareal - resultat'!$L$5:$N$5,0)))),IF(G$2=2030,SUMPRODUCT(($B64='Landbrugsareal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181.02926207936162</v>
      </c>
      <c r="H64" s="96" cm="1">
        <f t="array" ref="H64">IF($A64="Vestdanmark",IF($C64="Konventionel",IF(H$2=2019,SUMPRODUCT(($B64='Landbrugsareal - resultat'!$B$6:$B$19)*(INDEX('Landbrugsareal - resultat'!$C$6:$E$19,,MATCH($D64,'Landbrugsareal - resultat'!$C$5:$E$5,0)))),IF(H$2=2030,SUMPRODUCT(($B64='Landbrugsareal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resultat'!$I$5:$K$5,0)))))),IF(H$2=2019,SUMPRODUCT(($B64='Landbrugsareal - resultat'!$B$6:$B$19)*(INDEX('Landbrugsareal - resultat'!$L$6:$N$19,,MATCH($D64,'Landbrugsareal - resultat'!$L$5:$N$5,0)))),IF(H$2=2030,SUMPRODUCT(($B64='Landbrugsareal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resultat'!$R$5:$T$5,0))))))),IF($C64="Konventionel",IF(H$2=2019,SUMPRODUCT(($B64='Landbrugsareal - resultat'!$B$33:$B$46)*(INDEX('Landbrugsareal - resultat'!$C$33:$E$46,,MATCH($D64,'Landbrugsareal - resultat'!$C$5:$E$5,0)))),IF(H$2=2030,SUMPRODUCT(($B64='Landbrugsareal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resultat'!$I$5:$K$5,0)))))),IF(H$2=2019,SUMPRODUCT(($B64='Landbrugsareal - resultat'!$B$33:$B$46)*(INDEX('Landbrugsareal - resultat'!$L$33:$N$46,,MATCH($D64,'Landbrugsareal - resultat'!$L$5:$N$5,0)))),IF(H$2=2030,SUMPRODUCT(($B64='Landbrugsareal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199.48767441362287</v>
      </c>
      <c r="I64" s="96" cm="1">
        <f t="array" ref="I64">IF($A64="Vestdanmark",IF($C64="Konventionel",IF(I$2=2019,SUMPRODUCT(($B64='Landbrugsareal - resultat'!$B$6:$B$19)*(INDEX('Landbrugsareal - resultat'!$C$6:$E$19,,MATCH($D64,'Landbrugsareal - resultat'!$C$5:$E$5,0)))),IF(I$2=2030,SUMPRODUCT(($B64='Landbrugsareal - resultat'!$B$6:$B$19)*(INDEX('Landbrugsareal - resultat'!$F$6:$H$19,,MATCH($D64,'Landbrugsareal - resultat'!$F$5:$H$5,0)))),SUMPRODUCT(($B64='Landbrugsareal - resultat'!$B$6:$B$19)*(INDEX('Landbrugsareal - resultat'!$I$6:$K$19,,MATCH($D64,'Landbrugsareal - resultat'!$I$5:$K$5,0)))))),IF(I$2=2019,SUMPRODUCT(($B64='Landbrugsareal - resultat'!$B$6:$B$19)*(INDEX('Landbrugsareal - resultat'!$L$6:$N$19,,MATCH($D64,'Landbrugsareal - resultat'!$L$5:$N$5,0)))),IF(I$2=2030,SUMPRODUCT(($B64='Landbrugsareal - resultat'!$B$6:$B$19)*(INDEX('Landbrugsareal - resultat'!$O$6:$Q$19,,MATCH($D64,'Landbrugsareal - resultat'!$O$5:$Q$5,0)))),SUMPRODUCT(($B64='Landbrugsareal - resultat'!$B$6:$B$19)*(INDEX('Landbrugsareal - resultat'!$R$6:$T$19,,MATCH($D64,'Landbrugsareal - resultat'!$R$5:$T$5,0))))))),IF($C64="Konventionel",IF(I$2=2019,SUMPRODUCT((C64='Landbrugsareal - resultat'!$B$33:$B$46)*(INDEX('Landbrugsareal - resultat'!$C$33:$E$46,,MATCH($D64,'Landbrugsareal - resultat'!$C$5:$E$5,0)))),IF(I$2=2030,SUMPRODUCT(($B64='Landbrugsareal - resultat'!$B$33:$B$46)*(INDEX('Landbrugsareal - resultat'!$F$33:$H$46,,MATCH($D64,'Landbrugsareal - resultat'!$F$5:$H$5,0)))),SUMPRODUCT(($B64='Landbrugsareal - resultat'!$B$33:$B$46)*(INDEX('Landbrugsareal - resultat'!$I$33:$K$46,,MATCH($D64,'Landbrugsareal - resultat'!$I$5:$K$5,0)))))),IF(I$2=2019,SUMPRODUCT(($B64='Landbrugsareal - resultat'!$B$33:$B$46)*(INDEX('Landbrugsareal - resultat'!$L$33:$N$46,,MATCH($D64,'Landbrugsareal - resultat'!$L$5:$N$5,0)))),IF(I$2=2030,SUMPRODUCT(($B64='Landbrugsareal - resultat'!$B$33:$B$46)*(INDEX('Landbrugsareal - resultat'!$O$33:$Q$46,,MATCH($D64,'Landbrugsareal - resultat'!$O$5:$Q$5,0)))),SUMPRODUCT(($B64='Landbrugsareal - resultat'!$B$33:$B$46)*(INDEX('Landbrugsareal - resultat'!$R$33:$T$46,,MATCH($D64,'Landbrugsareal - resultat'!$R$5:$T$5,0))))))))</f>
        <v>258.59513349914073</v>
      </c>
    </row>
    <row r="65" spans="1:9" x14ac:dyDescent="0.25">
      <c r="A65" t="s">
        <v>23</v>
      </c>
      <c r="B65" s="1" t="str">
        <f>[1]Afgrødefordeling!$C$8</f>
        <v>Roer</v>
      </c>
      <c r="C65" t="s">
        <v>8</v>
      </c>
      <c r="D65" t="str">
        <f t="shared" si="5"/>
        <v>OC6</v>
      </c>
      <c r="F65" t="str">
        <f t="shared" si="1"/>
        <v>Areal-roer</v>
      </c>
      <c r="G65" s="96" cm="1">
        <f t="array" ref="G65">IF($A65="Vestdanmark",IF($C65="Konventionel",IF(G$2=2019,SUMPRODUCT(($B65='Landbrugsareal - resultat'!$B$6:$B$19)*(INDEX('Landbrugsareal - resultat'!$C$6:$E$19,,MATCH($D65,'Landbrugsareal - resultat'!$C$5:$E$5,0)))),IF(G$2=2030,SUMPRODUCT(($B65='Landbrugsareal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resultat'!$I$5:$K$5,0)))))),IF(G$2=2019,SUMPRODUCT(($B65='Landbrugsareal - resultat'!$B$6:$B$19)*(INDEX('Landbrugsareal - resultat'!$L$6:$N$19,,MATCH($D65,'Landbrugsareal - resultat'!$L$5:$N$5,0)))),IF(G$2=2030,SUMPRODUCT(($B65='Landbrugsareal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resultat'!$R$5:$T$5,0))))))),IF($C65="Konventionel",IF(G$2=2019,SUMPRODUCT((B65='Landbrugsareal - resultat'!$B$33:$B$46)*(INDEX('Landbrugsareal - resultat'!$C$33:$E$46,,MATCH($D65,'Landbrugsareal - resultat'!$C$5:$E$5,0)))),IF(G$2=2030,SUMPRODUCT(($B65='Landbrugsareal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resultat'!$I$5:$K$5,0)))))),IF(G$2=2019,SUMPRODUCT(($B65='Landbrugsareal - resultat'!$B$33:$B$46)*(INDEX('Landbrugsareal - resultat'!$L$33:$N$46,,MATCH($D65,'Landbrugsareal - resultat'!$L$5:$N$5,0)))),IF(G$2=2030,SUMPRODUCT(($B65='Landbrugsareal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4.7493605150697995</v>
      </c>
      <c r="H65" s="96" cm="1">
        <f t="array" ref="H65">IF($A65="Vestdanmark",IF($C65="Konventionel",IF(H$2=2019,SUMPRODUCT(($B65='Landbrugsareal - resultat'!$B$6:$B$19)*(INDEX('Landbrugsareal - resultat'!$C$6:$E$19,,MATCH($D65,'Landbrugsareal - resultat'!$C$5:$E$5,0)))),IF(H$2=2030,SUMPRODUCT(($B65='Landbrugsareal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resultat'!$I$5:$K$5,0)))))),IF(H$2=2019,SUMPRODUCT(($B65='Landbrugsareal - resultat'!$B$6:$B$19)*(INDEX('Landbrugsareal - resultat'!$L$6:$N$19,,MATCH($D65,'Landbrugsareal - resultat'!$L$5:$N$5,0)))),IF(H$2=2030,SUMPRODUCT(($B65='Landbrugsareal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resultat'!$R$5:$T$5,0))))))),IF($C65="Konventionel",IF(H$2=2019,SUMPRODUCT(($B65='Landbrugsareal - resultat'!$B$33:$B$46)*(INDEX('Landbrugsareal - resultat'!$C$33:$E$46,,MATCH($D65,'Landbrugsareal - resultat'!$C$5:$E$5,0)))),IF(H$2=2030,SUMPRODUCT(($B65='Landbrugsareal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resultat'!$I$5:$K$5,0)))))),IF(H$2=2019,SUMPRODUCT(($B65='Landbrugsareal - resultat'!$B$33:$B$46)*(INDEX('Landbrugsareal - resultat'!$L$33:$N$46,,MATCH($D65,'Landbrugsareal - resultat'!$L$5:$N$5,0)))),IF(H$2=2030,SUMPRODUCT(($B65='Landbrugsareal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5.2336228586503974</v>
      </c>
      <c r="I65" s="96" cm="1">
        <f t="array" ref="I65">IF($A65="Vestdanmark",IF($C65="Konventionel",IF(I$2=2019,SUMPRODUCT(($B65='Landbrugsareal - resultat'!$B$6:$B$19)*(INDEX('Landbrugsareal - resultat'!$C$6:$E$19,,MATCH($D65,'Landbrugsareal - resultat'!$C$5:$E$5,0)))),IF(I$2=2030,SUMPRODUCT(($B65='Landbrugsareal - resultat'!$B$6:$B$19)*(INDEX('Landbrugsareal - resultat'!$F$6:$H$19,,MATCH($D65,'Landbrugsareal - resultat'!$F$5:$H$5,0)))),SUMPRODUCT(($B65='Landbrugsareal - resultat'!$B$6:$B$19)*(INDEX('Landbrugsareal - resultat'!$I$6:$K$19,,MATCH($D65,'Landbrugsareal - resultat'!$I$5:$K$5,0)))))),IF(I$2=2019,SUMPRODUCT(($B65='Landbrugsareal - resultat'!$B$6:$B$19)*(INDEX('Landbrugsareal - resultat'!$L$6:$N$19,,MATCH($D65,'Landbrugsareal - resultat'!$L$5:$N$5,0)))),IF(I$2=2030,SUMPRODUCT(($B65='Landbrugsareal - resultat'!$B$6:$B$19)*(INDEX('Landbrugsareal - resultat'!$O$6:$Q$19,,MATCH($D65,'Landbrugsareal - resultat'!$O$5:$Q$5,0)))),SUMPRODUCT(($B65='Landbrugsareal - resultat'!$B$6:$B$19)*(INDEX('Landbrugsareal - resultat'!$R$6:$T$19,,MATCH($D65,'Landbrugsareal - resultat'!$R$5:$T$5,0))))))),IF($C65="Konventionel",IF(I$2=2019,SUMPRODUCT((C65='Landbrugsareal - resultat'!$B$33:$B$46)*(INDEX('Landbrugsareal - resultat'!$C$33:$E$46,,MATCH($D65,'Landbrugsareal - resultat'!$C$5:$E$5,0)))),IF(I$2=2030,SUMPRODUCT(($B65='Landbrugsareal - resultat'!$B$33:$B$46)*(INDEX('Landbrugsareal - resultat'!$F$33:$H$46,,MATCH($D65,'Landbrugsareal - resultat'!$F$5:$H$5,0)))),SUMPRODUCT(($B65='Landbrugsareal - resultat'!$B$33:$B$46)*(INDEX('Landbrugsareal - resultat'!$I$33:$K$46,,MATCH($D65,'Landbrugsareal - resultat'!$I$5:$K$5,0)))))),IF(I$2=2019,SUMPRODUCT(($B65='Landbrugsareal - resultat'!$B$33:$B$46)*(INDEX('Landbrugsareal - resultat'!$L$33:$N$46,,MATCH($D65,'Landbrugsareal - resultat'!$L$5:$N$5,0)))),IF(I$2=2030,SUMPRODUCT(($B65='Landbrugsareal - resultat'!$B$33:$B$46)*(INDEX('Landbrugsareal - resultat'!$O$33:$Q$46,,MATCH($D65,'Landbrugsareal - resultat'!$O$5:$Q$5,0)))),SUMPRODUCT(($B65='Landbrugsareal - resultat'!$B$33:$B$46)*(INDEX('Landbrugsareal - resultat'!$R$33:$T$46,,MATCH($D65,'Landbrugsareal - resultat'!$R$5:$T$5,0))))))))</f>
        <v>6.7843259278801451</v>
      </c>
    </row>
    <row r="66" spans="1:9" x14ac:dyDescent="0.25">
      <c r="A66" t="s">
        <v>23</v>
      </c>
      <c r="B66" s="1" t="str">
        <f>[1]Afgrødefordeling!$C$9</f>
        <v>Majs</v>
      </c>
      <c r="C66" t="s">
        <v>8</v>
      </c>
      <c r="D66" t="str">
        <f t="shared" si="5"/>
        <v>OC6</v>
      </c>
      <c r="F66" t="str">
        <f t="shared" si="1"/>
        <v>Areal-majs</v>
      </c>
      <c r="G66" s="96" cm="1">
        <f t="array" ref="G66">IF($A66="Vestdanmark",IF($C66="Konventionel",IF(G$2=2019,SUMPRODUCT(($B66='Landbrugsareal - resultat'!$B$6:$B$19)*(INDEX('Landbrugsareal - resultat'!$C$6:$E$19,,MATCH($D66,'Landbrugsareal - resultat'!$C$5:$E$5,0)))),IF(G$2=2030,SUMPRODUCT(($B66='Landbrugsareal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resultat'!$I$5:$K$5,0)))))),IF(G$2=2019,SUMPRODUCT(($B66='Landbrugsareal - resultat'!$B$6:$B$19)*(INDEX('Landbrugsareal - resultat'!$L$6:$N$19,,MATCH($D66,'Landbrugsareal - resultat'!$L$5:$N$5,0)))),IF(G$2=2030,SUMPRODUCT(($B66='Landbrugsareal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resultat'!$R$5:$T$5,0))))))),IF($C66="Konventionel",IF(G$2=2019,SUMPRODUCT((B66='Landbrugsareal - resultat'!$B$33:$B$46)*(INDEX('Landbrugsareal - resultat'!$C$33:$E$46,,MATCH($D66,'Landbrugsareal - resultat'!$C$5:$E$5,0)))),IF(G$2=2030,SUMPRODUCT(($B66='Landbrugsareal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resultat'!$I$5:$K$5,0)))))),IF(G$2=2019,SUMPRODUCT(($B66='Landbrugsareal - resultat'!$B$33:$B$46)*(INDEX('Landbrugsareal - resultat'!$L$33:$N$46,,MATCH($D66,'Landbrugsareal - resultat'!$L$5:$N$5,0)))),IF(G$2=2030,SUMPRODUCT(($B66='Landbrugsareal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613.07107142517441</v>
      </c>
      <c r="H66" s="96" cm="1">
        <f t="array" ref="H66">IF($A66="Vestdanmark",IF($C66="Konventionel",IF(H$2=2019,SUMPRODUCT(($B66='Landbrugsareal - resultat'!$B$6:$B$19)*(INDEX('Landbrugsareal - resultat'!$C$6:$E$19,,MATCH($D66,'Landbrugsareal - resultat'!$C$5:$E$5,0)))),IF(H$2=2030,SUMPRODUCT(($B66='Landbrugsareal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resultat'!$I$5:$K$5,0)))))),IF(H$2=2019,SUMPRODUCT(($B66='Landbrugsareal - resultat'!$B$6:$B$19)*(INDEX('Landbrugsareal - resultat'!$L$6:$N$19,,MATCH($D66,'Landbrugsareal - resultat'!$L$5:$N$5,0)))),IF(H$2=2030,SUMPRODUCT(($B66='Landbrugsareal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resultat'!$R$5:$T$5,0))))))),IF($C66="Konventionel",IF(H$2=2019,SUMPRODUCT(($B66='Landbrugsareal - resultat'!$B$33:$B$46)*(INDEX('Landbrugsareal - resultat'!$C$33:$E$46,,MATCH($D66,'Landbrugsareal - resultat'!$C$5:$E$5,0)))),IF(H$2=2030,SUMPRODUCT(($B66='Landbrugsareal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resultat'!$I$5:$K$5,0)))))),IF(H$2=2019,SUMPRODUCT(($B66='Landbrugsareal - resultat'!$B$33:$B$46)*(INDEX('Landbrugsareal - resultat'!$L$33:$N$46,,MATCH($D66,'Landbrugsareal - resultat'!$L$5:$N$5,0)))),IF(H$2=2030,SUMPRODUCT(($B66='Landbrugsareal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675.58206272343341</v>
      </c>
      <c r="I66" s="96" cm="1">
        <f t="array" ref="I66">IF($A66="Vestdanmark",IF($C66="Konventionel",IF(I$2=2019,SUMPRODUCT(($B66='Landbrugsareal - resultat'!$B$6:$B$19)*(INDEX('Landbrugsareal - resultat'!$C$6:$E$19,,MATCH($D66,'Landbrugsareal - resultat'!$C$5:$E$5,0)))),IF(I$2=2030,SUMPRODUCT(($B66='Landbrugsareal - resultat'!$B$6:$B$19)*(INDEX('Landbrugsareal - resultat'!$F$6:$H$19,,MATCH($D66,'Landbrugsareal - resultat'!$F$5:$H$5,0)))),SUMPRODUCT(($B66='Landbrugsareal - resultat'!$B$6:$B$19)*(INDEX('Landbrugsareal - resultat'!$I$6:$K$19,,MATCH($D66,'Landbrugsareal - resultat'!$I$5:$K$5,0)))))),IF(I$2=2019,SUMPRODUCT(($B66='Landbrugsareal - resultat'!$B$6:$B$19)*(INDEX('Landbrugsareal - resultat'!$L$6:$N$19,,MATCH($D66,'Landbrugsareal - resultat'!$L$5:$N$5,0)))),IF(I$2=2030,SUMPRODUCT(($B66='Landbrugsareal - resultat'!$B$6:$B$19)*(INDEX('Landbrugsareal - resultat'!$O$6:$Q$19,,MATCH($D66,'Landbrugsareal - resultat'!$O$5:$Q$5,0)))),SUMPRODUCT(($B66='Landbrugsareal - resultat'!$B$6:$B$19)*(INDEX('Landbrugsareal - resultat'!$R$6:$T$19,,MATCH($D66,'Landbrugsareal - resultat'!$R$5:$T$5,0))))))),IF($C66="Konventionel",IF(I$2=2019,SUMPRODUCT((C66='Landbrugsareal - resultat'!$B$33:$B$46)*(INDEX('Landbrugsareal - resultat'!$C$33:$E$46,,MATCH($D66,'Landbrugsareal - resultat'!$C$5:$E$5,0)))),IF(I$2=2030,SUMPRODUCT(($B66='Landbrugsareal - resultat'!$B$33:$B$46)*(INDEX('Landbrugsareal - resultat'!$F$33:$H$46,,MATCH($D66,'Landbrugsareal - resultat'!$F$5:$H$5,0)))),SUMPRODUCT(($B66='Landbrugsareal - resultat'!$B$33:$B$46)*(INDEX('Landbrugsareal - resultat'!$I$33:$K$46,,MATCH($D66,'Landbrugsareal - resultat'!$I$5:$K$5,0)))))),IF(I$2=2019,SUMPRODUCT(($B66='Landbrugsareal - resultat'!$B$33:$B$46)*(INDEX('Landbrugsareal - resultat'!$L$33:$N$46,,MATCH($D66,'Landbrugsareal - resultat'!$L$5:$N$5,0)))),IF(I$2=2030,SUMPRODUCT(($B66='Landbrugsareal - resultat'!$B$33:$B$46)*(INDEX('Landbrugsareal - resultat'!$O$33:$Q$46,,MATCH($D66,'Landbrugsareal - resultat'!$O$5:$Q$5,0)))),SUMPRODUCT(($B66='Landbrugsareal - resultat'!$B$33:$B$46)*(INDEX('Landbrugsareal - resultat'!$R$33:$T$46,,MATCH($D66,'Landbrugsareal - resultat'!$R$5:$T$5,0))))))))</f>
        <v>875.75452575259862</v>
      </c>
    </row>
    <row r="67" spans="1:9" x14ac:dyDescent="0.25">
      <c r="A67" t="s">
        <v>23</v>
      </c>
      <c r="B67" s="1" t="str">
        <f>[1]Afgrødefordeling!$C$10</f>
        <v>Frugt</v>
      </c>
      <c r="C67" t="s">
        <v>8</v>
      </c>
      <c r="D67" t="str">
        <f t="shared" si="5"/>
        <v>OC6</v>
      </c>
      <c r="F67" t="str">
        <f t="shared" si="1"/>
        <v>Areal-frugt</v>
      </c>
      <c r="G67" s="96" cm="1">
        <f t="array" ref="G67">IF($A67="Vestdanmark",IF($C67="Konventionel",IF(G$2=2019,SUMPRODUCT(($B67='Landbrugsareal - resultat'!$B$6:$B$19)*(INDEX('Landbrugsareal - resultat'!$C$6:$E$19,,MATCH($D67,'Landbrugsareal - resultat'!$C$5:$E$5,0)))),IF(G$2=2030,SUMPRODUCT(($B67='Landbrugsareal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resultat'!$I$5:$K$5,0)))))),IF(G$2=2019,SUMPRODUCT(($B67='Landbrugsareal - resultat'!$B$6:$B$19)*(INDEX('Landbrugsareal - resultat'!$L$6:$N$19,,MATCH($D67,'Landbrugsareal - resultat'!$L$5:$N$5,0)))),IF(G$2=2030,SUMPRODUCT(($B67='Landbrugsareal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resultat'!$R$5:$T$5,0))))))),IF($C67="Konventionel",IF(G$2=2019,SUMPRODUCT((B67='Landbrugsareal - resultat'!$B$33:$B$46)*(INDEX('Landbrugsareal - resultat'!$C$33:$E$46,,MATCH($D67,'Landbrugsareal - resultat'!$C$5:$E$5,0)))),IF(G$2=2030,SUMPRODUCT(($B67='Landbrugsareal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resultat'!$I$5:$K$5,0)))))),IF(G$2=2019,SUMPRODUCT(($B67='Landbrugsareal - resultat'!$B$33:$B$46)*(INDEX('Landbrugsareal - resultat'!$L$33:$N$46,,MATCH($D67,'Landbrugsareal - resultat'!$L$5:$N$5,0)))),IF(G$2=2030,SUMPRODUCT(($B67='Landbrugsareal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10.444192731327741</v>
      </c>
      <c r="H67" s="96" cm="1">
        <f t="array" ref="H67">IF($A67="Vestdanmark",IF($C67="Konventionel",IF(H$2=2019,SUMPRODUCT(($B67='Landbrugsareal - resultat'!$B$6:$B$19)*(INDEX('Landbrugsareal - resultat'!$C$6:$E$19,,MATCH($D67,'Landbrugsareal - resultat'!$C$5:$E$5,0)))),IF(H$2=2030,SUMPRODUCT(($B67='Landbrugsareal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resultat'!$I$5:$K$5,0)))))),IF(H$2=2019,SUMPRODUCT(($B67='Landbrugsareal - resultat'!$B$6:$B$19)*(INDEX('Landbrugsareal - resultat'!$L$6:$N$19,,MATCH($D67,'Landbrugsareal - resultat'!$L$5:$N$5,0)))),IF(H$2=2030,SUMPRODUCT(($B67='Landbrugsareal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resultat'!$R$5:$T$5,0))))))),IF($C67="Konventionel",IF(H$2=2019,SUMPRODUCT(($B67='Landbrugsareal - resultat'!$B$33:$B$46)*(INDEX('Landbrugsareal - resultat'!$C$33:$E$46,,MATCH($D67,'Landbrugsareal - resultat'!$C$5:$E$5,0)))),IF(H$2=2030,SUMPRODUCT(($B67='Landbrugsareal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resultat'!$I$5:$K$5,0)))))),IF(H$2=2019,SUMPRODUCT(($B67='Landbrugsareal - resultat'!$B$33:$B$46)*(INDEX('Landbrugsareal - resultat'!$L$33:$N$46,,MATCH($D67,'Landbrugsareal - resultat'!$L$5:$N$5,0)))),IF(H$2=2030,SUMPRODUCT(($B67='Landbrugsareal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11.509121205978582</v>
      </c>
      <c r="I67" s="96" cm="1">
        <f t="array" ref="I67">IF($A67="Vestdanmark",IF($C67="Konventionel",IF(I$2=2019,SUMPRODUCT(($B67='Landbrugsareal - resultat'!$B$6:$B$19)*(INDEX('Landbrugsareal - resultat'!$C$6:$E$19,,MATCH($D67,'Landbrugsareal - resultat'!$C$5:$E$5,0)))),IF(I$2=2030,SUMPRODUCT(($B67='Landbrugsareal - resultat'!$B$6:$B$19)*(INDEX('Landbrugsareal - resultat'!$F$6:$H$19,,MATCH($D67,'Landbrugsareal - resultat'!$F$5:$H$5,0)))),SUMPRODUCT(($B67='Landbrugsareal - resultat'!$B$6:$B$19)*(INDEX('Landbrugsareal - resultat'!$I$6:$K$19,,MATCH($D67,'Landbrugsareal - resultat'!$I$5:$K$5,0)))))),IF(I$2=2019,SUMPRODUCT(($B67='Landbrugsareal - resultat'!$B$6:$B$19)*(INDEX('Landbrugsareal - resultat'!$L$6:$N$19,,MATCH($D67,'Landbrugsareal - resultat'!$L$5:$N$5,0)))),IF(I$2=2030,SUMPRODUCT(($B67='Landbrugsareal - resultat'!$B$6:$B$19)*(INDEX('Landbrugsareal - resultat'!$O$6:$Q$19,,MATCH($D67,'Landbrugsareal - resultat'!$O$5:$Q$5,0)))),SUMPRODUCT(($B67='Landbrugsareal - resultat'!$B$6:$B$19)*(INDEX('Landbrugsareal - resultat'!$R$6:$T$19,,MATCH($D67,'Landbrugsareal - resultat'!$R$5:$T$5,0))))))),IF($C67="Konventionel",IF(I$2=2019,SUMPRODUCT((C67='Landbrugsareal - resultat'!$B$33:$B$46)*(INDEX('Landbrugsareal - resultat'!$C$33:$E$46,,MATCH($D67,'Landbrugsareal - resultat'!$C$5:$E$5,0)))),IF(I$2=2030,SUMPRODUCT(($B67='Landbrugsareal - resultat'!$B$33:$B$46)*(INDEX('Landbrugsareal - resultat'!$F$33:$H$46,,MATCH($D67,'Landbrugsareal - resultat'!$F$5:$H$5,0)))),SUMPRODUCT(($B67='Landbrugsareal - resultat'!$B$33:$B$46)*(INDEX('Landbrugsareal - resultat'!$I$33:$K$46,,MATCH($D67,'Landbrugsareal - resultat'!$I$5:$K$5,0)))))),IF(I$2=2019,SUMPRODUCT(($B67='Landbrugsareal - resultat'!$B$33:$B$46)*(INDEX('Landbrugsareal - resultat'!$L$33:$N$46,,MATCH($D67,'Landbrugsareal - resultat'!$L$5:$N$5,0)))),IF(I$2=2030,SUMPRODUCT(($B67='Landbrugsareal - resultat'!$B$33:$B$46)*(INDEX('Landbrugsareal - resultat'!$O$33:$Q$46,,MATCH($D67,'Landbrugsareal - resultat'!$O$5:$Q$5,0)))),SUMPRODUCT(($B67='Landbrugsareal - resultat'!$B$33:$B$46)*(INDEX('Landbrugsareal - resultat'!$R$33:$T$46,,MATCH($D67,'Landbrugsareal - resultat'!$R$5:$T$5,0))))))))</f>
        <v>14.919231192935195</v>
      </c>
    </row>
    <row r="68" spans="1:9" x14ac:dyDescent="0.25">
      <c r="A68" t="s">
        <v>23</v>
      </c>
      <c r="B68" s="1" t="str">
        <f>[1]Afgrødefordeling!$C$11</f>
        <v>Øvrige</v>
      </c>
      <c r="C68" t="s">
        <v>8</v>
      </c>
      <c r="D68" t="str">
        <f t="shared" si="5"/>
        <v>OC6</v>
      </c>
      <c r="F68" t="str">
        <f t="shared" ref="F68:F131" si="6">CONCATENATE("Areal-",IF(LEFT(B68,3)&lt;&gt;"Pil",IF(LEFT(B68,3)&lt;&gt;"Frø",LOWER(B68),"frøgræs"),"pil-poppel"))</f>
        <v>Areal-øvrige</v>
      </c>
      <c r="G68" s="96" cm="1">
        <f t="array" ref="G68">IF($A68="Vestdanmark",IF($C68="Konventionel",IF(G$2=2019,SUMPRODUCT(($B68='Landbrugsareal - resultat'!$B$6:$B$19)*(INDEX('Landbrugsareal - resultat'!$C$6:$E$19,,MATCH($D68,'Landbrugsareal - resultat'!$C$5:$E$5,0)))),IF(G$2=2030,SUMPRODUCT(($B68='Landbrugsareal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resultat'!$I$5:$K$5,0)))))),IF(G$2=2019,SUMPRODUCT(($B68='Landbrugsareal - resultat'!$B$6:$B$19)*(INDEX('Landbrugsareal - resultat'!$L$6:$N$19,,MATCH($D68,'Landbrugsareal - resultat'!$L$5:$N$5,0)))),IF(G$2=2030,SUMPRODUCT(($B68='Landbrugsareal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resultat'!$R$5:$T$5,0))))))),IF($C68="Konventionel",IF(G$2=2019,SUMPRODUCT((B68='Landbrugsareal - resultat'!$B$33:$B$46)*(INDEX('Landbrugsareal - resultat'!$C$33:$E$46,,MATCH($D68,'Landbrugsareal - resultat'!$C$5:$E$5,0)))),IF(G$2=2030,SUMPRODUCT(($B68='Landbrugsareal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resultat'!$I$5:$K$5,0)))))),IF(G$2=2019,SUMPRODUCT(($B68='Landbrugsareal - resultat'!$B$33:$B$46)*(INDEX('Landbrugsareal - resultat'!$L$33:$N$46,,MATCH($D68,'Landbrugsareal - resultat'!$L$5:$N$5,0)))),IF(G$2=2030,SUMPRODUCT(($B68='Landbrugsareal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184.71496278196111</v>
      </c>
      <c r="H68" s="96" cm="1">
        <f t="array" ref="H68">IF($A68="Vestdanmark",IF($C68="Konventionel",IF(H$2=2019,SUMPRODUCT(($B68='Landbrugsareal - resultat'!$B$6:$B$19)*(INDEX('Landbrugsareal - resultat'!$C$6:$E$19,,MATCH($D68,'Landbrugsareal - resultat'!$C$5:$E$5,0)))),IF(H$2=2030,SUMPRODUCT(($B68='Landbrugsareal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resultat'!$I$5:$K$5,0)))))),IF(H$2=2019,SUMPRODUCT(($B68='Landbrugsareal - resultat'!$B$6:$B$19)*(INDEX('Landbrugsareal - resultat'!$L$6:$N$19,,MATCH($D68,'Landbrugsareal - resultat'!$L$5:$N$5,0)))),IF(H$2=2030,SUMPRODUCT(($B68='Landbrugsareal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resultat'!$R$5:$T$5,0))))))),IF($C68="Konventionel",IF(H$2=2019,SUMPRODUCT(($B68='Landbrugsareal - resultat'!$B$33:$B$46)*(INDEX('Landbrugsareal - resultat'!$C$33:$E$46,,MATCH($D68,'Landbrugsareal - resultat'!$C$5:$E$5,0)))),IF(H$2=2030,SUMPRODUCT(($B68='Landbrugsareal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resultat'!$I$5:$K$5,0)))))),IF(H$2=2019,SUMPRODUCT(($B68='Landbrugsareal - resultat'!$B$33:$B$46)*(INDEX('Landbrugsareal - resultat'!$L$33:$N$46,,MATCH($D68,'Landbrugsareal - resultat'!$L$5:$N$5,0)))),IF(H$2=2030,SUMPRODUCT(($B68='Landbrugsareal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203.54918277586708</v>
      </c>
      <c r="I68" s="96" cm="1">
        <f t="array" ref="I68">IF($A68="Vestdanmark",IF($C68="Konventionel",IF(I$2=2019,SUMPRODUCT(($B68='Landbrugsareal - resultat'!$B$6:$B$19)*(INDEX('Landbrugsareal - resultat'!$C$6:$E$19,,MATCH($D68,'Landbrugsareal - resultat'!$C$5:$E$5,0)))),IF(I$2=2030,SUMPRODUCT(($B68='Landbrugsareal - resultat'!$B$6:$B$19)*(INDEX('Landbrugsareal - resultat'!$F$6:$H$19,,MATCH($D68,'Landbrugsareal - resultat'!$F$5:$H$5,0)))),SUMPRODUCT(($B68='Landbrugsareal - resultat'!$B$6:$B$19)*(INDEX('Landbrugsareal - resultat'!$I$6:$K$19,,MATCH($D68,'Landbrugsareal - resultat'!$I$5:$K$5,0)))))),IF(I$2=2019,SUMPRODUCT(($B68='Landbrugsareal - resultat'!$B$6:$B$19)*(INDEX('Landbrugsareal - resultat'!$L$6:$N$19,,MATCH($D68,'Landbrugsareal - resultat'!$L$5:$N$5,0)))),IF(I$2=2030,SUMPRODUCT(($B68='Landbrugsareal - resultat'!$B$6:$B$19)*(INDEX('Landbrugsareal - resultat'!$O$6:$Q$19,,MATCH($D68,'Landbrugsareal - resultat'!$O$5:$Q$5,0)))),SUMPRODUCT(($B68='Landbrugsareal - resultat'!$B$6:$B$19)*(INDEX('Landbrugsareal - resultat'!$R$6:$T$19,,MATCH($D68,'Landbrugsareal - resultat'!$R$5:$T$5,0))))))),IF($C68="Konventionel",IF(I$2=2019,SUMPRODUCT((C68='Landbrugsareal - resultat'!$B$33:$B$46)*(INDEX('Landbrugsareal - resultat'!$C$33:$E$46,,MATCH($D68,'Landbrugsareal - resultat'!$C$5:$E$5,0)))),IF(I$2=2030,SUMPRODUCT(($B68='Landbrugsareal - resultat'!$B$33:$B$46)*(INDEX('Landbrugsareal - resultat'!$F$33:$H$46,,MATCH($D68,'Landbrugsareal - resultat'!$F$5:$H$5,0)))),SUMPRODUCT(($B68='Landbrugsareal - resultat'!$B$33:$B$46)*(INDEX('Landbrugsareal - resultat'!$I$33:$K$46,,MATCH($D68,'Landbrugsareal - resultat'!$I$5:$K$5,0)))))),IF(I$2=2019,SUMPRODUCT(($B68='Landbrugsareal - resultat'!$B$33:$B$46)*(INDEX('Landbrugsareal - resultat'!$L$33:$N$46,,MATCH($D68,'Landbrugsareal - resultat'!$L$5:$N$5,0)))),IF(I$2=2030,SUMPRODUCT(($B68='Landbrugsareal - resultat'!$B$33:$B$46)*(INDEX('Landbrugsareal - resultat'!$O$33:$Q$46,,MATCH($D68,'Landbrugsareal - resultat'!$O$5:$Q$5,0)))),SUMPRODUCT(($B68='Landbrugsareal - resultat'!$B$33:$B$46)*(INDEX('Landbrugsareal - resultat'!$R$33:$T$46,,MATCH($D68,'Landbrugsareal - resultat'!$R$5:$T$5,0))))))))</f>
        <v>263.86005174649438</v>
      </c>
    </row>
    <row r="69" spans="1:9" x14ac:dyDescent="0.25">
      <c r="A69" t="s">
        <v>23</v>
      </c>
      <c r="B69" s="1" t="str">
        <f>[1]Afgrødefordeling!$C$12</f>
        <v>Frø</v>
      </c>
      <c r="C69" t="s">
        <v>8</v>
      </c>
      <c r="D69" t="str">
        <f t="shared" si="5"/>
        <v>OC6</v>
      </c>
      <c r="F69" t="str">
        <f t="shared" si="6"/>
        <v>Areal-frøgræs</v>
      </c>
      <c r="G69" s="96" cm="1">
        <f t="array" ref="G69">IF($A69="Vestdanmark",IF($C69="Konventionel",IF(G$2=2019,SUMPRODUCT(($B69='Landbrugsareal - resultat'!$B$6:$B$19)*(INDEX('Landbrugsareal - resultat'!$C$6:$E$19,,MATCH($D69,'Landbrugsareal - resultat'!$C$5:$E$5,0)))),IF(G$2=2030,SUMPRODUCT(($B69='Landbrugsareal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resultat'!$I$5:$K$5,0)))))),IF(G$2=2019,SUMPRODUCT(($B69='Landbrugsareal - resultat'!$B$6:$B$19)*(INDEX('Landbrugsareal - resultat'!$L$6:$N$19,,MATCH($D69,'Landbrugsareal - resultat'!$L$5:$N$5,0)))),IF(G$2=2030,SUMPRODUCT(($B69='Landbrugsareal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resultat'!$R$5:$T$5,0))))))),IF($C69="Konventionel",IF(G$2=2019,SUMPRODUCT((B69='Landbrugsareal - resultat'!$B$33:$B$46)*(INDEX('Landbrugsareal - resultat'!$C$33:$E$46,,MATCH($D69,'Landbrugsareal - resultat'!$C$5:$E$5,0)))),IF(G$2=2030,SUMPRODUCT(($B69='Landbrugsareal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resultat'!$I$5:$K$5,0)))))),IF(G$2=2019,SUMPRODUCT(($B69='Landbrugsareal - resultat'!$B$33:$B$46)*(INDEX('Landbrugsareal - resultat'!$L$33:$N$46,,MATCH($D69,'Landbrugsareal - resultat'!$L$5:$N$5,0)))),IF(G$2=2030,SUMPRODUCT(($B69='Landbrugsareal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455.9310004345117</v>
      </c>
      <c r="H69" s="96" cm="1">
        <f t="array" ref="H69">IF($A69="Vestdanmark",IF($C69="Konventionel",IF(H$2=2019,SUMPRODUCT(($B69='Landbrugsareal - resultat'!$B$6:$B$19)*(INDEX('Landbrugsareal - resultat'!$C$6:$E$19,,MATCH($D69,'Landbrugsareal - resultat'!$C$5:$E$5,0)))),IF(H$2=2030,SUMPRODUCT(($B69='Landbrugsareal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resultat'!$I$5:$K$5,0)))))),IF(H$2=2019,SUMPRODUCT(($B69='Landbrugsareal - resultat'!$B$6:$B$19)*(INDEX('Landbrugsareal - resultat'!$L$6:$N$19,,MATCH($D69,'Landbrugsareal - resultat'!$L$5:$N$5,0)))),IF(H$2=2030,SUMPRODUCT(($B69='Landbrugsareal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resultat'!$R$5:$T$5,0))))))),IF($C69="Konventionel",IF(H$2=2019,SUMPRODUCT(($B69='Landbrugsareal - resultat'!$B$33:$B$46)*(INDEX('Landbrugsareal - resultat'!$C$33:$E$46,,MATCH($D69,'Landbrugsareal - resultat'!$C$5:$E$5,0)))),IF(H$2=2030,SUMPRODUCT(($B69='Landbrugsareal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resultat'!$I$5:$K$5,0)))))),IF(H$2=2019,SUMPRODUCT(($B69='Landbrugsareal - resultat'!$B$33:$B$46)*(INDEX('Landbrugsareal - resultat'!$L$33:$N$46,,MATCH($D69,'Landbrugsareal - resultat'!$L$5:$N$5,0)))),IF(H$2=2030,SUMPRODUCT(($B69='Landbrugsareal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502.41940957525651</v>
      </c>
      <c r="I69" s="96" cm="1">
        <f t="array" ref="I69">IF($A69="Vestdanmark",IF($C69="Konventionel",IF(I$2=2019,SUMPRODUCT(($B69='Landbrugsareal - resultat'!$B$6:$B$19)*(INDEX('Landbrugsareal - resultat'!$C$6:$E$19,,MATCH($D69,'Landbrugsareal - resultat'!$C$5:$E$5,0)))),IF(I$2=2030,SUMPRODUCT(($B69='Landbrugsareal - resultat'!$B$6:$B$19)*(INDEX('Landbrugsareal - resultat'!$F$6:$H$19,,MATCH($D69,'Landbrugsareal - resultat'!$F$5:$H$5,0)))),SUMPRODUCT(($B69='Landbrugsareal - resultat'!$B$6:$B$19)*(INDEX('Landbrugsareal - resultat'!$I$6:$K$19,,MATCH($D69,'Landbrugsareal - resultat'!$I$5:$K$5,0)))))),IF(I$2=2019,SUMPRODUCT(($B69='Landbrugsareal - resultat'!$B$6:$B$19)*(INDEX('Landbrugsareal - resultat'!$L$6:$N$19,,MATCH($D69,'Landbrugsareal - resultat'!$L$5:$N$5,0)))),IF(I$2=2030,SUMPRODUCT(($B69='Landbrugsareal - resultat'!$B$6:$B$19)*(INDEX('Landbrugsareal - resultat'!$O$6:$Q$19,,MATCH($D69,'Landbrugsareal - resultat'!$O$5:$Q$5,0)))),SUMPRODUCT(($B69='Landbrugsareal - resultat'!$B$6:$B$19)*(INDEX('Landbrugsareal - resultat'!$R$6:$T$19,,MATCH($D69,'Landbrugsareal - resultat'!$R$5:$T$5,0))))))),IF($C69="Konventionel",IF(I$2=2019,SUMPRODUCT((C69='Landbrugsareal - resultat'!$B$33:$B$46)*(INDEX('Landbrugsareal - resultat'!$C$33:$E$46,,MATCH($D69,'Landbrugsareal - resultat'!$C$5:$E$5,0)))),IF(I$2=2030,SUMPRODUCT(($B69='Landbrugsareal - resultat'!$B$33:$B$46)*(INDEX('Landbrugsareal - resultat'!$F$33:$H$46,,MATCH($D69,'Landbrugsareal - resultat'!$F$5:$H$5,0)))),SUMPRODUCT(($B69='Landbrugsareal - resultat'!$B$33:$B$46)*(INDEX('Landbrugsareal - resultat'!$I$33:$K$46,,MATCH($D69,'Landbrugsareal - resultat'!$I$5:$K$5,0)))))),IF(I$2=2019,SUMPRODUCT(($B69='Landbrugsareal - resultat'!$B$33:$B$46)*(INDEX('Landbrugsareal - resultat'!$L$33:$N$46,,MATCH($D69,'Landbrugsareal - resultat'!$L$5:$N$5,0)))),IF(I$2=2030,SUMPRODUCT(($B69='Landbrugsareal - resultat'!$B$33:$B$46)*(INDEX('Landbrugsareal - resultat'!$O$33:$Q$46,,MATCH($D69,'Landbrugsareal - resultat'!$O$5:$Q$5,0)))),SUMPRODUCT(($B69='Landbrugsareal - resultat'!$B$33:$B$46)*(INDEX('Landbrugsareal - resultat'!$R$33:$T$46,,MATCH($D69,'Landbrugsareal - resultat'!$R$5:$T$5,0))))))))</f>
        <v>651.28441981977687</v>
      </c>
    </row>
    <row r="70" spans="1:9" x14ac:dyDescent="0.25">
      <c r="A70" t="s">
        <v>23</v>
      </c>
      <c r="B70" s="1" t="str">
        <f>[1]Afgrødefordeling!$C$13</f>
        <v>Juletræer</v>
      </c>
      <c r="C70" t="s">
        <v>8</v>
      </c>
      <c r="D70" t="str">
        <f t="shared" si="5"/>
        <v>OC6</v>
      </c>
      <c r="F70" t="str">
        <f t="shared" si="6"/>
        <v>Areal-juletræer</v>
      </c>
      <c r="G70" s="96" cm="1">
        <f t="array" ref="G70">IF($A70="Vestdanmark",IF($C70="Konventionel",IF(G$2=2019,SUMPRODUCT(($B70='Landbrugsareal - resultat'!$B$6:$B$19)*(INDEX('Landbrugsareal - resultat'!$C$6:$E$19,,MATCH($D70,'Landbrugsareal - resultat'!$C$5:$E$5,0)))),IF(G$2=2030,SUMPRODUCT(($B70='Landbrugsareal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resultat'!$I$5:$K$5,0)))))),IF(G$2=2019,SUMPRODUCT(($B70='Landbrugsareal - resultat'!$B$6:$B$19)*(INDEX('Landbrugsareal - resultat'!$L$6:$N$19,,MATCH($D70,'Landbrugsareal - resultat'!$L$5:$N$5,0)))),IF(G$2=2030,SUMPRODUCT(($B70='Landbrugsareal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resultat'!$R$5:$T$5,0))))))),IF($C70="Konventionel",IF(G$2=2019,SUMPRODUCT((B70='Landbrugsareal - resultat'!$B$33:$B$46)*(INDEX('Landbrugsareal - resultat'!$C$33:$E$46,,MATCH($D70,'Landbrugsareal - resultat'!$C$5:$E$5,0)))),IF(G$2=2030,SUMPRODUCT(($B70='Landbrugsareal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resultat'!$I$5:$K$5,0)))))),IF(G$2=2019,SUMPRODUCT(($B70='Landbrugsareal - resultat'!$B$33:$B$46)*(INDEX('Landbrugsareal - resultat'!$L$33:$N$46,,MATCH($D70,'Landbrugsareal - resultat'!$L$5:$N$5,0)))),IF(G$2=2030,SUMPRODUCT(($B70='Landbrugsareal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52.383308621374375</v>
      </c>
      <c r="H70" s="96" cm="1">
        <f t="array" ref="H70">IF($A70="Vestdanmark",IF($C70="Konventionel",IF(H$2=2019,SUMPRODUCT(($B70='Landbrugsareal - resultat'!$B$6:$B$19)*(INDEX('Landbrugsareal - resultat'!$C$6:$E$19,,MATCH($D70,'Landbrugsareal - resultat'!$C$5:$E$5,0)))),IF(H$2=2030,SUMPRODUCT(($B70='Landbrugsareal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resultat'!$I$5:$K$5,0)))))),IF(H$2=2019,SUMPRODUCT(($B70='Landbrugsareal - resultat'!$B$6:$B$19)*(INDEX('Landbrugsareal - resultat'!$L$6:$N$19,,MATCH($D70,'Landbrugsareal - resultat'!$L$5:$N$5,0)))),IF(H$2=2030,SUMPRODUCT(($B70='Landbrugsareal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resultat'!$R$5:$T$5,0))))))),IF($C70="Konventionel",IF(H$2=2019,SUMPRODUCT(($B70='Landbrugsareal - resultat'!$B$33:$B$46)*(INDEX('Landbrugsareal - resultat'!$C$33:$E$46,,MATCH($D70,'Landbrugsareal - resultat'!$C$5:$E$5,0)))),IF(H$2=2030,SUMPRODUCT(($B70='Landbrugsareal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resultat'!$I$5:$K$5,0)))))),IF(H$2=2019,SUMPRODUCT(($B70='Landbrugsareal - resultat'!$B$33:$B$46)*(INDEX('Landbrugsareal - resultat'!$L$33:$N$46,,MATCH($D70,'Landbrugsareal - resultat'!$L$5:$N$5,0)))),IF(H$2=2030,SUMPRODUCT(($B70='Landbrugsareal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57.724504286980661</v>
      </c>
      <c r="I70" s="96" cm="1">
        <f t="array" ref="I70">IF($A70="Vestdanmark",IF($C70="Konventionel",IF(I$2=2019,SUMPRODUCT(($B70='Landbrugsareal - resultat'!$B$6:$B$19)*(INDEX('Landbrugsareal - resultat'!$C$6:$E$19,,MATCH($D70,'Landbrugsareal - resultat'!$C$5:$E$5,0)))),IF(I$2=2030,SUMPRODUCT(($B70='Landbrugsareal - resultat'!$B$6:$B$19)*(INDEX('Landbrugsareal - resultat'!$F$6:$H$19,,MATCH($D70,'Landbrugsareal - resultat'!$F$5:$H$5,0)))),SUMPRODUCT(($B70='Landbrugsareal - resultat'!$B$6:$B$19)*(INDEX('Landbrugsareal - resultat'!$I$6:$K$19,,MATCH($D70,'Landbrugsareal - resultat'!$I$5:$K$5,0)))))),IF(I$2=2019,SUMPRODUCT(($B70='Landbrugsareal - resultat'!$B$6:$B$19)*(INDEX('Landbrugsareal - resultat'!$L$6:$N$19,,MATCH($D70,'Landbrugsareal - resultat'!$L$5:$N$5,0)))),IF(I$2=2030,SUMPRODUCT(($B70='Landbrugsareal - resultat'!$B$6:$B$19)*(INDEX('Landbrugsareal - resultat'!$O$6:$Q$19,,MATCH($D70,'Landbrugsareal - resultat'!$O$5:$Q$5,0)))),SUMPRODUCT(($B70='Landbrugsareal - resultat'!$B$6:$B$19)*(INDEX('Landbrugsareal - resultat'!$R$6:$T$19,,MATCH($D70,'Landbrugsareal - resultat'!$R$5:$T$5,0))))))),IF($C70="Konventionel",IF(I$2=2019,SUMPRODUCT((C70='Landbrugsareal - resultat'!$B$33:$B$46)*(INDEX('Landbrugsareal - resultat'!$C$33:$E$46,,MATCH($D70,'Landbrugsareal - resultat'!$C$5:$E$5,0)))),IF(I$2=2030,SUMPRODUCT(($B70='Landbrugsareal - resultat'!$B$33:$B$46)*(INDEX('Landbrugsareal - resultat'!$F$33:$H$46,,MATCH($D70,'Landbrugsareal - resultat'!$F$5:$H$5,0)))),SUMPRODUCT(($B70='Landbrugsareal - resultat'!$B$33:$B$46)*(INDEX('Landbrugsareal - resultat'!$I$33:$K$46,,MATCH($D70,'Landbrugsareal - resultat'!$I$5:$K$5,0)))))),IF(I$2=2019,SUMPRODUCT(($B70='Landbrugsareal - resultat'!$B$33:$B$46)*(INDEX('Landbrugsareal - resultat'!$L$33:$N$46,,MATCH($D70,'Landbrugsareal - resultat'!$L$5:$N$5,0)))),IF(I$2=2030,SUMPRODUCT(($B70='Landbrugsareal - resultat'!$B$33:$B$46)*(INDEX('Landbrugsareal - resultat'!$O$33:$Q$46,,MATCH($D70,'Landbrugsareal - resultat'!$O$5:$Q$5,0)))),SUMPRODUCT(($B70='Landbrugsareal - resultat'!$B$33:$B$46)*(INDEX('Landbrugsareal - resultat'!$R$33:$T$46,,MATCH($D70,'Landbrugsareal - resultat'!$R$5:$T$5,0))))))))</f>
        <v>74.828061112752692</v>
      </c>
    </row>
    <row r="71" spans="1:9" x14ac:dyDescent="0.25">
      <c r="A71" t="s">
        <v>23</v>
      </c>
      <c r="B71" s="1" t="str">
        <f>[1]Afgrødefordeling!$C$14</f>
        <v>Pil &amp; poppel</v>
      </c>
      <c r="C71" t="s">
        <v>8</v>
      </c>
      <c r="D71" t="str">
        <f t="shared" si="5"/>
        <v>OC6</v>
      </c>
      <c r="F71" t="str">
        <f t="shared" si="6"/>
        <v>Areal-pil-poppel</v>
      </c>
      <c r="G71" s="96" cm="1">
        <f t="array" ref="G71">IF($A71="Vestdanmark",IF($C71="Konventionel",IF(G$2=2019,SUMPRODUCT(($B71='Landbrugsareal - resultat'!$B$6:$B$19)*(INDEX('Landbrugsareal - resultat'!$C$6:$E$19,,MATCH($D71,'Landbrugsareal - resultat'!$C$5:$E$5,0)))),IF(G$2=2030,SUMPRODUCT(($B71='Landbrugsareal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resultat'!$I$5:$K$5,0)))))),IF(G$2=2019,SUMPRODUCT(($B71='Landbrugsareal - resultat'!$B$6:$B$19)*(INDEX('Landbrugsareal - resultat'!$L$6:$N$19,,MATCH($D71,'Landbrugsareal - resultat'!$L$5:$N$5,0)))),IF(G$2=2030,SUMPRODUCT(($B71='Landbrugsareal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resultat'!$R$5:$T$5,0))))))),IF($C71="Konventionel",IF(G$2=2019,SUMPRODUCT((B71='Landbrugsareal - resultat'!$B$33:$B$46)*(INDEX('Landbrugsareal - resultat'!$C$33:$E$46,,MATCH($D71,'Landbrugsareal - resultat'!$C$5:$E$5,0)))),IF(G$2=2030,SUMPRODUCT(($B71='Landbrugsareal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resultat'!$I$5:$K$5,0)))))),IF(G$2=2019,SUMPRODUCT(($B71='Landbrugsareal - resultat'!$B$33:$B$46)*(INDEX('Landbrugsareal - resultat'!$L$33:$N$46,,MATCH($D71,'Landbrugsareal - resultat'!$L$5:$N$5,0)))),IF(G$2=2030,SUMPRODUCT(($B71='Landbrugsareal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86.032708668626768</v>
      </c>
      <c r="H71" s="96" cm="1">
        <f t="array" ref="H71">IF($A71="Vestdanmark",IF($C71="Konventionel",IF(H$2=2019,SUMPRODUCT(($B71='Landbrugsareal - resultat'!$B$6:$B$19)*(INDEX('Landbrugsareal - resultat'!$C$6:$E$19,,MATCH($D71,'Landbrugsareal - resultat'!$C$5:$E$5,0)))),IF(H$2=2030,SUMPRODUCT(($B71='Landbrugsareal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resultat'!$I$5:$K$5,0)))))),IF(H$2=2019,SUMPRODUCT(($B71='Landbrugsareal - resultat'!$B$6:$B$19)*(INDEX('Landbrugsareal - resultat'!$L$6:$N$19,,MATCH($D71,'Landbrugsareal - resultat'!$L$5:$N$5,0)))),IF(H$2=2030,SUMPRODUCT(($B71='Landbrugsareal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resultat'!$R$5:$T$5,0))))))),IF($C71="Konventionel",IF(H$2=2019,SUMPRODUCT(($B71='Landbrugsareal - resultat'!$B$33:$B$46)*(INDEX('Landbrugsareal - resultat'!$C$33:$E$46,,MATCH($D71,'Landbrugsareal - resultat'!$C$5:$E$5,0)))),IF(H$2=2030,SUMPRODUCT(($B71='Landbrugsareal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resultat'!$I$5:$K$5,0)))))),IF(H$2=2019,SUMPRODUCT(($B71='Landbrugsareal - resultat'!$B$33:$B$46)*(INDEX('Landbrugsareal - resultat'!$L$33:$N$46,,MATCH($D71,'Landbrugsareal - resultat'!$L$5:$N$5,0)))),IF(H$2=2030,SUMPRODUCT(($B71='Landbrugsareal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94.804921473331831</v>
      </c>
      <c r="I71" s="96" cm="1">
        <f t="array" ref="I71">IF($A71="Vestdanmark",IF($C71="Konventionel",IF(I$2=2019,SUMPRODUCT(($B71='Landbrugsareal - resultat'!$B$6:$B$19)*(INDEX('Landbrugsareal - resultat'!$C$6:$E$19,,MATCH($D71,'Landbrugsareal - resultat'!$C$5:$E$5,0)))),IF(I$2=2030,SUMPRODUCT(($B71='Landbrugsareal - resultat'!$B$6:$B$19)*(INDEX('Landbrugsareal - resultat'!$F$6:$H$19,,MATCH($D71,'Landbrugsareal - resultat'!$F$5:$H$5,0)))),SUMPRODUCT(($B71='Landbrugsareal - resultat'!$B$6:$B$19)*(INDEX('Landbrugsareal - resultat'!$I$6:$K$19,,MATCH($D71,'Landbrugsareal - resultat'!$I$5:$K$5,0)))))),IF(I$2=2019,SUMPRODUCT(($B71='Landbrugsareal - resultat'!$B$6:$B$19)*(INDEX('Landbrugsareal - resultat'!$L$6:$N$19,,MATCH($D71,'Landbrugsareal - resultat'!$L$5:$N$5,0)))),IF(I$2=2030,SUMPRODUCT(($B71='Landbrugsareal - resultat'!$B$6:$B$19)*(INDEX('Landbrugsareal - resultat'!$O$6:$Q$19,,MATCH($D71,'Landbrugsareal - resultat'!$O$5:$Q$5,0)))),SUMPRODUCT(($B71='Landbrugsareal - resultat'!$B$6:$B$19)*(INDEX('Landbrugsareal - resultat'!$R$6:$T$19,,MATCH($D71,'Landbrugsareal - resultat'!$R$5:$T$5,0))))))),IF($C71="Konventionel",IF(I$2=2019,SUMPRODUCT((C71='Landbrugsareal - resultat'!$B$33:$B$46)*(INDEX('Landbrugsareal - resultat'!$C$33:$E$46,,MATCH($D71,'Landbrugsareal - resultat'!$C$5:$E$5,0)))),IF(I$2=2030,SUMPRODUCT(($B71='Landbrugsareal - resultat'!$B$33:$B$46)*(INDEX('Landbrugsareal - resultat'!$F$33:$H$46,,MATCH($D71,'Landbrugsareal - resultat'!$F$5:$H$5,0)))),SUMPRODUCT(($B71='Landbrugsareal - resultat'!$B$33:$B$46)*(INDEX('Landbrugsareal - resultat'!$I$33:$K$46,,MATCH($D71,'Landbrugsareal - resultat'!$I$5:$K$5,0)))))),IF(I$2=2019,SUMPRODUCT(($B71='Landbrugsareal - resultat'!$B$33:$B$46)*(INDEX('Landbrugsareal - resultat'!$L$33:$N$46,,MATCH($D71,'Landbrugsareal - resultat'!$L$5:$N$5,0)))),IF(I$2=2030,SUMPRODUCT(($B71='Landbrugsareal - resultat'!$B$33:$B$46)*(INDEX('Landbrugsareal - resultat'!$O$33:$Q$46,,MATCH($D71,'Landbrugsareal - resultat'!$O$5:$Q$5,0)))),SUMPRODUCT(($B71='Landbrugsareal - resultat'!$B$33:$B$46)*(INDEX('Landbrugsareal - resultat'!$R$33:$T$46,,MATCH($D71,'Landbrugsareal - resultat'!$R$5:$T$5,0))))))))</f>
        <v>122.89526857654124</v>
      </c>
    </row>
    <row r="72" spans="1:9" x14ac:dyDescent="0.25">
      <c r="A72" t="s">
        <v>23</v>
      </c>
      <c r="B72" s="1" t="str">
        <f>[1]Afgrødefordeling!$C$15</f>
        <v>Permanent græs</v>
      </c>
      <c r="C72" t="s">
        <v>8</v>
      </c>
      <c r="D72" t="str">
        <f t="shared" si="5"/>
        <v>OC6</v>
      </c>
      <c r="F72" t="str">
        <f t="shared" si="6"/>
        <v>Areal-permanent græs</v>
      </c>
      <c r="G72" s="96" cm="1">
        <f t="array" ref="G72">IF($A72="Vestdanmark",IF($C72="Konventionel",IF(G$2=2019,SUMPRODUCT(($B72='Landbrugsareal - resultat'!$B$6:$B$19)*(INDEX('Landbrugsareal - resultat'!$C$6:$E$19,,MATCH($D72,'Landbrugsareal - resultat'!$C$5:$E$5,0)))),IF(G$2=2030,SUMPRODUCT(($B72='Landbrugsareal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resultat'!$I$5:$K$5,0)))))),IF(G$2=2019,SUMPRODUCT(($B72='Landbrugsareal - resultat'!$B$6:$B$19)*(INDEX('Landbrugsareal - resultat'!$L$6:$N$19,,MATCH($D72,'Landbrugsareal - resultat'!$L$5:$N$5,0)))),IF(G$2=2030,SUMPRODUCT(($B72='Landbrugsareal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resultat'!$R$5:$T$5,0))))))),IF($C72="Konventionel",IF(G$2=2019,SUMPRODUCT((B72='Landbrugsareal - resultat'!$B$33:$B$46)*(INDEX('Landbrugsareal - resultat'!$C$33:$E$46,,MATCH($D72,'Landbrugsareal - resultat'!$C$5:$E$5,0)))),IF(G$2=2030,SUMPRODUCT(($B72='Landbrugsareal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resultat'!$I$5:$K$5,0)))))),IF(G$2=2019,SUMPRODUCT(($B72='Landbrugsareal - resultat'!$B$33:$B$46)*(INDEX('Landbrugsareal - resultat'!$L$33:$N$46,,MATCH($D72,'Landbrugsareal - resultat'!$L$5:$N$5,0)))),IF(G$2=2030,SUMPRODUCT(($B72='Landbrugsareal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2431.7201038177204</v>
      </c>
      <c r="H72" s="96" cm="1">
        <f t="array" ref="H72">IF($A72="Vestdanmark",IF($C72="Konventionel",IF(H$2=2019,SUMPRODUCT(($B72='Landbrugsareal - resultat'!$B$6:$B$19)*(INDEX('Landbrugsareal - resultat'!$C$6:$E$19,,MATCH($D72,'Landbrugsareal - resultat'!$C$5:$E$5,0)))),IF(H$2=2030,SUMPRODUCT(($B72='Landbrugsareal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resultat'!$I$5:$K$5,0)))))),IF(H$2=2019,SUMPRODUCT(($B72='Landbrugsareal - resultat'!$B$6:$B$19)*(INDEX('Landbrugsareal - resultat'!$L$6:$N$19,,MATCH($D72,'Landbrugsareal - resultat'!$L$5:$N$5,0)))),IF(H$2=2030,SUMPRODUCT(($B72='Landbrugsareal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resultat'!$R$5:$T$5,0))))))),IF($C72="Konventionel",IF(H$2=2019,SUMPRODUCT(($B72='Landbrugsareal - resultat'!$B$33:$B$46)*(INDEX('Landbrugsareal - resultat'!$C$33:$E$46,,MATCH($D72,'Landbrugsareal - resultat'!$C$5:$E$5,0)))),IF(H$2=2030,SUMPRODUCT(($B72='Landbrugsareal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resultat'!$I$5:$K$5,0)))))),IF(H$2=2019,SUMPRODUCT(($B72='Landbrugsareal - resultat'!$B$33:$B$46)*(INDEX('Landbrugsareal - resultat'!$L$33:$N$46,,MATCH($D72,'Landbrugsareal - resultat'!$L$5:$N$5,0)))),IF(H$2=2030,SUMPRODUCT(($B72='Landbrugsareal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2679.6672690561372</v>
      </c>
      <c r="I72" s="96" cm="1">
        <f t="array" ref="I72">IF($A72="Vestdanmark",IF($C72="Konventionel",IF(I$2=2019,SUMPRODUCT(($B72='Landbrugsareal - resultat'!$B$6:$B$19)*(INDEX('Landbrugsareal - resultat'!$C$6:$E$19,,MATCH($D72,'Landbrugsareal - resultat'!$C$5:$E$5,0)))),IF(I$2=2030,SUMPRODUCT(($B72='Landbrugsareal - resultat'!$B$6:$B$19)*(INDEX('Landbrugsareal - resultat'!$F$6:$H$19,,MATCH($D72,'Landbrugsareal - resultat'!$F$5:$H$5,0)))),SUMPRODUCT(($B72='Landbrugsareal - resultat'!$B$6:$B$19)*(INDEX('Landbrugsareal - resultat'!$I$6:$K$19,,MATCH($D72,'Landbrugsareal - resultat'!$I$5:$K$5,0)))))),IF(I$2=2019,SUMPRODUCT(($B72='Landbrugsareal - resultat'!$B$6:$B$19)*(INDEX('Landbrugsareal - resultat'!$L$6:$N$19,,MATCH($D72,'Landbrugsareal - resultat'!$L$5:$N$5,0)))),IF(I$2=2030,SUMPRODUCT(($B72='Landbrugsareal - resultat'!$B$6:$B$19)*(INDEX('Landbrugsareal - resultat'!$O$6:$Q$19,,MATCH($D72,'Landbrugsareal - resultat'!$O$5:$Q$5,0)))),SUMPRODUCT(($B72='Landbrugsareal - resultat'!$B$6:$B$19)*(INDEX('Landbrugsareal - resultat'!$R$6:$T$19,,MATCH($D72,'Landbrugsareal - resultat'!$R$5:$T$5,0))))))),IF($C72="Konventionel",IF(I$2=2019,SUMPRODUCT((C72='Landbrugsareal - resultat'!$B$33:$B$46)*(INDEX('Landbrugsareal - resultat'!$C$33:$E$46,,MATCH($D72,'Landbrugsareal - resultat'!$C$5:$E$5,0)))),IF(I$2=2030,SUMPRODUCT(($B72='Landbrugsareal - resultat'!$B$33:$B$46)*(INDEX('Landbrugsareal - resultat'!$F$33:$H$46,,MATCH($D72,'Landbrugsareal - resultat'!$F$5:$H$5,0)))),SUMPRODUCT(($B72='Landbrugsareal - resultat'!$B$33:$B$46)*(INDEX('Landbrugsareal - resultat'!$I$33:$K$46,,MATCH($D72,'Landbrugsareal - resultat'!$I$5:$K$5,0)))))),IF(I$2=2019,SUMPRODUCT(($B72='Landbrugsareal - resultat'!$B$33:$B$46)*(INDEX('Landbrugsareal - resultat'!$L$33:$N$46,,MATCH($D72,'Landbrugsareal - resultat'!$L$5:$N$5,0)))),IF(I$2=2030,SUMPRODUCT(($B72='Landbrugsareal - resultat'!$B$33:$B$46)*(INDEX('Landbrugsareal - resultat'!$O$33:$Q$46,,MATCH($D72,'Landbrugsareal - resultat'!$O$5:$Q$5,0)))),SUMPRODUCT(($B72='Landbrugsareal - resultat'!$B$33:$B$46)*(INDEX('Landbrugsareal - resultat'!$R$33:$T$46,,MATCH($D72,'Landbrugsareal - resultat'!$R$5:$T$5,0))))))))</f>
        <v>3473.6427561838809</v>
      </c>
    </row>
    <row r="73" spans="1:9" x14ac:dyDescent="0.25">
      <c r="A73" t="s">
        <v>23</v>
      </c>
      <c r="B73" s="1" t="str">
        <f>[1]Afgrødefordeling!$C$2</f>
        <v>Korn</v>
      </c>
      <c r="C73" t="s">
        <v>8</v>
      </c>
      <c r="D73" t="str">
        <f t="shared" ref="D73:D86" si="7">Organ12</f>
        <v>OC12</v>
      </c>
      <c r="F73" t="str">
        <f t="shared" si="6"/>
        <v>Areal-korn</v>
      </c>
      <c r="G73" s="96" cm="1">
        <f t="array" ref="G73">IF($A73="Vestdanmark",IF($C73="Konventionel",IF(G$2=2019,SUMPRODUCT(($B73='Landbrugsareal - resultat'!$B$6:$B$19)*(INDEX('Landbrugsareal - resultat'!$C$6:$E$19,,MATCH($D73,'Landbrugsareal - resultat'!$C$5:$E$5,0)))),IF(G$2=2030,SUMPRODUCT(($B73='Landbrugsareal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resultat'!$I$5:$K$5,0)))))),IF(G$2=2019,SUMPRODUCT(($B73='Landbrugsareal - resultat'!$B$6:$B$19)*(INDEX('Landbrugsareal - resultat'!$L$6:$N$19,,MATCH($D73,'Landbrugsareal - resultat'!$L$5:$N$5,0)))),IF(G$2=2030,SUMPRODUCT(($B73='Landbrugsareal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resultat'!$R$5:$T$5,0))))))),IF($C73="Konventionel",IF(G$2=2019,SUMPRODUCT((B73='Landbrugsareal - resultat'!$B$33:$B$46)*(INDEX('Landbrugsareal - resultat'!$C$33:$E$46,,MATCH($D73,'Landbrugsareal - resultat'!$C$5:$E$5,0)))),IF(G$2=2030,SUMPRODUCT(($B73='Landbrugsareal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resultat'!$I$5:$K$5,0)))))),IF(G$2=2019,SUMPRODUCT(($B73='Landbrugsareal - resultat'!$B$33:$B$46)*(INDEX('Landbrugsareal - resultat'!$L$33:$N$46,,MATCH($D73,'Landbrugsareal - resultat'!$L$5:$N$5,0)))),IF(G$2=2030,SUMPRODUCT(($B73='Landbrugsareal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1463.0378625294493</v>
      </c>
      <c r="H73" s="96" cm="1">
        <f t="array" ref="H73">IF($A73="Vestdanmark",IF($C73="Konventionel",IF(H$2=2019,SUMPRODUCT(($B73='Landbrugsareal - resultat'!$B$6:$B$19)*(INDEX('Landbrugsareal - resultat'!$C$6:$E$19,,MATCH($D73,'Landbrugsareal - resultat'!$C$5:$E$5,0)))),IF(H$2=2030,SUMPRODUCT(($B73='Landbrugsareal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resultat'!$I$5:$K$5,0)))))),IF(H$2=2019,SUMPRODUCT(($B73='Landbrugsareal - resultat'!$B$6:$B$19)*(INDEX('Landbrugsareal - resultat'!$L$6:$N$19,,MATCH($D73,'Landbrugsareal - resultat'!$L$5:$N$5,0)))),IF(H$2=2030,SUMPRODUCT(($B73='Landbrugsareal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resultat'!$R$5:$T$5,0))))))),IF($C73="Konventionel",IF(H$2=2019,SUMPRODUCT(($B73='Landbrugsareal - resultat'!$B$33:$B$46)*(INDEX('Landbrugsareal - resultat'!$C$33:$E$46,,MATCH($D73,'Landbrugsareal - resultat'!$C$5:$E$5,0)))),IF(H$2=2030,SUMPRODUCT(($B73='Landbrugsareal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resultat'!$I$5:$K$5,0)))))),IF(H$2=2019,SUMPRODUCT(($B73='Landbrugsareal - resultat'!$B$33:$B$46)*(INDEX('Landbrugsareal - resultat'!$L$33:$N$46,,MATCH($D73,'Landbrugsareal - resultat'!$L$5:$N$5,0)))),IF(H$2=2030,SUMPRODUCT(($B73='Landbrugsareal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1575.203881285586</v>
      </c>
      <c r="I73" s="96" cm="1">
        <f t="array" ref="I73">IF($A73="Vestdanmark",IF($C73="Konventionel",IF(I$2=2019,SUMPRODUCT(($B73='Landbrugsareal - resultat'!$B$6:$B$19)*(INDEX('Landbrugsareal - resultat'!$C$6:$E$19,,MATCH($D73,'Landbrugsareal - resultat'!$C$5:$E$5,0)))),IF(I$2=2030,SUMPRODUCT(($B73='Landbrugsareal - resultat'!$B$6:$B$19)*(INDEX('Landbrugsareal - resultat'!$F$6:$H$19,,MATCH($D73,'Landbrugsareal - resultat'!$F$5:$H$5,0)))),SUMPRODUCT(($B73='Landbrugsareal - resultat'!$B$6:$B$19)*(INDEX('Landbrugsareal - resultat'!$I$6:$K$19,,MATCH($D73,'Landbrugsareal - resultat'!$I$5:$K$5,0)))))),IF(I$2=2019,SUMPRODUCT(($B73='Landbrugsareal - resultat'!$B$6:$B$19)*(INDEX('Landbrugsareal - resultat'!$L$6:$N$19,,MATCH($D73,'Landbrugsareal - resultat'!$L$5:$N$5,0)))),IF(I$2=2030,SUMPRODUCT(($B73='Landbrugsareal - resultat'!$B$6:$B$19)*(INDEX('Landbrugsareal - resultat'!$O$6:$Q$19,,MATCH($D73,'Landbrugsareal - resultat'!$O$5:$Q$5,0)))),SUMPRODUCT(($B73='Landbrugsareal - resultat'!$B$6:$B$19)*(INDEX('Landbrugsareal - resultat'!$R$6:$T$19,,MATCH($D73,'Landbrugsareal - resultat'!$R$5:$T$5,0))))))),IF($C73="Konventionel",IF(I$2=2019,SUMPRODUCT((C73='Landbrugsareal - resultat'!$B$33:$B$46)*(INDEX('Landbrugsareal - resultat'!$C$33:$E$46,,MATCH($D73,'Landbrugsareal - resultat'!$C$5:$E$5,0)))),IF(I$2=2030,SUMPRODUCT(($B73='Landbrugsareal - resultat'!$B$33:$B$46)*(INDEX('Landbrugsareal - resultat'!$F$33:$H$46,,MATCH($D73,'Landbrugsareal - resultat'!$F$5:$H$5,0)))),SUMPRODUCT(($B73='Landbrugsareal - resultat'!$B$33:$B$46)*(INDEX('Landbrugsareal - resultat'!$I$33:$K$46,,MATCH($D73,'Landbrugsareal - resultat'!$I$5:$K$5,0)))))),IF(I$2=2019,SUMPRODUCT(($B73='Landbrugsareal - resultat'!$B$33:$B$46)*(INDEX('Landbrugsareal - resultat'!$L$33:$N$46,,MATCH($D73,'Landbrugsareal - resultat'!$L$5:$N$5,0)))),IF(I$2=2030,SUMPRODUCT(($B73='Landbrugsareal - resultat'!$B$33:$B$46)*(INDEX('Landbrugsareal - resultat'!$O$33:$Q$46,,MATCH($D73,'Landbrugsareal - resultat'!$O$5:$Q$5,0)))),SUMPRODUCT(($B73='Landbrugsareal - resultat'!$B$33:$B$46)*(INDEX('Landbrugsareal - resultat'!$R$33:$T$46,,MATCH($D73,'Landbrugsareal - resultat'!$R$5:$T$5,0))))))))</f>
        <v>2041.9309572220554</v>
      </c>
    </row>
    <row r="74" spans="1:9" x14ac:dyDescent="0.25">
      <c r="A74" t="s">
        <v>23</v>
      </c>
      <c r="B74" s="1" t="str">
        <f>[1]Afgrødefordeling!$C$3</f>
        <v>Bælgsæd</v>
      </c>
      <c r="C74" t="s">
        <v>8</v>
      </c>
      <c r="D74" t="str">
        <f t="shared" si="7"/>
        <v>OC12</v>
      </c>
      <c r="F74" t="str">
        <f t="shared" si="6"/>
        <v>Areal-bælgsæd</v>
      </c>
      <c r="G74" s="96" cm="1">
        <f t="array" ref="G74">IF($A74="Vestdanmark",IF($C74="Konventionel",IF(G$2=2019,SUMPRODUCT(($B74='Landbrugsareal - resultat'!$B$6:$B$19)*(INDEX('Landbrugsareal - resultat'!$C$6:$E$19,,MATCH($D74,'Landbrugsareal - resultat'!$C$5:$E$5,0)))),IF(G$2=2030,SUMPRODUCT(($B74='Landbrugsareal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resultat'!$I$5:$K$5,0)))))),IF(G$2=2019,SUMPRODUCT(($B74='Landbrugsareal - resultat'!$B$6:$B$19)*(INDEX('Landbrugsareal - resultat'!$L$6:$N$19,,MATCH($D74,'Landbrugsareal - resultat'!$L$5:$N$5,0)))),IF(G$2=2030,SUMPRODUCT(($B74='Landbrugsareal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resultat'!$R$5:$T$5,0))))))),IF($C74="Konventionel",IF(G$2=2019,SUMPRODUCT((B74='Landbrugsareal - resultat'!$B$33:$B$46)*(INDEX('Landbrugsareal - resultat'!$C$33:$E$46,,MATCH($D74,'Landbrugsareal - resultat'!$C$5:$E$5,0)))),IF(G$2=2030,SUMPRODUCT(($B74='Landbrugsareal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resultat'!$I$5:$K$5,0)))))),IF(G$2=2019,SUMPRODUCT(($B74='Landbrugsareal - resultat'!$B$33:$B$46)*(INDEX('Landbrugsareal - resultat'!$L$33:$N$46,,MATCH($D74,'Landbrugsareal - resultat'!$L$5:$N$5,0)))),IF(G$2=2030,SUMPRODUCT(($B74='Landbrugsareal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84.240582319120037</v>
      </c>
      <c r="H74" s="96" cm="1">
        <f t="array" ref="H74">IF($A74="Vestdanmark",IF($C74="Konventionel",IF(H$2=2019,SUMPRODUCT(($B74='Landbrugsareal - resultat'!$B$6:$B$19)*(INDEX('Landbrugsareal - resultat'!$C$6:$E$19,,MATCH($D74,'Landbrugsareal - resultat'!$C$5:$E$5,0)))),IF(H$2=2030,SUMPRODUCT(($B74='Landbrugsareal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resultat'!$I$5:$K$5,0)))))),IF(H$2=2019,SUMPRODUCT(($B74='Landbrugsareal - resultat'!$B$6:$B$19)*(INDEX('Landbrugsareal - resultat'!$L$6:$N$19,,MATCH($D74,'Landbrugsareal - resultat'!$L$5:$N$5,0)))),IF(H$2=2030,SUMPRODUCT(($B74='Landbrugsareal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resultat'!$R$5:$T$5,0))))))),IF($C74="Konventionel",IF(H$2=2019,SUMPRODUCT(($B74='Landbrugsareal - resultat'!$B$33:$B$46)*(INDEX('Landbrugsareal - resultat'!$C$33:$E$46,,MATCH($D74,'Landbrugsareal - resultat'!$C$5:$E$5,0)))),IF(H$2=2030,SUMPRODUCT(($B74='Landbrugsareal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resultat'!$I$5:$K$5,0)))))),IF(H$2=2019,SUMPRODUCT(($B74='Landbrugsareal - resultat'!$B$33:$B$46)*(INDEX('Landbrugsareal - resultat'!$L$33:$N$46,,MATCH($D74,'Landbrugsareal - resultat'!$L$5:$N$5,0)))),IF(H$2=2030,SUMPRODUCT(($B74='Landbrugsareal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90.699014447525812</v>
      </c>
      <c r="I74" s="96" cm="1">
        <f t="array" ref="I74">IF($A74="Vestdanmark",IF($C74="Konventionel",IF(I$2=2019,SUMPRODUCT(($B74='Landbrugsareal - resultat'!$B$6:$B$19)*(INDEX('Landbrugsareal - resultat'!$C$6:$E$19,,MATCH($D74,'Landbrugsareal - resultat'!$C$5:$E$5,0)))),IF(I$2=2030,SUMPRODUCT(($B74='Landbrugsareal - resultat'!$B$6:$B$19)*(INDEX('Landbrugsareal - resultat'!$F$6:$H$19,,MATCH($D74,'Landbrugsareal - resultat'!$F$5:$H$5,0)))),SUMPRODUCT(($B74='Landbrugsareal - resultat'!$B$6:$B$19)*(INDEX('Landbrugsareal - resultat'!$I$6:$K$19,,MATCH($D74,'Landbrugsareal - resultat'!$I$5:$K$5,0)))))),IF(I$2=2019,SUMPRODUCT(($B74='Landbrugsareal - resultat'!$B$6:$B$19)*(INDEX('Landbrugsareal - resultat'!$L$6:$N$19,,MATCH($D74,'Landbrugsareal - resultat'!$L$5:$N$5,0)))),IF(I$2=2030,SUMPRODUCT(($B74='Landbrugsareal - resultat'!$B$6:$B$19)*(INDEX('Landbrugsareal - resultat'!$O$6:$Q$19,,MATCH($D74,'Landbrugsareal - resultat'!$O$5:$Q$5,0)))),SUMPRODUCT(($B74='Landbrugsareal - resultat'!$B$6:$B$19)*(INDEX('Landbrugsareal - resultat'!$R$6:$T$19,,MATCH($D74,'Landbrugsareal - resultat'!$R$5:$T$5,0))))))),IF($C74="Konventionel",IF(I$2=2019,SUMPRODUCT((C74='Landbrugsareal - resultat'!$B$33:$B$46)*(INDEX('Landbrugsareal - resultat'!$C$33:$E$46,,MATCH($D74,'Landbrugsareal - resultat'!$C$5:$E$5,0)))),IF(I$2=2030,SUMPRODUCT(($B74='Landbrugsareal - resultat'!$B$33:$B$46)*(INDEX('Landbrugsareal - resultat'!$F$33:$H$46,,MATCH($D74,'Landbrugsareal - resultat'!$F$5:$H$5,0)))),SUMPRODUCT(($B74='Landbrugsareal - resultat'!$B$33:$B$46)*(INDEX('Landbrugsareal - resultat'!$I$33:$K$46,,MATCH($D74,'Landbrugsareal - resultat'!$I$5:$K$5,0)))))),IF(I$2=2019,SUMPRODUCT(($B74='Landbrugsareal - resultat'!$B$33:$B$46)*(INDEX('Landbrugsareal - resultat'!$L$33:$N$46,,MATCH($D74,'Landbrugsareal - resultat'!$L$5:$N$5,0)))),IF(I$2=2030,SUMPRODUCT(($B74='Landbrugsareal - resultat'!$B$33:$B$46)*(INDEX('Landbrugsareal - resultat'!$O$33:$Q$46,,MATCH($D74,'Landbrugsareal - resultat'!$O$5:$Q$5,0)))),SUMPRODUCT(($B74='Landbrugsareal - resultat'!$B$33:$B$46)*(INDEX('Landbrugsareal - resultat'!$R$33:$T$46,,MATCH($D74,'Landbrugsareal - resultat'!$R$5:$T$5,0))))))))</f>
        <v>117.57279650605196</v>
      </c>
    </row>
    <row r="75" spans="1:9" x14ac:dyDescent="0.25">
      <c r="A75" t="s">
        <v>23</v>
      </c>
      <c r="B75" s="1" t="str">
        <f>[1]Afgrødefordeling!$C$4</f>
        <v>Raps</v>
      </c>
      <c r="C75" t="s">
        <v>8</v>
      </c>
      <c r="D75" t="str">
        <f t="shared" si="7"/>
        <v>OC12</v>
      </c>
      <c r="F75" t="str">
        <f t="shared" si="6"/>
        <v>Areal-raps</v>
      </c>
      <c r="G75" s="96" cm="1">
        <f t="array" ref="G75">IF($A75="Vestdanmark",IF($C75="Konventionel",IF(G$2=2019,SUMPRODUCT(($B75='Landbrugsareal - resultat'!$B$6:$B$19)*(INDEX('Landbrugsareal - resultat'!$C$6:$E$19,,MATCH($D75,'Landbrugsareal - resultat'!$C$5:$E$5,0)))),IF(G$2=2030,SUMPRODUCT(($B75='Landbrugsareal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resultat'!$I$5:$K$5,0)))))),IF(G$2=2019,SUMPRODUCT(($B75='Landbrugsareal - resultat'!$B$6:$B$19)*(INDEX('Landbrugsareal - resultat'!$L$6:$N$19,,MATCH($D75,'Landbrugsareal - resultat'!$L$5:$N$5,0)))),IF(G$2=2030,SUMPRODUCT(($B75='Landbrugsareal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resultat'!$R$5:$T$5,0))))))),IF($C75="Konventionel",IF(G$2=2019,SUMPRODUCT((B75='Landbrugsareal - resultat'!$B$33:$B$46)*(INDEX('Landbrugsareal - resultat'!$C$33:$E$46,,MATCH($D75,'Landbrugsareal - resultat'!$C$5:$E$5,0)))),IF(G$2=2030,SUMPRODUCT(($B75='Landbrugsareal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resultat'!$I$5:$K$5,0)))))),IF(G$2=2019,SUMPRODUCT(($B75='Landbrugsareal - resultat'!$B$33:$B$46)*(INDEX('Landbrugsareal - resultat'!$L$33:$N$46,,MATCH($D75,'Landbrugsareal - resultat'!$L$5:$N$5,0)))),IF(G$2=2030,SUMPRODUCT(($B75='Landbrugsareal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109.08773949719625</v>
      </c>
      <c r="H75" s="96" cm="1">
        <f t="array" ref="H75">IF($A75="Vestdanmark",IF($C75="Konventionel",IF(H$2=2019,SUMPRODUCT(($B75='Landbrugsareal - resultat'!$B$6:$B$19)*(INDEX('Landbrugsareal - resultat'!$C$6:$E$19,,MATCH($D75,'Landbrugsareal - resultat'!$C$5:$E$5,0)))),IF(H$2=2030,SUMPRODUCT(($B75='Landbrugsareal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resultat'!$I$5:$K$5,0)))))),IF(H$2=2019,SUMPRODUCT(($B75='Landbrugsareal - resultat'!$B$6:$B$19)*(INDEX('Landbrugsareal - resultat'!$L$6:$N$19,,MATCH($D75,'Landbrugsareal - resultat'!$L$5:$N$5,0)))),IF(H$2=2030,SUMPRODUCT(($B75='Landbrugsareal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resultat'!$R$5:$T$5,0))))))),IF($C75="Konventionel",IF(H$2=2019,SUMPRODUCT(($B75='Landbrugsareal - resultat'!$B$33:$B$46)*(INDEX('Landbrugsareal - resultat'!$C$33:$E$46,,MATCH($D75,'Landbrugsareal - resultat'!$C$5:$E$5,0)))),IF(H$2=2030,SUMPRODUCT(($B75='Landbrugsareal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resultat'!$I$5:$K$5,0)))))),IF(H$2=2019,SUMPRODUCT(($B75='Landbrugsareal - resultat'!$B$33:$B$46)*(INDEX('Landbrugsareal - resultat'!$L$33:$N$46,,MATCH($D75,'Landbrugsareal - resultat'!$L$5:$N$5,0)))),IF(H$2=2030,SUMPRODUCT(($B75='Landbrugsareal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117.4511166509169</v>
      </c>
      <c r="I75" s="96" cm="1">
        <f t="array" ref="I75">IF($A75="Vestdanmark",IF($C75="Konventionel",IF(I$2=2019,SUMPRODUCT(($B75='Landbrugsareal - resultat'!$B$6:$B$19)*(INDEX('Landbrugsareal - resultat'!$C$6:$E$19,,MATCH($D75,'Landbrugsareal - resultat'!$C$5:$E$5,0)))),IF(I$2=2030,SUMPRODUCT(($B75='Landbrugsareal - resultat'!$B$6:$B$19)*(INDEX('Landbrugsareal - resultat'!$F$6:$H$19,,MATCH($D75,'Landbrugsareal - resultat'!$F$5:$H$5,0)))),SUMPRODUCT(($B75='Landbrugsareal - resultat'!$B$6:$B$19)*(INDEX('Landbrugsareal - resultat'!$I$6:$K$19,,MATCH($D75,'Landbrugsareal - resultat'!$I$5:$K$5,0)))))),IF(I$2=2019,SUMPRODUCT(($B75='Landbrugsareal - resultat'!$B$6:$B$19)*(INDEX('Landbrugsareal - resultat'!$L$6:$N$19,,MATCH($D75,'Landbrugsareal - resultat'!$L$5:$N$5,0)))),IF(I$2=2030,SUMPRODUCT(($B75='Landbrugsareal - resultat'!$B$6:$B$19)*(INDEX('Landbrugsareal - resultat'!$O$6:$Q$19,,MATCH($D75,'Landbrugsareal - resultat'!$O$5:$Q$5,0)))),SUMPRODUCT(($B75='Landbrugsareal - resultat'!$B$6:$B$19)*(INDEX('Landbrugsareal - resultat'!$R$6:$T$19,,MATCH($D75,'Landbrugsareal - resultat'!$R$5:$T$5,0))))))),IF($C75="Konventionel",IF(I$2=2019,SUMPRODUCT((C75='Landbrugsareal - resultat'!$B$33:$B$46)*(INDEX('Landbrugsareal - resultat'!$C$33:$E$46,,MATCH($D75,'Landbrugsareal - resultat'!$C$5:$E$5,0)))),IF(I$2=2030,SUMPRODUCT(($B75='Landbrugsareal - resultat'!$B$33:$B$46)*(INDEX('Landbrugsareal - resultat'!$F$33:$H$46,,MATCH($D75,'Landbrugsareal - resultat'!$F$5:$H$5,0)))),SUMPRODUCT(($B75='Landbrugsareal - resultat'!$B$33:$B$46)*(INDEX('Landbrugsareal - resultat'!$I$33:$K$46,,MATCH($D75,'Landbrugsareal - resultat'!$I$5:$K$5,0)))))),IF(I$2=2019,SUMPRODUCT(($B75='Landbrugsareal - resultat'!$B$33:$B$46)*(INDEX('Landbrugsareal - resultat'!$L$33:$N$46,,MATCH($D75,'Landbrugsareal - resultat'!$L$5:$N$5,0)))),IF(I$2=2030,SUMPRODUCT(($B75='Landbrugsareal - resultat'!$B$33:$B$46)*(INDEX('Landbrugsareal - resultat'!$O$33:$Q$46,,MATCH($D75,'Landbrugsareal - resultat'!$O$5:$Q$5,0)))),SUMPRODUCT(($B75='Landbrugsareal - resultat'!$B$33:$B$46)*(INDEX('Landbrugsareal - resultat'!$R$33:$T$46,,MATCH($D75,'Landbrugsareal - resultat'!$R$5:$T$5,0))))))))</f>
        <v>152.2514475104478</v>
      </c>
    </row>
    <row r="76" spans="1:9" x14ac:dyDescent="0.25">
      <c r="A76" t="s">
        <v>23</v>
      </c>
      <c r="B76" s="1" t="str">
        <f>[1]Afgrødefordeling!$C$5</f>
        <v>Græs</v>
      </c>
      <c r="C76" t="s">
        <v>8</v>
      </c>
      <c r="D76" t="str">
        <f t="shared" si="7"/>
        <v>OC12</v>
      </c>
      <c r="F76" t="str">
        <f t="shared" si="6"/>
        <v>Areal-græs</v>
      </c>
      <c r="G76" s="96" cm="1">
        <f t="array" ref="G76">IF($A76="Vestdanmark",IF($C76="Konventionel",IF(G$2=2019,SUMPRODUCT(($B76='Landbrugsareal - resultat'!$B$6:$B$19)*(INDEX('Landbrugsareal - resultat'!$C$6:$E$19,,MATCH($D76,'Landbrugsareal - resultat'!$C$5:$E$5,0)))),IF(G$2=2030,SUMPRODUCT(($B76='Landbrugsareal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resultat'!$I$5:$K$5,0)))))),IF(G$2=2019,SUMPRODUCT(($B76='Landbrugsareal - resultat'!$B$6:$B$19)*(INDEX('Landbrugsareal - resultat'!$L$6:$N$19,,MATCH($D76,'Landbrugsareal - resultat'!$L$5:$N$5,0)))),IF(G$2=2030,SUMPRODUCT(($B76='Landbrugsareal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resultat'!$R$5:$T$5,0))))))),IF($C76="Konventionel",IF(G$2=2019,SUMPRODUCT((B76='Landbrugsareal - resultat'!$B$33:$B$46)*(INDEX('Landbrugsareal - resultat'!$C$33:$E$46,,MATCH($D76,'Landbrugsareal - resultat'!$C$5:$E$5,0)))),IF(G$2=2030,SUMPRODUCT(($B76='Landbrugsareal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resultat'!$I$5:$K$5,0)))))),IF(G$2=2019,SUMPRODUCT(($B76='Landbrugsareal - resultat'!$B$33:$B$46)*(INDEX('Landbrugsareal - resultat'!$L$33:$N$46,,MATCH($D76,'Landbrugsareal - resultat'!$L$5:$N$5,0)))),IF(G$2=2030,SUMPRODUCT(($B76='Landbrugsareal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2515.9076330733833</v>
      </c>
      <c r="H76" s="96" cm="1">
        <f t="array" ref="H76">IF($A76="Vestdanmark",IF($C76="Konventionel",IF(H$2=2019,SUMPRODUCT(($B76='Landbrugsareal - resultat'!$B$6:$B$19)*(INDEX('Landbrugsareal - resultat'!$C$6:$E$19,,MATCH($D76,'Landbrugsareal - resultat'!$C$5:$E$5,0)))),IF(H$2=2030,SUMPRODUCT(($B76='Landbrugsareal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resultat'!$I$5:$K$5,0)))))),IF(H$2=2019,SUMPRODUCT(($B76='Landbrugsareal - resultat'!$B$6:$B$19)*(INDEX('Landbrugsareal - resultat'!$L$6:$N$19,,MATCH($D76,'Landbrugsareal - resultat'!$L$5:$N$5,0)))),IF(H$2=2030,SUMPRODUCT(($B76='Landbrugsareal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resultat'!$R$5:$T$5,0))))))),IF($C76="Konventionel",IF(H$2=2019,SUMPRODUCT(($B76='Landbrugsareal - resultat'!$B$33:$B$46)*(INDEX('Landbrugsareal - resultat'!$C$33:$E$46,,MATCH($D76,'Landbrugsareal - resultat'!$C$5:$E$5,0)))),IF(H$2=2030,SUMPRODUCT(($B76='Landbrugsareal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resultat'!$I$5:$K$5,0)))))),IF(H$2=2019,SUMPRODUCT(($B76='Landbrugsareal - resultat'!$B$33:$B$46)*(INDEX('Landbrugsareal - resultat'!$L$33:$N$46,,MATCH($D76,'Landbrugsareal - resultat'!$L$5:$N$5,0)))),IF(H$2=2030,SUMPRODUCT(($B76='Landbrugsareal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2708.7935111409006</v>
      </c>
      <c r="I76" s="96" cm="1">
        <f t="array" ref="I76">IF($A76="Vestdanmark",IF($C76="Konventionel",IF(I$2=2019,SUMPRODUCT(($B76='Landbrugsareal - resultat'!$B$6:$B$19)*(INDEX('Landbrugsareal - resultat'!$C$6:$E$19,,MATCH($D76,'Landbrugsareal - resultat'!$C$5:$E$5,0)))),IF(I$2=2030,SUMPRODUCT(($B76='Landbrugsareal - resultat'!$B$6:$B$19)*(INDEX('Landbrugsareal - resultat'!$F$6:$H$19,,MATCH($D76,'Landbrugsareal - resultat'!$F$5:$H$5,0)))),SUMPRODUCT(($B76='Landbrugsareal - resultat'!$B$6:$B$19)*(INDEX('Landbrugsareal - resultat'!$I$6:$K$19,,MATCH($D76,'Landbrugsareal - resultat'!$I$5:$K$5,0)))))),IF(I$2=2019,SUMPRODUCT(($B76='Landbrugsareal - resultat'!$B$6:$B$19)*(INDEX('Landbrugsareal - resultat'!$L$6:$N$19,,MATCH($D76,'Landbrugsareal - resultat'!$L$5:$N$5,0)))),IF(I$2=2030,SUMPRODUCT(($B76='Landbrugsareal - resultat'!$B$6:$B$19)*(INDEX('Landbrugsareal - resultat'!$O$6:$Q$19,,MATCH($D76,'Landbrugsareal - resultat'!$O$5:$Q$5,0)))),SUMPRODUCT(($B76='Landbrugsareal - resultat'!$B$6:$B$19)*(INDEX('Landbrugsareal - resultat'!$R$6:$T$19,,MATCH($D76,'Landbrugsareal - resultat'!$R$5:$T$5,0))))))),IF($C76="Konventionel",IF(I$2=2019,SUMPRODUCT((C76='Landbrugsareal - resultat'!$B$33:$B$46)*(INDEX('Landbrugsareal - resultat'!$C$33:$E$46,,MATCH($D76,'Landbrugsareal - resultat'!$C$5:$E$5,0)))),IF(I$2=2030,SUMPRODUCT(($B76='Landbrugsareal - resultat'!$B$33:$B$46)*(INDEX('Landbrugsareal - resultat'!$F$33:$H$46,,MATCH($D76,'Landbrugsareal - resultat'!$F$5:$H$5,0)))),SUMPRODUCT(($B76='Landbrugsareal - resultat'!$B$33:$B$46)*(INDEX('Landbrugsareal - resultat'!$I$33:$K$46,,MATCH($D76,'Landbrugsareal - resultat'!$I$5:$K$5,0)))))),IF(I$2=2019,SUMPRODUCT(($B76='Landbrugsareal - resultat'!$B$33:$B$46)*(INDEX('Landbrugsareal - resultat'!$L$33:$N$46,,MATCH($D76,'Landbrugsareal - resultat'!$L$5:$N$5,0)))),IF(I$2=2030,SUMPRODUCT(($B76='Landbrugsareal - resultat'!$B$33:$B$46)*(INDEX('Landbrugsareal - resultat'!$O$33:$Q$46,,MATCH($D76,'Landbrugsareal - resultat'!$O$5:$Q$5,0)))),SUMPRODUCT(($B76='Landbrugsareal - resultat'!$B$33:$B$46)*(INDEX('Landbrugsareal - resultat'!$R$33:$T$46,,MATCH($D76,'Landbrugsareal - resultat'!$R$5:$T$5,0))))))))</f>
        <v>3511.3989959233891</v>
      </c>
    </row>
    <row r="77" spans="1:9" x14ac:dyDescent="0.25">
      <c r="A77" t="s">
        <v>23</v>
      </c>
      <c r="B77" s="1" t="str">
        <f>[1]Afgrødefordeling!$C$6</f>
        <v>Grøntsager</v>
      </c>
      <c r="C77" t="s">
        <v>8</v>
      </c>
      <c r="D77" t="str">
        <f t="shared" si="7"/>
        <v>OC12</v>
      </c>
      <c r="F77" t="str">
        <f t="shared" si="6"/>
        <v>Areal-grøntsager</v>
      </c>
      <c r="G77" s="96" cm="1">
        <f t="array" ref="G77">IF($A77="Vestdanmark",IF($C77="Konventionel",IF(G$2=2019,SUMPRODUCT(($B77='Landbrugsareal - resultat'!$B$6:$B$19)*(INDEX('Landbrugsareal - resultat'!$C$6:$E$19,,MATCH($D77,'Landbrugsareal - resultat'!$C$5:$E$5,0)))),IF(G$2=2030,SUMPRODUCT(($B77='Landbrugsareal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resultat'!$I$5:$K$5,0)))))),IF(G$2=2019,SUMPRODUCT(($B77='Landbrugsareal - resultat'!$B$6:$B$19)*(INDEX('Landbrugsareal - resultat'!$L$6:$N$19,,MATCH($D77,'Landbrugsareal - resultat'!$L$5:$N$5,0)))),IF(G$2=2030,SUMPRODUCT(($B77='Landbrugsareal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resultat'!$R$5:$T$5,0))))))),IF($C77="Konventionel",IF(G$2=2019,SUMPRODUCT((B77='Landbrugsareal - resultat'!$B$33:$B$46)*(INDEX('Landbrugsareal - resultat'!$C$33:$E$46,,MATCH($D77,'Landbrugsareal - resultat'!$C$5:$E$5,0)))),IF(G$2=2030,SUMPRODUCT(($B77='Landbrugsareal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resultat'!$I$5:$K$5,0)))))),IF(G$2=2019,SUMPRODUCT(($B77='Landbrugsareal - resultat'!$B$33:$B$46)*(INDEX('Landbrugsareal - resultat'!$L$33:$N$46,,MATCH($D77,'Landbrugsareal - resultat'!$L$5:$N$5,0)))),IF(G$2=2030,SUMPRODUCT(($B77='Landbrugsareal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2.9242709097422335</v>
      </c>
      <c r="H77" s="96" cm="1">
        <f t="array" ref="H77">IF($A77="Vestdanmark",IF($C77="Konventionel",IF(H$2=2019,SUMPRODUCT(($B77='Landbrugsareal - resultat'!$B$6:$B$19)*(INDEX('Landbrugsareal - resultat'!$C$6:$E$19,,MATCH($D77,'Landbrugsareal - resultat'!$C$5:$E$5,0)))),IF(H$2=2030,SUMPRODUCT(($B77='Landbrugsareal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resultat'!$I$5:$K$5,0)))))),IF(H$2=2019,SUMPRODUCT(($B77='Landbrugsareal - resultat'!$B$6:$B$19)*(INDEX('Landbrugsareal - resultat'!$L$6:$N$19,,MATCH($D77,'Landbrugsareal - resultat'!$L$5:$N$5,0)))),IF(H$2=2030,SUMPRODUCT(($B77='Landbrugsareal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resultat'!$R$5:$T$5,0))))))),IF($C77="Konventionel",IF(H$2=2019,SUMPRODUCT(($B77='Landbrugsareal - resultat'!$B$33:$B$46)*(INDEX('Landbrugsareal - resultat'!$C$33:$E$46,,MATCH($D77,'Landbrugsareal - resultat'!$C$5:$E$5,0)))),IF(H$2=2030,SUMPRODUCT(($B77='Landbrugsareal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resultat'!$I$5:$K$5,0)))))),IF(H$2=2019,SUMPRODUCT(($B77='Landbrugsareal - resultat'!$B$33:$B$46)*(INDEX('Landbrugsareal - resultat'!$L$33:$N$46,,MATCH($D77,'Landbrugsareal - resultat'!$L$5:$N$5,0)))),IF(H$2=2030,SUMPRODUCT(($B77='Landbrugsareal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3.14846457834838</v>
      </c>
      <c r="I77" s="96" cm="1">
        <f t="array" ref="I77">IF($A77="Vestdanmark",IF($C77="Konventionel",IF(I$2=2019,SUMPRODUCT(($B77='Landbrugsareal - resultat'!$B$6:$B$19)*(INDEX('Landbrugsareal - resultat'!$C$6:$E$19,,MATCH($D77,'Landbrugsareal - resultat'!$C$5:$E$5,0)))),IF(I$2=2030,SUMPRODUCT(($B77='Landbrugsareal - resultat'!$B$6:$B$19)*(INDEX('Landbrugsareal - resultat'!$F$6:$H$19,,MATCH($D77,'Landbrugsareal - resultat'!$F$5:$H$5,0)))),SUMPRODUCT(($B77='Landbrugsareal - resultat'!$B$6:$B$19)*(INDEX('Landbrugsareal - resultat'!$I$6:$K$19,,MATCH($D77,'Landbrugsareal - resultat'!$I$5:$K$5,0)))))),IF(I$2=2019,SUMPRODUCT(($B77='Landbrugsareal - resultat'!$B$6:$B$19)*(INDEX('Landbrugsareal - resultat'!$L$6:$N$19,,MATCH($D77,'Landbrugsareal - resultat'!$L$5:$N$5,0)))),IF(I$2=2030,SUMPRODUCT(($B77='Landbrugsareal - resultat'!$B$6:$B$19)*(INDEX('Landbrugsareal - resultat'!$O$6:$Q$19,,MATCH($D77,'Landbrugsareal - resultat'!$O$5:$Q$5,0)))),SUMPRODUCT(($B77='Landbrugsareal - resultat'!$B$6:$B$19)*(INDEX('Landbrugsareal - resultat'!$R$6:$T$19,,MATCH($D77,'Landbrugsareal - resultat'!$R$5:$T$5,0))))))),IF($C77="Konventionel",IF(I$2=2019,SUMPRODUCT((C77='Landbrugsareal - resultat'!$B$33:$B$46)*(INDEX('Landbrugsareal - resultat'!$C$33:$E$46,,MATCH($D77,'Landbrugsareal - resultat'!$C$5:$E$5,0)))),IF(I$2=2030,SUMPRODUCT(($B77='Landbrugsareal - resultat'!$B$33:$B$46)*(INDEX('Landbrugsareal - resultat'!$F$33:$H$46,,MATCH($D77,'Landbrugsareal - resultat'!$F$5:$H$5,0)))),SUMPRODUCT(($B77='Landbrugsareal - resultat'!$B$33:$B$46)*(INDEX('Landbrugsareal - resultat'!$I$33:$K$46,,MATCH($D77,'Landbrugsareal - resultat'!$I$5:$K$5,0)))))),IF(I$2=2019,SUMPRODUCT(($B77='Landbrugsareal - resultat'!$B$33:$B$46)*(INDEX('Landbrugsareal - resultat'!$L$33:$N$46,,MATCH($D77,'Landbrugsareal - resultat'!$L$5:$N$5,0)))),IF(I$2=2030,SUMPRODUCT(($B77='Landbrugsareal - resultat'!$B$33:$B$46)*(INDEX('Landbrugsareal - resultat'!$O$33:$Q$46,,MATCH($D77,'Landbrugsareal - resultat'!$O$5:$Q$5,0)))),SUMPRODUCT(($B77='Landbrugsareal - resultat'!$B$33:$B$46)*(INDEX('Landbrugsareal - resultat'!$R$33:$T$46,,MATCH($D77,'Landbrugsareal - resultat'!$R$5:$T$5,0))))))))</f>
        <v>4.0813429719330845</v>
      </c>
    </row>
    <row r="78" spans="1:9" x14ac:dyDescent="0.25">
      <c r="A78" t="s">
        <v>23</v>
      </c>
      <c r="B78" s="1" t="str">
        <f>[1]Afgrødefordeling!$C$7</f>
        <v>Kartofler</v>
      </c>
      <c r="C78" t="s">
        <v>8</v>
      </c>
      <c r="D78" t="str">
        <f t="shared" si="7"/>
        <v>OC12</v>
      </c>
      <c r="F78" t="str">
        <f t="shared" si="6"/>
        <v>Areal-kartofler</v>
      </c>
      <c r="G78" s="96" cm="1">
        <f t="array" ref="G78">IF($A78="Vestdanmark",IF($C78="Konventionel",IF(G$2=2019,SUMPRODUCT(($B78='Landbrugsareal - resultat'!$B$6:$B$19)*(INDEX('Landbrugsareal - resultat'!$C$6:$E$19,,MATCH($D78,'Landbrugsareal - resultat'!$C$5:$E$5,0)))),IF(G$2=2030,SUMPRODUCT(($B78='Landbrugsareal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resultat'!$I$5:$K$5,0)))))),IF(G$2=2019,SUMPRODUCT(($B78='Landbrugsareal - resultat'!$B$6:$B$19)*(INDEX('Landbrugsareal - resultat'!$L$6:$N$19,,MATCH($D78,'Landbrugsareal - resultat'!$L$5:$N$5,0)))),IF(G$2=2030,SUMPRODUCT(($B78='Landbrugsareal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resultat'!$R$5:$T$5,0))))))),IF($C78="Konventionel",IF(G$2=2019,SUMPRODUCT((B78='Landbrugsareal - resultat'!$B$33:$B$46)*(INDEX('Landbrugsareal - resultat'!$C$33:$E$46,,MATCH($D78,'Landbrugsareal - resultat'!$C$5:$E$5,0)))),IF(G$2=2030,SUMPRODUCT(($B78='Landbrugsareal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resultat'!$I$5:$K$5,0)))))),IF(G$2=2019,SUMPRODUCT(($B78='Landbrugsareal - resultat'!$B$33:$B$46)*(INDEX('Landbrugsareal - resultat'!$L$33:$N$46,,MATCH($D78,'Landbrugsareal - resultat'!$L$5:$N$5,0)))),IF(G$2=2030,SUMPRODUCT(($B78='Landbrugsareal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154.7825167783468</v>
      </c>
      <c r="H78" s="96" cm="1">
        <f t="array" ref="H78">IF($A78="Vestdanmark",IF($C78="Konventionel",IF(H$2=2019,SUMPRODUCT(($B78='Landbrugsareal - resultat'!$B$6:$B$19)*(INDEX('Landbrugsareal - resultat'!$C$6:$E$19,,MATCH($D78,'Landbrugsareal - resultat'!$C$5:$E$5,0)))),IF(H$2=2030,SUMPRODUCT(($B78='Landbrugsareal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resultat'!$I$5:$K$5,0)))))),IF(H$2=2019,SUMPRODUCT(($B78='Landbrugsareal - resultat'!$B$6:$B$19)*(INDEX('Landbrugsareal - resultat'!$L$6:$N$19,,MATCH($D78,'Landbrugsareal - resultat'!$L$5:$N$5,0)))),IF(H$2=2030,SUMPRODUCT(($B78='Landbrugsareal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resultat'!$R$5:$T$5,0))))))),IF($C78="Konventionel",IF(H$2=2019,SUMPRODUCT(($B78='Landbrugsareal - resultat'!$B$33:$B$46)*(INDEX('Landbrugsareal - resultat'!$C$33:$E$46,,MATCH($D78,'Landbrugsareal - resultat'!$C$5:$E$5,0)))),IF(H$2=2030,SUMPRODUCT(($B78='Landbrugsareal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resultat'!$I$5:$K$5,0)))))),IF(H$2=2019,SUMPRODUCT(($B78='Landbrugsareal - resultat'!$B$33:$B$46)*(INDEX('Landbrugsareal - resultat'!$L$33:$N$46,,MATCH($D78,'Landbrugsareal - resultat'!$L$5:$N$5,0)))),IF(H$2=2030,SUMPRODUCT(($B78='Landbrugsareal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166.64915340117903</v>
      </c>
      <c r="I78" s="96" cm="1">
        <f t="array" ref="I78">IF($A78="Vestdanmark",IF($C78="Konventionel",IF(I$2=2019,SUMPRODUCT(($B78='Landbrugsareal - resultat'!$B$6:$B$19)*(INDEX('Landbrugsareal - resultat'!$C$6:$E$19,,MATCH($D78,'Landbrugsareal - resultat'!$C$5:$E$5,0)))),IF(I$2=2030,SUMPRODUCT(($B78='Landbrugsareal - resultat'!$B$6:$B$19)*(INDEX('Landbrugsareal - resultat'!$F$6:$H$19,,MATCH($D78,'Landbrugsareal - resultat'!$F$5:$H$5,0)))),SUMPRODUCT(($B78='Landbrugsareal - resultat'!$B$6:$B$19)*(INDEX('Landbrugsareal - resultat'!$I$6:$K$19,,MATCH($D78,'Landbrugsareal - resultat'!$I$5:$K$5,0)))))),IF(I$2=2019,SUMPRODUCT(($B78='Landbrugsareal - resultat'!$B$6:$B$19)*(INDEX('Landbrugsareal - resultat'!$L$6:$N$19,,MATCH($D78,'Landbrugsareal - resultat'!$L$5:$N$5,0)))),IF(I$2=2030,SUMPRODUCT(($B78='Landbrugsareal - resultat'!$B$6:$B$19)*(INDEX('Landbrugsareal - resultat'!$O$6:$Q$19,,MATCH($D78,'Landbrugsareal - resultat'!$O$5:$Q$5,0)))),SUMPRODUCT(($B78='Landbrugsareal - resultat'!$B$6:$B$19)*(INDEX('Landbrugsareal - resultat'!$R$6:$T$19,,MATCH($D78,'Landbrugsareal - resultat'!$R$5:$T$5,0))))))),IF($C78="Konventionel",IF(I$2=2019,SUMPRODUCT((C78='Landbrugsareal - resultat'!$B$33:$B$46)*(INDEX('Landbrugsareal - resultat'!$C$33:$E$46,,MATCH($D78,'Landbrugsareal - resultat'!$C$5:$E$5,0)))),IF(I$2=2030,SUMPRODUCT(($B78='Landbrugsareal - resultat'!$B$33:$B$46)*(INDEX('Landbrugsareal - resultat'!$F$33:$H$46,,MATCH($D78,'Landbrugsareal - resultat'!$F$5:$H$5,0)))),SUMPRODUCT(($B78='Landbrugsareal - resultat'!$B$33:$B$46)*(INDEX('Landbrugsareal - resultat'!$I$33:$K$46,,MATCH($D78,'Landbrugsareal - resultat'!$I$5:$K$5,0)))))),IF(I$2=2019,SUMPRODUCT(($B78='Landbrugsareal - resultat'!$B$33:$B$46)*(INDEX('Landbrugsareal - resultat'!$L$33:$N$46,,MATCH($D78,'Landbrugsareal - resultat'!$L$5:$N$5,0)))),IF(I$2=2030,SUMPRODUCT(($B78='Landbrugsareal - resultat'!$B$33:$B$46)*(INDEX('Landbrugsareal - resultat'!$O$33:$Q$46,,MATCH($D78,'Landbrugsareal - resultat'!$O$5:$Q$5,0)))),SUMPRODUCT(($B78='Landbrugsareal - resultat'!$B$33:$B$46)*(INDEX('Landbrugsareal - resultat'!$R$33:$T$46,,MATCH($D78,'Landbrugsareal - resultat'!$R$5:$T$5,0))))))))</f>
        <v>216.02668033486168</v>
      </c>
    </row>
    <row r="79" spans="1:9" x14ac:dyDescent="0.25">
      <c r="A79" t="s">
        <v>23</v>
      </c>
      <c r="B79" s="1" t="str">
        <f>[1]Afgrødefordeling!$C$8</f>
        <v>Roer</v>
      </c>
      <c r="C79" t="s">
        <v>8</v>
      </c>
      <c r="D79" t="str">
        <f t="shared" si="7"/>
        <v>OC12</v>
      </c>
      <c r="F79" t="str">
        <f t="shared" si="6"/>
        <v>Areal-roer</v>
      </c>
      <c r="G79" s="96" cm="1">
        <f t="array" ref="G79">IF($A79="Vestdanmark",IF($C79="Konventionel",IF(G$2=2019,SUMPRODUCT(($B79='Landbrugsareal - resultat'!$B$6:$B$19)*(INDEX('Landbrugsareal - resultat'!$C$6:$E$19,,MATCH($D79,'Landbrugsareal - resultat'!$C$5:$E$5,0)))),IF(G$2=2030,SUMPRODUCT(($B79='Landbrugsareal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resultat'!$I$5:$K$5,0)))))),IF(G$2=2019,SUMPRODUCT(($B79='Landbrugsareal - resultat'!$B$6:$B$19)*(INDEX('Landbrugsareal - resultat'!$L$6:$N$19,,MATCH($D79,'Landbrugsareal - resultat'!$L$5:$N$5,0)))),IF(G$2=2030,SUMPRODUCT(($B79='Landbrugsareal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resultat'!$R$5:$T$5,0))))))),IF($C79="Konventionel",IF(G$2=2019,SUMPRODUCT((B79='Landbrugsareal - resultat'!$B$33:$B$46)*(INDEX('Landbrugsareal - resultat'!$C$33:$E$46,,MATCH($D79,'Landbrugsareal - resultat'!$C$5:$E$5,0)))),IF(G$2=2030,SUMPRODUCT(($B79='Landbrugsareal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resultat'!$I$5:$K$5,0)))))),IF(G$2=2019,SUMPRODUCT(($B79='Landbrugsareal - resultat'!$B$33:$B$46)*(INDEX('Landbrugsareal - resultat'!$L$33:$N$46,,MATCH($D79,'Landbrugsareal - resultat'!$L$5:$N$5,0)))),IF(G$2=2030,SUMPRODUCT(($B79='Landbrugsareal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1.6738278404042131</v>
      </c>
      <c r="H79" s="96" cm="1">
        <f t="array" ref="H79">IF($A79="Vestdanmark",IF($C79="Konventionel",IF(H$2=2019,SUMPRODUCT(($B79='Landbrugsareal - resultat'!$B$6:$B$19)*(INDEX('Landbrugsareal - resultat'!$C$6:$E$19,,MATCH($D79,'Landbrugsareal - resultat'!$C$5:$E$5,0)))),IF(H$2=2030,SUMPRODUCT(($B79='Landbrugsareal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resultat'!$I$5:$K$5,0)))))),IF(H$2=2019,SUMPRODUCT(($B79='Landbrugsareal - resultat'!$B$6:$B$19)*(INDEX('Landbrugsareal - resultat'!$L$6:$N$19,,MATCH($D79,'Landbrugsareal - resultat'!$L$5:$N$5,0)))),IF(H$2=2030,SUMPRODUCT(($B79='Landbrugsareal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resultat'!$R$5:$T$5,0))))))),IF($C79="Konventionel",IF(H$2=2019,SUMPRODUCT(($B79='Landbrugsareal - resultat'!$B$33:$B$46)*(INDEX('Landbrugsareal - resultat'!$C$33:$E$46,,MATCH($D79,'Landbrugsareal - resultat'!$C$5:$E$5,0)))),IF(H$2=2030,SUMPRODUCT(($B79='Landbrugsareal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resultat'!$I$5:$K$5,0)))))),IF(H$2=2019,SUMPRODUCT(($B79='Landbrugsareal - resultat'!$B$33:$B$46)*(INDEX('Landbrugsareal - resultat'!$L$33:$N$46,,MATCH($D79,'Landbrugsareal - resultat'!$L$5:$N$5,0)))),IF(H$2=2030,SUMPRODUCT(($B79='Landbrugsareal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1.8021543928125885</v>
      </c>
      <c r="I79" s="96" cm="1">
        <f t="array" ref="I79">IF($A79="Vestdanmark",IF($C79="Konventionel",IF(I$2=2019,SUMPRODUCT(($B79='Landbrugsareal - resultat'!$B$6:$B$19)*(INDEX('Landbrugsareal - resultat'!$C$6:$E$19,,MATCH($D79,'Landbrugsareal - resultat'!$C$5:$E$5,0)))),IF(I$2=2030,SUMPRODUCT(($B79='Landbrugsareal - resultat'!$B$6:$B$19)*(INDEX('Landbrugsareal - resultat'!$F$6:$H$19,,MATCH($D79,'Landbrugsareal - resultat'!$F$5:$H$5,0)))),SUMPRODUCT(($B79='Landbrugsareal - resultat'!$B$6:$B$19)*(INDEX('Landbrugsareal - resultat'!$I$6:$K$19,,MATCH($D79,'Landbrugsareal - resultat'!$I$5:$K$5,0)))))),IF(I$2=2019,SUMPRODUCT(($B79='Landbrugsareal - resultat'!$B$6:$B$19)*(INDEX('Landbrugsareal - resultat'!$L$6:$N$19,,MATCH($D79,'Landbrugsareal - resultat'!$L$5:$N$5,0)))),IF(I$2=2030,SUMPRODUCT(($B79='Landbrugsareal - resultat'!$B$6:$B$19)*(INDEX('Landbrugsareal - resultat'!$O$6:$Q$19,,MATCH($D79,'Landbrugsareal - resultat'!$O$5:$Q$5,0)))),SUMPRODUCT(($B79='Landbrugsareal - resultat'!$B$6:$B$19)*(INDEX('Landbrugsareal - resultat'!$R$6:$T$19,,MATCH($D79,'Landbrugsareal - resultat'!$R$5:$T$5,0))))))),IF($C79="Konventionel",IF(I$2=2019,SUMPRODUCT((C79='Landbrugsareal - resultat'!$B$33:$B$46)*(INDEX('Landbrugsareal - resultat'!$C$33:$E$46,,MATCH($D79,'Landbrugsareal - resultat'!$C$5:$E$5,0)))),IF(I$2=2030,SUMPRODUCT(($B79='Landbrugsareal - resultat'!$B$33:$B$46)*(INDEX('Landbrugsareal - resultat'!$F$33:$H$46,,MATCH($D79,'Landbrugsareal - resultat'!$F$5:$H$5,0)))),SUMPRODUCT(($B79='Landbrugsareal - resultat'!$B$33:$B$46)*(INDEX('Landbrugsareal - resultat'!$I$33:$K$46,,MATCH($D79,'Landbrugsareal - resultat'!$I$5:$K$5,0)))))),IF(I$2=2019,SUMPRODUCT(($B79='Landbrugsareal - resultat'!$B$33:$B$46)*(INDEX('Landbrugsareal - resultat'!$L$33:$N$46,,MATCH($D79,'Landbrugsareal - resultat'!$L$5:$N$5,0)))),IF(I$2=2030,SUMPRODUCT(($B79='Landbrugsareal - resultat'!$B$33:$B$46)*(INDEX('Landbrugsareal - resultat'!$O$33:$Q$46,,MATCH($D79,'Landbrugsareal - resultat'!$O$5:$Q$5,0)))),SUMPRODUCT(($B79='Landbrugsareal - resultat'!$B$33:$B$46)*(INDEX('Landbrugsareal - resultat'!$R$33:$T$46,,MATCH($D79,'Landbrugsareal - resultat'!$R$5:$T$5,0))))))))</f>
        <v>2.336126064757059</v>
      </c>
    </row>
    <row r="80" spans="1:9" x14ac:dyDescent="0.25">
      <c r="A80" t="s">
        <v>23</v>
      </c>
      <c r="B80" s="1" t="str">
        <f>[1]Afgrødefordeling!$C$9</f>
        <v>Majs</v>
      </c>
      <c r="C80" t="s">
        <v>8</v>
      </c>
      <c r="D80" t="str">
        <f t="shared" si="7"/>
        <v>OC12</v>
      </c>
      <c r="F80" t="str">
        <f t="shared" si="6"/>
        <v>Areal-majs</v>
      </c>
      <c r="G80" s="96" cm="1">
        <f t="array" ref="G80">IF($A80="Vestdanmark",IF($C80="Konventionel",IF(G$2=2019,SUMPRODUCT(($B80='Landbrugsareal - resultat'!$B$6:$B$19)*(INDEX('Landbrugsareal - resultat'!$C$6:$E$19,,MATCH($D80,'Landbrugsareal - resultat'!$C$5:$E$5,0)))),IF(G$2=2030,SUMPRODUCT(($B80='Landbrugsareal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resultat'!$I$5:$K$5,0)))))),IF(G$2=2019,SUMPRODUCT(($B80='Landbrugsareal - resultat'!$B$6:$B$19)*(INDEX('Landbrugsareal - resultat'!$L$6:$N$19,,MATCH($D80,'Landbrugsareal - resultat'!$L$5:$N$5,0)))),IF(G$2=2030,SUMPRODUCT(($B80='Landbrugsareal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resultat'!$R$5:$T$5,0))))))),IF($C80="Konventionel",IF(G$2=2019,SUMPRODUCT((B80='Landbrugsareal - resultat'!$B$33:$B$46)*(INDEX('Landbrugsareal - resultat'!$C$33:$E$46,,MATCH($D80,'Landbrugsareal - resultat'!$C$5:$E$5,0)))),IF(G$2=2030,SUMPRODUCT(($B80='Landbrugsareal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resultat'!$I$5:$K$5,0)))))),IF(G$2=2019,SUMPRODUCT(($B80='Landbrugsareal - resultat'!$B$33:$B$46)*(INDEX('Landbrugsareal - resultat'!$L$33:$N$46,,MATCH($D80,'Landbrugsareal - resultat'!$L$5:$N$5,0)))),IF(G$2=2030,SUMPRODUCT(($B80='Landbrugsareal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208.15687803661353</v>
      </c>
      <c r="H80" s="96" cm="1">
        <f t="array" ref="H80">IF($A80="Vestdanmark",IF($C80="Konventionel",IF(H$2=2019,SUMPRODUCT(($B80='Landbrugsareal - resultat'!$B$6:$B$19)*(INDEX('Landbrugsareal - resultat'!$C$6:$E$19,,MATCH($D80,'Landbrugsareal - resultat'!$C$5:$E$5,0)))),IF(H$2=2030,SUMPRODUCT(($B80='Landbrugsareal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resultat'!$I$5:$K$5,0)))))),IF(H$2=2019,SUMPRODUCT(($B80='Landbrugsareal - resultat'!$B$6:$B$19)*(INDEX('Landbrugsareal - resultat'!$L$6:$N$19,,MATCH($D80,'Landbrugsareal - resultat'!$L$5:$N$5,0)))),IF(H$2=2030,SUMPRODUCT(($B80='Landbrugsareal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resultat'!$R$5:$T$5,0))))))),IF($C80="Konventionel",IF(H$2=2019,SUMPRODUCT(($B80='Landbrugsareal - resultat'!$B$33:$B$46)*(INDEX('Landbrugsareal - resultat'!$C$33:$E$46,,MATCH($D80,'Landbrugsareal - resultat'!$C$5:$E$5,0)))),IF(H$2=2030,SUMPRODUCT(($B80='Landbrugsareal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resultat'!$I$5:$K$5,0)))))),IF(H$2=2019,SUMPRODUCT(($B80='Landbrugsareal - resultat'!$B$33:$B$46)*(INDEX('Landbrugsareal - resultat'!$L$33:$N$46,,MATCH($D80,'Landbrugsareal - resultat'!$L$5:$N$5,0)))),IF(H$2=2030,SUMPRODUCT(($B80='Landbrugsareal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224.11554109247393</v>
      </c>
      <c r="I80" s="96" cm="1">
        <f t="array" ref="I80">IF($A80="Vestdanmark",IF($C80="Konventionel",IF(I$2=2019,SUMPRODUCT(($B80='Landbrugsareal - resultat'!$B$6:$B$19)*(INDEX('Landbrugsareal - resultat'!$C$6:$E$19,,MATCH($D80,'Landbrugsareal - resultat'!$C$5:$E$5,0)))),IF(I$2=2030,SUMPRODUCT(($B80='Landbrugsareal - resultat'!$B$6:$B$19)*(INDEX('Landbrugsareal - resultat'!$F$6:$H$19,,MATCH($D80,'Landbrugsareal - resultat'!$F$5:$H$5,0)))),SUMPRODUCT(($B80='Landbrugsareal - resultat'!$B$6:$B$19)*(INDEX('Landbrugsareal - resultat'!$I$6:$K$19,,MATCH($D80,'Landbrugsareal - resultat'!$I$5:$K$5,0)))))),IF(I$2=2019,SUMPRODUCT(($B80='Landbrugsareal - resultat'!$B$6:$B$19)*(INDEX('Landbrugsareal - resultat'!$L$6:$N$19,,MATCH($D80,'Landbrugsareal - resultat'!$L$5:$N$5,0)))),IF(I$2=2030,SUMPRODUCT(($B80='Landbrugsareal - resultat'!$B$6:$B$19)*(INDEX('Landbrugsareal - resultat'!$O$6:$Q$19,,MATCH($D80,'Landbrugsareal - resultat'!$O$5:$Q$5,0)))),SUMPRODUCT(($B80='Landbrugsareal - resultat'!$B$6:$B$19)*(INDEX('Landbrugsareal - resultat'!$R$6:$T$19,,MATCH($D80,'Landbrugsareal - resultat'!$R$5:$T$5,0))))))),IF($C80="Konventionel",IF(I$2=2019,SUMPRODUCT((C80='Landbrugsareal - resultat'!$B$33:$B$46)*(INDEX('Landbrugsareal - resultat'!$C$33:$E$46,,MATCH($D80,'Landbrugsareal - resultat'!$C$5:$E$5,0)))),IF(I$2=2030,SUMPRODUCT(($B80='Landbrugsareal - resultat'!$B$33:$B$46)*(INDEX('Landbrugsareal - resultat'!$F$33:$H$46,,MATCH($D80,'Landbrugsareal - resultat'!$F$5:$H$5,0)))),SUMPRODUCT(($B80='Landbrugsareal - resultat'!$B$33:$B$46)*(INDEX('Landbrugsareal - resultat'!$I$33:$K$46,,MATCH($D80,'Landbrugsareal - resultat'!$I$5:$K$5,0)))))),IF(I$2=2019,SUMPRODUCT(($B80='Landbrugsareal - resultat'!$B$33:$B$46)*(INDEX('Landbrugsareal - resultat'!$L$33:$N$46,,MATCH($D80,'Landbrugsareal - resultat'!$L$5:$N$5,0)))),IF(I$2=2030,SUMPRODUCT(($B80='Landbrugsareal - resultat'!$B$33:$B$46)*(INDEX('Landbrugsareal - resultat'!$O$33:$Q$46,,MATCH($D80,'Landbrugsareal - resultat'!$O$5:$Q$5,0)))),SUMPRODUCT(($B80='Landbrugsareal - resultat'!$B$33:$B$46)*(INDEX('Landbrugsareal - resultat'!$R$33:$T$46,,MATCH($D80,'Landbrugsareal - resultat'!$R$5:$T$5,0))))))))</f>
        <v>290.52014586061432</v>
      </c>
    </row>
    <row r="81" spans="1:9" x14ac:dyDescent="0.25">
      <c r="A81" t="s">
        <v>23</v>
      </c>
      <c r="B81" s="1" t="str">
        <f>[1]Afgrødefordeling!$C$10</f>
        <v>Frugt</v>
      </c>
      <c r="C81" t="s">
        <v>8</v>
      </c>
      <c r="D81" t="str">
        <f t="shared" si="7"/>
        <v>OC12</v>
      </c>
      <c r="F81" t="str">
        <f t="shared" si="6"/>
        <v>Areal-frugt</v>
      </c>
      <c r="G81" s="96" cm="1">
        <f t="array" ref="G81">IF($A81="Vestdanmark",IF($C81="Konventionel",IF(G$2=2019,SUMPRODUCT(($B81='Landbrugsareal - resultat'!$B$6:$B$19)*(INDEX('Landbrugsareal - resultat'!$C$6:$E$19,,MATCH($D81,'Landbrugsareal - resultat'!$C$5:$E$5,0)))),IF(G$2=2030,SUMPRODUCT(($B81='Landbrugsareal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resultat'!$I$5:$K$5,0)))))),IF(G$2=2019,SUMPRODUCT(($B81='Landbrugsareal - resultat'!$B$6:$B$19)*(INDEX('Landbrugsareal - resultat'!$L$6:$N$19,,MATCH($D81,'Landbrugsareal - resultat'!$L$5:$N$5,0)))),IF(G$2=2030,SUMPRODUCT(($B81='Landbrugsareal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resultat'!$R$5:$T$5,0))))))),IF($C81="Konventionel",IF(G$2=2019,SUMPRODUCT((B81='Landbrugsareal - resultat'!$B$33:$B$46)*(INDEX('Landbrugsareal - resultat'!$C$33:$E$46,,MATCH($D81,'Landbrugsareal - resultat'!$C$5:$E$5,0)))),IF(G$2=2030,SUMPRODUCT(($B81='Landbrugsareal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resultat'!$I$5:$K$5,0)))))),IF(G$2=2019,SUMPRODUCT(($B81='Landbrugsareal - resultat'!$B$33:$B$46)*(INDEX('Landbrugsareal - resultat'!$L$33:$N$46,,MATCH($D81,'Landbrugsareal - resultat'!$L$5:$N$5,0)))),IF(G$2=2030,SUMPRODUCT(($B81='Landbrugsareal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5.9651435774442545</v>
      </c>
      <c r="H81" s="96" cm="1">
        <f t="array" ref="H81">IF($A81="Vestdanmark",IF($C81="Konventionel",IF(H$2=2019,SUMPRODUCT(($B81='Landbrugsareal - resultat'!$B$6:$B$19)*(INDEX('Landbrugsareal - resultat'!$C$6:$E$19,,MATCH($D81,'Landbrugsareal - resultat'!$C$5:$E$5,0)))),IF(H$2=2030,SUMPRODUCT(($B81='Landbrugsareal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resultat'!$I$5:$K$5,0)))))),IF(H$2=2019,SUMPRODUCT(($B81='Landbrugsareal - resultat'!$B$6:$B$19)*(INDEX('Landbrugsareal - resultat'!$L$6:$N$19,,MATCH($D81,'Landbrugsareal - resultat'!$L$5:$N$5,0)))),IF(H$2=2030,SUMPRODUCT(($B81='Landbrugsareal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resultat'!$R$5:$T$5,0))))))),IF($C81="Konventionel",IF(H$2=2019,SUMPRODUCT(($B81='Landbrugsareal - resultat'!$B$33:$B$46)*(INDEX('Landbrugsareal - resultat'!$C$33:$E$46,,MATCH($D81,'Landbrugsareal - resultat'!$C$5:$E$5,0)))),IF(H$2=2030,SUMPRODUCT(($B81='Landbrugsareal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resultat'!$I$5:$K$5,0)))))),IF(H$2=2019,SUMPRODUCT(($B81='Landbrugsareal - resultat'!$B$33:$B$46)*(INDEX('Landbrugsareal - resultat'!$L$33:$N$46,,MATCH($D81,'Landbrugsareal - resultat'!$L$5:$N$5,0)))),IF(H$2=2030,SUMPRODUCT(($B81='Landbrugsareal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6.4224703654426705</v>
      </c>
      <c r="I81" s="96" cm="1">
        <f t="array" ref="I81">IF($A81="Vestdanmark",IF($C81="Konventionel",IF(I$2=2019,SUMPRODUCT(($B81='Landbrugsareal - resultat'!$B$6:$B$19)*(INDEX('Landbrugsareal - resultat'!$C$6:$E$19,,MATCH($D81,'Landbrugsareal - resultat'!$C$5:$E$5,0)))),IF(I$2=2030,SUMPRODUCT(($B81='Landbrugsareal - resultat'!$B$6:$B$19)*(INDEX('Landbrugsareal - resultat'!$F$6:$H$19,,MATCH($D81,'Landbrugsareal - resultat'!$F$5:$H$5,0)))),SUMPRODUCT(($B81='Landbrugsareal - resultat'!$B$6:$B$19)*(INDEX('Landbrugsareal - resultat'!$I$6:$K$19,,MATCH($D81,'Landbrugsareal - resultat'!$I$5:$K$5,0)))))),IF(I$2=2019,SUMPRODUCT(($B81='Landbrugsareal - resultat'!$B$6:$B$19)*(INDEX('Landbrugsareal - resultat'!$L$6:$N$19,,MATCH($D81,'Landbrugsareal - resultat'!$L$5:$N$5,0)))),IF(I$2=2030,SUMPRODUCT(($B81='Landbrugsareal - resultat'!$B$6:$B$19)*(INDEX('Landbrugsareal - resultat'!$O$6:$Q$19,,MATCH($D81,'Landbrugsareal - resultat'!$O$5:$Q$5,0)))),SUMPRODUCT(($B81='Landbrugsareal - resultat'!$B$6:$B$19)*(INDEX('Landbrugsareal - resultat'!$R$6:$T$19,,MATCH($D81,'Landbrugsareal - resultat'!$R$5:$T$5,0))))))),IF($C81="Konventionel",IF(I$2=2019,SUMPRODUCT((C81='Landbrugsareal - resultat'!$B$33:$B$46)*(INDEX('Landbrugsareal - resultat'!$C$33:$E$46,,MATCH($D81,'Landbrugsareal - resultat'!$C$5:$E$5,0)))),IF(I$2=2030,SUMPRODUCT(($B81='Landbrugsareal - resultat'!$B$33:$B$46)*(INDEX('Landbrugsareal - resultat'!$F$33:$H$46,,MATCH($D81,'Landbrugsareal - resultat'!$F$5:$H$5,0)))),SUMPRODUCT(($B81='Landbrugsareal - resultat'!$B$33:$B$46)*(INDEX('Landbrugsareal - resultat'!$I$33:$K$46,,MATCH($D81,'Landbrugsareal - resultat'!$I$5:$K$5,0)))))),IF(I$2=2019,SUMPRODUCT(($B81='Landbrugsareal - resultat'!$B$33:$B$46)*(INDEX('Landbrugsareal - resultat'!$L$33:$N$46,,MATCH($D81,'Landbrugsareal - resultat'!$L$5:$N$5,0)))),IF(I$2=2030,SUMPRODUCT(($B81='Landbrugsareal - resultat'!$B$33:$B$46)*(INDEX('Landbrugsareal - resultat'!$O$33:$Q$46,,MATCH($D81,'Landbrugsareal - resultat'!$O$5:$Q$5,0)))),SUMPRODUCT(($B81='Landbrugsareal - resultat'!$B$33:$B$46)*(INDEX('Landbrugsareal - resultat'!$R$33:$T$46,,MATCH($D81,'Landbrugsareal - resultat'!$R$5:$T$5,0))))))))</f>
        <v>8.325424547796052</v>
      </c>
    </row>
    <row r="82" spans="1:9" x14ac:dyDescent="0.25">
      <c r="A82" t="s">
        <v>23</v>
      </c>
      <c r="B82" s="1" t="str">
        <f>[1]Afgrødefordeling!$C$11</f>
        <v>Øvrige</v>
      </c>
      <c r="C82" t="s">
        <v>8</v>
      </c>
      <c r="D82" t="str">
        <f t="shared" si="7"/>
        <v>OC12</v>
      </c>
      <c r="F82" t="str">
        <f t="shared" si="6"/>
        <v>Areal-øvrige</v>
      </c>
      <c r="G82" s="96" cm="1">
        <f t="array" ref="G82">IF($A82="Vestdanmark",IF($C82="Konventionel",IF(G$2=2019,SUMPRODUCT(($B82='Landbrugsareal - resultat'!$B$6:$B$19)*(INDEX('Landbrugsareal - resultat'!$C$6:$E$19,,MATCH($D82,'Landbrugsareal - resultat'!$C$5:$E$5,0)))),IF(G$2=2030,SUMPRODUCT(($B82='Landbrugsareal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resultat'!$I$5:$K$5,0)))))),IF(G$2=2019,SUMPRODUCT(($B82='Landbrugsareal - resultat'!$B$6:$B$19)*(INDEX('Landbrugsareal - resultat'!$L$6:$N$19,,MATCH($D82,'Landbrugsareal - resultat'!$L$5:$N$5,0)))),IF(G$2=2030,SUMPRODUCT(($B82='Landbrugsareal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resultat'!$R$5:$T$5,0))))))),IF($C82="Konventionel",IF(G$2=2019,SUMPRODUCT((B82='Landbrugsareal - resultat'!$B$33:$B$46)*(INDEX('Landbrugsareal - resultat'!$C$33:$E$46,,MATCH($D82,'Landbrugsareal - resultat'!$C$5:$E$5,0)))),IF(G$2=2030,SUMPRODUCT(($B82='Landbrugsareal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resultat'!$I$5:$K$5,0)))))),IF(G$2=2019,SUMPRODUCT(($B82='Landbrugsareal - resultat'!$B$33:$B$46)*(INDEX('Landbrugsareal - resultat'!$L$33:$N$46,,MATCH($D82,'Landbrugsareal - resultat'!$L$5:$N$5,0)))),IF(G$2=2030,SUMPRODUCT(($B82='Landbrugsareal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105.49894110931392</v>
      </c>
      <c r="H82" s="96" cm="1">
        <f t="array" ref="H82">IF($A82="Vestdanmark",IF($C82="Konventionel",IF(H$2=2019,SUMPRODUCT(($B82='Landbrugsareal - resultat'!$B$6:$B$19)*(INDEX('Landbrugsareal - resultat'!$C$6:$E$19,,MATCH($D82,'Landbrugsareal - resultat'!$C$5:$E$5,0)))),IF(H$2=2030,SUMPRODUCT(($B82='Landbrugsareal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resultat'!$I$5:$K$5,0)))))),IF(H$2=2019,SUMPRODUCT(($B82='Landbrugsareal - resultat'!$B$6:$B$19)*(INDEX('Landbrugsareal - resultat'!$L$6:$N$19,,MATCH($D82,'Landbrugsareal - resultat'!$L$5:$N$5,0)))),IF(H$2=2030,SUMPRODUCT(($B82='Landbrugsareal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resultat'!$R$5:$T$5,0))))))),IF($C82="Konventionel",IF(H$2=2019,SUMPRODUCT(($B82='Landbrugsareal - resultat'!$B$33:$B$46)*(INDEX('Landbrugsareal - resultat'!$C$33:$E$46,,MATCH($D82,'Landbrugsareal - resultat'!$C$5:$E$5,0)))),IF(H$2=2030,SUMPRODUCT(($B82='Landbrugsareal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resultat'!$I$5:$K$5,0)))))),IF(H$2=2019,SUMPRODUCT(($B82='Landbrugsareal - resultat'!$B$33:$B$46)*(INDEX('Landbrugsareal - resultat'!$L$33:$N$46,,MATCH($D82,'Landbrugsareal - resultat'!$L$5:$N$5,0)))),IF(H$2=2030,SUMPRODUCT(($B82='Landbrugsareal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113.58717758650332</v>
      </c>
      <c r="I82" s="96" cm="1">
        <f t="array" ref="I82">IF($A82="Vestdanmark",IF($C82="Konventionel",IF(I$2=2019,SUMPRODUCT(($B82='Landbrugsareal - resultat'!$B$6:$B$19)*(INDEX('Landbrugsareal - resultat'!$C$6:$E$19,,MATCH($D82,'Landbrugsareal - resultat'!$C$5:$E$5,0)))),IF(I$2=2030,SUMPRODUCT(($B82='Landbrugsareal - resultat'!$B$6:$B$19)*(INDEX('Landbrugsareal - resultat'!$F$6:$H$19,,MATCH($D82,'Landbrugsareal - resultat'!$F$5:$H$5,0)))),SUMPRODUCT(($B82='Landbrugsareal - resultat'!$B$6:$B$19)*(INDEX('Landbrugsareal - resultat'!$I$6:$K$19,,MATCH($D82,'Landbrugsareal - resultat'!$I$5:$K$5,0)))))),IF(I$2=2019,SUMPRODUCT(($B82='Landbrugsareal - resultat'!$B$6:$B$19)*(INDEX('Landbrugsareal - resultat'!$L$6:$N$19,,MATCH($D82,'Landbrugsareal - resultat'!$L$5:$N$5,0)))),IF(I$2=2030,SUMPRODUCT(($B82='Landbrugsareal - resultat'!$B$6:$B$19)*(INDEX('Landbrugsareal - resultat'!$O$6:$Q$19,,MATCH($D82,'Landbrugsareal - resultat'!$O$5:$Q$5,0)))),SUMPRODUCT(($B82='Landbrugsareal - resultat'!$B$6:$B$19)*(INDEX('Landbrugsareal - resultat'!$R$6:$T$19,,MATCH($D82,'Landbrugsareal - resultat'!$R$5:$T$5,0))))))),IF($C82="Konventionel",IF(I$2=2019,SUMPRODUCT((C82='Landbrugsareal - resultat'!$B$33:$B$46)*(INDEX('Landbrugsareal - resultat'!$C$33:$E$46,,MATCH($D82,'Landbrugsareal - resultat'!$C$5:$E$5,0)))),IF(I$2=2030,SUMPRODUCT(($B82='Landbrugsareal - resultat'!$B$33:$B$46)*(INDEX('Landbrugsareal - resultat'!$F$33:$H$46,,MATCH($D82,'Landbrugsareal - resultat'!$F$5:$H$5,0)))),SUMPRODUCT(($B82='Landbrugsareal - resultat'!$B$33:$B$46)*(INDEX('Landbrugsareal - resultat'!$I$33:$K$46,,MATCH($D82,'Landbrugsareal - resultat'!$I$5:$K$5,0)))))),IF(I$2=2019,SUMPRODUCT(($B82='Landbrugsareal - resultat'!$B$33:$B$46)*(INDEX('Landbrugsareal - resultat'!$L$33:$N$46,,MATCH($D82,'Landbrugsareal - resultat'!$L$5:$N$5,0)))),IF(I$2=2030,SUMPRODUCT(($B82='Landbrugsareal - resultat'!$B$33:$B$46)*(INDEX('Landbrugsareal - resultat'!$O$33:$Q$46,,MATCH($D82,'Landbrugsareal - resultat'!$O$5:$Q$5,0)))),SUMPRODUCT(($B82='Landbrugsareal - resultat'!$B$33:$B$46)*(INDEX('Landbrugsareal - resultat'!$R$33:$T$46,,MATCH($D82,'Landbrugsareal - resultat'!$R$5:$T$5,0))))))))</f>
        <v>147.2426376121339</v>
      </c>
    </row>
    <row r="83" spans="1:9" x14ac:dyDescent="0.25">
      <c r="A83" t="s">
        <v>23</v>
      </c>
      <c r="B83" s="1" t="str">
        <f>[1]Afgrødefordeling!$C$12</f>
        <v>Frø</v>
      </c>
      <c r="C83" t="s">
        <v>8</v>
      </c>
      <c r="D83" t="str">
        <f t="shared" si="7"/>
        <v>OC12</v>
      </c>
      <c r="F83" t="str">
        <f t="shared" si="6"/>
        <v>Areal-frøgræs</v>
      </c>
      <c r="G83" s="96" cm="1">
        <f t="array" ref="G83">IF($A83="Vestdanmark",IF($C83="Konventionel",IF(G$2=2019,SUMPRODUCT(($B83='Landbrugsareal - resultat'!$B$6:$B$19)*(INDEX('Landbrugsareal - resultat'!$C$6:$E$19,,MATCH($D83,'Landbrugsareal - resultat'!$C$5:$E$5,0)))),IF(G$2=2030,SUMPRODUCT(($B83='Landbrugsareal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resultat'!$I$5:$K$5,0)))))),IF(G$2=2019,SUMPRODUCT(($B83='Landbrugsareal - resultat'!$B$6:$B$19)*(INDEX('Landbrugsareal - resultat'!$L$6:$N$19,,MATCH($D83,'Landbrugsareal - resultat'!$L$5:$N$5,0)))),IF(G$2=2030,SUMPRODUCT(($B83='Landbrugsareal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resultat'!$R$5:$T$5,0))))))),IF($C83="Konventionel",IF(G$2=2019,SUMPRODUCT((B83='Landbrugsareal - resultat'!$B$33:$B$46)*(INDEX('Landbrugsareal - resultat'!$C$33:$E$46,,MATCH($D83,'Landbrugsareal - resultat'!$C$5:$E$5,0)))),IF(G$2=2030,SUMPRODUCT(($B83='Landbrugsareal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resultat'!$I$5:$K$5,0)))))),IF(G$2=2019,SUMPRODUCT(($B83='Landbrugsareal - resultat'!$B$33:$B$46)*(INDEX('Landbrugsareal - resultat'!$L$33:$N$46,,MATCH($D83,'Landbrugsareal - resultat'!$L$5:$N$5,0)))),IF(G$2=2030,SUMPRODUCT(($B83='Landbrugsareal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335.66235848312112</v>
      </c>
      <c r="H83" s="96" cm="1">
        <f t="array" ref="H83">IF($A83="Vestdanmark",IF($C83="Konventionel",IF(H$2=2019,SUMPRODUCT(($B83='Landbrugsareal - resultat'!$B$6:$B$19)*(INDEX('Landbrugsareal - resultat'!$C$6:$E$19,,MATCH($D83,'Landbrugsareal - resultat'!$C$5:$E$5,0)))),IF(H$2=2030,SUMPRODUCT(($B83='Landbrugsareal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resultat'!$I$5:$K$5,0)))))),IF(H$2=2019,SUMPRODUCT(($B83='Landbrugsareal - resultat'!$B$6:$B$19)*(INDEX('Landbrugsareal - resultat'!$L$6:$N$19,,MATCH($D83,'Landbrugsareal - resultat'!$L$5:$N$5,0)))),IF(H$2=2030,SUMPRODUCT(($B83='Landbrugsareal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resultat'!$R$5:$T$5,0))))))),IF($C83="Konventionel",IF(H$2=2019,SUMPRODUCT(($B83='Landbrugsareal - resultat'!$B$33:$B$46)*(INDEX('Landbrugsareal - resultat'!$C$33:$E$46,,MATCH($D83,'Landbrugsareal - resultat'!$C$5:$E$5,0)))),IF(H$2=2030,SUMPRODUCT(($B83='Landbrugsareal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resultat'!$I$5:$K$5,0)))))),IF(H$2=2019,SUMPRODUCT(($B83='Landbrugsareal - resultat'!$B$33:$B$46)*(INDEX('Landbrugsareal - resultat'!$L$33:$N$46,,MATCH($D83,'Landbrugsareal - resultat'!$L$5:$N$5,0)))),IF(H$2=2030,SUMPRODUCT(($B83='Landbrugsareal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361.39642276239675</v>
      </c>
      <c r="I83" s="96" cm="1">
        <f t="array" ref="I83">IF($A83="Vestdanmark",IF($C83="Konventionel",IF(I$2=2019,SUMPRODUCT(($B83='Landbrugsareal - resultat'!$B$6:$B$19)*(INDEX('Landbrugsareal - resultat'!$C$6:$E$19,,MATCH($D83,'Landbrugsareal - resultat'!$C$5:$E$5,0)))),IF(I$2=2030,SUMPRODUCT(($B83='Landbrugsareal - resultat'!$B$6:$B$19)*(INDEX('Landbrugsareal - resultat'!$F$6:$H$19,,MATCH($D83,'Landbrugsareal - resultat'!$F$5:$H$5,0)))),SUMPRODUCT(($B83='Landbrugsareal - resultat'!$B$6:$B$19)*(INDEX('Landbrugsareal - resultat'!$I$6:$K$19,,MATCH($D83,'Landbrugsareal - resultat'!$I$5:$K$5,0)))))),IF(I$2=2019,SUMPRODUCT(($B83='Landbrugsareal - resultat'!$B$6:$B$19)*(INDEX('Landbrugsareal - resultat'!$L$6:$N$19,,MATCH($D83,'Landbrugsareal - resultat'!$L$5:$N$5,0)))),IF(I$2=2030,SUMPRODUCT(($B83='Landbrugsareal - resultat'!$B$6:$B$19)*(INDEX('Landbrugsareal - resultat'!$O$6:$Q$19,,MATCH($D83,'Landbrugsareal - resultat'!$O$5:$Q$5,0)))),SUMPRODUCT(($B83='Landbrugsareal - resultat'!$B$6:$B$19)*(INDEX('Landbrugsareal - resultat'!$R$6:$T$19,,MATCH($D83,'Landbrugsareal - resultat'!$R$5:$T$5,0))))))),IF($C83="Konventionel",IF(I$2=2019,SUMPRODUCT((C83='Landbrugsareal - resultat'!$B$33:$B$46)*(INDEX('Landbrugsareal - resultat'!$C$33:$E$46,,MATCH($D83,'Landbrugsareal - resultat'!$C$5:$E$5,0)))),IF(I$2=2030,SUMPRODUCT(($B83='Landbrugsareal - resultat'!$B$33:$B$46)*(INDEX('Landbrugsareal - resultat'!$F$33:$H$46,,MATCH($D83,'Landbrugsareal - resultat'!$F$5:$H$5,0)))),SUMPRODUCT(($B83='Landbrugsareal - resultat'!$B$33:$B$46)*(INDEX('Landbrugsareal - resultat'!$I$33:$K$46,,MATCH($D83,'Landbrugsareal - resultat'!$I$5:$K$5,0)))))),IF(I$2=2019,SUMPRODUCT(($B83='Landbrugsareal - resultat'!$B$33:$B$46)*(INDEX('Landbrugsareal - resultat'!$L$33:$N$46,,MATCH($D83,'Landbrugsareal - resultat'!$L$5:$N$5,0)))),IF(I$2=2030,SUMPRODUCT(($B83='Landbrugsareal - resultat'!$B$33:$B$46)*(INDEX('Landbrugsareal - resultat'!$O$33:$Q$46,,MATCH($D83,'Landbrugsareal - resultat'!$O$5:$Q$5,0)))),SUMPRODUCT(($B83='Landbrugsareal - resultat'!$B$33:$B$46)*(INDEX('Landbrugsareal - resultat'!$R$33:$T$46,,MATCH($D83,'Landbrugsareal - resultat'!$R$5:$T$5,0))))))))</f>
        <v>468.47684432162538</v>
      </c>
    </row>
    <row r="84" spans="1:9" x14ac:dyDescent="0.25">
      <c r="A84" t="s">
        <v>23</v>
      </c>
      <c r="B84" s="1" t="str">
        <f>[1]Afgrødefordeling!$C$13</f>
        <v>Juletræer</v>
      </c>
      <c r="C84" t="s">
        <v>8</v>
      </c>
      <c r="D84" t="str">
        <f t="shared" si="7"/>
        <v>OC12</v>
      </c>
      <c r="F84" t="str">
        <f t="shared" si="6"/>
        <v>Areal-juletræer</v>
      </c>
      <c r="G84" s="96" cm="1">
        <f t="array" ref="G84">IF($A84="Vestdanmark",IF($C84="Konventionel",IF(G$2=2019,SUMPRODUCT(($B84='Landbrugsareal - resultat'!$B$6:$B$19)*(INDEX('Landbrugsareal - resultat'!$C$6:$E$19,,MATCH($D84,'Landbrugsareal - resultat'!$C$5:$E$5,0)))),IF(G$2=2030,SUMPRODUCT(($B84='Landbrugsareal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resultat'!$I$5:$K$5,0)))))),IF(G$2=2019,SUMPRODUCT(($B84='Landbrugsareal - resultat'!$B$6:$B$19)*(INDEX('Landbrugsareal - resultat'!$L$6:$N$19,,MATCH($D84,'Landbrugsareal - resultat'!$L$5:$N$5,0)))),IF(G$2=2030,SUMPRODUCT(($B84='Landbrugsareal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resultat'!$R$5:$T$5,0))))))),IF($C84="Konventionel",IF(G$2=2019,SUMPRODUCT((B84='Landbrugsareal - resultat'!$B$33:$B$46)*(INDEX('Landbrugsareal - resultat'!$C$33:$E$46,,MATCH($D84,'Landbrugsareal - resultat'!$C$5:$E$5,0)))),IF(G$2=2030,SUMPRODUCT(($B84='Landbrugsareal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resultat'!$I$5:$K$5,0)))))),IF(G$2=2019,SUMPRODUCT(($B84='Landbrugsareal - resultat'!$B$33:$B$46)*(INDEX('Landbrugsareal - resultat'!$L$33:$N$46,,MATCH($D84,'Landbrugsareal - resultat'!$L$5:$N$5,0)))),IF(G$2=2030,SUMPRODUCT(($B84='Landbrugsareal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29.918440326248902</v>
      </c>
      <c r="H84" s="96" cm="1">
        <f t="array" ref="H84">IF($A84="Vestdanmark",IF($C84="Konventionel",IF(H$2=2019,SUMPRODUCT(($B84='Landbrugsareal - resultat'!$B$6:$B$19)*(INDEX('Landbrugsareal - resultat'!$C$6:$E$19,,MATCH($D84,'Landbrugsareal - resultat'!$C$5:$E$5,0)))),IF(H$2=2030,SUMPRODUCT(($B84='Landbrugsareal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resultat'!$I$5:$K$5,0)))))),IF(H$2=2019,SUMPRODUCT(($B84='Landbrugsareal - resultat'!$B$6:$B$19)*(INDEX('Landbrugsareal - resultat'!$L$6:$N$19,,MATCH($D84,'Landbrugsareal - resultat'!$L$5:$N$5,0)))),IF(H$2=2030,SUMPRODUCT(($B84='Landbrugsareal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resultat'!$R$5:$T$5,0))))))),IF($C84="Konventionel",IF(H$2=2019,SUMPRODUCT(($B84='Landbrugsareal - resultat'!$B$33:$B$46)*(INDEX('Landbrugsareal - resultat'!$C$33:$E$46,,MATCH($D84,'Landbrugsareal - resultat'!$C$5:$E$5,0)))),IF(H$2=2030,SUMPRODUCT(($B84='Landbrugsareal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resultat'!$I$5:$K$5,0)))))),IF(H$2=2019,SUMPRODUCT(($B84='Landbrugsareal - resultat'!$B$33:$B$46)*(INDEX('Landbrugsareal - resultat'!$L$33:$N$46,,MATCH($D84,'Landbrugsareal - resultat'!$L$5:$N$5,0)))),IF(H$2=2030,SUMPRODUCT(($B84='Landbrugsareal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32.212182972790174</v>
      </c>
      <c r="I84" s="96" cm="1">
        <f t="array" ref="I84">IF($A84="Vestdanmark",IF($C84="Konventionel",IF(I$2=2019,SUMPRODUCT(($B84='Landbrugsareal - resultat'!$B$6:$B$19)*(INDEX('Landbrugsareal - resultat'!$C$6:$E$19,,MATCH($D84,'Landbrugsareal - resultat'!$C$5:$E$5,0)))),IF(I$2=2030,SUMPRODUCT(($B84='Landbrugsareal - resultat'!$B$6:$B$19)*(INDEX('Landbrugsareal - resultat'!$F$6:$H$19,,MATCH($D84,'Landbrugsareal - resultat'!$F$5:$H$5,0)))),SUMPRODUCT(($B84='Landbrugsareal - resultat'!$B$6:$B$19)*(INDEX('Landbrugsareal - resultat'!$I$6:$K$19,,MATCH($D84,'Landbrugsareal - resultat'!$I$5:$K$5,0)))))),IF(I$2=2019,SUMPRODUCT(($B84='Landbrugsareal - resultat'!$B$6:$B$19)*(INDEX('Landbrugsareal - resultat'!$L$6:$N$19,,MATCH($D84,'Landbrugsareal - resultat'!$L$5:$N$5,0)))),IF(I$2=2030,SUMPRODUCT(($B84='Landbrugsareal - resultat'!$B$6:$B$19)*(INDEX('Landbrugsareal - resultat'!$O$6:$Q$19,,MATCH($D84,'Landbrugsareal - resultat'!$O$5:$Q$5,0)))),SUMPRODUCT(($B84='Landbrugsareal - resultat'!$B$6:$B$19)*(INDEX('Landbrugsareal - resultat'!$R$6:$T$19,,MATCH($D84,'Landbrugsareal - resultat'!$R$5:$T$5,0))))))),IF($C84="Konventionel",IF(I$2=2019,SUMPRODUCT((C84='Landbrugsareal - resultat'!$B$33:$B$46)*(INDEX('Landbrugsareal - resultat'!$C$33:$E$46,,MATCH($D84,'Landbrugsareal - resultat'!$C$5:$E$5,0)))),IF(I$2=2030,SUMPRODUCT(($B84='Landbrugsareal - resultat'!$B$33:$B$46)*(INDEX('Landbrugsareal - resultat'!$F$33:$H$46,,MATCH($D84,'Landbrugsareal - resultat'!$F$5:$H$5,0)))),SUMPRODUCT(($B84='Landbrugsareal - resultat'!$B$33:$B$46)*(INDEX('Landbrugsareal - resultat'!$I$33:$K$46,,MATCH($D84,'Landbrugsareal - resultat'!$I$5:$K$5,0)))))),IF(I$2=2019,SUMPRODUCT(($B84='Landbrugsareal - resultat'!$B$33:$B$46)*(INDEX('Landbrugsareal - resultat'!$L$33:$N$46,,MATCH($D84,'Landbrugsareal - resultat'!$L$5:$N$5,0)))),IF(I$2=2030,SUMPRODUCT(($B84='Landbrugsareal - resultat'!$B$33:$B$46)*(INDEX('Landbrugsareal - resultat'!$O$33:$Q$46,,MATCH($D84,'Landbrugsareal - resultat'!$O$5:$Q$5,0)))),SUMPRODUCT(($B84='Landbrugsareal - resultat'!$B$33:$B$46)*(INDEX('Landbrugsareal - resultat'!$R$33:$T$46,,MATCH($D84,'Landbrugsareal - resultat'!$R$5:$T$5,0))))))))</f>
        <v>41.756533483246521</v>
      </c>
    </row>
    <row r="85" spans="1:9" x14ac:dyDescent="0.25">
      <c r="A85" t="s">
        <v>23</v>
      </c>
      <c r="B85" s="1" t="str">
        <f>[1]Afgrødefordeling!$C$14</f>
        <v>Pil &amp; poppel</v>
      </c>
      <c r="C85" t="s">
        <v>8</v>
      </c>
      <c r="D85" t="str">
        <f t="shared" si="7"/>
        <v>OC12</v>
      </c>
      <c r="F85" t="str">
        <f t="shared" si="6"/>
        <v>Areal-pil-poppel</v>
      </c>
      <c r="G85" s="96" cm="1">
        <f t="array" ref="G85">IF($A85="Vestdanmark",IF($C85="Konventionel",IF(G$2=2019,SUMPRODUCT(($B85='Landbrugsareal - resultat'!$B$6:$B$19)*(INDEX('Landbrugsareal - resultat'!$C$6:$E$19,,MATCH($D85,'Landbrugsareal - resultat'!$C$5:$E$5,0)))),IF(G$2=2030,SUMPRODUCT(($B85='Landbrugsareal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resultat'!$I$5:$K$5,0)))))),IF(G$2=2019,SUMPRODUCT(($B85='Landbrugsareal - resultat'!$B$6:$B$19)*(INDEX('Landbrugsareal - resultat'!$L$6:$N$19,,MATCH($D85,'Landbrugsareal - resultat'!$L$5:$N$5,0)))),IF(G$2=2030,SUMPRODUCT(($B85='Landbrugsareal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resultat'!$R$5:$T$5,0))))))),IF($C85="Konventionel",IF(G$2=2019,SUMPRODUCT((B85='Landbrugsareal - resultat'!$B$33:$B$46)*(INDEX('Landbrugsareal - resultat'!$C$33:$E$46,,MATCH($D85,'Landbrugsareal - resultat'!$C$5:$E$5,0)))),IF(G$2=2030,SUMPRODUCT(($B85='Landbrugsareal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resultat'!$I$5:$K$5,0)))))),IF(G$2=2019,SUMPRODUCT(($B85='Landbrugsareal - resultat'!$B$33:$B$46)*(INDEX('Landbrugsareal - resultat'!$L$33:$N$46,,MATCH($D85,'Landbrugsareal - resultat'!$L$5:$N$5,0)))),IF(G$2=2030,SUMPRODUCT(($B85='Landbrugsareal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70.623191806963732</v>
      </c>
      <c r="H85" s="96" cm="1">
        <f t="array" ref="H85">IF($A85="Vestdanmark",IF($C85="Konventionel",IF(H$2=2019,SUMPRODUCT(($B85='Landbrugsareal - resultat'!$B$6:$B$19)*(INDEX('Landbrugsareal - resultat'!$C$6:$E$19,,MATCH($D85,'Landbrugsareal - resultat'!$C$5:$E$5,0)))),IF(H$2=2030,SUMPRODUCT(($B85='Landbrugsareal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resultat'!$I$5:$K$5,0)))))),IF(H$2=2019,SUMPRODUCT(($B85='Landbrugsareal - resultat'!$B$6:$B$19)*(INDEX('Landbrugsareal - resultat'!$L$6:$N$19,,MATCH($D85,'Landbrugsareal - resultat'!$L$5:$N$5,0)))),IF(H$2=2030,SUMPRODUCT(($B85='Landbrugsareal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resultat'!$R$5:$T$5,0))))))),IF($C85="Konventionel",IF(H$2=2019,SUMPRODUCT(($B85='Landbrugsareal - resultat'!$B$33:$B$46)*(INDEX('Landbrugsareal - resultat'!$C$33:$E$46,,MATCH($D85,'Landbrugsareal - resultat'!$C$5:$E$5,0)))),IF(H$2=2030,SUMPRODUCT(($B85='Landbrugsareal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resultat'!$I$5:$K$5,0)))))),IF(H$2=2019,SUMPRODUCT(($B85='Landbrugsareal - resultat'!$B$33:$B$46)*(INDEX('Landbrugsareal - resultat'!$L$33:$N$46,,MATCH($D85,'Landbrugsareal - resultat'!$L$5:$N$5,0)))),IF(H$2=2030,SUMPRODUCT(($B85='Landbrugsareal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76.037626019310508</v>
      </c>
      <c r="I85" s="96" cm="1">
        <f t="array" ref="I85">IF($A85="Vestdanmark",IF($C85="Konventionel",IF(I$2=2019,SUMPRODUCT(($B85='Landbrugsareal - resultat'!$B$6:$B$19)*(INDEX('Landbrugsareal - resultat'!$C$6:$E$19,,MATCH($D85,'Landbrugsareal - resultat'!$C$5:$E$5,0)))),IF(I$2=2030,SUMPRODUCT(($B85='Landbrugsareal - resultat'!$B$6:$B$19)*(INDEX('Landbrugsareal - resultat'!$F$6:$H$19,,MATCH($D85,'Landbrugsareal - resultat'!$F$5:$H$5,0)))),SUMPRODUCT(($B85='Landbrugsareal - resultat'!$B$6:$B$19)*(INDEX('Landbrugsareal - resultat'!$I$6:$K$19,,MATCH($D85,'Landbrugsareal - resultat'!$I$5:$K$5,0)))))),IF(I$2=2019,SUMPRODUCT(($B85='Landbrugsareal - resultat'!$B$6:$B$19)*(INDEX('Landbrugsareal - resultat'!$L$6:$N$19,,MATCH($D85,'Landbrugsareal - resultat'!$L$5:$N$5,0)))),IF(I$2=2030,SUMPRODUCT(($B85='Landbrugsareal - resultat'!$B$6:$B$19)*(INDEX('Landbrugsareal - resultat'!$O$6:$Q$19,,MATCH($D85,'Landbrugsareal - resultat'!$O$5:$Q$5,0)))),SUMPRODUCT(($B85='Landbrugsareal - resultat'!$B$6:$B$19)*(INDEX('Landbrugsareal - resultat'!$R$6:$T$19,,MATCH($D85,'Landbrugsareal - resultat'!$R$5:$T$5,0))))))),IF($C85="Konventionel",IF(I$2=2019,SUMPRODUCT((C85='Landbrugsareal - resultat'!$B$33:$B$46)*(INDEX('Landbrugsareal - resultat'!$C$33:$E$46,,MATCH($D85,'Landbrugsareal - resultat'!$C$5:$E$5,0)))),IF(I$2=2030,SUMPRODUCT(($B85='Landbrugsareal - resultat'!$B$33:$B$46)*(INDEX('Landbrugsareal - resultat'!$F$33:$H$46,,MATCH($D85,'Landbrugsareal - resultat'!$F$5:$H$5,0)))),SUMPRODUCT(($B85='Landbrugsareal - resultat'!$B$33:$B$46)*(INDEX('Landbrugsareal - resultat'!$I$33:$K$46,,MATCH($D85,'Landbrugsareal - resultat'!$I$5:$K$5,0)))))),IF(I$2=2019,SUMPRODUCT(($B85='Landbrugsareal - resultat'!$B$33:$B$46)*(INDEX('Landbrugsareal - resultat'!$L$33:$N$46,,MATCH($D85,'Landbrugsareal - resultat'!$L$5:$N$5,0)))),IF(I$2=2030,SUMPRODUCT(($B85='Landbrugsareal - resultat'!$B$33:$B$46)*(INDEX('Landbrugsareal - resultat'!$O$33:$Q$46,,MATCH($D85,'Landbrugsareal - resultat'!$O$5:$Q$5,0)))),SUMPRODUCT(($B85='Landbrugsareal - resultat'!$B$33:$B$46)*(INDEX('Landbrugsareal - resultat'!$R$33:$T$46,,MATCH($D85,'Landbrugsareal - resultat'!$R$5:$T$5,0))))))))</f>
        <v>98.567292987995089</v>
      </c>
    </row>
    <row r="86" spans="1:9" x14ac:dyDescent="0.25">
      <c r="A86" t="s">
        <v>23</v>
      </c>
      <c r="B86" s="1" t="str">
        <f>[1]Afgrødefordeling!$C$15</f>
        <v>Permanent græs</v>
      </c>
      <c r="C86" t="s">
        <v>8</v>
      </c>
      <c r="D86" t="str">
        <f t="shared" si="7"/>
        <v>OC12</v>
      </c>
      <c r="F86" t="str">
        <f t="shared" si="6"/>
        <v>Areal-permanent græs</v>
      </c>
      <c r="G86" s="96" cm="1">
        <f t="array" ref="G86">IF($A86="Vestdanmark",IF($C86="Konventionel",IF(G$2=2019,SUMPRODUCT(($B86='Landbrugsareal - resultat'!$B$6:$B$19)*(INDEX('Landbrugsareal - resultat'!$C$6:$E$19,,MATCH($D86,'Landbrugsareal - resultat'!$C$5:$E$5,0)))),IF(G$2=2030,SUMPRODUCT(($B86='Landbrugsareal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resultat'!$I$5:$K$5,0)))))),IF(G$2=2019,SUMPRODUCT(($B86='Landbrugsareal - resultat'!$B$6:$B$19)*(INDEX('Landbrugsareal - resultat'!$L$6:$N$19,,MATCH($D86,'Landbrugsareal - resultat'!$L$5:$N$5,0)))),IF(G$2=2030,SUMPRODUCT(($B86='Landbrugsareal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resultat'!$R$5:$T$5,0))))))),IF($C86="Konventionel",IF(G$2=2019,SUMPRODUCT((B86='Landbrugsareal - resultat'!$B$33:$B$46)*(INDEX('Landbrugsareal - resultat'!$C$33:$E$46,,MATCH($D86,'Landbrugsareal - resultat'!$C$5:$E$5,0)))),IF(G$2=2030,SUMPRODUCT(($B86='Landbrugsareal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resultat'!$I$5:$K$5,0)))))),IF(G$2=2019,SUMPRODUCT(($B86='Landbrugsareal - resultat'!$B$33:$B$46)*(INDEX('Landbrugsareal - resultat'!$L$33:$N$46,,MATCH($D86,'Landbrugsareal - resultat'!$L$5:$N$5,0)))),IF(G$2=2030,SUMPRODUCT(($B86='Landbrugsareal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2612.0174037629554</v>
      </c>
      <c r="H86" s="96" cm="1">
        <f t="array" ref="H86">IF($A86="Vestdanmark",IF($C86="Konventionel",IF(H$2=2019,SUMPRODUCT(($B86='Landbrugsareal - resultat'!$B$6:$B$19)*(INDEX('Landbrugsareal - resultat'!$C$6:$E$19,,MATCH($D86,'Landbrugsareal - resultat'!$C$5:$E$5,0)))),IF(H$2=2030,SUMPRODUCT(($B86='Landbrugsareal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resultat'!$I$5:$K$5,0)))))),IF(H$2=2019,SUMPRODUCT(($B86='Landbrugsareal - resultat'!$B$6:$B$19)*(INDEX('Landbrugsareal - resultat'!$L$6:$N$19,,MATCH($D86,'Landbrugsareal - resultat'!$L$5:$N$5,0)))),IF(H$2=2030,SUMPRODUCT(($B86='Landbrugsareal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resultat'!$R$5:$T$5,0))))))),IF($C86="Konventionel",IF(H$2=2019,SUMPRODUCT(($B86='Landbrugsareal - resultat'!$B$33:$B$46)*(INDEX('Landbrugsareal - resultat'!$C$33:$E$46,,MATCH($D86,'Landbrugsareal - resultat'!$C$5:$E$5,0)))),IF(H$2=2030,SUMPRODUCT(($B86='Landbrugsareal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resultat'!$I$5:$K$5,0)))))),IF(H$2=2019,SUMPRODUCT(($B86='Landbrugsareal - resultat'!$B$33:$B$46)*(INDEX('Landbrugsareal - resultat'!$L$33:$N$46,,MATCH($D86,'Landbrugsareal - resultat'!$L$5:$N$5,0)))),IF(H$2=2030,SUMPRODUCT(($B86='Landbrugsareal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2812.271683303813</v>
      </c>
      <c r="I86" s="96" cm="1">
        <f t="array" ref="I86">IF($A86="Vestdanmark",IF($C86="Konventionel",IF(I$2=2019,SUMPRODUCT(($B86='Landbrugsareal - resultat'!$B$6:$B$19)*(INDEX('Landbrugsareal - resultat'!$C$6:$E$19,,MATCH($D86,'Landbrugsareal - resultat'!$C$5:$E$5,0)))),IF(I$2=2030,SUMPRODUCT(($B86='Landbrugsareal - resultat'!$B$6:$B$19)*(INDEX('Landbrugsareal - resultat'!$F$6:$H$19,,MATCH($D86,'Landbrugsareal - resultat'!$F$5:$H$5,0)))),SUMPRODUCT(($B86='Landbrugsareal - resultat'!$B$6:$B$19)*(INDEX('Landbrugsareal - resultat'!$I$6:$K$19,,MATCH($D86,'Landbrugsareal - resultat'!$I$5:$K$5,0)))))),IF(I$2=2019,SUMPRODUCT(($B86='Landbrugsareal - resultat'!$B$6:$B$19)*(INDEX('Landbrugsareal - resultat'!$L$6:$N$19,,MATCH($D86,'Landbrugsareal - resultat'!$L$5:$N$5,0)))),IF(I$2=2030,SUMPRODUCT(($B86='Landbrugsareal - resultat'!$B$6:$B$19)*(INDEX('Landbrugsareal - resultat'!$O$6:$Q$19,,MATCH($D86,'Landbrugsareal - resultat'!$O$5:$Q$5,0)))),SUMPRODUCT(($B86='Landbrugsareal - resultat'!$B$6:$B$19)*(INDEX('Landbrugsareal - resultat'!$R$6:$T$19,,MATCH($D86,'Landbrugsareal - resultat'!$R$5:$T$5,0))))))),IF($C86="Konventionel",IF(I$2=2019,SUMPRODUCT((C86='Landbrugsareal - resultat'!$B$33:$B$46)*(INDEX('Landbrugsareal - resultat'!$C$33:$E$46,,MATCH($D86,'Landbrugsareal - resultat'!$C$5:$E$5,0)))),IF(I$2=2030,SUMPRODUCT(($B86='Landbrugsareal - resultat'!$B$33:$B$46)*(INDEX('Landbrugsareal - resultat'!$F$33:$H$46,,MATCH($D86,'Landbrugsareal - resultat'!$F$5:$H$5,0)))),SUMPRODUCT(($B86='Landbrugsareal - resultat'!$B$33:$B$46)*(INDEX('Landbrugsareal - resultat'!$I$33:$K$46,,MATCH($D86,'Landbrugsareal - resultat'!$I$5:$K$5,0)))))),IF(I$2=2019,SUMPRODUCT(($B86='Landbrugsareal - resultat'!$B$33:$B$46)*(INDEX('Landbrugsareal - resultat'!$L$33:$N$46,,MATCH($D86,'Landbrugsareal - resultat'!$L$5:$N$5,0)))),IF(I$2=2030,SUMPRODUCT(($B86='Landbrugsareal - resultat'!$B$33:$B$46)*(INDEX('Landbrugsareal - resultat'!$O$33:$Q$46,,MATCH($D86,'Landbrugsareal - resultat'!$O$5:$Q$5,0)))),SUMPRODUCT(($B86='Landbrugsareal - resultat'!$B$33:$B$46)*(INDEX('Landbrugsareal - resultat'!$R$33:$T$46,,MATCH($D86,'Landbrugsareal - resultat'!$R$5:$T$5,0))))))))</f>
        <v>3645.5373672456835</v>
      </c>
    </row>
    <row r="87" spans="1:9" x14ac:dyDescent="0.25">
      <c r="A87" t="s">
        <v>24</v>
      </c>
      <c r="B87" s="1" t="str">
        <f>[1]Afgrødefordeling!$C$2</f>
        <v>Korn</v>
      </c>
      <c r="C87" t="s">
        <v>7</v>
      </c>
      <c r="D87" t="str">
        <f t="shared" ref="D87:D100" si="8">Jordbund1</f>
        <v>JB1-10</v>
      </c>
      <c r="F87" t="str">
        <f t="shared" si="6"/>
        <v>Areal-korn</v>
      </c>
      <c r="G87" s="96" cm="1">
        <f t="array" ref="G87">IF($A87="Vestdanmark",IF($C87="Konventionel",IF(G$2=2019,SUMPRODUCT(($B87='Landbrugsareal - resultat'!$B$6:$B$19)*(INDEX('Landbrugsareal - resultat'!$C$6:$E$19,,MATCH($D87,'Landbrugsareal - resultat'!$C$5:$E$5,0)))),IF(G$2=2030,SUMPRODUCT(($B87='Landbrugsareal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resultat'!$I$5:$K$5,0)))))),IF(G$2=2019,SUMPRODUCT(($B87='Landbrugsareal - resultat'!$B$6:$B$19)*(INDEX('Landbrugsareal - resultat'!$L$6:$N$19,,MATCH($D87,'Landbrugsareal - resultat'!$L$5:$N$5,0)))),IF(G$2=2030,SUMPRODUCT(($B87='Landbrugsareal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resultat'!$R$5:$T$5,0))))))),IF($C87="Konventionel",IF(G$2=2019,SUMPRODUCT((B87='Landbrugsareal - resultat'!$B$33:$B$46)*(INDEX('Landbrugsareal - resultat'!$C$33:$E$46,,MATCH($D87,'Landbrugsareal - resultat'!$C$5:$E$5,0)))),IF(G$2=2030,SUMPRODUCT(($B87='Landbrugsareal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resultat'!$I$5:$K$5,0)))))),IF(G$2=2019,SUMPRODUCT(($B87='Landbrugsareal - resultat'!$B$33:$B$46)*(INDEX('Landbrugsareal - resultat'!$L$33:$N$46,,MATCH($D87,'Landbrugsareal - resultat'!$L$5:$N$5,0)))),IF(G$2=2030,SUMPRODUCT(($B87='Landbrugsareal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289324.40705334052</v>
      </c>
      <c r="H87" s="96" cm="1">
        <f t="array" ref="H87">IF($A87="Vestdanmark",IF($C87="Konventionel",IF(H$2=2019,SUMPRODUCT(($B87='Landbrugsareal - resultat'!$B$6:$B$19)*(INDEX('Landbrugsareal - resultat'!$C$6:$E$19,,MATCH($D87,'Landbrugsareal - resultat'!$C$5:$E$5,0)))),IF(H$2=2030,SUMPRODUCT(($B87='Landbrugsareal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resultat'!$I$5:$K$5,0)))))),IF(H$2=2019,SUMPRODUCT(($B87='Landbrugsareal - resultat'!$B$6:$B$19)*(INDEX('Landbrugsareal - resultat'!$L$6:$N$19,,MATCH($D87,'Landbrugsareal - resultat'!$L$5:$N$5,0)))),IF(H$2=2030,SUMPRODUCT(($B87='Landbrugsareal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resultat'!$R$5:$T$5,0))))))),IF($C87="Konventionel",IF(H$2=2019,SUMPRODUCT(($B87='Landbrugsareal - resultat'!$B$33:$B$46)*(INDEX('Landbrugsareal - resultat'!$C$33:$E$46,,MATCH($D87,'Landbrugsareal - resultat'!$C$5:$E$5,0)))),IF(H$2=2030,SUMPRODUCT(($B87='Landbrugsareal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resultat'!$I$5:$K$5,0)))))),IF(H$2=2019,SUMPRODUCT(($B87='Landbrugsareal - resultat'!$B$33:$B$46)*(INDEX('Landbrugsareal - resultat'!$L$33:$N$46,,MATCH($D87,'Landbrugsareal - resultat'!$L$5:$N$5,0)))),IF(H$2=2030,SUMPRODUCT(($B87='Landbrugsareal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280840.49563485396</v>
      </c>
      <c r="I87" s="96" cm="1">
        <f t="array" ref="I87">IF($A87="Vestdanmark",IF($C87="Konventionel",IF(I$2=2019,SUMPRODUCT(($B87='Landbrugsareal - resultat'!$B$6:$B$19)*(INDEX('Landbrugsareal - resultat'!$C$6:$E$19,,MATCH($D87,'Landbrugsareal - resultat'!$C$5:$E$5,0)))),IF(I$2=2030,SUMPRODUCT(($B87='Landbrugsareal - resultat'!$B$6:$B$19)*(INDEX('Landbrugsareal - resultat'!$F$6:$H$19,,MATCH($D87,'Landbrugsareal - resultat'!$F$5:$H$5,0)))),SUMPRODUCT(($B87='Landbrugsareal - resultat'!$B$6:$B$19)*(INDEX('Landbrugsareal - resultat'!$I$6:$K$19,,MATCH($D87,'Landbrugsareal - resultat'!$I$5:$K$5,0)))))),IF(I$2=2019,SUMPRODUCT(($B87='Landbrugsareal - resultat'!$B$6:$B$19)*(INDEX('Landbrugsareal - resultat'!$L$6:$N$19,,MATCH($D87,'Landbrugsareal - resultat'!$L$5:$N$5,0)))),IF(I$2=2030,SUMPRODUCT(($B87='Landbrugsareal - resultat'!$B$6:$B$19)*(INDEX('Landbrugsareal - resultat'!$O$6:$Q$19,,MATCH($D87,'Landbrugsareal - resultat'!$O$5:$Q$5,0)))),SUMPRODUCT(($B87='Landbrugsareal - resultat'!$B$6:$B$19)*(INDEX('Landbrugsareal - resultat'!$R$6:$T$19,,MATCH($D87,'Landbrugsareal - resultat'!$R$5:$T$5,0))))))),IF($C87="Konventionel",IF(I$2=2019,SUMPRODUCT((C87='Landbrugsareal - resultat'!$B$33:$B$46)*(INDEX('Landbrugsareal - resultat'!$C$33:$E$46,,MATCH($D87,'Landbrugsareal - resultat'!$C$5:$E$5,0)))),IF(I$2=2030,SUMPRODUCT(($B87='Landbrugsareal - resultat'!$B$33:$B$46)*(INDEX('Landbrugsareal - resultat'!$F$33:$H$46,,MATCH($D87,'Landbrugsareal - resultat'!$F$5:$H$5,0)))),SUMPRODUCT(($B87='Landbrugsareal - resultat'!$B$33:$B$46)*(INDEX('Landbrugsareal - resultat'!$I$33:$K$46,,MATCH($D87,'Landbrugsareal - resultat'!$I$5:$K$5,0)))))),IF(I$2=2019,SUMPRODUCT(($B87='Landbrugsareal - resultat'!$B$33:$B$46)*(INDEX('Landbrugsareal - resultat'!$L$33:$N$46,,MATCH($D87,'Landbrugsareal - resultat'!$L$5:$N$5,0)))),IF(I$2=2030,SUMPRODUCT(($B87='Landbrugsareal - resultat'!$B$33:$B$46)*(INDEX('Landbrugsareal - resultat'!$O$33:$Q$46,,MATCH($D87,'Landbrugsareal - resultat'!$O$5:$Q$5,0)))),SUMPRODUCT(($B87='Landbrugsareal - resultat'!$B$33:$B$46)*(INDEX('Landbrugsareal - resultat'!$R$33:$T$46,,MATCH($D87,'Landbrugsareal - resultat'!$R$5:$T$5,0))))))))</f>
        <v>265383.49594764173</v>
      </c>
    </row>
    <row r="88" spans="1:9" x14ac:dyDescent="0.25">
      <c r="A88" t="s">
        <v>24</v>
      </c>
      <c r="B88" s="1" t="str">
        <f>[1]Afgrødefordeling!$C$3</f>
        <v>Bælgsæd</v>
      </c>
      <c r="C88" t="s">
        <v>7</v>
      </c>
      <c r="D88" t="str">
        <f t="shared" si="8"/>
        <v>JB1-10</v>
      </c>
      <c r="F88" t="str">
        <f t="shared" si="6"/>
        <v>Areal-bælgsæd</v>
      </c>
      <c r="G88" s="96" cm="1">
        <f t="array" ref="G88">IF($A88="Vestdanmark",IF($C88="Konventionel",IF(G$2=2019,SUMPRODUCT(($B88='Landbrugsareal - resultat'!$B$6:$B$19)*(INDEX('Landbrugsareal - resultat'!$C$6:$E$19,,MATCH($D88,'Landbrugsareal - resultat'!$C$5:$E$5,0)))),IF(G$2=2030,SUMPRODUCT(($B88='Landbrugsareal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resultat'!$I$5:$K$5,0)))))),IF(G$2=2019,SUMPRODUCT(($B88='Landbrugsareal - resultat'!$B$6:$B$19)*(INDEX('Landbrugsareal - resultat'!$L$6:$N$19,,MATCH($D88,'Landbrugsareal - resultat'!$L$5:$N$5,0)))),IF(G$2=2030,SUMPRODUCT(($B88='Landbrugsareal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resultat'!$R$5:$T$5,0))))))),IF($C88="Konventionel",IF(G$2=2019,SUMPRODUCT((B88='Landbrugsareal - resultat'!$B$33:$B$46)*(INDEX('Landbrugsareal - resultat'!$C$33:$E$46,,MATCH($D88,'Landbrugsareal - resultat'!$C$5:$E$5,0)))),IF(G$2=2030,SUMPRODUCT(($B88='Landbrugsareal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resultat'!$I$5:$K$5,0)))))),IF(G$2=2019,SUMPRODUCT(($B88='Landbrugsareal - resultat'!$B$33:$B$46)*(INDEX('Landbrugsareal - resultat'!$L$33:$N$46,,MATCH($D88,'Landbrugsareal - resultat'!$L$5:$N$5,0)))),IF(G$2=2030,SUMPRODUCT(($B88='Landbrugsareal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6305.778237432175</v>
      </c>
      <c r="H88" s="96" cm="1">
        <f t="array" ref="H88">IF($A88="Vestdanmark",IF($C88="Konventionel",IF(H$2=2019,SUMPRODUCT(($B88='Landbrugsareal - resultat'!$B$6:$B$19)*(INDEX('Landbrugsareal - resultat'!$C$6:$E$19,,MATCH($D88,'Landbrugsareal - resultat'!$C$5:$E$5,0)))),IF(H$2=2030,SUMPRODUCT(($B88='Landbrugsareal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resultat'!$I$5:$K$5,0)))))),IF(H$2=2019,SUMPRODUCT(($B88='Landbrugsareal - resultat'!$B$6:$B$19)*(INDEX('Landbrugsareal - resultat'!$L$6:$N$19,,MATCH($D88,'Landbrugsareal - resultat'!$L$5:$N$5,0)))),IF(H$2=2030,SUMPRODUCT(($B88='Landbrugsareal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resultat'!$R$5:$T$5,0))))))),IF($C88="Konventionel",IF(H$2=2019,SUMPRODUCT(($B88='Landbrugsareal - resultat'!$B$33:$B$46)*(INDEX('Landbrugsareal - resultat'!$C$33:$E$46,,MATCH($D88,'Landbrugsareal - resultat'!$C$5:$E$5,0)))),IF(H$2=2030,SUMPRODUCT(($B88='Landbrugsareal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resultat'!$I$5:$K$5,0)))))),IF(H$2=2019,SUMPRODUCT(($B88='Landbrugsareal - resultat'!$B$33:$B$46)*(INDEX('Landbrugsareal - resultat'!$L$33:$N$46,,MATCH($D88,'Landbrugsareal - resultat'!$L$5:$N$5,0)))),IF(H$2=2030,SUMPRODUCT(($B88='Landbrugsareal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6120.8727725395029</v>
      </c>
      <c r="I88" s="96" cm="1">
        <f t="array" ref="I88">IF($A88="Vestdanmark",IF($C88="Konventionel",IF(I$2=2019,SUMPRODUCT(($B88='Landbrugsareal - resultat'!$B$6:$B$19)*(INDEX('Landbrugsareal - resultat'!$C$6:$E$19,,MATCH($D88,'Landbrugsareal - resultat'!$C$5:$E$5,0)))),IF(I$2=2030,SUMPRODUCT(($B88='Landbrugsareal - resultat'!$B$6:$B$19)*(INDEX('Landbrugsareal - resultat'!$F$6:$H$19,,MATCH($D88,'Landbrugsareal - resultat'!$F$5:$H$5,0)))),SUMPRODUCT(($B88='Landbrugsareal - resultat'!$B$6:$B$19)*(INDEX('Landbrugsareal - resultat'!$I$6:$K$19,,MATCH($D88,'Landbrugsareal - resultat'!$I$5:$K$5,0)))))),IF(I$2=2019,SUMPRODUCT(($B88='Landbrugsareal - resultat'!$B$6:$B$19)*(INDEX('Landbrugsareal - resultat'!$L$6:$N$19,,MATCH($D88,'Landbrugsareal - resultat'!$L$5:$N$5,0)))),IF(I$2=2030,SUMPRODUCT(($B88='Landbrugsareal - resultat'!$B$6:$B$19)*(INDEX('Landbrugsareal - resultat'!$O$6:$Q$19,,MATCH($D88,'Landbrugsareal - resultat'!$O$5:$Q$5,0)))),SUMPRODUCT(($B88='Landbrugsareal - resultat'!$B$6:$B$19)*(INDEX('Landbrugsareal - resultat'!$R$6:$T$19,,MATCH($D88,'Landbrugsareal - resultat'!$R$5:$T$5,0))))))),IF($C88="Konventionel",IF(I$2=2019,SUMPRODUCT((C88='Landbrugsareal - resultat'!$B$33:$B$46)*(INDEX('Landbrugsareal - resultat'!$C$33:$E$46,,MATCH($D88,'Landbrugsareal - resultat'!$C$5:$E$5,0)))),IF(I$2=2030,SUMPRODUCT(($B88='Landbrugsareal - resultat'!$B$33:$B$46)*(INDEX('Landbrugsareal - resultat'!$F$33:$H$46,,MATCH($D88,'Landbrugsareal - resultat'!$F$5:$H$5,0)))),SUMPRODUCT(($B88='Landbrugsareal - resultat'!$B$33:$B$46)*(INDEX('Landbrugsareal - resultat'!$I$33:$K$46,,MATCH($D88,'Landbrugsareal - resultat'!$I$5:$K$5,0)))))),IF(I$2=2019,SUMPRODUCT(($B88='Landbrugsareal - resultat'!$B$33:$B$46)*(INDEX('Landbrugsareal - resultat'!$L$33:$N$46,,MATCH($D88,'Landbrugsareal - resultat'!$L$5:$N$5,0)))),IF(I$2=2030,SUMPRODUCT(($B88='Landbrugsareal - resultat'!$B$33:$B$46)*(INDEX('Landbrugsareal - resultat'!$O$33:$Q$46,,MATCH($D88,'Landbrugsareal - resultat'!$O$5:$Q$5,0)))),SUMPRODUCT(($B88='Landbrugsareal - resultat'!$B$33:$B$46)*(INDEX('Landbrugsareal - resultat'!$R$33:$T$46,,MATCH($D88,'Landbrugsareal - resultat'!$R$5:$T$5,0))))))))</f>
        <v>5783.9899867548611</v>
      </c>
    </row>
    <row r="89" spans="1:9" x14ac:dyDescent="0.25">
      <c r="A89" t="s">
        <v>24</v>
      </c>
      <c r="B89" s="1" t="str">
        <f>[1]Afgrødefordeling!$C$4</f>
        <v>Raps</v>
      </c>
      <c r="C89" t="s">
        <v>7</v>
      </c>
      <c r="D89" t="str">
        <f t="shared" si="8"/>
        <v>JB1-10</v>
      </c>
      <c r="F89" t="str">
        <f t="shared" si="6"/>
        <v>Areal-raps</v>
      </c>
      <c r="G89" s="96" cm="1">
        <f t="array" ref="G89">IF($A89="Vestdanmark",IF($C89="Konventionel",IF(G$2=2019,SUMPRODUCT(($B89='Landbrugsareal - resultat'!$B$6:$B$19)*(INDEX('Landbrugsareal - resultat'!$C$6:$E$19,,MATCH($D89,'Landbrugsareal - resultat'!$C$5:$E$5,0)))),IF(G$2=2030,SUMPRODUCT(($B89='Landbrugsareal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resultat'!$I$5:$K$5,0)))))),IF(G$2=2019,SUMPRODUCT(($B89='Landbrugsareal - resultat'!$B$6:$B$19)*(INDEX('Landbrugsareal - resultat'!$L$6:$N$19,,MATCH($D89,'Landbrugsareal - resultat'!$L$5:$N$5,0)))),IF(G$2=2030,SUMPRODUCT(($B89='Landbrugsareal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resultat'!$R$5:$T$5,0))))))),IF($C89="Konventionel",IF(G$2=2019,SUMPRODUCT((B89='Landbrugsareal - resultat'!$B$33:$B$46)*(INDEX('Landbrugsareal - resultat'!$C$33:$E$46,,MATCH($D89,'Landbrugsareal - resultat'!$C$5:$E$5,0)))),IF(G$2=2030,SUMPRODUCT(($B89='Landbrugsareal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resultat'!$I$5:$K$5,0)))))),IF(G$2=2019,SUMPRODUCT(($B89='Landbrugsareal - resultat'!$B$33:$B$46)*(INDEX('Landbrugsareal - resultat'!$L$33:$N$46,,MATCH($D89,'Landbrugsareal - resultat'!$L$5:$N$5,0)))),IF(G$2=2030,SUMPRODUCT(($B89='Landbrugsareal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40000.111452135221</v>
      </c>
      <c r="H89" s="96" cm="1">
        <f t="array" ref="H89">IF($A89="Vestdanmark",IF($C89="Konventionel",IF(H$2=2019,SUMPRODUCT(($B89='Landbrugsareal - resultat'!$B$6:$B$19)*(INDEX('Landbrugsareal - resultat'!$C$6:$E$19,,MATCH($D89,'Landbrugsareal - resultat'!$C$5:$E$5,0)))),IF(H$2=2030,SUMPRODUCT(($B89='Landbrugsareal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resultat'!$I$5:$K$5,0)))))),IF(H$2=2019,SUMPRODUCT(($B89='Landbrugsareal - resultat'!$B$6:$B$19)*(INDEX('Landbrugsareal - resultat'!$L$6:$N$19,,MATCH($D89,'Landbrugsareal - resultat'!$L$5:$N$5,0)))),IF(H$2=2030,SUMPRODUCT(($B89='Landbrugsareal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resultat'!$R$5:$T$5,0))))))),IF($C89="Konventionel",IF(H$2=2019,SUMPRODUCT(($B89='Landbrugsareal - resultat'!$B$33:$B$46)*(INDEX('Landbrugsareal - resultat'!$C$33:$E$46,,MATCH($D89,'Landbrugsareal - resultat'!$C$5:$E$5,0)))),IF(H$2=2030,SUMPRODUCT(($B89='Landbrugsareal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resultat'!$I$5:$K$5,0)))))),IF(H$2=2019,SUMPRODUCT(($B89='Landbrugsareal - resultat'!$B$33:$B$46)*(INDEX('Landbrugsareal - resultat'!$L$33:$N$46,,MATCH($D89,'Landbrugsareal - resultat'!$L$5:$N$5,0)))),IF(H$2=2030,SUMPRODUCT(($B89='Landbrugsareal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38827.181018281633</v>
      </c>
      <c r="I89" s="96" cm="1">
        <f t="array" ref="I89">IF($A89="Vestdanmark",IF($C89="Konventionel",IF(I$2=2019,SUMPRODUCT(($B89='Landbrugsareal - resultat'!$B$6:$B$19)*(INDEX('Landbrugsareal - resultat'!$C$6:$E$19,,MATCH($D89,'Landbrugsareal - resultat'!$C$5:$E$5,0)))),IF(I$2=2030,SUMPRODUCT(($B89='Landbrugsareal - resultat'!$B$6:$B$19)*(INDEX('Landbrugsareal - resultat'!$F$6:$H$19,,MATCH($D89,'Landbrugsareal - resultat'!$F$5:$H$5,0)))),SUMPRODUCT(($B89='Landbrugsareal - resultat'!$B$6:$B$19)*(INDEX('Landbrugsareal - resultat'!$I$6:$K$19,,MATCH($D89,'Landbrugsareal - resultat'!$I$5:$K$5,0)))))),IF(I$2=2019,SUMPRODUCT(($B89='Landbrugsareal - resultat'!$B$6:$B$19)*(INDEX('Landbrugsareal - resultat'!$L$6:$N$19,,MATCH($D89,'Landbrugsareal - resultat'!$L$5:$N$5,0)))),IF(I$2=2030,SUMPRODUCT(($B89='Landbrugsareal - resultat'!$B$6:$B$19)*(INDEX('Landbrugsareal - resultat'!$O$6:$Q$19,,MATCH($D89,'Landbrugsareal - resultat'!$O$5:$Q$5,0)))),SUMPRODUCT(($B89='Landbrugsareal - resultat'!$B$6:$B$19)*(INDEX('Landbrugsareal - resultat'!$R$6:$T$19,,MATCH($D89,'Landbrugsareal - resultat'!$R$5:$T$5,0))))))),IF($C89="Konventionel",IF(I$2=2019,SUMPRODUCT((C89='Landbrugsareal - resultat'!$B$33:$B$46)*(INDEX('Landbrugsareal - resultat'!$C$33:$E$46,,MATCH($D89,'Landbrugsareal - resultat'!$C$5:$E$5,0)))),IF(I$2=2030,SUMPRODUCT(($B89='Landbrugsareal - resultat'!$B$33:$B$46)*(INDEX('Landbrugsareal - resultat'!$F$33:$H$46,,MATCH($D89,'Landbrugsareal - resultat'!$F$5:$H$5,0)))),SUMPRODUCT(($B89='Landbrugsareal - resultat'!$B$33:$B$46)*(INDEX('Landbrugsareal - resultat'!$I$33:$K$46,,MATCH($D89,'Landbrugsareal - resultat'!$I$5:$K$5,0)))))),IF(I$2=2019,SUMPRODUCT(($B89='Landbrugsareal - resultat'!$B$33:$B$46)*(INDEX('Landbrugsareal - resultat'!$L$33:$N$46,,MATCH($D89,'Landbrugsareal - resultat'!$L$5:$N$5,0)))),IF(I$2=2030,SUMPRODUCT(($B89='Landbrugsareal - resultat'!$B$33:$B$46)*(INDEX('Landbrugsareal - resultat'!$O$33:$Q$46,,MATCH($D89,'Landbrugsareal - resultat'!$O$5:$Q$5,0)))),SUMPRODUCT(($B89='Landbrugsareal - resultat'!$B$33:$B$46)*(INDEX('Landbrugsareal - resultat'!$R$33:$T$46,,MATCH($D89,'Landbrugsareal - resultat'!$R$5:$T$5,0))))))))</f>
        <v>36690.196736516154</v>
      </c>
    </row>
    <row r="90" spans="1:9" x14ac:dyDescent="0.25">
      <c r="A90" t="s">
        <v>24</v>
      </c>
      <c r="B90" s="1" t="str">
        <f>[1]Afgrødefordeling!$C$5</f>
        <v>Græs</v>
      </c>
      <c r="C90" t="s">
        <v>7</v>
      </c>
      <c r="D90" t="str">
        <f t="shared" si="8"/>
        <v>JB1-10</v>
      </c>
      <c r="F90" t="str">
        <f t="shared" si="6"/>
        <v>Areal-græs</v>
      </c>
      <c r="G90" s="96" cm="1">
        <f t="array" ref="G90">IF($A90="Vestdanmark",IF($C90="Konventionel",IF(G$2=2019,SUMPRODUCT(($B90='Landbrugsareal - resultat'!$B$6:$B$19)*(INDEX('Landbrugsareal - resultat'!$C$6:$E$19,,MATCH($D90,'Landbrugsareal - resultat'!$C$5:$E$5,0)))),IF(G$2=2030,SUMPRODUCT(($B90='Landbrugsareal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resultat'!$I$5:$K$5,0)))))),IF(G$2=2019,SUMPRODUCT(($B90='Landbrugsareal - resultat'!$B$6:$B$19)*(INDEX('Landbrugsareal - resultat'!$L$6:$N$19,,MATCH($D90,'Landbrugsareal - resultat'!$L$5:$N$5,0)))),IF(G$2=2030,SUMPRODUCT(($B90='Landbrugsareal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resultat'!$R$5:$T$5,0))))))),IF($C90="Konventionel",IF(G$2=2019,SUMPRODUCT((B90='Landbrugsareal - resultat'!$B$33:$B$46)*(INDEX('Landbrugsareal - resultat'!$C$33:$E$46,,MATCH($D90,'Landbrugsareal - resultat'!$C$5:$E$5,0)))),IF(G$2=2030,SUMPRODUCT(($B90='Landbrugsareal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resultat'!$I$5:$K$5,0)))))),IF(G$2=2019,SUMPRODUCT(($B90='Landbrugsareal - resultat'!$B$33:$B$46)*(INDEX('Landbrugsareal - resultat'!$L$33:$N$46,,MATCH($D90,'Landbrugsareal - resultat'!$L$5:$N$5,0)))),IF(G$2=2030,SUMPRODUCT(($B90='Landbrugsareal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24301.063764662133</v>
      </c>
      <c r="H90" s="96" cm="1">
        <f t="array" ref="H90">IF($A90="Vestdanmark",IF($C90="Konventionel",IF(H$2=2019,SUMPRODUCT(($B90='Landbrugsareal - resultat'!$B$6:$B$19)*(INDEX('Landbrugsareal - resultat'!$C$6:$E$19,,MATCH($D90,'Landbrugsareal - resultat'!$C$5:$E$5,0)))),IF(H$2=2030,SUMPRODUCT(($B90='Landbrugsareal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resultat'!$I$5:$K$5,0)))))),IF(H$2=2019,SUMPRODUCT(($B90='Landbrugsareal - resultat'!$B$6:$B$19)*(INDEX('Landbrugsareal - resultat'!$L$6:$N$19,,MATCH($D90,'Landbrugsareal - resultat'!$L$5:$N$5,0)))),IF(H$2=2030,SUMPRODUCT(($B90='Landbrugsareal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resultat'!$R$5:$T$5,0))))))),IF($C90="Konventionel",IF(H$2=2019,SUMPRODUCT(($B90='Landbrugsareal - resultat'!$B$33:$B$46)*(INDEX('Landbrugsareal - resultat'!$C$33:$E$46,,MATCH($D90,'Landbrugsareal - resultat'!$C$5:$E$5,0)))),IF(H$2=2030,SUMPRODUCT(($B90='Landbrugsareal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resultat'!$I$5:$K$5,0)))))),IF(H$2=2019,SUMPRODUCT(($B90='Landbrugsareal - resultat'!$B$33:$B$46)*(INDEX('Landbrugsareal - resultat'!$L$33:$N$46,,MATCH($D90,'Landbrugsareal - resultat'!$L$5:$N$5,0)))),IF(H$2=2030,SUMPRODUCT(($B90='Landbrugsareal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23588.479318523863</v>
      </c>
      <c r="I90" s="96" cm="1">
        <f t="array" ref="I90">IF($A90="Vestdanmark",IF($C90="Konventionel",IF(I$2=2019,SUMPRODUCT(($B90='Landbrugsareal - resultat'!$B$6:$B$19)*(INDEX('Landbrugsareal - resultat'!$C$6:$E$19,,MATCH($D90,'Landbrugsareal - resultat'!$C$5:$E$5,0)))),IF(I$2=2030,SUMPRODUCT(($B90='Landbrugsareal - resultat'!$B$6:$B$19)*(INDEX('Landbrugsareal - resultat'!$F$6:$H$19,,MATCH($D90,'Landbrugsareal - resultat'!$F$5:$H$5,0)))),SUMPRODUCT(($B90='Landbrugsareal - resultat'!$B$6:$B$19)*(INDEX('Landbrugsareal - resultat'!$I$6:$K$19,,MATCH($D90,'Landbrugsareal - resultat'!$I$5:$K$5,0)))))),IF(I$2=2019,SUMPRODUCT(($B90='Landbrugsareal - resultat'!$B$6:$B$19)*(INDEX('Landbrugsareal - resultat'!$L$6:$N$19,,MATCH($D90,'Landbrugsareal - resultat'!$L$5:$N$5,0)))),IF(I$2=2030,SUMPRODUCT(($B90='Landbrugsareal - resultat'!$B$6:$B$19)*(INDEX('Landbrugsareal - resultat'!$O$6:$Q$19,,MATCH($D90,'Landbrugsareal - resultat'!$O$5:$Q$5,0)))),SUMPRODUCT(($B90='Landbrugsareal - resultat'!$B$6:$B$19)*(INDEX('Landbrugsareal - resultat'!$R$6:$T$19,,MATCH($D90,'Landbrugsareal - resultat'!$R$5:$T$5,0))))))),IF($C90="Konventionel",IF(I$2=2019,SUMPRODUCT((C90='Landbrugsareal - resultat'!$B$33:$B$46)*(INDEX('Landbrugsareal - resultat'!$C$33:$E$46,,MATCH($D90,'Landbrugsareal - resultat'!$C$5:$E$5,0)))),IF(I$2=2030,SUMPRODUCT(($B90='Landbrugsareal - resultat'!$B$33:$B$46)*(INDEX('Landbrugsareal - resultat'!$F$33:$H$46,,MATCH($D90,'Landbrugsareal - resultat'!$F$5:$H$5,0)))),SUMPRODUCT(($B90='Landbrugsareal - resultat'!$B$33:$B$46)*(INDEX('Landbrugsareal - resultat'!$I$33:$K$46,,MATCH($D90,'Landbrugsareal - resultat'!$I$5:$K$5,0)))))),IF(I$2=2019,SUMPRODUCT(($B90='Landbrugsareal - resultat'!$B$33:$B$46)*(INDEX('Landbrugsareal - resultat'!$L$33:$N$46,,MATCH($D90,'Landbrugsareal - resultat'!$L$5:$N$5,0)))),IF(I$2=2030,SUMPRODUCT(($B90='Landbrugsareal - resultat'!$B$33:$B$46)*(INDEX('Landbrugsareal - resultat'!$O$33:$Q$46,,MATCH($D90,'Landbrugsareal - resultat'!$O$5:$Q$5,0)))),SUMPRODUCT(($B90='Landbrugsareal - resultat'!$B$33:$B$46)*(INDEX('Landbrugsareal - resultat'!$R$33:$T$46,,MATCH($D90,'Landbrugsareal - resultat'!$R$5:$T$5,0))))))))</f>
        <v>22290.208153519605</v>
      </c>
    </row>
    <row r="91" spans="1:9" x14ac:dyDescent="0.25">
      <c r="A91" t="s">
        <v>24</v>
      </c>
      <c r="B91" s="1" t="str">
        <f>[1]Afgrødefordeling!$C$6</f>
        <v>Grøntsager</v>
      </c>
      <c r="C91" t="s">
        <v>7</v>
      </c>
      <c r="D91" t="str">
        <f t="shared" si="8"/>
        <v>JB1-10</v>
      </c>
      <c r="F91" t="str">
        <f t="shared" si="6"/>
        <v>Areal-grøntsager</v>
      </c>
      <c r="G91" s="96" cm="1">
        <f t="array" ref="G91">IF($A91="Vestdanmark",IF($C91="Konventionel",IF(G$2=2019,SUMPRODUCT(($B91='Landbrugsareal - resultat'!$B$6:$B$19)*(INDEX('Landbrugsareal - resultat'!$C$6:$E$19,,MATCH($D91,'Landbrugsareal - resultat'!$C$5:$E$5,0)))),IF(G$2=2030,SUMPRODUCT(($B91='Landbrugsareal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resultat'!$I$5:$K$5,0)))))),IF(G$2=2019,SUMPRODUCT(($B91='Landbrugsareal - resultat'!$B$6:$B$19)*(INDEX('Landbrugsareal - resultat'!$L$6:$N$19,,MATCH($D91,'Landbrugsareal - resultat'!$L$5:$N$5,0)))),IF(G$2=2030,SUMPRODUCT(($B91='Landbrugsareal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resultat'!$R$5:$T$5,0))))))),IF($C91="Konventionel",IF(G$2=2019,SUMPRODUCT((B91='Landbrugsareal - resultat'!$B$33:$B$46)*(INDEX('Landbrugsareal - resultat'!$C$33:$E$46,,MATCH($D91,'Landbrugsareal - resultat'!$C$5:$E$5,0)))),IF(G$2=2030,SUMPRODUCT(($B91='Landbrugsareal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resultat'!$I$5:$K$5,0)))))),IF(G$2=2019,SUMPRODUCT(($B91='Landbrugsareal - resultat'!$B$33:$B$46)*(INDEX('Landbrugsareal - resultat'!$L$33:$N$46,,MATCH($D91,'Landbrugsareal - resultat'!$L$5:$N$5,0)))),IF(G$2=2030,SUMPRODUCT(($B91='Landbrugsareal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3807.9830483618994</v>
      </c>
      <c r="H91" s="96" cm="1">
        <f t="array" ref="H91">IF($A91="Vestdanmark",IF($C91="Konventionel",IF(H$2=2019,SUMPRODUCT(($B91='Landbrugsareal - resultat'!$B$6:$B$19)*(INDEX('Landbrugsareal - resultat'!$C$6:$E$19,,MATCH($D91,'Landbrugsareal - resultat'!$C$5:$E$5,0)))),IF(H$2=2030,SUMPRODUCT(($B91='Landbrugsareal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resultat'!$I$5:$K$5,0)))))),IF(H$2=2019,SUMPRODUCT(($B91='Landbrugsareal - resultat'!$B$6:$B$19)*(INDEX('Landbrugsareal - resultat'!$L$6:$N$19,,MATCH($D91,'Landbrugsareal - resultat'!$L$5:$N$5,0)))),IF(H$2=2030,SUMPRODUCT(($B91='Landbrugsareal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resultat'!$R$5:$T$5,0))))))),IF($C91="Konventionel",IF(H$2=2019,SUMPRODUCT(($B91='Landbrugsareal - resultat'!$B$33:$B$46)*(INDEX('Landbrugsareal - resultat'!$C$33:$E$46,,MATCH($D91,'Landbrugsareal - resultat'!$C$5:$E$5,0)))),IF(H$2=2030,SUMPRODUCT(($B91='Landbrugsareal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resultat'!$I$5:$K$5,0)))))),IF(H$2=2019,SUMPRODUCT(($B91='Landbrugsareal - resultat'!$B$33:$B$46)*(INDEX('Landbrugsareal - resultat'!$L$33:$N$46,,MATCH($D91,'Landbrugsareal - resultat'!$L$5:$N$5,0)))),IF(H$2=2030,SUMPRODUCT(($B91='Landbrugsareal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3696.3208792610235</v>
      </c>
      <c r="I91" s="96" cm="1">
        <f t="array" ref="I91">IF($A91="Vestdanmark",IF($C91="Konventionel",IF(I$2=2019,SUMPRODUCT(($B91='Landbrugsareal - resultat'!$B$6:$B$19)*(INDEX('Landbrugsareal - resultat'!$C$6:$E$19,,MATCH($D91,'Landbrugsareal - resultat'!$C$5:$E$5,0)))),IF(I$2=2030,SUMPRODUCT(($B91='Landbrugsareal - resultat'!$B$6:$B$19)*(INDEX('Landbrugsareal - resultat'!$F$6:$H$19,,MATCH($D91,'Landbrugsareal - resultat'!$F$5:$H$5,0)))),SUMPRODUCT(($B91='Landbrugsareal - resultat'!$B$6:$B$19)*(INDEX('Landbrugsareal - resultat'!$I$6:$K$19,,MATCH($D91,'Landbrugsareal - resultat'!$I$5:$K$5,0)))))),IF(I$2=2019,SUMPRODUCT(($B91='Landbrugsareal - resultat'!$B$6:$B$19)*(INDEX('Landbrugsareal - resultat'!$L$6:$N$19,,MATCH($D91,'Landbrugsareal - resultat'!$L$5:$N$5,0)))),IF(I$2=2030,SUMPRODUCT(($B91='Landbrugsareal - resultat'!$B$6:$B$19)*(INDEX('Landbrugsareal - resultat'!$O$6:$Q$19,,MATCH($D91,'Landbrugsareal - resultat'!$O$5:$Q$5,0)))),SUMPRODUCT(($B91='Landbrugsareal - resultat'!$B$6:$B$19)*(INDEX('Landbrugsareal - resultat'!$R$6:$T$19,,MATCH($D91,'Landbrugsareal - resultat'!$R$5:$T$5,0))))))),IF($C91="Konventionel",IF(I$2=2019,SUMPRODUCT((C91='Landbrugsareal - resultat'!$B$33:$B$46)*(INDEX('Landbrugsareal - resultat'!$C$33:$E$46,,MATCH($D91,'Landbrugsareal - resultat'!$C$5:$E$5,0)))),IF(I$2=2030,SUMPRODUCT(($B91='Landbrugsareal - resultat'!$B$33:$B$46)*(INDEX('Landbrugsareal - resultat'!$F$33:$H$46,,MATCH($D91,'Landbrugsareal - resultat'!$F$5:$H$5,0)))),SUMPRODUCT(($B91='Landbrugsareal - resultat'!$B$33:$B$46)*(INDEX('Landbrugsareal - resultat'!$I$33:$K$46,,MATCH($D91,'Landbrugsareal - resultat'!$I$5:$K$5,0)))))),IF(I$2=2019,SUMPRODUCT(($B91='Landbrugsareal - resultat'!$B$33:$B$46)*(INDEX('Landbrugsareal - resultat'!$L$33:$N$46,,MATCH($D91,'Landbrugsareal - resultat'!$L$5:$N$5,0)))),IF(I$2=2030,SUMPRODUCT(($B91='Landbrugsareal - resultat'!$B$33:$B$46)*(INDEX('Landbrugsareal - resultat'!$O$33:$Q$46,,MATCH($D91,'Landbrugsareal - resultat'!$O$5:$Q$5,0)))),SUMPRODUCT(($B91='Landbrugsareal - resultat'!$B$33:$B$46)*(INDEX('Landbrugsareal - resultat'!$R$33:$T$46,,MATCH($D91,'Landbrugsareal - resultat'!$R$5:$T$5,0))))))))</f>
        <v>3492.8814481155277</v>
      </c>
    </row>
    <row r="92" spans="1:9" x14ac:dyDescent="0.25">
      <c r="A92" t="s">
        <v>24</v>
      </c>
      <c r="B92" s="1" t="str">
        <f>[1]Afgrødefordeling!$C$7</f>
        <v>Kartofler</v>
      </c>
      <c r="C92" t="s">
        <v>7</v>
      </c>
      <c r="D92" t="str">
        <f t="shared" si="8"/>
        <v>JB1-10</v>
      </c>
      <c r="F92" t="str">
        <f t="shared" si="6"/>
        <v>Areal-kartofler</v>
      </c>
      <c r="G92" s="96" cm="1">
        <f t="array" ref="G92">IF($A92="Vestdanmark",IF($C92="Konventionel",IF(G$2=2019,SUMPRODUCT(($B92='Landbrugsareal - resultat'!$B$6:$B$19)*(INDEX('Landbrugsareal - resultat'!$C$6:$E$19,,MATCH($D92,'Landbrugsareal - resultat'!$C$5:$E$5,0)))),IF(G$2=2030,SUMPRODUCT(($B92='Landbrugsareal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resultat'!$I$5:$K$5,0)))))),IF(G$2=2019,SUMPRODUCT(($B92='Landbrugsareal - resultat'!$B$6:$B$19)*(INDEX('Landbrugsareal - resultat'!$L$6:$N$19,,MATCH($D92,'Landbrugsareal - resultat'!$L$5:$N$5,0)))),IF(G$2=2030,SUMPRODUCT(($B92='Landbrugsareal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resultat'!$R$5:$T$5,0))))))),IF($C92="Konventionel",IF(G$2=2019,SUMPRODUCT((B92='Landbrugsareal - resultat'!$B$33:$B$46)*(INDEX('Landbrugsareal - resultat'!$C$33:$E$46,,MATCH($D92,'Landbrugsareal - resultat'!$C$5:$E$5,0)))),IF(G$2=2030,SUMPRODUCT(($B92='Landbrugsareal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resultat'!$I$5:$K$5,0)))))),IF(G$2=2019,SUMPRODUCT(($B92='Landbrugsareal - resultat'!$B$33:$B$46)*(INDEX('Landbrugsareal - resultat'!$L$33:$N$46,,MATCH($D92,'Landbrugsareal - resultat'!$L$5:$N$5,0)))),IF(G$2=2030,SUMPRODUCT(($B92='Landbrugsareal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2442.8304745575424</v>
      </c>
      <c r="H92" s="96" cm="1">
        <f t="array" ref="H92">IF($A92="Vestdanmark",IF($C92="Konventionel",IF(H$2=2019,SUMPRODUCT(($B92='Landbrugsareal - resultat'!$B$6:$B$19)*(INDEX('Landbrugsareal - resultat'!$C$6:$E$19,,MATCH($D92,'Landbrugsareal - resultat'!$C$5:$E$5,0)))),IF(H$2=2030,SUMPRODUCT(($B92='Landbrugsareal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resultat'!$I$5:$K$5,0)))))),IF(H$2=2019,SUMPRODUCT(($B92='Landbrugsareal - resultat'!$B$6:$B$19)*(INDEX('Landbrugsareal - resultat'!$L$6:$N$19,,MATCH($D92,'Landbrugsareal - resultat'!$L$5:$N$5,0)))),IF(H$2=2030,SUMPRODUCT(($B92='Landbrugsareal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resultat'!$R$5:$T$5,0))))))),IF($C92="Konventionel",IF(H$2=2019,SUMPRODUCT(($B92='Landbrugsareal - resultat'!$B$33:$B$46)*(INDEX('Landbrugsareal - resultat'!$C$33:$E$46,,MATCH($D92,'Landbrugsareal - resultat'!$C$5:$E$5,0)))),IF(H$2=2030,SUMPRODUCT(($B92='Landbrugsareal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resultat'!$I$5:$K$5,0)))))),IF(H$2=2019,SUMPRODUCT(($B92='Landbrugsareal - resultat'!$B$33:$B$46)*(INDEX('Landbrugsareal - resultat'!$L$33:$N$46,,MATCH($D92,'Landbrugsareal - resultat'!$L$5:$N$5,0)))),IF(H$2=2030,SUMPRODUCT(($B92='Landbrugsareal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2371.1989189359497</v>
      </c>
      <c r="I92" s="96" cm="1">
        <f t="array" ref="I92">IF($A92="Vestdanmark",IF($C92="Konventionel",IF(I$2=2019,SUMPRODUCT(($B92='Landbrugsareal - resultat'!$B$6:$B$19)*(INDEX('Landbrugsareal - resultat'!$C$6:$E$19,,MATCH($D92,'Landbrugsareal - resultat'!$C$5:$E$5,0)))),IF(I$2=2030,SUMPRODUCT(($B92='Landbrugsareal - resultat'!$B$6:$B$19)*(INDEX('Landbrugsareal - resultat'!$F$6:$H$19,,MATCH($D92,'Landbrugsareal - resultat'!$F$5:$H$5,0)))),SUMPRODUCT(($B92='Landbrugsareal - resultat'!$B$6:$B$19)*(INDEX('Landbrugsareal - resultat'!$I$6:$K$19,,MATCH($D92,'Landbrugsareal - resultat'!$I$5:$K$5,0)))))),IF(I$2=2019,SUMPRODUCT(($B92='Landbrugsareal - resultat'!$B$6:$B$19)*(INDEX('Landbrugsareal - resultat'!$L$6:$N$19,,MATCH($D92,'Landbrugsareal - resultat'!$L$5:$N$5,0)))),IF(I$2=2030,SUMPRODUCT(($B92='Landbrugsareal - resultat'!$B$6:$B$19)*(INDEX('Landbrugsareal - resultat'!$O$6:$Q$19,,MATCH($D92,'Landbrugsareal - resultat'!$O$5:$Q$5,0)))),SUMPRODUCT(($B92='Landbrugsareal - resultat'!$B$6:$B$19)*(INDEX('Landbrugsareal - resultat'!$R$6:$T$19,,MATCH($D92,'Landbrugsareal - resultat'!$R$5:$T$5,0))))))),IF($C92="Konventionel",IF(I$2=2019,SUMPRODUCT((C92='Landbrugsareal - resultat'!$B$33:$B$46)*(INDEX('Landbrugsareal - resultat'!$C$33:$E$46,,MATCH($D92,'Landbrugsareal - resultat'!$C$5:$E$5,0)))),IF(I$2=2030,SUMPRODUCT(($B92='Landbrugsareal - resultat'!$B$33:$B$46)*(INDEX('Landbrugsareal - resultat'!$F$33:$H$46,,MATCH($D92,'Landbrugsareal - resultat'!$F$5:$H$5,0)))),SUMPRODUCT(($B92='Landbrugsareal - resultat'!$B$33:$B$46)*(INDEX('Landbrugsareal - resultat'!$I$33:$K$46,,MATCH($D92,'Landbrugsareal - resultat'!$I$5:$K$5,0)))))),IF(I$2=2019,SUMPRODUCT(($B92='Landbrugsareal - resultat'!$B$33:$B$46)*(INDEX('Landbrugsareal - resultat'!$L$33:$N$46,,MATCH($D92,'Landbrugsareal - resultat'!$L$5:$N$5,0)))),IF(I$2=2030,SUMPRODUCT(($B92='Landbrugsareal - resultat'!$B$33:$B$46)*(INDEX('Landbrugsareal - resultat'!$O$33:$Q$46,,MATCH($D92,'Landbrugsareal - resultat'!$O$5:$Q$5,0)))),SUMPRODUCT(($B92='Landbrugsareal - resultat'!$B$33:$B$46)*(INDEX('Landbrugsareal - resultat'!$R$33:$T$46,,MATCH($D92,'Landbrugsareal - resultat'!$R$5:$T$5,0))))))))</f>
        <v>2240.6920243890713</v>
      </c>
    </row>
    <row r="93" spans="1:9" x14ac:dyDescent="0.25">
      <c r="A93" t="s">
        <v>24</v>
      </c>
      <c r="B93" s="1" t="str">
        <f>[1]Afgrødefordeling!$C$8</f>
        <v>Roer</v>
      </c>
      <c r="C93" t="s">
        <v>7</v>
      </c>
      <c r="D93" t="str">
        <f t="shared" si="8"/>
        <v>JB1-10</v>
      </c>
      <c r="F93" t="str">
        <f t="shared" si="6"/>
        <v>Areal-roer</v>
      </c>
      <c r="G93" s="96" cm="1">
        <f t="array" ref="G93">IF($A93="Vestdanmark",IF($C93="Konventionel",IF(G$2=2019,SUMPRODUCT(($B93='Landbrugsareal - resultat'!$B$6:$B$19)*(INDEX('Landbrugsareal - resultat'!$C$6:$E$19,,MATCH($D93,'Landbrugsareal - resultat'!$C$5:$E$5,0)))),IF(G$2=2030,SUMPRODUCT(($B93='Landbrugsareal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resultat'!$I$5:$K$5,0)))))),IF(G$2=2019,SUMPRODUCT(($B93='Landbrugsareal - resultat'!$B$6:$B$19)*(INDEX('Landbrugsareal - resultat'!$L$6:$N$19,,MATCH($D93,'Landbrugsareal - resultat'!$L$5:$N$5,0)))),IF(G$2=2030,SUMPRODUCT(($B93='Landbrugsareal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resultat'!$R$5:$T$5,0))))))),IF($C93="Konventionel",IF(G$2=2019,SUMPRODUCT((B93='Landbrugsareal - resultat'!$B$33:$B$46)*(INDEX('Landbrugsareal - resultat'!$C$33:$E$46,,MATCH($D93,'Landbrugsareal - resultat'!$C$5:$E$5,0)))),IF(G$2=2030,SUMPRODUCT(($B93='Landbrugsareal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resultat'!$I$5:$K$5,0)))))),IF(G$2=2019,SUMPRODUCT(($B93='Landbrugsareal - resultat'!$B$33:$B$46)*(INDEX('Landbrugsareal - resultat'!$L$33:$N$46,,MATCH($D93,'Landbrugsareal - resultat'!$L$5:$N$5,0)))),IF(G$2=2030,SUMPRODUCT(($B93='Landbrugsareal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25394.708101233733</v>
      </c>
      <c r="H93" s="96" cm="1">
        <f t="array" ref="H93">IF($A93="Vestdanmark",IF($C93="Konventionel",IF(H$2=2019,SUMPRODUCT(($B93='Landbrugsareal - resultat'!$B$6:$B$19)*(INDEX('Landbrugsareal - resultat'!$C$6:$E$19,,MATCH($D93,'Landbrugsareal - resultat'!$C$5:$E$5,0)))),IF(H$2=2030,SUMPRODUCT(($B93='Landbrugsareal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resultat'!$I$5:$K$5,0)))))),IF(H$2=2019,SUMPRODUCT(($B93='Landbrugsareal - resultat'!$B$6:$B$19)*(INDEX('Landbrugsareal - resultat'!$L$6:$N$19,,MATCH($D93,'Landbrugsareal - resultat'!$L$5:$N$5,0)))),IF(H$2=2030,SUMPRODUCT(($B93='Landbrugsareal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resultat'!$R$5:$T$5,0))))))),IF($C93="Konventionel",IF(H$2=2019,SUMPRODUCT(($B93='Landbrugsareal - resultat'!$B$33:$B$46)*(INDEX('Landbrugsareal - resultat'!$C$33:$E$46,,MATCH($D93,'Landbrugsareal - resultat'!$C$5:$E$5,0)))),IF(H$2=2030,SUMPRODUCT(($B93='Landbrugsareal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resultat'!$I$5:$K$5,0)))))),IF(H$2=2019,SUMPRODUCT(($B93='Landbrugsareal - resultat'!$B$33:$B$46)*(INDEX('Landbrugsareal - resultat'!$L$33:$N$46,,MATCH($D93,'Landbrugsareal - resultat'!$L$5:$N$5,0)))),IF(H$2=2030,SUMPRODUCT(($B93='Landbrugsareal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24650.054526295378</v>
      </c>
      <c r="I93" s="96" cm="1">
        <f t="array" ref="I93">IF($A93="Vestdanmark",IF($C93="Konventionel",IF(I$2=2019,SUMPRODUCT(($B93='Landbrugsareal - resultat'!$B$6:$B$19)*(INDEX('Landbrugsareal - resultat'!$C$6:$E$19,,MATCH($D93,'Landbrugsareal - resultat'!$C$5:$E$5,0)))),IF(I$2=2030,SUMPRODUCT(($B93='Landbrugsareal - resultat'!$B$6:$B$19)*(INDEX('Landbrugsareal - resultat'!$F$6:$H$19,,MATCH($D93,'Landbrugsareal - resultat'!$F$5:$H$5,0)))),SUMPRODUCT(($B93='Landbrugsareal - resultat'!$B$6:$B$19)*(INDEX('Landbrugsareal - resultat'!$I$6:$K$19,,MATCH($D93,'Landbrugsareal - resultat'!$I$5:$K$5,0)))))),IF(I$2=2019,SUMPRODUCT(($B93='Landbrugsareal - resultat'!$B$6:$B$19)*(INDEX('Landbrugsareal - resultat'!$L$6:$N$19,,MATCH($D93,'Landbrugsareal - resultat'!$L$5:$N$5,0)))),IF(I$2=2030,SUMPRODUCT(($B93='Landbrugsareal - resultat'!$B$6:$B$19)*(INDEX('Landbrugsareal - resultat'!$O$6:$Q$19,,MATCH($D93,'Landbrugsareal - resultat'!$O$5:$Q$5,0)))),SUMPRODUCT(($B93='Landbrugsareal - resultat'!$B$6:$B$19)*(INDEX('Landbrugsareal - resultat'!$R$6:$T$19,,MATCH($D93,'Landbrugsareal - resultat'!$R$5:$T$5,0))))))),IF($C93="Konventionel",IF(I$2=2019,SUMPRODUCT((C93='Landbrugsareal - resultat'!$B$33:$B$46)*(INDEX('Landbrugsareal - resultat'!$C$33:$E$46,,MATCH($D93,'Landbrugsareal - resultat'!$C$5:$E$5,0)))),IF(I$2=2030,SUMPRODUCT(($B93='Landbrugsareal - resultat'!$B$33:$B$46)*(INDEX('Landbrugsareal - resultat'!$F$33:$H$46,,MATCH($D93,'Landbrugsareal - resultat'!$F$5:$H$5,0)))),SUMPRODUCT(($B93='Landbrugsareal - resultat'!$B$33:$B$46)*(INDEX('Landbrugsareal - resultat'!$I$33:$K$46,,MATCH($D93,'Landbrugsareal - resultat'!$I$5:$K$5,0)))))),IF(I$2=2019,SUMPRODUCT(($B93='Landbrugsareal - resultat'!$B$33:$B$46)*(INDEX('Landbrugsareal - resultat'!$L$33:$N$46,,MATCH($D93,'Landbrugsareal - resultat'!$L$5:$N$5,0)))),IF(I$2=2030,SUMPRODUCT(($B93='Landbrugsareal - resultat'!$B$33:$B$46)*(INDEX('Landbrugsareal - resultat'!$O$33:$Q$46,,MATCH($D93,'Landbrugsareal - resultat'!$O$5:$Q$5,0)))),SUMPRODUCT(($B93='Landbrugsareal - resultat'!$B$33:$B$46)*(INDEX('Landbrugsareal - resultat'!$R$33:$T$46,,MATCH($D93,'Landbrugsareal - resultat'!$R$5:$T$5,0))))))))</f>
        <v>23293.356005160073</v>
      </c>
    </row>
    <row r="94" spans="1:9" x14ac:dyDescent="0.25">
      <c r="A94" t="s">
        <v>24</v>
      </c>
      <c r="B94" s="1" t="str">
        <f>[1]Afgrødefordeling!$C$9</f>
        <v>Majs</v>
      </c>
      <c r="C94" t="s">
        <v>7</v>
      </c>
      <c r="D94" t="str">
        <f t="shared" si="8"/>
        <v>JB1-10</v>
      </c>
      <c r="F94" t="str">
        <f t="shared" si="6"/>
        <v>Areal-majs</v>
      </c>
      <c r="G94" s="96" cm="1">
        <f t="array" ref="G94">IF($A94="Vestdanmark",IF($C94="Konventionel",IF(G$2=2019,SUMPRODUCT(($B94='Landbrugsareal - resultat'!$B$6:$B$19)*(INDEX('Landbrugsareal - resultat'!$C$6:$E$19,,MATCH($D94,'Landbrugsareal - resultat'!$C$5:$E$5,0)))),IF(G$2=2030,SUMPRODUCT(($B94='Landbrugsareal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resultat'!$I$5:$K$5,0)))))),IF(G$2=2019,SUMPRODUCT(($B94='Landbrugsareal - resultat'!$B$6:$B$19)*(INDEX('Landbrugsareal - resultat'!$L$6:$N$19,,MATCH($D94,'Landbrugsareal - resultat'!$L$5:$N$5,0)))),IF(G$2=2030,SUMPRODUCT(($B94='Landbrugsareal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resultat'!$R$5:$T$5,0))))))),IF($C94="Konventionel",IF(G$2=2019,SUMPRODUCT((B94='Landbrugsareal - resultat'!$B$33:$B$46)*(INDEX('Landbrugsareal - resultat'!$C$33:$E$46,,MATCH($D94,'Landbrugsareal - resultat'!$C$5:$E$5,0)))),IF(G$2=2030,SUMPRODUCT(($B94='Landbrugsareal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resultat'!$I$5:$K$5,0)))))),IF(G$2=2019,SUMPRODUCT(($B94='Landbrugsareal - resultat'!$B$33:$B$46)*(INDEX('Landbrugsareal - resultat'!$L$33:$N$46,,MATCH($D94,'Landbrugsareal - resultat'!$L$5:$N$5,0)))),IF(G$2=2030,SUMPRODUCT(($B94='Landbrugsareal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7182.5684723440072</v>
      </c>
      <c r="H94" s="96" cm="1">
        <f t="array" ref="H94">IF($A94="Vestdanmark",IF($C94="Konventionel",IF(H$2=2019,SUMPRODUCT(($B94='Landbrugsareal - resultat'!$B$6:$B$19)*(INDEX('Landbrugsareal - resultat'!$C$6:$E$19,,MATCH($D94,'Landbrugsareal - resultat'!$C$5:$E$5,0)))),IF(H$2=2030,SUMPRODUCT(($B94='Landbrugsareal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resultat'!$I$5:$K$5,0)))))),IF(H$2=2019,SUMPRODUCT(($B94='Landbrugsareal - resultat'!$B$6:$B$19)*(INDEX('Landbrugsareal - resultat'!$L$6:$N$19,,MATCH($D94,'Landbrugsareal - resultat'!$L$5:$N$5,0)))),IF(H$2=2030,SUMPRODUCT(($B94='Landbrugsareal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resultat'!$R$5:$T$5,0))))))),IF($C94="Konventionel",IF(H$2=2019,SUMPRODUCT(($B94='Landbrugsareal - resultat'!$B$33:$B$46)*(INDEX('Landbrugsareal - resultat'!$C$33:$E$46,,MATCH($D94,'Landbrugsareal - resultat'!$C$5:$E$5,0)))),IF(H$2=2030,SUMPRODUCT(($B94='Landbrugsareal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resultat'!$I$5:$K$5,0)))))),IF(H$2=2019,SUMPRODUCT(($B94='Landbrugsareal - resultat'!$B$33:$B$46)*(INDEX('Landbrugsareal - resultat'!$L$33:$N$46,,MATCH($D94,'Landbrugsareal - resultat'!$L$5:$N$5,0)))),IF(H$2=2030,SUMPRODUCT(($B94='Landbrugsareal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6971.9527303221239</v>
      </c>
      <c r="I94" s="96" cm="1">
        <f t="array" ref="I94">IF($A94="Vestdanmark",IF($C94="Konventionel",IF(I$2=2019,SUMPRODUCT(($B94='Landbrugsareal - resultat'!$B$6:$B$19)*(INDEX('Landbrugsareal - resultat'!$C$6:$E$19,,MATCH($D94,'Landbrugsareal - resultat'!$C$5:$E$5,0)))),IF(I$2=2030,SUMPRODUCT(($B94='Landbrugsareal - resultat'!$B$6:$B$19)*(INDEX('Landbrugsareal - resultat'!$F$6:$H$19,,MATCH($D94,'Landbrugsareal - resultat'!$F$5:$H$5,0)))),SUMPRODUCT(($B94='Landbrugsareal - resultat'!$B$6:$B$19)*(INDEX('Landbrugsareal - resultat'!$I$6:$K$19,,MATCH($D94,'Landbrugsareal - resultat'!$I$5:$K$5,0)))))),IF(I$2=2019,SUMPRODUCT(($B94='Landbrugsareal - resultat'!$B$6:$B$19)*(INDEX('Landbrugsareal - resultat'!$L$6:$N$19,,MATCH($D94,'Landbrugsareal - resultat'!$L$5:$N$5,0)))),IF(I$2=2030,SUMPRODUCT(($B94='Landbrugsareal - resultat'!$B$6:$B$19)*(INDEX('Landbrugsareal - resultat'!$O$6:$Q$19,,MATCH($D94,'Landbrugsareal - resultat'!$O$5:$Q$5,0)))),SUMPRODUCT(($B94='Landbrugsareal - resultat'!$B$6:$B$19)*(INDEX('Landbrugsareal - resultat'!$R$6:$T$19,,MATCH($D94,'Landbrugsareal - resultat'!$R$5:$T$5,0))))))),IF($C94="Konventionel",IF(I$2=2019,SUMPRODUCT((C94='Landbrugsareal - resultat'!$B$33:$B$46)*(INDEX('Landbrugsareal - resultat'!$C$33:$E$46,,MATCH($D94,'Landbrugsareal - resultat'!$C$5:$E$5,0)))),IF(I$2=2030,SUMPRODUCT(($B94='Landbrugsareal - resultat'!$B$33:$B$46)*(INDEX('Landbrugsareal - resultat'!$F$33:$H$46,,MATCH($D94,'Landbrugsareal - resultat'!$F$5:$H$5,0)))),SUMPRODUCT(($B94='Landbrugsareal - resultat'!$B$33:$B$46)*(INDEX('Landbrugsareal - resultat'!$I$33:$K$46,,MATCH($D94,'Landbrugsareal - resultat'!$I$5:$K$5,0)))))),IF(I$2=2019,SUMPRODUCT(($B94='Landbrugsareal - resultat'!$B$33:$B$46)*(INDEX('Landbrugsareal - resultat'!$L$33:$N$46,,MATCH($D94,'Landbrugsareal - resultat'!$L$5:$N$5,0)))),IF(I$2=2030,SUMPRODUCT(($B94='Landbrugsareal - resultat'!$B$33:$B$46)*(INDEX('Landbrugsareal - resultat'!$O$33:$Q$46,,MATCH($D94,'Landbrugsareal - resultat'!$O$5:$Q$5,0)))),SUMPRODUCT(($B94='Landbrugsareal - resultat'!$B$33:$B$46)*(INDEX('Landbrugsareal - resultat'!$R$33:$T$46,,MATCH($D94,'Landbrugsareal - resultat'!$R$5:$T$5,0))))))))</f>
        <v>6588.2279012933241</v>
      </c>
    </row>
    <row r="95" spans="1:9" x14ac:dyDescent="0.25">
      <c r="A95" t="s">
        <v>24</v>
      </c>
      <c r="B95" s="1" t="str">
        <f>[1]Afgrødefordeling!$C$10</f>
        <v>Frugt</v>
      </c>
      <c r="C95" t="s">
        <v>7</v>
      </c>
      <c r="D95" t="str">
        <f t="shared" si="8"/>
        <v>JB1-10</v>
      </c>
      <c r="F95" t="str">
        <f t="shared" si="6"/>
        <v>Areal-frugt</v>
      </c>
      <c r="G95" s="96" cm="1">
        <f t="array" ref="G95">IF($A95="Vestdanmark",IF($C95="Konventionel",IF(G$2=2019,SUMPRODUCT(($B95='Landbrugsareal - resultat'!$B$6:$B$19)*(INDEX('Landbrugsareal - resultat'!$C$6:$E$19,,MATCH($D95,'Landbrugsareal - resultat'!$C$5:$E$5,0)))),IF(G$2=2030,SUMPRODUCT(($B95='Landbrugsareal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resultat'!$I$5:$K$5,0)))))),IF(G$2=2019,SUMPRODUCT(($B95='Landbrugsareal - resultat'!$B$6:$B$19)*(INDEX('Landbrugsareal - resultat'!$L$6:$N$19,,MATCH($D95,'Landbrugsareal - resultat'!$L$5:$N$5,0)))),IF(G$2=2030,SUMPRODUCT(($B95='Landbrugsareal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resultat'!$R$5:$T$5,0))))))),IF($C95="Konventionel",IF(G$2=2019,SUMPRODUCT((B95='Landbrugsareal - resultat'!$B$33:$B$46)*(INDEX('Landbrugsareal - resultat'!$C$33:$E$46,,MATCH($D95,'Landbrugsareal - resultat'!$C$5:$E$5,0)))),IF(G$2=2030,SUMPRODUCT(($B95='Landbrugsareal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resultat'!$I$5:$K$5,0)))))),IF(G$2=2019,SUMPRODUCT(($B95='Landbrugsareal - resultat'!$B$33:$B$46)*(INDEX('Landbrugsareal - resultat'!$L$33:$N$46,,MATCH($D95,'Landbrugsareal - resultat'!$L$5:$N$5,0)))),IF(G$2=2030,SUMPRODUCT(($B95='Landbrugsareal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1671.2488811855812</v>
      </c>
      <c r="H95" s="96" cm="1">
        <f t="array" ref="H95">IF($A95="Vestdanmark",IF($C95="Konventionel",IF(H$2=2019,SUMPRODUCT(($B95='Landbrugsareal - resultat'!$B$6:$B$19)*(INDEX('Landbrugsareal - resultat'!$C$6:$E$19,,MATCH($D95,'Landbrugsareal - resultat'!$C$5:$E$5,0)))),IF(H$2=2030,SUMPRODUCT(($B95='Landbrugsareal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resultat'!$I$5:$K$5,0)))))),IF(H$2=2019,SUMPRODUCT(($B95='Landbrugsareal - resultat'!$B$6:$B$19)*(INDEX('Landbrugsareal - resultat'!$L$6:$N$19,,MATCH($D95,'Landbrugsareal - resultat'!$L$5:$N$5,0)))),IF(H$2=2030,SUMPRODUCT(($B95='Landbrugsareal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resultat'!$R$5:$T$5,0))))))),IF($C95="Konventionel",IF(H$2=2019,SUMPRODUCT(($B95='Landbrugsareal - resultat'!$B$33:$B$46)*(INDEX('Landbrugsareal - resultat'!$C$33:$E$46,,MATCH($D95,'Landbrugsareal - resultat'!$C$5:$E$5,0)))),IF(H$2=2030,SUMPRODUCT(($B95='Landbrugsareal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resultat'!$I$5:$K$5,0)))))),IF(H$2=2019,SUMPRODUCT(($B95='Landbrugsareal - resultat'!$B$33:$B$46)*(INDEX('Landbrugsareal - resultat'!$L$33:$N$46,,MATCH($D95,'Landbrugsareal - resultat'!$L$5:$N$5,0)))),IF(H$2=2030,SUMPRODUCT(($B95='Landbrugsareal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1622.2425508499273</v>
      </c>
      <c r="I95" s="96" cm="1">
        <f t="array" ref="I95">IF($A95="Vestdanmark",IF($C95="Konventionel",IF(I$2=2019,SUMPRODUCT(($B95='Landbrugsareal - resultat'!$B$6:$B$19)*(INDEX('Landbrugsareal - resultat'!$C$6:$E$19,,MATCH($D95,'Landbrugsareal - resultat'!$C$5:$E$5,0)))),IF(I$2=2030,SUMPRODUCT(($B95='Landbrugsareal - resultat'!$B$6:$B$19)*(INDEX('Landbrugsareal - resultat'!$F$6:$H$19,,MATCH($D95,'Landbrugsareal - resultat'!$F$5:$H$5,0)))),SUMPRODUCT(($B95='Landbrugsareal - resultat'!$B$6:$B$19)*(INDEX('Landbrugsareal - resultat'!$I$6:$K$19,,MATCH($D95,'Landbrugsareal - resultat'!$I$5:$K$5,0)))))),IF(I$2=2019,SUMPRODUCT(($B95='Landbrugsareal - resultat'!$B$6:$B$19)*(INDEX('Landbrugsareal - resultat'!$L$6:$N$19,,MATCH($D95,'Landbrugsareal - resultat'!$L$5:$N$5,0)))),IF(I$2=2030,SUMPRODUCT(($B95='Landbrugsareal - resultat'!$B$6:$B$19)*(INDEX('Landbrugsareal - resultat'!$O$6:$Q$19,,MATCH($D95,'Landbrugsareal - resultat'!$O$5:$Q$5,0)))),SUMPRODUCT(($B95='Landbrugsareal - resultat'!$B$6:$B$19)*(INDEX('Landbrugsareal - resultat'!$R$6:$T$19,,MATCH($D95,'Landbrugsareal - resultat'!$R$5:$T$5,0))))))),IF($C95="Konventionel",IF(I$2=2019,SUMPRODUCT((C95='Landbrugsareal - resultat'!$B$33:$B$46)*(INDEX('Landbrugsareal - resultat'!$C$33:$E$46,,MATCH($D95,'Landbrugsareal - resultat'!$C$5:$E$5,0)))),IF(I$2=2030,SUMPRODUCT(($B95='Landbrugsareal - resultat'!$B$33:$B$46)*(INDEX('Landbrugsareal - resultat'!$F$33:$H$46,,MATCH($D95,'Landbrugsareal - resultat'!$F$5:$H$5,0)))),SUMPRODUCT(($B95='Landbrugsareal - resultat'!$B$33:$B$46)*(INDEX('Landbrugsareal - resultat'!$I$33:$K$46,,MATCH($D95,'Landbrugsareal - resultat'!$I$5:$K$5,0)))))),IF(I$2=2019,SUMPRODUCT(($B95='Landbrugsareal - resultat'!$B$33:$B$46)*(INDEX('Landbrugsareal - resultat'!$L$33:$N$46,,MATCH($D95,'Landbrugsareal - resultat'!$L$5:$N$5,0)))),IF(I$2=2030,SUMPRODUCT(($B95='Landbrugsareal - resultat'!$B$33:$B$46)*(INDEX('Landbrugsareal - resultat'!$O$33:$Q$46,,MATCH($D95,'Landbrugsareal - resultat'!$O$5:$Q$5,0)))),SUMPRODUCT(($B95='Landbrugsareal - resultat'!$B$33:$B$46)*(INDEX('Landbrugsareal - resultat'!$R$33:$T$46,,MATCH($D95,'Landbrugsareal - resultat'!$R$5:$T$5,0))))))))</f>
        <v>1532.9569848763078</v>
      </c>
    </row>
    <row r="96" spans="1:9" x14ac:dyDescent="0.25">
      <c r="A96" t="s">
        <v>24</v>
      </c>
      <c r="B96" s="1" t="str">
        <f>[1]Afgrødefordeling!$C$11</f>
        <v>Øvrige</v>
      </c>
      <c r="C96" t="s">
        <v>7</v>
      </c>
      <c r="D96" t="str">
        <f t="shared" si="8"/>
        <v>JB1-10</v>
      </c>
      <c r="F96" t="str">
        <f t="shared" si="6"/>
        <v>Areal-øvrige</v>
      </c>
      <c r="G96" s="96" cm="1">
        <f t="array" ref="G96">IF($A96="Vestdanmark",IF($C96="Konventionel",IF(G$2=2019,SUMPRODUCT(($B96='Landbrugsareal - resultat'!$B$6:$B$19)*(INDEX('Landbrugsareal - resultat'!$C$6:$E$19,,MATCH($D96,'Landbrugsareal - resultat'!$C$5:$E$5,0)))),IF(G$2=2030,SUMPRODUCT(($B96='Landbrugsareal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resultat'!$I$5:$K$5,0)))))),IF(G$2=2019,SUMPRODUCT(($B96='Landbrugsareal - resultat'!$B$6:$B$19)*(INDEX('Landbrugsareal - resultat'!$L$6:$N$19,,MATCH($D96,'Landbrugsareal - resultat'!$L$5:$N$5,0)))),IF(G$2=2030,SUMPRODUCT(($B96='Landbrugsareal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resultat'!$R$5:$T$5,0))))))),IF($C96="Konventionel",IF(G$2=2019,SUMPRODUCT((B96='Landbrugsareal - resultat'!$B$33:$B$46)*(INDEX('Landbrugsareal - resultat'!$C$33:$E$46,,MATCH($D96,'Landbrugsareal - resultat'!$C$5:$E$5,0)))),IF(G$2=2030,SUMPRODUCT(($B96='Landbrugsareal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resultat'!$I$5:$K$5,0)))))),IF(G$2=2019,SUMPRODUCT(($B96='Landbrugsareal - resultat'!$B$33:$B$46)*(INDEX('Landbrugsareal - resultat'!$L$33:$N$46,,MATCH($D96,'Landbrugsareal - resultat'!$L$5:$N$5,0)))),IF(G$2=2030,SUMPRODUCT(($B96='Landbrugsareal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11933.527586925724</v>
      </c>
      <c r="H96" s="96" cm="1">
        <f t="array" ref="H96">IF($A96="Vestdanmark",IF($C96="Konventionel",IF(H$2=2019,SUMPRODUCT(($B96='Landbrugsareal - resultat'!$B$6:$B$19)*(INDEX('Landbrugsareal - resultat'!$C$6:$E$19,,MATCH($D96,'Landbrugsareal - resultat'!$C$5:$E$5,0)))),IF(H$2=2030,SUMPRODUCT(($B96='Landbrugsareal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resultat'!$I$5:$K$5,0)))))),IF(H$2=2019,SUMPRODUCT(($B96='Landbrugsareal - resultat'!$B$6:$B$19)*(INDEX('Landbrugsareal - resultat'!$L$6:$N$19,,MATCH($D96,'Landbrugsareal - resultat'!$L$5:$N$5,0)))),IF(H$2=2030,SUMPRODUCT(($B96='Landbrugsareal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resultat'!$R$5:$T$5,0))))))),IF($C96="Konventionel",IF(H$2=2019,SUMPRODUCT(($B96='Landbrugsareal - resultat'!$B$33:$B$46)*(INDEX('Landbrugsareal - resultat'!$C$33:$E$46,,MATCH($D96,'Landbrugsareal - resultat'!$C$5:$E$5,0)))),IF(H$2=2030,SUMPRODUCT(($B96='Landbrugsareal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resultat'!$I$5:$K$5,0)))))),IF(H$2=2019,SUMPRODUCT(($B96='Landbrugsareal - resultat'!$B$33:$B$46)*(INDEX('Landbrugsareal - resultat'!$L$33:$N$46,,MATCH($D96,'Landbrugsareal - resultat'!$L$5:$N$5,0)))),IF(H$2=2030,SUMPRODUCT(($B96='Landbrugsareal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11583.598619685576</v>
      </c>
      <c r="I96" s="96" cm="1">
        <f t="array" ref="I96">IF($A96="Vestdanmark",IF($C96="Konventionel",IF(I$2=2019,SUMPRODUCT(($B96='Landbrugsareal - resultat'!$B$6:$B$19)*(INDEX('Landbrugsareal - resultat'!$C$6:$E$19,,MATCH($D96,'Landbrugsareal - resultat'!$C$5:$E$5,0)))),IF(I$2=2030,SUMPRODUCT(($B96='Landbrugsareal - resultat'!$B$6:$B$19)*(INDEX('Landbrugsareal - resultat'!$F$6:$H$19,,MATCH($D96,'Landbrugsareal - resultat'!$F$5:$H$5,0)))),SUMPRODUCT(($B96='Landbrugsareal - resultat'!$B$6:$B$19)*(INDEX('Landbrugsareal - resultat'!$I$6:$K$19,,MATCH($D96,'Landbrugsareal - resultat'!$I$5:$K$5,0)))))),IF(I$2=2019,SUMPRODUCT(($B96='Landbrugsareal - resultat'!$B$6:$B$19)*(INDEX('Landbrugsareal - resultat'!$L$6:$N$19,,MATCH($D96,'Landbrugsareal - resultat'!$L$5:$N$5,0)))),IF(I$2=2030,SUMPRODUCT(($B96='Landbrugsareal - resultat'!$B$6:$B$19)*(INDEX('Landbrugsareal - resultat'!$O$6:$Q$19,,MATCH($D96,'Landbrugsareal - resultat'!$O$5:$Q$5,0)))),SUMPRODUCT(($B96='Landbrugsareal - resultat'!$B$6:$B$19)*(INDEX('Landbrugsareal - resultat'!$R$6:$T$19,,MATCH($D96,'Landbrugsareal - resultat'!$R$5:$T$5,0))))))),IF($C96="Konventionel",IF(I$2=2019,SUMPRODUCT((C96='Landbrugsareal - resultat'!$B$33:$B$46)*(INDEX('Landbrugsareal - resultat'!$C$33:$E$46,,MATCH($D96,'Landbrugsareal - resultat'!$C$5:$E$5,0)))),IF(I$2=2030,SUMPRODUCT(($B96='Landbrugsareal - resultat'!$B$33:$B$46)*(INDEX('Landbrugsareal - resultat'!$F$33:$H$46,,MATCH($D96,'Landbrugsareal - resultat'!$F$5:$H$5,0)))),SUMPRODUCT(($B96='Landbrugsareal - resultat'!$B$33:$B$46)*(INDEX('Landbrugsareal - resultat'!$I$33:$K$46,,MATCH($D96,'Landbrugsareal - resultat'!$I$5:$K$5,0)))))),IF(I$2=2019,SUMPRODUCT(($B96='Landbrugsareal - resultat'!$B$33:$B$46)*(INDEX('Landbrugsareal - resultat'!$L$33:$N$46,,MATCH($D96,'Landbrugsareal - resultat'!$L$5:$N$5,0)))),IF(I$2=2030,SUMPRODUCT(($B96='Landbrugsareal - resultat'!$B$33:$B$46)*(INDEX('Landbrugsareal - resultat'!$O$33:$Q$46,,MATCH($D96,'Landbrugsareal - resultat'!$O$5:$Q$5,0)))),SUMPRODUCT(($B96='Landbrugsareal - resultat'!$B$33:$B$46)*(INDEX('Landbrugsareal - resultat'!$R$33:$T$46,,MATCH($D96,'Landbrugsareal - resultat'!$R$5:$T$5,0))))))))</f>
        <v>10946.056374089812</v>
      </c>
    </row>
    <row r="97" spans="1:9" x14ac:dyDescent="0.25">
      <c r="A97" t="s">
        <v>24</v>
      </c>
      <c r="B97" s="1" t="str">
        <f>[1]Afgrødefordeling!$C$12</f>
        <v>Frø</v>
      </c>
      <c r="C97" t="s">
        <v>7</v>
      </c>
      <c r="D97" t="str">
        <f t="shared" si="8"/>
        <v>JB1-10</v>
      </c>
      <c r="F97" t="str">
        <f t="shared" si="6"/>
        <v>Areal-frøgræs</v>
      </c>
      <c r="G97" s="96" cm="1">
        <f t="array" ref="G97">IF($A97="Vestdanmark",IF($C97="Konventionel",IF(G$2=2019,SUMPRODUCT(($B97='Landbrugsareal - resultat'!$B$6:$B$19)*(INDEX('Landbrugsareal - resultat'!$C$6:$E$19,,MATCH($D97,'Landbrugsareal - resultat'!$C$5:$E$5,0)))),IF(G$2=2030,SUMPRODUCT(($B97='Landbrugsareal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resultat'!$I$5:$K$5,0)))))),IF(G$2=2019,SUMPRODUCT(($B97='Landbrugsareal - resultat'!$B$6:$B$19)*(INDEX('Landbrugsareal - resultat'!$L$6:$N$19,,MATCH($D97,'Landbrugsareal - resultat'!$L$5:$N$5,0)))),IF(G$2=2030,SUMPRODUCT(($B97='Landbrugsareal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resultat'!$R$5:$T$5,0))))))),IF($C97="Konventionel",IF(G$2=2019,SUMPRODUCT((B97='Landbrugsareal - resultat'!$B$33:$B$46)*(INDEX('Landbrugsareal - resultat'!$C$33:$E$46,,MATCH($D97,'Landbrugsareal - resultat'!$C$5:$E$5,0)))),IF(G$2=2030,SUMPRODUCT(($B97='Landbrugsareal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resultat'!$I$5:$K$5,0)))))),IF(G$2=2019,SUMPRODUCT(($B97='Landbrugsareal - resultat'!$B$33:$B$46)*(INDEX('Landbrugsareal - resultat'!$L$33:$N$46,,MATCH($D97,'Landbrugsareal - resultat'!$L$5:$N$5,0)))),IF(G$2=2030,SUMPRODUCT(($B97='Landbrugsareal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36921.98237863728</v>
      </c>
      <c r="H97" s="96" cm="1">
        <f t="array" ref="H97">IF($A97="Vestdanmark",IF($C97="Konventionel",IF(H$2=2019,SUMPRODUCT(($B97='Landbrugsareal - resultat'!$B$6:$B$19)*(INDEX('Landbrugsareal - resultat'!$C$6:$E$19,,MATCH($D97,'Landbrugsareal - resultat'!$C$5:$E$5,0)))),IF(H$2=2030,SUMPRODUCT(($B97='Landbrugsareal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resultat'!$I$5:$K$5,0)))))),IF(H$2=2019,SUMPRODUCT(($B97='Landbrugsareal - resultat'!$B$6:$B$19)*(INDEX('Landbrugsareal - resultat'!$L$6:$N$19,,MATCH($D97,'Landbrugsareal - resultat'!$L$5:$N$5,0)))),IF(H$2=2030,SUMPRODUCT(($B97='Landbrugsareal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resultat'!$R$5:$T$5,0))))))),IF($C97="Konventionel",IF(H$2=2019,SUMPRODUCT(($B97='Landbrugsareal - resultat'!$B$33:$B$46)*(INDEX('Landbrugsareal - resultat'!$C$33:$E$46,,MATCH($D97,'Landbrugsareal - resultat'!$C$5:$E$5,0)))),IF(H$2=2030,SUMPRODUCT(($B97='Landbrugsareal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resultat'!$I$5:$K$5,0)))))),IF(H$2=2019,SUMPRODUCT(($B97='Landbrugsareal - resultat'!$B$33:$B$46)*(INDEX('Landbrugsareal - resultat'!$L$33:$N$46,,MATCH($D97,'Landbrugsareal - resultat'!$L$5:$N$5,0)))),IF(H$2=2030,SUMPRODUCT(($B97='Landbrugsareal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35839.312475031358</v>
      </c>
      <c r="I97" s="96" cm="1">
        <f t="array" ref="I97">IF($A97="Vestdanmark",IF($C97="Konventionel",IF(I$2=2019,SUMPRODUCT(($B97='Landbrugsareal - resultat'!$B$6:$B$19)*(INDEX('Landbrugsareal - resultat'!$C$6:$E$19,,MATCH($D97,'Landbrugsareal - resultat'!$C$5:$E$5,0)))),IF(I$2=2030,SUMPRODUCT(($B97='Landbrugsareal - resultat'!$B$6:$B$19)*(INDEX('Landbrugsareal - resultat'!$F$6:$H$19,,MATCH($D97,'Landbrugsareal - resultat'!$F$5:$H$5,0)))),SUMPRODUCT(($B97='Landbrugsareal - resultat'!$B$6:$B$19)*(INDEX('Landbrugsareal - resultat'!$I$6:$K$19,,MATCH($D97,'Landbrugsareal - resultat'!$I$5:$K$5,0)))))),IF(I$2=2019,SUMPRODUCT(($B97='Landbrugsareal - resultat'!$B$6:$B$19)*(INDEX('Landbrugsareal - resultat'!$L$6:$N$19,,MATCH($D97,'Landbrugsareal - resultat'!$L$5:$N$5,0)))),IF(I$2=2030,SUMPRODUCT(($B97='Landbrugsareal - resultat'!$B$6:$B$19)*(INDEX('Landbrugsareal - resultat'!$O$6:$Q$19,,MATCH($D97,'Landbrugsareal - resultat'!$O$5:$Q$5,0)))),SUMPRODUCT(($B97='Landbrugsareal - resultat'!$B$6:$B$19)*(INDEX('Landbrugsareal - resultat'!$R$6:$T$19,,MATCH($D97,'Landbrugsareal - resultat'!$R$5:$T$5,0))))))),IF($C97="Konventionel",IF(I$2=2019,SUMPRODUCT((C97='Landbrugsareal - resultat'!$B$33:$B$46)*(INDEX('Landbrugsareal - resultat'!$C$33:$E$46,,MATCH($D97,'Landbrugsareal - resultat'!$C$5:$E$5,0)))),IF(I$2=2030,SUMPRODUCT(($B97='Landbrugsareal - resultat'!$B$33:$B$46)*(INDEX('Landbrugsareal - resultat'!$F$33:$H$46,,MATCH($D97,'Landbrugsareal - resultat'!$F$5:$H$5,0)))),SUMPRODUCT(($B97='Landbrugsareal - resultat'!$B$33:$B$46)*(INDEX('Landbrugsareal - resultat'!$I$33:$K$46,,MATCH($D97,'Landbrugsareal - resultat'!$I$5:$K$5,0)))))),IF(I$2=2019,SUMPRODUCT(($B97='Landbrugsareal - resultat'!$B$33:$B$46)*(INDEX('Landbrugsareal - resultat'!$L$33:$N$46,,MATCH($D97,'Landbrugsareal - resultat'!$L$5:$N$5,0)))),IF(I$2=2030,SUMPRODUCT(($B97='Landbrugsareal - resultat'!$B$33:$B$46)*(INDEX('Landbrugsareal - resultat'!$O$33:$Q$46,,MATCH($D97,'Landbrugsareal - resultat'!$O$5:$Q$5,0)))),SUMPRODUCT(($B97='Landbrugsareal - resultat'!$B$33:$B$46)*(INDEX('Landbrugsareal - resultat'!$R$33:$T$46,,MATCH($D97,'Landbrugsareal - resultat'!$R$5:$T$5,0))))))))</f>
        <v>33866.775571248349</v>
      </c>
    </row>
    <row r="98" spans="1:9" x14ac:dyDescent="0.25">
      <c r="A98" t="s">
        <v>24</v>
      </c>
      <c r="B98" s="1" t="str">
        <f>[1]Afgrødefordeling!$C$13</f>
        <v>Juletræer</v>
      </c>
      <c r="C98" t="s">
        <v>7</v>
      </c>
      <c r="D98" t="str">
        <f t="shared" si="8"/>
        <v>JB1-10</v>
      </c>
      <c r="F98" t="str">
        <f t="shared" si="6"/>
        <v>Areal-juletræer</v>
      </c>
      <c r="G98" s="96" cm="1">
        <f t="array" ref="G98">IF($A98="Vestdanmark",IF($C98="Konventionel",IF(G$2=2019,SUMPRODUCT(($B98='Landbrugsareal - resultat'!$B$6:$B$19)*(INDEX('Landbrugsareal - resultat'!$C$6:$E$19,,MATCH($D98,'Landbrugsareal - resultat'!$C$5:$E$5,0)))),IF(G$2=2030,SUMPRODUCT(($B98='Landbrugsareal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resultat'!$I$5:$K$5,0)))))),IF(G$2=2019,SUMPRODUCT(($B98='Landbrugsareal - resultat'!$B$6:$B$19)*(INDEX('Landbrugsareal - resultat'!$L$6:$N$19,,MATCH($D98,'Landbrugsareal - resultat'!$L$5:$N$5,0)))),IF(G$2=2030,SUMPRODUCT(($B98='Landbrugsareal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resultat'!$R$5:$T$5,0))))))),IF($C98="Konventionel",IF(G$2=2019,SUMPRODUCT((B98='Landbrugsareal - resultat'!$B$33:$B$46)*(INDEX('Landbrugsareal - resultat'!$C$33:$E$46,,MATCH($D98,'Landbrugsareal - resultat'!$C$5:$E$5,0)))),IF(G$2=2030,SUMPRODUCT(($B98='Landbrugsareal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resultat'!$I$5:$K$5,0)))))),IF(G$2=2019,SUMPRODUCT(($B98='Landbrugsareal - resultat'!$B$33:$B$46)*(INDEX('Landbrugsareal - resultat'!$L$33:$N$46,,MATCH($D98,'Landbrugsareal - resultat'!$L$5:$N$5,0)))),IF(G$2=2030,SUMPRODUCT(($B98='Landbrugsareal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2618.8374863482281</v>
      </c>
      <c r="H98" s="96" cm="1">
        <f t="array" ref="H98">IF($A98="Vestdanmark",IF($C98="Konventionel",IF(H$2=2019,SUMPRODUCT(($B98='Landbrugsareal - resultat'!$B$6:$B$19)*(INDEX('Landbrugsareal - resultat'!$C$6:$E$19,,MATCH($D98,'Landbrugsareal - resultat'!$C$5:$E$5,0)))),IF(H$2=2030,SUMPRODUCT(($B98='Landbrugsareal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resultat'!$I$5:$K$5,0)))))),IF(H$2=2019,SUMPRODUCT(($B98='Landbrugsareal - resultat'!$B$6:$B$19)*(INDEX('Landbrugsareal - resultat'!$L$6:$N$19,,MATCH($D98,'Landbrugsareal - resultat'!$L$5:$N$5,0)))),IF(H$2=2030,SUMPRODUCT(($B98='Landbrugsareal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resultat'!$R$5:$T$5,0))))))),IF($C98="Konventionel",IF(H$2=2019,SUMPRODUCT(($B98='Landbrugsareal - resultat'!$B$33:$B$46)*(INDEX('Landbrugsareal - resultat'!$C$33:$E$46,,MATCH($D98,'Landbrugsareal - resultat'!$C$5:$E$5,0)))),IF(H$2=2030,SUMPRODUCT(($B98='Landbrugsareal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resultat'!$I$5:$K$5,0)))))),IF(H$2=2019,SUMPRODUCT(($B98='Landbrugsareal - resultat'!$B$33:$B$46)*(INDEX('Landbrugsareal - resultat'!$L$33:$N$46,,MATCH($D98,'Landbrugsareal - resultat'!$L$5:$N$5,0)))),IF(H$2=2030,SUMPRODUCT(($B98='Landbrugsareal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2542.0448455894616</v>
      </c>
      <c r="I98" s="96" cm="1">
        <f t="array" ref="I98">IF($A98="Vestdanmark",IF($C98="Konventionel",IF(I$2=2019,SUMPRODUCT(($B98='Landbrugsareal - resultat'!$B$6:$B$19)*(INDEX('Landbrugsareal - resultat'!$C$6:$E$19,,MATCH($D98,'Landbrugsareal - resultat'!$C$5:$E$5,0)))),IF(I$2=2030,SUMPRODUCT(($B98='Landbrugsareal - resultat'!$B$6:$B$19)*(INDEX('Landbrugsareal - resultat'!$F$6:$H$19,,MATCH($D98,'Landbrugsareal - resultat'!$F$5:$H$5,0)))),SUMPRODUCT(($B98='Landbrugsareal - resultat'!$B$6:$B$19)*(INDEX('Landbrugsareal - resultat'!$I$6:$K$19,,MATCH($D98,'Landbrugsareal - resultat'!$I$5:$K$5,0)))))),IF(I$2=2019,SUMPRODUCT(($B98='Landbrugsareal - resultat'!$B$6:$B$19)*(INDEX('Landbrugsareal - resultat'!$L$6:$N$19,,MATCH($D98,'Landbrugsareal - resultat'!$L$5:$N$5,0)))),IF(I$2=2030,SUMPRODUCT(($B98='Landbrugsareal - resultat'!$B$6:$B$19)*(INDEX('Landbrugsareal - resultat'!$O$6:$Q$19,,MATCH($D98,'Landbrugsareal - resultat'!$O$5:$Q$5,0)))),SUMPRODUCT(($B98='Landbrugsareal - resultat'!$B$6:$B$19)*(INDEX('Landbrugsareal - resultat'!$R$6:$T$19,,MATCH($D98,'Landbrugsareal - resultat'!$R$5:$T$5,0))))))),IF($C98="Konventionel",IF(I$2=2019,SUMPRODUCT((C98='Landbrugsareal - resultat'!$B$33:$B$46)*(INDEX('Landbrugsareal - resultat'!$C$33:$E$46,,MATCH($D98,'Landbrugsareal - resultat'!$C$5:$E$5,0)))),IF(I$2=2030,SUMPRODUCT(($B98='Landbrugsareal - resultat'!$B$33:$B$46)*(INDEX('Landbrugsareal - resultat'!$F$33:$H$46,,MATCH($D98,'Landbrugsareal - resultat'!$F$5:$H$5,0)))),SUMPRODUCT(($B98='Landbrugsareal - resultat'!$B$33:$B$46)*(INDEX('Landbrugsareal - resultat'!$I$33:$K$46,,MATCH($D98,'Landbrugsareal - resultat'!$I$5:$K$5,0)))))),IF(I$2=2019,SUMPRODUCT(($B98='Landbrugsareal - resultat'!$B$33:$B$46)*(INDEX('Landbrugsareal - resultat'!$L$33:$N$46,,MATCH($D98,'Landbrugsareal - resultat'!$L$5:$N$5,0)))),IF(I$2=2030,SUMPRODUCT(($B98='Landbrugsareal - resultat'!$B$33:$B$46)*(INDEX('Landbrugsareal - resultat'!$O$33:$Q$46,,MATCH($D98,'Landbrugsareal - resultat'!$O$5:$Q$5,0)))),SUMPRODUCT(($B98='Landbrugsareal - resultat'!$B$33:$B$46)*(INDEX('Landbrugsareal - resultat'!$R$33:$T$46,,MATCH($D98,'Landbrugsareal - resultat'!$R$5:$T$5,0))))))))</f>
        <v>2402.1348718004842</v>
      </c>
    </row>
    <row r="99" spans="1:9" x14ac:dyDescent="0.25">
      <c r="A99" t="s">
        <v>24</v>
      </c>
      <c r="B99" s="1" t="str">
        <f>[1]Afgrødefordeling!$C$14</f>
        <v>Pil &amp; poppel</v>
      </c>
      <c r="C99" t="s">
        <v>7</v>
      </c>
      <c r="D99" t="str">
        <f t="shared" si="8"/>
        <v>JB1-10</v>
      </c>
      <c r="F99" t="str">
        <f t="shared" si="6"/>
        <v>Areal-pil-poppel</v>
      </c>
      <c r="G99" s="96" cm="1">
        <f t="array" ref="G99">IF($A99="Vestdanmark",IF($C99="Konventionel",IF(G$2=2019,SUMPRODUCT(($B99='Landbrugsareal - resultat'!$B$6:$B$19)*(INDEX('Landbrugsareal - resultat'!$C$6:$E$19,,MATCH($D99,'Landbrugsareal - resultat'!$C$5:$E$5,0)))),IF(G$2=2030,SUMPRODUCT(($B99='Landbrugsareal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resultat'!$I$5:$K$5,0)))))),IF(G$2=2019,SUMPRODUCT(($B99='Landbrugsareal - resultat'!$B$6:$B$19)*(INDEX('Landbrugsareal - resultat'!$L$6:$N$19,,MATCH($D99,'Landbrugsareal - resultat'!$L$5:$N$5,0)))),IF(G$2=2030,SUMPRODUCT(($B99='Landbrugsareal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resultat'!$R$5:$T$5,0))))))),IF($C99="Konventionel",IF(G$2=2019,SUMPRODUCT((B99='Landbrugsareal - resultat'!$B$33:$B$46)*(INDEX('Landbrugsareal - resultat'!$C$33:$E$46,,MATCH($D99,'Landbrugsareal - resultat'!$C$5:$E$5,0)))),IF(G$2=2030,SUMPRODUCT(($B99='Landbrugsareal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resultat'!$I$5:$K$5,0)))))),IF(G$2=2019,SUMPRODUCT(($B99='Landbrugsareal - resultat'!$B$33:$B$46)*(INDEX('Landbrugsareal - resultat'!$L$33:$N$46,,MATCH($D99,'Landbrugsareal - resultat'!$L$5:$N$5,0)))),IF(G$2=2030,SUMPRODUCT(($B99='Landbrugsareal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1244.8278589023382</v>
      </c>
      <c r="H99" s="96" cm="1">
        <f t="array" ref="H99">IF($A99="Vestdanmark",IF($C99="Konventionel",IF(H$2=2019,SUMPRODUCT(($B99='Landbrugsareal - resultat'!$B$6:$B$19)*(INDEX('Landbrugsareal - resultat'!$C$6:$E$19,,MATCH($D99,'Landbrugsareal - resultat'!$C$5:$E$5,0)))),IF(H$2=2030,SUMPRODUCT(($B99='Landbrugsareal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resultat'!$I$5:$K$5,0)))))),IF(H$2=2019,SUMPRODUCT(($B99='Landbrugsareal - resultat'!$B$6:$B$19)*(INDEX('Landbrugsareal - resultat'!$L$6:$N$19,,MATCH($D99,'Landbrugsareal - resultat'!$L$5:$N$5,0)))),IF(H$2=2030,SUMPRODUCT(($B99='Landbrugsareal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resultat'!$R$5:$T$5,0))))))),IF($C99="Konventionel",IF(H$2=2019,SUMPRODUCT(($B99='Landbrugsareal - resultat'!$B$33:$B$46)*(INDEX('Landbrugsareal - resultat'!$C$33:$E$46,,MATCH($D99,'Landbrugsareal - resultat'!$C$5:$E$5,0)))),IF(H$2=2030,SUMPRODUCT(($B99='Landbrugsareal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resultat'!$I$5:$K$5,0)))))),IF(H$2=2019,SUMPRODUCT(($B99='Landbrugsareal - resultat'!$B$33:$B$46)*(INDEX('Landbrugsareal - resultat'!$L$33:$N$46,,MATCH($D99,'Landbrugsareal - resultat'!$L$5:$N$5,0)))),IF(H$2=2030,SUMPRODUCT(($B99='Landbrugsareal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1208.3255485934653</v>
      </c>
      <c r="I99" s="96" cm="1">
        <f t="array" ref="I99">IF($A99="Vestdanmark",IF($C99="Konventionel",IF(I$2=2019,SUMPRODUCT(($B99='Landbrugsareal - resultat'!$B$6:$B$19)*(INDEX('Landbrugsareal - resultat'!$C$6:$E$19,,MATCH($D99,'Landbrugsareal - resultat'!$C$5:$E$5,0)))),IF(I$2=2030,SUMPRODUCT(($B99='Landbrugsareal - resultat'!$B$6:$B$19)*(INDEX('Landbrugsareal - resultat'!$F$6:$H$19,,MATCH($D99,'Landbrugsareal - resultat'!$F$5:$H$5,0)))),SUMPRODUCT(($B99='Landbrugsareal - resultat'!$B$6:$B$19)*(INDEX('Landbrugsareal - resultat'!$I$6:$K$19,,MATCH($D99,'Landbrugsareal - resultat'!$I$5:$K$5,0)))))),IF(I$2=2019,SUMPRODUCT(($B99='Landbrugsareal - resultat'!$B$6:$B$19)*(INDEX('Landbrugsareal - resultat'!$L$6:$N$19,,MATCH($D99,'Landbrugsareal - resultat'!$L$5:$N$5,0)))),IF(I$2=2030,SUMPRODUCT(($B99='Landbrugsareal - resultat'!$B$6:$B$19)*(INDEX('Landbrugsareal - resultat'!$O$6:$Q$19,,MATCH($D99,'Landbrugsareal - resultat'!$O$5:$Q$5,0)))),SUMPRODUCT(($B99='Landbrugsareal - resultat'!$B$6:$B$19)*(INDEX('Landbrugsareal - resultat'!$R$6:$T$19,,MATCH($D99,'Landbrugsareal - resultat'!$R$5:$T$5,0))))))),IF($C99="Konventionel",IF(I$2=2019,SUMPRODUCT((C99='Landbrugsareal - resultat'!$B$33:$B$46)*(INDEX('Landbrugsareal - resultat'!$C$33:$E$46,,MATCH($D99,'Landbrugsareal - resultat'!$C$5:$E$5,0)))),IF(I$2=2030,SUMPRODUCT(($B99='Landbrugsareal - resultat'!$B$33:$B$46)*(INDEX('Landbrugsareal - resultat'!$F$33:$H$46,,MATCH($D99,'Landbrugsareal - resultat'!$F$5:$H$5,0)))),SUMPRODUCT(($B99='Landbrugsareal - resultat'!$B$33:$B$46)*(INDEX('Landbrugsareal - resultat'!$I$33:$K$46,,MATCH($D99,'Landbrugsareal - resultat'!$I$5:$K$5,0)))))),IF(I$2=2019,SUMPRODUCT(($B99='Landbrugsareal - resultat'!$B$33:$B$46)*(INDEX('Landbrugsareal - resultat'!$L$33:$N$46,,MATCH($D99,'Landbrugsareal - resultat'!$L$5:$N$5,0)))),IF(I$2=2030,SUMPRODUCT(($B99='Landbrugsareal - resultat'!$B$33:$B$46)*(INDEX('Landbrugsareal - resultat'!$O$33:$Q$46,,MATCH($D99,'Landbrugsareal - resultat'!$O$5:$Q$5,0)))),SUMPRODUCT(($B99='Landbrugsareal - resultat'!$B$33:$B$46)*(INDEX('Landbrugsareal - resultat'!$R$33:$T$46,,MATCH($D99,'Landbrugsareal - resultat'!$R$5:$T$5,0))))))))</f>
        <v>1141.8212946950407</v>
      </c>
    </row>
    <row r="100" spans="1:9" x14ac:dyDescent="0.25">
      <c r="A100" t="s">
        <v>24</v>
      </c>
      <c r="B100" s="1" t="str">
        <f>[1]Afgrødefordeling!$C$15</f>
        <v>Permanent græs</v>
      </c>
      <c r="C100" t="s">
        <v>7</v>
      </c>
      <c r="D100" t="str">
        <f t="shared" si="8"/>
        <v>JB1-10</v>
      </c>
      <c r="F100" t="str">
        <f t="shared" si="6"/>
        <v>Areal-permanent græs</v>
      </c>
      <c r="G100" s="96" cm="1">
        <f t="array" ref="G100">IF($A100="Vestdanmark",IF($C100="Konventionel",IF(G$2=2019,SUMPRODUCT(($B100='Landbrugsareal - resultat'!$B$6:$B$19)*(INDEX('Landbrugsareal - resultat'!$C$6:$E$19,,MATCH($D100,'Landbrugsareal - resultat'!$C$5:$E$5,0)))),IF(G$2=2030,SUMPRODUCT(($B100='Landbrugsareal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resultat'!$I$5:$K$5,0)))))),IF(G$2=2019,SUMPRODUCT(($B100='Landbrugsareal - resultat'!$B$6:$B$19)*(INDEX('Landbrugsareal - resultat'!$L$6:$N$19,,MATCH($D100,'Landbrugsareal - resultat'!$L$5:$N$5,0)))),IF(G$2=2030,SUMPRODUCT(($B100='Landbrugsareal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resultat'!$R$5:$T$5,0))))))),IF($C100="Konventionel",IF(G$2=2019,SUMPRODUCT((B100='Landbrugsareal - resultat'!$B$33:$B$46)*(INDEX('Landbrugsareal - resultat'!$C$33:$E$46,,MATCH($D100,'Landbrugsareal - resultat'!$C$5:$E$5,0)))),IF(G$2=2030,SUMPRODUCT(($B100='Landbrugsareal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resultat'!$I$5:$K$5,0)))))),IF(G$2=2019,SUMPRODUCT(($B100='Landbrugsareal - resultat'!$B$33:$B$46)*(INDEX('Landbrugsareal - resultat'!$L$33:$N$46,,MATCH($D100,'Landbrugsareal - resultat'!$L$5:$N$5,0)))),IF(G$2=2030,SUMPRODUCT(($B100='Landbrugsareal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31005.186770121774</v>
      </c>
      <c r="H100" s="96" cm="1">
        <f t="array" ref="H100">IF($A100="Vestdanmark",IF($C100="Konventionel",IF(H$2=2019,SUMPRODUCT(($B100='Landbrugsareal - resultat'!$B$6:$B$19)*(INDEX('Landbrugsareal - resultat'!$C$6:$E$19,,MATCH($D100,'Landbrugsareal - resultat'!$C$5:$E$5,0)))),IF(H$2=2030,SUMPRODUCT(($B100='Landbrugsareal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resultat'!$I$5:$K$5,0)))))),IF(H$2=2019,SUMPRODUCT(($B100='Landbrugsareal - resultat'!$B$6:$B$19)*(INDEX('Landbrugsareal - resultat'!$L$6:$N$19,,MATCH($D100,'Landbrugsareal - resultat'!$L$5:$N$5,0)))),IF(H$2=2030,SUMPRODUCT(($B100='Landbrugsareal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resultat'!$R$5:$T$5,0))))))),IF($C100="Konventionel",IF(H$2=2019,SUMPRODUCT(($B100='Landbrugsareal - resultat'!$B$33:$B$46)*(INDEX('Landbrugsareal - resultat'!$C$33:$E$46,,MATCH($D100,'Landbrugsareal - resultat'!$C$5:$E$5,0)))),IF(H$2=2030,SUMPRODUCT(($B100='Landbrugsareal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resultat'!$I$5:$K$5,0)))))),IF(H$2=2019,SUMPRODUCT(($B100='Landbrugsareal - resultat'!$B$33:$B$46)*(INDEX('Landbrugsareal - resultat'!$L$33:$N$46,,MATCH($D100,'Landbrugsareal - resultat'!$L$5:$N$5,0)))),IF(H$2=2030,SUMPRODUCT(($B100='Landbrugsareal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30096.016124097267</v>
      </c>
      <c r="I100" s="96" cm="1">
        <f t="array" ref="I100">IF($A100="Vestdanmark",IF($C100="Konventionel",IF(I$2=2019,SUMPRODUCT(($B100='Landbrugsareal - resultat'!$B$6:$B$19)*(INDEX('Landbrugsareal - resultat'!$C$6:$E$19,,MATCH($D100,'Landbrugsareal - resultat'!$C$5:$E$5,0)))),IF(I$2=2030,SUMPRODUCT(($B100='Landbrugsareal - resultat'!$B$6:$B$19)*(INDEX('Landbrugsareal - resultat'!$F$6:$H$19,,MATCH($D100,'Landbrugsareal - resultat'!$F$5:$H$5,0)))),SUMPRODUCT(($B100='Landbrugsareal - resultat'!$B$6:$B$19)*(INDEX('Landbrugsareal - resultat'!$I$6:$K$19,,MATCH($D100,'Landbrugsareal - resultat'!$I$5:$K$5,0)))))),IF(I$2=2019,SUMPRODUCT(($B100='Landbrugsareal - resultat'!$B$6:$B$19)*(INDEX('Landbrugsareal - resultat'!$L$6:$N$19,,MATCH($D100,'Landbrugsareal - resultat'!$L$5:$N$5,0)))),IF(I$2=2030,SUMPRODUCT(($B100='Landbrugsareal - resultat'!$B$6:$B$19)*(INDEX('Landbrugsareal - resultat'!$O$6:$Q$19,,MATCH($D100,'Landbrugsareal - resultat'!$O$5:$Q$5,0)))),SUMPRODUCT(($B100='Landbrugsareal - resultat'!$B$6:$B$19)*(INDEX('Landbrugsareal - resultat'!$R$6:$T$19,,MATCH($D100,'Landbrugsareal - resultat'!$R$5:$T$5,0))))))),IF($C100="Konventionel",IF(I$2=2019,SUMPRODUCT((C100='Landbrugsareal - resultat'!$B$33:$B$46)*(INDEX('Landbrugsareal - resultat'!$C$33:$E$46,,MATCH($D100,'Landbrugsareal - resultat'!$C$5:$E$5,0)))),IF(I$2=2030,SUMPRODUCT(($B100='Landbrugsareal - resultat'!$B$33:$B$46)*(INDEX('Landbrugsareal - resultat'!$F$33:$H$46,,MATCH($D100,'Landbrugsareal - resultat'!$F$5:$H$5,0)))),SUMPRODUCT(($B100='Landbrugsareal - resultat'!$B$33:$B$46)*(INDEX('Landbrugsareal - resultat'!$I$33:$K$46,,MATCH($D100,'Landbrugsareal - resultat'!$I$5:$K$5,0)))))),IF(I$2=2019,SUMPRODUCT(($B100='Landbrugsareal - resultat'!$B$33:$B$46)*(INDEX('Landbrugsareal - resultat'!$L$33:$N$46,,MATCH($D100,'Landbrugsareal - resultat'!$L$5:$N$5,0)))),IF(I$2=2030,SUMPRODUCT(($B100='Landbrugsareal - resultat'!$B$33:$B$46)*(INDEX('Landbrugsareal - resultat'!$O$33:$Q$46,,MATCH($D100,'Landbrugsareal - resultat'!$O$5:$Q$5,0)))),SUMPRODUCT(($B100='Landbrugsareal - resultat'!$B$33:$B$46)*(INDEX('Landbrugsareal - resultat'!$R$33:$T$46,,MATCH($D100,'Landbrugsareal - resultat'!$R$5:$T$5,0))))))))</f>
        <v>28439.580819904713</v>
      </c>
    </row>
    <row r="101" spans="1:9" x14ac:dyDescent="0.25">
      <c r="A101" t="s">
        <v>24</v>
      </c>
      <c r="B101" s="1" t="str">
        <f>[1]Afgrødefordeling!$C$2</f>
        <v>Korn</v>
      </c>
      <c r="C101" t="s">
        <v>7</v>
      </c>
      <c r="D101" t="str">
        <f t="shared" ref="D101:D114" si="9">Organ6</f>
        <v>OC6</v>
      </c>
      <c r="F101" t="str">
        <f t="shared" si="6"/>
        <v>Areal-korn</v>
      </c>
      <c r="G101" s="96" cm="1">
        <f t="array" ref="G101">IF($A101="Vestdanmark",IF($C101="Konventionel",IF(G$2=2019,SUMPRODUCT(($B101='Landbrugsareal - resultat'!$B$6:$B$19)*(INDEX('Landbrugsareal - resultat'!$C$6:$E$19,,MATCH($D101,'Landbrugsareal - resultat'!$C$5:$E$5,0)))),IF(G$2=2030,SUMPRODUCT(($B101='Landbrugsareal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resultat'!$I$5:$K$5,0)))))),IF(G$2=2019,SUMPRODUCT(($B101='Landbrugsareal - resultat'!$B$6:$B$19)*(INDEX('Landbrugsareal - resultat'!$L$6:$N$19,,MATCH($D101,'Landbrugsareal - resultat'!$L$5:$N$5,0)))),IF(G$2=2030,SUMPRODUCT(($B101='Landbrugsareal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resultat'!$R$5:$T$5,0))))))),IF($C101="Konventionel",IF(G$2=2019,SUMPRODUCT((B101='Landbrugsareal - resultat'!$B$33:$B$46)*(INDEX('Landbrugsareal - resultat'!$C$33:$E$46,,MATCH($D101,'Landbrugsareal - resultat'!$C$5:$E$5,0)))),IF(G$2=2030,SUMPRODUCT(($B101='Landbrugsareal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resultat'!$I$5:$K$5,0)))))),IF(G$2=2019,SUMPRODUCT(($B101='Landbrugsareal - resultat'!$B$33:$B$46)*(INDEX('Landbrugsareal - resultat'!$L$33:$N$46,,MATCH($D101,'Landbrugsareal - resultat'!$L$5:$N$5,0)))),IF(G$2=2030,SUMPRODUCT(($B101='Landbrugsareal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4501.5258539517936</v>
      </c>
      <c r="H101" s="96" cm="1">
        <f t="array" ref="H101">IF($A101="Vestdanmark",IF($C101="Konventionel",IF(H$2=2019,SUMPRODUCT(($B101='Landbrugsareal - resultat'!$B$6:$B$19)*(INDEX('Landbrugsareal - resultat'!$C$6:$E$19,,MATCH($D101,'Landbrugsareal - resultat'!$C$5:$E$5,0)))),IF(H$2=2030,SUMPRODUCT(($B101='Landbrugsareal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resultat'!$I$5:$K$5,0)))))),IF(H$2=2019,SUMPRODUCT(($B101='Landbrugsareal - resultat'!$B$6:$B$19)*(INDEX('Landbrugsareal - resultat'!$L$6:$N$19,,MATCH($D101,'Landbrugsareal - resultat'!$L$5:$N$5,0)))),IF(H$2=2030,SUMPRODUCT(($B101='Landbrugsareal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resultat'!$R$5:$T$5,0))))))),IF($C101="Konventionel",IF(H$2=2019,SUMPRODUCT(($B101='Landbrugsareal - resultat'!$B$33:$B$46)*(INDEX('Landbrugsareal - resultat'!$C$33:$E$46,,MATCH($D101,'Landbrugsareal - resultat'!$C$5:$E$5,0)))),IF(H$2=2030,SUMPRODUCT(($B101='Landbrugsareal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resultat'!$I$5:$K$5,0)))))),IF(H$2=2019,SUMPRODUCT(($B101='Landbrugsareal - resultat'!$B$33:$B$46)*(INDEX('Landbrugsareal - resultat'!$L$33:$N$46,,MATCH($D101,'Landbrugsareal - resultat'!$L$5:$N$5,0)))),IF(H$2=2030,SUMPRODUCT(($B101='Landbrugsareal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4071.7505277200084</v>
      </c>
      <c r="I101" s="96" cm="1">
        <f t="array" ref="I101">IF($A101="Vestdanmark",IF($C101="Konventionel",IF(I$2=2019,SUMPRODUCT(($B101='Landbrugsareal - resultat'!$B$6:$B$19)*(INDEX('Landbrugsareal - resultat'!$C$6:$E$19,,MATCH($D101,'Landbrugsareal - resultat'!$C$5:$E$5,0)))),IF(I$2=2030,SUMPRODUCT(($B101='Landbrugsareal - resultat'!$B$6:$B$19)*(INDEX('Landbrugsareal - resultat'!$F$6:$H$19,,MATCH($D101,'Landbrugsareal - resultat'!$F$5:$H$5,0)))),SUMPRODUCT(($B101='Landbrugsareal - resultat'!$B$6:$B$19)*(INDEX('Landbrugsareal - resultat'!$I$6:$K$19,,MATCH($D101,'Landbrugsareal - resultat'!$I$5:$K$5,0)))))),IF(I$2=2019,SUMPRODUCT(($B101='Landbrugsareal - resultat'!$B$6:$B$19)*(INDEX('Landbrugsareal - resultat'!$L$6:$N$19,,MATCH($D101,'Landbrugsareal - resultat'!$L$5:$N$5,0)))),IF(I$2=2030,SUMPRODUCT(($B101='Landbrugsareal - resultat'!$B$6:$B$19)*(INDEX('Landbrugsareal - resultat'!$O$6:$Q$19,,MATCH($D101,'Landbrugsareal - resultat'!$O$5:$Q$5,0)))),SUMPRODUCT(($B101='Landbrugsareal - resultat'!$B$6:$B$19)*(INDEX('Landbrugsareal - resultat'!$R$6:$T$19,,MATCH($D101,'Landbrugsareal - resultat'!$R$5:$T$5,0))))))),IF($C101="Konventionel",IF(I$2=2019,SUMPRODUCT((C101='Landbrugsareal - resultat'!$B$33:$B$46)*(INDEX('Landbrugsareal - resultat'!$C$33:$E$46,,MATCH($D101,'Landbrugsareal - resultat'!$C$5:$E$5,0)))),IF(I$2=2030,SUMPRODUCT(($B101='Landbrugsareal - resultat'!$B$33:$B$46)*(INDEX('Landbrugsareal - resultat'!$F$33:$H$46,,MATCH($D101,'Landbrugsareal - resultat'!$F$5:$H$5,0)))),SUMPRODUCT(($B101='Landbrugsareal - resultat'!$B$33:$B$46)*(INDEX('Landbrugsareal - resultat'!$I$33:$K$46,,MATCH($D101,'Landbrugsareal - resultat'!$I$5:$K$5,0)))))),IF(I$2=2019,SUMPRODUCT(($B101='Landbrugsareal - resultat'!$B$33:$B$46)*(INDEX('Landbrugsareal - resultat'!$L$33:$N$46,,MATCH($D101,'Landbrugsareal - resultat'!$L$5:$N$5,0)))),IF(I$2=2030,SUMPRODUCT(($B101='Landbrugsareal - resultat'!$B$33:$B$46)*(INDEX('Landbrugsareal - resultat'!$O$33:$Q$46,,MATCH($D101,'Landbrugsareal - resultat'!$O$5:$Q$5,0)))),SUMPRODUCT(($B101='Landbrugsareal - resultat'!$B$33:$B$46)*(INDEX('Landbrugsareal - resultat'!$R$33:$T$46,,MATCH($D101,'Landbrugsareal - resultat'!$R$5:$T$5,0))))))))</f>
        <v>3883.4614859757307</v>
      </c>
    </row>
    <row r="102" spans="1:9" x14ac:dyDescent="0.25">
      <c r="A102" t="s">
        <v>24</v>
      </c>
      <c r="B102" s="1" t="str">
        <f>[1]Afgrødefordeling!$C$3</f>
        <v>Bælgsæd</v>
      </c>
      <c r="C102" t="s">
        <v>7</v>
      </c>
      <c r="D102" t="str">
        <f t="shared" si="9"/>
        <v>OC6</v>
      </c>
      <c r="F102" t="str">
        <f t="shared" si="6"/>
        <v>Areal-bælgsæd</v>
      </c>
      <c r="G102" s="96" cm="1">
        <f t="array" ref="G102">IF($A102="Vestdanmark",IF($C102="Konventionel",IF(G$2=2019,SUMPRODUCT(($B102='Landbrugsareal - resultat'!$B$6:$B$19)*(INDEX('Landbrugsareal - resultat'!$C$6:$E$19,,MATCH($D102,'Landbrugsareal - resultat'!$C$5:$E$5,0)))),IF(G$2=2030,SUMPRODUCT(($B102='Landbrugsareal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resultat'!$I$5:$K$5,0)))))),IF(G$2=2019,SUMPRODUCT(($B102='Landbrugsareal - resultat'!$B$6:$B$19)*(INDEX('Landbrugsareal - resultat'!$L$6:$N$19,,MATCH($D102,'Landbrugsareal - resultat'!$L$5:$N$5,0)))),IF(G$2=2030,SUMPRODUCT(($B102='Landbrugsareal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resultat'!$R$5:$T$5,0))))))),IF($C102="Konventionel",IF(G$2=2019,SUMPRODUCT((B102='Landbrugsareal - resultat'!$B$33:$B$46)*(INDEX('Landbrugsareal - resultat'!$C$33:$E$46,,MATCH($D102,'Landbrugsareal - resultat'!$C$5:$E$5,0)))),IF(G$2=2030,SUMPRODUCT(($B102='Landbrugsareal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resultat'!$I$5:$K$5,0)))))),IF(G$2=2019,SUMPRODUCT(($B102='Landbrugsareal - resultat'!$B$33:$B$46)*(INDEX('Landbrugsareal - resultat'!$L$33:$N$46,,MATCH($D102,'Landbrugsareal - resultat'!$L$5:$N$5,0)))),IF(G$2=2030,SUMPRODUCT(($B102='Landbrugsareal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121.72845469783576</v>
      </c>
      <c r="H102" s="96" cm="1">
        <f t="array" ref="H102">IF($A102="Vestdanmark",IF($C102="Konventionel",IF(H$2=2019,SUMPRODUCT(($B102='Landbrugsareal - resultat'!$B$6:$B$19)*(INDEX('Landbrugsareal - resultat'!$C$6:$E$19,,MATCH($D102,'Landbrugsareal - resultat'!$C$5:$E$5,0)))),IF(H$2=2030,SUMPRODUCT(($B102='Landbrugsareal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resultat'!$I$5:$K$5,0)))))),IF(H$2=2019,SUMPRODUCT(($B102='Landbrugsareal - resultat'!$B$6:$B$19)*(INDEX('Landbrugsareal - resultat'!$L$6:$N$19,,MATCH($D102,'Landbrugsareal - resultat'!$L$5:$N$5,0)))),IF(H$2=2030,SUMPRODUCT(($B102='Landbrugsareal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resultat'!$R$5:$T$5,0))))))),IF($C102="Konventionel",IF(H$2=2019,SUMPRODUCT(($B102='Landbrugsareal - resultat'!$B$33:$B$46)*(INDEX('Landbrugsareal - resultat'!$C$33:$E$46,,MATCH($D102,'Landbrugsareal - resultat'!$C$5:$E$5,0)))),IF(H$2=2030,SUMPRODUCT(($B102='Landbrugsareal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resultat'!$I$5:$K$5,0)))))),IF(H$2=2019,SUMPRODUCT(($B102='Landbrugsareal - resultat'!$B$33:$B$46)*(INDEX('Landbrugsareal - resultat'!$L$33:$N$46,,MATCH($D102,'Landbrugsareal - resultat'!$L$5:$N$5,0)))),IF(H$2=2030,SUMPRODUCT(($B102='Landbrugsareal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110.10664288850748</v>
      </c>
      <c r="I102" s="96" cm="1">
        <f t="array" ref="I102">IF($A102="Vestdanmark",IF($C102="Konventionel",IF(I$2=2019,SUMPRODUCT(($B102='Landbrugsareal - resultat'!$B$6:$B$19)*(INDEX('Landbrugsareal - resultat'!$C$6:$E$19,,MATCH($D102,'Landbrugsareal - resultat'!$C$5:$E$5,0)))),IF(I$2=2030,SUMPRODUCT(($B102='Landbrugsareal - resultat'!$B$6:$B$19)*(INDEX('Landbrugsareal - resultat'!$F$6:$H$19,,MATCH($D102,'Landbrugsareal - resultat'!$F$5:$H$5,0)))),SUMPRODUCT(($B102='Landbrugsareal - resultat'!$B$6:$B$19)*(INDEX('Landbrugsareal - resultat'!$I$6:$K$19,,MATCH($D102,'Landbrugsareal - resultat'!$I$5:$K$5,0)))))),IF(I$2=2019,SUMPRODUCT(($B102='Landbrugsareal - resultat'!$B$6:$B$19)*(INDEX('Landbrugsareal - resultat'!$L$6:$N$19,,MATCH($D102,'Landbrugsareal - resultat'!$L$5:$N$5,0)))),IF(I$2=2030,SUMPRODUCT(($B102='Landbrugsareal - resultat'!$B$6:$B$19)*(INDEX('Landbrugsareal - resultat'!$O$6:$Q$19,,MATCH($D102,'Landbrugsareal - resultat'!$O$5:$Q$5,0)))),SUMPRODUCT(($B102='Landbrugsareal - resultat'!$B$6:$B$19)*(INDEX('Landbrugsareal - resultat'!$R$6:$T$19,,MATCH($D102,'Landbrugsareal - resultat'!$R$5:$T$5,0))))))),IF($C102="Konventionel",IF(I$2=2019,SUMPRODUCT((C102='Landbrugsareal - resultat'!$B$33:$B$46)*(INDEX('Landbrugsareal - resultat'!$C$33:$E$46,,MATCH($D102,'Landbrugsareal - resultat'!$C$5:$E$5,0)))),IF(I$2=2030,SUMPRODUCT(($B102='Landbrugsareal - resultat'!$B$33:$B$46)*(INDEX('Landbrugsareal - resultat'!$F$33:$H$46,,MATCH($D102,'Landbrugsareal - resultat'!$F$5:$H$5,0)))),SUMPRODUCT(($B102='Landbrugsareal - resultat'!$B$33:$B$46)*(INDEX('Landbrugsareal - resultat'!$I$33:$K$46,,MATCH($D102,'Landbrugsareal - resultat'!$I$5:$K$5,0)))))),IF(I$2=2019,SUMPRODUCT(($B102='Landbrugsareal - resultat'!$B$33:$B$46)*(INDEX('Landbrugsareal - resultat'!$L$33:$N$46,,MATCH($D102,'Landbrugsareal - resultat'!$L$5:$N$5,0)))),IF(I$2=2030,SUMPRODUCT(($B102='Landbrugsareal - resultat'!$B$33:$B$46)*(INDEX('Landbrugsareal - resultat'!$O$33:$Q$46,,MATCH($D102,'Landbrugsareal - resultat'!$O$5:$Q$5,0)))),SUMPRODUCT(($B102='Landbrugsareal - resultat'!$B$33:$B$46)*(INDEX('Landbrugsareal - resultat'!$R$33:$T$46,,MATCH($D102,'Landbrugsareal - resultat'!$R$5:$T$5,0))))))))</f>
        <v>105.01500622314298</v>
      </c>
    </row>
    <row r="103" spans="1:9" x14ac:dyDescent="0.25">
      <c r="A103" t="s">
        <v>24</v>
      </c>
      <c r="B103" s="1" t="str">
        <f>[1]Afgrødefordeling!$C$4</f>
        <v>Raps</v>
      </c>
      <c r="C103" t="s">
        <v>7</v>
      </c>
      <c r="D103" t="str">
        <f t="shared" si="9"/>
        <v>OC6</v>
      </c>
      <c r="F103" t="str">
        <f t="shared" si="6"/>
        <v>Areal-raps</v>
      </c>
      <c r="G103" s="96" cm="1">
        <f t="array" ref="G103">IF($A103="Vestdanmark",IF($C103="Konventionel",IF(G$2=2019,SUMPRODUCT(($B103='Landbrugsareal - resultat'!$B$6:$B$19)*(INDEX('Landbrugsareal - resultat'!$C$6:$E$19,,MATCH($D103,'Landbrugsareal - resultat'!$C$5:$E$5,0)))),IF(G$2=2030,SUMPRODUCT(($B103='Landbrugsareal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resultat'!$I$5:$K$5,0)))))),IF(G$2=2019,SUMPRODUCT(($B103='Landbrugsareal - resultat'!$B$6:$B$19)*(INDEX('Landbrugsareal - resultat'!$L$6:$N$19,,MATCH($D103,'Landbrugsareal - resultat'!$L$5:$N$5,0)))),IF(G$2=2030,SUMPRODUCT(($B103='Landbrugsareal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resultat'!$R$5:$T$5,0))))))),IF($C103="Konventionel",IF(G$2=2019,SUMPRODUCT((B103='Landbrugsareal - resultat'!$B$33:$B$46)*(INDEX('Landbrugsareal - resultat'!$C$33:$E$46,,MATCH($D103,'Landbrugsareal - resultat'!$C$5:$E$5,0)))),IF(G$2=2030,SUMPRODUCT(($B103='Landbrugsareal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resultat'!$I$5:$K$5,0)))))),IF(G$2=2019,SUMPRODUCT(($B103='Landbrugsareal - resultat'!$B$33:$B$46)*(INDEX('Landbrugsareal - resultat'!$L$33:$N$46,,MATCH($D103,'Landbrugsareal - resultat'!$L$5:$N$5,0)))),IF(G$2=2030,SUMPRODUCT(($B103='Landbrugsareal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491.68024413286827</v>
      </c>
      <c r="H103" s="96" cm="1">
        <f t="array" ref="H103">IF($A103="Vestdanmark",IF($C103="Konventionel",IF(H$2=2019,SUMPRODUCT(($B103='Landbrugsareal - resultat'!$B$6:$B$19)*(INDEX('Landbrugsareal - resultat'!$C$6:$E$19,,MATCH($D103,'Landbrugsareal - resultat'!$C$5:$E$5,0)))),IF(H$2=2030,SUMPRODUCT(($B103='Landbrugsareal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resultat'!$I$5:$K$5,0)))))),IF(H$2=2019,SUMPRODUCT(($B103='Landbrugsareal - resultat'!$B$6:$B$19)*(INDEX('Landbrugsareal - resultat'!$L$6:$N$19,,MATCH($D103,'Landbrugsareal - resultat'!$L$5:$N$5,0)))),IF(H$2=2030,SUMPRODUCT(($B103='Landbrugsareal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resultat'!$R$5:$T$5,0))))))),IF($C103="Konventionel",IF(H$2=2019,SUMPRODUCT(($B103='Landbrugsareal - resultat'!$B$33:$B$46)*(INDEX('Landbrugsareal - resultat'!$C$33:$E$46,,MATCH($D103,'Landbrugsareal - resultat'!$C$5:$E$5,0)))),IF(H$2=2030,SUMPRODUCT(($B103='Landbrugsareal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resultat'!$I$5:$K$5,0)))))),IF(H$2=2019,SUMPRODUCT(($B103='Landbrugsareal - resultat'!$B$33:$B$46)*(INDEX('Landbrugsareal - resultat'!$L$33:$N$46,,MATCH($D103,'Landbrugsareal - resultat'!$L$5:$N$5,0)))),IF(H$2=2030,SUMPRODUCT(($B103='Landbrugsareal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444.73793075296811</v>
      </c>
      <c r="I103" s="96" cm="1">
        <f t="array" ref="I103">IF($A103="Vestdanmark",IF($C103="Konventionel",IF(I$2=2019,SUMPRODUCT(($B103='Landbrugsareal - resultat'!$B$6:$B$19)*(INDEX('Landbrugsareal - resultat'!$C$6:$E$19,,MATCH($D103,'Landbrugsareal - resultat'!$C$5:$E$5,0)))),IF(I$2=2030,SUMPRODUCT(($B103='Landbrugsareal - resultat'!$B$6:$B$19)*(INDEX('Landbrugsareal - resultat'!$F$6:$H$19,,MATCH($D103,'Landbrugsareal - resultat'!$F$5:$H$5,0)))),SUMPRODUCT(($B103='Landbrugsareal - resultat'!$B$6:$B$19)*(INDEX('Landbrugsareal - resultat'!$I$6:$K$19,,MATCH($D103,'Landbrugsareal - resultat'!$I$5:$K$5,0)))))),IF(I$2=2019,SUMPRODUCT(($B103='Landbrugsareal - resultat'!$B$6:$B$19)*(INDEX('Landbrugsareal - resultat'!$L$6:$N$19,,MATCH($D103,'Landbrugsareal - resultat'!$L$5:$N$5,0)))),IF(I$2=2030,SUMPRODUCT(($B103='Landbrugsareal - resultat'!$B$6:$B$19)*(INDEX('Landbrugsareal - resultat'!$O$6:$Q$19,,MATCH($D103,'Landbrugsareal - resultat'!$O$5:$Q$5,0)))),SUMPRODUCT(($B103='Landbrugsareal - resultat'!$B$6:$B$19)*(INDEX('Landbrugsareal - resultat'!$R$6:$T$19,,MATCH($D103,'Landbrugsareal - resultat'!$R$5:$T$5,0))))))),IF($C103="Konventionel",IF(I$2=2019,SUMPRODUCT((C103='Landbrugsareal - resultat'!$B$33:$B$46)*(INDEX('Landbrugsareal - resultat'!$C$33:$E$46,,MATCH($D103,'Landbrugsareal - resultat'!$C$5:$E$5,0)))),IF(I$2=2030,SUMPRODUCT(($B103='Landbrugsareal - resultat'!$B$33:$B$46)*(INDEX('Landbrugsareal - resultat'!$F$33:$H$46,,MATCH($D103,'Landbrugsareal - resultat'!$F$5:$H$5,0)))),SUMPRODUCT(($B103='Landbrugsareal - resultat'!$B$33:$B$46)*(INDEX('Landbrugsareal - resultat'!$I$33:$K$46,,MATCH($D103,'Landbrugsareal - resultat'!$I$5:$K$5,0)))))),IF(I$2=2019,SUMPRODUCT(($B103='Landbrugsareal - resultat'!$B$33:$B$46)*(INDEX('Landbrugsareal - resultat'!$L$33:$N$46,,MATCH($D103,'Landbrugsareal - resultat'!$L$5:$N$5,0)))),IF(I$2=2030,SUMPRODUCT(($B103='Landbrugsareal - resultat'!$B$33:$B$46)*(INDEX('Landbrugsareal - resultat'!$O$33:$Q$46,,MATCH($D103,'Landbrugsareal - resultat'!$O$5:$Q$5,0)))),SUMPRODUCT(($B103='Landbrugsareal - resultat'!$B$33:$B$46)*(INDEX('Landbrugsareal - resultat'!$R$33:$T$46,,MATCH($D103,'Landbrugsareal - resultat'!$R$5:$T$5,0))))))))</f>
        <v>424.17201487999847</v>
      </c>
    </row>
    <row r="104" spans="1:9" x14ac:dyDescent="0.25">
      <c r="A104" t="s">
        <v>24</v>
      </c>
      <c r="B104" s="1" t="str">
        <f>[1]Afgrødefordeling!$C$5</f>
        <v>Græs</v>
      </c>
      <c r="C104" t="s">
        <v>7</v>
      </c>
      <c r="D104" t="str">
        <f t="shared" si="9"/>
        <v>OC6</v>
      </c>
      <c r="F104" t="str">
        <f t="shared" si="6"/>
        <v>Areal-græs</v>
      </c>
      <c r="G104" s="96" cm="1">
        <f t="array" ref="G104">IF($A104="Vestdanmark",IF($C104="Konventionel",IF(G$2=2019,SUMPRODUCT(($B104='Landbrugsareal - resultat'!$B$6:$B$19)*(INDEX('Landbrugsareal - resultat'!$C$6:$E$19,,MATCH($D104,'Landbrugsareal - resultat'!$C$5:$E$5,0)))),IF(G$2=2030,SUMPRODUCT(($B104='Landbrugsareal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resultat'!$I$5:$K$5,0)))))),IF(G$2=2019,SUMPRODUCT(($B104='Landbrugsareal - resultat'!$B$6:$B$19)*(INDEX('Landbrugsareal - resultat'!$L$6:$N$19,,MATCH($D104,'Landbrugsareal - resultat'!$L$5:$N$5,0)))),IF(G$2=2030,SUMPRODUCT(($B104='Landbrugsareal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resultat'!$R$5:$T$5,0))))))),IF($C104="Konventionel",IF(G$2=2019,SUMPRODUCT((B104='Landbrugsareal - resultat'!$B$33:$B$46)*(INDEX('Landbrugsareal - resultat'!$C$33:$E$46,,MATCH($D104,'Landbrugsareal - resultat'!$C$5:$E$5,0)))),IF(G$2=2030,SUMPRODUCT(($B104='Landbrugsareal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resultat'!$I$5:$K$5,0)))))),IF(G$2=2019,SUMPRODUCT(($B104='Landbrugsareal - resultat'!$B$33:$B$46)*(INDEX('Landbrugsareal - resultat'!$L$33:$N$46,,MATCH($D104,'Landbrugsareal - resultat'!$L$5:$N$5,0)))),IF(G$2=2030,SUMPRODUCT(($B104='Landbrugsareal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1445.7459335058077</v>
      </c>
      <c r="H104" s="96" cm="1">
        <f t="array" ref="H104">IF($A104="Vestdanmark",IF($C104="Konventionel",IF(H$2=2019,SUMPRODUCT(($B104='Landbrugsareal - resultat'!$B$6:$B$19)*(INDEX('Landbrugsareal - resultat'!$C$6:$E$19,,MATCH($D104,'Landbrugsareal - resultat'!$C$5:$E$5,0)))),IF(H$2=2030,SUMPRODUCT(($B104='Landbrugsareal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resultat'!$I$5:$K$5,0)))))),IF(H$2=2019,SUMPRODUCT(($B104='Landbrugsareal - resultat'!$B$6:$B$19)*(INDEX('Landbrugsareal - resultat'!$L$6:$N$19,,MATCH($D104,'Landbrugsareal - resultat'!$L$5:$N$5,0)))),IF(H$2=2030,SUMPRODUCT(($B104='Landbrugsareal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resultat'!$R$5:$T$5,0))))))),IF($C104="Konventionel",IF(H$2=2019,SUMPRODUCT(($B104='Landbrugsareal - resultat'!$B$33:$B$46)*(INDEX('Landbrugsareal - resultat'!$C$33:$E$46,,MATCH($D104,'Landbrugsareal - resultat'!$C$5:$E$5,0)))),IF(H$2=2030,SUMPRODUCT(($B104='Landbrugsareal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resultat'!$I$5:$K$5,0)))))),IF(H$2=2019,SUMPRODUCT(($B104='Landbrugsareal - resultat'!$B$33:$B$46)*(INDEX('Landbrugsareal - resultat'!$L$33:$N$46,,MATCH($D104,'Landbrugsareal - resultat'!$L$5:$N$5,0)))),IF(H$2=2030,SUMPRODUCT(($B104='Landbrugsareal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1307.7158631741513</v>
      </c>
      <c r="I104" s="96" cm="1">
        <f t="array" ref="I104">IF($A104="Vestdanmark",IF($C104="Konventionel",IF(I$2=2019,SUMPRODUCT(($B104='Landbrugsareal - resultat'!$B$6:$B$19)*(INDEX('Landbrugsareal - resultat'!$C$6:$E$19,,MATCH($D104,'Landbrugsareal - resultat'!$C$5:$E$5,0)))),IF(I$2=2030,SUMPRODUCT(($B104='Landbrugsareal - resultat'!$B$6:$B$19)*(INDEX('Landbrugsareal - resultat'!$F$6:$H$19,,MATCH($D104,'Landbrugsareal - resultat'!$F$5:$H$5,0)))),SUMPRODUCT(($B104='Landbrugsareal - resultat'!$B$6:$B$19)*(INDEX('Landbrugsareal - resultat'!$I$6:$K$19,,MATCH($D104,'Landbrugsareal - resultat'!$I$5:$K$5,0)))))),IF(I$2=2019,SUMPRODUCT(($B104='Landbrugsareal - resultat'!$B$6:$B$19)*(INDEX('Landbrugsareal - resultat'!$L$6:$N$19,,MATCH($D104,'Landbrugsareal - resultat'!$L$5:$N$5,0)))),IF(I$2=2030,SUMPRODUCT(($B104='Landbrugsareal - resultat'!$B$6:$B$19)*(INDEX('Landbrugsareal - resultat'!$O$6:$Q$19,,MATCH($D104,'Landbrugsareal - resultat'!$O$5:$Q$5,0)))),SUMPRODUCT(($B104='Landbrugsareal - resultat'!$B$6:$B$19)*(INDEX('Landbrugsareal - resultat'!$R$6:$T$19,,MATCH($D104,'Landbrugsareal - resultat'!$R$5:$T$5,0))))))),IF($C104="Konventionel",IF(I$2=2019,SUMPRODUCT((C104='Landbrugsareal - resultat'!$B$33:$B$46)*(INDEX('Landbrugsareal - resultat'!$C$33:$E$46,,MATCH($D104,'Landbrugsareal - resultat'!$C$5:$E$5,0)))),IF(I$2=2030,SUMPRODUCT(($B104='Landbrugsareal - resultat'!$B$33:$B$46)*(INDEX('Landbrugsareal - resultat'!$F$33:$H$46,,MATCH($D104,'Landbrugsareal - resultat'!$F$5:$H$5,0)))),SUMPRODUCT(($B104='Landbrugsareal - resultat'!$B$33:$B$46)*(INDEX('Landbrugsareal - resultat'!$I$33:$K$46,,MATCH($D104,'Landbrugsareal - resultat'!$I$5:$K$5,0)))))),IF(I$2=2019,SUMPRODUCT(($B104='Landbrugsareal - resultat'!$B$33:$B$46)*(INDEX('Landbrugsareal - resultat'!$L$33:$N$46,,MATCH($D104,'Landbrugsareal - resultat'!$L$5:$N$5,0)))),IF(I$2=2030,SUMPRODUCT(($B104='Landbrugsareal - resultat'!$B$33:$B$46)*(INDEX('Landbrugsareal - resultat'!$O$33:$Q$46,,MATCH($D104,'Landbrugsareal - resultat'!$O$5:$Q$5,0)))),SUMPRODUCT(($B104='Landbrugsareal - resultat'!$B$33:$B$46)*(INDEX('Landbrugsareal - resultat'!$R$33:$T$46,,MATCH($D104,'Landbrugsareal - resultat'!$R$5:$T$5,0))))))))</f>
        <v>1247.2434533163869</v>
      </c>
    </row>
    <row r="105" spans="1:9" x14ac:dyDescent="0.25">
      <c r="A105" t="s">
        <v>24</v>
      </c>
      <c r="B105" s="1" t="str">
        <f>[1]Afgrødefordeling!$C$6</f>
        <v>Grøntsager</v>
      </c>
      <c r="C105" t="s">
        <v>7</v>
      </c>
      <c r="D105" t="str">
        <f t="shared" si="9"/>
        <v>OC6</v>
      </c>
      <c r="F105" t="str">
        <f t="shared" si="6"/>
        <v>Areal-grøntsager</v>
      </c>
      <c r="G105" s="96" cm="1">
        <f t="array" ref="G105">IF($A105="Vestdanmark",IF($C105="Konventionel",IF(G$2=2019,SUMPRODUCT(($B105='Landbrugsareal - resultat'!$B$6:$B$19)*(INDEX('Landbrugsareal - resultat'!$C$6:$E$19,,MATCH($D105,'Landbrugsareal - resultat'!$C$5:$E$5,0)))),IF(G$2=2030,SUMPRODUCT(($B105='Landbrugsareal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resultat'!$I$5:$K$5,0)))))),IF(G$2=2019,SUMPRODUCT(($B105='Landbrugsareal - resultat'!$B$6:$B$19)*(INDEX('Landbrugsareal - resultat'!$L$6:$N$19,,MATCH($D105,'Landbrugsareal - resultat'!$L$5:$N$5,0)))),IF(G$2=2030,SUMPRODUCT(($B105='Landbrugsareal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resultat'!$R$5:$T$5,0))))))),IF($C105="Konventionel",IF(G$2=2019,SUMPRODUCT((B105='Landbrugsareal - resultat'!$B$33:$B$46)*(INDEX('Landbrugsareal - resultat'!$C$33:$E$46,,MATCH($D105,'Landbrugsareal - resultat'!$C$5:$E$5,0)))),IF(G$2=2030,SUMPRODUCT(($B105='Landbrugsareal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resultat'!$I$5:$K$5,0)))))),IF(G$2=2019,SUMPRODUCT(($B105='Landbrugsareal - resultat'!$B$33:$B$46)*(INDEX('Landbrugsareal - resultat'!$L$33:$N$46,,MATCH($D105,'Landbrugsareal - resultat'!$L$5:$N$5,0)))),IF(G$2=2030,SUMPRODUCT(($B105='Landbrugsareal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27.380862281417578</v>
      </c>
      <c r="H105" s="96" cm="1">
        <f t="array" ref="H105">IF($A105="Vestdanmark",IF($C105="Konventionel",IF(H$2=2019,SUMPRODUCT(($B105='Landbrugsareal - resultat'!$B$6:$B$19)*(INDEX('Landbrugsareal - resultat'!$C$6:$E$19,,MATCH($D105,'Landbrugsareal - resultat'!$C$5:$E$5,0)))),IF(H$2=2030,SUMPRODUCT(($B105='Landbrugsareal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resultat'!$I$5:$K$5,0)))))),IF(H$2=2019,SUMPRODUCT(($B105='Landbrugsareal - resultat'!$B$6:$B$19)*(INDEX('Landbrugsareal - resultat'!$L$6:$N$19,,MATCH($D105,'Landbrugsareal - resultat'!$L$5:$N$5,0)))),IF(H$2=2030,SUMPRODUCT(($B105='Landbrugsareal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resultat'!$R$5:$T$5,0))))))),IF($C105="Konventionel",IF(H$2=2019,SUMPRODUCT(($B105='Landbrugsareal - resultat'!$B$33:$B$46)*(INDEX('Landbrugsareal - resultat'!$C$33:$E$46,,MATCH($D105,'Landbrugsareal - resultat'!$C$5:$E$5,0)))),IF(H$2=2030,SUMPRODUCT(($B105='Landbrugsareal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resultat'!$I$5:$K$5,0)))))),IF(H$2=2019,SUMPRODUCT(($B105='Landbrugsareal - resultat'!$B$33:$B$46)*(INDEX('Landbrugsareal - resultat'!$L$33:$N$46,,MATCH($D105,'Landbrugsareal - resultat'!$L$5:$N$5,0)))),IF(H$2=2030,SUMPRODUCT(($B105='Landbrugsareal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24.766722231733471</v>
      </c>
      <c r="I105" s="96" cm="1">
        <f t="array" ref="I105">IF($A105="Vestdanmark",IF($C105="Konventionel",IF(I$2=2019,SUMPRODUCT(($B105='Landbrugsareal - resultat'!$B$6:$B$19)*(INDEX('Landbrugsareal - resultat'!$C$6:$E$19,,MATCH($D105,'Landbrugsareal - resultat'!$C$5:$E$5,0)))),IF(I$2=2030,SUMPRODUCT(($B105='Landbrugsareal - resultat'!$B$6:$B$19)*(INDEX('Landbrugsareal - resultat'!$F$6:$H$19,,MATCH($D105,'Landbrugsareal - resultat'!$F$5:$H$5,0)))),SUMPRODUCT(($B105='Landbrugsareal - resultat'!$B$6:$B$19)*(INDEX('Landbrugsareal - resultat'!$I$6:$K$19,,MATCH($D105,'Landbrugsareal - resultat'!$I$5:$K$5,0)))))),IF(I$2=2019,SUMPRODUCT(($B105='Landbrugsareal - resultat'!$B$6:$B$19)*(INDEX('Landbrugsareal - resultat'!$L$6:$N$19,,MATCH($D105,'Landbrugsareal - resultat'!$L$5:$N$5,0)))),IF(I$2=2030,SUMPRODUCT(($B105='Landbrugsareal - resultat'!$B$6:$B$19)*(INDEX('Landbrugsareal - resultat'!$O$6:$Q$19,,MATCH($D105,'Landbrugsareal - resultat'!$O$5:$Q$5,0)))),SUMPRODUCT(($B105='Landbrugsareal - resultat'!$B$6:$B$19)*(INDEX('Landbrugsareal - resultat'!$R$6:$T$19,,MATCH($D105,'Landbrugsareal - resultat'!$R$5:$T$5,0))))))),IF($C105="Konventionel",IF(I$2=2019,SUMPRODUCT((C105='Landbrugsareal - resultat'!$B$33:$B$46)*(INDEX('Landbrugsareal - resultat'!$C$33:$E$46,,MATCH($D105,'Landbrugsareal - resultat'!$C$5:$E$5,0)))),IF(I$2=2030,SUMPRODUCT(($B105='Landbrugsareal - resultat'!$B$33:$B$46)*(INDEX('Landbrugsareal - resultat'!$F$33:$H$46,,MATCH($D105,'Landbrugsareal - resultat'!$F$5:$H$5,0)))),SUMPRODUCT(($B105='Landbrugsareal - resultat'!$B$33:$B$46)*(INDEX('Landbrugsareal - resultat'!$I$33:$K$46,,MATCH($D105,'Landbrugsareal - resultat'!$I$5:$K$5,0)))))),IF(I$2=2019,SUMPRODUCT(($B105='Landbrugsareal - resultat'!$B$33:$B$46)*(INDEX('Landbrugsareal - resultat'!$L$33:$N$46,,MATCH($D105,'Landbrugsareal - resultat'!$L$5:$N$5,0)))),IF(I$2=2030,SUMPRODUCT(($B105='Landbrugsareal - resultat'!$B$33:$B$46)*(INDEX('Landbrugsareal - resultat'!$O$33:$Q$46,,MATCH($D105,'Landbrugsareal - resultat'!$O$5:$Q$5,0)))),SUMPRODUCT(($B105='Landbrugsareal - resultat'!$B$33:$B$46)*(INDEX('Landbrugsareal - resultat'!$R$33:$T$46,,MATCH($D105,'Landbrugsareal - resultat'!$R$5:$T$5,0))))))))</f>
        <v>23.621440278820938</v>
      </c>
    </row>
    <row r="106" spans="1:9" x14ac:dyDescent="0.25">
      <c r="A106" t="s">
        <v>24</v>
      </c>
      <c r="B106" s="1" t="str">
        <f>[1]Afgrødefordeling!$C$7</f>
        <v>Kartofler</v>
      </c>
      <c r="C106" t="s">
        <v>7</v>
      </c>
      <c r="D106" t="str">
        <f t="shared" si="9"/>
        <v>OC6</v>
      </c>
      <c r="F106" t="str">
        <f t="shared" si="6"/>
        <v>Areal-kartofler</v>
      </c>
      <c r="G106" s="96" cm="1">
        <f t="array" ref="G106">IF($A106="Vestdanmark",IF($C106="Konventionel",IF(G$2=2019,SUMPRODUCT(($B106='Landbrugsareal - resultat'!$B$6:$B$19)*(INDEX('Landbrugsareal - resultat'!$C$6:$E$19,,MATCH($D106,'Landbrugsareal - resultat'!$C$5:$E$5,0)))),IF(G$2=2030,SUMPRODUCT(($B106='Landbrugsareal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resultat'!$I$5:$K$5,0)))))),IF(G$2=2019,SUMPRODUCT(($B106='Landbrugsareal - resultat'!$B$6:$B$19)*(INDEX('Landbrugsareal - resultat'!$L$6:$N$19,,MATCH($D106,'Landbrugsareal - resultat'!$L$5:$N$5,0)))),IF(G$2=2030,SUMPRODUCT(($B106='Landbrugsareal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resultat'!$R$5:$T$5,0))))))),IF($C106="Konventionel",IF(G$2=2019,SUMPRODUCT((B106='Landbrugsareal - resultat'!$B$33:$B$46)*(INDEX('Landbrugsareal - resultat'!$C$33:$E$46,,MATCH($D106,'Landbrugsareal - resultat'!$C$5:$E$5,0)))),IF(G$2=2030,SUMPRODUCT(($B106='Landbrugsareal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resultat'!$I$5:$K$5,0)))))),IF(G$2=2019,SUMPRODUCT(($B106='Landbrugsareal - resultat'!$B$33:$B$46)*(INDEX('Landbrugsareal - resultat'!$L$33:$N$46,,MATCH($D106,'Landbrugsareal - resultat'!$L$5:$N$5,0)))),IF(G$2=2030,SUMPRODUCT(($B106='Landbrugsareal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46.549971840812717</v>
      </c>
      <c r="H106" s="96" cm="1">
        <f t="array" ref="H106">IF($A106="Vestdanmark",IF($C106="Konventionel",IF(H$2=2019,SUMPRODUCT(($B106='Landbrugsareal - resultat'!$B$6:$B$19)*(INDEX('Landbrugsareal - resultat'!$C$6:$E$19,,MATCH($D106,'Landbrugsareal - resultat'!$C$5:$E$5,0)))),IF(H$2=2030,SUMPRODUCT(($B106='Landbrugsareal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resultat'!$I$5:$K$5,0)))))),IF(H$2=2019,SUMPRODUCT(($B106='Landbrugsareal - resultat'!$B$6:$B$19)*(INDEX('Landbrugsareal - resultat'!$L$6:$N$19,,MATCH($D106,'Landbrugsareal - resultat'!$L$5:$N$5,0)))),IF(H$2=2030,SUMPRODUCT(($B106='Landbrugsareal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resultat'!$R$5:$T$5,0))))))),IF($C106="Konventionel",IF(H$2=2019,SUMPRODUCT(($B106='Landbrugsareal - resultat'!$B$33:$B$46)*(INDEX('Landbrugsareal - resultat'!$C$33:$E$46,,MATCH($D106,'Landbrugsareal - resultat'!$C$5:$E$5,0)))),IF(H$2=2030,SUMPRODUCT(($B106='Landbrugsareal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resultat'!$I$5:$K$5,0)))))),IF(H$2=2019,SUMPRODUCT(($B106='Landbrugsareal - resultat'!$B$33:$B$46)*(INDEX('Landbrugsareal - resultat'!$L$33:$N$46,,MATCH($D106,'Landbrugsareal - resultat'!$L$5:$N$5,0)))),IF(H$2=2030,SUMPRODUCT(($B106='Landbrugsareal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42.105694503961956</v>
      </c>
      <c r="I106" s="96" cm="1">
        <f t="array" ref="I106">IF($A106="Vestdanmark",IF($C106="Konventionel",IF(I$2=2019,SUMPRODUCT(($B106='Landbrugsareal - resultat'!$B$6:$B$19)*(INDEX('Landbrugsareal - resultat'!$C$6:$E$19,,MATCH($D106,'Landbrugsareal - resultat'!$C$5:$E$5,0)))),IF(I$2=2030,SUMPRODUCT(($B106='Landbrugsareal - resultat'!$B$6:$B$19)*(INDEX('Landbrugsareal - resultat'!$F$6:$H$19,,MATCH($D106,'Landbrugsareal - resultat'!$F$5:$H$5,0)))),SUMPRODUCT(($B106='Landbrugsareal - resultat'!$B$6:$B$19)*(INDEX('Landbrugsareal - resultat'!$I$6:$K$19,,MATCH($D106,'Landbrugsareal - resultat'!$I$5:$K$5,0)))))),IF(I$2=2019,SUMPRODUCT(($B106='Landbrugsareal - resultat'!$B$6:$B$19)*(INDEX('Landbrugsareal - resultat'!$L$6:$N$19,,MATCH($D106,'Landbrugsareal - resultat'!$L$5:$N$5,0)))),IF(I$2=2030,SUMPRODUCT(($B106='Landbrugsareal - resultat'!$B$6:$B$19)*(INDEX('Landbrugsareal - resultat'!$O$6:$Q$19,,MATCH($D106,'Landbrugsareal - resultat'!$O$5:$Q$5,0)))),SUMPRODUCT(($B106='Landbrugsareal - resultat'!$B$6:$B$19)*(INDEX('Landbrugsareal - resultat'!$R$6:$T$19,,MATCH($D106,'Landbrugsareal - resultat'!$R$5:$T$5,0))))))),IF($C106="Konventionel",IF(I$2=2019,SUMPRODUCT((C106='Landbrugsareal - resultat'!$B$33:$B$46)*(INDEX('Landbrugsareal - resultat'!$C$33:$E$46,,MATCH($D106,'Landbrugsareal - resultat'!$C$5:$E$5,0)))),IF(I$2=2030,SUMPRODUCT(($B106='Landbrugsareal - resultat'!$B$33:$B$46)*(INDEX('Landbrugsareal - resultat'!$F$33:$H$46,,MATCH($D106,'Landbrugsareal - resultat'!$F$5:$H$5,0)))),SUMPRODUCT(($B106='Landbrugsareal - resultat'!$B$33:$B$46)*(INDEX('Landbrugsareal - resultat'!$I$33:$K$46,,MATCH($D106,'Landbrugsareal - resultat'!$I$5:$K$5,0)))))),IF(I$2=2019,SUMPRODUCT(($B106='Landbrugsareal - resultat'!$B$33:$B$46)*(INDEX('Landbrugsareal - resultat'!$L$33:$N$46,,MATCH($D106,'Landbrugsareal - resultat'!$L$5:$N$5,0)))),IF(I$2=2030,SUMPRODUCT(($B106='Landbrugsareal - resultat'!$B$33:$B$46)*(INDEX('Landbrugsareal - resultat'!$O$33:$Q$46,,MATCH($D106,'Landbrugsareal - resultat'!$O$5:$Q$5,0)))),SUMPRODUCT(($B106='Landbrugsareal - resultat'!$B$33:$B$46)*(INDEX('Landbrugsareal - resultat'!$R$33:$T$46,,MATCH($D106,'Landbrugsareal - resultat'!$R$5:$T$5,0))))))))</f>
        <v>40.158610365050421</v>
      </c>
    </row>
    <row r="107" spans="1:9" x14ac:dyDescent="0.25">
      <c r="A107" t="s">
        <v>24</v>
      </c>
      <c r="B107" s="1" t="str">
        <f>[1]Afgrødefordeling!$C$8</f>
        <v>Roer</v>
      </c>
      <c r="C107" t="s">
        <v>7</v>
      </c>
      <c r="D107" t="str">
        <f t="shared" si="9"/>
        <v>OC6</v>
      </c>
      <c r="F107" t="str">
        <f t="shared" si="6"/>
        <v>Areal-roer</v>
      </c>
      <c r="G107" s="96" cm="1">
        <f t="array" ref="G107">IF($A107="Vestdanmark",IF($C107="Konventionel",IF(G$2=2019,SUMPRODUCT(($B107='Landbrugsareal - resultat'!$B$6:$B$19)*(INDEX('Landbrugsareal - resultat'!$C$6:$E$19,,MATCH($D107,'Landbrugsareal - resultat'!$C$5:$E$5,0)))),IF(G$2=2030,SUMPRODUCT(($B107='Landbrugsareal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resultat'!$I$5:$K$5,0)))))),IF(G$2=2019,SUMPRODUCT(($B107='Landbrugsareal - resultat'!$B$6:$B$19)*(INDEX('Landbrugsareal - resultat'!$L$6:$N$19,,MATCH($D107,'Landbrugsareal - resultat'!$L$5:$N$5,0)))),IF(G$2=2030,SUMPRODUCT(($B107='Landbrugsareal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resultat'!$R$5:$T$5,0))))))),IF($C107="Konventionel",IF(G$2=2019,SUMPRODUCT((B107='Landbrugsareal - resultat'!$B$33:$B$46)*(INDEX('Landbrugsareal - resultat'!$C$33:$E$46,,MATCH($D107,'Landbrugsareal - resultat'!$C$5:$E$5,0)))),IF(G$2=2030,SUMPRODUCT(($B107='Landbrugsareal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resultat'!$I$5:$K$5,0)))))),IF(G$2=2019,SUMPRODUCT(($B107='Landbrugsareal - resultat'!$B$33:$B$46)*(INDEX('Landbrugsareal - resultat'!$L$33:$N$46,,MATCH($D107,'Landbrugsareal - resultat'!$L$5:$N$5,0)))),IF(G$2=2030,SUMPRODUCT(($B107='Landbrugsareal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130.05082769586514</v>
      </c>
      <c r="H107" s="96" cm="1">
        <f t="array" ref="H107">IF($A107="Vestdanmark",IF($C107="Konventionel",IF(H$2=2019,SUMPRODUCT(($B107='Landbrugsareal - resultat'!$B$6:$B$19)*(INDEX('Landbrugsareal - resultat'!$C$6:$E$19,,MATCH($D107,'Landbrugsareal - resultat'!$C$5:$E$5,0)))),IF(H$2=2030,SUMPRODUCT(($B107='Landbrugsareal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resultat'!$I$5:$K$5,0)))))),IF(H$2=2019,SUMPRODUCT(($B107='Landbrugsareal - resultat'!$B$6:$B$19)*(INDEX('Landbrugsareal - resultat'!$L$6:$N$19,,MATCH($D107,'Landbrugsareal - resultat'!$L$5:$N$5,0)))),IF(H$2=2030,SUMPRODUCT(($B107='Landbrugsareal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resultat'!$R$5:$T$5,0))))))),IF($C107="Konventionel",IF(H$2=2019,SUMPRODUCT(($B107='Landbrugsareal - resultat'!$B$33:$B$46)*(INDEX('Landbrugsareal - resultat'!$C$33:$E$46,,MATCH($D107,'Landbrugsareal - resultat'!$C$5:$E$5,0)))),IF(H$2=2030,SUMPRODUCT(($B107='Landbrugsareal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resultat'!$I$5:$K$5,0)))))),IF(H$2=2019,SUMPRODUCT(($B107='Landbrugsareal - resultat'!$B$33:$B$46)*(INDEX('Landbrugsareal - resultat'!$L$33:$N$46,,MATCH($D107,'Landbrugsareal - resultat'!$L$5:$N$5,0)))),IF(H$2=2030,SUMPRODUCT(($B107='Landbrugsareal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117.634451846188</v>
      </c>
      <c r="I107" s="96" cm="1">
        <f t="array" ref="I107">IF($A107="Vestdanmark",IF($C107="Konventionel",IF(I$2=2019,SUMPRODUCT(($B107='Landbrugsareal - resultat'!$B$6:$B$19)*(INDEX('Landbrugsareal - resultat'!$C$6:$E$19,,MATCH($D107,'Landbrugsareal - resultat'!$C$5:$E$5,0)))),IF(I$2=2030,SUMPRODUCT(($B107='Landbrugsareal - resultat'!$B$6:$B$19)*(INDEX('Landbrugsareal - resultat'!$F$6:$H$19,,MATCH($D107,'Landbrugsareal - resultat'!$F$5:$H$5,0)))),SUMPRODUCT(($B107='Landbrugsareal - resultat'!$B$6:$B$19)*(INDEX('Landbrugsareal - resultat'!$I$6:$K$19,,MATCH($D107,'Landbrugsareal - resultat'!$I$5:$K$5,0)))))),IF(I$2=2019,SUMPRODUCT(($B107='Landbrugsareal - resultat'!$B$6:$B$19)*(INDEX('Landbrugsareal - resultat'!$L$6:$N$19,,MATCH($D107,'Landbrugsareal - resultat'!$L$5:$N$5,0)))),IF(I$2=2030,SUMPRODUCT(($B107='Landbrugsareal - resultat'!$B$6:$B$19)*(INDEX('Landbrugsareal - resultat'!$O$6:$Q$19,,MATCH($D107,'Landbrugsareal - resultat'!$O$5:$Q$5,0)))),SUMPRODUCT(($B107='Landbrugsareal - resultat'!$B$6:$B$19)*(INDEX('Landbrugsareal - resultat'!$R$6:$T$19,,MATCH($D107,'Landbrugsareal - resultat'!$R$5:$T$5,0))))))),IF($C107="Konventionel",IF(I$2=2019,SUMPRODUCT((C107='Landbrugsareal - resultat'!$B$33:$B$46)*(INDEX('Landbrugsareal - resultat'!$C$33:$E$46,,MATCH($D107,'Landbrugsareal - resultat'!$C$5:$E$5,0)))),IF(I$2=2030,SUMPRODUCT(($B107='Landbrugsareal - resultat'!$B$33:$B$46)*(INDEX('Landbrugsareal - resultat'!$F$33:$H$46,,MATCH($D107,'Landbrugsareal - resultat'!$F$5:$H$5,0)))),SUMPRODUCT(($B107='Landbrugsareal - resultat'!$B$33:$B$46)*(INDEX('Landbrugsareal - resultat'!$I$33:$K$46,,MATCH($D107,'Landbrugsareal - resultat'!$I$5:$K$5,0)))))),IF(I$2=2019,SUMPRODUCT(($B107='Landbrugsareal - resultat'!$B$33:$B$46)*(INDEX('Landbrugsareal - resultat'!$L$33:$N$46,,MATCH($D107,'Landbrugsareal - resultat'!$L$5:$N$5,0)))),IF(I$2=2030,SUMPRODUCT(($B107='Landbrugsareal - resultat'!$B$33:$B$46)*(INDEX('Landbrugsareal - resultat'!$O$33:$Q$46,,MATCH($D107,'Landbrugsareal - resultat'!$O$5:$Q$5,0)))),SUMPRODUCT(($B107='Landbrugsareal - resultat'!$B$33:$B$46)*(INDEX('Landbrugsareal - resultat'!$R$33:$T$46,,MATCH($D107,'Landbrugsareal - resultat'!$R$5:$T$5,0))))))))</f>
        <v>112.19470840821398</v>
      </c>
    </row>
    <row r="108" spans="1:9" x14ac:dyDescent="0.25">
      <c r="A108" t="s">
        <v>24</v>
      </c>
      <c r="B108" s="1" t="str">
        <f>[1]Afgrødefordeling!$C$9</f>
        <v>Majs</v>
      </c>
      <c r="C108" t="s">
        <v>7</v>
      </c>
      <c r="D108" t="str">
        <f t="shared" si="9"/>
        <v>OC6</v>
      </c>
      <c r="F108" t="str">
        <f t="shared" si="6"/>
        <v>Areal-majs</v>
      </c>
      <c r="G108" s="96" cm="1">
        <f t="array" ref="G108">IF($A108="Vestdanmark",IF($C108="Konventionel",IF(G$2=2019,SUMPRODUCT(($B108='Landbrugsareal - resultat'!$B$6:$B$19)*(INDEX('Landbrugsareal - resultat'!$C$6:$E$19,,MATCH($D108,'Landbrugsareal - resultat'!$C$5:$E$5,0)))),IF(G$2=2030,SUMPRODUCT(($B108='Landbrugsareal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resultat'!$I$5:$K$5,0)))))),IF(G$2=2019,SUMPRODUCT(($B108='Landbrugsareal - resultat'!$B$6:$B$19)*(INDEX('Landbrugsareal - resultat'!$L$6:$N$19,,MATCH($D108,'Landbrugsareal - resultat'!$L$5:$N$5,0)))),IF(G$2=2030,SUMPRODUCT(($B108='Landbrugsareal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resultat'!$R$5:$T$5,0))))))),IF($C108="Konventionel",IF(G$2=2019,SUMPRODUCT((B108='Landbrugsareal - resultat'!$B$33:$B$46)*(INDEX('Landbrugsareal - resultat'!$C$33:$E$46,,MATCH($D108,'Landbrugsareal - resultat'!$C$5:$E$5,0)))),IF(G$2=2030,SUMPRODUCT(($B108='Landbrugsareal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resultat'!$I$5:$K$5,0)))))),IF(G$2=2019,SUMPRODUCT(($B108='Landbrugsareal - resultat'!$B$33:$B$46)*(INDEX('Landbrugsareal - resultat'!$L$33:$N$46,,MATCH($D108,'Landbrugsareal - resultat'!$L$5:$N$5,0)))),IF(G$2=2030,SUMPRODUCT(($B108='Landbrugsareal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138.65425138323147</v>
      </c>
      <c r="H108" s="96" cm="1">
        <f t="array" ref="H108">IF($A108="Vestdanmark",IF($C108="Konventionel",IF(H$2=2019,SUMPRODUCT(($B108='Landbrugsareal - resultat'!$B$6:$B$19)*(INDEX('Landbrugsareal - resultat'!$C$6:$E$19,,MATCH($D108,'Landbrugsareal - resultat'!$C$5:$E$5,0)))),IF(H$2=2030,SUMPRODUCT(($B108='Landbrugsareal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resultat'!$I$5:$K$5,0)))))),IF(H$2=2019,SUMPRODUCT(($B108='Landbrugsareal - resultat'!$B$6:$B$19)*(INDEX('Landbrugsareal - resultat'!$L$6:$N$19,,MATCH($D108,'Landbrugsareal - resultat'!$L$5:$N$5,0)))),IF(H$2=2030,SUMPRODUCT(($B108='Landbrugsareal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resultat'!$R$5:$T$5,0))))))),IF($C108="Konventionel",IF(H$2=2019,SUMPRODUCT(($B108='Landbrugsareal - resultat'!$B$33:$B$46)*(INDEX('Landbrugsareal - resultat'!$C$33:$E$46,,MATCH($D108,'Landbrugsareal - resultat'!$C$5:$E$5,0)))),IF(H$2=2030,SUMPRODUCT(($B108='Landbrugsareal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resultat'!$I$5:$K$5,0)))))),IF(H$2=2019,SUMPRODUCT(($B108='Landbrugsareal - resultat'!$B$33:$B$46)*(INDEX('Landbrugsareal - resultat'!$L$33:$N$46,,MATCH($D108,'Landbrugsareal - resultat'!$L$5:$N$5,0)))),IF(H$2=2030,SUMPRODUCT(($B108='Landbrugsareal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125.41647866904403</v>
      </c>
      <c r="I108" s="96" cm="1">
        <f t="array" ref="I108">IF($A108="Vestdanmark",IF($C108="Konventionel",IF(I$2=2019,SUMPRODUCT(($B108='Landbrugsareal - resultat'!$B$6:$B$19)*(INDEX('Landbrugsareal - resultat'!$C$6:$E$19,,MATCH($D108,'Landbrugsareal - resultat'!$C$5:$E$5,0)))),IF(I$2=2030,SUMPRODUCT(($B108='Landbrugsareal - resultat'!$B$6:$B$19)*(INDEX('Landbrugsareal - resultat'!$F$6:$H$19,,MATCH($D108,'Landbrugsareal - resultat'!$F$5:$H$5,0)))),SUMPRODUCT(($B108='Landbrugsareal - resultat'!$B$6:$B$19)*(INDEX('Landbrugsareal - resultat'!$I$6:$K$19,,MATCH($D108,'Landbrugsareal - resultat'!$I$5:$K$5,0)))))),IF(I$2=2019,SUMPRODUCT(($B108='Landbrugsareal - resultat'!$B$6:$B$19)*(INDEX('Landbrugsareal - resultat'!$L$6:$N$19,,MATCH($D108,'Landbrugsareal - resultat'!$L$5:$N$5,0)))),IF(I$2=2030,SUMPRODUCT(($B108='Landbrugsareal - resultat'!$B$6:$B$19)*(INDEX('Landbrugsareal - resultat'!$O$6:$Q$19,,MATCH($D108,'Landbrugsareal - resultat'!$O$5:$Q$5,0)))),SUMPRODUCT(($B108='Landbrugsareal - resultat'!$B$6:$B$19)*(INDEX('Landbrugsareal - resultat'!$R$6:$T$19,,MATCH($D108,'Landbrugsareal - resultat'!$R$5:$T$5,0))))))),IF($C108="Konventionel",IF(I$2=2019,SUMPRODUCT((C108='Landbrugsareal - resultat'!$B$33:$B$46)*(INDEX('Landbrugsareal - resultat'!$C$33:$E$46,,MATCH($D108,'Landbrugsareal - resultat'!$C$5:$E$5,0)))),IF(I$2=2030,SUMPRODUCT(($B108='Landbrugsareal - resultat'!$B$33:$B$46)*(INDEX('Landbrugsareal - resultat'!$F$33:$H$46,,MATCH($D108,'Landbrugsareal - resultat'!$F$5:$H$5,0)))),SUMPRODUCT(($B108='Landbrugsareal - resultat'!$B$33:$B$46)*(INDEX('Landbrugsareal - resultat'!$I$33:$K$46,,MATCH($D108,'Landbrugsareal - resultat'!$I$5:$K$5,0)))))),IF(I$2=2019,SUMPRODUCT(($B108='Landbrugsareal - resultat'!$B$33:$B$46)*(INDEX('Landbrugsareal - resultat'!$L$33:$N$46,,MATCH($D108,'Landbrugsareal - resultat'!$L$5:$N$5,0)))),IF(I$2=2030,SUMPRODUCT(($B108='Landbrugsareal - resultat'!$B$33:$B$46)*(INDEX('Landbrugsareal - resultat'!$O$33:$Q$46,,MATCH($D108,'Landbrugsareal - resultat'!$O$5:$Q$5,0)))),SUMPRODUCT(($B108='Landbrugsareal - resultat'!$B$33:$B$46)*(INDEX('Landbrugsareal - resultat'!$R$33:$T$46,,MATCH($D108,'Landbrugsareal - resultat'!$R$5:$T$5,0))))))))</f>
        <v>119.61687271903044</v>
      </c>
    </row>
    <row r="109" spans="1:9" x14ac:dyDescent="0.25">
      <c r="A109" t="s">
        <v>24</v>
      </c>
      <c r="B109" s="1" t="str">
        <f>[1]Afgrødefordeling!$C$10</f>
        <v>Frugt</v>
      </c>
      <c r="C109" t="s">
        <v>7</v>
      </c>
      <c r="D109" t="str">
        <f t="shared" si="9"/>
        <v>OC6</v>
      </c>
      <c r="F109" t="str">
        <f t="shared" si="6"/>
        <v>Areal-frugt</v>
      </c>
      <c r="G109" s="96" cm="1">
        <f t="array" ref="G109">IF($A109="Vestdanmark",IF($C109="Konventionel",IF(G$2=2019,SUMPRODUCT(($B109='Landbrugsareal - resultat'!$B$6:$B$19)*(INDEX('Landbrugsareal - resultat'!$C$6:$E$19,,MATCH($D109,'Landbrugsareal - resultat'!$C$5:$E$5,0)))),IF(G$2=2030,SUMPRODUCT(($B109='Landbrugsareal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resultat'!$I$5:$K$5,0)))))),IF(G$2=2019,SUMPRODUCT(($B109='Landbrugsareal - resultat'!$B$6:$B$19)*(INDEX('Landbrugsareal - resultat'!$L$6:$N$19,,MATCH($D109,'Landbrugsareal - resultat'!$L$5:$N$5,0)))),IF(G$2=2030,SUMPRODUCT(($B109='Landbrugsareal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resultat'!$R$5:$T$5,0))))))),IF($C109="Konventionel",IF(G$2=2019,SUMPRODUCT((B109='Landbrugsareal - resultat'!$B$33:$B$46)*(INDEX('Landbrugsareal - resultat'!$C$33:$E$46,,MATCH($D109,'Landbrugsareal - resultat'!$C$5:$E$5,0)))),IF(G$2=2030,SUMPRODUCT(($B109='Landbrugsareal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resultat'!$I$5:$K$5,0)))))),IF(G$2=2019,SUMPRODUCT(($B109='Landbrugsareal - resultat'!$B$33:$B$46)*(INDEX('Landbrugsareal - resultat'!$L$33:$N$46,,MATCH($D109,'Landbrugsareal - resultat'!$L$5:$N$5,0)))),IF(G$2=2030,SUMPRODUCT(($B109='Landbrugsareal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29.910572274561464</v>
      </c>
      <c r="H109" s="96" cm="1">
        <f t="array" ref="H109">IF($A109="Vestdanmark",IF($C109="Konventionel",IF(H$2=2019,SUMPRODUCT(($B109='Landbrugsareal - resultat'!$B$6:$B$19)*(INDEX('Landbrugsareal - resultat'!$C$6:$E$19,,MATCH($D109,'Landbrugsareal - resultat'!$C$5:$E$5,0)))),IF(H$2=2030,SUMPRODUCT(($B109='Landbrugsareal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resultat'!$I$5:$K$5,0)))))),IF(H$2=2019,SUMPRODUCT(($B109='Landbrugsareal - resultat'!$B$6:$B$19)*(INDEX('Landbrugsareal - resultat'!$L$6:$N$19,,MATCH($D109,'Landbrugsareal - resultat'!$L$5:$N$5,0)))),IF(H$2=2030,SUMPRODUCT(($B109='Landbrugsareal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resultat'!$R$5:$T$5,0))))))),IF($C109="Konventionel",IF(H$2=2019,SUMPRODUCT(($B109='Landbrugsareal - resultat'!$B$33:$B$46)*(INDEX('Landbrugsareal - resultat'!$C$33:$E$46,,MATCH($D109,'Landbrugsareal - resultat'!$C$5:$E$5,0)))),IF(H$2=2030,SUMPRODUCT(($B109='Landbrugsareal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resultat'!$I$5:$K$5,0)))))),IF(H$2=2019,SUMPRODUCT(($B109='Landbrugsareal - resultat'!$B$33:$B$46)*(INDEX('Landbrugsareal - resultat'!$L$33:$N$46,,MATCH($D109,'Landbrugsareal - resultat'!$L$5:$N$5,0)))),IF(H$2=2030,SUMPRODUCT(($B109='Landbrugsareal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27.054912577351441</v>
      </c>
      <c r="I109" s="96" cm="1">
        <f t="array" ref="I109">IF($A109="Vestdanmark",IF($C109="Konventionel",IF(I$2=2019,SUMPRODUCT(($B109='Landbrugsareal - resultat'!$B$6:$B$19)*(INDEX('Landbrugsareal - resultat'!$C$6:$E$19,,MATCH($D109,'Landbrugsareal - resultat'!$C$5:$E$5,0)))),IF(I$2=2030,SUMPRODUCT(($B109='Landbrugsareal - resultat'!$B$6:$B$19)*(INDEX('Landbrugsareal - resultat'!$F$6:$H$19,,MATCH($D109,'Landbrugsareal - resultat'!$F$5:$H$5,0)))),SUMPRODUCT(($B109='Landbrugsareal - resultat'!$B$6:$B$19)*(INDEX('Landbrugsareal - resultat'!$I$6:$K$19,,MATCH($D109,'Landbrugsareal - resultat'!$I$5:$K$5,0)))))),IF(I$2=2019,SUMPRODUCT(($B109='Landbrugsareal - resultat'!$B$6:$B$19)*(INDEX('Landbrugsareal - resultat'!$L$6:$N$19,,MATCH($D109,'Landbrugsareal - resultat'!$L$5:$N$5,0)))),IF(I$2=2030,SUMPRODUCT(($B109='Landbrugsareal - resultat'!$B$6:$B$19)*(INDEX('Landbrugsareal - resultat'!$O$6:$Q$19,,MATCH($D109,'Landbrugsareal - resultat'!$O$5:$Q$5,0)))),SUMPRODUCT(($B109='Landbrugsareal - resultat'!$B$6:$B$19)*(INDEX('Landbrugsareal - resultat'!$R$6:$T$19,,MATCH($D109,'Landbrugsareal - resultat'!$R$5:$T$5,0))))))),IF($C109="Konventionel",IF(I$2=2019,SUMPRODUCT((C109='Landbrugsareal - resultat'!$B$33:$B$46)*(INDEX('Landbrugsareal - resultat'!$C$33:$E$46,,MATCH($D109,'Landbrugsareal - resultat'!$C$5:$E$5,0)))),IF(I$2=2030,SUMPRODUCT(($B109='Landbrugsareal - resultat'!$B$33:$B$46)*(INDEX('Landbrugsareal - resultat'!$F$33:$H$46,,MATCH($D109,'Landbrugsareal - resultat'!$F$5:$H$5,0)))),SUMPRODUCT(($B109='Landbrugsareal - resultat'!$B$33:$B$46)*(INDEX('Landbrugsareal - resultat'!$I$33:$K$46,,MATCH($D109,'Landbrugsareal - resultat'!$I$5:$K$5,0)))))),IF(I$2=2019,SUMPRODUCT(($B109='Landbrugsareal - resultat'!$B$33:$B$46)*(INDEX('Landbrugsareal - resultat'!$L$33:$N$46,,MATCH($D109,'Landbrugsareal - resultat'!$L$5:$N$5,0)))),IF(I$2=2030,SUMPRODUCT(($B109='Landbrugsareal - resultat'!$B$33:$B$46)*(INDEX('Landbrugsareal - resultat'!$O$33:$Q$46,,MATCH($D109,'Landbrugsareal - resultat'!$O$5:$Q$5,0)))),SUMPRODUCT(($B109='Landbrugsareal - resultat'!$B$33:$B$46)*(INDEX('Landbrugsareal - resultat'!$R$33:$T$46,,MATCH($D109,'Landbrugsareal - resultat'!$R$5:$T$5,0))))))))</f>
        <v>25.803818354121319</v>
      </c>
    </row>
    <row r="110" spans="1:9" x14ac:dyDescent="0.25">
      <c r="A110" t="s">
        <v>24</v>
      </c>
      <c r="B110" s="1" t="str">
        <f>[1]Afgrødefordeling!$C$11</f>
        <v>Øvrige</v>
      </c>
      <c r="C110" t="s">
        <v>7</v>
      </c>
      <c r="D110" t="str">
        <f t="shared" si="9"/>
        <v>OC6</v>
      </c>
      <c r="F110" t="str">
        <f t="shared" si="6"/>
        <v>Areal-øvrige</v>
      </c>
      <c r="G110" s="96" cm="1">
        <f t="array" ref="G110">IF($A110="Vestdanmark",IF($C110="Konventionel",IF(G$2=2019,SUMPRODUCT(($B110='Landbrugsareal - resultat'!$B$6:$B$19)*(INDEX('Landbrugsareal - resultat'!$C$6:$E$19,,MATCH($D110,'Landbrugsareal - resultat'!$C$5:$E$5,0)))),IF(G$2=2030,SUMPRODUCT(($B110='Landbrugsareal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resultat'!$I$5:$K$5,0)))))),IF(G$2=2019,SUMPRODUCT(($B110='Landbrugsareal - resultat'!$B$6:$B$19)*(INDEX('Landbrugsareal - resultat'!$L$6:$N$19,,MATCH($D110,'Landbrugsareal - resultat'!$L$5:$N$5,0)))),IF(G$2=2030,SUMPRODUCT(($B110='Landbrugsareal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resultat'!$R$5:$T$5,0))))))),IF($C110="Konventionel",IF(G$2=2019,SUMPRODUCT((B110='Landbrugsareal - resultat'!$B$33:$B$46)*(INDEX('Landbrugsareal - resultat'!$C$33:$E$46,,MATCH($D110,'Landbrugsareal - resultat'!$C$5:$E$5,0)))),IF(G$2=2030,SUMPRODUCT(($B110='Landbrugsareal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resultat'!$I$5:$K$5,0)))))),IF(G$2=2019,SUMPRODUCT(($B110='Landbrugsareal - resultat'!$B$33:$B$46)*(INDEX('Landbrugsareal - resultat'!$L$33:$N$46,,MATCH($D110,'Landbrugsareal - resultat'!$L$5:$N$5,0)))),IF(G$2=2030,SUMPRODUCT(($B110='Landbrugsareal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213.57599301787013</v>
      </c>
      <c r="H110" s="96" cm="1">
        <f t="array" ref="H110">IF($A110="Vestdanmark",IF($C110="Konventionel",IF(H$2=2019,SUMPRODUCT(($B110='Landbrugsareal - resultat'!$B$6:$B$19)*(INDEX('Landbrugsareal - resultat'!$C$6:$E$19,,MATCH($D110,'Landbrugsareal - resultat'!$C$5:$E$5,0)))),IF(H$2=2030,SUMPRODUCT(($B110='Landbrugsareal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resultat'!$I$5:$K$5,0)))))),IF(H$2=2019,SUMPRODUCT(($B110='Landbrugsareal - resultat'!$B$6:$B$19)*(INDEX('Landbrugsareal - resultat'!$L$6:$N$19,,MATCH($D110,'Landbrugsareal - resultat'!$L$5:$N$5,0)))),IF(H$2=2030,SUMPRODUCT(($B110='Landbrugsareal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resultat'!$R$5:$T$5,0))))))),IF($C110="Konventionel",IF(H$2=2019,SUMPRODUCT(($B110='Landbrugsareal - resultat'!$B$33:$B$46)*(INDEX('Landbrugsareal - resultat'!$C$33:$E$46,,MATCH($D110,'Landbrugsareal - resultat'!$C$5:$E$5,0)))),IF(H$2=2030,SUMPRODUCT(($B110='Landbrugsareal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resultat'!$I$5:$K$5,0)))))),IF(H$2=2019,SUMPRODUCT(($B110='Landbrugsareal - resultat'!$B$33:$B$46)*(INDEX('Landbrugsareal - resultat'!$L$33:$N$46,,MATCH($D110,'Landbrugsareal - resultat'!$L$5:$N$5,0)))),IF(H$2=2030,SUMPRODUCT(($B110='Landbrugsareal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193.18519775142676</v>
      </c>
      <c r="I110" s="96" cm="1">
        <f t="array" ref="I110">IF($A110="Vestdanmark",IF($C110="Konventionel",IF(I$2=2019,SUMPRODUCT(($B110='Landbrugsareal - resultat'!$B$6:$B$19)*(INDEX('Landbrugsareal - resultat'!$C$6:$E$19,,MATCH($D110,'Landbrugsareal - resultat'!$C$5:$E$5,0)))),IF(I$2=2030,SUMPRODUCT(($B110='Landbrugsareal - resultat'!$B$6:$B$19)*(INDEX('Landbrugsareal - resultat'!$F$6:$H$19,,MATCH($D110,'Landbrugsareal - resultat'!$F$5:$H$5,0)))),SUMPRODUCT(($B110='Landbrugsareal - resultat'!$B$6:$B$19)*(INDEX('Landbrugsareal - resultat'!$I$6:$K$19,,MATCH($D110,'Landbrugsareal - resultat'!$I$5:$K$5,0)))))),IF(I$2=2019,SUMPRODUCT(($B110='Landbrugsareal - resultat'!$B$6:$B$19)*(INDEX('Landbrugsareal - resultat'!$L$6:$N$19,,MATCH($D110,'Landbrugsareal - resultat'!$L$5:$N$5,0)))),IF(I$2=2030,SUMPRODUCT(($B110='Landbrugsareal - resultat'!$B$6:$B$19)*(INDEX('Landbrugsareal - resultat'!$O$6:$Q$19,,MATCH($D110,'Landbrugsareal - resultat'!$O$5:$Q$5,0)))),SUMPRODUCT(($B110='Landbrugsareal - resultat'!$B$6:$B$19)*(INDEX('Landbrugsareal - resultat'!$R$6:$T$19,,MATCH($D110,'Landbrugsareal - resultat'!$R$5:$T$5,0))))))),IF($C110="Konventionel",IF(I$2=2019,SUMPRODUCT((C110='Landbrugsareal - resultat'!$B$33:$B$46)*(INDEX('Landbrugsareal - resultat'!$C$33:$E$46,,MATCH($D110,'Landbrugsareal - resultat'!$C$5:$E$5,0)))),IF(I$2=2030,SUMPRODUCT(($B110='Landbrugsareal - resultat'!$B$33:$B$46)*(INDEX('Landbrugsareal - resultat'!$F$33:$H$46,,MATCH($D110,'Landbrugsareal - resultat'!$F$5:$H$5,0)))),SUMPRODUCT(($B110='Landbrugsareal - resultat'!$B$33:$B$46)*(INDEX('Landbrugsareal - resultat'!$I$33:$K$46,,MATCH($D110,'Landbrugsareal - resultat'!$I$5:$K$5,0)))))),IF(I$2=2019,SUMPRODUCT(($B110='Landbrugsareal - resultat'!$B$33:$B$46)*(INDEX('Landbrugsareal - resultat'!$L$33:$N$46,,MATCH($D110,'Landbrugsareal - resultat'!$L$5:$N$5,0)))),IF(I$2=2030,SUMPRODUCT(($B110='Landbrugsareal - resultat'!$B$33:$B$46)*(INDEX('Landbrugsareal - resultat'!$O$33:$Q$46,,MATCH($D110,'Landbrugsareal - resultat'!$O$5:$Q$5,0)))),SUMPRODUCT(($B110='Landbrugsareal - resultat'!$B$33:$B$46)*(INDEX('Landbrugsareal - resultat'!$R$33:$T$46,,MATCH($D110,'Landbrugsareal - resultat'!$R$5:$T$5,0))))))))</f>
        <v>184.2517782022278</v>
      </c>
    </row>
    <row r="111" spans="1:9" x14ac:dyDescent="0.25">
      <c r="A111" t="s">
        <v>24</v>
      </c>
      <c r="B111" s="1" t="str">
        <f>[1]Afgrødefordeling!$C$12</f>
        <v>Frø</v>
      </c>
      <c r="C111" t="s">
        <v>7</v>
      </c>
      <c r="D111" t="str">
        <f t="shared" si="9"/>
        <v>OC6</v>
      </c>
      <c r="F111" t="str">
        <f t="shared" si="6"/>
        <v>Areal-frøgræs</v>
      </c>
      <c r="G111" s="96" cm="1">
        <f t="array" ref="G111">IF($A111="Vestdanmark",IF($C111="Konventionel",IF(G$2=2019,SUMPRODUCT(($B111='Landbrugsareal - resultat'!$B$6:$B$19)*(INDEX('Landbrugsareal - resultat'!$C$6:$E$19,,MATCH($D111,'Landbrugsareal - resultat'!$C$5:$E$5,0)))),IF(G$2=2030,SUMPRODUCT(($B111='Landbrugsareal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resultat'!$I$5:$K$5,0)))))),IF(G$2=2019,SUMPRODUCT(($B111='Landbrugsareal - resultat'!$B$6:$B$19)*(INDEX('Landbrugsareal - resultat'!$L$6:$N$19,,MATCH($D111,'Landbrugsareal - resultat'!$L$5:$N$5,0)))),IF(G$2=2030,SUMPRODUCT(($B111='Landbrugsareal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resultat'!$R$5:$T$5,0))))))),IF($C111="Konventionel",IF(G$2=2019,SUMPRODUCT((B111='Landbrugsareal - resultat'!$B$33:$B$46)*(INDEX('Landbrugsareal - resultat'!$C$33:$E$46,,MATCH($D111,'Landbrugsareal - resultat'!$C$5:$E$5,0)))),IF(G$2=2030,SUMPRODUCT(($B111='Landbrugsareal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resultat'!$I$5:$K$5,0)))))),IF(G$2=2019,SUMPRODUCT(($B111='Landbrugsareal - resultat'!$B$33:$B$46)*(INDEX('Landbrugsareal - resultat'!$L$33:$N$46,,MATCH($D111,'Landbrugsareal - resultat'!$L$5:$N$5,0)))),IF(G$2=2030,SUMPRODUCT(($B111='Landbrugsareal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1550.5515811624623</v>
      </c>
      <c r="H111" s="96" cm="1">
        <f t="array" ref="H111">IF($A111="Vestdanmark",IF($C111="Konventionel",IF(H$2=2019,SUMPRODUCT(($B111='Landbrugsareal - resultat'!$B$6:$B$19)*(INDEX('Landbrugsareal - resultat'!$C$6:$E$19,,MATCH($D111,'Landbrugsareal - resultat'!$C$5:$E$5,0)))),IF(H$2=2030,SUMPRODUCT(($B111='Landbrugsareal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resultat'!$I$5:$K$5,0)))))),IF(H$2=2019,SUMPRODUCT(($B111='Landbrugsareal - resultat'!$B$6:$B$19)*(INDEX('Landbrugsareal - resultat'!$L$6:$N$19,,MATCH($D111,'Landbrugsareal - resultat'!$L$5:$N$5,0)))),IF(H$2=2030,SUMPRODUCT(($B111='Landbrugsareal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resultat'!$R$5:$T$5,0))))))),IF($C111="Konventionel",IF(H$2=2019,SUMPRODUCT(($B111='Landbrugsareal - resultat'!$B$33:$B$46)*(INDEX('Landbrugsareal - resultat'!$C$33:$E$46,,MATCH($D111,'Landbrugsareal - resultat'!$C$5:$E$5,0)))),IF(H$2=2030,SUMPRODUCT(($B111='Landbrugsareal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resultat'!$I$5:$K$5,0)))))),IF(H$2=2019,SUMPRODUCT(($B111='Landbrugsareal - resultat'!$B$33:$B$46)*(INDEX('Landbrugsareal - resultat'!$L$33:$N$46,,MATCH($D111,'Landbrugsareal - resultat'!$L$5:$N$5,0)))),IF(H$2=2030,SUMPRODUCT(($B111='Landbrugsareal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1402.515374495272</v>
      </c>
      <c r="I111" s="96" cm="1">
        <f t="array" ref="I111">IF($A111="Vestdanmark",IF($C111="Konventionel",IF(I$2=2019,SUMPRODUCT(($B111='Landbrugsareal - resultat'!$B$6:$B$19)*(INDEX('Landbrugsareal - resultat'!$C$6:$E$19,,MATCH($D111,'Landbrugsareal - resultat'!$C$5:$E$5,0)))),IF(I$2=2030,SUMPRODUCT(($B111='Landbrugsareal - resultat'!$B$6:$B$19)*(INDEX('Landbrugsareal - resultat'!$F$6:$H$19,,MATCH($D111,'Landbrugsareal - resultat'!$F$5:$H$5,0)))),SUMPRODUCT(($B111='Landbrugsareal - resultat'!$B$6:$B$19)*(INDEX('Landbrugsareal - resultat'!$I$6:$K$19,,MATCH($D111,'Landbrugsareal - resultat'!$I$5:$K$5,0)))))),IF(I$2=2019,SUMPRODUCT(($B111='Landbrugsareal - resultat'!$B$6:$B$19)*(INDEX('Landbrugsareal - resultat'!$L$6:$N$19,,MATCH($D111,'Landbrugsareal - resultat'!$L$5:$N$5,0)))),IF(I$2=2030,SUMPRODUCT(($B111='Landbrugsareal - resultat'!$B$6:$B$19)*(INDEX('Landbrugsareal - resultat'!$O$6:$Q$19,,MATCH($D111,'Landbrugsareal - resultat'!$O$5:$Q$5,0)))),SUMPRODUCT(($B111='Landbrugsareal - resultat'!$B$6:$B$19)*(INDEX('Landbrugsareal - resultat'!$R$6:$T$19,,MATCH($D111,'Landbrugsareal - resultat'!$R$5:$T$5,0))))))),IF($C111="Konventionel",IF(I$2=2019,SUMPRODUCT((C111='Landbrugsareal - resultat'!$B$33:$B$46)*(INDEX('Landbrugsareal - resultat'!$C$33:$E$46,,MATCH($D111,'Landbrugsareal - resultat'!$C$5:$E$5,0)))),IF(I$2=2030,SUMPRODUCT(($B111='Landbrugsareal - resultat'!$B$33:$B$46)*(INDEX('Landbrugsareal - resultat'!$F$33:$H$46,,MATCH($D111,'Landbrugsareal - resultat'!$F$5:$H$5,0)))),SUMPRODUCT(($B111='Landbrugsareal - resultat'!$B$33:$B$46)*(INDEX('Landbrugsareal - resultat'!$I$33:$K$46,,MATCH($D111,'Landbrugsareal - resultat'!$I$5:$K$5,0)))))),IF(I$2=2019,SUMPRODUCT(($B111='Landbrugsareal - resultat'!$B$33:$B$46)*(INDEX('Landbrugsareal - resultat'!$L$33:$N$46,,MATCH($D111,'Landbrugsareal - resultat'!$L$5:$N$5,0)))),IF(I$2=2030,SUMPRODUCT(($B111='Landbrugsareal - resultat'!$B$33:$B$46)*(INDEX('Landbrugsareal - resultat'!$O$33:$Q$46,,MATCH($D111,'Landbrugsareal - resultat'!$O$5:$Q$5,0)))),SUMPRODUCT(($B111='Landbrugsareal - resultat'!$B$33:$B$46)*(INDEX('Landbrugsareal - resultat'!$R$33:$T$46,,MATCH($D111,'Landbrugsareal - resultat'!$R$5:$T$5,0))))))))</f>
        <v>1337.6591722064732</v>
      </c>
    </row>
    <row r="112" spans="1:9" x14ac:dyDescent="0.25">
      <c r="A112" t="s">
        <v>24</v>
      </c>
      <c r="B112" s="1" t="str">
        <f>[1]Afgrødefordeling!$C$13</f>
        <v>Juletræer</v>
      </c>
      <c r="C112" t="s">
        <v>7</v>
      </c>
      <c r="D112" t="str">
        <f t="shared" si="9"/>
        <v>OC6</v>
      </c>
      <c r="F112" t="str">
        <f t="shared" si="6"/>
        <v>Areal-juletræer</v>
      </c>
      <c r="G112" s="96" cm="1">
        <f t="array" ref="G112">IF($A112="Vestdanmark",IF($C112="Konventionel",IF(G$2=2019,SUMPRODUCT(($B112='Landbrugsareal - resultat'!$B$6:$B$19)*(INDEX('Landbrugsareal - resultat'!$C$6:$E$19,,MATCH($D112,'Landbrugsareal - resultat'!$C$5:$E$5,0)))),IF(G$2=2030,SUMPRODUCT(($B112='Landbrugsareal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resultat'!$I$5:$K$5,0)))))),IF(G$2=2019,SUMPRODUCT(($B112='Landbrugsareal - resultat'!$B$6:$B$19)*(INDEX('Landbrugsareal - resultat'!$L$6:$N$19,,MATCH($D112,'Landbrugsareal - resultat'!$L$5:$N$5,0)))),IF(G$2=2030,SUMPRODUCT(($B112='Landbrugsareal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resultat'!$R$5:$T$5,0))))))),IF($C112="Konventionel",IF(G$2=2019,SUMPRODUCT((B112='Landbrugsareal - resultat'!$B$33:$B$46)*(INDEX('Landbrugsareal - resultat'!$C$33:$E$46,,MATCH($D112,'Landbrugsareal - resultat'!$C$5:$E$5,0)))),IF(G$2=2030,SUMPRODUCT(($B112='Landbrugsareal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resultat'!$I$5:$K$5,0)))))),IF(G$2=2019,SUMPRODUCT(($B112='Landbrugsareal - resultat'!$B$33:$B$46)*(INDEX('Landbrugsareal - resultat'!$L$33:$N$46,,MATCH($D112,'Landbrugsareal - resultat'!$L$5:$N$5,0)))),IF(G$2=2030,SUMPRODUCT(($B112='Landbrugsareal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46.869696544048971</v>
      </c>
      <c r="H112" s="96" cm="1">
        <f t="array" ref="H112">IF($A112="Vestdanmark",IF($C112="Konventionel",IF(H$2=2019,SUMPRODUCT(($B112='Landbrugsareal - resultat'!$B$6:$B$19)*(INDEX('Landbrugsareal - resultat'!$C$6:$E$19,,MATCH($D112,'Landbrugsareal - resultat'!$C$5:$E$5,0)))),IF(H$2=2030,SUMPRODUCT(($B112='Landbrugsareal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resultat'!$I$5:$K$5,0)))))),IF(H$2=2019,SUMPRODUCT(($B112='Landbrugsareal - resultat'!$B$6:$B$19)*(INDEX('Landbrugsareal - resultat'!$L$6:$N$19,,MATCH($D112,'Landbrugsareal - resultat'!$L$5:$N$5,0)))),IF(H$2=2030,SUMPRODUCT(($B112='Landbrugsareal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resultat'!$R$5:$T$5,0))))))),IF($C112="Konventionel",IF(H$2=2019,SUMPRODUCT(($B112='Landbrugsareal - resultat'!$B$33:$B$46)*(INDEX('Landbrugsareal - resultat'!$C$33:$E$46,,MATCH($D112,'Landbrugsareal - resultat'!$C$5:$E$5,0)))),IF(H$2=2030,SUMPRODUCT(($B112='Landbrugsareal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resultat'!$I$5:$K$5,0)))))),IF(H$2=2019,SUMPRODUCT(($B112='Landbrugsareal - resultat'!$B$33:$B$46)*(INDEX('Landbrugsareal - resultat'!$L$33:$N$46,,MATCH($D112,'Landbrugsareal - resultat'!$L$5:$N$5,0)))),IF(H$2=2030,SUMPRODUCT(($B112='Landbrugsareal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42.39489404904166</v>
      </c>
      <c r="I112" s="96" cm="1">
        <f t="array" ref="I112">IF($A112="Vestdanmark",IF($C112="Konventionel",IF(I$2=2019,SUMPRODUCT(($B112='Landbrugsareal - resultat'!$B$6:$B$19)*(INDEX('Landbrugsareal - resultat'!$C$6:$E$19,,MATCH($D112,'Landbrugsareal - resultat'!$C$5:$E$5,0)))),IF(I$2=2030,SUMPRODUCT(($B112='Landbrugsareal - resultat'!$B$6:$B$19)*(INDEX('Landbrugsareal - resultat'!$F$6:$H$19,,MATCH($D112,'Landbrugsareal - resultat'!$F$5:$H$5,0)))),SUMPRODUCT(($B112='Landbrugsareal - resultat'!$B$6:$B$19)*(INDEX('Landbrugsareal - resultat'!$I$6:$K$19,,MATCH($D112,'Landbrugsareal - resultat'!$I$5:$K$5,0)))))),IF(I$2=2019,SUMPRODUCT(($B112='Landbrugsareal - resultat'!$B$6:$B$19)*(INDEX('Landbrugsareal - resultat'!$L$6:$N$19,,MATCH($D112,'Landbrugsareal - resultat'!$L$5:$N$5,0)))),IF(I$2=2030,SUMPRODUCT(($B112='Landbrugsareal - resultat'!$B$6:$B$19)*(INDEX('Landbrugsareal - resultat'!$O$6:$Q$19,,MATCH($D112,'Landbrugsareal - resultat'!$O$5:$Q$5,0)))),SUMPRODUCT(($B112='Landbrugsareal - resultat'!$B$6:$B$19)*(INDEX('Landbrugsareal - resultat'!$R$6:$T$19,,MATCH($D112,'Landbrugsareal - resultat'!$R$5:$T$5,0))))))),IF($C112="Konventionel",IF(I$2=2019,SUMPRODUCT((C112='Landbrugsareal - resultat'!$B$33:$B$46)*(INDEX('Landbrugsareal - resultat'!$C$33:$E$46,,MATCH($D112,'Landbrugsareal - resultat'!$C$5:$E$5,0)))),IF(I$2=2030,SUMPRODUCT(($B112='Landbrugsareal - resultat'!$B$33:$B$46)*(INDEX('Landbrugsareal - resultat'!$F$33:$H$46,,MATCH($D112,'Landbrugsareal - resultat'!$F$5:$H$5,0)))),SUMPRODUCT(($B112='Landbrugsareal - resultat'!$B$33:$B$46)*(INDEX('Landbrugsareal - resultat'!$I$33:$K$46,,MATCH($D112,'Landbrugsareal - resultat'!$I$5:$K$5,0)))))),IF(I$2=2019,SUMPRODUCT(($B112='Landbrugsareal - resultat'!$B$33:$B$46)*(INDEX('Landbrugsareal - resultat'!$L$33:$N$46,,MATCH($D112,'Landbrugsareal - resultat'!$L$5:$N$5,0)))),IF(I$2=2030,SUMPRODUCT(($B112='Landbrugsareal - resultat'!$B$33:$B$46)*(INDEX('Landbrugsareal - resultat'!$O$33:$Q$46,,MATCH($D112,'Landbrugsareal - resultat'!$O$5:$Q$5,0)))),SUMPRODUCT(($B112='Landbrugsareal - resultat'!$B$33:$B$46)*(INDEX('Landbrugsareal - resultat'!$R$33:$T$46,,MATCH($D112,'Landbrugsareal - resultat'!$R$5:$T$5,0))))))))</f>
        <v>40.434436520762276</v>
      </c>
    </row>
    <row r="113" spans="1:9" x14ac:dyDescent="0.25">
      <c r="A113" t="s">
        <v>24</v>
      </c>
      <c r="B113" s="1" t="str">
        <f>[1]Afgrødefordeling!$C$14</f>
        <v>Pil &amp; poppel</v>
      </c>
      <c r="C113" t="s">
        <v>7</v>
      </c>
      <c r="D113" t="str">
        <f t="shared" si="9"/>
        <v>OC6</v>
      </c>
      <c r="F113" t="str">
        <f t="shared" si="6"/>
        <v>Areal-pil-poppel</v>
      </c>
      <c r="G113" s="96" cm="1">
        <f t="array" ref="G113">IF($A113="Vestdanmark",IF($C113="Konventionel",IF(G$2=2019,SUMPRODUCT(($B113='Landbrugsareal - resultat'!$B$6:$B$19)*(INDEX('Landbrugsareal - resultat'!$C$6:$E$19,,MATCH($D113,'Landbrugsareal - resultat'!$C$5:$E$5,0)))),IF(G$2=2030,SUMPRODUCT(($B113='Landbrugsareal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resultat'!$I$5:$K$5,0)))))),IF(G$2=2019,SUMPRODUCT(($B113='Landbrugsareal - resultat'!$B$6:$B$19)*(INDEX('Landbrugsareal - resultat'!$L$6:$N$19,,MATCH($D113,'Landbrugsareal - resultat'!$L$5:$N$5,0)))),IF(G$2=2030,SUMPRODUCT(($B113='Landbrugsareal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resultat'!$R$5:$T$5,0))))))),IF($C113="Konventionel",IF(G$2=2019,SUMPRODUCT((B113='Landbrugsareal - resultat'!$B$33:$B$46)*(INDEX('Landbrugsareal - resultat'!$C$33:$E$46,,MATCH($D113,'Landbrugsareal - resultat'!$C$5:$E$5,0)))),IF(G$2=2030,SUMPRODUCT(($B113='Landbrugsareal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resultat'!$I$5:$K$5,0)))))),IF(G$2=2019,SUMPRODUCT(($B113='Landbrugsareal - resultat'!$B$33:$B$46)*(INDEX('Landbrugsareal - resultat'!$L$33:$N$46,,MATCH($D113,'Landbrugsareal - resultat'!$L$5:$N$5,0)))),IF(G$2=2030,SUMPRODUCT(($B113='Landbrugsareal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99.475001424808809</v>
      </c>
      <c r="H113" s="96" cm="1">
        <f t="array" ref="H113">IF($A113="Vestdanmark",IF($C113="Konventionel",IF(H$2=2019,SUMPRODUCT(($B113='Landbrugsareal - resultat'!$B$6:$B$19)*(INDEX('Landbrugsareal - resultat'!$C$6:$E$19,,MATCH($D113,'Landbrugsareal - resultat'!$C$5:$E$5,0)))),IF(H$2=2030,SUMPRODUCT(($B113='Landbrugsareal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resultat'!$I$5:$K$5,0)))))),IF(H$2=2019,SUMPRODUCT(($B113='Landbrugsareal - resultat'!$B$6:$B$19)*(INDEX('Landbrugsareal - resultat'!$L$6:$N$19,,MATCH($D113,'Landbrugsareal - resultat'!$L$5:$N$5,0)))),IF(H$2=2030,SUMPRODUCT(($B113='Landbrugsareal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resultat'!$R$5:$T$5,0))))))),IF($C113="Konventionel",IF(H$2=2019,SUMPRODUCT(($B113='Landbrugsareal - resultat'!$B$33:$B$46)*(INDEX('Landbrugsareal - resultat'!$C$33:$E$46,,MATCH($D113,'Landbrugsareal - resultat'!$C$5:$E$5,0)))),IF(H$2=2030,SUMPRODUCT(($B113='Landbrugsareal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resultat'!$I$5:$K$5,0)))))),IF(H$2=2019,SUMPRODUCT(($B113='Landbrugsareal - resultat'!$B$33:$B$46)*(INDEX('Landbrugsareal - resultat'!$L$33:$N$46,,MATCH($D113,'Landbrugsareal - resultat'!$L$5:$N$5,0)))),IF(H$2=2030,SUMPRODUCT(($B113='Landbrugsareal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89.977799236861017</v>
      </c>
      <c r="I113" s="96" cm="1">
        <f t="array" ref="I113">IF($A113="Vestdanmark",IF($C113="Konventionel",IF(I$2=2019,SUMPRODUCT(($B113='Landbrugsareal - resultat'!$B$6:$B$19)*(INDEX('Landbrugsareal - resultat'!$C$6:$E$19,,MATCH($D113,'Landbrugsareal - resultat'!$C$5:$E$5,0)))),IF(I$2=2030,SUMPRODUCT(($B113='Landbrugsareal - resultat'!$B$6:$B$19)*(INDEX('Landbrugsareal - resultat'!$F$6:$H$19,,MATCH($D113,'Landbrugsareal - resultat'!$F$5:$H$5,0)))),SUMPRODUCT(($B113='Landbrugsareal - resultat'!$B$6:$B$19)*(INDEX('Landbrugsareal - resultat'!$I$6:$K$19,,MATCH($D113,'Landbrugsareal - resultat'!$I$5:$K$5,0)))))),IF(I$2=2019,SUMPRODUCT(($B113='Landbrugsareal - resultat'!$B$6:$B$19)*(INDEX('Landbrugsareal - resultat'!$L$6:$N$19,,MATCH($D113,'Landbrugsareal - resultat'!$L$5:$N$5,0)))),IF(I$2=2030,SUMPRODUCT(($B113='Landbrugsareal - resultat'!$B$6:$B$19)*(INDEX('Landbrugsareal - resultat'!$O$6:$Q$19,,MATCH($D113,'Landbrugsareal - resultat'!$O$5:$Q$5,0)))),SUMPRODUCT(($B113='Landbrugsareal - resultat'!$B$6:$B$19)*(INDEX('Landbrugsareal - resultat'!$R$6:$T$19,,MATCH($D113,'Landbrugsareal - resultat'!$R$5:$T$5,0))))))),IF($C113="Konventionel",IF(I$2=2019,SUMPRODUCT((C113='Landbrugsareal - resultat'!$B$33:$B$46)*(INDEX('Landbrugsareal - resultat'!$C$33:$E$46,,MATCH($D113,'Landbrugsareal - resultat'!$C$5:$E$5,0)))),IF(I$2=2030,SUMPRODUCT(($B113='Landbrugsareal - resultat'!$B$33:$B$46)*(INDEX('Landbrugsareal - resultat'!$F$33:$H$46,,MATCH($D113,'Landbrugsareal - resultat'!$F$5:$H$5,0)))),SUMPRODUCT(($B113='Landbrugsareal - resultat'!$B$33:$B$46)*(INDEX('Landbrugsareal - resultat'!$I$33:$K$46,,MATCH($D113,'Landbrugsareal - resultat'!$I$5:$K$5,0)))))),IF(I$2=2019,SUMPRODUCT(($B113='Landbrugsareal - resultat'!$B$33:$B$46)*(INDEX('Landbrugsareal - resultat'!$L$33:$N$46,,MATCH($D113,'Landbrugsareal - resultat'!$L$5:$N$5,0)))),IF(I$2=2030,SUMPRODUCT(($B113='Landbrugsareal - resultat'!$B$33:$B$46)*(INDEX('Landbrugsareal - resultat'!$O$33:$Q$46,,MATCH($D113,'Landbrugsareal - resultat'!$O$5:$Q$5,0)))),SUMPRODUCT(($B113='Landbrugsareal - resultat'!$B$33:$B$46)*(INDEX('Landbrugsareal - resultat'!$R$33:$T$46,,MATCH($D113,'Landbrugsareal - resultat'!$R$5:$T$5,0))))))))</f>
        <v>85.816976150763395</v>
      </c>
    </row>
    <row r="114" spans="1:9" x14ac:dyDescent="0.25">
      <c r="A114" t="s">
        <v>24</v>
      </c>
      <c r="B114" s="1" t="str">
        <f>[1]Afgrødefordeling!$C$15</f>
        <v>Permanent græs</v>
      </c>
      <c r="C114" t="s">
        <v>7</v>
      </c>
      <c r="D114" t="str">
        <f t="shared" si="9"/>
        <v>OC6</v>
      </c>
      <c r="F114" t="str">
        <f t="shared" si="6"/>
        <v>Areal-permanent græs</v>
      </c>
      <c r="G114" s="96" cm="1">
        <f t="array" ref="G114">IF($A114="Vestdanmark",IF($C114="Konventionel",IF(G$2=2019,SUMPRODUCT(($B114='Landbrugsareal - resultat'!$B$6:$B$19)*(INDEX('Landbrugsareal - resultat'!$C$6:$E$19,,MATCH($D114,'Landbrugsareal - resultat'!$C$5:$E$5,0)))),IF(G$2=2030,SUMPRODUCT(($B114='Landbrugsareal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resultat'!$I$5:$K$5,0)))))),IF(G$2=2019,SUMPRODUCT(($B114='Landbrugsareal - resultat'!$B$6:$B$19)*(INDEX('Landbrugsareal - resultat'!$L$6:$N$19,,MATCH($D114,'Landbrugsareal - resultat'!$L$5:$N$5,0)))),IF(G$2=2030,SUMPRODUCT(($B114='Landbrugsareal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resultat'!$R$5:$T$5,0))))))),IF($C114="Konventionel",IF(G$2=2019,SUMPRODUCT((B114='Landbrugsareal - resultat'!$B$33:$B$46)*(INDEX('Landbrugsareal - resultat'!$C$33:$E$46,,MATCH($D114,'Landbrugsareal - resultat'!$C$5:$E$5,0)))),IF(G$2=2030,SUMPRODUCT(($B114='Landbrugsareal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resultat'!$I$5:$K$5,0)))))),IF(G$2=2019,SUMPRODUCT(($B114='Landbrugsareal - resultat'!$B$33:$B$46)*(INDEX('Landbrugsareal - resultat'!$L$33:$N$46,,MATCH($D114,'Landbrugsareal - resultat'!$L$5:$N$5,0)))),IF(G$2=2030,SUMPRODUCT(($B114='Landbrugsareal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2905.4159151668305</v>
      </c>
      <c r="H114" s="96" cm="1">
        <f t="array" ref="H114">IF($A114="Vestdanmark",IF($C114="Konventionel",IF(H$2=2019,SUMPRODUCT(($B114='Landbrugsareal - resultat'!$B$6:$B$19)*(INDEX('Landbrugsareal - resultat'!$C$6:$E$19,,MATCH($D114,'Landbrugsareal - resultat'!$C$5:$E$5,0)))),IF(H$2=2030,SUMPRODUCT(($B114='Landbrugsareal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resultat'!$I$5:$K$5,0)))))),IF(H$2=2019,SUMPRODUCT(($B114='Landbrugsareal - resultat'!$B$6:$B$19)*(INDEX('Landbrugsareal - resultat'!$L$6:$N$19,,MATCH($D114,'Landbrugsareal - resultat'!$L$5:$N$5,0)))),IF(H$2=2030,SUMPRODUCT(($B114='Landbrugsareal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resultat'!$R$5:$T$5,0))))))),IF($C114="Konventionel",IF(H$2=2019,SUMPRODUCT(($B114='Landbrugsareal - resultat'!$B$33:$B$46)*(INDEX('Landbrugsareal - resultat'!$C$33:$E$46,,MATCH($D114,'Landbrugsareal - resultat'!$C$5:$E$5,0)))),IF(H$2=2030,SUMPRODUCT(($B114='Landbrugsareal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resultat'!$I$5:$K$5,0)))))),IF(H$2=2019,SUMPRODUCT(($B114='Landbrugsareal - resultat'!$B$33:$B$46)*(INDEX('Landbrugsareal - resultat'!$L$33:$N$46,,MATCH($D114,'Landbrugsareal - resultat'!$L$5:$N$5,0)))),IF(H$2=2030,SUMPRODUCT(($B114='Landbrugsareal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2607.6878360294108</v>
      </c>
      <c r="I114" s="96" cm="1">
        <f t="array" ref="I114">IF($A114="Vestdanmark",IF($C114="Konventionel",IF(I$2=2019,SUMPRODUCT(($B114='Landbrugsareal - resultat'!$B$6:$B$19)*(INDEX('Landbrugsareal - resultat'!$C$6:$E$19,,MATCH($D114,'Landbrugsareal - resultat'!$C$5:$E$5,0)))),IF(I$2=2030,SUMPRODUCT(($B114='Landbrugsareal - resultat'!$B$6:$B$19)*(INDEX('Landbrugsareal - resultat'!$F$6:$H$19,,MATCH($D114,'Landbrugsareal - resultat'!$F$5:$H$5,0)))),SUMPRODUCT(($B114='Landbrugsareal - resultat'!$B$6:$B$19)*(INDEX('Landbrugsareal - resultat'!$I$6:$K$19,,MATCH($D114,'Landbrugsareal - resultat'!$I$5:$K$5,0)))))),IF(I$2=2019,SUMPRODUCT(($B114='Landbrugsareal - resultat'!$B$6:$B$19)*(INDEX('Landbrugsareal - resultat'!$L$6:$N$19,,MATCH($D114,'Landbrugsareal - resultat'!$L$5:$N$5,0)))),IF(I$2=2030,SUMPRODUCT(($B114='Landbrugsareal - resultat'!$B$6:$B$19)*(INDEX('Landbrugsareal - resultat'!$O$6:$Q$19,,MATCH($D114,'Landbrugsareal - resultat'!$O$5:$Q$5,0)))),SUMPRODUCT(($B114='Landbrugsareal - resultat'!$B$6:$B$19)*(INDEX('Landbrugsareal - resultat'!$R$6:$T$19,,MATCH($D114,'Landbrugsareal - resultat'!$R$5:$T$5,0))))))),IF($C114="Konventionel",IF(I$2=2019,SUMPRODUCT((C114='Landbrugsareal - resultat'!$B$33:$B$46)*(INDEX('Landbrugsareal - resultat'!$C$33:$E$46,,MATCH($D114,'Landbrugsareal - resultat'!$C$5:$E$5,0)))),IF(I$2=2030,SUMPRODUCT(($B114='Landbrugsareal - resultat'!$B$33:$B$46)*(INDEX('Landbrugsareal - resultat'!$F$33:$H$46,,MATCH($D114,'Landbrugsareal - resultat'!$F$5:$H$5,0)))),SUMPRODUCT(($B114='Landbrugsareal - resultat'!$B$33:$B$46)*(INDEX('Landbrugsareal - resultat'!$I$33:$K$46,,MATCH($D114,'Landbrugsareal - resultat'!$I$5:$K$5,0)))))),IF(I$2=2019,SUMPRODUCT(($B114='Landbrugsareal - resultat'!$B$33:$B$46)*(INDEX('Landbrugsareal - resultat'!$L$33:$N$46,,MATCH($D114,'Landbrugsareal - resultat'!$L$5:$N$5,0)))),IF(I$2=2030,SUMPRODUCT(($B114='Landbrugsareal - resultat'!$B$33:$B$46)*(INDEX('Landbrugsareal - resultat'!$O$33:$Q$46,,MATCH($D114,'Landbrugsareal - resultat'!$O$5:$Q$5,0)))),SUMPRODUCT(($B114='Landbrugsareal - resultat'!$B$33:$B$46)*(INDEX('Landbrugsareal - resultat'!$R$33:$T$46,,MATCH($D114,'Landbrugsareal - resultat'!$R$5:$T$5,0))))))))</f>
        <v>2487.1011152881665</v>
      </c>
    </row>
    <row r="115" spans="1:9" x14ac:dyDescent="0.25">
      <c r="A115" t="s">
        <v>24</v>
      </c>
      <c r="B115" s="1" t="str">
        <f>[1]Afgrødefordeling!$C$2</f>
        <v>Korn</v>
      </c>
      <c r="C115" t="s">
        <v>7</v>
      </c>
      <c r="D115" t="str">
        <f t="shared" ref="D115:D128" si="10">Organ12</f>
        <v>OC12</v>
      </c>
      <c r="F115" t="str">
        <f t="shared" si="6"/>
        <v>Areal-korn</v>
      </c>
      <c r="G115" s="96" cm="1">
        <f t="array" ref="G115">IF($A115="Vestdanmark",IF($C115="Konventionel",IF(G$2=2019,SUMPRODUCT(($B115='Landbrugsareal - resultat'!$B$6:$B$19)*(INDEX('Landbrugsareal - resultat'!$C$6:$E$19,,MATCH($D115,'Landbrugsareal - resultat'!$C$5:$E$5,0)))),IF(G$2=2030,SUMPRODUCT(($B115='Landbrugsareal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resultat'!$I$5:$K$5,0)))))),IF(G$2=2019,SUMPRODUCT(($B115='Landbrugsareal - resultat'!$B$6:$B$19)*(INDEX('Landbrugsareal - resultat'!$L$6:$N$19,,MATCH($D115,'Landbrugsareal - resultat'!$L$5:$N$5,0)))),IF(G$2=2030,SUMPRODUCT(($B115='Landbrugsareal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resultat'!$R$5:$T$5,0))))))),IF($C115="Konventionel",IF(G$2=2019,SUMPRODUCT((B115='Landbrugsareal - resultat'!$B$33:$B$46)*(INDEX('Landbrugsareal - resultat'!$C$33:$E$46,,MATCH($D115,'Landbrugsareal - resultat'!$C$5:$E$5,0)))),IF(G$2=2030,SUMPRODUCT(($B115='Landbrugsareal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resultat'!$I$5:$K$5,0)))))),IF(G$2=2019,SUMPRODUCT(($B115='Landbrugsareal - resultat'!$B$33:$B$46)*(INDEX('Landbrugsareal - resultat'!$L$33:$N$46,,MATCH($D115,'Landbrugsareal - resultat'!$L$5:$N$5,0)))),IF(G$2=2030,SUMPRODUCT(($B115='Landbrugsareal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2405.3656764330426</v>
      </c>
      <c r="H115" s="96" cm="1">
        <f t="array" ref="H115">IF($A115="Vestdanmark",IF($C115="Konventionel",IF(H$2=2019,SUMPRODUCT(($B115='Landbrugsareal - resultat'!$B$6:$B$19)*(INDEX('Landbrugsareal - resultat'!$C$6:$E$19,,MATCH($D115,'Landbrugsareal - resultat'!$C$5:$E$5,0)))),IF(H$2=2030,SUMPRODUCT(($B115='Landbrugsareal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resultat'!$I$5:$K$5,0)))))),IF(H$2=2019,SUMPRODUCT(($B115='Landbrugsareal - resultat'!$B$6:$B$19)*(INDEX('Landbrugsareal - resultat'!$L$6:$N$19,,MATCH($D115,'Landbrugsareal - resultat'!$L$5:$N$5,0)))),IF(H$2=2030,SUMPRODUCT(($B115='Landbrugsareal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resultat'!$R$5:$T$5,0))))))),IF($C115="Konventionel",IF(H$2=2019,SUMPRODUCT(($B115='Landbrugsareal - resultat'!$B$33:$B$46)*(INDEX('Landbrugsareal - resultat'!$C$33:$E$46,,MATCH($D115,'Landbrugsareal - resultat'!$C$5:$E$5,0)))),IF(H$2=2030,SUMPRODUCT(($B115='Landbrugsareal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resultat'!$I$5:$K$5,0)))))),IF(H$2=2019,SUMPRODUCT(($B115='Landbrugsareal - resultat'!$B$33:$B$46)*(INDEX('Landbrugsareal - resultat'!$L$33:$N$46,,MATCH($D115,'Landbrugsareal - resultat'!$L$5:$N$5,0)))),IF(H$2=2030,SUMPRODUCT(($B115='Landbrugsareal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2192.9450163594229</v>
      </c>
      <c r="I115" s="96" cm="1">
        <f t="array" ref="I115">IF($A115="Vestdanmark",IF($C115="Konventionel",IF(I$2=2019,SUMPRODUCT(($B115='Landbrugsareal - resultat'!$B$6:$B$19)*(INDEX('Landbrugsareal - resultat'!$C$6:$E$19,,MATCH($D115,'Landbrugsareal - resultat'!$C$5:$E$5,0)))),IF(I$2=2030,SUMPRODUCT(($B115='Landbrugsareal - resultat'!$B$6:$B$19)*(INDEX('Landbrugsareal - resultat'!$F$6:$H$19,,MATCH($D115,'Landbrugsareal - resultat'!$F$5:$H$5,0)))),SUMPRODUCT(($B115='Landbrugsareal - resultat'!$B$6:$B$19)*(INDEX('Landbrugsareal - resultat'!$I$6:$K$19,,MATCH($D115,'Landbrugsareal - resultat'!$I$5:$K$5,0)))))),IF(I$2=2019,SUMPRODUCT(($B115='Landbrugsareal - resultat'!$B$6:$B$19)*(INDEX('Landbrugsareal - resultat'!$L$6:$N$19,,MATCH($D115,'Landbrugsareal - resultat'!$L$5:$N$5,0)))),IF(I$2=2030,SUMPRODUCT(($B115='Landbrugsareal - resultat'!$B$6:$B$19)*(INDEX('Landbrugsareal - resultat'!$O$6:$Q$19,,MATCH($D115,'Landbrugsareal - resultat'!$O$5:$Q$5,0)))),SUMPRODUCT(($B115='Landbrugsareal - resultat'!$B$6:$B$19)*(INDEX('Landbrugsareal - resultat'!$R$6:$T$19,,MATCH($D115,'Landbrugsareal - resultat'!$R$5:$T$5,0))))))),IF($C115="Konventionel",IF(I$2=2019,SUMPRODUCT((C115='Landbrugsareal - resultat'!$B$33:$B$46)*(INDEX('Landbrugsareal - resultat'!$C$33:$E$46,,MATCH($D115,'Landbrugsareal - resultat'!$C$5:$E$5,0)))),IF(I$2=2030,SUMPRODUCT(($B115='Landbrugsareal - resultat'!$B$33:$B$46)*(INDEX('Landbrugsareal - resultat'!$F$33:$H$46,,MATCH($D115,'Landbrugsareal - resultat'!$F$5:$H$5,0)))),SUMPRODUCT(($B115='Landbrugsareal - resultat'!$B$33:$B$46)*(INDEX('Landbrugsareal - resultat'!$I$33:$K$46,,MATCH($D115,'Landbrugsareal - resultat'!$I$5:$K$5,0)))))),IF(I$2=2019,SUMPRODUCT(($B115='Landbrugsareal - resultat'!$B$33:$B$46)*(INDEX('Landbrugsareal - resultat'!$L$33:$N$46,,MATCH($D115,'Landbrugsareal - resultat'!$L$5:$N$5,0)))),IF(I$2=2030,SUMPRODUCT(($B115='Landbrugsareal - resultat'!$B$33:$B$46)*(INDEX('Landbrugsareal - resultat'!$O$33:$Q$46,,MATCH($D115,'Landbrugsareal - resultat'!$O$5:$Q$5,0)))),SUMPRODUCT(($B115='Landbrugsareal - resultat'!$B$33:$B$46)*(INDEX('Landbrugsareal - resultat'!$R$33:$T$46,,MATCH($D115,'Landbrugsareal - resultat'!$R$5:$T$5,0))))))))</f>
        <v>2091.5371543312413</v>
      </c>
    </row>
    <row r="116" spans="1:9" x14ac:dyDescent="0.25">
      <c r="A116" t="s">
        <v>24</v>
      </c>
      <c r="B116" s="1" t="str">
        <f>[1]Afgrødefordeling!$C$3</f>
        <v>Bælgsæd</v>
      </c>
      <c r="C116" t="s">
        <v>7</v>
      </c>
      <c r="D116" t="str">
        <f t="shared" si="10"/>
        <v>OC12</v>
      </c>
      <c r="F116" t="str">
        <f t="shared" si="6"/>
        <v>Areal-bælgsæd</v>
      </c>
      <c r="G116" s="96" cm="1">
        <f t="array" ref="G116">IF($A116="Vestdanmark",IF($C116="Konventionel",IF(G$2=2019,SUMPRODUCT(($B116='Landbrugsareal - resultat'!$B$6:$B$19)*(INDEX('Landbrugsareal - resultat'!$C$6:$E$19,,MATCH($D116,'Landbrugsareal - resultat'!$C$5:$E$5,0)))),IF(G$2=2030,SUMPRODUCT(($B116='Landbrugsareal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resultat'!$I$5:$K$5,0)))))),IF(G$2=2019,SUMPRODUCT(($B116='Landbrugsareal - resultat'!$B$6:$B$19)*(INDEX('Landbrugsareal - resultat'!$L$6:$N$19,,MATCH($D116,'Landbrugsareal - resultat'!$L$5:$N$5,0)))),IF(G$2=2030,SUMPRODUCT(($B116='Landbrugsareal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resultat'!$R$5:$T$5,0))))))),IF($C116="Konventionel",IF(G$2=2019,SUMPRODUCT((B116='Landbrugsareal - resultat'!$B$33:$B$46)*(INDEX('Landbrugsareal - resultat'!$C$33:$E$46,,MATCH($D116,'Landbrugsareal - resultat'!$C$5:$E$5,0)))),IF(G$2=2030,SUMPRODUCT(($B116='Landbrugsareal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resultat'!$I$5:$K$5,0)))))),IF(G$2=2019,SUMPRODUCT(($B116='Landbrugsareal - resultat'!$B$33:$B$46)*(INDEX('Landbrugsareal - resultat'!$L$33:$N$46,,MATCH($D116,'Landbrugsareal - resultat'!$L$5:$N$5,0)))),IF(G$2=2030,SUMPRODUCT(($B116='Landbrugsareal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43.689372610861462</v>
      </c>
      <c r="H116" s="96" cm="1">
        <f t="array" ref="H116">IF($A116="Vestdanmark",IF($C116="Konventionel",IF(H$2=2019,SUMPRODUCT(($B116='Landbrugsareal - resultat'!$B$6:$B$19)*(INDEX('Landbrugsareal - resultat'!$C$6:$E$19,,MATCH($D116,'Landbrugsareal - resultat'!$C$5:$E$5,0)))),IF(H$2=2030,SUMPRODUCT(($B116='Landbrugsareal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resultat'!$I$5:$K$5,0)))))),IF(H$2=2019,SUMPRODUCT(($B116='Landbrugsareal - resultat'!$B$6:$B$19)*(INDEX('Landbrugsareal - resultat'!$L$6:$N$19,,MATCH($D116,'Landbrugsareal - resultat'!$L$5:$N$5,0)))),IF(H$2=2030,SUMPRODUCT(($B116='Landbrugsareal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resultat'!$R$5:$T$5,0))))))),IF($C116="Konventionel",IF(H$2=2019,SUMPRODUCT(($B116='Landbrugsareal - resultat'!$B$33:$B$46)*(INDEX('Landbrugsareal - resultat'!$C$33:$E$46,,MATCH($D116,'Landbrugsareal - resultat'!$C$5:$E$5,0)))),IF(H$2=2030,SUMPRODUCT(($B116='Landbrugsareal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resultat'!$I$5:$K$5,0)))))),IF(H$2=2019,SUMPRODUCT(($B116='Landbrugsareal - resultat'!$B$33:$B$46)*(INDEX('Landbrugsareal - resultat'!$L$33:$N$46,,MATCH($D116,'Landbrugsareal - resultat'!$L$5:$N$5,0)))),IF(H$2=2030,SUMPRODUCT(($B116='Landbrugsareal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39.831112946175573</v>
      </c>
      <c r="I116" s="96" cm="1">
        <f t="array" ref="I116">IF($A116="Vestdanmark",IF($C116="Konventionel",IF(I$2=2019,SUMPRODUCT(($B116='Landbrugsareal - resultat'!$B$6:$B$19)*(INDEX('Landbrugsareal - resultat'!$C$6:$E$19,,MATCH($D116,'Landbrugsareal - resultat'!$C$5:$E$5,0)))),IF(I$2=2030,SUMPRODUCT(($B116='Landbrugsareal - resultat'!$B$6:$B$19)*(INDEX('Landbrugsareal - resultat'!$F$6:$H$19,,MATCH($D116,'Landbrugsareal - resultat'!$F$5:$H$5,0)))),SUMPRODUCT(($B116='Landbrugsareal - resultat'!$B$6:$B$19)*(INDEX('Landbrugsareal - resultat'!$I$6:$K$19,,MATCH($D116,'Landbrugsareal - resultat'!$I$5:$K$5,0)))))),IF(I$2=2019,SUMPRODUCT(($B116='Landbrugsareal - resultat'!$B$6:$B$19)*(INDEX('Landbrugsareal - resultat'!$L$6:$N$19,,MATCH($D116,'Landbrugsareal - resultat'!$L$5:$N$5,0)))),IF(I$2=2030,SUMPRODUCT(($B116='Landbrugsareal - resultat'!$B$6:$B$19)*(INDEX('Landbrugsareal - resultat'!$O$6:$Q$19,,MATCH($D116,'Landbrugsareal - resultat'!$O$5:$Q$5,0)))),SUMPRODUCT(($B116='Landbrugsareal - resultat'!$B$6:$B$19)*(INDEX('Landbrugsareal - resultat'!$R$6:$T$19,,MATCH($D116,'Landbrugsareal - resultat'!$R$5:$T$5,0))))))),IF($C116="Konventionel",IF(I$2=2019,SUMPRODUCT((C116='Landbrugsareal - resultat'!$B$33:$B$46)*(INDEX('Landbrugsareal - resultat'!$C$33:$E$46,,MATCH($D116,'Landbrugsareal - resultat'!$C$5:$E$5,0)))),IF(I$2=2030,SUMPRODUCT(($B116='Landbrugsareal - resultat'!$B$33:$B$46)*(INDEX('Landbrugsareal - resultat'!$F$33:$H$46,,MATCH($D116,'Landbrugsareal - resultat'!$F$5:$H$5,0)))),SUMPRODUCT(($B116='Landbrugsareal - resultat'!$B$33:$B$46)*(INDEX('Landbrugsareal - resultat'!$I$33:$K$46,,MATCH($D116,'Landbrugsareal - resultat'!$I$5:$K$5,0)))))),IF(I$2=2019,SUMPRODUCT(($B116='Landbrugsareal - resultat'!$B$33:$B$46)*(INDEX('Landbrugsareal - resultat'!$L$33:$N$46,,MATCH($D116,'Landbrugsareal - resultat'!$L$5:$N$5,0)))),IF(I$2=2030,SUMPRODUCT(($B116='Landbrugsareal - resultat'!$B$33:$B$46)*(INDEX('Landbrugsareal - resultat'!$O$33:$Q$46,,MATCH($D116,'Landbrugsareal - resultat'!$O$5:$Q$5,0)))),SUMPRODUCT(($B116='Landbrugsareal - resultat'!$B$33:$B$46)*(INDEX('Landbrugsareal - resultat'!$R$33:$T$46,,MATCH($D116,'Landbrugsareal - resultat'!$R$5:$T$5,0))))))))</f>
        <v>37.989211769473805</v>
      </c>
    </row>
    <row r="117" spans="1:9" x14ac:dyDescent="0.25">
      <c r="A117" t="s">
        <v>24</v>
      </c>
      <c r="B117" s="1" t="str">
        <f>[1]Afgrødefordeling!$C$4</f>
        <v>Raps</v>
      </c>
      <c r="C117" t="s">
        <v>7</v>
      </c>
      <c r="D117" t="str">
        <f t="shared" si="10"/>
        <v>OC12</v>
      </c>
      <c r="F117" t="str">
        <f t="shared" si="6"/>
        <v>Areal-raps</v>
      </c>
      <c r="G117" s="96" cm="1">
        <f t="array" ref="G117">IF($A117="Vestdanmark",IF($C117="Konventionel",IF(G$2=2019,SUMPRODUCT(($B117='Landbrugsareal - resultat'!$B$6:$B$19)*(INDEX('Landbrugsareal - resultat'!$C$6:$E$19,,MATCH($D117,'Landbrugsareal - resultat'!$C$5:$E$5,0)))),IF(G$2=2030,SUMPRODUCT(($B117='Landbrugsareal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resultat'!$I$5:$K$5,0)))))),IF(G$2=2019,SUMPRODUCT(($B117='Landbrugsareal - resultat'!$B$6:$B$19)*(INDEX('Landbrugsareal - resultat'!$L$6:$N$19,,MATCH($D117,'Landbrugsareal - resultat'!$L$5:$N$5,0)))),IF(G$2=2030,SUMPRODUCT(($B117='Landbrugsareal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resultat'!$R$5:$T$5,0))))))),IF($C117="Konventionel",IF(G$2=2019,SUMPRODUCT((B117='Landbrugsareal - resultat'!$B$33:$B$46)*(INDEX('Landbrugsareal - resultat'!$C$33:$E$46,,MATCH($D117,'Landbrugsareal - resultat'!$C$5:$E$5,0)))),IF(G$2=2030,SUMPRODUCT(($B117='Landbrugsareal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resultat'!$I$5:$K$5,0)))))),IF(G$2=2019,SUMPRODUCT(($B117='Landbrugsareal - resultat'!$B$33:$B$46)*(INDEX('Landbrugsareal - resultat'!$L$33:$N$46,,MATCH($D117,'Landbrugsareal - resultat'!$L$5:$N$5,0)))),IF(G$2=2030,SUMPRODUCT(($B117='Landbrugsareal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213.41236227092585</v>
      </c>
      <c r="H117" s="96" cm="1">
        <f t="array" ref="H117">IF($A117="Vestdanmark",IF($C117="Konventionel",IF(H$2=2019,SUMPRODUCT(($B117='Landbrugsareal - resultat'!$B$6:$B$19)*(INDEX('Landbrugsareal - resultat'!$C$6:$E$19,,MATCH($D117,'Landbrugsareal - resultat'!$C$5:$E$5,0)))),IF(H$2=2030,SUMPRODUCT(($B117='Landbrugsareal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resultat'!$I$5:$K$5,0)))))),IF(H$2=2019,SUMPRODUCT(($B117='Landbrugsareal - resultat'!$B$6:$B$19)*(INDEX('Landbrugsareal - resultat'!$L$6:$N$19,,MATCH($D117,'Landbrugsareal - resultat'!$L$5:$N$5,0)))),IF(H$2=2030,SUMPRODUCT(($B117='Landbrugsareal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resultat'!$R$5:$T$5,0))))))),IF($C117="Konventionel",IF(H$2=2019,SUMPRODUCT(($B117='Landbrugsareal - resultat'!$B$33:$B$46)*(INDEX('Landbrugsareal - resultat'!$C$33:$E$46,,MATCH($D117,'Landbrugsareal - resultat'!$C$5:$E$5,0)))),IF(H$2=2030,SUMPRODUCT(($B117='Landbrugsareal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resultat'!$I$5:$K$5,0)))))),IF(H$2=2019,SUMPRODUCT(($B117='Landbrugsareal - resultat'!$B$33:$B$46)*(INDEX('Landbrugsareal - resultat'!$L$33:$N$46,,MATCH($D117,'Landbrugsareal - resultat'!$L$5:$N$5,0)))),IF(H$2=2030,SUMPRODUCT(($B117='Landbrugsareal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194.56566660813334</v>
      </c>
      <c r="I117" s="96" cm="1">
        <f t="array" ref="I117">IF($A117="Vestdanmark",IF($C117="Konventionel",IF(I$2=2019,SUMPRODUCT(($B117='Landbrugsareal - resultat'!$B$6:$B$19)*(INDEX('Landbrugsareal - resultat'!$C$6:$E$19,,MATCH($D117,'Landbrugsareal - resultat'!$C$5:$E$5,0)))),IF(I$2=2030,SUMPRODUCT(($B117='Landbrugsareal - resultat'!$B$6:$B$19)*(INDEX('Landbrugsareal - resultat'!$F$6:$H$19,,MATCH($D117,'Landbrugsareal - resultat'!$F$5:$H$5,0)))),SUMPRODUCT(($B117='Landbrugsareal - resultat'!$B$6:$B$19)*(INDEX('Landbrugsareal - resultat'!$I$6:$K$19,,MATCH($D117,'Landbrugsareal - resultat'!$I$5:$K$5,0)))))),IF(I$2=2019,SUMPRODUCT(($B117='Landbrugsareal - resultat'!$B$6:$B$19)*(INDEX('Landbrugsareal - resultat'!$L$6:$N$19,,MATCH($D117,'Landbrugsareal - resultat'!$L$5:$N$5,0)))),IF(I$2=2030,SUMPRODUCT(($B117='Landbrugsareal - resultat'!$B$6:$B$19)*(INDEX('Landbrugsareal - resultat'!$O$6:$Q$19,,MATCH($D117,'Landbrugsareal - resultat'!$O$5:$Q$5,0)))),SUMPRODUCT(($B117='Landbrugsareal - resultat'!$B$6:$B$19)*(INDEX('Landbrugsareal - resultat'!$R$6:$T$19,,MATCH($D117,'Landbrugsareal - resultat'!$R$5:$T$5,0))))))),IF($C117="Konventionel",IF(I$2=2019,SUMPRODUCT((C117='Landbrugsareal - resultat'!$B$33:$B$46)*(INDEX('Landbrugsareal - resultat'!$C$33:$E$46,,MATCH($D117,'Landbrugsareal - resultat'!$C$5:$E$5,0)))),IF(I$2=2030,SUMPRODUCT(($B117='Landbrugsareal - resultat'!$B$33:$B$46)*(INDEX('Landbrugsareal - resultat'!$F$33:$H$46,,MATCH($D117,'Landbrugsareal - resultat'!$F$5:$H$5,0)))),SUMPRODUCT(($B117='Landbrugsareal - resultat'!$B$33:$B$46)*(INDEX('Landbrugsareal - resultat'!$I$33:$K$46,,MATCH($D117,'Landbrugsareal - resultat'!$I$5:$K$5,0)))))),IF(I$2=2019,SUMPRODUCT(($B117='Landbrugsareal - resultat'!$B$33:$B$46)*(INDEX('Landbrugsareal - resultat'!$L$33:$N$46,,MATCH($D117,'Landbrugsareal - resultat'!$L$5:$N$5,0)))),IF(I$2=2030,SUMPRODUCT(($B117='Landbrugsareal - resultat'!$B$33:$B$46)*(INDEX('Landbrugsareal - resultat'!$O$33:$Q$46,,MATCH($D117,'Landbrugsareal - resultat'!$O$5:$Q$5,0)))),SUMPRODUCT(($B117='Landbrugsareal - resultat'!$B$33:$B$46)*(INDEX('Landbrugsareal - resultat'!$R$33:$T$46,,MATCH($D117,'Landbrugsareal - resultat'!$R$5:$T$5,0))))))))</f>
        <v>185.5684103487977</v>
      </c>
    </row>
    <row r="118" spans="1:9" x14ac:dyDescent="0.25">
      <c r="A118" t="s">
        <v>24</v>
      </c>
      <c r="B118" s="1" t="str">
        <f>[1]Afgrødefordeling!$C$5</f>
        <v>Græs</v>
      </c>
      <c r="C118" t="s">
        <v>7</v>
      </c>
      <c r="D118" t="str">
        <f t="shared" si="10"/>
        <v>OC12</v>
      </c>
      <c r="F118" t="str">
        <f t="shared" si="6"/>
        <v>Areal-græs</v>
      </c>
      <c r="G118" s="96" cm="1">
        <f t="array" ref="G118">IF($A118="Vestdanmark",IF($C118="Konventionel",IF(G$2=2019,SUMPRODUCT(($B118='Landbrugsareal - resultat'!$B$6:$B$19)*(INDEX('Landbrugsareal - resultat'!$C$6:$E$19,,MATCH($D118,'Landbrugsareal - resultat'!$C$5:$E$5,0)))),IF(G$2=2030,SUMPRODUCT(($B118='Landbrugsareal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resultat'!$I$5:$K$5,0)))))),IF(G$2=2019,SUMPRODUCT(($B118='Landbrugsareal - resultat'!$B$6:$B$19)*(INDEX('Landbrugsareal - resultat'!$L$6:$N$19,,MATCH($D118,'Landbrugsareal - resultat'!$L$5:$N$5,0)))),IF(G$2=2030,SUMPRODUCT(($B118='Landbrugsareal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resultat'!$R$5:$T$5,0))))))),IF($C118="Konventionel",IF(G$2=2019,SUMPRODUCT((B118='Landbrugsareal - resultat'!$B$33:$B$46)*(INDEX('Landbrugsareal - resultat'!$C$33:$E$46,,MATCH($D118,'Landbrugsareal - resultat'!$C$5:$E$5,0)))),IF(G$2=2030,SUMPRODUCT(($B118='Landbrugsareal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resultat'!$I$5:$K$5,0)))))),IF(G$2=2019,SUMPRODUCT(($B118='Landbrugsareal - resultat'!$B$33:$B$46)*(INDEX('Landbrugsareal - resultat'!$L$33:$N$46,,MATCH($D118,'Landbrugsareal - resultat'!$L$5:$N$5,0)))),IF(G$2=2030,SUMPRODUCT(($B118='Landbrugsareal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1568.2790703534299</v>
      </c>
      <c r="H118" s="96" cm="1">
        <f t="array" ref="H118">IF($A118="Vestdanmark",IF($C118="Konventionel",IF(H$2=2019,SUMPRODUCT(($B118='Landbrugsareal - resultat'!$B$6:$B$19)*(INDEX('Landbrugsareal - resultat'!$C$6:$E$19,,MATCH($D118,'Landbrugsareal - resultat'!$C$5:$E$5,0)))),IF(H$2=2030,SUMPRODUCT(($B118='Landbrugsareal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resultat'!$I$5:$K$5,0)))))),IF(H$2=2019,SUMPRODUCT(($B118='Landbrugsareal - resultat'!$B$6:$B$19)*(INDEX('Landbrugsareal - resultat'!$L$6:$N$19,,MATCH($D118,'Landbrugsareal - resultat'!$L$5:$N$5,0)))),IF(H$2=2030,SUMPRODUCT(($B118='Landbrugsareal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resultat'!$R$5:$T$5,0))))))),IF($C118="Konventionel",IF(H$2=2019,SUMPRODUCT(($B118='Landbrugsareal - resultat'!$B$33:$B$46)*(INDEX('Landbrugsareal - resultat'!$C$33:$E$46,,MATCH($D118,'Landbrugsareal - resultat'!$C$5:$E$5,0)))),IF(H$2=2030,SUMPRODUCT(($B118='Landbrugsareal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resultat'!$I$5:$K$5,0)))))),IF(H$2=2019,SUMPRODUCT(($B118='Landbrugsareal - resultat'!$B$33:$B$46)*(INDEX('Landbrugsareal - resultat'!$L$33:$N$46,,MATCH($D118,'Landbrugsareal - resultat'!$L$5:$N$5,0)))),IF(H$2=2030,SUMPRODUCT(($B118='Landbrugsareal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1429.782508866725</v>
      </c>
      <c r="I118" s="96" cm="1">
        <f t="array" ref="I118">IF($A118="Vestdanmark",IF($C118="Konventionel",IF(I$2=2019,SUMPRODUCT(($B118='Landbrugsareal - resultat'!$B$6:$B$19)*(INDEX('Landbrugsareal - resultat'!$C$6:$E$19,,MATCH($D118,'Landbrugsareal - resultat'!$C$5:$E$5,0)))),IF(I$2=2030,SUMPRODUCT(($B118='Landbrugsareal - resultat'!$B$6:$B$19)*(INDEX('Landbrugsareal - resultat'!$F$6:$H$19,,MATCH($D118,'Landbrugsareal - resultat'!$F$5:$H$5,0)))),SUMPRODUCT(($B118='Landbrugsareal - resultat'!$B$6:$B$19)*(INDEX('Landbrugsareal - resultat'!$I$6:$K$19,,MATCH($D118,'Landbrugsareal - resultat'!$I$5:$K$5,0)))))),IF(I$2=2019,SUMPRODUCT(($B118='Landbrugsareal - resultat'!$B$6:$B$19)*(INDEX('Landbrugsareal - resultat'!$L$6:$N$19,,MATCH($D118,'Landbrugsareal - resultat'!$L$5:$N$5,0)))),IF(I$2=2030,SUMPRODUCT(($B118='Landbrugsareal - resultat'!$B$6:$B$19)*(INDEX('Landbrugsareal - resultat'!$O$6:$Q$19,,MATCH($D118,'Landbrugsareal - resultat'!$O$5:$Q$5,0)))),SUMPRODUCT(($B118='Landbrugsareal - resultat'!$B$6:$B$19)*(INDEX('Landbrugsareal - resultat'!$R$6:$T$19,,MATCH($D118,'Landbrugsareal - resultat'!$R$5:$T$5,0))))))),IF($C118="Konventionel",IF(I$2=2019,SUMPRODUCT((C118='Landbrugsareal - resultat'!$B$33:$B$46)*(INDEX('Landbrugsareal - resultat'!$C$33:$E$46,,MATCH($D118,'Landbrugsareal - resultat'!$C$5:$E$5,0)))),IF(I$2=2030,SUMPRODUCT(($B118='Landbrugsareal - resultat'!$B$33:$B$46)*(INDEX('Landbrugsareal - resultat'!$F$33:$H$46,,MATCH($D118,'Landbrugsareal - resultat'!$F$5:$H$5,0)))),SUMPRODUCT(($B118='Landbrugsareal - resultat'!$B$33:$B$46)*(INDEX('Landbrugsareal - resultat'!$I$33:$K$46,,MATCH($D118,'Landbrugsareal - resultat'!$I$5:$K$5,0)))))),IF(I$2=2019,SUMPRODUCT(($B118='Landbrugsareal - resultat'!$B$33:$B$46)*(INDEX('Landbrugsareal - resultat'!$L$33:$N$46,,MATCH($D118,'Landbrugsareal - resultat'!$L$5:$N$5,0)))),IF(I$2=2030,SUMPRODUCT(($B118='Landbrugsareal - resultat'!$B$33:$B$46)*(INDEX('Landbrugsareal - resultat'!$O$33:$Q$46,,MATCH($D118,'Landbrugsareal - resultat'!$O$5:$Q$5,0)))),SUMPRODUCT(($B118='Landbrugsareal - resultat'!$B$33:$B$46)*(INDEX('Landbrugsareal - resultat'!$R$33:$T$46,,MATCH($D118,'Landbrugsareal - resultat'!$R$5:$T$5,0))))))))</f>
        <v>1363.6653986301135</v>
      </c>
    </row>
    <row r="119" spans="1:9" x14ac:dyDescent="0.25">
      <c r="A119" t="s">
        <v>24</v>
      </c>
      <c r="B119" s="1" t="str">
        <f>[1]Afgrødefordeling!$C$6</f>
        <v>Grøntsager</v>
      </c>
      <c r="C119" t="s">
        <v>7</v>
      </c>
      <c r="D119" t="str">
        <f t="shared" si="10"/>
        <v>OC12</v>
      </c>
      <c r="F119" t="str">
        <f t="shared" si="6"/>
        <v>Areal-grøntsager</v>
      </c>
      <c r="G119" s="96" cm="1">
        <f t="array" ref="G119">IF($A119="Vestdanmark",IF($C119="Konventionel",IF(G$2=2019,SUMPRODUCT(($B119='Landbrugsareal - resultat'!$B$6:$B$19)*(INDEX('Landbrugsareal - resultat'!$C$6:$E$19,,MATCH($D119,'Landbrugsareal - resultat'!$C$5:$E$5,0)))),IF(G$2=2030,SUMPRODUCT(($B119='Landbrugsareal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resultat'!$I$5:$K$5,0)))))),IF(G$2=2019,SUMPRODUCT(($B119='Landbrugsareal - resultat'!$B$6:$B$19)*(INDEX('Landbrugsareal - resultat'!$L$6:$N$19,,MATCH($D119,'Landbrugsareal - resultat'!$L$5:$N$5,0)))),IF(G$2=2030,SUMPRODUCT(($B119='Landbrugsareal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resultat'!$R$5:$T$5,0))))))),IF($C119="Konventionel",IF(G$2=2019,SUMPRODUCT((B119='Landbrugsareal - resultat'!$B$33:$B$46)*(INDEX('Landbrugsareal - resultat'!$C$33:$E$46,,MATCH($D119,'Landbrugsareal - resultat'!$C$5:$E$5,0)))),IF(G$2=2030,SUMPRODUCT(($B119='Landbrugsareal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resultat'!$I$5:$K$5,0)))))),IF(G$2=2019,SUMPRODUCT(($B119='Landbrugsareal - resultat'!$B$33:$B$46)*(INDEX('Landbrugsareal - resultat'!$L$33:$N$46,,MATCH($D119,'Landbrugsareal - resultat'!$L$5:$N$5,0)))),IF(G$2=2030,SUMPRODUCT(($B119='Landbrugsareal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7.3812605655971391</v>
      </c>
      <c r="H119" s="96" cm="1">
        <f t="array" ref="H119">IF($A119="Vestdanmark",IF($C119="Konventionel",IF(H$2=2019,SUMPRODUCT(($B119='Landbrugsareal - resultat'!$B$6:$B$19)*(INDEX('Landbrugsareal - resultat'!$C$6:$E$19,,MATCH($D119,'Landbrugsareal - resultat'!$C$5:$E$5,0)))),IF(H$2=2030,SUMPRODUCT(($B119='Landbrugsareal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resultat'!$I$5:$K$5,0)))))),IF(H$2=2019,SUMPRODUCT(($B119='Landbrugsareal - resultat'!$B$6:$B$19)*(INDEX('Landbrugsareal - resultat'!$L$6:$N$19,,MATCH($D119,'Landbrugsareal - resultat'!$L$5:$N$5,0)))),IF(H$2=2030,SUMPRODUCT(($B119='Landbrugsareal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resultat'!$R$5:$T$5,0))))))),IF($C119="Konventionel",IF(H$2=2019,SUMPRODUCT(($B119='Landbrugsareal - resultat'!$B$33:$B$46)*(INDEX('Landbrugsareal - resultat'!$C$33:$E$46,,MATCH($D119,'Landbrugsareal - resultat'!$C$5:$E$5,0)))),IF(H$2=2030,SUMPRODUCT(($B119='Landbrugsareal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resultat'!$I$5:$K$5,0)))))),IF(H$2=2019,SUMPRODUCT(($B119='Landbrugsareal - resultat'!$B$33:$B$46)*(INDEX('Landbrugsareal - resultat'!$L$33:$N$46,,MATCH($D119,'Landbrugsareal - resultat'!$L$5:$N$5,0)))),IF(H$2=2030,SUMPRODUCT(($B119='Landbrugsareal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6.7294128000446527</v>
      </c>
      <c r="I119" s="96" cm="1">
        <f t="array" ref="I119">IF($A119="Vestdanmark",IF($C119="Konventionel",IF(I$2=2019,SUMPRODUCT(($B119='Landbrugsareal - resultat'!$B$6:$B$19)*(INDEX('Landbrugsareal - resultat'!$C$6:$E$19,,MATCH($D119,'Landbrugsareal - resultat'!$C$5:$E$5,0)))),IF(I$2=2030,SUMPRODUCT(($B119='Landbrugsareal - resultat'!$B$6:$B$19)*(INDEX('Landbrugsareal - resultat'!$F$6:$H$19,,MATCH($D119,'Landbrugsareal - resultat'!$F$5:$H$5,0)))),SUMPRODUCT(($B119='Landbrugsareal - resultat'!$B$6:$B$19)*(INDEX('Landbrugsareal - resultat'!$I$6:$K$19,,MATCH($D119,'Landbrugsareal - resultat'!$I$5:$K$5,0)))))),IF(I$2=2019,SUMPRODUCT(($B119='Landbrugsareal - resultat'!$B$6:$B$19)*(INDEX('Landbrugsareal - resultat'!$L$6:$N$19,,MATCH($D119,'Landbrugsareal - resultat'!$L$5:$N$5,0)))),IF(I$2=2030,SUMPRODUCT(($B119='Landbrugsareal - resultat'!$B$6:$B$19)*(INDEX('Landbrugsareal - resultat'!$O$6:$Q$19,,MATCH($D119,'Landbrugsareal - resultat'!$O$5:$Q$5,0)))),SUMPRODUCT(($B119='Landbrugsareal - resultat'!$B$6:$B$19)*(INDEX('Landbrugsareal - resultat'!$R$6:$T$19,,MATCH($D119,'Landbrugsareal - resultat'!$R$5:$T$5,0))))))),IF($C119="Konventionel",IF(I$2=2019,SUMPRODUCT((C119='Landbrugsareal - resultat'!$B$33:$B$46)*(INDEX('Landbrugsareal - resultat'!$C$33:$E$46,,MATCH($D119,'Landbrugsareal - resultat'!$C$5:$E$5,0)))),IF(I$2=2030,SUMPRODUCT(($B119='Landbrugsareal - resultat'!$B$33:$B$46)*(INDEX('Landbrugsareal - resultat'!$F$33:$H$46,,MATCH($D119,'Landbrugsareal - resultat'!$F$5:$H$5,0)))),SUMPRODUCT(($B119='Landbrugsareal - resultat'!$B$33:$B$46)*(INDEX('Landbrugsareal - resultat'!$I$33:$K$46,,MATCH($D119,'Landbrugsareal - resultat'!$I$5:$K$5,0)))))),IF(I$2=2019,SUMPRODUCT(($B119='Landbrugsareal - resultat'!$B$33:$B$46)*(INDEX('Landbrugsareal - resultat'!$L$33:$N$46,,MATCH($D119,'Landbrugsareal - resultat'!$L$5:$N$5,0)))),IF(I$2=2030,SUMPRODUCT(($B119='Landbrugsareal - resultat'!$B$33:$B$46)*(INDEX('Landbrugsareal - resultat'!$O$33:$Q$46,,MATCH($D119,'Landbrugsareal - resultat'!$O$5:$Q$5,0)))),SUMPRODUCT(($B119='Landbrugsareal - resultat'!$B$33:$B$46)*(INDEX('Landbrugsareal - resultat'!$R$33:$T$46,,MATCH($D119,'Landbrugsareal - resultat'!$R$5:$T$5,0))))))))</f>
        <v>6.4182260809674432</v>
      </c>
    </row>
    <row r="120" spans="1:9" x14ac:dyDescent="0.25">
      <c r="A120" t="s">
        <v>24</v>
      </c>
      <c r="B120" s="1" t="str">
        <f>[1]Afgrødefordeling!$C$7</f>
        <v>Kartofler</v>
      </c>
      <c r="C120" t="s">
        <v>7</v>
      </c>
      <c r="D120" t="str">
        <f t="shared" si="10"/>
        <v>OC12</v>
      </c>
      <c r="F120" t="str">
        <f t="shared" si="6"/>
        <v>Areal-kartofler</v>
      </c>
      <c r="G120" s="96" cm="1">
        <f t="array" ref="G120">IF($A120="Vestdanmark",IF($C120="Konventionel",IF(G$2=2019,SUMPRODUCT(($B120='Landbrugsareal - resultat'!$B$6:$B$19)*(INDEX('Landbrugsareal - resultat'!$C$6:$E$19,,MATCH($D120,'Landbrugsareal - resultat'!$C$5:$E$5,0)))),IF(G$2=2030,SUMPRODUCT(($B120='Landbrugsareal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resultat'!$I$5:$K$5,0)))))),IF(G$2=2019,SUMPRODUCT(($B120='Landbrugsareal - resultat'!$B$6:$B$19)*(INDEX('Landbrugsareal - resultat'!$L$6:$N$19,,MATCH($D120,'Landbrugsareal - resultat'!$L$5:$N$5,0)))),IF(G$2=2030,SUMPRODUCT(($B120='Landbrugsareal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resultat'!$R$5:$T$5,0))))))),IF($C120="Konventionel",IF(G$2=2019,SUMPRODUCT((B120='Landbrugsareal - resultat'!$B$33:$B$46)*(INDEX('Landbrugsareal - resultat'!$C$33:$E$46,,MATCH($D120,'Landbrugsareal - resultat'!$C$5:$E$5,0)))),IF(G$2=2030,SUMPRODUCT(($B120='Landbrugsareal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resultat'!$I$5:$K$5,0)))))),IF(G$2=2019,SUMPRODUCT(($B120='Landbrugsareal - resultat'!$B$33:$B$46)*(INDEX('Landbrugsareal - resultat'!$L$33:$N$46,,MATCH($D120,'Landbrugsareal - resultat'!$L$5:$N$5,0)))),IF(G$2=2030,SUMPRODUCT(($B120='Landbrugsareal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42.07230469683256</v>
      </c>
      <c r="H120" s="96" cm="1">
        <f t="array" ref="H120">IF($A120="Vestdanmark",IF($C120="Konventionel",IF(H$2=2019,SUMPRODUCT(($B120='Landbrugsareal - resultat'!$B$6:$B$19)*(INDEX('Landbrugsareal - resultat'!$C$6:$E$19,,MATCH($D120,'Landbrugsareal - resultat'!$C$5:$E$5,0)))),IF(H$2=2030,SUMPRODUCT(($B120='Landbrugsareal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resultat'!$I$5:$K$5,0)))))),IF(H$2=2019,SUMPRODUCT(($B120='Landbrugsareal - resultat'!$B$6:$B$19)*(INDEX('Landbrugsareal - resultat'!$L$6:$N$19,,MATCH($D120,'Landbrugsareal - resultat'!$L$5:$N$5,0)))),IF(H$2=2030,SUMPRODUCT(($B120='Landbrugsareal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resultat'!$R$5:$T$5,0))))))),IF($C120="Konventionel",IF(H$2=2019,SUMPRODUCT(($B120='Landbrugsareal - resultat'!$B$33:$B$46)*(INDEX('Landbrugsareal - resultat'!$C$33:$E$46,,MATCH($D120,'Landbrugsareal - resultat'!$C$5:$E$5,0)))),IF(H$2=2030,SUMPRODUCT(($B120='Landbrugsareal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resultat'!$I$5:$K$5,0)))))),IF(H$2=2019,SUMPRODUCT(($B120='Landbrugsareal - resultat'!$B$33:$B$46)*(INDEX('Landbrugsareal - resultat'!$L$33:$N$46,,MATCH($D120,'Landbrugsareal - resultat'!$L$5:$N$5,0)))),IF(H$2=2030,SUMPRODUCT(($B120='Landbrugsareal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38.356850193560312</v>
      </c>
      <c r="I120" s="96" cm="1">
        <f t="array" ref="I120">IF($A120="Vestdanmark",IF($C120="Konventionel",IF(I$2=2019,SUMPRODUCT(($B120='Landbrugsareal - resultat'!$B$6:$B$19)*(INDEX('Landbrugsareal - resultat'!$C$6:$E$19,,MATCH($D120,'Landbrugsareal - resultat'!$C$5:$E$5,0)))),IF(I$2=2030,SUMPRODUCT(($B120='Landbrugsareal - resultat'!$B$6:$B$19)*(INDEX('Landbrugsareal - resultat'!$F$6:$H$19,,MATCH($D120,'Landbrugsareal - resultat'!$F$5:$H$5,0)))),SUMPRODUCT(($B120='Landbrugsareal - resultat'!$B$6:$B$19)*(INDEX('Landbrugsareal - resultat'!$I$6:$K$19,,MATCH($D120,'Landbrugsareal - resultat'!$I$5:$K$5,0)))))),IF(I$2=2019,SUMPRODUCT(($B120='Landbrugsareal - resultat'!$B$6:$B$19)*(INDEX('Landbrugsareal - resultat'!$L$6:$N$19,,MATCH($D120,'Landbrugsareal - resultat'!$L$5:$N$5,0)))),IF(I$2=2030,SUMPRODUCT(($B120='Landbrugsareal - resultat'!$B$6:$B$19)*(INDEX('Landbrugsareal - resultat'!$O$6:$Q$19,,MATCH($D120,'Landbrugsareal - resultat'!$O$5:$Q$5,0)))),SUMPRODUCT(($B120='Landbrugsareal - resultat'!$B$6:$B$19)*(INDEX('Landbrugsareal - resultat'!$R$6:$T$19,,MATCH($D120,'Landbrugsareal - resultat'!$R$5:$T$5,0))))))),IF($C120="Konventionel",IF(I$2=2019,SUMPRODUCT((C120='Landbrugsareal - resultat'!$B$33:$B$46)*(INDEX('Landbrugsareal - resultat'!$C$33:$E$46,,MATCH($D120,'Landbrugsareal - resultat'!$C$5:$E$5,0)))),IF(I$2=2030,SUMPRODUCT(($B120='Landbrugsareal - resultat'!$B$33:$B$46)*(INDEX('Landbrugsareal - resultat'!$F$33:$H$46,,MATCH($D120,'Landbrugsareal - resultat'!$F$5:$H$5,0)))),SUMPRODUCT(($B120='Landbrugsareal - resultat'!$B$33:$B$46)*(INDEX('Landbrugsareal - resultat'!$I$33:$K$46,,MATCH($D120,'Landbrugsareal - resultat'!$I$5:$K$5,0)))))),IF(I$2=2019,SUMPRODUCT(($B120='Landbrugsareal - resultat'!$B$33:$B$46)*(INDEX('Landbrugsareal - resultat'!$L$33:$N$46,,MATCH($D120,'Landbrugsareal - resultat'!$L$5:$N$5,0)))),IF(I$2=2030,SUMPRODUCT(($B120='Landbrugsareal - resultat'!$B$33:$B$46)*(INDEX('Landbrugsareal - resultat'!$O$33:$Q$46,,MATCH($D120,'Landbrugsareal - resultat'!$O$5:$Q$5,0)))),SUMPRODUCT(($B120='Landbrugsareal - resultat'!$B$33:$B$46)*(INDEX('Landbrugsareal - resultat'!$R$33:$T$46,,MATCH($D120,'Landbrugsareal - resultat'!$R$5:$T$5,0))))))))</f>
        <v>36.583123016979485</v>
      </c>
    </row>
    <row r="121" spans="1:9" x14ac:dyDescent="0.25">
      <c r="A121" t="s">
        <v>24</v>
      </c>
      <c r="B121" s="1" t="str">
        <f>[1]Afgrødefordeling!$C$8</f>
        <v>Roer</v>
      </c>
      <c r="C121" t="s">
        <v>7</v>
      </c>
      <c r="D121" t="str">
        <f t="shared" si="10"/>
        <v>OC12</v>
      </c>
      <c r="F121" t="str">
        <f t="shared" si="6"/>
        <v>Areal-roer</v>
      </c>
      <c r="G121" s="96" cm="1">
        <f t="array" ref="G121">IF($A121="Vestdanmark",IF($C121="Konventionel",IF(G$2=2019,SUMPRODUCT(($B121='Landbrugsareal - resultat'!$B$6:$B$19)*(INDEX('Landbrugsareal - resultat'!$C$6:$E$19,,MATCH($D121,'Landbrugsareal - resultat'!$C$5:$E$5,0)))),IF(G$2=2030,SUMPRODUCT(($B121='Landbrugsareal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resultat'!$I$5:$K$5,0)))))),IF(G$2=2019,SUMPRODUCT(($B121='Landbrugsareal - resultat'!$B$6:$B$19)*(INDEX('Landbrugsareal - resultat'!$L$6:$N$19,,MATCH($D121,'Landbrugsareal - resultat'!$L$5:$N$5,0)))),IF(G$2=2030,SUMPRODUCT(($B121='Landbrugsareal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resultat'!$R$5:$T$5,0))))))),IF($C121="Konventionel",IF(G$2=2019,SUMPRODUCT((B121='Landbrugsareal - resultat'!$B$33:$B$46)*(INDEX('Landbrugsareal - resultat'!$C$33:$E$46,,MATCH($D121,'Landbrugsareal - resultat'!$C$5:$E$5,0)))),IF(G$2=2030,SUMPRODUCT(($B121='Landbrugsareal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resultat'!$I$5:$K$5,0)))))),IF(G$2=2019,SUMPRODUCT(($B121='Landbrugsareal - resultat'!$B$33:$B$46)*(INDEX('Landbrugsareal - resultat'!$L$33:$N$46,,MATCH($D121,'Landbrugsareal - resultat'!$L$5:$N$5,0)))),IF(G$2=2030,SUMPRODUCT(($B121='Landbrugsareal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48.449860161125741</v>
      </c>
      <c r="H121" s="96" cm="1">
        <f t="array" ref="H121">IF($A121="Vestdanmark",IF($C121="Konventionel",IF(H$2=2019,SUMPRODUCT(($B121='Landbrugsareal - resultat'!$B$6:$B$19)*(INDEX('Landbrugsareal - resultat'!$C$6:$E$19,,MATCH($D121,'Landbrugsareal - resultat'!$C$5:$E$5,0)))),IF(H$2=2030,SUMPRODUCT(($B121='Landbrugsareal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resultat'!$I$5:$K$5,0)))))),IF(H$2=2019,SUMPRODUCT(($B121='Landbrugsareal - resultat'!$B$6:$B$19)*(INDEX('Landbrugsareal - resultat'!$L$6:$N$19,,MATCH($D121,'Landbrugsareal - resultat'!$L$5:$N$5,0)))),IF(H$2=2030,SUMPRODUCT(($B121='Landbrugsareal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resultat'!$R$5:$T$5,0))))))),IF($C121="Konventionel",IF(H$2=2019,SUMPRODUCT(($B121='Landbrugsareal - resultat'!$B$33:$B$46)*(INDEX('Landbrugsareal - resultat'!$C$33:$E$46,,MATCH($D121,'Landbrugsareal - resultat'!$C$5:$E$5,0)))),IF(H$2=2030,SUMPRODUCT(($B121='Landbrugsareal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resultat'!$I$5:$K$5,0)))))),IF(H$2=2019,SUMPRODUCT(($B121='Landbrugsareal - resultat'!$B$33:$B$46)*(INDEX('Landbrugsareal - resultat'!$L$33:$N$46,,MATCH($D121,'Landbrugsareal - resultat'!$L$5:$N$5,0)))),IF(H$2=2030,SUMPRODUCT(($B121='Landbrugsareal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44.171196265346403</v>
      </c>
      <c r="I121" s="96" cm="1">
        <f t="array" ref="I121">IF($A121="Vestdanmark",IF($C121="Konventionel",IF(I$2=2019,SUMPRODUCT(($B121='Landbrugsareal - resultat'!$B$6:$B$19)*(INDEX('Landbrugsareal - resultat'!$C$6:$E$19,,MATCH($D121,'Landbrugsareal - resultat'!$C$5:$E$5,0)))),IF(I$2=2030,SUMPRODUCT(($B121='Landbrugsareal - resultat'!$B$6:$B$19)*(INDEX('Landbrugsareal - resultat'!$F$6:$H$19,,MATCH($D121,'Landbrugsareal - resultat'!$F$5:$H$5,0)))),SUMPRODUCT(($B121='Landbrugsareal - resultat'!$B$6:$B$19)*(INDEX('Landbrugsareal - resultat'!$I$6:$K$19,,MATCH($D121,'Landbrugsareal - resultat'!$I$5:$K$5,0)))))),IF(I$2=2019,SUMPRODUCT(($B121='Landbrugsareal - resultat'!$B$6:$B$19)*(INDEX('Landbrugsareal - resultat'!$L$6:$N$19,,MATCH($D121,'Landbrugsareal - resultat'!$L$5:$N$5,0)))),IF(I$2=2030,SUMPRODUCT(($B121='Landbrugsareal - resultat'!$B$6:$B$19)*(INDEX('Landbrugsareal - resultat'!$O$6:$Q$19,,MATCH($D121,'Landbrugsareal - resultat'!$O$5:$Q$5,0)))),SUMPRODUCT(($B121='Landbrugsareal - resultat'!$B$6:$B$19)*(INDEX('Landbrugsareal - resultat'!$R$6:$T$19,,MATCH($D121,'Landbrugsareal - resultat'!$R$5:$T$5,0))))))),IF($C121="Konventionel",IF(I$2=2019,SUMPRODUCT((C121='Landbrugsareal - resultat'!$B$33:$B$46)*(INDEX('Landbrugsareal - resultat'!$C$33:$E$46,,MATCH($D121,'Landbrugsareal - resultat'!$C$5:$E$5,0)))),IF(I$2=2030,SUMPRODUCT(($B121='Landbrugsareal - resultat'!$B$33:$B$46)*(INDEX('Landbrugsareal - resultat'!$F$33:$H$46,,MATCH($D121,'Landbrugsareal - resultat'!$F$5:$H$5,0)))),SUMPRODUCT(($B121='Landbrugsareal - resultat'!$B$33:$B$46)*(INDEX('Landbrugsareal - resultat'!$I$33:$K$46,,MATCH($D121,'Landbrugsareal - resultat'!$I$5:$K$5,0)))))),IF(I$2=2019,SUMPRODUCT(($B121='Landbrugsareal - resultat'!$B$33:$B$46)*(INDEX('Landbrugsareal - resultat'!$L$33:$N$46,,MATCH($D121,'Landbrugsareal - resultat'!$L$5:$N$5,0)))),IF(I$2=2030,SUMPRODUCT(($B121='Landbrugsareal - resultat'!$B$33:$B$46)*(INDEX('Landbrugsareal - resultat'!$O$33:$Q$46,,MATCH($D121,'Landbrugsareal - resultat'!$O$5:$Q$5,0)))),SUMPRODUCT(($B121='Landbrugsareal - resultat'!$B$33:$B$46)*(INDEX('Landbrugsareal - resultat'!$R$33:$T$46,,MATCH($D121,'Landbrugsareal - resultat'!$R$5:$T$5,0))))))))</f>
        <v>42.128597594116513</v>
      </c>
    </row>
    <row r="122" spans="1:9" x14ac:dyDescent="0.25">
      <c r="A122" t="s">
        <v>24</v>
      </c>
      <c r="B122" s="1" t="str">
        <f>[1]Afgrødefordeling!$C$9</f>
        <v>Majs</v>
      </c>
      <c r="C122" t="s">
        <v>7</v>
      </c>
      <c r="D122" t="str">
        <f t="shared" si="10"/>
        <v>OC12</v>
      </c>
      <c r="F122" t="str">
        <f t="shared" si="6"/>
        <v>Areal-majs</v>
      </c>
      <c r="G122" s="96" cm="1">
        <f t="array" ref="G122">IF($A122="Vestdanmark",IF($C122="Konventionel",IF(G$2=2019,SUMPRODUCT(($B122='Landbrugsareal - resultat'!$B$6:$B$19)*(INDEX('Landbrugsareal - resultat'!$C$6:$E$19,,MATCH($D122,'Landbrugsareal - resultat'!$C$5:$E$5,0)))),IF(G$2=2030,SUMPRODUCT(($B122='Landbrugsareal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resultat'!$I$5:$K$5,0)))))),IF(G$2=2019,SUMPRODUCT(($B122='Landbrugsareal - resultat'!$B$6:$B$19)*(INDEX('Landbrugsareal - resultat'!$L$6:$N$19,,MATCH($D122,'Landbrugsareal - resultat'!$L$5:$N$5,0)))),IF(G$2=2030,SUMPRODUCT(($B122='Landbrugsareal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resultat'!$R$5:$T$5,0))))))),IF($C122="Konventionel",IF(G$2=2019,SUMPRODUCT((B122='Landbrugsareal - resultat'!$B$33:$B$46)*(INDEX('Landbrugsareal - resultat'!$C$33:$E$46,,MATCH($D122,'Landbrugsareal - resultat'!$C$5:$E$5,0)))),IF(G$2=2030,SUMPRODUCT(($B122='Landbrugsareal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resultat'!$I$5:$K$5,0)))))),IF(G$2=2019,SUMPRODUCT(($B122='Landbrugsareal - resultat'!$B$33:$B$46)*(INDEX('Landbrugsareal - resultat'!$L$33:$N$46,,MATCH($D122,'Landbrugsareal - resultat'!$L$5:$N$5,0)))),IF(G$2=2030,SUMPRODUCT(($B122='Landbrugsareal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49.764184288702324</v>
      </c>
      <c r="H122" s="96" cm="1">
        <f t="array" ref="H122">IF($A122="Vestdanmark",IF($C122="Konventionel",IF(H$2=2019,SUMPRODUCT(($B122='Landbrugsareal - resultat'!$B$6:$B$19)*(INDEX('Landbrugsareal - resultat'!$C$6:$E$19,,MATCH($D122,'Landbrugsareal - resultat'!$C$5:$E$5,0)))),IF(H$2=2030,SUMPRODUCT(($B122='Landbrugsareal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resultat'!$I$5:$K$5,0)))))),IF(H$2=2019,SUMPRODUCT(($B122='Landbrugsareal - resultat'!$B$6:$B$19)*(INDEX('Landbrugsareal - resultat'!$L$6:$N$19,,MATCH($D122,'Landbrugsareal - resultat'!$L$5:$N$5,0)))),IF(H$2=2030,SUMPRODUCT(($B122='Landbrugsareal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resultat'!$R$5:$T$5,0))))))),IF($C122="Konventionel",IF(H$2=2019,SUMPRODUCT(($B122='Landbrugsareal - resultat'!$B$33:$B$46)*(INDEX('Landbrugsareal - resultat'!$C$33:$E$46,,MATCH($D122,'Landbrugsareal - resultat'!$C$5:$E$5,0)))),IF(H$2=2030,SUMPRODUCT(($B122='Landbrugsareal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resultat'!$I$5:$K$5,0)))))),IF(H$2=2019,SUMPRODUCT(($B122='Landbrugsareal - resultat'!$B$33:$B$46)*(INDEX('Landbrugsareal - resultat'!$L$33:$N$46,,MATCH($D122,'Landbrugsareal - resultat'!$L$5:$N$5,0)))),IF(H$2=2030,SUMPRODUCT(($B122='Landbrugsareal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45.369450889867416</v>
      </c>
      <c r="I122" s="96" cm="1">
        <f t="array" ref="I122">IF($A122="Vestdanmark",IF($C122="Konventionel",IF(I$2=2019,SUMPRODUCT(($B122='Landbrugsareal - resultat'!$B$6:$B$19)*(INDEX('Landbrugsareal - resultat'!$C$6:$E$19,,MATCH($D122,'Landbrugsareal - resultat'!$C$5:$E$5,0)))),IF(I$2=2030,SUMPRODUCT(($B122='Landbrugsareal - resultat'!$B$6:$B$19)*(INDEX('Landbrugsareal - resultat'!$F$6:$H$19,,MATCH($D122,'Landbrugsareal - resultat'!$F$5:$H$5,0)))),SUMPRODUCT(($B122='Landbrugsareal - resultat'!$B$6:$B$19)*(INDEX('Landbrugsareal - resultat'!$I$6:$K$19,,MATCH($D122,'Landbrugsareal - resultat'!$I$5:$K$5,0)))))),IF(I$2=2019,SUMPRODUCT(($B122='Landbrugsareal - resultat'!$B$6:$B$19)*(INDEX('Landbrugsareal - resultat'!$L$6:$N$19,,MATCH($D122,'Landbrugsareal - resultat'!$L$5:$N$5,0)))),IF(I$2=2030,SUMPRODUCT(($B122='Landbrugsareal - resultat'!$B$6:$B$19)*(INDEX('Landbrugsareal - resultat'!$O$6:$Q$19,,MATCH($D122,'Landbrugsareal - resultat'!$O$5:$Q$5,0)))),SUMPRODUCT(($B122='Landbrugsareal - resultat'!$B$6:$B$19)*(INDEX('Landbrugsareal - resultat'!$R$6:$T$19,,MATCH($D122,'Landbrugsareal - resultat'!$R$5:$T$5,0))))))),IF($C122="Konventionel",IF(I$2=2019,SUMPRODUCT((C122='Landbrugsareal - resultat'!$B$33:$B$46)*(INDEX('Landbrugsareal - resultat'!$C$33:$E$46,,MATCH($D122,'Landbrugsareal - resultat'!$C$5:$E$5,0)))),IF(I$2=2030,SUMPRODUCT(($B122='Landbrugsareal - resultat'!$B$33:$B$46)*(INDEX('Landbrugsareal - resultat'!$F$33:$H$46,,MATCH($D122,'Landbrugsareal - resultat'!$F$5:$H$5,0)))),SUMPRODUCT(($B122='Landbrugsareal - resultat'!$B$33:$B$46)*(INDEX('Landbrugsareal - resultat'!$I$33:$K$46,,MATCH($D122,'Landbrugsareal - resultat'!$I$5:$K$5,0)))))),IF(I$2=2019,SUMPRODUCT(($B122='Landbrugsareal - resultat'!$B$33:$B$46)*(INDEX('Landbrugsareal - resultat'!$L$33:$N$46,,MATCH($D122,'Landbrugsareal - resultat'!$L$5:$N$5,0)))),IF(I$2=2030,SUMPRODUCT(($B122='Landbrugsareal - resultat'!$B$33:$B$46)*(INDEX('Landbrugsareal - resultat'!$O$33:$Q$46,,MATCH($D122,'Landbrugsareal - resultat'!$O$5:$Q$5,0)))),SUMPRODUCT(($B122='Landbrugsareal - resultat'!$B$33:$B$46)*(INDEX('Landbrugsareal - resultat'!$R$33:$T$46,,MATCH($D122,'Landbrugsareal - resultat'!$R$5:$T$5,0))))))))</f>
        <v>43.271441600162568</v>
      </c>
    </row>
    <row r="123" spans="1:9" x14ac:dyDescent="0.25">
      <c r="A123" t="s">
        <v>24</v>
      </c>
      <c r="B123" s="1" t="str">
        <f>[1]Afgrødefordeling!$C$10</f>
        <v>Frugt</v>
      </c>
      <c r="C123" t="s">
        <v>7</v>
      </c>
      <c r="D123" t="str">
        <f t="shared" si="10"/>
        <v>OC12</v>
      </c>
      <c r="F123" t="str">
        <f t="shared" si="6"/>
        <v>Areal-frugt</v>
      </c>
      <c r="G123" s="96" cm="1">
        <f t="array" ref="G123">IF($A123="Vestdanmark",IF($C123="Konventionel",IF(G$2=2019,SUMPRODUCT(($B123='Landbrugsareal - resultat'!$B$6:$B$19)*(INDEX('Landbrugsareal - resultat'!$C$6:$E$19,,MATCH($D123,'Landbrugsareal - resultat'!$C$5:$E$5,0)))),IF(G$2=2030,SUMPRODUCT(($B123='Landbrugsareal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resultat'!$I$5:$K$5,0)))))),IF(G$2=2019,SUMPRODUCT(($B123='Landbrugsareal - resultat'!$B$6:$B$19)*(INDEX('Landbrugsareal - resultat'!$L$6:$N$19,,MATCH($D123,'Landbrugsareal - resultat'!$L$5:$N$5,0)))),IF(G$2=2030,SUMPRODUCT(($B123='Landbrugsareal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resultat'!$R$5:$T$5,0))))))),IF($C123="Konventionel",IF(G$2=2019,SUMPRODUCT((B123='Landbrugsareal - resultat'!$B$33:$B$46)*(INDEX('Landbrugsareal - resultat'!$C$33:$E$46,,MATCH($D123,'Landbrugsareal - resultat'!$C$5:$E$5,0)))),IF(G$2=2030,SUMPRODUCT(($B123='Landbrugsareal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resultat'!$I$5:$K$5,0)))))),IF(G$2=2019,SUMPRODUCT(($B123='Landbrugsareal - resultat'!$B$33:$B$46)*(INDEX('Landbrugsareal - resultat'!$L$33:$N$46,,MATCH($D123,'Landbrugsareal - resultat'!$L$5:$N$5,0)))),IF(G$2=2030,SUMPRODUCT(($B123='Landbrugsareal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18.058201878591998</v>
      </c>
      <c r="H123" s="96" cm="1">
        <f t="array" ref="H123">IF($A123="Vestdanmark",IF($C123="Konventionel",IF(H$2=2019,SUMPRODUCT(($B123='Landbrugsareal - resultat'!$B$6:$B$19)*(INDEX('Landbrugsareal - resultat'!$C$6:$E$19,,MATCH($D123,'Landbrugsareal - resultat'!$C$5:$E$5,0)))),IF(H$2=2030,SUMPRODUCT(($B123='Landbrugsareal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resultat'!$I$5:$K$5,0)))))),IF(H$2=2019,SUMPRODUCT(($B123='Landbrugsareal - resultat'!$B$6:$B$19)*(INDEX('Landbrugsareal - resultat'!$L$6:$N$19,,MATCH($D123,'Landbrugsareal - resultat'!$L$5:$N$5,0)))),IF(H$2=2030,SUMPRODUCT(($B123='Landbrugsareal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resultat'!$R$5:$T$5,0))))))),IF($C123="Konventionel",IF(H$2=2019,SUMPRODUCT(($B123='Landbrugsareal - resultat'!$B$33:$B$46)*(INDEX('Landbrugsareal - resultat'!$C$33:$E$46,,MATCH($D123,'Landbrugsareal - resultat'!$C$5:$E$5,0)))),IF(H$2=2030,SUMPRODUCT(($B123='Landbrugsareal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resultat'!$I$5:$K$5,0)))))),IF(H$2=2019,SUMPRODUCT(($B123='Landbrugsareal - resultat'!$B$33:$B$46)*(INDEX('Landbrugsareal - resultat'!$L$33:$N$46,,MATCH($D123,'Landbrugsareal - resultat'!$L$5:$N$5,0)))),IF(H$2=2030,SUMPRODUCT(($B123='Landbrugsareal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16.463460920750791</v>
      </c>
      <c r="I123" s="96" cm="1">
        <f t="array" ref="I123">IF($A123="Vestdanmark",IF($C123="Konventionel",IF(I$2=2019,SUMPRODUCT(($B123='Landbrugsareal - resultat'!$B$6:$B$19)*(INDEX('Landbrugsareal - resultat'!$C$6:$E$19,,MATCH($D123,'Landbrugsareal - resultat'!$C$5:$E$5,0)))),IF(I$2=2030,SUMPRODUCT(($B123='Landbrugsareal - resultat'!$B$6:$B$19)*(INDEX('Landbrugsareal - resultat'!$F$6:$H$19,,MATCH($D123,'Landbrugsareal - resultat'!$F$5:$H$5,0)))),SUMPRODUCT(($B123='Landbrugsareal - resultat'!$B$6:$B$19)*(INDEX('Landbrugsareal - resultat'!$I$6:$K$19,,MATCH($D123,'Landbrugsareal - resultat'!$I$5:$K$5,0)))))),IF(I$2=2019,SUMPRODUCT(($B123='Landbrugsareal - resultat'!$B$6:$B$19)*(INDEX('Landbrugsareal - resultat'!$L$6:$N$19,,MATCH($D123,'Landbrugsareal - resultat'!$L$5:$N$5,0)))),IF(I$2=2030,SUMPRODUCT(($B123='Landbrugsareal - resultat'!$B$6:$B$19)*(INDEX('Landbrugsareal - resultat'!$O$6:$Q$19,,MATCH($D123,'Landbrugsareal - resultat'!$O$5:$Q$5,0)))),SUMPRODUCT(($B123='Landbrugsareal - resultat'!$B$6:$B$19)*(INDEX('Landbrugsareal - resultat'!$R$6:$T$19,,MATCH($D123,'Landbrugsareal - resultat'!$R$5:$T$5,0))))))),IF($C123="Konventionel",IF(I$2=2019,SUMPRODUCT((C123='Landbrugsareal - resultat'!$B$33:$B$46)*(INDEX('Landbrugsareal - resultat'!$C$33:$E$46,,MATCH($D123,'Landbrugsareal - resultat'!$C$5:$E$5,0)))),IF(I$2=2030,SUMPRODUCT(($B123='Landbrugsareal - resultat'!$B$33:$B$46)*(INDEX('Landbrugsareal - resultat'!$F$33:$H$46,,MATCH($D123,'Landbrugsareal - resultat'!$F$5:$H$5,0)))),SUMPRODUCT(($B123='Landbrugsareal - resultat'!$B$33:$B$46)*(INDEX('Landbrugsareal - resultat'!$I$33:$K$46,,MATCH($D123,'Landbrugsareal - resultat'!$I$5:$K$5,0)))))),IF(I$2=2019,SUMPRODUCT(($B123='Landbrugsareal - resultat'!$B$33:$B$46)*(INDEX('Landbrugsareal - resultat'!$L$33:$N$46,,MATCH($D123,'Landbrugsareal - resultat'!$L$5:$N$5,0)))),IF(I$2=2030,SUMPRODUCT(($B123='Landbrugsareal - resultat'!$B$33:$B$46)*(INDEX('Landbrugsareal - resultat'!$O$33:$Q$46,,MATCH($D123,'Landbrugsareal - resultat'!$O$5:$Q$5,0)))),SUMPRODUCT(($B123='Landbrugsareal - resultat'!$B$33:$B$46)*(INDEX('Landbrugsareal - resultat'!$R$33:$T$46,,MATCH($D123,'Landbrugsareal - resultat'!$R$5:$T$5,0))))))))</f>
        <v>15.702144808808558</v>
      </c>
    </row>
    <row r="124" spans="1:9" x14ac:dyDescent="0.25">
      <c r="A124" t="s">
        <v>24</v>
      </c>
      <c r="B124" s="1" t="str">
        <f>[1]Afgrødefordeling!$C$11</f>
        <v>Øvrige</v>
      </c>
      <c r="C124" t="s">
        <v>7</v>
      </c>
      <c r="D124" t="str">
        <f t="shared" si="10"/>
        <v>OC12</v>
      </c>
      <c r="F124" t="str">
        <f t="shared" si="6"/>
        <v>Areal-øvrige</v>
      </c>
      <c r="G124" s="96" cm="1">
        <f t="array" ref="G124">IF($A124="Vestdanmark",IF($C124="Konventionel",IF(G$2=2019,SUMPRODUCT(($B124='Landbrugsareal - resultat'!$B$6:$B$19)*(INDEX('Landbrugsareal - resultat'!$C$6:$E$19,,MATCH($D124,'Landbrugsareal - resultat'!$C$5:$E$5,0)))),IF(G$2=2030,SUMPRODUCT(($B124='Landbrugsareal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resultat'!$I$5:$K$5,0)))))),IF(G$2=2019,SUMPRODUCT(($B124='Landbrugsareal - resultat'!$B$6:$B$19)*(INDEX('Landbrugsareal - resultat'!$L$6:$N$19,,MATCH($D124,'Landbrugsareal - resultat'!$L$5:$N$5,0)))),IF(G$2=2030,SUMPRODUCT(($B124='Landbrugsareal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resultat'!$R$5:$T$5,0))))))),IF($C124="Konventionel",IF(G$2=2019,SUMPRODUCT((B124='Landbrugsareal - resultat'!$B$33:$B$46)*(INDEX('Landbrugsareal - resultat'!$C$33:$E$46,,MATCH($D124,'Landbrugsareal - resultat'!$C$5:$E$5,0)))),IF(G$2=2030,SUMPRODUCT(($B124='Landbrugsareal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resultat'!$I$5:$K$5,0)))))),IF(G$2=2019,SUMPRODUCT(($B124='Landbrugsareal - resultat'!$B$33:$B$46)*(INDEX('Landbrugsareal - resultat'!$L$33:$N$46,,MATCH($D124,'Landbrugsareal - resultat'!$L$5:$N$5,0)))),IF(G$2=2030,SUMPRODUCT(($B124='Landbrugsareal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128.94431985233555</v>
      </c>
      <c r="H124" s="96" cm="1">
        <f t="array" ref="H124">IF($A124="Vestdanmark",IF($C124="Konventionel",IF(H$2=2019,SUMPRODUCT(($B124='Landbrugsareal - resultat'!$B$6:$B$19)*(INDEX('Landbrugsareal - resultat'!$C$6:$E$19,,MATCH($D124,'Landbrugsareal - resultat'!$C$5:$E$5,0)))),IF(H$2=2030,SUMPRODUCT(($B124='Landbrugsareal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resultat'!$I$5:$K$5,0)))))),IF(H$2=2019,SUMPRODUCT(($B124='Landbrugsareal - resultat'!$B$6:$B$19)*(INDEX('Landbrugsareal - resultat'!$L$6:$N$19,,MATCH($D124,'Landbrugsareal - resultat'!$L$5:$N$5,0)))),IF(H$2=2030,SUMPRODUCT(($B124='Landbrugsareal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resultat'!$R$5:$T$5,0))))))),IF($C124="Konventionel",IF(H$2=2019,SUMPRODUCT(($B124='Landbrugsareal - resultat'!$B$33:$B$46)*(INDEX('Landbrugsareal - resultat'!$C$33:$E$46,,MATCH($D124,'Landbrugsareal - resultat'!$C$5:$E$5,0)))),IF(H$2=2030,SUMPRODUCT(($B124='Landbrugsareal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resultat'!$I$5:$K$5,0)))))),IF(H$2=2019,SUMPRODUCT(($B124='Landbrugsareal - resultat'!$B$33:$B$46)*(INDEX('Landbrugsareal - resultat'!$L$33:$N$46,,MATCH($D124,'Landbrugsareal - resultat'!$L$5:$N$5,0)))),IF(H$2=2030,SUMPRODUCT(($B124='Landbrugsareal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117.55709594532664</v>
      </c>
      <c r="I124" s="96" cm="1">
        <f t="array" ref="I124">IF($A124="Vestdanmark",IF($C124="Konventionel",IF(I$2=2019,SUMPRODUCT(($B124='Landbrugsareal - resultat'!$B$6:$B$19)*(INDEX('Landbrugsareal - resultat'!$C$6:$E$19,,MATCH($D124,'Landbrugsareal - resultat'!$C$5:$E$5,0)))),IF(I$2=2030,SUMPRODUCT(($B124='Landbrugsareal - resultat'!$B$6:$B$19)*(INDEX('Landbrugsareal - resultat'!$F$6:$H$19,,MATCH($D124,'Landbrugsareal - resultat'!$F$5:$H$5,0)))),SUMPRODUCT(($B124='Landbrugsareal - resultat'!$B$6:$B$19)*(INDEX('Landbrugsareal - resultat'!$I$6:$K$19,,MATCH($D124,'Landbrugsareal - resultat'!$I$5:$K$5,0)))))),IF(I$2=2019,SUMPRODUCT(($B124='Landbrugsareal - resultat'!$B$6:$B$19)*(INDEX('Landbrugsareal - resultat'!$L$6:$N$19,,MATCH($D124,'Landbrugsareal - resultat'!$L$5:$N$5,0)))),IF(I$2=2030,SUMPRODUCT(($B124='Landbrugsareal - resultat'!$B$6:$B$19)*(INDEX('Landbrugsareal - resultat'!$O$6:$Q$19,,MATCH($D124,'Landbrugsareal - resultat'!$O$5:$Q$5,0)))),SUMPRODUCT(($B124='Landbrugsareal - resultat'!$B$6:$B$19)*(INDEX('Landbrugsareal - resultat'!$R$6:$T$19,,MATCH($D124,'Landbrugsareal - resultat'!$R$5:$T$5,0))))))),IF($C124="Konventionel",IF(I$2=2019,SUMPRODUCT((C124='Landbrugsareal - resultat'!$B$33:$B$46)*(INDEX('Landbrugsareal - resultat'!$C$33:$E$46,,MATCH($D124,'Landbrugsareal - resultat'!$C$5:$E$5,0)))),IF(I$2=2030,SUMPRODUCT(($B124='Landbrugsareal - resultat'!$B$33:$B$46)*(INDEX('Landbrugsareal - resultat'!$F$33:$H$46,,MATCH($D124,'Landbrugsareal - resultat'!$F$5:$H$5,0)))),SUMPRODUCT(($B124='Landbrugsareal - resultat'!$B$33:$B$46)*(INDEX('Landbrugsareal - resultat'!$I$33:$K$46,,MATCH($D124,'Landbrugsareal - resultat'!$I$5:$K$5,0)))))),IF(I$2=2019,SUMPRODUCT(($B124='Landbrugsareal - resultat'!$B$33:$B$46)*(INDEX('Landbrugsareal - resultat'!$L$33:$N$46,,MATCH($D124,'Landbrugsareal - resultat'!$L$5:$N$5,0)))),IF(I$2=2030,SUMPRODUCT(($B124='Landbrugsareal - resultat'!$B$33:$B$46)*(INDEX('Landbrugsareal - resultat'!$O$33:$Q$46,,MATCH($D124,'Landbrugsareal - resultat'!$O$5:$Q$5,0)))),SUMPRODUCT(($B124='Landbrugsareal - resultat'!$B$33:$B$46)*(INDEX('Landbrugsareal - resultat'!$R$33:$T$46,,MATCH($D124,'Landbrugsareal - resultat'!$R$5:$T$5,0))))))))</f>
        <v>112.12092965883754</v>
      </c>
    </row>
    <row r="125" spans="1:9" x14ac:dyDescent="0.25">
      <c r="A125" t="s">
        <v>24</v>
      </c>
      <c r="B125" s="1" t="str">
        <f>[1]Afgrødefordeling!$C$12</f>
        <v>Frø</v>
      </c>
      <c r="C125" t="s">
        <v>7</v>
      </c>
      <c r="D125" t="str">
        <f t="shared" si="10"/>
        <v>OC12</v>
      </c>
      <c r="F125" t="str">
        <f t="shared" si="6"/>
        <v>Areal-frøgræs</v>
      </c>
      <c r="G125" s="96" cm="1">
        <f t="array" ref="G125">IF($A125="Vestdanmark",IF($C125="Konventionel",IF(G$2=2019,SUMPRODUCT(($B125='Landbrugsareal - resultat'!$B$6:$B$19)*(INDEX('Landbrugsareal - resultat'!$C$6:$E$19,,MATCH($D125,'Landbrugsareal - resultat'!$C$5:$E$5,0)))),IF(G$2=2030,SUMPRODUCT(($B125='Landbrugsareal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resultat'!$I$5:$K$5,0)))))),IF(G$2=2019,SUMPRODUCT(($B125='Landbrugsareal - resultat'!$B$6:$B$19)*(INDEX('Landbrugsareal - resultat'!$L$6:$N$19,,MATCH($D125,'Landbrugsareal - resultat'!$L$5:$N$5,0)))),IF(G$2=2030,SUMPRODUCT(($B125='Landbrugsareal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resultat'!$R$5:$T$5,0))))))),IF($C125="Konventionel",IF(G$2=2019,SUMPRODUCT((B125='Landbrugsareal - resultat'!$B$33:$B$46)*(INDEX('Landbrugsareal - resultat'!$C$33:$E$46,,MATCH($D125,'Landbrugsareal - resultat'!$C$5:$E$5,0)))),IF(G$2=2030,SUMPRODUCT(($B125='Landbrugsareal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resultat'!$I$5:$K$5,0)))))),IF(G$2=2019,SUMPRODUCT(($B125='Landbrugsareal - resultat'!$B$33:$B$46)*(INDEX('Landbrugsareal - resultat'!$L$33:$N$46,,MATCH($D125,'Landbrugsareal - resultat'!$L$5:$N$5,0)))),IF(G$2=2030,SUMPRODUCT(($B125='Landbrugsareal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1206.6838353800997</v>
      </c>
      <c r="H125" s="96" cm="1">
        <f t="array" ref="H125">IF($A125="Vestdanmark",IF($C125="Konventionel",IF(H$2=2019,SUMPRODUCT(($B125='Landbrugsareal - resultat'!$B$6:$B$19)*(INDEX('Landbrugsareal - resultat'!$C$6:$E$19,,MATCH($D125,'Landbrugsareal - resultat'!$C$5:$E$5,0)))),IF(H$2=2030,SUMPRODUCT(($B125='Landbrugsareal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resultat'!$I$5:$K$5,0)))))),IF(H$2=2019,SUMPRODUCT(($B125='Landbrugsareal - resultat'!$B$6:$B$19)*(INDEX('Landbrugsareal - resultat'!$L$6:$N$19,,MATCH($D125,'Landbrugsareal - resultat'!$L$5:$N$5,0)))),IF(H$2=2030,SUMPRODUCT(($B125='Landbrugsareal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resultat'!$R$5:$T$5,0))))))),IF($C125="Konventionel",IF(H$2=2019,SUMPRODUCT(($B125='Landbrugsareal - resultat'!$B$33:$B$46)*(INDEX('Landbrugsareal - resultat'!$C$33:$E$46,,MATCH($D125,'Landbrugsareal - resultat'!$C$5:$E$5,0)))),IF(H$2=2030,SUMPRODUCT(($B125='Landbrugsareal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resultat'!$I$5:$K$5,0)))))),IF(H$2=2019,SUMPRODUCT(($B125='Landbrugsareal - resultat'!$B$33:$B$46)*(INDEX('Landbrugsareal - resultat'!$L$33:$N$46,,MATCH($D125,'Landbrugsareal - resultat'!$L$5:$N$5,0)))),IF(H$2=2030,SUMPRODUCT(($B125='Landbrugsareal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1100.1201725977674</v>
      </c>
      <c r="I125" s="96" cm="1">
        <f t="array" ref="I125">IF($A125="Vestdanmark",IF($C125="Konventionel",IF(I$2=2019,SUMPRODUCT(($B125='Landbrugsareal - resultat'!$B$6:$B$19)*(INDEX('Landbrugsareal - resultat'!$C$6:$E$19,,MATCH($D125,'Landbrugsareal - resultat'!$C$5:$E$5,0)))),IF(I$2=2030,SUMPRODUCT(($B125='Landbrugsareal - resultat'!$B$6:$B$19)*(INDEX('Landbrugsareal - resultat'!$F$6:$H$19,,MATCH($D125,'Landbrugsareal - resultat'!$F$5:$H$5,0)))),SUMPRODUCT(($B125='Landbrugsareal - resultat'!$B$6:$B$19)*(INDEX('Landbrugsareal - resultat'!$I$6:$K$19,,MATCH($D125,'Landbrugsareal - resultat'!$I$5:$K$5,0)))))),IF(I$2=2019,SUMPRODUCT(($B125='Landbrugsareal - resultat'!$B$6:$B$19)*(INDEX('Landbrugsareal - resultat'!$L$6:$N$19,,MATCH($D125,'Landbrugsareal - resultat'!$L$5:$N$5,0)))),IF(I$2=2030,SUMPRODUCT(($B125='Landbrugsareal - resultat'!$B$6:$B$19)*(INDEX('Landbrugsareal - resultat'!$O$6:$Q$19,,MATCH($D125,'Landbrugsareal - resultat'!$O$5:$Q$5,0)))),SUMPRODUCT(($B125='Landbrugsareal - resultat'!$B$6:$B$19)*(INDEX('Landbrugsareal - resultat'!$R$6:$T$19,,MATCH($D125,'Landbrugsareal - resultat'!$R$5:$T$5,0))))))),IF($C125="Konventionel",IF(I$2=2019,SUMPRODUCT((C125='Landbrugsareal - resultat'!$B$33:$B$46)*(INDEX('Landbrugsareal - resultat'!$C$33:$E$46,,MATCH($D125,'Landbrugsareal - resultat'!$C$5:$E$5,0)))),IF(I$2=2030,SUMPRODUCT(($B125='Landbrugsareal - resultat'!$B$33:$B$46)*(INDEX('Landbrugsareal - resultat'!$F$33:$H$46,,MATCH($D125,'Landbrugsareal - resultat'!$F$5:$H$5,0)))),SUMPRODUCT(($B125='Landbrugsareal - resultat'!$B$33:$B$46)*(INDEX('Landbrugsareal - resultat'!$I$33:$K$46,,MATCH($D125,'Landbrugsareal - resultat'!$I$5:$K$5,0)))))),IF(I$2=2019,SUMPRODUCT(($B125='Landbrugsareal - resultat'!$B$33:$B$46)*(INDEX('Landbrugsareal - resultat'!$L$33:$N$46,,MATCH($D125,'Landbrugsareal - resultat'!$L$5:$N$5,0)))),IF(I$2=2030,SUMPRODUCT(($B125='Landbrugsareal - resultat'!$B$33:$B$46)*(INDEX('Landbrugsareal - resultat'!$O$33:$Q$46,,MATCH($D125,'Landbrugsareal - resultat'!$O$5:$Q$5,0)))),SUMPRODUCT(($B125='Landbrugsareal - resultat'!$B$33:$B$46)*(INDEX('Landbrugsareal - resultat'!$R$33:$T$46,,MATCH($D125,'Landbrugsareal - resultat'!$R$5:$T$5,0))))))))</f>
        <v>1049.2475634602984</v>
      </c>
    </row>
    <row r="126" spans="1:9" x14ac:dyDescent="0.25">
      <c r="A126" t="s">
        <v>24</v>
      </c>
      <c r="B126" s="1" t="str">
        <f>[1]Afgrødefordeling!$C$13</f>
        <v>Juletræer</v>
      </c>
      <c r="C126" t="s">
        <v>7</v>
      </c>
      <c r="D126" t="str">
        <f t="shared" si="10"/>
        <v>OC12</v>
      </c>
      <c r="F126" t="str">
        <f t="shared" si="6"/>
        <v>Areal-juletræer</v>
      </c>
      <c r="G126" s="96" cm="1">
        <f t="array" ref="G126">IF($A126="Vestdanmark",IF($C126="Konventionel",IF(G$2=2019,SUMPRODUCT(($B126='Landbrugsareal - resultat'!$B$6:$B$19)*(INDEX('Landbrugsareal - resultat'!$C$6:$E$19,,MATCH($D126,'Landbrugsareal - resultat'!$C$5:$E$5,0)))),IF(G$2=2030,SUMPRODUCT(($B126='Landbrugsareal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resultat'!$I$5:$K$5,0)))))),IF(G$2=2019,SUMPRODUCT(($B126='Landbrugsareal - resultat'!$B$6:$B$19)*(INDEX('Landbrugsareal - resultat'!$L$6:$N$19,,MATCH($D126,'Landbrugsareal - resultat'!$L$5:$N$5,0)))),IF(G$2=2030,SUMPRODUCT(($B126='Landbrugsareal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resultat'!$R$5:$T$5,0))))))),IF($C126="Konventionel",IF(G$2=2019,SUMPRODUCT((B126='Landbrugsareal - resultat'!$B$33:$B$46)*(INDEX('Landbrugsareal - resultat'!$C$33:$E$46,,MATCH($D126,'Landbrugsareal - resultat'!$C$5:$E$5,0)))),IF(G$2=2030,SUMPRODUCT(($B126='Landbrugsareal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resultat'!$I$5:$K$5,0)))))),IF(G$2=2019,SUMPRODUCT(($B126='Landbrugsareal - resultat'!$B$33:$B$46)*(INDEX('Landbrugsareal - resultat'!$L$33:$N$46,,MATCH($D126,'Landbrugsareal - resultat'!$L$5:$N$5,0)))),IF(G$2=2030,SUMPRODUCT(($B126='Landbrugsareal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28.297099581094237</v>
      </c>
      <c r="H126" s="96" cm="1">
        <f t="array" ref="H126">IF($A126="Vestdanmark",IF($C126="Konventionel",IF(H$2=2019,SUMPRODUCT(($B126='Landbrugsareal - resultat'!$B$6:$B$19)*(INDEX('Landbrugsareal - resultat'!$C$6:$E$19,,MATCH($D126,'Landbrugsareal - resultat'!$C$5:$E$5,0)))),IF(H$2=2030,SUMPRODUCT(($B126='Landbrugsareal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resultat'!$I$5:$K$5,0)))))),IF(H$2=2019,SUMPRODUCT(($B126='Landbrugsareal - resultat'!$B$6:$B$19)*(INDEX('Landbrugsareal - resultat'!$L$6:$N$19,,MATCH($D126,'Landbrugsareal - resultat'!$L$5:$N$5,0)))),IF(H$2=2030,SUMPRODUCT(($B126='Landbrugsareal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resultat'!$R$5:$T$5,0))))))),IF($C126="Konventionel",IF(H$2=2019,SUMPRODUCT(($B126='Landbrugsareal - resultat'!$B$33:$B$46)*(INDEX('Landbrugsareal - resultat'!$C$33:$E$46,,MATCH($D126,'Landbrugsareal - resultat'!$C$5:$E$5,0)))),IF(H$2=2030,SUMPRODUCT(($B126='Landbrugsareal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resultat'!$I$5:$K$5,0)))))),IF(H$2=2019,SUMPRODUCT(($B126='Landbrugsareal - resultat'!$B$33:$B$46)*(INDEX('Landbrugsareal - resultat'!$L$33:$N$46,,MATCH($D126,'Landbrugsareal - resultat'!$L$5:$N$5,0)))),IF(H$2=2030,SUMPRODUCT(($B126='Landbrugsareal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25.798149575247876</v>
      </c>
      <c r="I126" s="96" cm="1">
        <f t="array" ref="I126">IF($A126="Vestdanmark",IF($C126="Konventionel",IF(I$2=2019,SUMPRODUCT(($B126='Landbrugsareal - resultat'!$B$6:$B$19)*(INDEX('Landbrugsareal - resultat'!$C$6:$E$19,,MATCH($D126,'Landbrugsareal - resultat'!$C$5:$E$5,0)))),IF(I$2=2030,SUMPRODUCT(($B126='Landbrugsareal - resultat'!$B$6:$B$19)*(INDEX('Landbrugsareal - resultat'!$F$6:$H$19,,MATCH($D126,'Landbrugsareal - resultat'!$F$5:$H$5,0)))),SUMPRODUCT(($B126='Landbrugsareal - resultat'!$B$6:$B$19)*(INDEX('Landbrugsareal - resultat'!$I$6:$K$19,,MATCH($D126,'Landbrugsareal - resultat'!$I$5:$K$5,0)))))),IF(I$2=2019,SUMPRODUCT(($B126='Landbrugsareal - resultat'!$B$6:$B$19)*(INDEX('Landbrugsareal - resultat'!$L$6:$N$19,,MATCH($D126,'Landbrugsareal - resultat'!$L$5:$N$5,0)))),IF(I$2=2030,SUMPRODUCT(($B126='Landbrugsareal - resultat'!$B$6:$B$19)*(INDEX('Landbrugsareal - resultat'!$O$6:$Q$19,,MATCH($D126,'Landbrugsareal - resultat'!$O$5:$Q$5,0)))),SUMPRODUCT(($B126='Landbrugsareal - resultat'!$B$6:$B$19)*(INDEX('Landbrugsareal - resultat'!$R$6:$T$19,,MATCH($D126,'Landbrugsareal - resultat'!$R$5:$T$5,0))))))),IF($C126="Konventionel",IF(I$2=2019,SUMPRODUCT((C126='Landbrugsareal - resultat'!$B$33:$B$46)*(INDEX('Landbrugsareal - resultat'!$C$33:$E$46,,MATCH($D126,'Landbrugsareal - resultat'!$C$5:$E$5,0)))),IF(I$2=2030,SUMPRODUCT(($B126='Landbrugsareal - resultat'!$B$33:$B$46)*(INDEX('Landbrugsareal - resultat'!$F$33:$H$46,,MATCH($D126,'Landbrugsareal - resultat'!$F$5:$H$5,0)))),SUMPRODUCT(($B126='Landbrugsareal - resultat'!$B$33:$B$46)*(INDEX('Landbrugsareal - resultat'!$I$33:$K$46,,MATCH($D126,'Landbrugsareal - resultat'!$I$5:$K$5,0)))))),IF(I$2=2019,SUMPRODUCT(($B126='Landbrugsareal - resultat'!$B$33:$B$46)*(INDEX('Landbrugsareal - resultat'!$L$33:$N$46,,MATCH($D126,'Landbrugsareal - resultat'!$L$5:$N$5,0)))),IF(I$2=2030,SUMPRODUCT(($B126='Landbrugsareal - resultat'!$B$33:$B$46)*(INDEX('Landbrugsareal - resultat'!$O$33:$Q$46,,MATCH($D126,'Landbrugsareal - resultat'!$O$5:$Q$5,0)))),SUMPRODUCT(($B126='Landbrugsareal - resultat'!$B$33:$B$46)*(INDEX('Landbrugsareal - resultat'!$R$33:$T$46,,MATCH($D126,'Landbrugsareal - resultat'!$R$5:$T$5,0))))))))</f>
        <v>24.605171560207509</v>
      </c>
    </row>
    <row r="127" spans="1:9" x14ac:dyDescent="0.25">
      <c r="A127" t="s">
        <v>24</v>
      </c>
      <c r="B127" s="1" t="str">
        <f>[1]Afgrødefordeling!$C$14</f>
        <v>Pil &amp; poppel</v>
      </c>
      <c r="C127" t="s">
        <v>7</v>
      </c>
      <c r="D127" t="str">
        <f t="shared" si="10"/>
        <v>OC12</v>
      </c>
      <c r="F127" t="str">
        <f t="shared" si="6"/>
        <v>Areal-pil-poppel</v>
      </c>
      <c r="G127" s="96" cm="1">
        <f t="array" ref="G127">IF($A127="Vestdanmark",IF($C127="Konventionel",IF(G$2=2019,SUMPRODUCT(($B127='Landbrugsareal - resultat'!$B$6:$B$19)*(INDEX('Landbrugsareal - resultat'!$C$6:$E$19,,MATCH($D127,'Landbrugsareal - resultat'!$C$5:$E$5,0)))),IF(G$2=2030,SUMPRODUCT(($B127='Landbrugsareal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resultat'!$I$5:$K$5,0)))))),IF(G$2=2019,SUMPRODUCT(($B127='Landbrugsareal - resultat'!$B$6:$B$19)*(INDEX('Landbrugsareal - resultat'!$L$6:$N$19,,MATCH($D127,'Landbrugsareal - resultat'!$L$5:$N$5,0)))),IF(G$2=2030,SUMPRODUCT(($B127='Landbrugsareal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resultat'!$R$5:$T$5,0))))))),IF($C127="Konventionel",IF(G$2=2019,SUMPRODUCT((B127='Landbrugsareal - resultat'!$B$33:$B$46)*(INDEX('Landbrugsareal - resultat'!$C$33:$E$46,,MATCH($D127,'Landbrugsareal - resultat'!$C$5:$E$5,0)))),IF(G$2=2030,SUMPRODUCT(($B127='Landbrugsareal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resultat'!$I$5:$K$5,0)))))),IF(G$2=2019,SUMPRODUCT(($B127='Landbrugsareal - resultat'!$B$33:$B$46)*(INDEX('Landbrugsareal - resultat'!$L$33:$N$46,,MATCH($D127,'Landbrugsareal - resultat'!$L$5:$N$5,0)))),IF(G$2=2030,SUMPRODUCT(($B127='Landbrugsareal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86.318017390470459</v>
      </c>
      <c r="H127" s="96" cm="1">
        <f t="array" ref="H127">IF($A127="Vestdanmark",IF($C127="Konventionel",IF(H$2=2019,SUMPRODUCT(($B127='Landbrugsareal - resultat'!$B$6:$B$19)*(INDEX('Landbrugsareal - resultat'!$C$6:$E$19,,MATCH($D127,'Landbrugsareal - resultat'!$C$5:$E$5,0)))),IF(H$2=2030,SUMPRODUCT(($B127='Landbrugsareal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resultat'!$I$5:$K$5,0)))))),IF(H$2=2019,SUMPRODUCT(($B127='Landbrugsareal - resultat'!$B$6:$B$19)*(INDEX('Landbrugsareal - resultat'!$L$6:$N$19,,MATCH($D127,'Landbrugsareal - resultat'!$L$5:$N$5,0)))),IF(H$2=2030,SUMPRODUCT(($B127='Landbrugsareal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resultat'!$R$5:$T$5,0))))))),IF($C127="Konventionel",IF(H$2=2019,SUMPRODUCT(($B127='Landbrugsareal - resultat'!$B$33:$B$46)*(INDEX('Landbrugsareal - resultat'!$C$33:$E$46,,MATCH($D127,'Landbrugsareal - resultat'!$C$5:$E$5,0)))),IF(H$2=2030,SUMPRODUCT(($B127='Landbrugsareal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resultat'!$I$5:$K$5,0)))))),IF(H$2=2019,SUMPRODUCT(($B127='Landbrugsareal - resultat'!$B$33:$B$46)*(INDEX('Landbrugsareal - resultat'!$L$33:$N$46,,MATCH($D127,'Landbrugsareal - resultat'!$L$5:$N$5,0)))),IF(H$2=2030,SUMPRODUCT(($B127='Landbrugsareal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78.695172178211379</v>
      </c>
      <c r="I127" s="96" cm="1">
        <f t="array" ref="I127">IF($A127="Vestdanmark",IF($C127="Konventionel",IF(I$2=2019,SUMPRODUCT(($B127='Landbrugsareal - resultat'!$B$6:$B$19)*(INDEX('Landbrugsareal - resultat'!$C$6:$E$19,,MATCH($D127,'Landbrugsareal - resultat'!$C$5:$E$5,0)))),IF(I$2=2030,SUMPRODUCT(($B127='Landbrugsareal - resultat'!$B$6:$B$19)*(INDEX('Landbrugsareal - resultat'!$F$6:$H$19,,MATCH($D127,'Landbrugsareal - resultat'!$F$5:$H$5,0)))),SUMPRODUCT(($B127='Landbrugsareal - resultat'!$B$6:$B$19)*(INDEX('Landbrugsareal - resultat'!$I$6:$K$19,,MATCH($D127,'Landbrugsareal - resultat'!$I$5:$K$5,0)))))),IF(I$2=2019,SUMPRODUCT(($B127='Landbrugsareal - resultat'!$B$6:$B$19)*(INDEX('Landbrugsareal - resultat'!$L$6:$N$19,,MATCH($D127,'Landbrugsareal - resultat'!$L$5:$N$5,0)))),IF(I$2=2030,SUMPRODUCT(($B127='Landbrugsareal - resultat'!$B$6:$B$19)*(INDEX('Landbrugsareal - resultat'!$O$6:$Q$19,,MATCH($D127,'Landbrugsareal - resultat'!$O$5:$Q$5,0)))),SUMPRODUCT(($B127='Landbrugsareal - resultat'!$B$6:$B$19)*(INDEX('Landbrugsareal - resultat'!$R$6:$T$19,,MATCH($D127,'Landbrugsareal - resultat'!$R$5:$T$5,0))))))),IF($C127="Konventionel",IF(I$2=2019,SUMPRODUCT((C127='Landbrugsareal - resultat'!$B$33:$B$46)*(INDEX('Landbrugsareal - resultat'!$C$33:$E$46,,MATCH($D127,'Landbrugsareal - resultat'!$C$5:$E$5,0)))),IF(I$2=2030,SUMPRODUCT(($B127='Landbrugsareal - resultat'!$B$33:$B$46)*(INDEX('Landbrugsareal - resultat'!$F$33:$H$46,,MATCH($D127,'Landbrugsareal - resultat'!$F$5:$H$5,0)))),SUMPRODUCT(($B127='Landbrugsareal - resultat'!$B$33:$B$46)*(INDEX('Landbrugsareal - resultat'!$I$33:$K$46,,MATCH($D127,'Landbrugsareal - resultat'!$I$5:$K$5,0)))))),IF(I$2=2019,SUMPRODUCT(($B127='Landbrugsareal - resultat'!$B$33:$B$46)*(INDEX('Landbrugsareal - resultat'!$L$33:$N$46,,MATCH($D127,'Landbrugsareal - resultat'!$L$5:$N$5,0)))),IF(I$2=2030,SUMPRODUCT(($B127='Landbrugsareal - resultat'!$B$33:$B$46)*(INDEX('Landbrugsareal - resultat'!$O$33:$Q$46,,MATCH($D127,'Landbrugsareal - resultat'!$O$5:$Q$5,0)))),SUMPRODUCT(($B127='Landbrugsareal - resultat'!$B$33:$B$46)*(INDEX('Landbrugsareal - resultat'!$R$33:$T$46,,MATCH($D127,'Landbrugsareal - resultat'!$R$5:$T$5,0))))))))</f>
        <v>75.056089071704491</v>
      </c>
    </row>
    <row r="128" spans="1:9" x14ac:dyDescent="0.25">
      <c r="A128" t="s">
        <v>24</v>
      </c>
      <c r="B128" s="1" t="str">
        <f>[1]Afgrødefordeling!$C$15</f>
        <v>Permanent græs</v>
      </c>
      <c r="C128" t="s">
        <v>7</v>
      </c>
      <c r="D128" t="str">
        <f t="shared" si="10"/>
        <v>OC12</v>
      </c>
      <c r="F128" t="str">
        <f t="shared" si="6"/>
        <v>Areal-permanent græs</v>
      </c>
      <c r="G128" s="96" cm="1">
        <f t="array" ref="G128">IF($A128="Vestdanmark",IF($C128="Konventionel",IF(G$2=2019,SUMPRODUCT(($B128='Landbrugsareal - resultat'!$B$6:$B$19)*(INDEX('Landbrugsareal - resultat'!$C$6:$E$19,,MATCH($D128,'Landbrugsareal - resultat'!$C$5:$E$5,0)))),IF(G$2=2030,SUMPRODUCT(($B128='Landbrugsareal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resultat'!$I$5:$K$5,0)))))),IF(G$2=2019,SUMPRODUCT(($B128='Landbrugsareal - resultat'!$B$6:$B$19)*(INDEX('Landbrugsareal - resultat'!$L$6:$N$19,,MATCH($D128,'Landbrugsareal - resultat'!$L$5:$N$5,0)))),IF(G$2=2030,SUMPRODUCT(($B128='Landbrugsareal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resultat'!$R$5:$T$5,0))))))),IF($C128="Konventionel",IF(G$2=2019,SUMPRODUCT((B128='Landbrugsareal - resultat'!$B$33:$B$46)*(INDEX('Landbrugsareal - resultat'!$C$33:$E$46,,MATCH($D128,'Landbrugsareal - resultat'!$C$5:$E$5,0)))),IF(G$2=2030,SUMPRODUCT(($B128='Landbrugsareal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resultat'!$I$5:$K$5,0)))))),IF(G$2=2019,SUMPRODUCT(($B128='Landbrugsareal - resultat'!$B$33:$B$46)*(INDEX('Landbrugsareal - resultat'!$L$33:$N$46,,MATCH($D128,'Landbrugsareal - resultat'!$L$5:$N$5,0)))),IF(G$2=2030,SUMPRODUCT(($B128='Landbrugsareal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3298.9410097807986</v>
      </c>
      <c r="H128" s="96" cm="1">
        <f t="array" ref="H128">IF($A128="Vestdanmark",IF($C128="Konventionel",IF(H$2=2019,SUMPRODUCT(($B128='Landbrugsareal - resultat'!$B$6:$B$19)*(INDEX('Landbrugsareal - resultat'!$C$6:$E$19,,MATCH($D128,'Landbrugsareal - resultat'!$C$5:$E$5,0)))),IF(H$2=2030,SUMPRODUCT(($B128='Landbrugsareal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resultat'!$I$5:$K$5,0)))))),IF(H$2=2019,SUMPRODUCT(($B128='Landbrugsareal - resultat'!$B$6:$B$19)*(INDEX('Landbrugsareal - resultat'!$L$6:$N$19,,MATCH($D128,'Landbrugsareal - resultat'!$L$5:$N$5,0)))),IF(H$2=2030,SUMPRODUCT(($B128='Landbrugsareal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resultat'!$R$5:$T$5,0))))))),IF($C128="Konventionel",IF(H$2=2019,SUMPRODUCT(($B128='Landbrugsareal - resultat'!$B$33:$B$46)*(INDEX('Landbrugsareal - resultat'!$C$33:$E$46,,MATCH($D128,'Landbrugsareal - resultat'!$C$5:$E$5,0)))),IF(H$2=2030,SUMPRODUCT(($B128='Landbrugsareal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resultat'!$I$5:$K$5,0)))))),IF(H$2=2019,SUMPRODUCT(($B128='Landbrugsareal - resultat'!$B$33:$B$46)*(INDEX('Landbrugsareal - resultat'!$L$33:$N$46,,MATCH($D128,'Landbrugsareal - resultat'!$L$5:$N$5,0)))),IF(H$2=2030,SUMPRODUCT(($B128='Landbrugsareal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2736.7303190386051</v>
      </c>
      <c r="I128" s="96" cm="1">
        <f t="array" ref="I128">IF($A128="Vestdanmark",IF($C128="Konventionel",IF(I$2=2019,SUMPRODUCT(($B128='Landbrugsareal - resultat'!$B$6:$B$19)*(INDEX('Landbrugsareal - resultat'!$C$6:$E$19,,MATCH($D128,'Landbrugsareal - resultat'!$C$5:$E$5,0)))),IF(I$2=2030,SUMPRODUCT(($B128='Landbrugsareal - resultat'!$B$6:$B$19)*(INDEX('Landbrugsareal - resultat'!$F$6:$H$19,,MATCH($D128,'Landbrugsareal - resultat'!$F$5:$H$5,0)))),SUMPRODUCT(($B128='Landbrugsareal - resultat'!$B$6:$B$19)*(INDEX('Landbrugsareal - resultat'!$I$6:$K$19,,MATCH($D128,'Landbrugsareal - resultat'!$I$5:$K$5,0)))))),IF(I$2=2019,SUMPRODUCT(($B128='Landbrugsareal - resultat'!$B$6:$B$19)*(INDEX('Landbrugsareal - resultat'!$L$6:$N$19,,MATCH($D128,'Landbrugsareal - resultat'!$L$5:$N$5,0)))),IF(I$2=2030,SUMPRODUCT(($B128='Landbrugsareal - resultat'!$B$6:$B$19)*(INDEX('Landbrugsareal - resultat'!$O$6:$Q$19,,MATCH($D128,'Landbrugsareal - resultat'!$O$5:$Q$5,0)))),SUMPRODUCT(($B128='Landbrugsareal - resultat'!$B$6:$B$19)*(INDEX('Landbrugsareal - resultat'!$R$6:$T$19,,MATCH($D128,'Landbrugsareal - resultat'!$R$5:$T$5,0))))))),IF($C128="Konventionel",IF(I$2=2019,SUMPRODUCT((C128='Landbrugsareal - resultat'!$B$33:$B$46)*(INDEX('Landbrugsareal - resultat'!$C$33:$E$46,,MATCH($D128,'Landbrugsareal - resultat'!$C$5:$E$5,0)))),IF(I$2=2030,SUMPRODUCT(($B128='Landbrugsareal - resultat'!$B$33:$B$46)*(INDEX('Landbrugsareal - resultat'!$F$33:$H$46,,MATCH($D128,'Landbrugsareal - resultat'!$F$5:$H$5,0)))),SUMPRODUCT(($B128='Landbrugsareal - resultat'!$B$33:$B$46)*(INDEX('Landbrugsareal - resultat'!$I$33:$K$46,,MATCH($D128,'Landbrugsareal - resultat'!$I$5:$K$5,0)))))),IF(I$2=2019,SUMPRODUCT(($B128='Landbrugsareal - resultat'!$B$33:$B$46)*(INDEX('Landbrugsareal - resultat'!$L$33:$N$46,,MATCH($D128,'Landbrugsareal - resultat'!$L$5:$N$5,0)))),IF(I$2=2030,SUMPRODUCT(($B128='Landbrugsareal - resultat'!$B$33:$B$46)*(INDEX('Landbrugsareal - resultat'!$O$33:$Q$46,,MATCH($D128,'Landbrugsareal - resultat'!$O$5:$Q$5,0)))),SUMPRODUCT(($B128='Landbrugsareal - resultat'!$B$33:$B$46)*(INDEX('Landbrugsareal - resultat'!$R$33:$T$46,,MATCH($D128,'Landbrugsareal - resultat'!$R$5:$T$5,0))))))))</f>
        <v>2610.1763158460685</v>
      </c>
    </row>
    <row r="129" spans="1:9" x14ac:dyDescent="0.25">
      <c r="A129" t="s">
        <v>24</v>
      </c>
      <c r="B129" s="1" t="str">
        <f>[1]Afgrødefordeling!$C$2</f>
        <v>Korn</v>
      </c>
      <c r="C129" t="s">
        <v>8</v>
      </c>
      <c r="D129" t="str">
        <f t="shared" ref="D129:D142" si="11">Jordbund1</f>
        <v>JB1-10</v>
      </c>
      <c r="F129" t="str">
        <f t="shared" si="6"/>
        <v>Areal-korn</v>
      </c>
      <c r="G129" s="96" cm="1">
        <f t="array" ref="G129">IF($A129="Vestdanmark",IF($C129="Konventionel",IF(G$2=2019,SUMPRODUCT(($B129='Landbrugsareal - resultat'!$B$6:$B$19)*(INDEX('Landbrugsareal - resultat'!$C$6:$E$19,,MATCH($D129,'Landbrugsareal - resultat'!$C$5:$E$5,0)))),IF(G$2=2030,SUMPRODUCT(($B129='Landbrugsareal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resultat'!$I$5:$K$5,0)))))),IF(G$2=2019,SUMPRODUCT(($B129='Landbrugsareal - resultat'!$B$6:$B$19)*(INDEX('Landbrugsareal - resultat'!$L$6:$N$19,,MATCH($D129,'Landbrugsareal - resultat'!$L$5:$N$5,0)))),IF(G$2=2030,SUMPRODUCT(($B129='Landbrugsareal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resultat'!$R$5:$T$5,0))))))),IF($C129="Konventionel",IF(G$2=2019,SUMPRODUCT((B129='Landbrugsareal - resultat'!$B$33:$B$46)*(INDEX('Landbrugsareal - resultat'!$C$33:$E$46,,MATCH($D129,'Landbrugsareal - resultat'!$C$5:$E$5,0)))),IF(G$2=2030,SUMPRODUCT(($B129='Landbrugsareal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resultat'!$I$5:$K$5,0)))))),IF(G$2=2019,SUMPRODUCT(($B129='Landbrugsareal - resultat'!$B$33:$B$46)*(INDEX('Landbrugsareal - resultat'!$L$33:$N$46,,MATCH($D129,'Landbrugsareal - resultat'!$L$5:$N$5,0)))),IF(G$2=2030,SUMPRODUCT(($B129='Landbrugsareal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36993.456805099093</v>
      </c>
      <c r="H129" s="96" cm="1">
        <f t="array" ref="H129">IF($A129="Vestdanmark",IF($C129="Konventionel",IF(H$2=2019,SUMPRODUCT(($B129='Landbrugsareal - resultat'!$B$6:$B$19)*(INDEX('Landbrugsareal - resultat'!$C$6:$E$19,,MATCH($D129,'Landbrugsareal - resultat'!$C$5:$E$5,0)))),IF(H$2=2030,SUMPRODUCT(($B129='Landbrugsareal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resultat'!$I$5:$K$5,0)))))),IF(H$2=2019,SUMPRODUCT(($B129='Landbrugsareal - resultat'!$B$6:$B$19)*(INDEX('Landbrugsareal - resultat'!$L$6:$N$19,,MATCH($D129,'Landbrugsareal - resultat'!$L$5:$N$5,0)))),IF(H$2=2030,SUMPRODUCT(($B129='Landbrugsareal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resultat'!$R$5:$T$5,0))))))),IF($C129="Konventionel",IF(H$2=2019,SUMPRODUCT(($B129='Landbrugsareal - resultat'!$B$33:$B$46)*(INDEX('Landbrugsareal - resultat'!$C$33:$E$46,,MATCH($D129,'Landbrugsareal - resultat'!$C$5:$E$5,0)))),IF(H$2=2030,SUMPRODUCT(($B129='Landbrugsareal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resultat'!$I$5:$K$5,0)))))),IF(H$2=2019,SUMPRODUCT(($B129='Landbrugsareal - resultat'!$B$33:$B$46)*(INDEX('Landbrugsareal - resultat'!$L$33:$N$46,,MATCH($D129,'Landbrugsareal - resultat'!$L$5:$N$5,0)))),IF(H$2=2030,SUMPRODUCT(($B129='Landbrugsareal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43830.597584630392</v>
      </c>
      <c r="I129" s="96" cm="1">
        <f t="array" ref="I129">IF($A129="Vestdanmark",IF($C129="Konventionel",IF(I$2=2019,SUMPRODUCT(($B129='Landbrugsareal - resultat'!$B$6:$B$19)*(INDEX('Landbrugsareal - resultat'!$C$6:$E$19,,MATCH($D129,'Landbrugsareal - resultat'!$C$5:$E$5,0)))),IF(I$2=2030,SUMPRODUCT(($B129='Landbrugsareal - resultat'!$B$6:$B$19)*(INDEX('Landbrugsareal - resultat'!$F$6:$H$19,,MATCH($D129,'Landbrugsareal - resultat'!$F$5:$H$5,0)))),SUMPRODUCT(($B129='Landbrugsareal - resultat'!$B$6:$B$19)*(INDEX('Landbrugsareal - resultat'!$I$6:$K$19,,MATCH($D129,'Landbrugsareal - resultat'!$I$5:$K$5,0)))))),IF(I$2=2019,SUMPRODUCT(($B129='Landbrugsareal - resultat'!$B$6:$B$19)*(INDEX('Landbrugsareal - resultat'!$L$6:$N$19,,MATCH($D129,'Landbrugsareal - resultat'!$L$5:$N$5,0)))),IF(I$2=2030,SUMPRODUCT(($B129='Landbrugsareal - resultat'!$B$6:$B$19)*(INDEX('Landbrugsareal - resultat'!$O$6:$Q$19,,MATCH($D129,'Landbrugsareal - resultat'!$O$5:$Q$5,0)))),SUMPRODUCT(($B129='Landbrugsareal - resultat'!$B$6:$B$19)*(INDEX('Landbrugsareal - resultat'!$R$6:$T$19,,MATCH($D129,'Landbrugsareal - resultat'!$R$5:$T$5,0))))))),IF($C129="Konventionel",IF(I$2=2019,SUMPRODUCT((C129='Landbrugsareal - resultat'!$B$33:$B$46)*(INDEX('Landbrugsareal - resultat'!$C$33:$E$46,,MATCH($D129,'Landbrugsareal - resultat'!$C$5:$E$5,0)))),IF(I$2=2030,SUMPRODUCT(($B129='Landbrugsareal - resultat'!$B$33:$B$46)*(INDEX('Landbrugsareal - resultat'!$F$33:$H$46,,MATCH($D129,'Landbrugsareal - resultat'!$F$5:$H$5,0)))),SUMPRODUCT(($B129='Landbrugsareal - resultat'!$B$33:$B$46)*(INDEX('Landbrugsareal - resultat'!$I$33:$K$46,,MATCH($D129,'Landbrugsareal - resultat'!$I$5:$K$5,0)))))),IF(I$2=2019,SUMPRODUCT(($B129='Landbrugsareal - resultat'!$B$33:$B$46)*(INDEX('Landbrugsareal - resultat'!$L$33:$N$46,,MATCH($D129,'Landbrugsareal - resultat'!$L$5:$N$5,0)))),IF(I$2=2030,SUMPRODUCT(($B129='Landbrugsareal - resultat'!$B$33:$B$46)*(INDEX('Landbrugsareal - resultat'!$O$33:$Q$46,,MATCH($D129,'Landbrugsareal - resultat'!$O$5:$Q$5,0)))),SUMPRODUCT(($B129='Landbrugsareal - resultat'!$B$33:$B$46)*(INDEX('Landbrugsareal - resultat'!$R$33:$T$46,,MATCH($D129,'Landbrugsareal - resultat'!$R$5:$T$5,0))))))))</f>
        <v>56293.468837378547</v>
      </c>
    </row>
    <row r="130" spans="1:9" x14ac:dyDescent="0.25">
      <c r="A130" t="s">
        <v>24</v>
      </c>
      <c r="B130" s="1" t="str">
        <f>[1]Afgrødefordeling!$C$3</f>
        <v>Bælgsæd</v>
      </c>
      <c r="C130" t="s">
        <v>8</v>
      </c>
      <c r="D130" t="str">
        <f t="shared" si="11"/>
        <v>JB1-10</v>
      </c>
      <c r="F130" t="str">
        <f t="shared" si="6"/>
        <v>Areal-bælgsæd</v>
      </c>
      <c r="G130" s="96" cm="1">
        <f t="array" ref="G130">IF($A130="Vestdanmark",IF($C130="Konventionel",IF(G$2=2019,SUMPRODUCT(($B130='Landbrugsareal - resultat'!$B$6:$B$19)*(INDEX('Landbrugsareal - resultat'!$C$6:$E$19,,MATCH($D130,'Landbrugsareal - resultat'!$C$5:$E$5,0)))),IF(G$2=2030,SUMPRODUCT(($B130='Landbrugsareal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resultat'!$I$5:$K$5,0)))))),IF(G$2=2019,SUMPRODUCT(($B130='Landbrugsareal - resultat'!$B$6:$B$19)*(INDEX('Landbrugsareal - resultat'!$L$6:$N$19,,MATCH($D130,'Landbrugsareal - resultat'!$L$5:$N$5,0)))),IF(G$2=2030,SUMPRODUCT(($B130='Landbrugsareal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resultat'!$R$5:$T$5,0))))))),IF($C130="Konventionel",IF(G$2=2019,SUMPRODUCT((B130='Landbrugsareal - resultat'!$B$33:$B$46)*(INDEX('Landbrugsareal - resultat'!$C$33:$E$46,,MATCH($D130,'Landbrugsareal - resultat'!$C$5:$E$5,0)))),IF(G$2=2030,SUMPRODUCT(($B130='Landbrugsareal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resultat'!$I$5:$K$5,0)))))),IF(G$2=2019,SUMPRODUCT(($B130='Landbrugsareal - resultat'!$B$33:$B$46)*(INDEX('Landbrugsareal - resultat'!$L$33:$N$46,,MATCH($D130,'Landbrugsareal - resultat'!$L$5:$N$5,0)))),IF(G$2=2030,SUMPRODUCT(($B130='Landbrugsareal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806.26635417583145</v>
      </c>
      <c r="H130" s="96" cm="1">
        <f t="array" ref="H130">IF($A130="Vestdanmark",IF($C130="Konventionel",IF(H$2=2019,SUMPRODUCT(($B130='Landbrugsareal - resultat'!$B$6:$B$19)*(INDEX('Landbrugsareal - resultat'!$C$6:$E$19,,MATCH($D130,'Landbrugsareal - resultat'!$C$5:$E$5,0)))),IF(H$2=2030,SUMPRODUCT(($B130='Landbrugsareal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resultat'!$I$5:$K$5,0)))))),IF(H$2=2019,SUMPRODUCT(($B130='Landbrugsareal - resultat'!$B$6:$B$19)*(INDEX('Landbrugsareal - resultat'!$L$6:$N$19,,MATCH($D130,'Landbrugsareal - resultat'!$L$5:$N$5,0)))),IF(H$2=2030,SUMPRODUCT(($B130='Landbrugsareal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resultat'!$R$5:$T$5,0))))))),IF($C130="Konventionel",IF(H$2=2019,SUMPRODUCT(($B130='Landbrugsareal - resultat'!$B$33:$B$46)*(INDEX('Landbrugsareal - resultat'!$C$33:$E$46,,MATCH($D130,'Landbrugsareal - resultat'!$C$5:$E$5,0)))),IF(H$2=2030,SUMPRODUCT(($B130='Landbrugsareal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resultat'!$I$5:$K$5,0)))))),IF(H$2=2019,SUMPRODUCT(($B130='Landbrugsareal - resultat'!$B$33:$B$46)*(INDEX('Landbrugsareal - resultat'!$L$33:$N$46,,MATCH($D130,'Landbrugsareal - resultat'!$L$5:$N$5,0)))),IF(H$2=2030,SUMPRODUCT(($B130='Landbrugsareal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955.28072172581835</v>
      </c>
      <c r="I130" s="96" cm="1">
        <f t="array" ref="I130">IF($A130="Vestdanmark",IF($C130="Konventionel",IF(I$2=2019,SUMPRODUCT(($B130='Landbrugsareal - resultat'!$B$6:$B$19)*(INDEX('Landbrugsareal - resultat'!$C$6:$E$19,,MATCH($D130,'Landbrugsareal - resultat'!$C$5:$E$5,0)))),IF(I$2=2030,SUMPRODUCT(($B130='Landbrugsareal - resultat'!$B$6:$B$19)*(INDEX('Landbrugsareal - resultat'!$F$6:$H$19,,MATCH($D130,'Landbrugsareal - resultat'!$F$5:$H$5,0)))),SUMPRODUCT(($B130='Landbrugsareal - resultat'!$B$6:$B$19)*(INDEX('Landbrugsareal - resultat'!$I$6:$K$19,,MATCH($D130,'Landbrugsareal - resultat'!$I$5:$K$5,0)))))),IF(I$2=2019,SUMPRODUCT(($B130='Landbrugsareal - resultat'!$B$6:$B$19)*(INDEX('Landbrugsareal - resultat'!$L$6:$N$19,,MATCH($D130,'Landbrugsareal - resultat'!$L$5:$N$5,0)))),IF(I$2=2030,SUMPRODUCT(($B130='Landbrugsareal - resultat'!$B$6:$B$19)*(INDEX('Landbrugsareal - resultat'!$O$6:$Q$19,,MATCH($D130,'Landbrugsareal - resultat'!$O$5:$Q$5,0)))),SUMPRODUCT(($B130='Landbrugsareal - resultat'!$B$6:$B$19)*(INDEX('Landbrugsareal - resultat'!$R$6:$T$19,,MATCH($D130,'Landbrugsareal - resultat'!$R$5:$T$5,0))))))),IF($C130="Konventionel",IF(I$2=2019,SUMPRODUCT((C130='Landbrugsareal - resultat'!$B$33:$B$46)*(INDEX('Landbrugsareal - resultat'!$C$33:$E$46,,MATCH($D130,'Landbrugsareal - resultat'!$C$5:$E$5,0)))),IF(I$2=2030,SUMPRODUCT(($B130='Landbrugsareal - resultat'!$B$33:$B$46)*(INDEX('Landbrugsareal - resultat'!$F$33:$H$46,,MATCH($D130,'Landbrugsareal - resultat'!$F$5:$H$5,0)))),SUMPRODUCT(($B130='Landbrugsareal - resultat'!$B$33:$B$46)*(INDEX('Landbrugsareal - resultat'!$I$33:$K$46,,MATCH($D130,'Landbrugsareal - resultat'!$I$5:$K$5,0)))))),IF(I$2=2019,SUMPRODUCT(($B130='Landbrugsareal - resultat'!$B$33:$B$46)*(INDEX('Landbrugsareal - resultat'!$L$33:$N$46,,MATCH($D130,'Landbrugsareal - resultat'!$L$5:$N$5,0)))),IF(I$2=2030,SUMPRODUCT(($B130='Landbrugsareal - resultat'!$B$33:$B$46)*(INDEX('Landbrugsareal - resultat'!$O$33:$Q$46,,MATCH($D130,'Landbrugsareal - resultat'!$O$5:$Q$5,0)))),SUMPRODUCT(($B130='Landbrugsareal - resultat'!$B$33:$B$46)*(INDEX('Landbrugsareal - resultat'!$R$33:$T$46,,MATCH($D130,'Landbrugsareal - resultat'!$R$5:$T$5,0))))))))</f>
        <v>1226.9069668873949</v>
      </c>
    </row>
    <row r="131" spans="1:9" x14ac:dyDescent="0.25">
      <c r="A131" t="s">
        <v>24</v>
      </c>
      <c r="B131" s="1" t="str">
        <f>[1]Afgrødefordeling!$C$4</f>
        <v>Raps</v>
      </c>
      <c r="C131" t="s">
        <v>8</v>
      </c>
      <c r="D131" t="str">
        <f t="shared" si="11"/>
        <v>JB1-10</v>
      </c>
      <c r="F131" t="str">
        <f t="shared" si="6"/>
        <v>Areal-raps</v>
      </c>
      <c r="G131" s="96" cm="1">
        <f t="array" ref="G131">IF($A131="Vestdanmark",IF($C131="Konventionel",IF(G$2=2019,SUMPRODUCT(($B131='Landbrugsareal - resultat'!$B$6:$B$19)*(INDEX('Landbrugsareal - resultat'!$C$6:$E$19,,MATCH($D131,'Landbrugsareal - resultat'!$C$5:$E$5,0)))),IF(G$2=2030,SUMPRODUCT(($B131='Landbrugsareal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resultat'!$I$5:$K$5,0)))))),IF(G$2=2019,SUMPRODUCT(($B131='Landbrugsareal - resultat'!$B$6:$B$19)*(INDEX('Landbrugsareal - resultat'!$L$6:$N$19,,MATCH($D131,'Landbrugsareal - resultat'!$L$5:$N$5,0)))),IF(G$2=2030,SUMPRODUCT(($B131='Landbrugsareal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resultat'!$R$5:$T$5,0))))))),IF($C131="Konventionel",IF(G$2=2019,SUMPRODUCT((B131='Landbrugsareal - resultat'!$B$33:$B$46)*(INDEX('Landbrugsareal - resultat'!$C$33:$E$46,,MATCH($D131,'Landbrugsareal - resultat'!$C$5:$E$5,0)))),IF(G$2=2030,SUMPRODUCT(($B131='Landbrugsareal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resultat'!$I$5:$K$5,0)))))),IF(G$2=2019,SUMPRODUCT(($B131='Landbrugsareal - resultat'!$B$33:$B$46)*(INDEX('Landbrugsareal - resultat'!$L$33:$N$46,,MATCH($D131,'Landbrugsareal - resultat'!$L$5:$N$5,0)))),IF(G$2=2030,SUMPRODUCT(($B131='Landbrugsareal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5114.4748217902852</v>
      </c>
      <c r="H131" s="96" cm="1">
        <f t="array" ref="H131">IF($A131="Vestdanmark",IF($C131="Konventionel",IF(H$2=2019,SUMPRODUCT(($B131='Landbrugsareal - resultat'!$B$6:$B$19)*(INDEX('Landbrugsareal - resultat'!$C$6:$E$19,,MATCH($D131,'Landbrugsareal - resultat'!$C$5:$E$5,0)))),IF(H$2=2030,SUMPRODUCT(($B131='Landbrugsareal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resultat'!$I$5:$K$5,0)))))),IF(H$2=2019,SUMPRODUCT(($B131='Landbrugsareal - resultat'!$B$6:$B$19)*(INDEX('Landbrugsareal - resultat'!$L$6:$N$19,,MATCH($D131,'Landbrugsareal - resultat'!$L$5:$N$5,0)))),IF(H$2=2030,SUMPRODUCT(($B131='Landbrugsareal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resultat'!$R$5:$T$5,0))))))),IF($C131="Konventionel",IF(H$2=2019,SUMPRODUCT(($B131='Landbrugsareal - resultat'!$B$33:$B$46)*(INDEX('Landbrugsareal - resultat'!$C$33:$E$46,,MATCH($D131,'Landbrugsareal - resultat'!$C$5:$E$5,0)))),IF(H$2=2030,SUMPRODUCT(($B131='Landbrugsareal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resultat'!$I$5:$K$5,0)))))),IF(H$2=2019,SUMPRODUCT(($B131='Landbrugsareal - resultat'!$B$33:$B$46)*(INDEX('Landbrugsareal - resultat'!$L$33:$N$46,,MATCH($D131,'Landbrugsareal - resultat'!$L$5:$N$5,0)))),IF(H$2=2030,SUMPRODUCT(($B131='Landbrugsareal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6059.733453720256</v>
      </c>
      <c r="I131" s="96" cm="1">
        <f t="array" ref="I131">IF($A131="Vestdanmark",IF($C131="Konventionel",IF(I$2=2019,SUMPRODUCT(($B131='Landbrugsareal - resultat'!$B$6:$B$19)*(INDEX('Landbrugsareal - resultat'!$C$6:$E$19,,MATCH($D131,'Landbrugsareal - resultat'!$C$5:$E$5,0)))),IF(I$2=2030,SUMPRODUCT(($B131='Landbrugsareal - resultat'!$B$6:$B$19)*(INDEX('Landbrugsareal - resultat'!$F$6:$H$19,,MATCH($D131,'Landbrugsareal - resultat'!$F$5:$H$5,0)))),SUMPRODUCT(($B131='Landbrugsareal - resultat'!$B$6:$B$19)*(INDEX('Landbrugsareal - resultat'!$I$6:$K$19,,MATCH($D131,'Landbrugsareal - resultat'!$I$5:$K$5,0)))))),IF(I$2=2019,SUMPRODUCT(($B131='Landbrugsareal - resultat'!$B$6:$B$19)*(INDEX('Landbrugsareal - resultat'!$L$6:$N$19,,MATCH($D131,'Landbrugsareal - resultat'!$L$5:$N$5,0)))),IF(I$2=2030,SUMPRODUCT(($B131='Landbrugsareal - resultat'!$B$6:$B$19)*(INDEX('Landbrugsareal - resultat'!$O$6:$Q$19,,MATCH($D131,'Landbrugsareal - resultat'!$O$5:$Q$5,0)))),SUMPRODUCT(($B131='Landbrugsareal - resultat'!$B$6:$B$19)*(INDEX('Landbrugsareal - resultat'!$R$6:$T$19,,MATCH($D131,'Landbrugsareal - resultat'!$R$5:$T$5,0))))))),IF($C131="Konventionel",IF(I$2=2019,SUMPRODUCT((C131='Landbrugsareal - resultat'!$B$33:$B$46)*(INDEX('Landbrugsareal - resultat'!$C$33:$E$46,,MATCH($D131,'Landbrugsareal - resultat'!$C$5:$E$5,0)))),IF(I$2=2030,SUMPRODUCT(($B131='Landbrugsareal - resultat'!$B$33:$B$46)*(INDEX('Landbrugsareal - resultat'!$F$33:$H$46,,MATCH($D131,'Landbrugsareal - resultat'!$F$5:$H$5,0)))),SUMPRODUCT(($B131='Landbrugsareal - resultat'!$B$33:$B$46)*(INDEX('Landbrugsareal - resultat'!$I$33:$K$46,,MATCH($D131,'Landbrugsareal - resultat'!$I$5:$K$5,0)))))),IF(I$2=2019,SUMPRODUCT(($B131='Landbrugsareal - resultat'!$B$33:$B$46)*(INDEX('Landbrugsareal - resultat'!$L$33:$N$46,,MATCH($D131,'Landbrugsareal - resultat'!$L$5:$N$5,0)))),IF(I$2=2030,SUMPRODUCT(($B131='Landbrugsareal - resultat'!$B$33:$B$46)*(INDEX('Landbrugsareal - resultat'!$O$33:$Q$46,,MATCH($D131,'Landbrugsareal - resultat'!$O$5:$Q$5,0)))),SUMPRODUCT(($B131='Landbrugsareal - resultat'!$B$33:$B$46)*(INDEX('Landbrugsareal - resultat'!$R$33:$T$46,,MATCH($D131,'Landbrugsareal - resultat'!$R$5:$T$5,0))))))))</f>
        <v>7782.7690047155465</v>
      </c>
    </row>
    <row r="132" spans="1:9" x14ac:dyDescent="0.25">
      <c r="A132" t="s">
        <v>24</v>
      </c>
      <c r="B132" s="1" t="str">
        <f>[1]Afgrødefordeling!$C$5</f>
        <v>Græs</v>
      </c>
      <c r="C132" t="s">
        <v>8</v>
      </c>
      <c r="D132" t="str">
        <f t="shared" si="11"/>
        <v>JB1-10</v>
      </c>
      <c r="F132" t="str">
        <f t="shared" ref="F132:F170" si="12">CONCATENATE("Areal-",IF(LEFT(B132,3)&lt;&gt;"Pil",IF(LEFT(B132,3)&lt;&gt;"Frø",LOWER(B132),"frøgræs"),"pil-poppel"))</f>
        <v>Areal-græs</v>
      </c>
      <c r="G132" s="96" cm="1">
        <f t="array" ref="G132">IF($A132="Vestdanmark",IF($C132="Konventionel",IF(G$2=2019,SUMPRODUCT(($B132='Landbrugsareal - resultat'!$B$6:$B$19)*(INDEX('Landbrugsareal - resultat'!$C$6:$E$19,,MATCH($D132,'Landbrugsareal - resultat'!$C$5:$E$5,0)))),IF(G$2=2030,SUMPRODUCT(($B132='Landbrugsareal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resultat'!$I$5:$K$5,0)))))),IF(G$2=2019,SUMPRODUCT(($B132='Landbrugsareal - resultat'!$B$6:$B$19)*(INDEX('Landbrugsareal - resultat'!$L$6:$N$19,,MATCH($D132,'Landbrugsareal - resultat'!$L$5:$N$5,0)))),IF(G$2=2030,SUMPRODUCT(($B132='Landbrugsareal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resultat'!$R$5:$T$5,0))))))),IF($C132="Konventionel",IF(G$2=2019,SUMPRODUCT((B132='Landbrugsareal - resultat'!$B$33:$B$46)*(INDEX('Landbrugsareal - resultat'!$C$33:$E$46,,MATCH($D132,'Landbrugsareal - resultat'!$C$5:$E$5,0)))),IF(G$2=2030,SUMPRODUCT(($B132='Landbrugsareal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resultat'!$I$5:$K$5,0)))))),IF(G$2=2019,SUMPRODUCT(($B132='Landbrugsareal - resultat'!$B$33:$B$46)*(INDEX('Landbrugsareal - resultat'!$L$33:$N$46,,MATCH($D132,'Landbrugsareal - resultat'!$L$5:$N$5,0)))),IF(G$2=2030,SUMPRODUCT(($B132='Landbrugsareal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3107.1708116565819</v>
      </c>
      <c r="H132" s="96" cm="1">
        <f t="array" ref="H132">IF($A132="Vestdanmark",IF($C132="Konventionel",IF(H$2=2019,SUMPRODUCT(($B132='Landbrugsareal - resultat'!$B$6:$B$19)*(INDEX('Landbrugsareal - resultat'!$C$6:$E$19,,MATCH($D132,'Landbrugsareal - resultat'!$C$5:$E$5,0)))),IF(H$2=2030,SUMPRODUCT(($B132='Landbrugsareal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resultat'!$I$5:$K$5,0)))))),IF(H$2=2019,SUMPRODUCT(($B132='Landbrugsareal - resultat'!$B$6:$B$19)*(INDEX('Landbrugsareal - resultat'!$L$6:$N$19,,MATCH($D132,'Landbrugsareal - resultat'!$L$5:$N$5,0)))),IF(H$2=2030,SUMPRODUCT(($B132='Landbrugsareal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resultat'!$R$5:$T$5,0))))))),IF($C132="Konventionel",IF(H$2=2019,SUMPRODUCT(($B132='Landbrugsareal - resultat'!$B$33:$B$46)*(INDEX('Landbrugsareal - resultat'!$C$33:$E$46,,MATCH($D132,'Landbrugsareal - resultat'!$C$5:$E$5,0)))),IF(H$2=2030,SUMPRODUCT(($B132='Landbrugsareal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resultat'!$I$5:$K$5,0)))))),IF(H$2=2019,SUMPRODUCT(($B132='Landbrugsareal - resultat'!$B$33:$B$46)*(INDEX('Landbrugsareal - resultat'!$L$33:$N$46,,MATCH($D132,'Landbrugsareal - resultat'!$L$5:$N$5,0)))),IF(H$2=2030,SUMPRODUCT(($B132='Landbrugsareal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3681.4389687869621</v>
      </c>
      <c r="I132" s="96" cm="1">
        <f t="array" ref="I132">IF($A132="Vestdanmark",IF($C132="Konventionel",IF(I$2=2019,SUMPRODUCT(($B132='Landbrugsareal - resultat'!$B$6:$B$19)*(INDEX('Landbrugsareal - resultat'!$C$6:$E$19,,MATCH($D132,'Landbrugsareal - resultat'!$C$5:$E$5,0)))),IF(I$2=2030,SUMPRODUCT(($B132='Landbrugsareal - resultat'!$B$6:$B$19)*(INDEX('Landbrugsareal - resultat'!$F$6:$H$19,,MATCH($D132,'Landbrugsareal - resultat'!$F$5:$H$5,0)))),SUMPRODUCT(($B132='Landbrugsareal - resultat'!$B$6:$B$19)*(INDEX('Landbrugsareal - resultat'!$I$6:$K$19,,MATCH($D132,'Landbrugsareal - resultat'!$I$5:$K$5,0)))))),IF(I$2=2019,SUMPRODUCT(($B132='Landbrugsareal - resultat'!$B$6:$B$19)*(INDEX('Landbrugsareal - resultat'!$L$6:$N$19,,MATCH($D132,'Landbrugsareal - resultat'!$L$5:$N$5,0)))),IF(I$2=2030,SUMPRODUCT(($B132='Landbrugsareal - resultat'!$B$6:$B$19)*(INDEX('Landbrugsareal - resultat'!$O$6:$Q$19,,MATCH($D132,'Landbrugsareal - resultat'!$O$5:$Q$5,0)))),SUMPRODUCT(($B132='Landbrugsareal - resultat'!$B$6:$B$19)*(INDEX('Landbrugsareal - resultat'!$R$6:$T$19,,MATCH($D132,'Landbrugsareal - resultat'!$R$5:$T$5,0))))))),IF($C132="Konventionel",IF(I$2=2019,SUMPRODUCT((C132='Landbrugsareal - resultat'!$B$33:$B$46)*(INDEX('Landbrugsareal - resultat'!$C$33:$E$46,,MATCH($D132,'Landbrugsareal - resultat'!$C$5:$E$5,0)))),IF(I$2=2030,SUMPRODUCT(($B132='Landbrugsareal - resultat'!$B$33:$B$46)*(INDEX('Landbrugsareal - resultat'!$F$33:$H$46,,MATCH($D132,'Landbrugsareal - resultat'!$F$5:$H$5,0)))),SUMPRODUCT(($B132='Landbrugsareal - resultat'!$B$33:$B$46)*(INDEX('Landbrugsareal - resultat'!$I$33:$K$46,,MATCH($D132,'Landbrugsareal - resultat'!$I$5:$K$5,0)))))),IF(I$2=2019,SUMPRODUCT(($B132='Landbrugsareal - resultat'!$B$33:$B$46)*(INDEX('Landbrugsareal - resultat'!$L$33:$N$46,,MATCH($D132,'Landbrugsareal - resultat'!$L$5:$N$5,0)))),IF(I$2=2030,SUMPRODUCT(($B132='Landbrugsareal - resultat'!$B$33:$B$46)*(INDEX('Landbrugsareal - resultat'!$O$33:$Q$46,,MATCH($D132,'Landbrugsareal - resultat'!$O$5:$Q$5,0)))),SUMPRODUCT(($B132='Landbrugsareal - resultat'!$B$33:$B$46)*(INDEX('Landbrugsareal - resultat'!$R$33:$T$46,,MATCH($D132,'Landbrugsareal - resultat'!$R$5:$T$5,0))))))))</f>
        <v>4728.2259719587037</v>
      </c>
    </row>
    <row r="133" spans="1:9" x14ac:dyDescent="0.25">
      <c r="A133" t="s">
        <v>24</v>
      </c>
      <c r="B133" s="1" t="str">
        <f>[1]Afgrødefordeling!$C$6</f>
        <v>Grøntsager</v>
      </c>
      <c r="C133" t="s">
        <v>8</v>
      </c>
      <c r="D133" t="str">
        <f t="shared" si="11"/>
        <v>JB1-10</v>
      </c>
      <c r="F133" t="str">
        <f t="shared" si="12"/>
        <v>Areal-grøntsager</v>
      </c>
      <c r="G133" s="96" cm="1">
        <f t="array" ref="G133">IF($A133="Vestdanmark",IF($C133="Konventionel",IF(G$2=2019,SUMPRODUCT(($B133='Landbrugsareal - resultat'!$B$6:$B$19)*(INDEX('Landbrugsareal - resultat'!$C$6:$E$19,,MATCH($D133,'Landbrugsareal - resultat'!$C$5:$E$5,0)))),IF(G$2=2030,SUMPRODUCT(($B133='Landbrugsareal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resultat'!$I$5:$K$5,0)))))),IF(G$2=2019,SUMPRODUCT(($B133='Landbrugsareal - resultat'!$B$6:$B$19)*(INDEX('Landbrugsareal - resultat'!$L$6:$N$19,,MATCH($D133,'Landbrugsareal - resultat'!$L$5:$N$5,0)))),IF(G$2=2030,SUMPRODUCT(($B133='Landbrugsareal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resultat'!$R$5:$T$5,0))))))),IF($C133="Konventionel",IF(G$2=2019,SUMPRODUCT((B133='Landbrugsareal - resultat'!$B$33:$B$46)*(INDEX('Landbrugsareal - resultat'!$C$33:$E$46,,MATCH($D133,'Landbrugsareal - resultat'!$C$5:$E$5,0)))),IF(G$2=2030,SUMPRODUCT(($B133='Landbrugsareal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resultat'!$I$5:$K$5,0)))))),IF(G$2=2019,SUMPRODUCT(($B133='Landbrugsareal - resultat'!$B$33:$B$46)*(INDEX('Landbrugsareal - resultat'!$L$33:$N$46,,MATCH($D133,'Landbrugsareal - resultat'!$L$5:$N$5,0)))),IF(G$2=2030,SUMPRODUCT(($B133='Landbrugsareal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486.89447893054626</v>
      </c>
      <c r="H133" s="96" cm="1">
        <f t="array" ref="H133">IF($A133="Vestdanmark",IF($C133="Konventionel",IF(H$2=2019,SUMPRODUCT(($B133='Landbrugsareal - resultat'!$B$6:$B$19)*(INDEX('Landbrugsareal - resultat'!$C$6:$E$19,,MATCH($D133,'Landbrugsareal - resultat'!$C$5:$E$5,0)))),IF(H$2=2030,SUMPRODUCT(($B133='Landbrugsareal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resultat'!$I$5:$K$5,0)))))),IF(H$2=2019,SUMPRODUCT(($B133='Landbrugsareal - resultat'!$B$6:$B$19)*(INDEX('Landbrugsareal - resultat'!$L$6:$N$19,,MATCH($D133,'Landbrugsareal - resultat'!$L$5:$N$5,0)))),IF(H$2=2030,SUMPRODUCT(($B133='Landbrugsareal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resultat'!$R$5:$T$5,0))))))),IF($C133="Konventionel",IF(H$2=2019,SUMPRODUCT(($B133='Landbrugsareal - resultat'!$B$33:$B$46)*(INDEX('Landbrugsareal - resultat'!$C$33:$E$46,,MATCH($D133,'Landbrugsareal - resultat'!$C$5:$E$5,0)))),IF(H$2=2030,SUMPRODUCT(($B133='Landbrugsareal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resultat'!$I$5:$K$5,0)))))),IF(H$2=2019,SUMPRODUCT(($B133='Landbrugsareal - resultat'!$B$33:$B$46)*(INDEX('Landbrugsareal - resultat'!$L$33:$N$46,,MATCH($D133,'Landbrugsareal - resultat'!$L$5:$N$5,0)))),IF(H$2=2030,SUMPRODUCT(($B133='Landbrugsareal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576.88244936443721</v>
      </c>
      <c r="I133" s="96" cm="1">
        <f t="array" ref="I133">IF($A133="Vestdanmark",IF($C133="Konventionel",IF(I$2=2019,SUMPRODUCT(($B133='Landbrugsareal - resultat'!$B$6:$B$19)*(INDEX('Landbrugsareal - resultat'!$C$6:$E$19,,MATCH($D133,'Landbrugsareal - resultat'!$C$5:$E$5,0)))),IF(I$2=2030,SUMPRODUCT(($B133='Landbrugsareal - resultat'!$B$6:$B$19)*(INDEX('Landbrugsareal - resultat'!$F$6:$H$19,,MATCH($D133,'Landbrugsareal - resultat'!$F$5:$H$5,0)))),SUMPRODUCT(($B133='Landbrugsareal - resultat'!$B$6:$B$19)*(INDEX('Landbrugsareal - resultat'!$I$6:$K$19,,MATCH($D133,'Landbrugsareal - resultat'!$I$5:$K$5,0)))))),IF(I$2=2019,SUMPRODUCT(($B133='Landbrugsareal - resultat'!$B$6:$B$19)*(INDEX('Landbrugsareal - resultat'!$L$6:$N$19,,MATCH($D133,'Landbrugsareal - resultat'!$L$5:$N$5,0)))),IF(I$2=2030,SUMPRODUCT(($B133='Landbrugsareal - resultat'!$B$6:$B$19)*(INDEX('Landbrugsareal - resultat'!$O$6:$Q$19,,MATCH($D133,'Landbrugsareal - resultat'!$O$5:$Q$5,0)))),SUMPRODUCT(($B133='Landbrugsareal - resultat'!$B$6:$B$19)*(INDEX('Landbrugsareal - resultat'!$R$6:$T$19,,MATCH($D133,'Landbrugsareal - resultat'!$R$5:$T$5,0))))))),IF($C133="Konventionel",IF(I$2=2019,SUMPRODUCT((C133='Landbrugsareal - resultat'!$B$33:$B$46)*(INDEX('Landbrugsareal - resultat'!$C$33:$E$46,,MATCH($D133,'Landbrugsareal - resultat'!$C$5:$E$5,0)))),IF(I$2=2030,SUMPRODUCT(($B133='Landbrugsareal - resultat'!$B$33:$B$46)*(INDEX('Landbrugsareal - resultat'!$F$33:$H$46,,MATCH($D133,'Landbrugsareal - resultat'!$F$5:$H$5,0)))),SUMPRODUCT(($B133='Landbrugsareal - resultat'!$B$33:$B$46)*(INDEX('Landbrugsareal - resultat'!$I$33:$K$46,,MATCH($D133,'Landbrugsareal - resultat'!$I$5:$K$5,0)))))),IF(I$2=2019,SUMPRODUCT(($B133='Landbrugsareal - resultat'!$B$33:$B$46)*(INDEX('Landbrugsareal - resultat'!$L$33:$N$46,,MATCH($D133,'Landbrugsareal - resultat'!$L$5:$N$5,0)))),IF(I$2=2030,SUMPRODUCT(($B133='Landbrugsareal - resultat'!$B$33:$B$46)*(INDEX('Landbrugsareal - resultat'!$O$33:$Q$46,,MATCH($D133,'Landbrugsareal - resultat'!$O$5:$Q$5,0)))),SUMPRODUCT(($B133='Landbrugsareal - resultat'!$B$33:$B$46)*(INDEX('Landbrugsareal - resultat'!$R$33:$T$46,,MATCH($D133,'Landbrugsareal - resultat'!$R$5:$T$5,0))))))))</f>
        <v>740.91424656996037</v>
      </c>
    </row>
    <row r="134" spans="1:9" x14ac:dyDescent="0.25">
      <c r="A134" t="s">
        <v>24</v>
      </c>
      <c r="B134" s="1" t="str">
        <f>[1]Afgrødefordeling!$C$7</f>
        <v>Kartofler</v>
      </c>
      <c r="C134" t="s">
        <v>8</v>
      </c>
      <c r="D134" t="str">
        <f t="shared" si="11"/>
        <v>JB1-10</v>
      </c>
      <c r="F134" t="str">
        <f t="shared" si="12"/>
        <v>Areal-kartofler</v>
      </c>
      <c r="G134" s="96" cm="1">
        <f t="array" ref="G134">IF($A134="Vestdanmark",IF($C134="Konventionel",IF(G$2=2019,SUMPRODUCT(($B134='Landbrugsareal - resultat'!$B$6:$B$19)*(INDEX('Landbrugsareal - resultat'!$C$6:$E$19,,MATCH($D134,'Landbrugsareal - resultat'!$C$5:$E$5,0)))),IF(G$2=2030,SUMPRODUCT(($B134='Landbrugsareal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resultat'!$I$5:$K$5,0)))))),IF(G$2=2019,SUMPRODUCT(($B134='Landbrugsareal - resultat'!$B$6:$B$19)*(INDEX('Landbrugsareal - resultat'!$L$6:$N$19,,MATCH($D134,'Landbrugsareal - resultat'!$L$5:$N$5,0)))),IF(G$2=2030,SUMPRODUCT(($B134='Landbrugsareal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resultat'!$R$5:$T$5,0))))))),IF($C134="Konventionel",IF(G$2=2019,SUMPRODUCT((B134='Landbrugsareal - resultat'!$B$33:$B$46)*(INDEX('Landbrugsareal - resultat'!$C$33:$E$46,,MATCH($D134,'Landbrugsareal - resultat'!$C$5:$E$5,0)))),IF(G$2=2030,SUMPRODUCT(($B134='Landbrugsareal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resultat'!$I$5:$K$5,0)))))),IF(G$2=2019,SUMPRODUCT(($B134='Landbrugsareal - resultat'!$B$33:$B$46)*(INDEX('Landbrugsareal - resultat'!$L$33:$N$46,,MATCH($D134,'Landbrugsareal - resultat'!$L$5:$N$5,0)))),IF(G$2=2030,SUMPRODUCT(($B134='Landbrugsareal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312.34400361551104</v>
      </c>
      <c r="H134" s="96" cm="1">
        <f t="array" ref="H134">IF($A134="Vestdanmark",IF($C134="Konventionel",IF(H$2=2019,SUMPRODUCT(($B134='Landbrugsareal - resultat'!$B$6:$B$19)*(INDEX('Landbrugsareal - resultat'!$C$6:$E$19,,MATCH($D134,'Landbrugsareal - resultat'!$C$5:$E$5,0)))),IF(H$2=2030,SUMPRODUCT(($B134='Landbrugsareal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resultat'!$I$5:$K$5,0)))))),IF(H$2=2019,SUMPRODUCT(($B134='Landbrugsareal - resultat'!$B$6:$B$19)*(INDEX('Landbrugsareal - resultat'!$L$6:$N$19,,MATCH($D134,'Landbrugsareal - resultat'!$L$5:$N$5,0)))),IF(H$2=2030,SUMPRODUCT(($B134='Landbrugsareal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resultat'!$R$5:$T$5,0))))))),IF($C134="Konventionel",IF(H$2=2019,SUMPRODUCT(($B134='Landbrugsareal - resultat'!$B$33:$B$46)*(INDEX('Landbrugsareal - resultat'!$C$33:$E$46,,MATCH($D134,'Landbrugsareal - resultat'!$C$5:$E$5,0)))),IF(H$2=2030,SUMPRODUCT(($B134='Landbrugsareal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resultat'!$I$5:$K$5,0)))))),IF(H$2=2019,SUMPRODUCT(($B134='Landbrugsareal - resultat'!$B$33:$B$46)*(INDEX('Landbrugsareal - resultat'!$L$33:$N$46,,MATCH($D134,'Landbrugsareal - resultat'!$L$5:$N$5,0)))),IF(H$2=2030,SUMPRODUCT(($B134='Landbrugsareal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370.07150757959914</v>
      </c>
      <c r="I134" s="96" cm="1">
        <f t="array" ref="I134">IF($A134="Vestdanmark",IF($C134="Konventionel",IF(I$2=2019,SUMPRODUCT(($B134='Landbrugsareal - resultat'!$B$6:$B$19)*(INDEX('Landbrugsareal - resultat'!$C$6:$E$19,,MATCH($D134,'Landbrugsareal - resultat'!$C$5:$E$5,0)))),IF(I$2=2030,SUMPRODUCT(($B134='Landbrugsareal - resultat'!$B$6:$B$19)*(INDEX('Landbrugsareal - resultat'!$F$6:$H$19,,MATCH($D134,'Landbrugsareal - resultat'!$F$5:$H$5,0)))),SUMPRODUCT(($B134='Landbrugsareal - resultat'!$B$6:$B$19)*(INDEX('Landbrugsareal - resultat'!$I$6:$K$19,,MATCH($D134,'Landbrugsareal - resultat'!$I$5:$K$5,0)))))),IF(I$2=2019,SUMPRODUCT(($B134='Landbrugsareal - resultat'!$B$6:$B$19)*(INDEX('Landbrugsareal - resultat'!$L$6:$N$19,,MATCH($D134,'Landbrugsareal - resultat'!$L$5:$N$5,0)))),IF(I$2=2030,SUMPRODUCT(($B134='Landbrugsareal - resultat'!$B$6:$B$19)*(INDEX('Landbrugsareal - resultat'!$O$6:$Q$19,,MATCH($D134,'Landbrugsareal - resultat'!$O$5:$Q$5,0)))),SUMPRODUCT(($B134='Landbrugsareal - resultat'!$B$6:$B$19)*(INDEX('Landbrugsareal - resultat'!$R$6:$T$19,,MATCH($D134,'Landbrugsareal - resultat'!$R$5:$T$5,0))))))),IF($C134="Konventionel",IF(I$2=2019,SUMPRODUCT((C134='Landbrugsareal - resultat'!$B$33:$B$46)*(INDEX('Landbrugsareal - resultat'!$C$33:$E$46,,MATCH($D134,'Landbrugsareal - resultat'!$C$5:$E$5,0)))),IF(I$2=2030,SUMPRODUCT(($B134='Landbrugsareal - resultat'!$B$33:$B$46)*(INDEX('Landbrugsareal - resultat'!$F$33:$H$46,,MATCH($D134,'Landbrugsareal - resultat'!$F$5:$H$5,0)))),SUMPRODUCT(($B134='Landbrugsareal - resultat'!$B$33:$B$46)*(INDEX('Landbrugsareal - resultat'!$I$33:$K$46,,MATCH($D134,'Landbrugsareal - resultat'!$I$5:$K$5,0)))))),IF(I$2=2019,SUMPRODUCT(($B134='Landbrugsareal - resultat'!$B$33:$B$46)*(INDEX('Landbrugsareal - resultat'!$L$33:$N$46,,MATCH($D134,'Landbrugsareal - resultat'!$L$5:$N$5,0)))),IF(I$2=2030,SUMPRODUCT(($B134='Landbrugsareal - resultat'!$B$33:$B$46)*(INDEX('Landbrugsareal - resultat'!$O$33:$Q$46,,MATCH($D134,'Landbrugsareal - resultat'!$O$5:$Q$5,0)))),SUMPRODUCT(($B134='Landbrugsareal - resultat'!$B$33:$B$46)*(INDEX('Landbrugsareal - resultat'!$R$33:$T$46,,MATCH($D134,'Landbrugsareal - resultat'!$R$5:$T$5,0))))))))</f>
        <v>475.29830820374241</v>
      </c>
    </row>
    <row r="135" spans="1:9" x14ac:dyDescent="0.25">
      <c r="A135" t="s">
        <v>24</v>
      </c>
      <c r="B135" s="1" t="str">
        <f>[1]Afgrødefordeling!$C$8</f>
        <v>Roer</v>
      </c>
      <c r="C135" t="s">
        <v>8</v>
      </c>
      <c r="D135" t="str">
        <f t="shared" si="11"/>
        <v>JB1-10</v>
      </c>
      <c r="F135" t="str">
        <f t="shared" si="12"/>
        <v>Areal-roer</v>
      </c>
      <c r="G135" s="96" cm="1">
        <f t="array" ref="G135">IF($A135="Vestdanmark",IF($C135="Konventionel",IF(G$2=2019,SUMPRODUCT(($B135='Landbrugsareal - resultat'!$B$6:$B$19)*(INDEX('Landbrugsareal - resultat'!$C$6:$E$19,,MATCH($D135,'Landbrugsareal - resultat'!$C$5:$E$5,0)))),IF(G$2=2030,SUMPRODUCT(($B135='Landbrugsareal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resultat'!$I$5:$K$5,0)))))),IF(G$2=2019,SUMPRODUCT(($B135='Landbrugsareal - resultat'!$B$6:$B$19)*(INDEX('Landbrugsareal - resultat'!$L$6:$N$19,,MATCH($D135,'Landbrugsareal - resultat'!$L$5:$N$5,0)))),IF(G$2=2030,SUMPRODUCT(($B135='Landbrugsareal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resultat'!$R$5:$T$5,0))))))),IF($C135="Konventionel",IF(G$2=2019,SUMPRODUCT((B135='Landbrugsareal - resultat'!$B$33:$B$46)*(INDEX('Landbrugsareal - resultat'!$C$33:$E$46,,MATCH($D135,'Landbrugsareal - resultat'!$C$5:$E$5,0)))),IF(G$2=2030,SUMPRODUCT(($B135='Landbrugsareal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resultat'!$I$5:$K$5,0)))))),IF(G$2=2019,SUMPRODUCT(($B135='Landbrugsareal - resultat'!$B$33:$B$46)*(INDEX('Landbrugsareal - resultat'!$L$33:$N$46,,MATCH($D135,'Landbrugsareal - resultat'!$L$5:$N$5,0)))),IF(G$2=2030,SUMPRODUCT(($B135='Landbrugsareal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3247.0058326185153</v>
      </c>
      <c r="H135" s="96" cm="1">
        <f t="array" ref="H135">IF($A135="Vestdanmark",IF($C135="Konventionel",IF(H$2=2019,SUMPRODUCT(($B135='Landbrugsareal - resultat'!$B$6:$B$19)*(INDEX('Landbrugsareal - resultat'!$C$6:$E$19,,MATCH($D135,'Landbrugsareal - resultat'!$C$5:$E$5,0)))),IF(H$2=2030,SUMPRODUCT(($B135='Landbrugsareal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resultat'!$I$5:$K$5,0)))))),IF(H$2=2019,SUMPRODUCT(($B135='Landbrugsareal - resultat'!$B$6:$B$19)*(INDEX('Landbrugsareal - resultat'!$L$6:$N$19,,MATCH($D135,'Landbrugsareal - resultat'!$L$5:$N$5,0)))),IF(H$2=2030,SUMPRODUCT(($B135='Landbrugsareal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resultat'!$R$5:$T$5,0))))))),IF($C135="Konventionel",IF(H$2=2019,SUMPRODUCT(($B135='Landbrugsareal - resultat'!$B$33:$B$46)*(INDEX('Landbrugsareal - resultat'!$C$33:$E$46,,MATCH($D135,'Landbrugsareal - resultat'!$C$5:$E$5,0)))),IF(H$2=2030,SUMPRODUCT(($B135='Landbrugsareal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resultat'!$I$5:$K$5,0)))))),IF(H$2=2019,SUMPRODUCT(($B135='Landbrugsareal - resultat'!$B$33:$B$46)*(INDEX('Landbrugsareal - resultat'!$L$33:$N$46,,MATCH($D135,'Landbrugsareal - resultat'!$L$5:$N$5,0)))),IF(H$2=2030,SUMPRODUCT(($B135='Landbrugsareal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3847.1183364738454</v>
      </c>
      <c r="I135" s="96" cm="1">
        <f t="array" ref="I135">IF($A135="Vestdanmark",IF($C135="Konventionel",IF(I$2=2019,SUMPRODUCT(($B135='Landbrugsareal - resultat'!$B$6:$B$19)*(INDEX('Landbrugsareal - resultat'!$C$6:$E$19,,MATCH($D135,'Landbrugsareal - resultat'!$C$5:$E$5,0)))),IF(I$2=2030,SUMPRODUCT(($B135='Landbrugsareal - resultat'!$B$6:$B$19)*(INDEX('Landbrugsareal - resultat'!$F$6:$H$19,,MATCH($D135,'Landbrugsareal - resultat'!$F$5:$H$5,0)))),SUMPRODUCT(($B135='Landbrugsareal - resultat'!$B$6:$B$19)*(INDEX('Landbrugsareal - resultat'!$I$6:$K$19,,MATCH($D135,'Landbrugsareal - resultat'!$I$5:$K$5,0)))))),IF(I$2=2019,SUMPRODUCT(($B135='Landbrugsareal - resultat'!$B$6:$B$19)*(INDEX('Landbrugsareal - resultat'!$L$6:$N$19,,MATCH($D135,'Landbrugsareal - resultat'!$L$5:$N$5,0)))),IF(I$2=2030,SUMPRODUCT(($B135='Landbrugsareal - resultat'!$B$6:$B$19)*(INDEX('Landbrugsareal - resultat'!$O$6:$Q$19,,MATCH($D135,'Landbrugsareal - resultat'!$O$5:$Q$5,0)))),SUMPRODUCT(($B135='Landbrugsareal - resultat'!$B$6:$B$19)*(INDEX('Landbrugsareal - resultat'!$R$6:$T$19,,MATCH($D135,'Landbrugsareal - resultat'!$R$5:$T$5,0))))))),IF($C135="Konventionel",IF(I$2=2019,SUMPRODUCT((C135='Landbrugsareal - resultat'!$B$33:$B$46)*(INDEX('Landbrugsareal - resultat'!$C$33:$E$46,,MATCH($D135,'Landbrugsareal - resultat'!$C$5:$E$5,0)))),IF(I$2=2030,SUMPRODUCT(($B135='Landbrugsareal - resultat'!$B$33:$B$46)*(INDEX('Landbrugsareal - resultat'!$F$33:$H$46,,MATCH($D135,'Landbrugsareal - resultat'!$F$5:$H$5,0)))),SUMPRODUCT(($B135='Landbrugsareal - resultat'!$B$33:$B$46)*(INDEX('Landbrugsareal - resultat'!$I$33:$K$46,,MATCH($D135,'Landbrugsareal - resultat'!$I$5:$K$5,0)))))),IF(I$2=2019,SUMPRODUCT(($B135='Landbrugsareal - resultat'!$B$33:$B$46)*(INDEX('Landbrugsareal - resultat'!$L$33:$N$46,,MATCH($D135,'Landbrugsareal - resultat'!$L$5:$N$5,0)))),IF(I$2=2030,SUMPRODUCT(($B135='Landbrugsareal - resultat'!$B$33:$B$46)*(INDEX('Landbrugsareal - resultat'!$O$33:$Q$46,,MATCH($D135,'Landbrugsareal - resultat'!$O$5:$Q$5,0)))),SUMPRODUCT(($B135='Landbrugsareal - resultat'!$B$33:$B$46)*(INDEX('Landbrugsareal - resultat'!$R$33:$T$46,,MATCH($D135,'Landbrugsareal - resultat'!$R$5:$T$5,0))))))))</f>
        <v>4941.0149101854695</v>
      </c>
    </row>
    <row r="136" spans="1:9" x14ac:dyDescent="0.25">
      <c r="A136" t="s">
        <v>24</v>
      </c>
      <c r="B136" s="1" t="str">
        <f>[1]Afgrødefordeling!$C$9</f>
        <v>Majs</v>
      </c>
      <c r="C136" t="s">
        <v>8</v>
      </c>
      <c r="D136" t="str">
        <f t="shared" si="11"/>
        <v>JB1-10</v>
      </c>
      <c r="F136" t="str">
        <f t="shared" si="12"/>
        <v>Areal-majs</v>
      </c>
      <c r="G136" s="96" cm="1">
        <f t="array" ref="G136">IF($A136="Vestdanmark",IF($C136="Konventionel",IF(G$2=2019,SUMPRODUCT(($B136='Landbrugsareal - resultat'!$B$6:$B$19)*(INDEX('Landbrugsareal - resultat'!$C$6:$E$19,,MATCH($D136,'Landbrugsareal - resultat'!$C$5:$E$5,0)))),IF(G$2=2030,SUMPRODUCT(($B136='Landbrugsareal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resultat'!$I$5:$K$5,0)))))),IF(G$2=2019,SUMPRODUCT(($B136='Landbrugsareal - resultat'!$B$6:$B$19)*(INDEX('Landbrugsareal - resultat'!$L$6:$N$19,,MATCH($D136,'Landbrugsareal - resultat'!$L$5:$N$5,0)))),IF(G$2=2030,SUMPRODUCT(($B136='Landbrugsareal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resultat'!$R$5:$T$5,0))))))),IF($C136="Konventionel",IF(G$2=2019,SUMPRODUCT((B136='Landbrugsareal - resultat'!$B$33:$B$46)*(INDEX('Landbrugsareal - resultat'!$C$33:$E$46,,MATCH($D136,'Landbrugsareal - resultat'!$C$5:$E$5,0)))),IF(G$2=2030,SUMPRODUCT(($B136='Landbrugsareal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resultat'!$I$5:$K$5,0)))))),IF(G$2=2019,SUMPRODUCT(($B136='Landbrugsareal - resultat'!$B$33:$B$46)*(INDEX('Landbrugsareal - resultat'!$L$33:$N$46,,MATCH($D136,'Landbrugsareal - resultat'!$L$5:$N$5,0)))),IF(G$2=2030,SUMPRODUCT(($B136='Landbrugsareal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918.37408132089615</v>
      </c>
      <c r="H136" s="96" cm="1">
        <f t="array" ref="H136">IF($A136="Vestdanmark",IF($C136="Konventionel",IF(H$2=2019,SUMPRODUCT(($B136='Landbrugsareal - resultat'!$B$6:$B$19)*(INDEX('Landbrugsareal - resultat'!$C$6:$E$19,,MATCH($D136,'Landbrugsareal - resultat'!$C$5:$E$5,0)))),IF(H$2=2030,SUMPRODUCT(($B136='Landbrugsareal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resultat'!$I$5:$K$5,0)))))),IF(H$2=2019,SUMPRODUCT(($B136='Landbrugsareal - resultat'!$B$6:$B$19)*(INDEX('Landbrugsareal - resultat'!$L$6:$N$19,,MATCH($D136,'Landbrugsareal - resultat'!$L$5:$N$5,0)))),IF(H$2=2030,SUMPRODUCT(($B136='Landbrugsareal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resultat'!$R$5:$T$5,0))))))),IF($C136="Konventionel",IF(H$2=2019,SUMPRODUCT(($B136='Landbrugsareal - resultat'!$B$33:$B$46)*(INDEX('Landbrugsareal - resultat'!$C$33:$E$46,,MATCH($D136,'Landbrugsareal - resultat'!$C$5:$E$5,0)))),IF(H$2=2030,SUMPRODUCT(($B136='Landbrugsareal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resultat'!$I$5:$K$5,0)))))),IF(H$2=2019,SUMPRODUCT(($B136='Landbrugsareal - resultat'!$B$33:$B$46)*(INDEX('Landbrugsareal - resultat'!$L$33:$N$46,,MATCH($D136,'Landbrugsareal - resultat'!$L$5:$N$5,0)))),IF(H$2=2030,SUMPRODUCT(($B136='Landbrugsareal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1088.1082295878459</v>
      </c>
      <c r="I136" s="96" cm="1">
        <f t="array" ref="I136">IF($A136="Vestdanmark",IF($C136="Konventionel",IF(I$2=2019,SUMPRODUCT(($B136='Landbrugsareal - resultat'!$B$6:$B$19)*(INDEX('Landbrugsareal - resultat'!$C$6:$E$19,,MATCH($D136,'Landbrugsareal - resultat'!$C$5:$E$5,0)))),IF(I$2=2030,SUMPRODUCT(($B136='Landbrugsareal - resultat'!$B$6:$B$19)*(INDEX('Landbrugsareal - resultat'!$F$6:$H$19,,MATCH($D136,'Landbrugsareal - resultat'!$F$5:$H$5,0)))),SUMPRODUCT(($B136='Landbrugsareal - resultat'!$B$6:$B$19)*(INDEX('Landbrugsareal - resultat'!$I$6:$K$19,,MATCH($D136,'Landbrugsareal - resultat'!$I$5:$K$5,0)))))),IF(I$2=2019,SUMPRODUCT(($B136='Landbrugsareal - resultat'!$B$6:$B$19)*(INDEX('Landbrugsareal - resultat'!$L$6:$N$19,,MATCH($D136,'Landbrugsareal - resultat'!$L$5:$N$5,0)))),IF(I$2=2030,SUMPRODUCT(($B136='Landbrugsareal - resultat'!$B$6:$B$19)*(INDEX('Landbrugsareal - resultat'!$O$6:$Q$19,,MATCH($D136,'Landbrugsareal - resultat'!$O$5:$Q$5,0)))),SUMPRODUCT(($B136='Landbrugsareal - resultat'!$B$6:$B$19)*(INDEX('Landbrugsareal - resultat'!$R$6:$T$19,,MATCH($D136,'Landbrugsareal - resultat'!$R$5:$T$5,0))))))),IF($C136="Konventionel",IF(I$2=2019,SUMPRODUCT((C136='Landbrugsareal - resultat'!$B$33:$B$46)*(INDEX('Landbrugsareal - resultat'!$C$33:$E$46,,MATCH($D136,'Landbrugsareal - resultat'!$C$5:$E$5,0)))),IF(I$2=2030,SUMPRODUCT(($B136='Landbrugsareal - resultat'!$B$33:$B$46)*(INDEX('Landbrugsareal - resultat'!$F$33:$H$46,,MATCH($D136,'Landbrugsareal - resultat'!$F$5:$H$5,0)))),SUMPRODUCT(($B136='Landbrugsareal - resultat'!$B$33:$B$46)*(INDEX('Landbrugsareal - resultat'!$I$33:$K$46,,MATCH($D136,'Landbrugsareal - resultat'!$I$5:$K$5,0)))))),IF(I$2=2019,SUMPRODUCT(($B136='Landbrugsareal - resultat'!$B$33:$B$46)*(INDEX('Landbrugsareal - resultat'!$L$33:$N$46,,MATCH($D136,'Landbrugsareal - resultat'!$L$5:$N$5,0)))),IF(I$2=2030,SUMPRODUCT(($B136='Landbrugsareal - resultat'!$B$33:$B$46)*(INDEX('Landbrugsareal - resultat'!$O$33:$Q$46,,MATCH($D136,'Landbrugsareal - resultat'!$O$5:$Q$5,0)))),SUMPRODUCT(($B136='Landbrugsareal - resultat'!$B$33:$B$46)*(INDEX('Landbrugsareal - resultat'!$R$33:$T$46,,MATCH($D136,'Landbrugsareal - resultat'!$R$5:$T$5,0))))))))</f>
        <v>1397.5028881531293</v>
      </c>
    </row>
    <row r="137" spans="1:9" x14ac:dyDescent="0.25">
      <c r="A137" t="s">
        <v>24</v>
      </c>
      <c r="B137" s="1" t="str">
        <f>[1]Afgrødefordeling!$C$10</f>
        <v>Frugt</v>
      </c>
      <c r="C137" t="s">
        <v>8</v>
      </c>
      <c r="D137" t="str">
        <f t="shared" si="11"/>
        <v>JB1-10</v>
      </c>
      <c r="F137" t="str">
        <f t="shared" si="12"/>
        <v>Areal-frugt</v>
      </c>
      <c r="G137" s="96" cm="1">
        <f t="array" ref="G137">IF($A137="Vestdanmark",IF($C137="Konventionel",IF(G$2=2019,SUMPRODUCT(($B137='Landbrugsareal - resultat'!$B$6:$B$19)*(INDEX('Landbrugsareal - resultat'!$C$6:$E$19,,MATCH($D137,'Landbrugsareal - resultat'!$C$5:$E$5,0)))),IF(G$2=2030,SUMPRODUCT(($B137='Landbrugsareal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resultat'!$I$5:$K$5,0)))))),IF(G$2=2019,SUMPRODUCT(($B137='Landbrugsareal - resultat'!$B$6:$B$19)*(INDEX('Landbrugsareal - resultat'!$L$6:$N$19,,MATCH($D137,'Landbrugsareal - resultat'!$L$5:$N$5,0)))),IF(G$2=2030,SUMPRODUCT(($B137='Landbrugsareal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resultat'!$R$5:$T$5,0))))))),IF($C137="Konventionel",IF(G$2=2019,SUMPRODUCT((B137='Landbrugsareal - resultat'!$B$33:$B$46)*(INDEX('Landbrugsareal - resultat'!$C$33:$E$46,,MATCH($D137,'Landbrugsareal - resultat'!$C$5:$E$5,0)))),IF(G$2=2030,SUMPRODUCT(($B137='Landbrugsareal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resultat'!$I$5:$K$5,0)))))),IF(G$2=2019,SUMPRODUCT(($B137='Landbrugsareal - resultat'!$B$33:$B$46)*(INDEX('Landbrugsareal - resultat'!$L$33:$N$46,,MATCH($D137,'Landbrugsareal - resultat'!$L$5:$N$5,0)))),IF(G$2=2030,SUMPRODUCT(($B137='Landbrugsareal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213.68841269347433</v>
      </c>
      <c r="H137" s="96" cm="1">
        <f t="array" ref="H137">IF($A137="Vestdanmark",IF($C137="Konventionel",IF(H$2=2019,SUMPRODUCT(($B137='Landbrugsareal - resultat'!$B$6:$B$19)*(INDEX('Landbrugsareal - resultat'!$C$6:$E$19,,MATCH($D137,'Landbrugsareal - resultat'!$C$5:$E$5,0)))),IF(H$2=2030,SUMPRODUCT(($B137='Landbrugsareal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resultat'!$I$5:$K$5,0)))))),IF(H$2=2019,SUMPRODUCT(($B137='Landbrugsareal - resultat'!$B$6:$B$19)*(INDEX('Landbrugsareal - resultat'!$L$6:$N$19,,MATCH($D137,'Landbrugsareal - resultat'!$L$5:$N$5,0)))),IF(H$2=2030,SUMPRODUCT(($B137='Landbrugsareal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resultat'!$R$5:$T$5,0))))))),IF($C137="Konventionel",IF(H$2=2019,SUMPRODUCT(($B137='Landbrugsareal - resultat'!$B$33:$B$46)*(INDEX('Landbrugsareal - resultat'!$C$33:$E$46,,MATCH($D137,'Landbrugsareal - resultat'!$C$5:$E$5,0)))),IF(H$2=2030,SUMPRODUCT(($B137='Landbrugsareal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resultat'!$I$5:$K$5,0)))))),IF(H$2=2019,SUMPRODUCT(($B137='Landbrugsareal - resultat'!$B$33:$B$46)*(INDEX('Landbrugsareal - resultat'!$L$33:$N$46,,MATCH($D137,'Landbrugsareal - resultat'!$L$5:$N$5,0)))),IF(H$2=2030,SUMPRODUCT(($B137='Landbrugsareal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253.1823634274453</v>
      </c>
      <c r="I137" s="96" cm="1">
        <f t="array" ref="I137">IF($A137="Vestdanmark",IF($C137="Konventionel",IF(I$2=2019,SUMPRODUCT(($B137='Landbrugsareal - resultat'!$B$6:$B$19)*(INDEX('Landbrugsareal - resultat'!$C$6:$E$19,,MATCH($D137,'Landbrugsareal - resultat'!$C$5:$E$5,0)))),IF(I$2=2030,SUMPRODUCT(($B137='Landbrugsareal - resultat'!$B$6:$B$19)*(INDEX('Landbrugsareal - resultat'!$F$6:$H$19,,MATCH($D137,'Landbrugsareal - resultat'!$F$5:$H$5,0)))),SUMPRODUCT(($B137='Landbrugsareal - resultat'!$B$6:$B$19)*(INDEX('Landbrugsareal - resultat'!$I$6:$K$19,,MATCH($D137,'Landbrugsareal - resultat'!$I$5:$K$5,0)))))),IF(I$2=2019,SUMPRODUCT(($B137='Landbrugsareal - resultat'!$B$6:$B$19)*(INDEX('Landbrugsareal - resultat'!$L$6:$N$19,,MATCH($D137,'Landbrugsareal - resultat'!$L$5:$N$5,0)))),IF(I$2=2030,SUMPRODUCT(($B137='Landbrugsareal - resultat'!$B$6:$B$19)*(INDEX('Landbrugsareal - resultat'!$O$6:$Q$19,,MATCH($D137,'Landbrugsareal - resultat'!$O$5:$Q$5,0)))),SUMPRODUCT(($B137='Landbrugsareal - resultat'!$B$6:$B$19)*(INDEX('Landbrugsareal - resultat'!$R$6:$T$19,,MATCH($D137,'Landbrugsareal - resultat'!$R$5:$T$5,0))))))),IF($C137="Konventionel",IF(I$2=2019,SUMPRODUCT((C137='Landbrugsareal - resultat'!$B$33:$B$46)*(INDEX('Landbrugsareal - resultat'!$C$33:$E$46,,MATCH($D137,'Landbrugsareal - resultat'!$C$5:$E$5,0)))),IF(I$2=2030,SUMPRODUCT(($B137='Landbrugsareal - resultat'!$B$33:$B$46)*(INDEX('Landbrugsareal - resultat'!$F$33:$H$46,,MATCH($D137,'Landbrugsareal - resultat'!$F$5:$H$5,0)))),SUMPRODUCT(($B137='Landbrugsareal - resultat'!$B$33:$B$46)*(INDEX('Landbrugsareal - resultat'!$I$33:$K$46,,MATCH($D137,'Landbrugsareal - resultat'!$I$5:$K$5,0)))))),IF(I$2=2019,SUMPRODUCT(($B137='Landbrugsareal - resultat'!$B$33:$B$46)*(INDEX('Landbrugsareal - resultat'!$L$33:$N$46,,MATCH($D137,'Landbrugsareal - resultat'!$L$5:$N$5,0)))),IF(I$2=2030,SUMPRODUCT(($B137='Landbrugsareal - resultat'!$B$33:$B$46)*(INDEX('Landbrugsareal - resultat'!$O$33:$Q$46,,MATCH($D137,'Landbrugsareal - resultat'!$O$5:$Q$5,0)))),SUMPRODUCT(($B137='Landbrugsareal - resultat'!$B$33:$B$46)*(INDEX('Landbrugsareal - resultat'!$R$33:$T$46,,MATCH($D137,'Landbrugsareal - resultat'!$R$5:$T$5,0))))))))</f>
        <v>325.17269376164109</v>
      </c>
    </row>
    <row r="138" spans="1:9" x14ac:dyDescent="0.25">
      <c r="A138" t="s">
        <v>24</v>
      </c>
      <c r="B138" s="1" t="str">
        <f>[1]Afgrødefordeling!$C$11</f>
        <v>Øvrige</v>
      </c>
      <c r="C138" t="s">
        <v>8</v>
      </c>
      <c r="D138" t="str">
        <f t="shared" si="11"/>
        <v>JB1-10</v>
      </c>
      <c r="F138" t="str">
        <f t="shared" si="12"/>
        <v>Areal-øvrige</v>
      </c>
      <c r="G138" s="96" cm="1">
        <f t="array" ref="G138">IF($A138="Vestdanmark",IF($C138="Konventionel",IF(G$2=2019,SUMPRODUCT(($B138='Landbrugsareal - resultat'!$B$6:$B$19)*(INDEX('Landbrugsareal - resultat'!$C$6:$E$19,,MATCH($D138,'Landbrugsareal - resultat'!$C$5:$E$5,0)))),IF(G$2=2030,SUMPRODUCT(($B138='Landbrugsareal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resultat'!$I$5:$K$5,0)))))),IF(G$2=2019,SUMPRODUCT(($B138='Landbrugsareal - resultat'!$B$6:$B$19)*(INDEX('Landbrugsareal - resultat'!$L$6:$N$19,,MATCH($D138,'Landbrugsareal - resultat'!$L$5:$N$5,0)))),IF(G$2=2030,SUMPRODUCT(($B138='Landbrugsareal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resultat'!$R$5:$T$5,0))))))),IF($C138="Konventionel",IF(G$2=2019,SUMPRODUCT((B138='Landbrugsareal - resultat'!$B$33:$B$46)*(INDEX('Landbrugsareal - resultat'!$C$33:$E$46,,MATCH($D138,'Landbrugsareal - resultat'!$C$5:$E$5,0)))),IF(G$2=2030,SUMPRODUCT(($B138='Landbrugsareal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resultat'!$I$5:$K$5,0)))))),IF(G$2=2019,SUMPRODUCT(($B138='Landbrugsareal - resultat'!$B$33:$B$46)*(INDEX('Landbrugsareal - resultat'!$L$33:$N$46,,MATCH($D138,'Landbrugsareal - resultat'!$L$5:$N$5,0)))),IF(G$2=2030,SUMPRODUCT(($B138='Landbrugsareal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1525.8389080116776</v>
      </c>
      <c r="H138" s="96" cm="1">
        <f t="array" ref="H138">IF($A138="Vestdanmark",IF($C138="Konventionel",IF(H$2=2019,SUMPRODUCT(($B138='Landbrugsareal - resultat'!$B$6:$B$19)*(INDEX('Landbrugsareal - resultat'!$C$6:$E$19,,MATCH($D138,'Landbrugsareal - resultat'!$C$5:$E$5,0)))),IF(H$2=2030,SUMPRODUCT(($B138='Landbrugsareal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resultat'!$I$5:$K$5,0)))))),IF(H$2=2019,SUMPRODUCT(($B138='Landbrugsareal - resultat'!$B$6:$B$19)*(INDEX('Landbrugsareal - resultat'!$L$6:$N$19,,MATCH($D138,'Landbrugsareal - resultat'!$L$5:$N$5,0)))),IF(H$2=2030,SUMPRODUCT(($B138='Landbrugsareal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resultat'!$R$5:$T$5,0))))))),IF($C138="Konventionel",IF(H$2=2019,SUMPRODUCT(($B138='Landbrugsareal - resultat'!$B$33:$B$46)*(INDEX('Landbrugsareal - resultat'!$C$33:$E$46,,MATCH($D138,'Landbrugsareal - resultat'!$C$5:$E$5,0)))),IF(H$2=2030,SUMPRODUCT(($B138='Landbrugsareal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resultat'!$I$5:$K$5,0)))))),IF(H$2=2019,SUMPRODUCT(($B138='Landbrugsareal - resultat'!$B$33:$B$46)*(INDEX('Landbrugsareal - resultat'!$L$33:$N$46,,MATCH($D138,'Landbrugsareal - resultat'!$L$5:$N$5,0)))),IF(H$2=2030,SUMPRODUCT(($B138='Landbrugsareal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1807.8448712804081</v>
      </c>
      <c r="I138" s="96" cm="1">
        <f t="array" ref="I138">IF($A138="Vestdanmark",IF($C138="Konventionel",IF(I$2=2019,SUMPRODUCT(($B138='Landbrugsareal - resultat'!$B$6:$B$19)*(INDEX('Landbrugsareal - resultat'!$C$6:$E$19,,MATCH($D138,'Landbrugsareal - resultat'!$C$5:$E$5,0)))),IF(I$2=2030,SUMPRODUCT(($B138='Landbrugsareal - resultat'!$B$6:$B$19)*(INDEX('Landbrugsareal - resultat'!$F$6:$H$19,,MATCH($D138,'Landbrugsareal - resultat'!$F$5:$H$5,0)))),SUMPRODUCT(($B138='Landbrugsareal - resultat'!$B$6:$B$19)*(INDEX('Landbrugsareal - resultat'!$I$6:$K$19,,MATCH($D138,'Landbrugsareal - resultat'!$I$5:$K$5,0)))))),IF(I$2=2019,SUMPRODUCT(($B138='Landbrugsareal - resultat'!$B$6:$B$19)*(INDEX('Landbrugsareal - resultat'!$L$6:$N$19,,MATCH($D138,'Landbrugsareal - resultat'!$L$5:$N$5,0)))),IF(I$2=2030,SUMPRODUCT(($B138='Landbrugsareal - resultat'!$B$6:$B$19)*(INDEX('Landbrugsareal - resultat'!$O$6:$Q$19,,MATCH($D138,'Landbrugsareal - resultat'!$O$5:$Q$5,0)))),SUMPRODUCT(($B138='Landbrugsareal - resultat'!$B$6:$B$19)*(INDEX('Landbrugsareal - resultat'!$R$6:$T$19,,MATCH($D138,'Landbrugsareal - resultat'!$R$5:$T$5,0))))))),IF($C138="Konventionel",IF(I$2=2019,SUMPRODUCT((C138='Landbrugsareal - resultat'!$B$33:$B$46)*(INDEX('Landbrugsareal - resultat'!$C$33:$E$46,,MATCH($D138,'Landbrugsareal - resultat'!$C$5:$E$5,0)))),IF(I$2=2030,SUMPRODUCT(($B138='Landbrugsareal - resultat'!$B$33:$B$46)*(INDEX('Landbrugsareal - resultat'!$F$33:$H$46,,MATCH($D138,'Landbrugsareal - resultat'!$F$5:$H$5,0)))),SUMPRODUCT(($B138='Landbrugsareal - resultat'!$B$33:$B$46)*(INDEX('Landbrugsareal - resultat'!$I$33:$K$46,,MATCH($D138,'Landbrugsareal - resultat'!$I$5:$K$5,0)))))),IF(I$2=2019,SUMPRODUCT(($B138='Landbrugsareal - resultat'!$B$33:$B$46)*(INDEX('Landbrugsareal - resultat'!$L$33:$N$46,,MATCH($D138,'Landbrugsareal - resultat'!$L$5:$N$5,0)))),IF(I$2=2030,SUMPRODUCT(($B138='Landbrugsareal - resultat'!$B$33:$B$46)*(INDEX('Landbrugsareal - resultat'!$O$33:$Q$46,,MATCH($D138,'Landbrugsareal - resultat'!$O$5:$Q$5,0)))),SUMPRODUCT(($B138='Landbrugsareal - resultat'!$B$33:$B$46)*(INDEX('Landbrugsareal - resultat'!$R$33:$T$46,,MATCH($D138,'Landbrugsareal - resultat'!$R$5:$T$5,0))))))))</f>
        <v>2321.8907460190512</v>
      </c>
    </row>
    <row r="139" spans="1:9" x14ac:dyDescent="0.25">
      <c r="A139" t="s">
        <v>24</v>
      </c>
      <c r="B139" s="1" t="str">
        <f>[1]Afgrødefordeling!$C$12</f>
        <v>Frø</v>
      </c>
      <c r="C139" t="s">
        <v>8</v>
      </c>
      <c r="D139" t="str">
        <f t="shared" si="11"/>
        <v>JB1-10</v>
      </c>
      <c r="F139" t="str">
        <f t="shared" si="12"/>
        <v>Areal-frøgræs</v>
      </c>
      <c r="G139" s="96" cm="1">
        <f t="array" ref="G139">IF($A139="Vestdanmark",IF($C139="Konventionel",IF(G$2=2019,SUMPRODUCT(($B139='Landbrugsareal - resultat'!$B$6:$B$19)*(INDEX('Landbrugsareal - resultat'!$C$6:$E$19,,MATCH($D139,'Landbrugsareal - resultat'!$C$5:$E$5,0)))),IF(G$2=2030,SUMPRODUCT(($B139='Landbrugsareal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resultat'!$I$5:$K$5,0)))))),IF(G$2=2019,SUMPRODUCT(($B139='Landbrugsareal - resultat'!$B$6:$B$19)*(INDEX('Landbrugsareal - resultat'!$L$6:$N$19,,MATCH($D139,'Landbrugsareal - resultat'!$L$5:$N$5,0)))),IF(G$2=2030,SUMPRODUCT(($B139='Landbrugsareal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resultat'!$R$5:$T$5,0))))))),IF($C139="Konventionel",IF(G$2=2019,SUMPRODUCT((B139='Landbrugsareal - resultat'!$B$33:$B$46)*(INDEX('Landbrugsareal - resultat'!$C$33:$E$46,,MATCH($D139,'Landbrugsareal - resultat'!$C$5:$E$5,0)))),IF(G$2=2030,SUMPRODUCT(($B139='Landbrugsareal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resultat'!$I$5:$K$5,0)))))),IF(G$2=2019,SUMPRODUCT(($B139='Landbrugsareal - resultat'!$B$33:$B$46)*(INDEX('Landbrugsareal - resultat'!$L$33:$N$46,,MATCH($D139,'Landbrugsareal - resultat'!$L$5:$N$5,0)))),IF(G$2=2030,SUMPRODUCT(($B139='Landbrugsareal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4720.9005772918872</v>
      </c>
      <c r="H139" s="96" cm="1">
        <f t="array" ref="H139">IF($A139="Vestdanmark",IF($C139="Konventionel",IF(H$2=2019,SUMPRODUCT(($B139='Landbrugsareal - resultat'!$B$6:$B$19)*(INDEX('Landbrugsareal - resultat'!$C$6:$E$19,,MATCH($D139,'Landbrugsareal - resultat'!$C$5:$E$5,0)))),IF(H$2=2030,SUMPRODUCT(($B139='Landbrugsareal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resultat'!$I$5:$K$5,0)))))),IF(H$2=2019,SUMPRODUCT(($B139='Landbrugsareal - resultat'!$B$6:$B$19)*(INDEX('Landbrugsareal - resultat'!$L$6:$N$19,,MATCH($D139,'Landbrugsareal - resultat'!$L$5:$N$5,0)))),IF(H$2=2030,SUMPRODUCT(($B139='Landbrugsareal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resultat'!$R$5:$T$5,0))))))),IF($C139="Konventionel",IF(H$2=2019,SUMPRODUCT(($B139='Landbrugsareal - resultat'!$B$33:$B$46)*(INDEX('Landbrugsareal - resultat'!$C$33:$E$46,,MATCH($D139,'Landbrugsareal - resultat'!$C$5:$E$5,0)))),IF(H$2=2030,SUMPRODUCT(($B139='Landbrugsareal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resultat'!$I$5:$K$5,0)))))),IF(H$2=2019,SUMPRODUCT(($B139='Landbrugsareal - resultat'!$B$33:$B$46)*(INDEX('Landbrugsareal - resultat'!$L$33:$N$46,,MATCH($D139,'Landbrugsareal - resultat'!$L$5:$N$5,0)))),IF(H$2=2030,SUMPRODUCT(($B139='Landbrugsareal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5593.4187099759929</v>
      </c>
      <c r="I139" s="96" cm="1">
        <f t="array" ref="I139">IF($A139="Vestdanmark",IF($C139="Konventionel",IF(I$2=2019,SUMPRODUCT(($B139='Landbrugsareal - resultat'!$B$6:$B$19)*(INDEX('Landbrugsareal - resultat'!$C$6:$E$19,,MATCH($D139,'Landbrugsareal - resultat'!$C$5:$E$5,0)))),IF(I$2=2030,SUMPRODUCT(($B139='Landbrugsareal - resultat'!$B$6:$B$19)*(INDEX('Landbrugsareal - resultat'!$F$6:$H$19,,MATCH($D139,'Landbrugsareal - resultat'!$F$5:$H$5,0)))),SUMPRODUCT(($B139='Landbrugsareal - resultat'!$B$6:$B$19)*(INDEX('Landbrugsareal - resultat'!$I$6:$K$19,,MATCH($D139,'Landbrugsareal - resultat'!$I$5:$K$5,0)))))),IF(I$2=2019,SUMPRODUCT(($B139='Landbrugsareal - resultat'!$B$6:$B$19)*(INDEX('Landbrugsareal - resultat'!$L$6:$N$19,,MATCH($D139,'Landbrugsareal - resultat'!$L$5:$N$5,0)))),IF(I$2=2030,SUMPRODUCT(($B139='Landbrugsareal - resultat'!$B$6:$B$19)*(INDEX('Landbrugsareal - resultat'!$O$6:$Q$19,,MATCH($D139,'Landbrugsareal - resultat'!$O$5:$Q$5,0)))),SUMPRODUCT(($B139='Landbrugsareal - resultat'!$B$6:$B$19)*(INDEX('Landbrugsareal - resultat'!$R$6:$T$19,,MATCH($D139,'Landbrugsareal - resultat'!$R$5:$T$5,0))))))),IF($C139="Konventionel",IF(I$2=2019,SUMPRODUCT((C139='Landbrugsareal - resultat'!$B$33:$B$46)*(INDEX('Landbrugsareal - resultat'!$C$33:$E$46,,MATCH($D139,'Landbrugsareal - resultat'!$C$5:$E$5,0)))),IF(I$2=2030,SUMPRODUCT(($B139='Landbrugsareal - resultat'!$B$33:$B$46)*(INDEX('Landbrugsareal - resultat'!$F$33:$H$46,,MATCH($D139,'Landbrugsareal - resultat'!$F$5:$H$5,0)))),SUMPRODUCT(($B139='Landbrugsareal - resultat'!$B$33:$B$46)*(INDEX('Landbrugsareal - resultat'!$I$33:$K$46,,MATCH($D139,'Landbrugsareal - resultat'!$I$5:$K$5,0)))))),IF(I$2=2019,SUMPRODUCT(($B139='Landbrugsareal - resultat'!$B$33:$B$46)*(INDEX('Landbrugsareal - resultat'!$L$33:$N$46,,MATCH($D139,'Landbrugsareal - resultat'!$L$5:$N$5,0)))),IF(I$2=2030,SUMPRODUCT(($B139='Landbrugsareal - resultat'!$B$33:$B$46)*(INDEX('Landbrugsareal - resultat'!$O$33:$Q$46,,MATCH($D139,'Landbrugsareal - resultat'!$O$5:$Q$5,0)))),SUMPRODUCT(($B139='Landbrugsareal - resultat'!$B$33:$B$46)*(INDEX('Landbrugsareal - resultat'!$R$33:$T$46,,MATCH($D139,'Landbrugsareal - resultat'!$R$5:$T$5,0))))))))</f>
        <v>7183.8614848102561</v>
      </c>
    </row>
    <row r="140" spans="1:9" x14ac:dyDescent="0.25">
      <c r="A140" t="s">
        <v>24</v>
      </c>
      <c r="B140" s="1" t="str">
        <f>[1]Afgrødefordeling!$C$13</f>
        <v>Juletræer</v>
      </c>
      <c r="C140" t="s">
        <v>8</v>
      </c>
      <c r="D140" t="str">
        <f t="shared" si="11"/>
        <v>JB1-10</v>
      </c>
      <c r="F140" t="str">
        <f t="shared" si="12"/>
        <v>Areal-juletræer</v>
      </c>
      <c r="G140" s="96" cm="1">
        <f t="array" ref="G140">IF($A140="Vestdanmark",IF($C140="Konventionel",IF(G$2=2019,SUMPRODUCT(($B140='Landbrugsareal - resultat'!$B$6:$B$19)*(INDEX('Landbrugsareal - resultat'!$C$6:$E$19,,MATCH($D140,'Landbrugsareal - resultat'!$C$5:$E$5,0)))),IF(G$2=2030,SUMPRODUCT(($B140='Landbrugsareal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resultat'!$I$5:$K$5,0)))))),IF(G$2=2019,SUMPRODUCT(($B140='Landbrugsareal - resultat'!$B$6:$B$19)*(INDEX('Landbrugsareal - resultat'!$L$6:$N$19,,MATCH($D140,'Landbrugsareal - resultat'!$L$5:$N$5,0)))),IF(G$2=2030,SUMPRODUCT(($B140='Landbrugsareal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resultat'!$R$5:$T$5,0))))))),IF($C140="Konventionel",IF(G$2=2019,SUMPRODUCT((B140='Landbrugsareal - resultat'!$B$33:$B$46)*(INDEX('Landbrugsareal - resultat'!$C$33:$E$46,,MATCH($D140,'Landbrugsareal - resultat'!$C$5:$E$5,0)))),IF(G$2=2030,SUMPRODUCT(($B140='Landbrugsareal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resultat'!$I$5:$K$5,0)))))),IF(G$2=2019,SUMPRODUCT(($B140='Landbrugsareal - resultat'!$B$33:$B$46)*(INDEX('Landbrugsareal - resultat'!$L$33:$N$46,,MATCH($D140,'Landbrugsareal - resultat'!$L$5:$N$5,0)))),IF(G$2=2030,SUMPRODUCT(($B140='Landbrugsareal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334.84852666763254</v>
      </c>
      <c r="H140" s="96" cm="1">
        <f t="array" ref="H140">IF($A140="Vestdanmark",IF($C140="Konventionel",IF(H$2=2019,SUMPRODUCT(($B140='Landbrugsareal - resultat'!$B$6:$B$19)*(INDEX('Landbrugsareal - resultat'!$C$6:$E$19,,MATCH($D140,'Landbrugsareal - resultat'!$C$5:$E$5,0)))),IF(H$2=2030,SUMPRODUCT(($B140='Landbrugsareal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resultat'!$I$5:$K$5,0)))))),IF(H$2=2019,SUMPRODUCT(($B140='Landbrugsareal - resultat'!$B$6:$B$19)*(INDEX('Landbrugsareal - resultat'!$L$6:$N$19,,MATCH($D140,'Landbrugsareal - resultat'!$L$5:$N$5,0)))),IF(H$2=2030,SUMPRODUCT(($B140='Landbrugsareal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resultat'!$R$5:$T$5,0))))))),IF($C140="Konventionel",IF(H$2=2019,SUMPRODUCT(($B140='Landbrugsareal - resultat'!$B$33:$B$46)*(INDEX('Landbrugsareal - resultat'!$C$33:$E$46,,MATCH($D140,'Landbrugsareal - resultat'!$C$5:$E$5,0)))),IF(H$2=2030,SUMPRODUCT(($B140='Landbrugsareal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resultat'!$I$5:$K$5,0)))))),IF(H$2=2019,SUMPRODUCT(($B140='Landbrugsareal - resultat'!$B$33:$B$46)*(INDEX('Landbrugsareal - resultat'!$L$33:$N$46,,MATCH($D140,'Landbrugsareal - resultat'!$L$5:$N$5,0)))),IF(H$2=2030,SUMPRODUCT(($B140='Landbrugsareal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396.73532272205472</v>
      </c>
      <c r="I140" s="96" cm="1">
        <f t="array" ref="I140">IF($A140="Vestdanmark",IF($C140="Konventionel",IF(I$2=2019,SUMPRODUCT(($B140='Landbrugsareal - resultat'!$B$6:$B$19)*(INDEX('Landbrugsareal - resultat'!$C$6:$E$19,,MATCH($D140,'Landbrugsareal - resultat'!$C$5:$E$5,0)))),IF(I$2=2030,SUMPRODUCT(($B140='Landbrugsareal - resultat'!$B$6:$B$19)*(INDEX('Landbrugsareal - resultat'!$F$6:$H$19,,MATCH($D140,'Landbrugsareal - resultat'!$F$5:$H$5,0)))),SUMPRODUCT(($B140='Landbrugsareal - resultat'!$B$6:$B$19)*(INDEX('Landbrugsareal - resultat'!$I$6:$K$19,,MATCH($D140,'Landbrugsareal - resultat'!$I$5:$K$5,0)))))),IF(I$2=2019,SUMPRODUCT(($B140='Landbrugsareal - resultat'!$B$6:$B$19)*(INDEX('Landbrugsareal - resultat'!$L$6:$N$19,,MATCH($D140,'Landbrugsareal - resultat'!$L$5:$N$5,0)))),IF(I$2=2030,SUMPRODUCT(($B140='Landbrugsareal - resultat'!$B$6:$B$19)*(INDEX('Landbrugsareal - resultat'!$O$6:$Q$19,,MATCH($D140,'Landbrugsareal - resultat'!$O$5:$Q$5,0)))),SUMPRODUCT(($B140='Landbrugsareal - resultat'!$B$6:$B$19)*(INDEX('Landbrugsareal - resultat'!$R$6:$T$19,,MATCH($D140,'Landbrugsareal - resultat'!$R$5:$T$5,0))))))),IF($C140="Konventionel",IF(I$2=2019,SUMPRODUCT((C140='Landbrugsareal - resultat'!$B$33:$B$46)*(INDEX('Landbrugsareal - resultat'!$C$33:$E$46,,MATCH($D140,'Landbrugsareal - resultat'!$C$5:$E$5,0)))),IF(I$2=2030,SUMPRODUCT(($B140='Landbrugsareal - resultat'!$B$33:$B$46)*(INDEX('Landbrugsareal - resultat'!$F$33:$H$46,,MATCH($D140,'Landbrugsareal - resultat'!$F$5:$H$5,0)))),SUMPRODUCT(($B140='Landbrugsareal - resultat'!$B$33:$B$46)*(INDEX('Landbrugsareal - resultat'!$I$33:$K$46,,MATCH($D140,'Landbrugsareal - resultat'!$I$5:$K$5,0)))))),IF(I$2=2019,SUMPRODUCT(($B140='Landbrugsareal - resultat'!$B$33:$B$46)*(INDEX('Landbrugsareal - resultat'!$L$33:$N$46,,MATCH($D140,'Landbrugsareal - resultat'!$L$5:$N$5,0)))),IF(I$2=2030,SUMPRODUCT(($B140='Landbrugsareal - resultat'!$B$33:$B$46)*(INDEX('Landbrugsareal - resultat'!$O$33:$Q$46,,MATCH($D140,'Landbrugsareal - resultat'!$O$5:$Q$5,0)))),SUMPRODUCT(($B140='Landbrugsareal - resultat'!$B$33:$B$46)*(INDEX('Landbrugsareal - resultat'!$R$33:$T$46,,MATCH($D140,'Landbrugsareal - resultat'!$R$5:$T$5,0))))))))</f>
        <v>509.54376068495122</v>
      </c>
    </row>
    <row r="141" spans="1:9" x14ac:dyDescent="0.25">
      <c r="A141" t="s">
        <v>24</v>
      </c>
      <c r="B141" s="1" t="str">
        <f>[1]Afgrødefordeling!$C$14</f>
        <v>Pil &amp; poppel</v>
      </c>
      <c r="C141" t="s">
        <v>8</v>
      </c>
      <c r="D141" t="str">
        <f t="shared" si="11"/>
        <v>JB1-10</v>
      </c>
      <c r="F141" t="str">
        <f t="shared" si="12"/>
        <v>Areal-pil-poppel</v>
      </c>
      <c r="G141" s="96" cm="1">
        <f t="array" ref="G141">IF($A141="Vestdanmark",IF($C141="Konventionel",IF(G$2=2019,SUMPRODUCT(($B141='Landbrugsareal - resultat'!$B$6:$B$19)*(INDEX('Landbrugsareal - resultat'!$C$6:$E$19,,MATCH($D141,'Landbrugsareal - resultat'!$C$5:$E$5,0)))),IF(G$2=2030,SUMPRODUCT(($B141='Landbrugsareal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resultat'!$I$5:$K$5,0)))))),IF(G$2=2019,SUMPRODUCT(($B141='Landbrugsareal - resultat'!$B$6:$B$19)*(INDEX('Landbrugsareal - resultat'!$L$6:$N$19,,MATCH($D141,'Landbrugsareal - resultat'!$L$5:$N$5,0)))),IF(G$2=2030,SUMPRODUCT(($B141='Landbrugsareal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resultat'!$R$5:$T$5,0))))))),IF($C141="Konventionel",IF(G$2=2019,SUMPRODUCT((B141='Landbrugsareal - resultat'!$B$33:$B$46)*(INDEX('Landbrugsareal - resultat'!$C$33:$E$46,,MATCH($D141,'Landbrugsareal - resultat'!$C$5:$E$5,0)))),IF(G$2=2030,SUMPRODUCT(($B141='Landbrugsareal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resultat'!$I$5:$K$5,0)))))),IF(G$2=2019,SUMPRODUCT(($B141='Landbrugsareal - resultat'!$B$33:$B$46)*(INDEX('Landbrugsareal - resultat'!$L$33:$N$46,,MATCH($D141,'Landbrugsareal - resultat'!$L$5:$N$5,0)))),IF(G$2=2030,SUMPRODUCT(($B141='Landbrugsareal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159.16557506189815</v>
      </c>
      <c r="H141" s="96" cm="1">
        <f t="array" ref="H141">IF($A141="Vestdanmark",IF($C141="Konventionel",IF(H$2=2019,SUMPRODUCT(($B141='Landbrugsareal - resultat'!$B$6:$B$19)*(INDEX('Landbrugsareal - resultat'!$C$6:$E$19,,MATCH($D141,'Landbrugsareal - resultat'!$C$5:$E$5,0)))),IF(H$2=2030,SUMPRODUCT(($B141='Landbrugsareal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resultat'!$I$5:$K$5,0)))))),IF(H$2=2019,SUMPRODUCT(($B141='Landbrugsareal - resultat'!$B$6:$B$19)*(INDEX('Landbrugsareal - resultat'!$L$6:$N$19,,MATCH($D141,'Landbrugsareal - resultat'!$L$5:$N$5,0)))),IF(H$2=2030,SUMPRODUCT(($B141='Landbrugsareal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resultat'!$R$5:$T$5,0))))))),IF($C141="Konventionel",IF(H$2=2019,SUMPRODUCT(($B141='Landbrugsareal - resultat'!$B$33:$B$46)*(INDEX('Landbrugsareal - resultat'!$C$33:$E$46,,MATCH($D141,'Landbrugsareal - resultat'!$C$5:$E$5,0)))),IF(H$2=2030,SUMPRODUCT(($B141='Landbrugsareal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resultat'!$I$5:$K$5,0)))))),IF(H$2=2019,SUMPRODUCT(($B141='Landbrugsareal - resultat'!$B$33:$B$46)*(INDEX('Landbrugsareal - resultat'!$L$33:$N$46,,MATCH($D141,'Landbrugsareal - resultat'!$L$5:$N$5,0)))),IF(H$2=2030,SUMPRODUCT(($B141='Landbrugsareal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188.58260006950039</v>
      </c>
      <c r="I141" s="96" cm="1">
        <f t="array" ref="I141">IF($A141="Vestdanmark",IF($C141="Konventionel",IF(I$2=2019,SUMPRODUCT(($B141='Landbrugsareal - resultat'!$B$6:$B$19)*(INDEX('Landbrugsareal - resultat'!$C$6:$E$19,,MATCH($D141,'Landbrugsareal - resultat'!$C$5:$E$5,0)))),IF(I$2=2030,SUMPRODUCT(($B141='Landbrugsareal - resultat'!$B$6:$B$19)*(INDEX('Landbrugsareal - resultat'!$F$6:$H$19,,MATCH($D141,'Landbrugsareal - resultat'!$F$5:$H$5,0)))),SUMPRODUCT(($B141='Landbrugsareal - resultat'!$B$6:$B$19)*(INDEX('Landbrugsareal - resultat'!$I$6:$K$19,,MATCH($D141,'Landbrugsareal - resultat'!$I$5:$K$5,0)))))),IF(I$2=2019,SUMPRODUCT(($B141='Landbrugsareal - resultat'!$B$6:$B$19)*(INDEX('Landbrugsareal - resultat'!$L$6:$N$19,,MATCH($D141,'Landbrugsareal - resultat'!$L$5:$N$5,0)))),IF(I$2=2030,SUMPRODUCT(($B141='Landbrugsareal - resultat'!$B$6:$B$19)*(INDEX('Landbrugsareal - resultat'!$O$6:$Q$19,,MATCH($D141,'Landbrugsareal - resultat'!$O$5:$Q$5,0)))),SUMPRODUCT(($B141='Landbrugsareal - resultat'!$B$6:$B$19)*(INDEX('Landbrugsareal - resultat'!$R$6:$T$19,,MATCH($D141,'Landbrugsareal - resultat'!$R$5:$T$5,0))))))),IF($C141="Konventionel",IF(I$2=2019,SUMPRODUCT((C141='Landbrugsareal - resultat'!$B$33:$B$46)*(INDEX('Landbrugsareal - resultat'!$C$33:$E$46,,MATCH($D141,'Landbrugsareal - resultat'!$C$5:$E$5,0)))),IF(I$2=2030,SUMPRODUCT(($B141='Landbrugsareal - resultat'!$B$33:$B$46)*(INDEX('Landbrugsareal - resultat'!$F$33:$H$46,,MATCH($D141,'Landbrugsareal - resultat'!$F$5:$H$5,0)))),SUMPRODUCT(($B141='Landbrugsareal - resultat'!$B$33:$B$46)*(INDEX('Landbrugsareal - resultat'!$I$33:$K$46,,MATCH($D141,'Landbrugsareal - resultat'!$I$5:$K$5,0)))))),IF(I$2=2019,SUMPRODUCT(($B141='Landbrugsareal - resultat'!$B$33:$B$46)*(INDEX('Landbrugsareal - resultat'!$L$33:$N$46,,MATCH($D141,'Landbrugsareal - resultat'!$L$5:$N$5,0)))),IF(I$2=2030,SUMPRODUCT(($B141='Landbrugsareal - resultat'!$B$33:$B$46)*(INDEX('Landbrugsareal - resultat'!$O$33:$Q$46,,MATCH($D141,'Landbrugsareal - resultat'!$O$5:$Q$5,0)))),SUMPRODUCT(($B141='Landbrugsareal - resultat'!$B$33:$B$46)*(INDEX('Landbrugsareal - resultat'!$R$33:$T$46,,MATCH($D141,'Landbrugsareal - resultat'!$R$5:$T$5,0))))))))</f>
        <v>242.20451705652377</v>
      </c>
    </row>
    <row r="142" spans="1:9" x14ac:dyDescent="0.25">
      <c r="A142" t="s">
        <v>24</v>
      </c>
      <c r="B142" s="1" t="str">
        <f>[1]Afgrødefordeling!$C$15</f>
        <v>Permanent græs</v>
      </c>
      <c r="C142" t="s">
        <v>8</v>
      </c>
      <c r="D142" t="str">
        <f t="shared" si="11"/>
        <v>JB1-10</v>
      </c>
      <c r="F142" t="str">
        <f t="shared" si="12"/>
        <v>Areal-permanent græs</v>
      </c>
      <c r="G142" s="96" cm="1">
        <f t="array" ref="G142">IF($A142="Vestdanmark",IF($C142="Konventionel",IF(G$2=2019,SUMPRODUCT(($B142='Landbrugsareal - resultat'!$B$6:$B$19)*(INDEX('Landbrugsareal - resultat'!$C$6:$E$19,,MATCH($D142,'Landbrugsareal - resultat'!$C$5:$E$5,0)))),IF(G$2=2030,SUMPRODUCT(($B142='Landbrugsareal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resultat'!$I$5:$K$5,0)))))),IF(G$2=2019,SUMPRODUCT(($B142='Landbrugsareal - resultat'!$B$6:$B$19)*(INDEX('Landbrugsareal - resultat'!$L$6:$N$19,,MATCH($D142,'Landbrugsareal - resultat'!$L$5:$N$5,0)))),IF(G$2=2030,SUMPRODUCT(($B142='Landbrugsareal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resultat'!$R$5:$T$5,0))))))),IF($C142="Konventionel",IF(G$2=2019,SUMPRODUCT((B142='Landbrugsareal - resultat'!$B$33:$B$46)*(INDEX('Landbrugsareal - resultat'!$C$33:$E$46,,MATCH($D142,'Landbrugsareal - resultat'!$C$5:$E$5,0)))),IF(G$2=2030,SUMPRODUCT(($B142='Landbrugsareal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resultat'!$I$5:$K$5,0)))))),IF(G$2=2019,SUMPRODUCT(($B142='Landbrugsareal - resultat'!$B$33:$B$46)*(INDEX('Landbrugsareal - resultat'!$L$33:$N$46,,MATCH($D142,'Landbrugsareal - resultat'!$L$5:$N$5,0)))),IF(G$2=2030,SUMPRODUCT(($B142='Landbrugsareal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3964.3701310794295</v>
      </c>
      <c r="H142" s="96" cm="1">
        <f t="array" ref="H142">IF($A142="Vestdanmark",IF($C142="Konventionel",IF(H$2=2019,SUMPRODUCT(($B142='Landbrugsareal - resultat'!$B$6:$B$19)*(INDEX('Landbrugsareal - resultat'!$C$6:$E$19,,MATCH($D142,'Landbrugsareal - resultat'!$C$5:$E$5,0)))),IF(H$2=2030,SUMPRODUCT(($B142='Landbrugsareal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resultat'!$I$5:$K$5,0)))))),IF(H$2=2019,SUMPRODUCT(($B142='Landbrugsareal - resultat'!$B$6:$B$19)*(INDEX('Landbrugsareal - resultat'!$L$6:$N$19,,MATCH($D142,'Landbrugsareal - resultat'!$L$5:$N$5,0)))),IF(H$2=2030,SUMPRODUCT(($B142='Landbrugsareal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resultat'!$R$5:$T$5,0))))))),IF($C142="Konventionel",IF(H$2=2019,SUMPRODUCT(($B142='Landbrugsareal - resultat'!$B$33:$B$46)*(INDEX('Landbrugsareal - resultat'!$C$33:$E$46,,MATCH($D142,'Landbrugsareal - resultat'!$C$5:$E$5,0)))),IF(H$2=2030,SUMPRODUCT(($B142='Landbrugsareal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resultat'!$I$5:$K$5,0)))))),IF(H$2=2019,SUMPRODUCT(($B142='Landbrugsareal - resultat'!$B$33:$B$46)*(INDEX('Landbrugsareal - resultat'!$L$33:$N$46,,MATCH($D142,'Landbrugsareal - resultat'!$L$5:$N$5,0)))),IF(H$2=2030,SUMPRODUCT(($B142='Landbrugsareal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4697.0661002926372</v>
      </c>
      <c r="I142" s="96" cm="1">
        <f t="array" ref="I142">IF($A142="Vestdanmark",IF($C142="Konventionel",IF(I$2=2019,SUMPRODUCT(($B142='Landbrugsareal - resultat'!$B$6:$B$19)*(INDEX('Landbrugsareal - resultat'!$C$6:$E$19,,MATCH($D142,'Landbrugsareal - resultat'!$C$5:$E$5,0)))),IF(I$2=2030,SUMPRODUCT(($B142='Landbrugsareal - resultat'!$B$6:$B$19)*(INDEX('Landbrugsareal - resultat'!$F$6:$H$19,,MATCH($D142,'Landbrugsareal - resultat'!$F$5:$H$5,0)))),SUMPRODUCT(($B142='Landbrugsareal - resultat'!$B$6:$B$19)*(INDEX('Landbrugsareal - resultat'!$I$6:$K$19,,MATCH($D142,'Landbrugsareal - resultat'!$I$5:$K$5,0)))))),IF(I$2=2019,SUMPRODUCT(($B142='Landbrugsareal - resultat'!$B$6:$B$19)*(INDEX('Landbrugsareal - resultat'!$L$6:$N$19,,MATCH($D142,'Landbrugsareal - resultat'!$L$5:$N$5,0)))),IF(I$2=2030,SUMPRODUCT(($B142='Landbrugsareal - resultat'!$B$6:$B$19)*(INDEX('Landbrugsareal - resultat'!$O$6:$Q$19,,MATCH($D142,'Landbrugsareal - resultat'!$O$5:$Q$5,0)))),SUMPRODUCT(($B142='Landbrugsareal - resultat'!$B$6:$B$19)*(INDEX('Landbrugsareal - resultat'!$R$6:$T$19,,MATCH($D142,'Landbrugsareal - resultat'!$R$5:$T$5,0))))))),IF($C142="Konventionel",IF(I$2=2019,SUMPRODUCT((C142='Landbrugsareal - resultat'!$B$33:$B$46)*(INDEX('Landbrugsareal - resultat'!$C$33:$E$46,,MATCH($D142,'Landbrugsareal - resultat'!$C$5:$E$5,0)))),IF(I$2=2030,SUMPRODUCT(($B142='Landbrugsareal - resultat'!$B$33:$B$46)*(INDEX('Landbrugsareal - resultat'!$F$33:$H$46,,MATCH($D142,'Landbrugsareal - resultat'!$F$5:$H$5,0)))),SUMPRODUCT(($B142='Landbrugsareal - resultat'!$B$33:$B$46)*(INDEX('Landbrugsareal - resultat'!$I$33:$K$46,,MATCH($D142,'Landbrugsareal - resultat'!$I$5:$K$5,0)))))),IF(I$2=2019,SUMPRODUCT(($B142='Landbrugsareal - resultat'!$B$33:$B$46)*(INDEX('Landbrugsareal - resultat'!$L$33:$N$46,,MATCH($D142,'Landbrugsareal - resultat'!$L$5:$N$5,0)))),IF(I$2=2030,SUMPRODUCT(($B142='Landbrugsareal - resultat'!$B$33:$B$46)*(INDEX('Landbrugsareal - resultat'!$O$33:$Q$46,,MATCH($D142,'Landbrugsareal - resultat'!$O$5:$Q$5,0)))),SUMPRODUCT(($B142='Landbrugsareal - resultat'!$B$33:$B$46)*(INDEX('Landbrugsareal - resultat'!$R$33:$T$46,,MATCH($D142,'Landbrugsareal - resultat'!$R$5:$T$5,0))))))))</f>
        <v>6032.6383557373629</v>
      </c>
    </row>
    <row r="143" spans="1:9" x14ac:dyDescent="0.25">
      <c r="A143" t="s">
        <v>24</v>
      </c>
      <c r="B143" s="1" t="str">
        <f>[1]Afgrødefordeling!$C$2</f>
        <v>Korn</v>
      </c>
      <c r="C143" t="s">
        <v>8</v>
      </c>
      <c r="D143" t="str">
        <f t="shared" ref="D143:D156" si="13">Organ6</f>
        <v>OC6</v>
      </c>
      <c r="F143" t="str">
        <f t="shared" si="12"/>
        <v>Areal-korn</v>
      </c>
      <c r="G143" s="96" cm="1">
        <f t="array" ref="G143">IF($A143="Vestdanmark",IF($C143="Konventionel",IF(G$2=2019,SUMPRODUCT(($B143='Landbrugsareal - resultat'!$B$6:$B$19)*(INDEX('Landbrugsareal - resultat'!$C$6:$E$19,,MATCH($D143,'Landbrugsareal - resultat'!$C$5:$E$5,0)))),IF(G$2=2030,SUMPRODUCT(($B143='Landbrugsareal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resultat'!$I$5:$K$5,0)))))),IF(G$2=2019,SUMPRODUCT(($B143='Landbrugsareal - resultat'!$B$6:$B$19)*(INDEX('Landbrugsareal - resultat'!$L$6:$N$19,,MATCH($D143,'Landbrugsareal - resultat'!$L$5:$N$5,0)))),IF(G$2=2030,SUMPRODUCT(($B143='Landbrugsareal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resultat'!$R$5:$T$5,0))))))),IF($C143="Konventionel",IF(G$2=2019,SUMPRODUCT((B143='Landbrugsareal - resultat'!$B$33:$B$46)*(INDEX('Landbrugsareal - resultat'!$C$33:$E$46,,MATCH($D143,'Landbrugsareal - resultat'!$C$5:$E$5,0)))),IF(G$2=2030,SUMPRODUCT(($B143='Landbrugsareal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resultat'!$I$5:$K$5,0)))))),IF(G$2=2019,SUMPRODUCT(($B143='Landbrugsareal - resultat'!$B$33:$B$46)*(INDEX('Landbrugsareal - resultat'!$L$33:$N$46,,MATCH($D143,'Landbrugsareal - resultat'!$L$5:$N$5,0)))),IF(G$2=2030,SUMPRODUCT(($B143='Landbrugsareal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575.57191227389683</v>
      </c>
      <c r="H143" s="96" cm="1">
        <f t="array" ref="H143">IF($A143="Vestdanmark",IF($C143="Konventionel",IF(H$2=2019,SUMPRODUCT(($B143='Landbrugsareal - resultat'!$B$6:$B$19)*(INDEX('Landbrugsareal - resultat'!$C$6:$E$19,,MATCH($D143,'Landbrugsareal - resultat'!$C$5:$E$5,0)))),IF(H$2=2030,SUMPRODUCT(($B143='Landbrugsareal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resultat'!$I$5:$K$5,0)))))),IF(H$2=2019,SUMPRODUCT(($B143='Landbrugsareal - resultat'!$B$6:$B$19)*(INDEX('Landbrugsareal - resultat'!$L$6:$N$19,,MATCH($D143,'Landbrugsareal - resultat'!$L$5:$N$5,0)))),IF(H$2=2030,SUMPRODUCT(($B143='Landbrugsareal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resultat'!$R$5:$T$5,0))))))),IF($C143="Konventionel",IF(H$2=2019,SUMPRODUCT(($B143='Landbrugsareal - resultat'!$B$33:$B$46)*(INDEX('Landbrugsareal - resultat'!$C$33:$E$46,,MATCH($D143,'Landbrugsareal - resultat'!$C$5:$E$5,0)))),IF(H$2=2030,SUMPRODUCT(($B143='Landbrugsareal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resultat'!$I$5:$K$5,0)))))),IF(H$2=2019,SUMPRODUCT(($B143='Landbrugsareal - resultat'!$B$33:$B$46)*(INDEX('Landbrugsareal - resultat'!$L$33:$N$46,,MATCH($D143,'Landbrugsareal - resultat'!$L$5:$N$5,0)))),IF(H$2=2030,SUMPRODUCT(($B143='Landbrugsareal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635.47551588693773</v>
      </c>
      <c r="I143" s="96" cm="1">
        <f t="array" ref="I143">IF($A143="Vestdanmark",IF($C143="Konventionel",IF(I$2=2019,SUMPRODUCT(($B143='Landbrugsareal - resultat'!$B$6:$B$19)*(INDEX('Landbrugsareal - resultat'!$C$6:$E$19,,MATCH($D143,'Landbrugsareal - resultat'!$C$5:$E$5,0)))),IF(I$2=2030,SUMPRODUCT(($B143='Landbrugsareal - resultat'!$B$6:$B$19)*(INDEX('Landbrugsareal - resultat'!$F$6:$H$19,,MATCH($D143,'Landbrugsareal - resultat'!$F$5:$H$5,0)))),SUMPRODUCT(($B143='Landbrugsareal - resultat'!$B$6:$B$19)*(INDEX('Landbrugsareal - resultat'!$I$6:$K$19,,MATCH($D143,'Landbrugsareal - resultat'!$I$5:$K$5,0)))))),IF(I$2=2019,SUMPRODUCT(($B143='Landbrugsareal - resultat'!$B$6:$B$19)*(INDEX('Landbrugsareal - resultat'!$L$6:$N$19,,MATCH($D143,'Landbrugsareal - resultat'!$L$5:$N$5,0)))),IF(I$2=2030,SUMPRODUCT(($B143='Landbrugsareal - resultat'!$B$6:$B$19)*(INDEX('Landbrugsareal - resultat'!$O$6:$Q$19,,MATCH($D143,'Landbrugsareal - resultat'!$O$5:$Q$5,0)))),SUMPRODUCT(($B143='Landbrugsareal - resultat'!$B$6:$B$19)*(INDEX('Landbrugsareal - resultat'!$R$6:$T$19,,MATCH($D143,'Landbrugsareal - resultat'!$R$5:$T$5,0))))))),IF($C143="Konventionel",IF(I$2=2019,SUMPRODUCT((C143='Landbrugsareal - resultat'!$B$33:$B$46)*(INDEX('Landbrugsareal - resultat'!$C$33:$E$46,,MATCH($D143,'Landbrugsareal - resultat'!$C$5:$E$5,0)))),IF(I$2=2030,SUMPRODUCT(($B143='Landbrugsareal - resultat'!$B$33:$B$46)*(INDEX('Landbrugsareal - resultat'!$F$33:$H$46,,MATCH($D143,'Landbrugsareal - resultat'!$F$5:$H$5,0)))),SUMPRODUCT(($B143='Landbrugsareal - resultat'!$B$33:$B$46)*(INDEX('Landbrugsareal - resultat'!$I$33:$K$46,,MATCH($D143,'Landbrugsareal - resultat'!$I$5:$K$5,0)))))),IF(I$2=2019,SUMPRODUCT(($B143='Landbrugsareal - resultat'!$B$33:$B$46)*(INDEX('Landbrugsareal - resultat'!$L$33:$N$46,,MATCH($D143,'Landbrugsareal - resultat'!$L$5:$N$5,0)))),IF(I$2=2030,SUMPRODUCT(($B143='Landbrugsareal - resultat'!$B$33:$B$46)*(INDEX('Landbrugsareal - resultat'!$O$33:$Q$46,,MATCH($D143,'Landbrugsareal - resultat'!$O$5:$Q$5,0)))),SUMPRODUCT(($B143='Landbrugsareal - resultat'!$B$33:$B$46)*(INDEX('Landbrugsareal - resultat'!$R$33:$T$46,,MATCH($D143,'Landbrugsareal - resultat'!$R$5:$T$5,0))))))))</f>
        <v>823.76455763121555</v>
      </c>
    </row>
    <row r="144" spans="1:9" x14ac:dyDescent="0.25">
      <c r="A144" t="s">
        <v>24</v>
      </c>
      <c r="B144" s="1" t="str">
        <f>[1]Afgrødefordeling!$C$3</f>
        <v>Bælgsæd</v>
      </c>
      <c r="C144" t="s">
        <v>8</v>
      </c>
      <c r="D144" t="str">
        <f t="shared" si="13"/>
        <v>OC6</v>
      </c>
      <c r="F144" t="str">
        <f t="shared" si="12"/>
        <v>Areal-bælgsæd</v>
      </c>
      <c r="G144" s="96" cm="1">
        <f t="array" ref="G144">IF($A144="Vestdanmark",IF($C144="Konventionel",IF(G$2=2019,SUMPRODUCT(($B144='Landbrugsareal - resultat'!$B$6:$B$19)*(INDEX('Landbrugsareal - resultat'!$C$6:$E$19,,MATCH($D144,'Landbrugsareal - resultat'!$C$5:$E$5,0)))),IF(G$2=2030,SUMPRODUCT(($B144='Landbrugsareal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resultat'!$I$5:$K$5,0)))))),IF(G$2=2019,SUMPRODUCT(($B144='Landbrugsareal - resultat'!$B$6:$B$19)*(INDEX('Landbrugsareal - resultat'!$L$6:$N$19,,MATCH($D144,'Landbrugsareal - resultat'!$L$5:$N$5,0)))),IF(G$2=2030,SUMPRODUCT(($B144='Landbrugsareal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resultat'!$R$5:$T$5,0))))))),IF($C144="Konventionel",IF(G$2=2019,SUMPRODUCT((B144='Landbrugsareal - resultat'!$B$33:$B$46)*(INDEX('Landbrugsareal - resultat'!$C$33:$E$46,,MATCH($D144,'Landbrugsareal - resultat'!$C$5:$E$5,0)))),IF(G$2=2030,SUMPRODUCT(($B144='Landbrugsareal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resultat'!$I$5:$K$5,0)))))),IF(G$2=2019,SUMPRODUCT(($B144='Landbrugsareal - resultat'!$B$33:$B$46)*(INDEX('Landbrugsareal - resultat'!$L$33:$N$46,,MATCH($D144,'Landbrugsareal - resultat'!$L$5:$N$5,0)))),IF(G$2=2030,SUMPRODUCT(($B144='Landbrugsareal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15.564384549090725</v>
      </c>
      <c r="H144" s="96" cm="1">
        <f t="array" ref="H144">IF($A144="Vestdanmark",IF($C144="Konventionel",IF(H$2=2019,SUMPRODUCT(($B144='Landbrugsareal - resultat'!$B$6:$B$19)*(INDEX('Landbrugsareal - resultat'!$C$6:$E$19,,MATCH($D144,'Landbrugsareal - resultat'!$C$5:$E$5,0)))),IF(H$2=2030,SUMPRODUCT(($B144='Landbrugsareal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resultat'!$I$5:$K$5,0)))))),IF(H$2=2019,SUMPRODUCT(($B144='Landbrugsareal - resultat'!$B$6:$B$19)*(INDEX('Landbrugsareal - resultat'!$L$6:$N$19,,MATCH($D144,'Landbrugsareal - resultat'!$L$5:$N$5,0)))),IF(H$2=2030,SUMPRODUCT(($B144='Landbrugsareal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resultat'!$R$5:$T$5,0))))))),IF($C144="Konventionel",IF(H$2=2019,SUMPRODUCT(($B144='Landbrugsareal - resultat'!$B$33:$B$46)*(INDEX('Landbrugsareal - resultat'!$C$33:$E$46,,MATCH($D144,'Landbrugsareal - resultat'!$C$5:$E$5,0)))),IF(H$2=2030,SUMPRODUCT(($B144='Landbrugsareal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resultat'!$I$5:$K$5,0)))))),IF(H$2=2019,SUMPRODUCT(($B144='Landbrugsareal - resultat'!$B$33:$B$46)*(INDEX('Landbrugsareal - resultat'!$L$33:$N$46,,MATCH($D144,'Landbrugsareal - resultat'!$L$5:$N$5,0)))),IF(H$2=2030,SUMPRODUCT(($B144='Landbrugsareal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17.184273745605214</v>
      </c>
      <c r="I144" s="96" cm="1">
        <f t="array" ref="I144">IF($A144="Vestdanmark",IF($C144="Konventionel",IF(I$2=2019,SUMPRODUCT(($B144='Landbrugsareal - resultat'!$B$6:$B$19)*(INDEX('Landbrugsareal - resultat'!$C$6:$E$19,,MATCH($D144,'Landbrugsareal - resultat'!$C$5:$E$5,0)))),IF(I$2=2030,SUMPRODUCT(($B144='Landbrugsareal - resultat'!$B$6:$B$19)*(INDEX('Landbrugsareal - resultat'!$F$6:$H$19,,MATCH($D144,'Landbrugsareal - resultat'!$F$5:$H$5,0)))),SUMPRODUCT(($B144='Landbrugsareal - resultat'!$B$6:$B$19)*(INDEX('Landbrugsareal - resultat'!$I$6:$K$19,,MATCH($D144,'Landbrugsareal - resultat'!$I$5:$K$5,0)))))),IF(I$2=2019,SUMPRODUCT(($B144='Landbrugsareal - resultat'!$B$6:$B$19)*(INDEX('Landbrugsareal - resultat'!$L$6:$N$19,,MATCH($D144,'Landbrugsareal - resultat'!$L$5:$N$5,0)))),IF(I$2=2030,SUMPRODUCT(($B144='Landbrugsareal - resultat'!$B$6:$B$19)*(INDEX('Landbrugsareal - resultat'!$O$6:$Q$19,,MATCH($D144,'Landbrugsareal - resultat'!$O$5:$Q$5,0)))),SUMPRODUCT(($B144='Landbrugsareal - resultat'!$B$6:$B$19)*(INDEX('Landbrugsareal - resultat'!$R$6:$T$19,,MATCH($D144,'Landbrugsareal - resultat'!$R$5:$T$5,0))))))),IF($C144="Konventionel",IF(I$2=2019,SUMPRODUCT((C144='Landbrugsareal - resultat'!$B$33:$B$46)*(INDEX('Landbrugsareal - resultat'!$C$33:$E$46,,MATCH($D144,'Landbrugsareal - resultat'!$C$5:$E$5,0)))),IF(I$2=2030,SUMPRODUCT(($B144='Landbrugsareal - resultat'!$B$33:$B$46)*(INDEX('Landbrugsareal - resultat'!$F$33:$H$46,,MATCH($D144,'Landbrugsareal - resultat'!$F$5:$H$5,0)))),SUMPRODUCT(($B144='Landbrugsareal - resultat'!$B$33:$B$46)*(INDEX('Landbrugsareal - resultat'!$I$33:$K$46,,MATCH($D144,'Landbrugsareal - resultat'!$I$5:$K$5,0)))))),IF(I$2=2019,SUMPRODUCT(($B144='Landbrugsareal - resultat'!$B$33:$B$46)*(INDEX('Landbrugsareal - resultat'!$L$33:$N$46,,MATCH($D144,'Landbrugsareal - resultat'!$L$5:$N$5,0)))),IF(I$2=2030,SUMPRODUCT(($B144='Landbrugsareal - resultat'!$B$33:$B$46)*(INDEX('Landbrugsareal - resultat'!$O$33:$Q$46,,MATCH($D144,'Landbrugsareal - resultat'!$O$5:$Q$5,0)))),SUMPRODUCT(($B144='Landbrugsareal - resultat'!$B$33:$B$46)*(INDEX('Landbrugsareal - resultat'!$R$33:$T$46,,MATCH($D144,'Landbrugsareal - resultat'!$R$5:$T$5,0))))))))</f>
        <v>22.275910410969718</v>
      </c>
    </row>
    <row r="145" spans="1:9" x14ac:dyDescent="0.25">
      <c r="A145" t="s">
        <v>24</v>
      </c>
      <c r="B145" s="1" t="str">
        <f>[1]Afgrødefordeling!$C$4</f>
        <v>Raps</v>
      </c>
      <c r="C145" t="s">
        <v>8</v>
      </c>
      <c r="D145" t="str">
        <f t="shared" si="13"/>
        <v>OC6</v>
      </c>
      <c r="F145" t="str">
        <f t="shared" si="12"/>
        <v>Areal-raps</v>
      </c>
      <c r="G145" s="96" cm="1">
        <f t="array" ref="G145">IF($A145="Vestdanmark",IF($C145="Konventionel",IF(G$2=2019,SUMPRODUCT(($B145='Landbrugsareal - resultat'!$B$6:$B$19)*(INDEX('Landbrugsareal - resultat'!$C$6:$E$19,,MATCH($D145,'Landbrugsareal - resultat'!$C$5:$E$5,0)))),IF(G$2=2030,SUMPRODUCT(($B145='Landbrugsareal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resultat'!$I$5:$K$5,0)))))),IF(G$2=2019,SUMPRODUCT(($B145='Landbrugsareal - resultat'!$B$6:$B$19)*(INDEX('Landbrugsareal - resultat'!$L$6:$N$19,,MATCH($D145,'Landbrugsareal - resultat'!$L$5:$N$5,0)))),IF(G$2=2030,SUMPRODUCT(($B145='Landbrugsareal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resultat'!$R$5:$T$5,0))))))),IF($C145="Konventionel",IF(G$2=2019,SUMPRODUCT((B145='Landbrugsareal - resultat'!$B$33:$B$46)*(INDEX('Landbrugsareal - resultat'!$C$33:$E$46,,MATCH($D145,'Landbrugsareal - resultat'!$C$5:$E$5,0)))),IF(G$2=2030,SUMPRODUCT(($B145='Landbrugsareal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resultat'!$I$5:$K$5,0)))))),IF(G$2=2019,SUMPRODUCT(($B145='Landbrugsareal - resultat'!$B$33:$B$46)*(INDEX('Landbrugsareal - resultat'!$L$33:$N$46,,MATCH($D145,'Landbrugsareal - resultat'!$L$5:$N$5,0)))),IF(G$2=2030,SUMPRODUCT(($B145='Landbrugsareal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62.866980558250944</v>
      </c>
      <c r="H145" s="96" cm="1">
        <f t="array" ref="H145">IF($A145="Vestdanmark",IF($C145="Konventionel",IF(H$2=2019,SUMPRODUCT(($B145='Landbrugsareal - resultat'!$B$6:$B$19)*(INDEX('Landbrugsareal - resultat'!$C$6:$E$19,,MATCH($D145,'Landbrugsareal - resultat'!$C$5:$E$5,0)))),IF(H$2=2030,SUMPRODUCT(($B145='Landbrugsareal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resultat'!$I$5:$K$5,0)))))),IF(H$2=2019,SUMPRODUCT(($B145='Landbrugsareal - resultat'!$B$6:$B$19)*(INDEX('Landbrugsareal - resultat'!$L$6:$N$19,,MATCH($D145,'Landbrugsareal - resultat'!$L$5:$N$5,0)))),IF(H$2=2030,SUMPRODUCT(($B145='Landbrugsareal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resultat'!$R$5:$T$5,0))))))),IF($C145="Konventionel",IF(H$2=2019,SUMPRODUCT(($B145='Landbrugsareal - resultat'!$B$33:$B$46)*(INDEX('Landbrugsareal - resultat'!$C$33:$E$46,,MATCH($D145,'Landbrugsareal - resultat'!$C$5:$E$5,0)))),IF(H$2=2030,SUMPRODUCT(($B145='Landbrugsareal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resultat'!$I$5:$K$5,0)))))),IF(H$2=2019,SUMPRODUCT(($B145='Landbrugsareal - resultat'!$B$33:$B$46)*(INDEX('Landbrugsareal - resultat'!$L$33:$N$46,,MATCH($D145,'Landbrugsareal - resultat'!$L$5:$N$5,0)))),IF(H$2=2030,SUMPRODUCT(($B145='Landbrugsareal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69.409966071272493</v>
      </c>
      <c r="I145" s="96" cm="1">
        <f t="array" ref="I145">IF($A145="Vestdanmark",IF($C145="Konventionel",IF(I$2=2019,SUMPRODUCT(($B145='Landbrugsareal - resultat'!$B$6:$B$19)*(INDEX('Landbrugsareal - resultat'!$C$6:$E$19,,MATCH($D145,'Landbrugsareal - resultat'!$C$5:$E$5,0)))),IF(I$2=2030,SUMPRODUCT(($B145='Landbrugsareal - resultat'!$B$6:$B$19)*(INDEX('Landbrugsareal - resultat'!$F$6:$H$19,,MATCH($D145,'Landbrugsareal - resultat'!$F$5:$H$5,0)))),SUMPRODUCT(($B145='Landbrugsareal - resultat'!$B$6:$B$19)*(INDEX('Landbrugsareal - resultat'!$I$6:$K$19,,MATCH($D145,'Landbrugsareal - resultat'!$I$5:$K$5,0)))))),IF(I$2=2019,SUMPRODUCT(($B145='Landbrugsareal - resultat'!$B$6:$B$19)*(INDEX('Landbrugsareal - resultat'!$L$6:$N$19,,MATCH($D145,'Landbrugsareal - resultat'!$L$5:$N$5,0)))),IF(I$2=2030,SUMPRODUCT(($B145='Landbrugsareal - resultat'!$B$6:$B$19)*(INDEX('Landbrugsareal - resultat'!$O$6:$Q$19,,MATCH($D145,'Landbrugsareal - resultat'!$O$5:$Q$5,0)))),SUMPRODUCT(($B145='Landbrugsareal - resultat'!$B$6:$B$19)*(INDEX('Landbrugsareal - resultat'!$R$6:$T$19,,MATCH($D145,'Landbrugsareal - resultat'!$R$5:$T$5,0))))))),IF($C145="Konventionel",IF(I$2=2019,SUMPRODUCT((C145='Landbrugsareal - resultat'!$B$33:$B$46)*(INDEX('Landbrugsareal - resultat'!$C$33:$E$46,,MATCH($D145,'Landbrugsareal - resultat'!$C$5:$E$5,0)))),IF(I$2=2030,SUMPRODUCT(($B145='Landbrugsareal - resultat'!$B$33:$B$46)*(INDEX('Landbrugsareal - resultat'!$F$33:$H$46,,MATCH($D145,'Landbrugsareal - resultat'!$F$5:$H$5,0)))),SUMPRODUCT(($B145='Landbrugsareal - resultat'!$B$33:$B$46)*(INDEX('Landbrugsareal - resultat'!$I$33:$K$46,,MATCH($D145,'Landbrugsareal - resultat'!$I$5:$K$5,0)))))),IF(I$2=2019,SUMPRODUCT(($B145='Landbrugsareal - resultat'!$B$33:$B$46)*(INDEX('Landbrugsareal - resultat'!$L$33:$N$46,,MATCH($D145,'Landbrugsareal - resultat'!$L$5:$N$5,0)))),IF(I$2=2030,SUMPRODUCT(($B145='Landbrugsareal - resultat'!$B$33:$B$46)*(INDEX('Landbrugsareal - resultat'!$O$33:$Q$46,,MATCH($D145,'Landbrugsareal - resultat'!$O$5:$Q$5,0)))),SUMPRODUCT(($B145='Landbrugsareal - resultat'!$B$33:$B$46)*(INDEX('Landbrugsareal - resultat'!$R$33:$T$46,,MATCH($D145,'Landbrugsareal - resultat'!$R$5:$T$5,0))))))))</f>
        <v>89.97588194424209</v>
      </c>
    </row>
    <row r="146" spans="1:9" x14ac:dyDescent="0.25">
      <c r="A146" t="s">
        <v>24</v>
      </c>
      <c r="B146" s="1" t="str">
        <f>[1]Afgrødefordeling!$C$5</f>
        <v>Græs</v>
      </c>
      <c r="C146" t="s">
        <v>8</v>
      </c>
      <c r="D146" t="str">
        <f t="shared" si="13"/>
        <v>OC6</v>
      </c>
      <c r="F146" t="str">
        <f t="shared" si="12"/>
        <v>Areal-græs</v>
      </c>
      <c r="G146" s="96" cm="1">
        <f t="array" ref="G146">IF($A146="Vestdanmark",IF($C146="Konventionel",IF(G$2=2019,SUMPRODUCT(($B146='Landbrugsareal - resultat'!$B$6:$B$19)*(INDEX('Landbrugsareal - resultat'!$C$6:$E$19,,MATCH($D146,'Landbrugsareal - resultat'!$C$5:$E$5,0)))),IF(G$2=2030,SUMPRODUCT(($B146='Landbrugsareal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resultat'!$I$5:$K$5,0)))))),IF(G$2=2019,SUMPRODUCT(($B146='Landbrugsareal - resultat'!$B$6:$B$19)*(INDEX('Landbrugsareal - resultat'!$L$6:$N$19,,MATCH($D146,'Landbrugsareal - resultat'!$L$5:$N$5,0)))),IF(G$2=2030,SUMPRODUCT(($B146='Landbrugsareal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resultat'!$R$5:$T$5,0))))))),IF($C146="Konventionel",IF(G$2=2019,SUMPRODUCT((B146='Landbrugsareal - resultat'!$B$33:$B$46)*(INDEX('Landbrugsareal - resultat'!$C$33:$E$46,,MATCH($D146,'Landbrugsareal - resultat'!$C$5:$E$5,0)))),IF(G$2=2030,SUMPRODUCT(($B146='Landbrugsareal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resultat'!$I$5:$K$5,0)))))),IF(G$2=2019,SUMPRODUCT(($B146='Landbrugsareal - resultat'!$B$33:$B$46)*(INDEX('Landbrugsareal - resultat'!$L$33:$N$46,,MATCH($D146,'Landbrugsareal - resultat'!$L$5:$N$5,0)))),IF(G$2=2030,SUMPRODUCT(($B146='Landbrugsareal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184.85526432768077</v>
      </c>
      <c r="H146" s="96" cm="1">
        <f t="array" ref="H146">IF($A146="Vestdanmark",IF($C146="Konventionel",IF(H$2=2019,SUMPRODUCT(($B146='Landbrugsareal - resultat'!$B$6:$B$19)*(INDEX('Landbrugsareal - resultat'!$C$6:$E$19,,MATCH($D146,'Landbrugsareal - resultat'!$C$5:$E$5,0)))),IF(H$2=2030,SUMPRODUCT(($B146='Landbrugsareal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resultat'!$I$5:$K$5,0)))))),IF(H$2=2019,SUMPRODUCT(($B146='Landbrugsareal - resultat'!$B$6:$B$19)*(INDEX('Landbrugsareal - resultat'!$L$6:$N$19,,MATCH($D146,'Landbrugsareal - resultat'!$L$5:$N$5,0)))),IF(H$2=2030,SUMPRODUCT(($B146='Landbrugsareal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resultat'!$R$5:$T$5,0))))))),IF($C146="Konventionel",IF(H$2=2019,SUMPRODUCT(($B146='Landbrugsareal - resultat'!$B$33:$B$46)*(INDEX('Landbrugsareal - resultat'!$C$33:$E$46,,MATCH($D146,'Landbrugsareal - resultat'!$C$5:$E$5,0)))),IF(H$2=2030,SUMPRODUCT(($B146='Landbrugsareal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resultat'!$I$5:$K$5,0)))))),IF(H$2=2019,SUMPRODUCT(($B146='Landbrugsareal - resultat'!$B$33:$B$46)*(INDEX('Landbrugsareal - resultat'!$L$33:$N$46,,MATCH($D146,'Landbrugsareal - resultat'!$L$5:$N$5,0)))),IF(H$2=2030,SUMPRODUCT(($B146='Landbrugsareal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204.09438326995422</v>
      </c>
      <c r="I146" s="96" cm="1">
        <f t="array" ref="I146">IF($A146="Vestdanmark",IF($C146="Konventionel",IF(I$2=2019,SUMPRODUCT(($B146='Landbrugsareal - resultat'!$B$6:$B$19)*(INDEX('Landbrugsareal - resultat'!$C$6:$E$19,,MATCH($D146,'Landbrugsareal - resultat'!$C$5:$E$5,0)))),IF(I$2=2030,SUMPRODUCT(($B146='Landbrugsareal - resultat'!$B$6:$B$19)*(INDEX('Landbrugsareal - resultat'!$F$6:$H$19,,MATCH($D146,'Landbrugsareal - resultat'!$F$5:$H$5,0)))),SUMPRODUCT(($B146='Landbrugsareal - resultat'!$B$6:$B$19)*(INDEX('Landbrugsareal - resultat'!$I$6:$K$19,,MATCH($D146,'Landbrugsareal - resultat'!$I$5:$K$5,0)))))),IF(I$2=2019,SUMPRODUCT(($B146='Landbrugsareal - resultat'!$B$6:$B$19)*(INDEX('Landbrugsareal - resultat'!$L$6:$N$19,,MATCH($D146,'Landbrugsareal - resultat'!$L$5:$N$5,0)))),IF(I$2=2030,SUMPRODUCT(($B146='Landbrugsareal - resultat'!$B$6:$B$19)*(INDEX('Landbrugsareal - resultat'!$O$6:$Q$19,,MATCH($D146,'Landbrugsareal - resultat'!$O$5:$Q$5,0)))),SUMPRODUCT(($B146='Landbrugsareal - resultat'!$B$6:$B$19)*(INDEX('Landbrugsareal - resultat'!$R$6:$T$19,,MATCH($D146,'Landbrugsareal - resultat'!$R$5:$T$5,0))))))),IF($C146="Konventionel",IF(I$2=2019,SUMPRODUCT((C146='Landbrugsareal - resultat'!$B$33:$B$46)*(INDEX('Landbrugsareal - resultat'!$C$33:$E$46,,MATCH($D146,'Landbrugsareal - resultat'!$C$5:$E$5,0)))),IF(I$2=2030,SUMPRODUCT(($B146='Landbrugsareal - resultat'!$B$33:$B$46)*(INDEX('Landbrugsareal - resultat'!$F$33:$H$46,,MATCH($D146,'Landbrugsareal - resultat'!$F$5:$H$5,0)))),SUMPRODUCT(($B146='Landbrugsareal - resultat'!$B$33:$B$46)*(INDEX('Landbrugsareal - resultat'!$I$33:$K$46,,MATCH($D146,'Landbrugsareal - resultat'!$I$5:$K$5,0)))))),IF(I$2=2019,SUMPRODUCT(($B146='Landbrugsareal - resultat'!$B$33:$B$46)*(INDEX('Landbrugsareal - resultat'!$L$33:$N$46,,MATCH($D146,'Landbrugsareal - resultat'!$L$5:$N$5,0)))),IF(I$2=2030,SUMPRODUCT(($B146='Landbrugsareal - resultat'!$B$33:$B$46)*(INDEX('Landbrugsareal - resultat'!$O$33:$Q$46,,MATCH($D146,'Landbrugsareal - resultat'!$O$5:$Q$5,0)))),SUMPRODUCT(($B146='Landbrugsareal - resultat'!$B$33:$B$46)*(INDEX('Landbrugsareal - resultat'!$R$33:$T$46,,MATCH($D146,'Landbrugsareal - resultat'!$R$5:$T$5,0))))))))</f>
        <v>264.56679312771843</v>
      </c>
    </row>
    <row r="147" spans="1:9" x14ac:dyDescent="0.25">
      <c r="A147" t="s">
        <v>24</v>
      </c>
      <c r="B147" s="1" t="str">
        <f>[1]Afgrødefordeling!$C$6</f>
        <v>Grøntsager</v>
      </c>
      <c r="C147" t="s">
        <v>8</v>
      </c>
      <c r="D147" t="str">
        <f t="shared" si="13"/>
        <v>OC6</v>
      </c>
      <c r="F147" t="str">
        <f t="shared" si="12"/>
        <v>Areal-grøntsager</v>
      </c>
      <c r="G147" s="96" cm="1">
        <f t="array" ref="G147">IF($A147="Vestdanmark",IF($C147="Konventionel",IF(G$2=2019,SUMPRODUCT(($B147='Landbrugsareal - resultat'!$B$6:$B$19)*(INDEX('Landbrugsareal - resultat'!$C$6:$E$19,,MATCH($D147,'Landbrugsareal - resultat'!$C$5:$E$5,0)))),IF(G$2=2030,SUMPRODUCT(($B147='Landbrugsareal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resultat'!$I$5:$K$5,0)))))),IF(G$2=2019,SUMPRODUCT(($B147='Landbrugsareal - resultat'!$B$6:$B$19)*(INDEX('Landbrugsareal - resultat'!$L$6:$N$19,,MATCH($D147,'Landbrugsareal - resultat'!$L$5:$N$5,0)))),IF(G$2=2030,SUMPRODUCT(($B147='Landbrugsareal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resultat'!$R$5:$T$5,0))))))),IF($C147="Konventionel",IF(G$2=2019,SUMPRODUCT((B147='Landbrugsareal - resultat'!$B$33:$B$46)*(INDEX('Landbrugsareal - resultat'!$C$33:$E$46,,MATCH($D147,'Landbrugsareal - resultat'!$C$5:$E$5,0)))),IF(G$2=2030,SUMPRODUCT(($B147='Landbrugsareal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resultat'!$I$5:$K$5,0)))))),IF(G$2=2019,SUMPRODUCT(($B147='Landbrugsareal - resultat'!$B$33:$B$46)*(INDEX('Landbrugsareal - resultat'!$L$33:$N$46,,MATCH($D147,'Landbrugsareal - resultat'!$L$5:$N$5,0)))),IF(G$2=2030,SUMPRODUCT(($B147='Landbrugsareal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3.5009585136978965</v>
      </c>
      <c r="H147" s="96" cm="1">
        <f t="array" ref="H147">IF($A147="Vestdanmark",IF($C147="Konventionel",IF(H$2=2019,SUMPRODUCT(($B147='Landbrugsareal - resultat'!$B$6:$B$19)*(INDEX('Landbrugsareal - resultat'!$C$6:$E$19,,MATCH($D147,'Landbrugsareal - resultat'!$C$5:$E$5,0)))),IF(H$2=2030,SUMPRODUCT(($B147='Landbrugsareal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resultat'!$I$5:$K$5,0)))))),IF(H$2=2019,SUMPRODUCT(($B147='Landbrugsareal - resultat'!$B$6:$B$19)*(INDEX('Landbrugsareal - resultat'!$L$6:$N$19,,MATCH($D147,'Landbrugsareal - resultat'!$L$5:$N$5,0)))),IF(H$2=2030,SUMPRODUCT(($B147='Landbrugsareal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resultat'!$R$5:$T$5,0))))))),IF($C147="Konventionel",IF(H$2=2019,SUMPRODUCT(($B147='Landbrugsareal - resultat'!$B$33:$B$46)*(INDEX('Landbrugsareal - resultat'!$C$33:$E$46,,MATCH($D147,'Landbrugsareal - resultat'!$C$5:$E$5,0)))),IF(H$2=2030,SUMPRODUCT(($B147='Landbrugsareal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resultat'!$I$5:$K$5,0)))))),IF(H$2=2019,SUMPRODUCT(($B147='Landbrugsareal - resultat'!$B$33:$B$46)*(INDEX('Landbrugsareal - resultat'!$L$33:$N$46,,MATCH($D147,'Landbrugsareal - resultat'!$L$5:$N$5,0)))),IF(H$2=2030,SUMPRODUCT(($B147='Landbrugsareal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3.86532659107979</v>
      </c>
      <c r="I147" s="96" cm="1">
        <f t="array" ref="I147">IF($A147="Vestdanmark",IF($C147="Konventionel",IF(I$2=2019,SUMPRODUCT(($B147='Landbrugsareal - resultat'!$B$6:$B$19)*(INDEX('Landbrugsareal - resultat'!$C$6:$E$19,,MATCH($D147,'Landbrugsareal - resultat'!$C$5:$E$5,0)))),IF(I$2=2030,SUMPRODUCT(($B147='Landbrugsareal - resultat'!$B$6:$B$19)*(INDEX('Landbrugsareal - resultat'!$F$6:$H$19,,MATCH($D147,'Landbrugsareal - resultat'!$F$5:$H$5,0)))),SUMPRODUCT(($B147='Landbrugsareal - resultat'!$B$6:$B$19)*(INDEX('Landbrugsareal - resultat'!$I$6:$K$19,,MATCH($D147,'Landbrugsareal - resultat'!$I$5:$K$5,0)))))),IF(I$2=2019,SUMPRODUCT(($B147='Landbrugsareal - resultat'!$B$6:$B$19)*(INDEX('Landbrugsareal - resultat'!$L$6:$N$19,,MATCH($D147,'Landbrugsareal - resultat'!$L$5:$N$5,0)))),IF(I$2=2030,SUMPRODUCT(($B147='Landbrugsareal - resultat'!$B$6:$B$19)*(INDEX('Landbrugsareal - resultat'!$O$6:$Q$19,,MATCH($D147,'Landbrugsareal - resultat'!$O$5:$Q$5,0)))),SUMPRODUCT(($B147='Landbrugsareal - resultat'!$B$6:$B$19)*(INDEX('Landbrugsareal - resultat'!$R$6:$T$19,,MATCH($D147,'Landbrugsareal - resultat'!$R$5:$T$5,0))))))),IF($C147="Konventionel",IF(I$2=2019,SUMPRODUCT((C147='Landbrugsareal - resultat'!$B$33:$B$46)*(INDEX('Landbrugsareal - resultat'!$C$33:$E$46,,MATCH($D147,'Landbrugsareal - resultat'!$C$5:$E$5,0)))),IF(I$2=2030,SUMPRODUCT(($B147='Landbrugsareal - resultat'!$B$33:$B$46)*(INDEX('Landbrugsareal - resultat'!$F$33:$H$46,,MATCH($D147,'Landbrugsareal - resultat'!$F$5:$H$5,0)))),SUMPRODUCT(($B147='Landbrugsareal - resultat'!$B$33:$B$46)*(INDEX('Landbrugsareal - resultat'!$I$33:$K$46,,MATCH($D147,'Landbrugsareal - resultat'!$I$5:$K$5,0)))))),IF(I$2=2019,SUMPRODUCT(($B147='Landbrugsareal - resultat'!$B$33:$B$46)*(INDEX('Landbrugsareal - resultat'!$L$33:$N$46,,MATCH($D147,'Landbrugsareal - resultat'!$L$5:$N$5,0)))),IF(I$2=2030,SUMPRODUCT(($B147='Landbrugsareal - resultat'!$B$33:$B$46)*(INDEX('Landbrugsareal - resultat'!$O$33:$Q$46,,MATCH($D147,'Landbrugsareal - resultat'!$O$5:$Q$5,0)))),SUMPRODUCT(($B147='Landbrugsareal - resultat'!$B$33:$B$46)*(INDEX('Landbrugsareal - resultat'!$R$33:$T$46,,MATCH($D147,'Landbrugsareal - resultat'!$R$5:$T$5,0))))))))</f>
        <v>5.01060854399232</v>
      </c>
    </row>
    <row r="148" spans="1:9" x14ac:dyDescent="0.25">
      <c r="A148" t="s">
        <v>24</v>
      </c>
      <c r="B148" s="1" t="str">
        <f>[1]Afgrødefordeling!$C$7</f>
        <v>Kartofler</v>
      </c>
      <c r="C148" t="s">
        <v>8</v>
      </c>
      <c r="D148" t="str">
        <f t="shared" si="13"/>
        <v>OC6</v>
      </c>
      <c r="F148" t="str">
        <f t="shared" si="12"/>
        <v>Areal-kartofler</v>
      </c>
      <c r="G148" s="96" cm="1">
        <f t="array" ref="G148">IF($A148="Vestdanmark",IF($C148="Konventionel",IF(G$2=2019,SUMPRODUCT(($B148='Landbrugsareal - resultat'!$B$6:$B$19)*(INDEX('Landbrugsareal - resultat'!$C$6:$E$19,,MATCH($D148,'Landbrugsareal - resultat'!$C$5:$E$5,0)))),IF(G$2=2030,SUMPRODUCT(($B148='Landbrugsareal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resultat'!$I$5:$K$5,0)))))),IF(G$2=2019,SUMPRODUCT(($B148='Landbrugsareal - resultat'!$B$6:$B$19)*(INDEX('Landbrugsareal - resultat'!$L$6:$N$19,,MATCH($D148,'Landbrugsareal - resultat'!$L$5:$N$5,0)))),IF(G$2=2030,SUMPRODUCT(($B148='Landbrugsareal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resultat'!$R$5:$T$5,0))))))),IF($C148="Konventionel",IF(G$2=2019,SUMPRODUCT((B148='Landbrugsareal - resultat'!$B$33:$B$46)*(INDEX('Landbrugsareal - resultat'!$C$33:$E$46,,MATCH($D148,'Landbrugsareal - resultat'!$C$5:$E$5,0)))),IF(G$2=2030,SUMPRODUCT(($B148='Landbrugsareal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resultat'!$I$5:$K$5,0)))))),IF(G$2=2019,SUMPRODUCT(($B148='Landbrugsareal - resultat'!$B$33:$B$46)*(INDEX('Landbrugsareal - resultat'!$L$33:$N$46,,MATCH($D148,'Landbrugsareal - resultat'!$L$5:$N$5,0)))),IF(G$2=2030,SUMPRODUCT(($B148='Landbrugsareal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5.9519498894339895</v>
      </c>
      <c r="H148" s="96" cm="1">
        <f t="array" ref="H148">IF($A148="Vestdanmark",IF($C148="Konventionel",IF(H$2=2019,SUMPRODUCT(($B148='Landbrugsareal - resultat'!$B$6:$B$19)*(INDEX('Landbrugsareal - resultat'!$C$6:$E$19,,MATCH($D148,'Landbrugsareal - resultat'!$C$5:$E$5,0)))),IF(H$2=2030,SUMPRODUCT(($B148='Landbrugsareal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resultat'!$I$5:$K$5,0)))))),IF(H$2=2019,SUMPRODUCT(($B148='Landbrugsareal - resultat'!$B$6:$B$19)*(INDEX('Landbrugsareal - resultat'!$L$6:$N$19,,MATCH($D148,'Landbrugsareal - resultat'!$L$5:$N$5,0)))),IF(H$2=2030,SUMPRODUCT(($B148='Landbrugsareal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resultat'!$R$5:$T$5,0))))))),IF($C148="Konventionel",IF(H$2=2019,SUMPRODUCT(($B148='Landbrugsareal - resultat'!$B$33:$B$46)*(INDEX('Landbrugsareal - resultat'!$C$33:$E$46,,MATCH($D148,'Landbrugsareal - resultat'!$C$5:$E$5,0)))),IF(H$2=2030,SUMPRODUCT(($B148='Landbrugsareal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resultat'!$I$5:$K$5,0)))))),IF(H$2=2019,SUMPRODUCT(($B148='Landbrugsareal - resultat'!$B$33:$B$46)*(INDEX('Landbrugsareal - resultat'!$L$33:$N$46,,MATCH($D148,'Landbrugsareal - resultat'!$L$5:$N$5,0)))),IF(H$2=2030,SUMPRODUCT(($B148='Landbrugsareal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6.5714089688264332</v>
      </c>
      <c r="I148" s="96" cm="1">
        <f t="array" ref="I148">IF($A148="Vestdanmark",IF($C148="Konventionel",IF(I$2=2019,SUMPRODUCT(($B148='Landbrugsareal - resultat'!$B$6:$B$19)*(INDEX('Landbrugsareal - resultat'!$C$6:$E$19,,MATCH($D148,'Landbrugsareal - resultat'!$C$5:$E$5,0)))),IF(I$2=2030,SUMPRODUCT(($B148='Landbrugsareal - resultat'!$B$6:$B$19)*(INDEX('Landbrugsareal - resultat'!$F$6:$H$19,,MATCH($D148,'Landbrugsareal - resultat'!$F$5:$H$5,0)))),SUMPRODUCT(($B148='Landbrugsareal - resultat'!$B$6:$B$19)*(INDEX('Landbrugsareal - resultat'!$I$6:$K$19,,MATCH($D148,'Landbrugsareal - resultat'!$I$5:$K$5,0)))))),IF(I$2=2019,SUMPRODUCT(($B148='Landbrugsareal - resultat'!$B$6:$B$19)*(INDEX('Landbrugsareal - resultat'!$L$6:$N$19,,MATCH($D148,'Landbrugsareal - resultat'!$L$5:$N$5,0)))),IF(I$2=2030,SUMPRODUCT(($B148='Landbrugsareal - resultat'!$B$6:$B$19)*(INDEX('Landbrugsareal - resultat'!$O$6:$Q$19,,MATCH($D148,'Landbrugsareal - resultat'!$O$5:$Q$5,0)))),SUMPRODUCT(($B148='Landbrugsareal - resultat'!$B$6:$B$19)*(INDEX('Landbrugsareal - resultat'!$R$6:$T$19,,MATCH($D148,'Landbrugsareal - resultat'!$R$5:$T$5,0))))))),IF($C148="Konventionel",IF(I$2=2019,SUMPRODUCT((C148='Landbrugsareal - resultat'!$B$33:$B$46)*(INDEX('Landbrugsareal - resultat'!$C$33:$E$46,,MATCH($D148,'Landbrugsareal - resultat'!$C$5:$E$5,0)))),IF(I$2=2030,SUMPRODUCT(($B148='Landbrugsareal - resultat'!$B$33:$B$46)*(INDEX('Landbrugsareal - resultat'!$F$33:$H$46,,MATCH($D148,'Landbrugsareal - resultat'!$F$5:$H$5,0)))),SUMPRODUCT(($B148='Landbrugsareal - resultat'!$B$33:$B$46)*(INDEX('Landbrugsareal - resultat'!$I$33:$K$46,,MATCH($D148,'Landbrugsareal - resultat'!$I$5:$K$5,0)))))),IF(I$2=2019,SUMPRODUCT(($B148='Landbrugsareal - resultat'!$B$33:$B$46)*(INDEX('Landbrugsareal - resultat'!$L$33:$N$46,,MATCH($D148,'Landbrugsareal - resultat'!$L$5:$N$5,0)))),IF(I$2=2030,SUMPRODUCT(($B148='Landbrugsareal - resultat'!$B$33:$B$46)*(INDEX('Landbrugsareal - resultat'!$O$33:$Q$46,,MATCH($D148,'Landbrugsareal - resultat'!$O$5:$Q$5,0)))),SUMPRODUCT(($B148='Landbrugsareal - resultat'!$B$33:$B$46)*(INDEX('Landbrugsareal - resultat'!$R$33:$T$46,,MATCH($D148,'Landbrugsareal - resultat'!$R$5:$T$5,0))))))))</f>
        <v>8.5184931077379673</v>
      </c>
    </row>
    <row r="149" spans="1:9" x14ac:dyDescent="0.25">
      <c r="A149" t="s">
        <v>24</v>
      </c>
      <c r="B149" s="1" t="str">
        <f>[1]Afgrødefordeling!$C$8</f>
        <v>Roer</v>
      </c>
      <c r="C149" t="s">
        <v>8</v>
      </c>
      <c r="D149" t="str">
        <f t="shared" si="13"/>
        <v>OC6</v>
      </c>
      <c r="F149" t="str">
        <f t="shared" si="12"/>
        <v>Areal-roer</v>
      </c>
      <c r="G149" s="96" cm="1">
        <f t="array" ref="G149">IF($A149="Vestdanmark",IF($C149="Konventionel",IF(G$2=2019,SUMPRODUCT(($B149='Landbrugsareal - resultat'!$B$6:$B$19)*(INDEX('Landbrugsareal - resultat'!$C$6:$E$19,,MATCH($D149,'Landbrugsareal - resultat'!$C$5:$E$5,0)))),IF(G$2=2030,SUMPRODUCT(($B149='Landbrugsareal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resultat'!$I$5:$K$5,0)))))),IF(G$2=2019,SUMPRODUCT(($B149='Landbrugsareal - resultat'!$B$6:$B$19)*(INDEX('Landbrugsareal - resultat'!$L$6:$N$19,,MATCH($D149,'Landbrugsareal - resultat'!$L$5:$N$5,0)))),IF(G$2=2030,SUMPRODUCT(($B149='Landbrugsareal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resultat'!$R$5:$T$5,0))))))),IF($C149="Konventionel",IF(G$2=2019,SUMPRODUCT((B149='Landbrugsareal - resultat'!$B$33:$B$46)*(INDEX('Landbrugsareal - resultat'!$C$33:$E$46,,MATCH($D149,'Landbrugsareal - resultat'!$C$5:$E$5,0)))),IF(G$2=2030,SUMPRODUCT(($B149='Landbrugsareal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resultat'!$I$5:$K$5,0)))))),IF(G$2=2019,SUMPRODUCT(($B149='Landbrugsareal - resultat'!$B$33:$B$46)*(INDEX('Landbrugsareal - resultat'!$L$33:$N$46,,MATCH($D149,'Landbrugsareal - resultat'!$L$5:$N$5,0)))),IF(G$2=2030,SUMPRODUCT(($B149='Landbrugsareal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16.628495763053266</v>
      </c>
      <c r="H149" s="96" cm="1">
        <f t="array" ref="H149">IF($A149="Vestdanmark",IF($C149="Konventionel",IF(H$2=2019,SUMPRODUCT(($B149='Landbrugsareal - resultat'!$B$6:$B$19)*(INDEX('Landbrugsareal - resultat'!$C$6:$E$19,,MATCH($D149,'Landbrugsareal - resultat'!$C$5:$E$5,0)))),IF(H$2=2030,SUMPRODUCT(($B149='Landbrugsareal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resultat'!$I$5:$K$5,0)))))),IF(H$2=2019,SUMPRODUCT(($B149='Landbrugsareal - resultat'!$B$6:$B$19)*(INDEX('Landbrugsareal - resultat'!$L$6:$N$19,,MATCH($D149,'Landbrugsareal - resultat'!$L$5:$N$5,0)))),IF(H$2=2030,SUMPRODUCT(($B149='Landbrugsareal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resultat'!$R$5:$T$5,0))))))),IF($C149="Konventionel",IF(H$2=2019,SUMPRODUCT(($B149='Landbrugsareal - resultat'!$B$33:$B$46)*(INDEX('Landbrugsareal - resultat'!$C$33:$E$46,,MATCH($D149,'Landbrugsareal - resultat'!$C$5:$E$5,0)))),IF(H$2=2030,SUMPRODUCT(($B149='Landbrugsareal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resultat'!$I$5:$K$5,0)))))),IF(H$2=2019,SUMPRODUCT(($B149='Landbrugsareal - resultat'!$B$33:$B$46)*(INDEX('Landbrugsareal - resultat'!$L$33:$N$46,,MATCH($D149,'Landbrugsareal - resultat'!$L$5:$N$5,0)))),IF(H$2=2030,SUMPRODUCT(($B149='Landbrugsareal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18.35913410316229</v>
      </c>
      <c r="I149" s="96" cm="1">
        <f t="array" ref="I149">IF($A149="Vestdanmark",IF($C149="Konventionel",IF(I$2=2019,SUMPRODUCT(($B149='Landbrugsareal - resultat'!$B$6:$B$19)*(INDEX('Landbrugsareal - resultat'!$C$6:$E$19,,MATCH($D149,'Landbrugsareal - resultat'!$C$5:$E$5,0)))),IF(I$2=2030,SUMPRODUCT(($B149='Landbrugsareal - resultat'!$B$6:$B$19)*(INDEX('Landbrugsareal - resultat'!$F$6:$H$19,,MATCH($D149,'Landbrugsareal - resultat'!$F$5:$H$5,0)))),SUMPRODUCT(($B149='Landbrugsareal - resultat'!$B$6:$B$19)*(INDEX('Landbrugsareal - resultat'!$I$6:$K$19,,MATCH($D149,'Landbrugsareal - resultat'!$I$5:$K$5,0)))))),IF(I$2=2019,SUMPRODUCT(($B149='Landbrugsareal - resultat'!$B$6:$B$19)*(INDEX('Landbrugsareal - resultat'!$L$6:$N$19,,MATCH($D149,'Landbrugsareal - resultat'!$L$5:$N$5,0)))),IF(I$2=2030,SUMPRODUCT(($B149='Landbrugsareal - resultat'!$B$6:$B$19)*(INDEX('Landbrugsareal - resultat'!$O$6:$Q$19,,MATCH($D149,'Landbrugsareal - resultat'!$O$5:$Q$5,0)))),SUMPRODUCT(($B149='Landbrugsareal - resultat'!$B$6:$B$19)*(INDEX('Landbrugsareal - resultat'!$R$6:$T$19,,MATCH($D149,'Landbrugsareal - resultat'!$R$5:$T$5,0))))))),IF($C149="Konventionel",IF(I$2=2019,SUMPRODUCT((C149='Landbrugsareal - resultat'!$B$33:$B$46)*(INDEX('Landbrugsareal - resultat'!$C$33:$E$46,,MATCH($D149,'Landbrugsareal - resultat'!$C$5:$E$5,0)))),IF(I$2=2030,SUMPRODUCT(($B149='Landbrugsareal - resultat'!$B$33:$B$46)*(INDEX('Landbrugsareal - resultat'!$F$33:$H$46,,MATCH($D149,'Landbrugsareal - resultat'!$F$5:$H$5,0)))),SUMPRODUCT(($B149='Landbrugsareal - resultat'!$B$33:$B$46)*(INDEX('Landbrugsareal - resultat'!$I$33:$K$46,,MATCH($D149,'Landbrugsareal - resultat'!$I$5:$K$5,0)))))),IF(I$2=2019,SUMPRODUCT(($B149='Landbrugsareal - resultat'!$B$33:$B$46)*(INDEX('Landbrugsareal - resultat'!$L$33:$N$46,,MATCH($D149,'Landbrugsareal - resultat'!$L$5:$N$5,0)))),IF(I$2=2030,SUMPRODUCT(($B149='Landbrugsareal - resultat'!$B$33:$B$46)*(INDEX('Landbrugsareal - resultat'!$O$33:$Q$46,,MATCH($D149,'Landbrugsareal - resultat'!$O$5:$Q$5,0)))),SUMPRODUCT(($B149='Landbrugsareal - resultat'!$B$33:$B$46)*(INDEX('Landbrugsareal - resultat'!$R$33:$T$46,,MATCH($D149,'Landbrugsareal - resultat'!$R$5:$T$5,0))))))))</f>
        <v>23.798877541136303</v>
      </c>
    </row>
    <row r="150" spans="1:9" x14ac:dyDescent="0.25">
      <c r="A150" t="s">
        <v>24</v>
      </c>
      <c r="B150" s="1" t="str">
        <f>[1]Afgrødefordeling!$C$9</f>
        <v>Majs</v>
      </c>
      <c r="C150" t="s">
        <v>8</v>
      </c>
      <c r="D150" t="str">
        <f t="shared" si="13"/>
        <v>OC6</v>
      </c>
      <c r="F150" t="str">
        <f t="shared" si="12"/>
        <v>Areal-majs</v>
      </c>
      <c r="G150" s="96" cm="1">
        <f t="array" ref="G150">IF($A150="Vestdanmark",IF($C150="Konventionel",IF(G$2=2019,SUMPRODUCT(($B150='Landbrugsareal - resultat'!$B$6:$B$19)*(INDEX('Landbrugsareal - resultat'!$C$6:$E$19,,MATCH($D150,'Landbrugsareal - resultat'!$C$5:$E$5,0)))),IF(G$2=2030,SUMPRODUCT(($B150='Landbrugsareal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resultat'!$I$5:$K$5,0)))))),IF(G$2=2019,SUMPRODUCT(($B150='Landbrugsareal - resultat'!$B$6:$B$19)*(INDEX('Landbrugsareal - resultat'!$L$6:$N$19,,MATCH($D150,'Landbrugsareal - resultat'!$L$5:$N$5,0)))),IF(G$2=2030,SUMPRODUCT(($B150='Landbrugsareal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resultat'!$R$5:$T$5,0))))))),IF($C150="Konventionel",IF(G$2=2019,SUMPRODUCT((B150='Landbrugsareal - resultat'!$B$33:$B$46)*(INDEX('Landbrugsareal - resultat'!$C$33:$E$46,,MATCH($D150,'Landbrugsareal - resultat'!$C$5:$E$5,0)))),IF(G$2=2030,SUMPRODUCT(($B150='Landbrugsareal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resultat'!$I$5:$K$5,0)))))),IF(G$2=2019,SUMPRODUCT(($B150='Landbrugsareal - resultat'!$B$33:$B$46)*(INDEX('Landbrugsareal - resultat'!$L$33:$N$46,,MATCH($D150,'Landbrugsareal - resultat'!$L$5:$N$5,0)))),IF(G$2=2030,SUMPRODUCT(($B150='Landbrugsareal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17.728542543744936</v>
      </c>
      <c r="H150" s="96" cm="1">
        <f t="array" ref="H150">IF($A150="Vestdanmark",IF($C150="Konventionel",IF(H$2=2019,SUMPRODUCT(($B150='Landbrugsareal - resultat'!$B$6:$B$19)*(INDEX('Landbrugsareal - resultat'!$C$6:$E$19,,MATCH($D150,'Landbrugsareal - resultat'!$C$5:$E$5,0)))),IF(H$2=2030,SUMPRODUCT(($B150='Landbrugsareal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resultat'!$I$5:$K$5,0)))))),IF(H$2=2019,SUMPRODUCT(($B150='Landbrugsareal - resultat'!$B$6:$B$19)*(INDEX('Landbrugsareal - resultat'!$L$6:$N$19,,MATCH($D150,'Landbrugsareal - resultat'!$L$5:$N$5,0)))),IF(H$2=2030,SUMPRODUCT(($B150='Landbrugsareal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resultat'!$R$5:$T$5,0))))))),IF($C150="Konventionel",IF(H$2=2019,SUMPRODUCT(($B150='Landbrugsareal - resultat'!$B$33:$B$46)*(INDEX('Landbrugsareal - resultat'!$C$33:$E$46,,MATCH($D150,'Landbrugsareal - resultat'!$C$5:$E$5,0)))),IF(H$2=2030,SUMPRODUCT(($B150='Landbrugsareal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resultat'!$I$5:$K$5,0)))))),IF(H$2=2019,SUMPRODUCT(($B150='Landbrugsareal - resultat'!$B$33:$B$46)*(INDEX('Landbrugsareal - resultat'!$L$33:$N$46,,MATCH($D150,'Landbrugsareal - resultat'!$L$5:$N$5,0)))),IF(H$2=2030,SUMPRODUCT(($B150='Landbrugsareal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19.573670081295891</v>
      </c>
      <c r="I150" s="96" cm="1">
        <f t="array" ref="I150">IF($A150="Vestdanmark",IF($C150="Konventionel",IF(I$2=2019,SUMPRODUCT(($B150='Landbrugsareal - resultat'!$B$6:$B$19)*(INDEX('Landbrugsareal - resultat'!$C$6:$E$19,,MATCH($D150,'Landbrugsareal - resultat'!$C$5:$E$5,0)))),IF(I$2=2030,SUMPRODUCT(($B150='Landbrugsareal - resultat'!$B$6:$B$19)*(INDEX('Landbrugsareal - resultat'!$F$6:$H$19,,MATCH($D150,'Landbrugsareal - resultat'!$F$5:$H$5,0)))),SUMPRODUCT(($B150='Landbrugsareal - resultat'!$B$6:$B$19)*(INDEX('Landbrugsareal - resultat'!$I$6:$K$19,,MATCH($D150,'Landbrugsareal - resultat'!$I$5:$K$5,0)))))),IF(I$2=2019,SUMPRODUCT(($B150='Landbrugsareal - resultat'!$B$6:$B$19)*(INDEX('Landbrugsareal - resultat'!$L$6:$N$19,,MATCH($D150,'Landbrugsareal - resultat'!$L$5:$N$5,0)))),IF(I$2=2030,SUMPRODUCT(($B150='Landbrugsareal - resultat'!$B$6:$B$19)*(INDEX('Landbrugsareal - resultat'!$O$6:$Q$19,,MATCH($D150,'Landbrugsareal - resultat'!$O$5:$Q$5,0)))),SUMPRODUCT(($B150='Landbrugsareal - resultat'!$B$6:$B$19)*(INDEX('Landbrugsareal - resultat'!$R$6:$T$19,,MATCH($D150,'Landbrugsareal - resultat'!$R$5:$T$5,0))))))),IF($C150="Konventionel",IF(I$2=2019,SUMPRODUCT((C150='Landbrugsareal - resultat'!$B$33:$B$46)*(INDEX('Landbrugsareal - resultat'!$C$33:$E$46,,MATCH($D150,'Landbrugsareal - resultat'!$C$5:$E$5,0)))),IF(I$2=2030,SUMPRODUCT(($B150='Landbrugsareal - resultat'!$B$33:$B$46)*(INDEX('Landbrugsareal - resultat'!$F$33:$H$46,,MATCH($D150,'Landbrugsareal - resultat'!$F$5:$H$5,0)))),SUMPRODUCT(($B150='Landbrugsareal - resultat'!$B$33:$B$46)*(INDEX('Landbrugsareal - resultat'!$I$33:$K$46,,MATCH($D150,'Landbrugsareal - resultat'!$I$5:$K$5,0)))))),IF(I$2=2019,SUMPRODUCT(($B150='Landbrugsareal - resultat'!$B$33:$B$46)*(INDEX('Landbrugsareal - resultat'!$L$33:$N$46,,MATCH($D150,'Landbrugsareal - resultat'!$L$5:$N$5,0)))),IF(I$2=2030,SUMPRODUCT(($B150='Landbrugsareal - resultat'!$B$33:$B$46)*(INDEX('Landbrugsareal - resultat'!$O$33:$Q$46,,MATCH($D150,'Landbrugsareal - resultat'!$O$5:$Q$5,0)))),SUMPRODUCT(($B150='Landbrugsareal - resultat'!$B$33:$B$46)*(INDEX('Landbrugsareal - resultat'!$R$33:$T$46,,MATCH($D150,'Landbrugsareal - resultat'!$R$5:$T$5,0))))))))</f>
        <v>25.373276031309484</v>
      </c>
    </row>
    <row r="151" spans="1:9" x14ac:dyDescent="0.25">
      <c r="A151" t="s">
        <v>24</v>
      </c>
      <c r="B151" s="1" t="str">
        <f>[1]Afgrødefordeling!$C$10</f>
        <v>Frugt</v>
      </c>
      <c r="C151" t="s">
        <v>8</v>
      </c>
      <c r="D151" t="str">
        <f t="shared" si="13"/>
        <v>OC6</v>
      </c>
      <c r="F151" t="str">
        <f t="shared" si="12"/>
        <v>Areal-frugt</v>
      </c>
      <c r="G151" s="96" cm="1">
        <f t="array" ref="G151">IF($A151="Vestdanmark",IF($C151="Konventionel",IF(G$2=2019,SUMPRODUCT(($B151='Landbrugsareal - resultat'!$B$6:$B$19)*(INDEX('Landbrugsareal - resultat'!$C$6:$E$19,,MATCH($D151,'Landbrugsareal - resultat'!$C$5:$E$5,0)))),IF(G$2=2030,SUMPRODUCT(($B151='Landbrugsareal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resultat'!$I$5:$K$5,0)))))),IF(G$2=2019,SUMPRODUCT(($B151='Landbrugsareal - resultat'!$B$6:$B$19)*(INDEX('Landbrugsareal - resultat'!$L$6:$N$19,,MATCH($D151,'Landbrugsareal - resultat'!$L$5:$N$5,0)))),IF(G$2=2030,SUMPRODUCT(($B151='Landbrugsareal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resultat'!$R$5:$T$5,0))))))),IF($C151="Konventionel",IF(G$2=2019,SUMPRODUCT((B151='Landbrugsareal - resultat'!$B$33:$B$46)*(INDEX('Landbrugsareal - resultat'!$C$33:$E$46,,MATCH($D151,'Landbrugsareal - resultat'!$C$5:$E$5,0)))),IF(G$2=2030,SUMPRODUCT(($B151='Landbrugsareal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resultat'!$I$5:$K$5,0)))))),IF(G$2=2019,SUMPRODUCT(($B151='Landbrugsareal - resultat'!$B$33:$B$46)*(INDEX('Landbrugsareal - resultat'!$L$33:$N$46,,MATCH($D151,'Landbrugsareal - resultat'!$L$5:$N$5,0)))),IF(G$2=2030,SUMPRODUCT(($B151='Landbrugsareal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3.8244110641201035</v>
      </c>
      <c r="H151" s="96" cm="1">
        <f t="array" ref="H151">IF($A151="Vestdanmark",IF($C151="Konventionel",IF(H$2=2019,SUMPRODUCT(($B151='Landbrugsareal - resultat'!$B$6:$B$19)*(INDEX('Landbrugsareal - resultat'!$C$6:$E$19,,MATCH($D151,'Landbrugsareal - resultat'!$C$5:$E$5,0)))),IF(H$2=2030,SUMPRODUCT(($B151='Landbrugsareal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resultat'!$I$5:$K$5,0)))))),IF(H$2=2019,SUMPRODUCT(($B151='Landbrugsareal - resultat'!$B$6:$B$19)*(INDEX('Landbrugsareal - resultat'!$L$6:$N$19,,MATCH($D151,'Landbrugsareal - resultat'!$L$5:$N$5,0)))),IF(H$2=2030,SUMPRODUCT(($B151='Landbrugsareal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resultat'!$R$5:$T$5,0))))))),IF($C151="Konventionel",IF(H$2=2019,SUMPRODUCT(($B151='Landbrugsareal - resultat'!$B$33:$B$46)*(INDEX('Landbrugsareal - resultat'!$C$33:$E$46,,MATCH($D151,'Landbrugsareal - resultat'!$C$5:$E$5,0)))),IF(H$2=2030,SUMPRODUCT(($B151='Landbrugsareal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resultat'!$I$5:$K$5,0)))))),IF(H$2=2019,SUMPRODUCT(($B151='Landbrugsareal - resultat'!$B$33:$B$46)*(INDEX('Landbrugsareal - resultat'!$L$33:$N$46,,MATCH($D151,'Landbrugsareal - resultat'!$L$5:$N$5,0)))),IF(H$2=2030,SUMPRODUCT(($B151='Landbrugsareal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4.2224430034016702</v>
      </c>
      <c r="I151" s="96" cm="1">
        <f t="array" ref="I151">IF($A151="Vestdanmark",IF($C151="Konventionel",IF(I$2=2019,SUMPRODUCT(($B151='Landbrugsareal - resultat'!$B$6:$B$19)*(INDEX('Landbrugsareal - resultat'!$C$6:$E$19,,MATCH($D151,'Landbrugsareal - resultat'!$C$5:$E$5,0)))),IF(I$2=2030,SUMPRODUCT(($B151='Landbrugsareal - resultat'!$B$6:$B$19)*(INDEX('Landbrugsareal - resultat'!$F$6:$H$19,,MATCH($D151,'Landbrugsareal - resultat'!$F$5:$H$5,0)))),SUMPRODUCT(($B151='Landbrugsareal - resultat'!$B$6:$B$19)*(INDEX('Landbrugsareal - resultat'!$I$6:$K$19,,MATCH($D151,'Landbrugsareal - resultat'!$I$5:$K$5,0)))))),IF(I$2=2019,SUMPRODUCT(($B151='Landbrugsareal - resultat'!$B$6:$B$19)*(INDEX('Landbrugsareal - resultat'!$L$6:$N$19,,MATCH($D151,'Landbrugsareal - resultat'!$L$5:$N$5,0)))),IF(I$2=2030,SUMPRODUCT(($B151='Landbrugsareal - resultat'!$B$6:$B$19)*(INDEX('Landbrugsareal - resultat'!$O$6:$Q$19,,MATCH($D151,'Landbrugsareal - resultat'!$O$5:$Q$5,0)))),SUMPRODUCT(($B151='Landbrugsareal - resultat'!$B$6:$B$19)*(INDEX('Landbrugsareal - resultat'!$R$6:$T$19,,MATCH($D151,'Landbrugsareal - resultat'!$R$5:$T$5,0))))))),IF($C151="Konventionel",IF(I$2=2019,SUMPRODUCT((C151='Landbrugsareal - resultat'!$B$33:$B$46)*(INDEX('Landbrugsareal - resultat'!$C$33:$E$46,,MATCH($D151,'Landbrugsareal - resultat'!$C$5:$E$5,0)))),IF(I$2=2030,SUMPRODUCT(($B151='Landbrugsareal - resultat'!$B$33:$B$46)*(INDEX('Landbrugsareal - resultat'!$F$33:$H$46,,MATCH($D151,'Landbrugsareal - resultat'!$F$5:$H$5,0)))),SUMPRODUCT(($B151='Landbrugsareal - resultat'!$B$33:$B$46)*(INDEX('Landbrugsareal - resultat'!$I$33:$K$46,,MATCH($D151,'Landbrugsareal - resultat'!$I$5:$K$5,0)))))),IF(I$2=2019,SUMPRODUCT(($B151='Landbrugsareal - resultat'!$B$33:$B$46)*(INDEX('Landbrugsareal - resultat'!$L$33:$N$46,,MATCH($D151,'Landbrugsareal - resultat'!$L$5:$N$5,0)))),IF(I$2=2030,SUMPRODUCT(($B151='Landbrugsareal - resultat'!$B$33:$B$46)*(INDEX('Landbrugsareal - resultat'!$O$33:$Q$46,,MATCH($D151,'Landbrugsareal - resultat'!$O$5:$Q$5,0)))),SUMPRODUCT(($B151='Landbrugsareal - resultat'!$B$33:$B$46)*(INDEX('Landbrugsareal - resultat'!$R$33:$T$46,,MATCH($D151,'Landbrugsareal - resultat'!$R$5:$T$5,0))))))))</f>
        <v>5.4735372266317945</v>
      </c>
    </row>
    <row r="152" spans="1:9" x14ac:dyDescent="0.25">
      <c r="A152" t="s">
        <v>24</v>
      </c>
      <c r="B152" s="1" t="str">
        <f>[1]Afgrødefordeling!$C$11</f>
        <v>Øvrige</v>
      </c>
      <c r="C152" t="s">
        <v>8</v>
      </c>
      <c r="D152" t="str">
        <f t="shared" si="13"/>
        <v>OC6</v>
      </c>
      <c r="F152" t="str">
        <f t="shared" si="12"/>
        <v>Areal-øvrige</v>
      </c>
      <c r="G152" s="96" cm="1">
        <f t="array" ref="G152">IF($A152="Vestdanmark",IF($C152="Konventionel",IF(G$2=2019,SUMPRODUCT(($B152='Landbrugsareal - resultat'!$B$6:$B$19)*(INDEX('Landbrugsareal - resultat'!$C$6:$E$19,,MATCH($D152,'Landbrugsareal - resultat'!$C$5:$E$5,0)))),IF(G$2=2030,SUMPRODUCT(($B152='Landbrugsareal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resultat'!$I$5:$K$5,0)))))),IF(G$2=2019,SUMPRODUCT(($B152='Landbrugsareal - resultat'!$B$6:$B$19)*(INDEX('Landbrugsareal - resultat'!$L$6:$N$19,,MATCH($D152,'Landbrugsareal - resultat'!$L$5:$N$5,0)))),IF(G$2=2030,SUMPRODUCT(($B152='Landbrugsareal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resultat'!$R$5:$T$5,0))))))),IF($C152="Konventionel",IF(G$2=2019,SUMPRODUCT((B152='Landbrugsareal - resultat'!$B$33:$B$46)*(INDEX('Landbrugsareal - resultat'!$C$33:$E$46,,MATCH($D152,'Landbrugsareal - resultat'!$C$5:$E$5,0)))),IF(G$2=2030,SUMPRODUCT(($B152='Landbrugsareal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resultat'!$I$5:$K$5,0)))))),IF(G$2=2019,SUMPRODUCT(($B152='Landbrugsareal - resultat'!$B$33:$B$46)*(INDEX('Landbrugsareal - resultat'!$L$33:$N$46,,MATCH($D152,'Landbrugsareal - resultat'!$L$5:$N$5,0)))),IF(G$2=2030,SUMPRODUCT(($B152='Landbrugsareal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27.308149881928532</v>
      </c>
      <c r="H152" s="96" cm="1">
        <f t="array" ref="H152">IF($A152="Vestdanmark",IF($C152="Konventionel",IF(H$2=2019,SUMPRODUCT(($B152='Landbrugsareal - resultat'!$B$6:$B$19)*(INDEX('Landbrugsareal - resultat'!$C$6:$E$19,,MATCH($D152,'Landbrugsareal - resultat'!$C$5:$E$5,0)))),IF(H$2=2030,SUMPRODUCT(($B152='Landbrugsareal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resultat'!$I$5:$K$5,0)))))),IF(H$2=2019,SUMPRODUCT(($B152='Landbrugsareal - resultat'!$B$6:$B$19)*(INDEX('Landbrugsareal - resultat'!$L$6:$N$19,,MATCH($D152,'Landbrugsareal - resultat'!$L$5:$N$5,0)))),IF(H$2=2030,SUMPRODUCT(($B152='Landbrugsareal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resultat'!$R$5:$T$5,0))))))),IF($C152="Konventionel",IF(H$2=2019,SUMPRODUCT(($B152='Landbrugsareal - resultat'!$B$33:$B$46)*(INDEX('Landbrugsareal - resultat'!$C$33:$E$46,,MATCH($D152,'Landbrugsareal - resultat'!$C$5:$E$5,0)))),IF(H$2=2030,SUMPRODUCT(($B152='Landbrugsareal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resultat'!$I$5:$K$5,0)))))),IF(H$2=2019,SUMPRODUCT(($B152='Landbrugsareal - resultat'!$B$33:$B$46)*(INDEX('Landbrugsareal - resultat'!$L$33:$N$46,,MATCH($D152,'Landbrugsareal - resultat'!$L$5:$N$5,0)))),IF(H$2=2030,SUMPRODUCT(($B152='Landbrugsareal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30.150290978546373</v>
      </c>
      <c r="I152" s="96" cm="1">
        <f t="array" ref="I152">IF($A152="Vestdanmark",IF($C152="Konventionel",IF(I$2=2019,SUMPRODUCT(($B152='Landbrugsareal - resultat'!$B$6:$B$19)*(INDEX('Landbrugsareal - resultat'!$C$6:$E$19,,MATCH($D152,'Landbrugsareal - resultat'!$C$5:$E$5,0)))),IF(I$2=2030,SUMPRODUCT(($B152='Landbrugsareal - resultat'!$B$6:$B$19)*(INDEX('Landbrugsareal - resultat'!$F$6:$H$19,,MATCH($D152,'Landbrugsareal - resultat'!$F$5:$H$5,0)))),SUMPRODUCT(($B152='Landbrugsareal - resultat'!$B$6:$B$19)*(INDEX('Landbrugsareal - resultat'!$I$6:$K$19,,MATCH($D152,'Landbrugsareal - resultat'!$I$5:$K$5,0)))))),IF(I$2=2019,SUMPRODUCT(($B152='Landbrugsareal - resultat'!$B$6:$B$19)*(INDEX('Landbrugsareal - resultat'!$L$6:$N$19,,MATCH($D152,'Landbrugsareal - resultat'!$L$5:$N$5,0)))),IF(I$2=2030,SUMPRODUCT(($B152='Landbrugsareal - resultat'!$B$6:$B$19)*(INDEX('Landbrugsareal - resultat'!$O$6:$Q$19,,MATCH($D152,'Landbrugsareal - resultat'!$O$5:$Q$5,0)))),SUMPRODUCT(($B152='Landbrugsareal - resultat'!$B$6:$B$19)*(INDEX('Landbrugsareal - resultat'!$R$6:$T$19,,MATCH($D152,'Landbrugsareal - resultat'!$R$5:$T$5,0))))))),IF($C152="Konventionel",IF(I$2=2019,SUMPRODUCT((C152='Landbrugsareal - resultat'!$B$33:$B$46)*(INDEX('Landbrugsareal - resultat'!$C$33:$E$46,,MATCH($D152,'Landbrugsareal - resultat'!$C$5:$E$5,0)))),IF(I$2=2030,SUMPRODUCT(($B152='Landbrugsareal - resultat'!$B$33:$B$46)*(INDEX('Landbrugsareal - resultat'!$F$33:$H$46,,MATCH($D152,'Landbrugsareal - resultat'!$F$5:$H$5,0)))),SUMPRODUCT(($B152='Landbrugsareal - resultat'!$B$33:$B$46)*(INDEX('Landbrugsareal - resultat'!$I$33:$K$46,,MATCH($D152,'Landbrugsareal - resultat'!$I$5:$K$5,0)))))),IF(I$2=2019,SUMPRODUCT(($B152='Landbrugsareal - resultat'!$B$33:$B$46)*(INDEX('Landbrugsareal - resultat'!$L$33:$N$46,,MATCH($D152,'Landbrugsareal - resultat'!$L$5:$N$5,0)))),IF(I$2=2030,SUMPRODUCT(($B152='Landbrugsareal - resultat'!$B$33:$B$46)*(INDEX('Landbrugsareal - resultat'!$O$33:$Q$46,,MATCH($D152,'Landbrugsareal - resultat'!$O$5:$Q$5,0)))),SUMPRODUCT(($B152='Landbrugsareal - resultat'!$B$33:$B$46)*(INDEX('Landbrugsareal - resultat'!$R$33:$T$46,,MATCH($D152,'Landbrugsareal - resultat'!$R$5:$T$5,0))))))))</f>
        <v>39.083710527745296</v>
      </c>
    </row>
    <row r="153" spans="1:9" x14ac:dyDescent="0.25">
      <c r="A153" t="s">
        <v>24</v>
      </c>
      <c r="B153" s="1" t="str">
        <f>[1]Afgrødefordeling!$C$12</f>
        <v>Frø</v>
      </c>
      <c r="C153" t="s">
        <v>8</v>
      </c>
      <c r="D153" t="str">
        <f t="shared" si="13"/>
        <v>OC6</v>
      </c>
      <c r="F153" t="str">
        <f t="shared" si="12"/>
        <v>Areal-frøgræs</v>
      </c>
      <c r="G153" s="96" cm="1">
        <f t="array" ref="G153">IF($A153="Vestdanmark",IF($C153="Konventionel",IF(G$2=2019,SUMPRODUCT(($B153='Landbrugsareal - resultat'!$B$6:$B$19)*(INDEX('Landbrugsareal - resultat'!$C$6:$E$19,,MATCH($D153,'Landbrugsareal - resultat'!$C$5:$E$5,0)))),IF(G$2=2030,SUMPRODUCT(($B153='Landbrugsareal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resultat'!$I$5:$K$5,0)))))),IF(G$2=2019,SUMPRODUCT(($B153='Landbrugsareal - resultat'!$B$6:$B$19)*(INDEX('Landbrugsareal - resultat'!$L$6:$N$19,,MATCH($D153,'Landbrugsareal - resultat'!$L$5:$N$5,0)))),IF(G$2=2030,SUMPRODUCT(($B153='Landbrugsareal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resultat'!$R$5:$T$5,0))))))),IF($C153="Konventionel",IF(G$2=2019,SUMPRODUCT((B153='Landbrugsareal - resultat'!$B$33:$B$46)*(INDEX('Landbrugsareal - resultat'!$C$33:$E$46,,MATCH($D153,'Landbrugsareal - resultat'!$C$5:$E$5,0)))),IF(G$2=2030,SUMPRODUCT(($B153='Landbrugsareal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resultat'!$I$5:$K$5,0)))))),IF(G$2=2019,SUMPRODUCT(($B153='Landbrugsareal - resultat'!$B$33:$B$46)*(INDEX('Landbrugsareal - resultat'!$L$33:$N$46,,MATCH($D153,'Landbrugsareal - resultat'!$L$5:$N$5,0)))),IF(G$2=2030,SUMPRODUCT(($B153='Landbrugsareal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198.25587314255372</v>
      </c>
      <c r="H153" s="96" cm="1">
        <f t="array" ref="H153">IF($A153="Vestdanmark",IF($C153="Konventionel",IF(H$2=2019,SUMPRODUCT(($B153='Landbrugsareal - resultat'!$B$6:$B$19)*(INDEX('Landbrugsareal - resultat'!$C$6:$E$19,,MATCH($D153,'Landbrugsareal - resultat'!$C$5:$E$5,0)))),IF(H$2=2030,SUMPRODUCT(($B153='Landbrugsareal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resultat'!$I$5:$K$5,0)))))),IF(H$2=2019,SUMPRODUCT(($B153='Landbrugsareal - resultat'!$B$6:$B$19)*(INDEX('Landbrugsareal - resultat'!$L$6:$N$19,,MATCH($D153,'Landbrugsareal - resultat'!$L$5:$N$5,0)))),IF(H$2=2030,SUMPRODUCT(($B153='Landbrugsareal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resultat'!$R$5:$T$5,0))))))),IF($C153="Konventionel",IF(H$2=2019,SUMPRODUCT(($B153='Landbrugsareal - resultat'!$B$33:$B$46)*(INDEX('Landbrugsareal - resultat'!$C$33:$E$46,,MATCH($D153,'Landbrugsareal - resultat'!$C$5:$E$5,0)))),IF(H$2=2030,SUMPRODUCT(($B153='Landbrugsareal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resultat'!$I$5:$K$5,0)))))),IF(H$2=2019,SUMPRODUCT(($B153='Landbrugsareal - resultat'!$B$33:$B$46)*(INDEX('Landbrugsareal - resultat'!$L$33:$N$46,,MATCH($D153,'Landbrugsareal - resultat'!$L$5:$N$5,0)))),IF(H$2=2030,SUMPRODUCT(($B153='Landbrugsareal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218.88968272469563</v>
      </c>
      <c r="I153" s="96" cm="1">
        <f t="array" ref="I153">IF($A153="Vestdanmark",IF($C153="Konventionel",IF(I$2=2019,SUMPRODUCT(($B153='Landbrugsareal - resultat'!$B$6:$B$19)*(INDEX('Landbrugsareal - resultat'!$C$6:$E$19,,MATCH($D153,'Landbrugsareal - resultat'!$C$5:$E$5,0)))),IF(I$2=2030,SUMPRODUCT(($B153='Landbrugsareal - resultat'!$B$6:$B$19)*(INDEX('Landbrugsareal - resultat'!$F$6:$H$19,,MATCH($D153,'Landbrugsareal - resultat'!$F$5:$H$5,0)))),SUMPRODUCT(($B153='Landbrugsareal - resultat'!$B$6:$B$19)*(INDEX('Landbrugsareal - resultat'!$I$6:$K$19,,MATCH($D153,'Landbrugsareal - resultat'!$I$5:$K$5,0)))))),IF(I$2=2019,SUMPRODUCT(($B153='Landbrugsareal - resultat'!$B$6:$B$19)*(INDEX('Landbrugsareal - resultat'!$L$6:$N$19,,MATCH($D153,'Landbrugsareal - resultat'!$L$5:$N$5,0)))),IF(I$2=2030,SUMPRODUCT(($B153='Landbrugsareal - resultat'!$B$6:$B$19)*(INDEX('Landbrugsareal - resultat'!$O$6:$Q$19,,MATCH($D153,'Landbrugsareal - resultat'!$O$5:$Q$5,0)))),SUMPRODUCT(($B153='Landbrugsareal - resultat'!$B$6:$B$19)*(INDEX('Landbrugsareal - resultat'!$R$6:$T$19,,MATCH($D153,'Landbrugsareal - resultat'!$R$5:$T$5,0))))))),IF($C153="Konventionel",IF(I$2=2019,SUMPRODUCT((C153='Landbrugsareal - resultat'!$B$33:$B$46)*(INDEX('Landbrugsareal - resultat'!$C$33:$E$46,,MATCH($D153,'Landbrugsareal - resultat'!$C$5:$E$5,0)))),IF(I$2=2030,SUMPRODUCT(($B153='Landbrugsareal - resultat'!$B$33:$B$46)*(INDEX('Landbrugsareal - resultat'!$F$33:$H$46,,MATCH($D153,'Landbrugsareal - resultat'!$F$5:$H$5,0)))),SUMPRODUCT(($B153='Landbrugsareal - resultat'!$B$33:$B$46)*(INDEX('Landbrugsareal - resultat'!$I$33:$K$46,,MATCH($D153,'Landbrugsareal - resultat'!$I$5:$K$5,0)))))),IF(I$2=2019,SUMPRODUCT(($B153='Landbrugsareal - resultat'!$B$33:$B$46)*(INDEX('Landbrugsareal - resultat'!$L$33:$N$46,,MATCH($D153,'Landbrugsareal - resultat'!$L$5:$N$5,0)))),IF(I$2=2030,SUMPRODUCT(($B153='Landbrugsareal - resultat'!$B$33:$B$46)*(INDEX('Landbrugsareal - resultat'!$O$33:$Q$46,,MATCH($D153,'Landbrugsareal - resultat'!$O$5:$Q$5,0)))),SUMPRODUCT(($B153='Landbrugsareal - resultat'!$B$33:$B$46)*(INDEX('Landbrugsareal - resultat'!$R$33:$T$46,,MATCH($D153,'Landbrugsareal - resultat'!$R$5:$T$5,0))))))))</f>
        <v>283.74588501349433</v>
      </c>
    </row>
    <row r="154" spans="1:9" x14ac:dyDescent="0.25">
      <c r="A154" t="s">
        <v>24</v>
      </c>
      <c r="B154" s="1" t="str">
        <f>[1]Afgrødefordeling!$C$13</f>
        <v>Juletræer</v>
      </c>
      <c r="C154" t="s">
        <v>8</v>
      </c>
      <c r="D154" t="str">
        <f t="shared" si="13"/>
        <v>OC6</v>
      </c>
      <c r="F154" t="str">
        <f t="shared" si="12"/>
        <v>Areal-juletræer</v>
      </c>
      <c r="G154" s="96" cm="1">
        <f t="array" ref="G154">IF($A154="Vestdanmark",IF($C154="Konventionel",IF(G$2=2019,SUMPRODUCT(($B154='Landbrugsareal - resultat'!$B$6:$B$19)*(INDEX('Landbrugsareal - resultat'!$C$6:$E$19,,MATCH($D154,'Landbrugsareal - resultat'!$C$5:$E$5,0)))),IF(G$2=2030,SUMPRODUCT(($B154='Landbrugsareal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resultat'!$I$5:$K$5,0)))))),IF(G$2=2019,SUMPRODUCT(($B154='Landbrugsareal - resultat'!$B$6:$B$19)*(INDEX('Landbrugsareal - resultat'!$L$6:$N$19,,MATCH($D154,'Landbrugsareal - resultat'!$L$5:$N$5,0)))),IF(G$2=2030,SUMPRODUCT(($B154='Landbrugsareal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resultat'!$R$5:$T$5,0))))))),IF($C154="Konventionel",IF(G$2=2019,SUMPRODUCT((B154='Landbrugsareal - resultat'!$B$33:$B$46)*(INDEX('Landbrugsareal - resultat'!$C$33:$E$46,,MATCH($D154,'Landbrugsareal - resultat'!$C$5:$E$5,0)))),IF(G$2=2030,SUMPRODUCT(($B154='Landbrugsareal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resultat'!$I$5:$K$5,0)))))),IF(G$2=2019,SUMPRODUCT(($B154='Landbrugsareal - resultat'!$B$33:$B$46)*(INDEX('Landbrugsareal - resultat'!$L$33:$N$46,,MATCH($D154,'Landbrugsareal - resultat'!$L$5:$N$5,0)))),IF(G$2=2030,SUMPRODUCT(($B154='Landbrugsareal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5.9928303741437112</v>
      </c>
      <c r="H154" s="96" cm="1">
        <f t="array" ref="H154">IF($A154="Vestdanmark",IF($C154="Konventionel",IF(H$2=2019,SUMPRODUCT(($B154='Landbrugsareal - resultat'!$B$6:$B$19)*(INDEX('Landbrugsareal - resultat'!$C$6:$E$19,,MATCH($D154,'Landbrugsareal - resultat'!$C$5:$E$5,0)))),IF(H$2=2030,SUMPRODUCT(($B154='Landbrugsareal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resultat'!$I$5:$K$5,0)))))),IF(H$2=2019,SUMPRODUCT(($B154='Landbrugsareal - resultat'!$B$6:$B$19)*(INDEX('Landbrugsareal - resultat'!$L$6:$N$19,,MATCH($D154,'Landbrugsareal - resultat'!$L$5:$N$5,0)))),IF(H$2=2030,SUMPRODUCT(($B154='Landbrugsareal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resultat'!$R$5:$T$5,0))))))),IF($C154="Konventionel",IF(H$2=2019,SUMPRODUCT(($B154='Landbrugsareal - resultat'!$B$33:$B$46)*(INDEX('Landbrugsareal - resultat'!$C$33:$E$46,,MATCH($D154,'Landbrugsareal - resultat'!$C$5:$E$5,0)))),IF(H$2=2030,SUMPRODUCT(($B154='Landbrugsareal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resultat'!$I$5:$K$5,0)))))),IF(H$2=2019,SUMPRODUCT(($B154='Landbrugsareal - resultat'!$B$33:$B$46)*(INDEX('Landbrugsareal - resultat'!$L$33:$N$46,,MATCH($D154,'Landbrugsareal - resultat'!$L$5:$N$5,0)))),IF(H$2=2030,SUMPRODUCT(($B154='Landbrugsareal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6.6165441579429185</v>
      </c>
      <c r="I154" s="96" cm="1">
        <f t="array" ref="I154">IF($A154="Vestdanmark",IF($C154="Konventionel",IF(I$2=2019,SUMPRODUCT(($B154='Landbrugsareal - resultat'!$B$6:$B$19)*(INDEX('Landbrugsareal - resultat'!$C$6:$E$19,,MATCH($D154,'Landbrugsareal - resultat'!$C$5:$E$5,0)))),IF(I$2=2030,SUMPRODUCT(($B154='Landbrugsareal - resultat'!$B$6:$B$19)*(INDEX('Landbrugsareal - resultat'!$F$6:$H$19,,MATCH($D154,'Landbrugsareal - resultat'!$F$5:$H$5,0)))),SUMPRODUCT(($B154='Landbrugsareal - resultat'!$B$6:$B$19)*(INDEX('Landbrugsareal - resultat'!$I$6:$K$19,,MATCH($D154,'Landbrugsareal - resultat'!$I$5:$K$5,0)))))),IF(I$2=2019,SUMPRODUCT(($B154='Landbrugsareal - resultat'!$B$6:$B$19)*(INDEX('Landbrugsareal - resultat'!$L$6:$N$19,,MATCH($D154,'Landbrugsareal - resultat'!$L$5:$N$5,0)))),IF(I$2=2030,SUMPRODUCT(($B154='Landbrugsareal - resultat'!$B$6:$B$19)*(INDEX('Landbrugsareal - resultat'!$O$6:$Q$19,,MATCH($D154,'Landbrugsareal - resultat'!$O$5:$Q$5,0)))),SUMPRODUCT(($B154='Landbrugsareal - resultat'!$B$6:$B$19)*(INDEX('Landbrugsareal - resultat'!$R$6:$T$19,,MATCH($D154,'Landbrugsareal - resultat'!$R$5:$T$5,0))))))),IF($C154="Konventionel",IF(I$2=2019,SUMPRODUCT((C154='Landbrugsareal - resultat'!$B$33:$B$46)*(INDEX('Landbrugsareal - resultat'!$C$33:$E$46,,MATCH($D154,'Landbrugsareal - resultat'!$C$5:$E$5,0)))),IF(I$2=2030,SUMPRODUCT(($B154='Landbrugsareal - resultat'!$B$33:$B$46)*(INDEX('Landbrugsareal - resultat'!$F$33:$H$46,,MATCH($D154,'Landbrugsareal - resultat'!$F$5:$H$5,0)))),SUMPRODUCT(($B154='Landbrugsareal - resultat'!$B$33:$B$46)*(INDEX('Landbrugsareal - resultat'!$I$33:$K$46,,MATCH($D154,'Landbrugsareal - resultat'!$I$5:$K$5,0)))))),IF(I$2=2019,SUMPRODUCT(($B154='Landbrugsareal - resultat'!$B$33:$B$46)*(INDEX('Landbrugsareal - resultat'!$L$33:$N$46,,MATCH($D154,'Landbrugsareal - resultat'!$L$5:$N$5,0)))),IF(I$2=2030,SUMPRODUCT(($B154='Landbrugsareal - resultat'!$B$33:$B$46)*(INDEX('Landbrugsareal - resultat'!$O$33:$Q$46,,MATCH($D154,'Landbrugsareal - resultat'!$O$5:$Q$5,0)))),SUMPRODUCT(($B154='Landbrugsareal - resultat'!$B$33:$B$46)*(INDEX('Landbrugsareal - resultat'!$R$33:$T$46,,MATCH($D154,'Landbrugsareal - resultat'!$R$5:$T$5,0))))))))</f>
        <v>8.5770016862223013</v>
      </c>
    </row>
    <row r="155" spans="1:9" x14ac:dyDescent="0.25">
      <c r="A155" t="s">
        <v>24</v>
      </c>
      <c r="B155" s="1" t="str">
        <f>[1]Afgrødefordeling!$C$14</f>
        <v>Pil &amp; poppel</v>
      </c>
      <c r="C155" t="s">
        <v>8</v>
      </c>
      <c r="D155" t="str">
        <f t="shared" si="13"/>
        <v>OC6</v>
      </c>
      <c r="F155" t="str">
        <f t="shared" si="12"/>
        <v>Areal-pil-poppel</v>
      </c>
      <c r="G155" s="96" cm="1">
        <f t="array" ref="G155">IF($A155="Vestdanmark",IF($C155="Konventionel",IF(G$2=2019,SUMPRODUCT(($B155='Landbrugsareal - resultat'!$B$6:$B$19)*(INDEX('Landbrugsareal - resultat'!$C$6:$E$19,,MATCH($D155,'Landbrugsareal - resultat'!$C$5:$E$5,0)))),IF(G$2=2030,SUMPRODUCT(($B155='Landbrugsareal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resultat'!$I$5:$K$5,0)))))),IF(G$2=2019,SUMPRODUCT(($B155='Landbrugsareal - resultat'!$B$6:$B$19)*(INDEX('Landbrugsareal - resultat'!$L$6:$N$19,,MATCH($D155,'Landbrugsareal - resultat'!$L$5:$N$5,0)))),IF(G$2=2030,SUMPRODUCT(($B155='Landbrugsareal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resultat'!$R$5:$T$5,0))))))),IF($C155="Konventionel",IF(G$2=2019,SUMPRODUCT((B155='Landbrugsareal - resultat'!$B$33:$B$46)*(INDEX('Landbrugsareal - resultat'!$C$33:$E$46,,MATCH($D155,'Landbrugsareal - resultat'!$C$5:$E$5,0)))),IF(G$2=2030,SUMPRODUCT(($B155='Landbrugsareal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resultat'!$I$5:$K$5,0)))))),IF(G$2=2019,SUMPRODUCT(($B155='Landbrugsareal - resultat'!$B$33:$B$46)*(INDEX('Landbrugsareal - resultat'!$L$33:$N$46,,MATCH($D155,'Landbrugsareal - resultat'!$L$5:$N$5,0)))),IF(G$2=2030,SUMPRODUCT(($B155='Landbrugsareal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12.71902431555799</v>
      </c>
      <c r="H155" s="96" cm="1">
        <f t="array" ref="H155">IF($A155="Vestdanmark",IF($C155="Konventionel",IF(H$2=2019,SUMPRODUCT(($B155='Landbrugsareal - resultat'!$B$6:$B$19)*(INDEX('Landbrugsareal - resultat'!$C$6:$E$19,,MATCH($D155,'Landbrugsareal - resultat'!$C$5:$E$5,0)))),IF(H$2=2030,SUMPRODUCT(($B155='Landbrugsareal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resultat'!$I$5:$K$5,0)))))),IF(H$2=2019,SUMPRODUCT(($B155='Landbrugsareal - resultat'!$B$6:$B$19)*(INDEX('Landbrugsareal - resultat'!$L$6:$N$19,,MATCH($D155,'Landbrugsareal - resultat'!$L$5:$N$5,0)))),IF(H$2=2030,SUMPRODUCT(($B155='Landbrugsareal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resultat'!$R$5:$T$5,0))))))),IF($C155="Konventionel",IF(H$2=2019,SUMPRODUCT(($B155='Landbrugsareal - resultat'!$B$33:$B$46)*(INDEX('Landbrugsareal - resultat'!$C$33:$E$46,,MATCH($D155,'Landbrugsareal - resultat'!$C$5:$E$5,0)))),IF(H$2=2030,SUMPRODUCT(($B155='Landbrugsareal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resultat'!$I$5:$K$5,0)))))),IF(H$2=2019,SUMPRODUCT(($B155='Landbrugsareal - resultat'!$B$33:$B$46)*(INDEX('Landbrugsareal - resultat'!$L$33:$N$46,,MATCH($D155,'Landbrugsareal - resultat'!$L$5:$N$5,0)))),IF(H$2=2030,SUMPRODUCT(($B155='Landbrugsareal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14.042777915579466</v>
      </c>
      <c r="I155" s="96" cm="1">
        <f t="array" ref="I155">IF($A155="Vestdanmark",IF($C155="Konventionel",IF(I$2=2019,SUMPRODUCT(($B155='Landbrugsareal - resultat'!$B$6:$B$19)*(INDEX('Landbrugsareal - resultat'!$C$6:$E$19,,MATCH($D155,'Landbrugsareal - resultat'!$C$5:$E$5,0)))),IF(I$2=2030,SUMPRODUCT(($B155='Landbrugsareal - resultat'!$B$6:$B$19)*(INDEX('Landbrugsareal - resultat'!$F$6:$H$19,,MATCH($D155,'Landbrugsareal - resultat'!$F$5:$H$5,0)))),SUMPRODUCT(($B155='Landbrugsareal - resultat'!$B$6:$B$19)*(INDEX('Landbrugsareal - resultat'!$I$6:$K$19,,MATCH($D155,'Landbrugsareal - resultat'!$I$5:$K$5,0)))))),IF(I$2=2019,SUMPRODUCT(($B155='Landbrugsareal - resultat'!$B$6:$B$19)*(INDEX('Landbrugsareal - resultat'!$L$6:$N$19,,MATCH($D155,'Landbrugsareal - resultat'!$L$5:$N$5,0)))),IF(I$2=2030,SUMPRODUCT(($B155='Landbrugsareal - resultat'!$B$6:$B$19)*(INDEX('Landbrugsareal - resultat'!$O$6:$Q$19,,MATCH($D155,'Landbrugsareal - resultat'!$O$5:$Q$5,0)))),SUMPRODUCT(($B155='Landbrugsareal - resultat'!$B$6:$B$19)*(INDEX('Landbrugsareal - resultat'!$R$6:$T$19,,MATCH($D155,'Landbrugsareal - resultat'!$R$5:$T$5,0))))))),IF($C155="Konventionel",IF(I$2=2019,SUMPRODUCT((C155='Landbrugsareal - resultat'!$B$33:$B$46)*(INDEX('Landbrugsareal - resultat'!$C$33:$E$46,,MATCH($D155,'Landbrugsareal - resultat'!$C$5:$E$5,0)))),IF(I$2=2030,SUMPRODUCT(($B155='Landbrugsareal - resultat'!$B$33:$B$46)*(INDEX('Landbrugsareal - resultat'!$F$33:$H$46,,MATCH($D155,'Landbrugsareal - resultat'!$F$5:$H$5,0)))),SUMPRODUCT(($B155='Landbrugsareal - resultat'!$B$33:$B$46)*(INDEX('Landbrugsareal - resultat'!$I$33:$K$46,,MATCH($D155,'Landbrugsareal - resultat'!$I$5:$K$5,0)))))),IF(I$2=2019,SUMPRODUCT(($B155='Landbrugsareal - resultat'!$B$33:$B$46)*(INDEX('Landbrugsareal - resultat'!$L$33:$N$46,,MATCH($D155,'Landbrugsareal - resultat'!$L$5:$N$5,0)))),IF(I$2=2030,SUMPRODUCT(($B155='Landbrugsareal - resultat'!$B$33:$B$46)*(INDEX('Landbrugsareal - resultat'!$O$33:$Q$46,,MATCH($D155,'Landbrugsareal - resultat'!$O$5:$Q$5,0)))),SUMPRODUCT(($B155='Landbrugsareal - resultat'!$B$33:$B$46)*(INDEX('Landbrugsareal - resultat'!$R$33:$T$46,,MATCH($D155,'Landbrugsareal - resultat'!$R$5:$T$5,0))))))))</f>
        <v>18.203601001677082</v>
      </c>
    </row>
    <row r="156" spans="1:9" x14ac:dyDescent="0.25">
      <c r="A156" t="s">
        <v>24</v>
      </c>
      <c r="B156" s="1" t="str">
        <f>[1]Afgrødefordeling!$C$15</f>
        <v>Permanent græs</v>
      </c>
      <c r="C156" t="s">
        <v>8</v>
      </c>
      <c r="D156" t="str">
        <f t="shared" si="13"/>
        <v>OC6</v>
      </c>
      <c r="F156" t="str">
        <f t="shared" si="12"/>
        <v>Areal-permanent græs</v>
      </c>
      <c r="G156" s="96" cm="1">
        <f t="array" ref="G156">IF($A156="Vestdanmark",IF($C156="Konventionel",IF(G$2=2019,SUMPRODUCT(($B156='Landbrugsareal - resultat'!$B$6:$B$19)*(INDEX('Landbrugsareal - resultat'!$C$6:$E$19,,MATCH($D156,'Landbrugsareal - resultat'!$C$5:$E$5,0)))),IF(G$2=2030,SUMPRODUCT(($B156='Landbrugsareal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resultat'!$I$5:$K$5,0)))))),IF(G$2=2019,SUMPRODUCT(($B156='Landbrugsareal - resultat'!$B$6:$B$19)*(INDEX('Landbrugsareal - resultat'!$L$6:$N$19,,MATCH($D156,'Landbrugsareal - resultat'!$L$5:$N$5,0)))),IF(G$2=2030,SUMPRODUCT(($B156='Landbrugsareal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resultat'!$R$5:$T$5,0))))))),IF($C156="Konventionel",IF(G$2=2019,SUMPRODUCT((B156='Landbrugsareal - resultat'!$B$33:$B$46)*(INDEX('Landbrugsareal - resultat'!$C$33:$E$46,,MATCH($D156,'Landbrugsareal - resultat'!$C$5:$E$5,0)))),IF(G$2=2030,SUMPRODUCT(($B156='Landbrugsareal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resultat'!$I$5:$K$5,0)))))),IF(G$2=2019,SUMPRODUCT(($B156='Landbrugsareal - resultat'!$B$33:$B$46)*(INDEX('Landbrugsareal - resultat'!$L$33:$N$46,,MATCH($D156,'Landbrugsareal - resultat'!$L$5:$N$5,0)))),IF(G$2=2030,SUMPRODUCT(($B156='Landbrugsareal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371.49087853744766</v>
      </c>
      <c r="H156" s="96" cm="1">
        <f t="array" ref="H156">IF($A156="Vestdanmark",IF($C156="Konventionel",IF(H$2=2019,SUMPRODUCT(($B156='Landbrugsareal - resultat'!$B$6:$B$19)*(INDEX('Landbrugsareal - resultat'!$C$6:$E$19,,MATCH($D156,'Landbrugsareal - resultat'!$C$5:$E$5,0)))),IF(H$2=2030,SUMPRODUCT(($B156='Landbrugsareal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resultat'!$I$5:$K$5,0)))))),IF(H$2=2019,SUMPRODUCT(($B156='Landbrugsareal - resultat'!$B$6:$B$19)*(INDEX('Landbrugsareal - resultat'!$L$6:$N$19,,MATCH($D156,'Landbrugsareal - resultat'!$L$5:$N$5,0)))),IF(H$2=2030,SUMPRODUCT(($B156='Landbrugsareal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resultat'!$R$5:$T$5,0))))))),IF($C156="Konventionel",IF(H$2=2019,SUMPRODUCT(($B156='Landbrugsareal - resultat'!$B$33:$B$46)*(INDEX('Landbrugsareal - resultat'!$C$33:$E$46,,MATCH($D156,'Landbrugsareal - resultat'!$C$5:$E$5,0)))),IF(H$2=2030,SUMPRODUCT(($B156='Landbrugsareal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resultat'!$I$5:$K$5,0)))))),IF(H$2=2019,SUMPRODUCT(($B156='Landbrugsareal - resultat'!$B$33:$B$46)*(INDEX('Landbrugsareal - resultat'!$L$33:$N$46,,MATCH($D156,'Landbrugsareal - resultat'!$L$5:$N$5,0)))),IF(H$2=2030,SUMPRODUCT(($B156='Landbrugsareal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406.98018250170003</v>
      </c>
      <c r="I156" s="96" cm="1">
        <f t="array" ref="I156">IF($A156="Vestdanmark",IF($C156="Konventionel",IF(I$2=2019,SUMPRODUCT(($B156='Landbrugsareal - resultat'!$B$6:$B$19)*(INDEX('Landbrugsareal - resultat'!$C$6:$E$19,,MATCH($D156,'Landbrugsareal - resultat'!$C$5:$E$5,0)))),IF(I$2=2030,SUMPRODUCT(($B156='Landbrugsareal - resultat'!$B$6:$B$19)*(INDEX('Landbrugsareal - resultat'!$F$6:$H$19,,MATCH($D156,'Landbrugsareal - resultat'!$F$5:$H$5,0)))),SUMPRODUCT(($B156='Landbrugsareal - resultat'!$B$6:$B$19)*(INDEX('Landbrugsareal - resultat'!$I$6:$K$19,,MATCH($D156,'Landbrugsareal - resultat'!$I$5:$K$5,0)))))),IF(I$2=2019,SUMPRODUCT(($B156='Landbrugsareal - resultat'!$B$6:$B$19)*(INDEX('Landbrugsareal - resultat'!$L$6:$N$19,,MATCH($D156,'Landbrugsareal - resultat'!$L$5:$N$5,0)))),IF(I$2=2030,SUMPRODUCT(($B156='Landbrugsareal - resultat'!$B$6:$B$19)*(INDEX('Landbrugsareal - resultat'!$O$6:$Q$19,,MATCH($D156,'Landbrugsareal - resultat'!$O$5:$Q$5,0)))),SUMPRODUCT(($B156='Landbrugsareal - resultat'!$B$6:$B$19)*(INDEX('Landbrugsareal - resultat'!$R$6:$T$19,,MATCH($D156,'Landbrugsareal - resultat'!$R$5:$T$5,0))))))),IF($C156="Konventionel",IF(I$2=2019,SUMPRODUCT((C156='Landbrugsareal - resultat'!$B$33:$B$46)*(INDEX('Landbrugsareal - resultat'!$C$33:$E$46,,MATCH($D156,'Landbrugsareal - resultat'!$C$5:$E$5,0)))),IF(I$2=2030,SUMPRODUCT(($B156='Landbrugsareal - resultat'!$B$33:$B$46)*(INDEX('Landbrugsareal - resultat'!$F$33:$H$46,,MATCH($D156,'Landbrugsareal - resultat'!$F$5:$H$5,0)))),SUMPRODUCT(($B156='Landbrugsareal - resultat'!$B$33:$B$46)*(INDEX('Landbrugsareal - resultat'!$I$33:$K$46,,MATCH($D156,'Landbrugsareal - resultat'!$I$5:$K$5,0)))))),IF(I$2=2019,SUMPRODUCT(($B156='Landbrugsareal - resultat'!$B$33:$B$46)*(INDEX('Landbrugsareal - resultat'!$L$33:$N$46,,MATCH($D156,'Landbrugsareal - resultat'!$L$5:$N$5,0)))),IF(I$2=2030,SUMPRODUCT(($B156='Landbrugsareal - resultat'!$B$33:$B$46)*(INDEX('Landbrugsareal - resultat'!$O$33:$Q$46,,MATCH($D156,'Landbrugsareal - resultat'!$O$5:$Q$5,0)))),SUMPRODUCT(($B156='Landbrugsareal - resultat'!$B$33:$B$46)*(INDEX('Landbrugsareal - resultat'!$R$33:$T$46,,MATCH($D156,'Landbrugsareal - resultat'!$R$5:$T$5,0))))))))</f>
        <v>527.56690324294436</v>
      </c>
    </row>
    <row r="157" spans="1:9" x14ac:dyDescent="0.25">
      <c r="A157" t="s">
        <v>24</v>
      </c>
      <c r="B157" s="1" t="str">
        <f>[1]Afgrødefordeling!$C$2</f>
        <v>Korn</v>
      </c>
      <c r="C157" t="s">
        <v>8</v>
      </c>
      <c r="D157" t="str">
        <f t="shared" ref="D157:D170" si="14">Organ12</f>
        <v>OC12</v>
      </c>
      <c r="F157" t="str">
        <f t="shared" si="12"/>
        <v>Areal-korn</v>
      </c>
      <c r="G157" s="96" cm="1">
        <f t="array" ref="G157">IF($A157="Vestdanmark",IF($C157="Konventionel",IF(G$2=2019,SUMPRODUCT(($B157='Landbrugsareal - resultat'!$B$6:$B$19)*(INDEX('Landbrugsareal - resultat'!$C$6:$E$19,,MATCH($D157,'Landbrugsareal - resultat'!$C$5:$E$5,0)))),IF(G$2=2030,SUMPRODUCT(($B157='Landbrugsareal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resultat'!$I$5:$K$5,0)))))),IF(G$2=2019,SUMPRODUCT(($B157='Landbrugsareal - resultat'!$B$6:$B$19)*(INDEX('Landbrugsareal - resultat'!$L$6:$N$19,,MATCH($D157,'Landbrugsareal - resultat'!$L$5:$N$5,0)))),IF(G$2=2030,SUMPRODUCT(($B157='Landbrugsareal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resultat'!$R$5:$T$5,0))))))),IF($C157="Konventionel",IF(G$2=2019,SUMPRODUCT((B157='Landbrugsareal - resultat'!$B$33:$B$46)*(INDEX('Landbrugsareal - resultat'!$C$33:$E$46,,MATCH($D157,'Landbrugsareal - resultat'!$C$5:$E$5,0)))),IF(G$2=2030,SUMPRODUCT(($B157='Landbrugsareal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resultat'!$I$5:$K$5,0)))))),IF(G$2=2019,SUMPRODUCT(($B157='Landbrugsareal - resultat'!$B$33:$B$46)*(INDEX('Landbrugsareal - resultat'!$L$33:$N$46,,MATCH($D157,'Landbrugsareal - resultat'!$L$5:$N$5,0)))),IF(G$2=2030,SUMPRODUCT(($B157='Landbrugsareal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307.55369779497607</v>
      </c>
      <c r="H157" s="96" cm="1">
        <f t="array" ref="H157">IF($A157="Vestdanmark",IF($C157="Konventionel",IF(H$2=2019,SUMPRODUCT(($B157='Landbrugsareal - resultat'!$B$6:$B$19)*(INDEX('Landbrugsareal - resultat'!$C$6:$E$19,,MATCH($D157,'Landbrugsareal - resultat'!$C$5:$E$5,0)))),IF(H$2=2030,SUMPRODUCT(($B157='Landbrugsareal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resultat'!$I$5:$K$5,0)))))),IF(H$2=2019,SUMPRODUCT(($B157='Landbrugsareal - resultat'!$B$6:$B$19)*(INDEX('Landbrugsareal - resultat'!$L$6:$N$19,,MATCH($D157,'Landbrugsareal - resultat'!$L$5:$N$5,0)))),IF(H$2=2030,SUMPRODUCT(($B157='Landbrugsareal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resultat'!$R$5:$T$5,0))))))),IF($C157="Konventionel",IF(H$2=2019,SUMPRODUCT(($B157='Landbrugsareal - resultat'!$B$33:$B$46)*(INDEX('Landbrugsareal - resultat'!$C$33:$E$46,,MATCH($D157,'Landbrugsareal - resultat'!$C$5:$E$5,0)))),IF(H$2=2030,SUMPRODUCT(($B157='Landbrugsareal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resultat'!$I$5:$K$5,0)))))),IF(H$2=2019,SUMPRODUCT(($B157='Landbrugsareal - resultat'!$B$33:$B$46)*(INDEX('Landbrugsareal - resultat'!$L$33:$N$46,,MATCH($D157,'Landbrugsareal - resultat'!$L$5:$N$5,0)))),IF(H$2=2030,SUMPRODUCT(($B157='Landbrugsareal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342.25153434511225</v>
      </c>
      <c r="I157" s="96" cm="1">
        <f t="array" ref="I157">IF($A157="Vestdanmark",IF($C157="Konventionel",IF(I$2=2019,SUMPRODUCT(($B157='Landbrugsareal - resultat'!$B$6:$B$19)*(INDEX('Landbrugsareal - resultat'!$C$6:$E$19,,MATCH($D157,'Landbrugsareal - resultat'!$C$5:$E$5,0)))),IF(I$2=2030,SUMPRODUCT(($B157='Landbrugsareal - resultat'!$B$6:$B$19)*(INDEX('Landbrugsareal - resultat'!$F$6:$H$19,,MATCH($D157,'Landbrugsareal - resultat'!$F$5:$H$5,0)))),SUMPRODUCT(($B157='Landbrugsareal - resultat'!$B$6:$B$19)*(INDEX('Landbrugsareal - resultat'!$I$6:$K$19,,MATCH($D157,'Landbrugsareal - resultat'!$I$5:$K$5,0)))))),IF(I$2=2019,SUMPRODUCT(($B157='Landbrugsareal - resultat'!$B$6:$B$19)*(INDEX('Landbrugsareal - resultat'!$L$6:$N$19,,MATCH($D157,'Landbrugsareal - resultat'!$L$5:$N$5,0)))),IF(I$2=2030,SUMPRODUCT(($B157='Landbrugsareal - resultat'!$B$6:$B$19)*(INDEX('Landbrugsareal - resultat'!$O$6:$Q$19,,MATCH($D157,'Landbrugsareal - resultat'!$O$5:$Q$5,0)))),SUMPRODUCT(($B157='Landbrugsareal - resultat'!$B$6:$B$19)*(INDEX('Landbrugsareal - resultat'!$R$6:$T$19,,MATCH($D157,'Landbrugsareal - resultat'!$R$5:$T$5,0))))))),IF($C157="Konventionel",IF(I$2=2019,SUMPRODUCT((C157='Landbrugsareal - resultat'!$B$33:$B$46)*(INDEX('Landbrugsareal - resultat'!$C$33:$E$46,,MATCH($D157,'Landbrugsareal - resultat'!$C$5:$E$5,0)))),IF(I$2=2030,SUMPRODUCT(($B157='Landbrugsareal - resultat'!$B$33:$B$46)*(INDEX('Landbrugsareal - resultat'!$F$33:$H$46,,MATCH($D157,'Landbrugsareal - resultat'!$F$5:$H$5,0)))),SUMPRODUCT(($B157='Landbrugsareal - resultat'!$B$33:$B$46)*(INDEX('Landbrugsareal - resultat'!$I$33:$K$46,,MATCH($D157,'Landbrugsareal - resultat'!$I$5:$K$5,0)))))),IF(I$2=2019,SUMPRODUCT(($B157='Landbrugsareal - resultat'!$B$33:$B$46)*(INDEX('Landbrugsareal - resultat'!$L$33:$N$46,,MATCH($D157,'Landbrugsareal - resultat'!$L$5:$N$5,0)))),IF(I$2=2030,SUMPRODUCT(($B157='Landbrugsareal - resultat'!$B$33:$B$46)*(INDEX('Landbrugsareal - resultat'!$O$33:$Q$46,,MATCH($D157,'Landbrugsareal - resultat'!$O$5:$Q$5,0)))),SUMPRODUCT(($B157='Landbrugsareal - resultat'!$B$33:$B$46)*(INDEX('Landbrugsareal - resultat'!$R$33:$T$46,,MATCH($D157,'Landbrugsareal - resultat'!$R$5:$T$5,0))))))))</f>
        <v>443.65939637329359</v>
      </c>
    </row>
    <row r="158" spans="1:9" x14ac:dyDescent="0.25">
      <c r="A158" t="s">
        <v>24</v>
      </c>
      <c r="B158" s="1" t="str">
        <f>[1]Afgrødefordeling!$C$3</f>
        <v>Bælgsæd</v>
      </c>
      <c r="C158" t="s">
        <v>8</v>
      </c>
      <c r="D158" t="str">
        <f t="shared" si="14"/>
        <v>OC12</v>
      </c>
      <c r="F158" t="str">
        <f t="shared" si="12"/>
        <v>Areal-bælgsæd</v>
      </c>
      <c r="G158" s="96" cm="1">
        <f t="array" ref="G158">IF($A158="Vestdanmark",IF($C158="Konventionel",IF(G$2=2019,SUMPRODUCT(($B158='Landbrugsareal - resultat'!$B$6:$B$19)*(INDEX('Landbrugsareal - resultat'!$C$6:$E$19,,MATCH($D158,'Landbrugsareal - resultat'!$C$5:$E$5,0)))),IF(G$2=2030,SUMPRODUCT(($B158='Landbrugsareal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resultat'!$I$5:$K$5,0)))))),IF(G$2=2019,SUMPRODUCT(($B158='Landbrugsareal - resultat'!$B$6:$B$19)*(INDEX('Landbrugsareal - resultat'!$L$6:$N$19,,MATCH($D158,'Landbrugsareal - resultat'!$L$5:$N$5,0)))),IF(G$2=2030,SUMPRODUCT(($B158='Landbrugsareal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resultat'!$R$5:$T$5,0))))))),IF($C158="Konventionel",IF(G$2=2019,SUMPRODUCT((B158='Landbrugsareal - resultat'!$B$33:$B$46)*(INDEX('Landbrugsareal - resultat'!$C$33:$E$46,,MATCH($D158,'Landbrugsareal - resultat'!$C$5:$E$5,0)))),IF(G$2=2030,SUMPRODUCT(($B158='Landbrugsareal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resultat'!$I$5:$K$5,0)))))),IF(G$2=2019,SUMPRODUCT(($B158='Landbrugsareal - resultat'!$B$33:$B$46)*(INDEX('Landbrugsareal - resultat'!$L$33:$N$46,,MATCH($D158,'Landbrugsareal - resultat'!$L$5:$N$5,0)))),IF(G$2=2030,SUMPRODUCT(($B158='Landbrugsareal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5.5861893401333846</v>
      </c>
      <c r="H158" s="96" cm="1">
        <f t="array" ref="H158">IF($A158="Vestdanmark",IF($C158="Konventionel",IF(H$2=2019,SUMPRODUCT(($B158='Landbrugsareal - resultat'!$B$6:$B$19)*(INDEX('Landbrugsareal - resultat'!$C$6:$E$19,,MATCH($D158,'Landbrugsareal - resultat'!$C$5:$E$5,0)))),IF(H$2=2030,SUMPRODUCT(($B158='Landbrugsareal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resultat'!$I$5:$K$5,0)))))),IF(H$2=2019,SUMPRODUCT(($B158='Landbrugsareal - resultat'!$B$6:$B$19)*(INDEX('Landbrugsareal - resultat'!$L$6:$N$19,,MATCH($D158,'Landbrugsareal - resultat'!$L$5:$N$5,0)))),IF(H$2=2030,SUMPRODUCT(($B158='Landbrugsareal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resultat'!$R$5:$T$5,0))))))),IF($C158="Konventionel",IF(H$2=2019,SUMPRODUCT(($B158='Landbrugsareal - resultat'!$B$33:$B$46)*(INDEX('Landbrugsareal - resultat'!$C$33:$E$46,,MATCH($D158,'Landbrugsareal - resultat'!$C$5:$E$5,0)))),IF(H$2=2030,SUMPRODUCT(($B158='Landbrugsareal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resultat'!$I$5:$K$5,0)))))),IF(H$2=2019,SUMPRODUCT(($B158='Landbrugsareal - resultat'!$B$33:$B$46)*(INDEX('Landbrugsareal - resultat'!$L$33:$N$46,,MATCH($D158,'Landbrugsareal - resultat'!$L$5:$N$5,0)))),IF(H$2=2030,SUMPRODUCT(($B158='Landbrugsareal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6.2164164713684418</v>
      </c>
      <c r="I158" s="96" cm="1">
        <f t="array" ref="I158">IF($A158="Vestdanmark",IF($C158="Konventionel",IF(I$2=2019,SUMPRODUCT(($B158='Landbrugsareal - resultat'!$B$6:$B$19)*(INDEX('Landbrugsareal - resultat'!$C$6:$E$19,,MATCH($D158,'Landbrugsareal - resultat'!$C$5:$E$5,0)))),IF(I$2=2030,SUMPRODUCT(($B158='Landbrugsareal - resultat'!$B$6:$B$19)*(INDEX('Landbrugsareal - resultat'!$F$6:$H$19,,MATCH($D158,'Landbrugsareal - resultat'!$F$5:$H$5,0)))),SUMPRODUCT(($B158='Landbrugsareal - resultat'!$B$6:$B$19)*(INDEX('Landbrugsareal - resultat'!$I$6:$K$19,,MATCH($D158,'Landbrugsareal - resultat'!$I$5:$K$5,0)))))),IF(I$2=2019,SUMPRODUCT(($B158='Landbrugsareal - resultat'!$B$6:$B$19)*(INDEX('Landbrugsareal - resultat'!$L$6:$N$19,,MATCH($D158,'Landbrugsareal - resultat'!$L$5:$N$5,0)))),IF(I$2=2030,SUMPRODUCT(($B158='Landbrugsareal - resultat'!$B$6:$B$19)*(INDEX('Landbrugsareal - resultat'!$O$6:$Q$19,,MATCH($D158,'Landbrugsareal - resultat'!$O$5:$Q$5,0)))),SUMPRODUCT(($B158='Landbrugsareal - resultat'!$B$6:$B$19)*(INDEX('Landbrugsareal - resultat'!$R$6:$T$19,,MATCH($D158,'Landbrugsareal - resultat'!$R$5:$T$5,0))))))),IF($C158="Konventionel",IF(I$2=2019,SUMPRODUCT((C158='Landbrugsareal - resultat'!$B$33:$B$46)*(INDEX('Landbrugsareal - resultat'!$C$33:$E$46,,MATCH($D158,'Landbrugsareal - resultat'!$C$5:$E$5,0)))),IF(I$2=2030,SUMPRODUCT(($B158='Landbrugsareal - resultat'!$B$33:$B$46)*(INDEX('Landbrugsareal - resultat'!$F$33:$H$46,,MATCH($D158,'Landbrugsareal - resultat'!$F$5:$H$5,0)))),SUMPRODUCT(($B158='Landbrugsareal - resultat'!$B$33:$B$46)*(INDEX('Landbrugsareal - resultat'!$I$33:$K$46,,MATCH($D158,'Landbrugsareal - resultat'!$I$5:$K$5,0)))))),IF(I$2=2019,SUMPRODUCT(($B158='Landbrugsareal - resultat'!$B$33:$B$46)*(INDEX('Landbrugsareal - resultat'!$L$33:$N$46,,MATCH($D158,'Landbrugsareal - resultat'!$L$5:$N$5,0)))),IF(I$2=2030,SUMPRODUCT(($B158='Landbrugsareal - resultat'!$B$33:$B$46)*(INDEX('Landbrugsareal - resultat'!$O$33:$Q$46,,MATCH($D158,'Landbrugsareal - resultat'!$O$5:$Q$5,0)))),SUMPRODUCT(($B158='Landbrugsareal - resultat'!$B$33:$B$46)*(INDEX('Landbrugsareal - resultat'!$R$33:$T$46,,MATCH($D158,'Landbrugsareal - resultat'!$R$5:$T$5,0))))))))</f>
        <v>8.0583176480702008</v>
      </c>
    </row>
    <row r="159" spans="1:9" x14ac:dyDescent="0.25">
      <c r="A159" t="s">
        <v>24</v>
      </c>
      <c r="B159" s="1" t="str">
        <f>[1]Afgrødefordeling!$C$4</f>
        <v>Raps</v>
      </c>
      <c r="C159" t="s">
        <v>8</v>
      </c>
      <c r="D159" t="str">
        <f t="shared" si="14"/>
        <v>OC12</v>
      </c>
      <c r="F159" t="str">
        <f t="shared" si="12"/>
        <v>Areal-raps</v>
      </c>
      <c r="G159" s="96" cm="1">
        <f t="array" ref="G159">IF($A159="Vestdanmark",IF($C159="Konventionel",IF(G$2=2019,SUMPRODUCT(($B159='Landbrugsareal - resultat'!$B$6:$B$19)*(INDEX('Landbrugsareal - resultat'!$C$6:$E$19,,MATCH($D159,'Landbrugsareal - resultat'!$C$5:$E$5,0)))),IF(G$2=2030,SUMPRODUCT(($B159='Landbrugsareal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resultat'!$I$5:$K$5,0)))))),IF(G$2=2019,SUMPRODUCT(($B159='Landbrugsareal - resultat'!$B$6:$B$19)*(INDEX('Landbrugsareal - resultat'!$L$6:$N$19,,MATCH($D159,'Landbrugsareal - resultat'!$L$5:$N$5,0)))),IF(G$2=2030,SUMPRODUCT(($B159='Landbrugsareal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resultat'!$R$5:$T$5,0))))))),IF($C159="Konventionel",IF(G$2=2019,SUMPRODUCT((B159='Landbrugsareal - resultat'!$B$33:$B$46)*(INDEX('Landbrugsareal - resultat'!$C$33:$E$46,,MATCH($D159,'Landbrugsareal - resultat'!$C$5:$E$5,0)))),IF(G$2=2030,SUMPRODUCT(($B159='Landbrugsareal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resultat'!$I$5:$K$5,0)))))),IF(G$2=2019,SUMPRODUCT(($B159='Landbrugsareal - resultat'!$B$33:$B$46)*(INDEX('Landbrugsareal - resultat'!$L$33:$N$46,,MATCH($D159,'Landbrugsareal - resultat'!$L$5:$N$5,0)))),IF(G$2=2030,SUMPRODUCT(($B159='Landbrugsareal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27.28722780684085</v>
      </c>
      <c r="H159" s="96" cm="1">
        <f t="array" ref="H159">IF($A159="Vestdanmark",IF($C159="Konventionel",IF(H$2=2019,SUMPRODUCT(($B159='Landbrugsareal - resultat'!$B$6:$B$19)*(INDEX('Landbrugsareal - resultat'!$C$6:$E$19,,MATCH($D159,'Landbrugsareal - resultat'!$C$5:$E$5,0)))),IF(H$2=2030,SUMPRODUCT(($B159='Landbrugsareal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resultat'!$I$5:$K$5,0)))))),IF(H$2=2019,SUMPRODUCT(($B159='Landbrugsareal - resultat'!$B$6:$B$19)*(INDEX('Landbrugsareal - resultat'!$L$6:$N$19,,MATCH($D159,'Landbrugsareal - resultat'!$L$5:$N$5,0)))),IF(H$2=2030,SUMPRODUCT(($B159='Landbrugsareal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resultat'!$R$5:$T$5,0))))))),IF($C159="Konventionel",IF(H$2=2019,SUMPRODUCT(($B159='Landbrugsareal - resultat'!$B$33:$B$46)*(INDEX('Landbrugsareal - resultat'!$C$33:$E$46,,MATCH($D159,'Landbrugsareal - resultat'!$C$5:$E$5,0)))),IF(H$2=2030,SUMPRODUCT(($B159='Landbrugsareal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resultat'!$I$5:$K$5,0)))))),IF(H$2=2019,SUMPRODUCT(($B159='Landbrugsareal - resultat'!$B$33:$B$46)*(INDEX('Landbrugsareal - resultat'!$L$33:$N$46,,MATCH($D159,'Landbrugsareal - resultat'!$L$5:$N$5,0)))),IF(H$2=2030,SUMPRODUCT(($B159='Landbrugsareal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30.365739875257809</v>
      </c>
      <c r="I159" s="96" cm="1">
        <f t="array" ref="I159">IF($A159="Vestdanmark",IF($C159="Konventionel",IF(I$2=2019,SUMPRODUCT(($B159='Landbrugsareal - resultat'!$B$6:$B$19)*(INDEX('Landbrugsareal - resultat'!$C$6:$E$19,,MATCH($D159,'Landbrugsareal - resultat'!$C$5:$E$5,0)))),IF(I$2=2030,SUMPRODUCT(($B159='Landbrugsareal - resultat'!$B$6:$B$19)*(INDEX('Landbrugsareal - resultat'!$F$6:$H$19,,MATCH($D159,'Landbrugsareal - resultat'!$F$5:$H$5,0)))),SUMPRODUCT(($B159='Landbrugsareal - resultat'!$B$6:$B$19)*(INDEX('Landbrugsareal - resultat'!$I$6:$K$19,,MATCH($D159,'Landbrugsareal - resultat'!$I$5:$K$5,0)))))),IF(I$2=2019,SUMPRODUCT(($B159='Landbrugsareal - resultat'!$B$6:$B$19)*(INDEX('Landbrugsareal - resultat'!$L$6:$N$19,,MATCH($D159,'Landbrugsareal - resultat'!$L$5:$N$5,0)))),IF(I$2=2030,SUMPRODUCT(($B159='Landbrugsareal - resultat'!$B$6:$B$19)*(INDEX('Landbrugsareal - resultat'!$O$6:$Q$19,,MATCH($D159,'Landbrugsareal - resultat'!$O$5:$Q$5,0)))),SUMPRODUCT(($B159='Landbrugsareal - resultat'!$B$6:$B$19)*(INDEX('Landbrugsareal - resultat'!$R$6:$T$19,,MATCH($D159,'Landbrugsareal - resultat'!$R$5:$T$5,0))))))),IF($C159="Konventionel",IF(I$2=2019,SUMPRODUCT((C159='Landbrugsareal - resultat'!$B$33:$B$46)*(INDEX('Landbrugsareal - resultat'!$C$33:$E$46,,MATCH($D159,'Landbrugsareal - resultat'!$C$5:$E$5,0)))),IF(I$2=2030,SUMPRODUCT(($B159='Landbrugsareal - resultat'!$B$33:$B$46)*(INDEX('Landbrugsareal - resultat'!$F$33:$H$46,,MATCH($D159,'Landbrugsareal - resultat'!$F$5:$H$5,0)))),SUMPRODUCT(($B159='Landbrugsareal - resultat'!$B$33:$B$46)*(INDEX('Landbrugsareal - resultat'!$I$33:$K$46,,MATCH($D159,'Landbrugsareal - resultat'!$I$5:$K$5,0)))))),IF(I$2=2019,SUMPRODUCT(($B159='Landbrugsareal - resultat'!$B$33:$B$46)*(INDEX('Landbrugsareal - resultat'!$L$33:$N$46,,MATCH($D159,'Landbrugsareal - resultat'!$L$5:$N$5,0)))),IF(I$2=2030,SUMPRODUCT(($B159='Landbrugsareal - resultat'!$B$33:$B$46)*(INDEX('Landbrugsareal - resultat'!$O$33:$Q$46,,MATCH($D159,'Landbrugsareal - resultat'!$O$5:$Q$5,0)))),SUMPRODUCT(($B159='Landbrugsareal - resultat'!$B$33:$B$46)*(INDEX('Landbrugsareal - resultat'!$R$33:$T$46,,MATCH($D159,'Landbrugsareal - resultat'!$R$5:$T$5,0))))))))</f>
        <v>39.362996134593452</v>
      </c>
    </row>
    <row r="160" spans="1:9" x14ac:dyDescent="0.25">
      <c r="A160" t="s">
        <v>24</v>
      </c>
      <c r="B160" s="1" t="str">
        <f>[1]Afgrødefordeling!$C$5</f>
        <v>Græs</v>
      </c>
      <c r="C160" t="s">
        <v>8</v>
      </c>
      <c r="D160" t="str">
        <f t="shared" si="14"/>
        <v>OC12</v>
      </c>
      <c r="F160" t="str">
        <f t="shared" si="12"/>
        <v>Areal-græs</v>
      </c>
      <c r="G160" s="96" cm="1">
        <f t="array" ref="G160">IF($A160="Vestdanmark",IF($C160="Konventionel",IF(G$2=2019,SUMPRODUCT(($B160='Landbrugsareal - resultat'!$B$6:$B$19)*(INDEX('Landbrugsareal - resultat'!$C$6:$E$19,,MATCH($D160,'Landbrugsareal - resultat'!$C$5:$E$5,0)))),IF(G$2=2030,SUMPRODUCT(($B160='Landbrugsareal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resultat'!$I$5:$K$5,0)))))),IF(G$2=2019,SUMPRODUCT(($B160='Landbrugsareal - resultat'!$B$6:$B$19)*(INDEX('Landbrugsareal - resultat'!$L$6:$N$19,,MATCH($D160,'Landbrugsareal - resultat'!$L$5:$N$5,0)))),IF(G$2=2030,SUMPRODUCT(($B160='Landbrugsareal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resultat'!$R$5:$T$5,0))))))),IF($C160="Konventionel",IF(G$2=2019,SUMPRODUCT((B160='Landbrugsareal - resultat'!$B$33:$B$46)*(INDEX('Landbrugsareal - resultat'!$C$33:$E$46,,MATCH($D160,'Landbrugsareal - resultat'!$C$5:$E$5,0)))),IF(G$2=2030,SUMPRODUCT(($B160='Landbrugsareal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resultat'!$I$5:$K$5,0)))))),IF(G$2=2019,SUMPRODUCT(($B160='Landbrugsareal - resultat'!$B$33:$B$46)*(INDEX('Landbrugsareal - resultat'!$L$33:$N$46,,MATCH($D160,'Landbrugsareal - resultat'!$L$5:$N$5,0)))),IF(G$2=2030,SUMPRODUCT(($B160='Landbrugsareal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200.5225367549603</v>
      </c>
      <c r="H160" s="96" cm="1">
        <f t="array" ref="H160">IF($A160="Vestdanmark",IF($C160="Konventionel",IF(H$2=2019,SUMPRODUCT(($B160='Landbrugsareal - resultat'!$B$6:$B$19)*(INDEX('Landbrugsareal - resultat'!$C$6:$E$19,,MATCH($D160,'Landbrugsareal - resultat'!$C$5:$E$5,0)))),IF(H$2=2030,SUMPRODUCT(($B160='Landbrugsareal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resultat'!$I$5:$K$5,0)))))),IF(H$2=2019,SUMPRODUCT(($B160='Landbrugsareal - resultat'!$B$6:$B$19)*(INDEX('Landbrugsareal - resultat'!$L$6:$N$19,,MATCH($D160,'Landbrugsareal - resultat'!$L$5:$N$5,0)))),IF(H$2=2030,SUMPRODUCT(($B160='Landbrugsareal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resultat'!$R$5:$T$5,0))))))),IF($C160="Konventionel",IF(H$2=2019,SUMPRODUCT(($B160='Landbrugsareal - resultat'!$B$33:$B$46)*(INDEX('Landbrugsareal - resultat'!$C$33:$E$46,,MATCH($D160,'Landbrugsareal - resultat'!$C$5:$E$5,0)))),IF(H$2=2030,SUMPRODUCT(($B160='Landbrugsareal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resultat'!$I$5:$K$5,0)))))),IF(H$2=2019,SUMPRODUCT(($B160='Landbrugsareal - resultat'!$B$33:$B$46)*(INDEX('Landbrugsareal - resultat'!$L$33:$N$46,,MATCH($D160,'Landbrugsareal - resultat'!$L$5:$N$5,0)))),IF(H$2=2030,SUMPRODUCT(($B160='Landbrugsareal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223.14524704856404</v>
      </c>
      <c r="I160" s="96" cm="1">
        <f t="array" ref="I160">IF($A160="Vestdanmark",IF($C160="Konventionel",IF(I$2=2019,SUMPRODUCT(($B160='Landbrugsareal - resultat'!$B$6:$B$19)*(INDEX('Landbrugsareal - resultat'!$C$6:$E$19,,MATCH($D160,'Landbrugsareal - resultat'!$C$5:$E$5,0)))),IF(I$2=2030,SUMPRODUCT(($B160='Landbrugsareal - resultat'!$B$6:$B$19)*(INDEX('Landbrugsareal - resultat'!$F$6:$H$19,,MATCH($D160,'Landbrugsareal - resultat'!$F$5:$H$5,0)))),SUMPRODUCT(($B160='Landbrugsareal - resultat'!$B$6:$B$19)*(INDEX('Landbrugsareal - resultat'!$I$6:$K$19,,MATCH($D160,'Landbrugsareal - resultat'!$I$5:$K$5,0)))))),IF(I$2=2019,SUMPRODUCT(($B160='Landbrugsareal - resultat'!$B$6:$B$19)*(INDEX('Landbrugsareal - resultat'!$L$6:$N$19,,MATCH($D160,'Landbrugsareal - resultat'!$L$5:$N$5,0)))),IF(I$2=2030,SUMPRODUCT(($B160='Landbrugsareal - resultat'!$B$6:$B$19)*(INDEX('Landbrugsareal - resultat'!$O$6:$Q$19,,MATCH($D160,'Landbrugsareal - resultat'!$O$5:$Q$5,0)))),SUMPRODUCT(($B160='Landbrugsareal - resultat'!$B$6:$B$19)*(INDEX('Landbrugsareal - resultat'!$R$6:$T$19,,MATCH($D160,'Landbrugsareal - resultat'!$R$5:$T$5,0))))))),IF($C160="Konventionel",IF(I$2=2019,SUMPRODUCT((C160='Landbrugsareal - resultat'!$B$33:$B$46)*(INDEX('Landbrugsareal - resultat'!$C$33:$E$46,,MATCH($D160,'Landbrugsareal - resultat'!$C$5:$E$5,0)))),IF(I$2=2030,SUMPRODUCT(($B160='Landbrugsareal - resultat'!$B$33:$B$46)*(INDEX('Landbrugsareal - resultat'!$F$33:$H$46,,MATCH($D160,'Landbrugsareal - resultat'!$F$5:$H$5,0)))),SUMPRODUCT(($B160='Landbrugsareal - resultat'!$B$33:$B$46)*(INDEX('Landbrugsareal - resultat'!$I$33:$K$46,,MATCH($D160,'Landbrugsareal - resultat'!$I$5:$K$5,0)))))),IF(I$2=2019,SUMPRODUCT(($B160='Landbrugsareal - resultat'!$B$33:$B$46)*(INDEX('Landbrugsareal - resultat'!$L$33:$N$46,,MATCH($D160,'Landbrugsareal - resultat'!$L$5:$N$5,0)))),IF(I$2=2030,SUMPRODUCT(($B160='Landbrugsareal - resultat'!$B$33:$B$46)*(INDEX('Landbrugsareal - resultat'!$O$33:$Q$46,,MATCH($D160,'Landbrugsareal - resultat'!$O$5:$Q$5,0)))),SUMPRODUCT(($B160='Landbrugsareal - resultat'!$B$33:$B$46)*(INDEX('Landbrugsareal - resultat'!$R$33:$T$46,,MATCH($D160,'Landbrugsareal - resultat'!$R$5:$T$5,0))))))))</f>
        <v>289.2623572851756</v>
      </c>
    </row>
    <row r="161" spans="1:9" x14ac:dyDescent="0.25">
      <c r="A161" t="s">
        <v>24</v>
      </c>
      <c r="B161" s="1" t="str">
        <f>[1]Afgrødefordeling!$C$6</f>
        <v>Grøntsager</v>
      </c>
      <c r="C161" t="s">
        <v>8</v>
      </c>
      <c r="D161" t="str">
        <f t="shared" si="14"/>
        <v>OC12</v>
      </c>
      <c r="F161" t="str">
        <f t="shared" si="12"/>
        <v>Areal-grøntsager</v>
      </c>
      <c r="G161" s="96" cm="1">
        <f t="array" ref="G161">IF($A161="Vestdanmark",IF($C161="Konventionel",IF(G$2=2019,SUMPRODUCT(($B161='Landbrugsareal - resultat'!$B$6:$B$19)*(INDEX('Landbrugsareal - resultat'!$C$6:$E$19,,MATCH($D161,'Landbrugsareal - resultat'!$C$5:$E$5,0)))),IF(G$2=2030,SUMPRODUCT(($B161='Landbrugsareal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resultat'!$I$5:$K$5,0)))))),IF(G$2=2019,SUMPRODUCT(($B161='Landbrugsareal - resultat'!$B$6:$B$19)*(INDEX('Landbrugsareal - resultat'!$L$6:$N$19,,MATCH($D161,'Landbrugsareal - resultat'!$L$5:$N$5,0)))),IF(G$2=2030,SUMPRODUCT(($B161='Landbrugsareal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resultat'!$R$5:$T$5,0))))))),IF($C161="Konventionel",IF(G$2=2019,SUMPRODUCT((B161='Landbrugsareal - resultat'!$B$33:$B$46)*(INDEX('Landbrugsareal - resultat'!$C$33:$E$46,,MATCH($D161,'Landbrugsareal - resultat'!$C$5:$E$5,0)))),IF(G$2=2030,SUMPRODUCT(($B161='Landbrugsareal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resultat'!$I$5:$K$5,0)))))),IF(G$2=2019,SUMPRODUCT(($B161='Landbrugsareal - resultat'!$B$33:$B$46)*(INDEX('Landbrugsareal - resultat'!$L$33:$N$46,,MATCH($D161,'Landbrugsareal - resultat'!$L$5:$N$5,0)))),IF(G$2=2030,SUMPRODUCT(($B161='Landbrugsareal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0.94377915324045725</v>
      </c>
      <c r="H161" s="96" cm="1">
        <f t="array" ref="H161">IF($A161="Vestdanmark",IF($C161="Konventionel",IF(H$2=2019,SUMPRODUCT(($B161='Landbrugsareal - resultat'!$B$6:$B$19)*(INDEX('Landbrugsareal - resultat'!$C$6:$E$19,,MATCH($D161,'Landbrugsareal - resultat'!$C$5:$E$5,0)))),IF(H$2=2030,SUMPRODUCT(($B161='Landbrugsareal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resultat'!$I$5:$K$5,0)))))),IF(H$2=2019,SUMPRODUCT(($B161='Landbrugsareal - resultat'!$B$6:$B$19)*(INDEX('Landbrugsareal - resultat'!$L$6:$N$19,,MATCH($D161,'Landbrugsareal - resultat'!$L$5:$N$5,0)))),IF(H$2=2030,SUMPRODUCT(($B161='Landbrugsareal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resultat'!$R$5:$T$5,0))))))),IF($C161="Konventionel",IF(H$2=2019,SUMPRODUCT(($B161='Landbrugsareal - resultat'!$B$33:$B$46)*(INDEX('Landbrugsareal - resultat'!$C$33:$E$46,,MATCH($D161,'Landbrugsareal - resultat'!$C$5:$E$5,0)))),IF(H$2=2030,SUMPRODUCT(($B161='Landbrugsareal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resultat'!$I$5:$K$5,0)))))),IF(H$2=2019,SUMPRODUCT(($B161='Landbrugsareal - resultat'!$B$33:$B$46)*(INDEX('Landbrugsareal - resultat'!$L$33:$N$46,,MATCH($D161,'Landbrugsareal - resultat'!$L$5:$N$5,0)))),IF(H$2=2030,SUMPRODUCT(($B161='Landbrugsareal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1.0502551768855817</v>
      </c>
      <c r="I161" s="96" cm="1">
        <f t="array" ref="I161">IF($A161="Vestdanmark",IF($C161="Konventionel",IF(I$2=2019,SUMPRODUCT(($B161='Landbrugsareal - resultat'!$B$6:$B$19)*(INDEX('Landbrugsareal - resultat'!$C$6:$E$19,,MATCH($D161,'Landbrugsareal - resultat'!$C$5:$E$5,0)))),IF(I$2=2030,SUMPRODUCT(($B161='Landbrugsareal - resultat'!$B$6:$B$19)*(INDEX('Landbrugsareal - resultat'!$F$6:$H$19,,MATCH($D161,'Landbrugsareal - resultat'!$F$5:$H$5,0)))),SUMPRODUCT(($B161='Landbrugsareal - resultat'!$B$6:$B$19)*(INDEX('Landbrugsareal - resultat'!$I$6:$K$19,,MATCH($D161,'Landbrugsareal - resultat'!$I$5:$K$5,0)))))),IF(I$2=2019,SUMPRODUCT(($B161='Landbrugsareal - resultat'!$B$6:$B$19)*(INDEX('Landbrugsareal - resultat'!$L$6:$N$19,,MATCH($D161,'Landbrugsareal - resultat'!$L$5:$N$5,0)))),IF(I$2=2030,SUMPRODUCT(($B161='Landbrugsareal - resultat'!$B$6:$B$19)*(INDEX('Landbrugsareal - resultat'!$O$6:$Q$19,,MATCH($D161,'Landbrugsareal - resultat'!$O$5:$Q$5,0)))),SUMPRODUCT(($B161='Landbrugsareal - resultat'!$B$6:$B$19)*(INDEX('Landbrugsareal - resultat'!$R$6:$T$19,,MATCH($D161,'Landbrugsareal - resultat'!$R$5:$T$5,0))))))),IF($C161="Konventionel",IF(I$2=2019,SUMPRODUCT((C161='Landbrugsareal - resultat'!$B$33:$B$46)*(INDEX('Landbrugsareal - resultat'!$C$33:$E$46,,MATCH($D161,'Landbrugsareal - resultat'!$C$5:$E$5,0)))),IF(I$2=2030,SUMPRODUCT(($B161='Landbrugsareal - resultat'!$B$33:$B$46)*(INDEX('Landbrugsareal - resultat'!$F$33:$H$46,,MATCH($D161,'Landbrugsareal - resultat'!$F$5:$H$5,0)))),SUMPRODUCT(($B161='Landbrugsareal - resultat'!$B$33:$B$46)*(INDEX('Landbrugsareal - resultat'!$I$33:$K$46,,MATCH($D161,'Landbrugsareal - resultat'!$I$5:$K$5,0)))))),IF(I$2=2019,SUMPRODUCT(($B161='Landbrugsareal - resultat'!$B$33:$B$46)*(INDEX('Landbrugsareal - resultat'!$L$33:$N$46,,MATCH($D161,'Landbrugsareal - resultat'!$L$5:$N$5,0)))),IF(I$2=2030,SUMPRODUCT(($B161='Landbrugsareal - resultat'!$B$33:$B$46)*(INDEX('Landbrugsareal - resultat'!$O$33:$Q$46,,MATCH($D161,'Landbrugsareal - resultat'!$O$5:$Q$5,0)))),SUMPRODUCT(($B161='Landbrugsareal - resultat'!$B$33:$B$46)*(INDEX('Landbrugsareal - resultat'!$R$33:$T$46,,MATCH($D161,'Landbrugsareal - resultat'!$R$5:$T$5,0))))))))</f>
        <v>1.361441895962791</v>
      </c>
    </row>
    <row r="162" spans="1:9" x14ac:dyDescent="0.25">
      <c r="A162" t="s">
        <v>24</v>
      </c>
      <c r="B162" s="1" t="str">
        <f>[1]Afgrødefordeling!$C$7</f>
        <v>Kartofler</v>
      </c>
      <c r="C162" t="s">
        <v>8</v>
      </c>
      <c r="D162" t="str">
        <f t="shared" si="14"/>
        <v>OC12</v>
      </c>
      <c r="F162" t="str">
        <f t="shared" si="12"/>
        <v>Areal-kartofler</v>
      </c>
      <c r="G162" s="96" cm="1">
        <f t="array" ref="G162">IF($A162="Vestdanmark",IF($C162="Konventionel",IF(G$2=2019,SUMPRODUCT(($B162='Landbrugsareal - resultat'!$B$6:$B$19)*(INDEX('Landbrugsareal - resultat'!$C$6:$E$19,,MATCH($D162,'Landbrugsareal - resultat'!$C$5:$E$5,0)))),IF(G$2=2030,SUMPRODUCT(($B162='Landbrugsareal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resultat'!$I$5:$K$5,0)))))),IF(G$2=2019,SUMPRODUCT(($B162='Landbrugsareal - resultat'!$B$6:$B$19)*(INDEX('Landbrugsareal - resultat'!$L$6:$N$19,,MATCH($D162,'Landbrugsareal - resultat'!$L$5:$N$5,0)))),IF(G$2=2030,SUMPRODUCT(($B162='Landbrugsareal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resultat'!$R$5:$T$5,0))))))),IF($C162="Konventionel",IF(G$2=2019,SUMPRODUCT((B162='Landbrugsareal - resultat'!$B$33:$B$46)*(INDEX('Landbrugsareal - resultat'!$C$33:$E$46,,MATCH($D162,'Landbrugsareal - resultat'!$C$5:$E$5,0)))),IF(G$2=2030,SUMPRODUCT(($B162='Landbrugsareal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resultat'!$I$5:$K$5,0)))))),IF(G$2=2019,SUMPRODUCT(($B162='Landbrugsareal - resultat'!$B$33:$B$46)*(INDEX('Landbrugsareal - resultat'!$L$33:$N$46,,MATCH($D162,'Landbrugsareal - resultat'!$L$5:$N$5,0)))),IF(G$2=2030,SUMPRODUCT(($B162='Landbrugsareal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5.3794285879459229</v>
      </c>
      <c r="H162" s="96" cm="1">
        <f t="array" ref="H162">IF($A162="Vestdanmark",IF($C162="Konventionel",IF(H$2=2019,SUMPRODUCT(($B162='Landbrugsareal - resultat'!$B$6:$B$19)*(INDEX('Landbrugsareal - resultat'!$C$6:$E$19,,MATCH($D162,'Landbrugsareal - resultat'!$C$5:$E$5,0)))),IF(H$2=2030,SUMPRODUCT(($B162='Landbrugsareal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resultat'!$I$5:$K$5,0)))))),IF(H$2=2019,SUMPRODUCT(($B162='Landbrugsareal - resultat'!$B$6:$B$19)*(INDEX('Landbrugsareal - resultat'!$L$6:$N$19,,MATCH($D162,'Landbrugsareal - resultat'!$L$5:$N$5,0)))),IF(H$2=2030,SUMPRODUCT(($B162='Landbrugsareal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resultat'!$R$5:$T$5,0))))))),IF($C162="Konventionel",IF(H$2=2019,SUMPRODUCT(($B162='Landbrugsareal - resultat'!$B$33:$B$46)*(INDEX('Landbrugsareal - resultat'!$C$33:$E$46,,MATCH($D162,'Landbrugsareal - resultat'!$C$5:$E$5,0)))),IF(H$2=2030,SUMPRODUCT(($B162='Landbrugsareal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resultat'!$I$5:$K$5,0)))))),IF(H$2=2019,SUMPRODUCT(($B162='Landbrugsareal - resultat'!$B$33:$B$46)*(INDEX('Landbrugsareal - resultat'!$L$33:$N$46,,MATCH($D162,'Landbrugsareal - resultat'!$L$5:$N$5,0)))),IF(H$2=2030,SUMPRODUCT(($B162='Landbrugsareal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5.9863292209602808</v>
      </c>
      <c r="I162" s="96" cm="1">
        <f t="array" ref="I162">IF($A162="Vestdanmark",IF($C162="Konventionel",IF(I$2=2019,SUMPRODUCT(($B162='Landbrugsareal - resultat'!$B$6:$B$19)*(INDEX('Landbrugsareal - resultat'!$C$6:$E$19,,MATCH($D162,'Landbrugsareal - resultat'!$C$5:$E$5,0)))),IF(I$2=2030,SUMPRODUCT(($B162='Landbrugsareal - resultat'!$B$6:$B$19)*(INDEX('Landbrugsareal - resultat'!$F$6:$H$19,,MATCH($D162,'Landbrugsareal - resultat'!$F$5:$H$5,0)))),SUMPRODUCT(($B162='Landbrugsareal - resultat'!$B$6:$B$19)*(INDEX('Landbrugsareal - resultat'!$I$6:$K$19,,MATCH($D162,'Landbrugsareal - resultat'!$I$5:$K$5,0)))))),IF(I$2=2019,SUMPRODUCT(($B162='Landbrugsareal - resultat'!$B$6:$B$19)*(INDEX('Landbrugsareal - resultat'!$L$6:$N$19,,MATCH($D162,'Landbrugsareal - resultat'!$L$5:$N$5,0)))),IF(I$2=2030,SUMPRODUCT(($B162='Landbrugsareal - resultat'!$B$6:$B$19)*(INDEX('Landbrugsareal - resultat'!$O$6:$Q$19,,MATCH($D162,'Landbrugsareal - resultat'!$O$5:$Q$5,0)))),SUMPRODUCT(($B162='Landbrugsareal - resultat'!$B$6:$B$19)*(INDEX('Landbrugsareal - resultat'!$R$6:$T$19,,MATCH($D162,'Landbrugsareal - resultat'!$R$5:$T$5,0))))))),IF($C162="Konventionel",IF(I$2=2019,SUMPRODUCT((C162='Landbrugsareal - resultat'!$B$33:$B$46)*(INDEX('Landbrugsareal - resultat'!$C$33:$E$46,,MATCH($D162,'Landbrugsareal - resultat'!$C$5:$E$5,0)))),IF(I$2=2030,SUMPRODUCT(($B162='Landbrugsareal - resultat'!$B$33:$B$46)*(INDEX('Landbrugsareal - resultat'!$F$33:$H$46,,MATCH($D162,'Landbrugsareal - resultat'!$F$5:$H$5,0)))),SUMPRODUCT(($B162='Landbrugsareal - resultat'!$B$33:$B$46)*(INDEX('Landbrugsareal - resultat'!$I$33:$K$46,,MATCH($D162,'Landbrugsareal - resultat'!$I$5:$K$5,0)))))),IF(I$2=2019,SUMPRODUCT(($B162='Landbrugsareal - resultat'!$B$33:$B$46)*(INDEX('Landbrugsareal - resultat'!$L$33:$N$46,,MATCH($D162,'Landbrugsareal - resultat'!$L$5:$N$5,0)))),IF(I$2=2030,SUMPRODUCT(($B162='Landbrugsareal - resultat'!$B$33:$B$46)*(INDEX('Landbrugsareal - resultat'!$O$33:$Q$46,,MATCH($D162,'Landbrugsareal - resultat'!$O$5:$Q$5,0)))),SUMPRODUCT(($B162='Landbrugsareal - resultat'!$B$33:$B$46)*(INDEX('Landbrugsareal - resultat'!$R$33:$T$46,,MATCH($D162,'Landbrugsareal - resultat'!$R$5:$T$5,0))))))))</f>
        <v>7.7600563975411037</v>
      </c>
    </row>
    <row r="163" spans="1:9" x14ac:dyDescent="0.25">
      <c r="A163" t="s">
        <v>24</v>
      </c>
      <c r="B163" s="1" t="str">
        <f>[1]Afgrødefordeling!$C$8</f>
        <v>Roer</v>
      </c>
      <c r="C163" t="s">
        <v>8</v>
      </c>
      <c r="D163" t="str">
        <f t="shared" si="14"/>
        <v>OC12</v>
      </c>
      <c r="F163" t="str">
        <f t="shared" si="12"/>
        <v>Areal-roer</v>
      </c>
      <c r="G163" s="96" cm="1">
        <f t="array" ref="G163">IF($A163="Vestdanmark",IF($C163="Konventionel",IF(G$2=2019,SUMPRODUCT(($B163='Landbrugsareal - resultat'!$B$6:$B$19)*(INDEX('Landbrugsareal - resultat'!$C$6:$E$19,,MATCH($D163,'Landbrugsareal - resultat'!$C$5:$E$5,0)))),IF(G$2=2030,SUMPRODUCT(($B163='Landbrugsareal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resultat'!$I$5:$K$5,0)))))),IF(G$2=2019,SUMPRODUCT(($B163='Landbrugsareal - resultat'!$B$6:$B$19)*(INDEX('Landbrugsareal - resultat'!$L$6:$N$19,,MATCH($D163,'Landbrugsareal - resultat'!$L$5:$N$5,0)))),IF(G$2=2030,SUMPRODUCT(($B163='Landbrugsareal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resultat'!$R$5:$T$5,0))))))),IF($C163="Konventionel",IF(G$2=2019,SUMPRODUCT((B163='Landbrugsareal - resultat'!$B$33:$B$46)*(INDEX('Landbrugsareal - resultat'!$C$33:$E$46,,MATCH($D163,'Landbrugsareal - resultat'!$C$5:$E$5,0)))),IF(G$2=2030,SUMPRODUCT(($B163='Landbrugsareal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resultat'!$I$5:$K$5,0)))))),IF(G$2=2019,SUMPRODUCT(($B163='Landbrugsareal - resultat'!$B$33:$B$46)*(INDEX('Landbrugsareal - resultat'!$L$33:$N$46,,MATCH($D163,'Landbrugsareal - resultat'!$L$5:$N$5,0)))),IF(G$2=2030,SUMPRODUCT(($B163='Landbrugsareal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6.1948724870392953</v>
      </c>
      <c r="H163" s="96" cm="1">
        <f t="array" ref="H163">IF($A163="Vestdanmark",IF($C163="Konventionel",IF(H$2=2019,SUMPRODUCT(($B163='Landbrugsareal - resultat'!$B$6:$B$19)*(INDEX('Landbrugsareal - resultat'!$C$6:$E$19,,MATCH($D163,'Landbrugsareal - resultat'!$C$5:$E$5,0)))),IF(H$2=2030,SUMPRODUCT(($B163='Landbrugsareal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resultat'!$I$5:$K$5,0)))))),IF(H$2=2019,SUMPRODUCT(($B163='Landbrugsareal - resultat'!$B$6:$B$19)*(INDEX('Landbrugsareal - resultat'!$L$6:$N$19,,MATCH($D163,'Landbrugsareal - resultat'!$L$5:$N$5,0)))),IF(H$2=2030,SUMPRODUCT(($B163='Landbrugsareal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resultat'!$R$5:$T$5,0))))))),IF($C163="Konventionel",IF(H$2=2019,SUMPRODUCT(($B163='Landbrugsareal - resultat'!$B$33:$B$46)*(INDEX('Landbrugsareal - resultat'!$C$33:$E$46,,MATCH($D163,'Landbrugsareal - resultat'!$C$5:$E$5,0)))),IF(H$2=2030,SUMPRODUCT(($B163='Landbrugsareal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resultat'!$I$5:$K$5,0)))))),IF(H$2=2019,SUMPRODUCT(($B163='Landbrugsareal - resultat'!$B$33:$B$46)*(INDEX('Landbrugsareal - resultat'!$L$33:$N$46,,MATCH($D163,'Landbrugsareal - resultat'!$L$5:$N$5,0)))),IF(H$2=2030,SUMPRODUCT(($B163='Landbrugsareal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6.8937705154008846</v>
      </c>
      <c r="I163" s="96" cm="1">
        <f t="array" ref="I163">IF($A163="Vestdanmark",IF($C163="Konventionel",IF(I$2=2019,SUMPRODUCT(($B163='Landbrugsareal - resultat'!$B$6:$B$19)*(INDEX('Landbrugsareal - resultat'!$C$6:$E$19,,MATCH($D163,'Landbrugsareal - resultat'!$C$5:$E$5,0)))),IF(I$2=2030,SUMPRODUCT(($B163='Landbrugsareal - resultat'!$B$6:$B$19)*(INDEX('Landbrugsareal - resultat'!$F$6:$H$19,,MATCH($D163,'Landbrugsareal - resultat'!$F$5:$H$5,0)))),SUMPRODUCT(($B163='Landbrugsareal - resultat'!$B$6:$B$19)*(INDEX('Landbrugsareal - resultat'!$I$6:$K$19,,MATCH($D163,'Landbrugsareal - resultat'!$I$5:$K$5,0)))))),IF(I$2=2019,SUMPRODUCT(($B163='Landbrugsareal - resultat'!$B$6:$B$19)*(INDEX('Landbrugsareal - resultat'!$L$6:$N$19,,MATCH($D163,'Landbrugsareal - resultat'!$L$5:$N$5,0)))),IF(I$2=2030,SUMPRODUCT(($B163='Landbrugsareal - resultat'!$B$6:$B$19)*(INDEX('Landbrugsareal - resultat'!$O$6:$Q$19,,MATCH($D163,'Landbrugsareal - resultat'!$O$5:$Q$5,0)))),SUMPRODUCT(($B163='Landbrugsareal - resultat'!$B$6:$B$19)*(INDEX('Landbrugsareal - resultat'!$R$6:$T$19,,MATCH($D163,'Landbrugsareal - resultat'!$R$5:$T$5,0))))))),IF($C163="Konventionel",IF(I$2=2019,SUMPRODUCT((C163='Landbrugsareal - resultat'!$B$33:$B$46)*(INDEX('Landbrugsareal - resultat'!$C$33:$E$46,,MATCH($D163,'Landbrugsareal - resultat'!$C$5:$E$5,0)))),IF(I$2=2030,SUMPRODUCT(($B163='Landbrugsareal - resultat'!$B$33:$B$46)*(INDEX('Landbrugsareal - resultat'!$F$33:$H$46,,MATCH($D163,'Landbrugsareal - resultat'!$F$5:$H$5,0)))),SUMPRODUCT(($B163='Landbrugsareal - resultat'!$B$33:$B$46)*(INDEX('Landbrugsareal - resultat'!$I$33:$K$46,,MATCH($D163,'Landbrugsareal - resultat'!$I$5:$K$5,0)))))),IF(I$2=2019,SUMPRODUCT(($B163='Landbrugsareal - resultat'!$B$33:$B$46)*(INDEX('Landbrugsareal - resultat'!$L$33:$N$46,,MATCH($D163,'Landbrugsareal - resultat'!$L$5:$N$5,0)))),IF(I$2=2030,SUMPRODUCT(($B163='Landbrugsareal - resultat'!$B$33:$B$46)*(INDEX('Landbrugsareal - resultat'!$O$33:$Q$46,,MATCH($D163,'Landbrugsareal - resultat'!$O$5:$Q$5,0)))),SUMPRODUCT(($B163='Landbrugsareal - resultat'!$B$33:$B$46)*(INDEX('Landbrugsareal - resultat'!$R$33:$T$46,,MATCH($D163,'Landbrugsareal - resultat'!$R$5:$T$5,0))))))))</f>
        <v>8.9363691866307757</v>
      </c>
    </row>
    <row r="164" spans="1:9" x14ac:dyDescent="0.25">
      <c r="A164" t="s">
        <v>24</v>
      </c>
      <c r="B164" s="1" t="str">
        <f>[1]Afgrødefordeling!$C$9</f>
        <v>Majs</v>
      </c>
      <c r="C164" t="s">
        <v>8</v>
      </c>
      <c r="D164" t="str">
        <f t="shared" si="14"/>
        <v>OC12</v>
      </c>
      <c r="F164" t="str">
        <f t="shared" si="12"/>
        <v>Areal-majs</v>
      </c>
      <c r="G164" s="96" cm="1">
        <f t="array" ref="G164">IF($A164="Vestdanmark",IF($C164="Konventionel",IF(G$2=2019,SUMPRODUCT(($B164='Landbrugsareal - resultat'!$B$6:$B$19)*(INDEX('Landbrugsareal - resultat'!$C$6:$E$19,,MATCH($D164,'Landbrugsareal - resultat'!$C$5:$E$5,0)))),IF(G$2=2030,SUMPRODUCT(($B164='Landbrugsareal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resultat'!$I$5:$K$5,0)))))),IF(G$2=2019,SUMPRODUCT(($B164='Landbrugsareal - resultat'!$B$6:$B$19)*(INDEX('Landbrugsareal - resultat'!$L$6:$N$19,,MATCH($D164,'Landbrugsareal - resultat'!$L$5:$N$5,0)))),IF(G$2=2030,SUMPRODUCT(($B164='Landbrugsareal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resultat'!$R$5:$T$5,0))))))),IF($C164="Konventionel",IF(G$2=2019,SUMPRODUCT((B164='Landbrugsareal - resultat'!$B$33:$B$46)*(INDEX('Landbrugsareal - resultat'!$C$33:$E$46,,MATCH($D164,'Landbrugsareal - resultat'!$C$5:$E$5,0)))),IF(G$2=2030,SUMPRODUCT(($B164='Landbrugsareal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resultat'!$I$5:$K$5,0)))))),IF(G$2=2019,SUMPRODUCT(($B164='Landbrugsareal - resultat'!$B$33:$B$46)*(INDEX('Landbrugsareal - resultat'!$L$33:$N$46,,MATCH($D164,'Landbrugsareal - resultat'!$L$5:$N$5,0)))),IF(G$2=2030,SUMPRODUCT(($B164='Landbrugsareal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6.3629239602509546</v>
      </c>
      <c r="H164" s="96" cm="1">
        <f t="array" ref="H164">IF($A164="Vestdanmark",IF($C164="Konventionel",IF(H$2=2019,SUMPRODUCT(($B164='Landbrugsareal - resultat'!$B$6:$B$19)*(INDEX('Landbrugsareal - resultat'!$C$6:$E$19,,MATCH($D164,'Landbrugsareal - resultat'!$C$5:$E$5,0)))),IF(H$2=2030,SUMPRODUCT(($B164='Landbrugsareal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resultat'!$I$5:$K$5,0)))))),IF(H$2=2019,SUMPRODUCT(($B164='Landbrugsareal - resultat'!$B$6:$B$19)*(INDEX('Landbrugsareal - resultat'!$L$6:$N$19,,MATCH($D164,'Landbrugsareal - resultat'!$L$5:$N$5,0)))),IF(H$2=2030,SUMPRODUCT(($B164='Landbrugsareal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resultat'!$R$5:$T$5,0))))))),IF($C164="Konventionel",IF(H$2=2019,SUMPRODUCT(($B164='Landbrugsareal - resultat'!$B$33:$B$46)*(INDEX('Landbrugsareal - resultat'!$C$33:$E$46,,MATCH($D164,'Landbrugsareal - resultat'!$C$5:$E$5,0)))),IF(H$2=2030,SUMPRODUCT(($B164='Landbrugsareal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resultat'!$I$5:$K$5,0)))))),IF(H$2=2019,SUMPRODUCT(($B164='Landbrugsareal - resultat'!$B$33:$B$46)*(INDEX('Landbrugsareal - resultat'!$L$33:$N$46,,MATCH($D164,'Landbrugsareal - resultat'!$L$5:$N$5,0)))),IF(H$2=2030,SUMPRODUCT(($B164='Landbrugsareal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7.080781352753875</v>
      </c>
      <c r="I164" s="96" cm="1">
        <f t="array" ref="I164">IF($A164="Vestdanmark",IF($C164="Konventionel",IF(I$2=2019,SUMPRODUCT(($B164='Landbrugsareal - resultat'!$B$6:$B$19)*(INDEX('Landbrugsareal - resultat'!$C$6:$E$19,,MATCH($D164,'Landbrugsareal - resultat'!$C$5:$E$5,0)))),IF(I$2=2030,SUMPRODUCT(($B164='Landbrugsareal - resultat'!$B$6:$B$19)*(INDEX('Landbrugsareal - resultat'!$F$6:$H$19,,MATCH($D164,'Landbrugsareal - resultat'!$F$5:$H$5,0)))),SUMPRODUCT(($B164='Landbrugsareal - resultat'!$B$6:$B$19)*(INDEX('Landbrugsareal - resultat'!$I$6:$K$19,,MATCH($D164,'Landbrugsareal - resultat'!$I$5:$K$5,0)))))),IF(I$2=2019,SUMPRODUCT(($B164='Landbrugsareal - resultat'!$B$6:$B$19)*(INDEX('Landbrugsareal - resultat'!$L$6:$N$19,,MATCH($D164,'Landbrugsareal - resultat'!$L$5:$N$5,0)))),IF(I$2=2030,SUMPRODUCT(($B164='Landbrugsareal - resultat'!$B$6:$B$19)*(INDEX('Landbrugsareal - resultat'!$O$6:$Q$19,,MATCH($D164,'Landbrugsareal - resultat'!$O$5:$Q$5,0)))),SUMPRODUCT(($B164='Landbrugsareal - resultat'!$B$6:$B$19)*(INDEX('Landbrugsareal - resultat'!$R$6:$T$19,,MATCH($D164,'Landbrugsareal - resultat'!$R$5:$T$5,0))))))),IF($C164="Konventionel",IF(I$2=2019,SUMPRODUCT((C164='Landbrugsareal - resultat'!$B$33:$B$46)*(INDEX('Landbrugsareal - resultat'!$C$33:$E$46,,MATCH($D164,'Landbrugsareal - resultat'!$C$5:$E$5,0)))),IF(I$2=2030,SUMPRODUCT(($B164='Landbrugsareal - resultat'!$B$33:$B$46)*(INDEX('Landbrugsareal - resultat'!$F$33:$H$46,,MATCH($D164,'Landbrugsareal - resultat'!$F$5:$H$5,0)))),SUMPRODUCT(($B164='Landbrugsareal - resultat'!$B$33:$B$46)*(INDEX('Landbrugsareal - resultat'!$I$33:$K$46,,MATCH($D164,'Landbrugsareal - resultat'!$I$5:$K$5,0)))))),IF(I$2=2019,SUMPRODUCT(($B164='Landbrugsareal - resultat'!$B$33:$B$46)*(INDEX('Landbrugsareal - resultat'!$L$33:$N$46,,MATCH($D164,'Landbrugsareal - resultat'!$L$5:$N$5,0)))),IF(I$2=2030,SUMPRODUCT(($B164='Landbrugsareal - resultat'!$B$33:$B$46)*(INDEX('Landbrugsareal - resultat'!$O$33:$Q$46,,MATCH($D164,'Landbrugsareal - resultat'!$O$5:$Q$5,0)))),SUMPRODUCT(($B164='Landbrugsareal - resultat'!$B$33:$B$46)*(INDEX('Landbrugsareal - resultat'!$R$33:$T$46,,MATCH($D164,'Landbrugsareal - resultat'!$R$5:$T$5,0))))))))</f>
        <v>9.1787906424587256</v>
      </c>
    </row>
    <row r="165" spans="1:9" x14ac:dyDescent="0.25">
      <c r="A165" t="s">
        <v>24</v>
      </c>
      <c r="B165" s="1" t="str">
        <f>[1]Afgrødefordeling!$C$10</f>
        <v>Frugt</v>
      </c>
      <c r="C165" t="s">
        <v>8</v>
      </c>
      <c r="D165" t="str">
        <f t="shared" si="14"/>
        <v>OC12</v>
      </c>
      <c r="F165" t="str">
        <f t="shared" si="12"/>
        <v>Areal-frugt</v>
      </c>
      <c r="G165" s="96" cm="1">
        <f t="array" ref="G165">IF($A165="Vestdanmark",IF($C165="Konventionel",IF(G$2=2019,SUMPRODUCT(($B165='Landbrugsareal - resultat'!$B$6:$B$19)*(INDEX('Landbrugsareal - resultat'!$C$6:$E$19,,MATCH($D165,'Landbrugsareal - resultat'!$C$5:$E$5,0)))),IF(G$2=2030,SUMPRODUCT(($B165='Landbrugsareal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resultat'!$I$5:$K$5,0)))))),IF(G$2=2019,SUMPRODUCT(($B165='Landbrugsareal - resultat'!$B$6:$B$19)*(INDEX('Landbrugsareal - resultat'!$L$6:$N$19,,MATCH($D165,'Landbrugsareal - resultat'!$L$5:$N$5,0)))),IF(G$2=2030,SUMPRODUCT(($B165='Landbrugsareal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resultat'!$R$5:$T$5,0))))))),IF($C165="Konventionel",IF(G$2=2019,SUMPRODUCT((B165='Landbrugsareal - resultat'!$B$33:$B$46)*(INDEX('Landbrugsareal - resultat'!$C$33:$E$46,,MATCH($D165,'Landbrugsareal - resultat'!$C$5:$E$5,0)))),IF(G$2=2030,SUMPRODUCT(($B165='Landbrugsareal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resultat'!$I$5:$K$5,0)))))),IF(G$2=2019,SUMPRODUCT(($B165='Landbrugsareal - resultat'!$B$33:$B$46)*(INDEX('Landbrugsareal - resultat'!$L$33:$N$46,,MATCH($D165,'Landbrugsareal - resultat'!$L$5:$N$5,0)))),IF(G$2=2030,SUMPRODUCT(($B165='Landbrugsareal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2.308949037439112</v>
      </c>
      <c r="H165" s="96" cm="1">
        <f t="array" ref="H165">IF($A165="Vestdanmark",IF($C165="Konventionel",IF(H$2=2019,SUMPRODUCT(($B165='Landbrugsareal - resultat'!$B$6:$B$19)*(INDEX('Landbrugsareal - resultat'!$C$6:$E$19,,MATCH($D165,'Landbrugsareal - resultat'!$C$5:$E$5,0)))),IF(H$2=2030,SUMPRODUCT(($B165='Landbrugsareal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resultat'!$I$5:$K$5,0)))))),IF(H$2=2019,SUMPRODUCT(($B165='Landbrugsareal - resultat'!$B$6:$B$19)*(INDEX('Landbrugsareal - resultat'!$L$6:$N$19,,MATCH($D165,'Landbrugsareal - resultat'!$L$5:$N$5,0)))),IF(H$2=2030,SUMPRODUCT(($B165='Landbrugsareal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resultat'!$R$5:$T$5,0))))))),IF($C165="Konventionel",IF(H$2=2019,SUMPRODUCT(($B165='Landbrugsareal - resultat'!$B$33:$B$46)*(INDEX('Landbrugsareal - resultat'!$C$33:$E$46,,MATCH($D165,'Landbrugsareal - resultat'!$C$5:$E$5,0)))),IF(H$2=2030,SUMPRODUCT(($B165='Landbrugsareal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resultat'!$I$5:$K$5,0)))))),IF(H$2=2019,SUMPRODUCT(($B165='Landbrugsareal - resultat'!$B$33:$B$46)*(INDEX('Landbrugsareal - resultat'!$L$33:$N$46,,MATCH($D165,'Landbrugsareal - resultat'!$L$5:$N$5,0)))),IF(H$2=2030,SUMPRODUCT(($B165='Landbrugsareal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2.569441877805037</v>
      </c>
      <c r="I165" s="96" cm="1">
        <f t="array" ref="I165">IF($A165="Vestdanmark",IF($C165="Konventionel",IF(I$2=2019,SUMPRODUCT(($B165='Landbrugsareal - resultat'!$B$6:$B$19)*(INDEX('Landbrugsareal - resultat'!$C$6:$E$19,,MATCH($D165,'Landbrugsareal - resultat'!$C$5:$E$5,0)))),IF(I$2=2030,SUMPRODUCT(($B165='Landbrugsareal - resultat'!$B$6:$B$19)*(INDEX('Landbrugsareal - resultat'!$F$6:$H$19,,MATCH($D165,'Landbrugsareal - resultat'!$F$5:$H$5,0)))),SUMPRODUCT(($B165='Landbrugsareal - resultat'!$B$6:$B$19)*(INDEX('Landbrugsareal - resultat'!$I$6:$K$19,,MATCH($D165,'Landbrugsareal - resultat'!$I$5:$K$5,0)))))),IF(I$2=2019,SUMPRODUCT(($B165='Landbrugsareal - resultat'!$B$6:$B$19)*(INDEX('Landbrugsareal - resultat'!$L$6:$N$19,,MATCH($D165,'Landbrugsareal - resultat'!$L$5:$N$5,0)))),IF(I$2=2030,SUMPRODUCT(($B165='Landbrugsareal - resultat'!$B$6:$B$19)*(INDEX('Landbrugsareal - resultat'!$O$6:$Q$19,,MATCH($D165,'Landbrugsareal - resultat'!$O$5:$Q$5,0)))),SUMPRODUCT(($B165='Landbrugsareal - resultat'!$B$6:$B$19)*(INDEX('Landbrugsareal - resultat'!$R$6:$T$19,,MATCH($D165,'Landbrugsareal - resultat'!$R$5:$T$5,0))))))),IF($C165="Konventionel",IF(I$2=2019,SUMPRODUCT((C165='Landbrugsareal - resultat'!$B$33:$B$46)*(INDEX('Landbrugsareal - resultat'!$C$33:$E$46,,MATCH($D165,'Landbrugsareal - resultat'!$C$5:$E$5,0)))),IF(I$2=2030,SUMPRODUCT(($B165='Landbrugsareal - resultat'!$B$33:$B$46)*(INDEX('Landbrugsareal - resultat'!$F$33:$H$46,,MATCH($D165,'Landbrugsareal - resultat'!$F$5:$H$5,0)))),SUMPRODUCT(($B165='Landbrugsareal - resultat'!$B$33:$B$46)*(INDEX('Landbrugsareal - resultat'!$I$33:$K$46,,MATCH($D165,'Landbrugsareal - resultat'!$I$5:$K$5,0)))))),IF(I$2=2019,SUMPRODUCT(($B165='Landbrugsareal - resultat'!$B$33:$B$46)*(INDEX('Landbrugsareal - resultat'!$L$33:$N$46,,MATCH($D165,'Landbrugsareal - resultat'!$L$5:$N$5,0)))),IF(I$2=2030,SUMPRODUCT(($B165='Landbrugsareal - resultat'!$B$33:$B$46)*(INDEX('Landbrugsareal - resultat'!$O$33:$Q$46,,MATCH($D165,'Landbrugsareal - resultat'!$O$5:$Q$5,0)))),SUMPRODUCT(($B165='Landbrugsareal - resultat'!$B$33:$B$46)*(INDEX('Landbrugsareal - resultat'!$R$33:$T$46,,MATCH($D165,'Landbrugsareal - resultat'!$R$5:$T$5,0))))))))</f>
        <v>3.3307579897472701</v>
      </c>
    </row>
    <row r="166" spans="1:9" x14ac:dyDescent="0.25">
      <c r="A166" t="s">
        <v>24</v>
      </c>
      <c r="B166" s="1" t="str">
        <f>[1]Afgrødefordeling!$C$11</f>
        <v>Øvrige</v>
      </c>
      <c r="C166" t="s">
        <v>8</v>
      </c>
      <c r="D166" t="str">
        <f t="shared" si="14"/>
        <v>OC12</v>
      </c>
      <c r="F166" t="str">
        <f t="shared" si="12"/>
        <v>Areal-øvrige</v>
      </c>
      <c r="G166" s="96" cm="1">
        <f t="array" ref="G166">IF($A166="Vestdanmark",IF($C166="Konventionel",IF(G$2=2019,SUMPRODUCT(($B166='Landbrugsareal - resultat'!$B$6:$B$19)*(INDEX('Landbrugsareal - resultat'!$C$6:$E$19,,MATCH($D166,'Landbrugsareal - resultat'!$C$5:$E$5,0)))),IF(G$2=2030,SUMPRODUCT(($B166='Landbrugsareal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resultat'!$I$5:$K$5,0)))))),IF(G$2=2019,SUMPRODUCT(($B166='Landbrugsareal - resultat'!$B$6:$B$19)*(INDEX('Landbrugsareal - resultat'!$L$6:$N$19,,MATCH($D166,'Landbrugsareal - resultat'!$L$5:$N$5,0)))),IF(G$2=2030,SUMPRODUCT(($B166='Landbrugsareal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resultat'!$R$5:$T$5,0))))))),IF($C166="Konventionel",IF(G$2=2019,SUMPRODUCT((B166='Landbrugsareal - resultat'!$B$33:$B$46)*(INDEX('Landbrugsareal - resultat'!$C$33:$E$46,,MATCH($D166,'Landbrugsareal - resultat'!$C$5:$E$5,0)))),IF(G$2=2030,SUMPRODUCT(($B166='Landbrugsareal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resultat'!$I$5:$K$5,0)))))),IF(G$2=2019,SUMPRODUCT(($B166='Landbrugsareal - resultat'!$B$33:$B$46)*(INDEX('Landbrugsareal - resultat'!$L$33:$N$46,,MATCH($D166,'Landbrugsareal - resultat'!$L$5:$N$5,0)))),IF(G$2=2030,SUMPRODUCT(($B166='Landbrugsareal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16.487015994612687</v>
      </c>
      <c r="H166" s="96" cm="1">
        <f t="array" ref="H166">IF($A166="Vestdanmark",IF($C166="Konventionel",IF(H$2=2019,SUMPRODUCT(($B166='Landbrugsareal - resultat'!$B$6:$B$19)*(INDEX('Landbrugsareal - resultat'!$C$6:$E$19,,MATCH($D166,'Landbrugsareal - resultat'!$C$5:$E$5,0)))),IF(H$2=2030,SUMPRODUCT(($B166='Landbrugsareal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resultat'!$I$5:$K$5,0)))))),IF(H$2=2019,SUMPRODUCT(($B166='Landbrugsareal - resultat'!$B$6:$B$19)*(INDEX('Landbrugsareal - resultat'!$L$6:$N$19,,MATCH($D166,'Landbrugsareal - resultat'!$L$5:$N$5,0)))),IF(H$2=2030,SUMPRODUCT(($B166='Landbrugsareal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resultat'!$R$5:$T$5,0))))))),IF($C166="Konventionel",IF(H$2=2019,SUMPRODUCT(($B166='Landbrugsareal - resultat'!$B$33:$B$46)*(INDEX('Landbrugsareal - resultat'!$C$33:$E$46,,MATCH($D166,'Landbrugsareal - resultat'!$C$5:$E$5,0)))),IF(H$2=2030,SUMPRODUCT(($B166='Landbrugsareal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resultat'!$I$5:$K$5,0)))))),IF(H$2=2019,SUMPRODUCT(($B166='Landbrugsareal - resultat'!$B$33:$B$46)*(INDEX('Landbrugsareal - resultat'!$L$33:$N$46,,MATCH($D166,'Landbrugsareal - resultat'!$L$5:$N$5,0)))),IF(H$2=2030,SUMPRODUCT(($B166='Landbrugsareal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18.347061216900691</v>
      </c>
      <c r="I166" s="96" cm="1">
        <f t="array" ref="I166">IF($A166="Vestdanmark",IF($C166="Konventionel",IF(I$2=2019,SUMPRODUCT(($B166='Landbrugsareal - resultat'!$B$6:$B$19)*(INDEX('Landbrugsareal - resultat'!$C$6:$E$19,,MATCH($D166,'Landbrugsareal - resultat'!$C$5:$E$5,0)))),IF(I$2=2030,SUMPRODUCT(($B166='Landbrugsareal - resultat'!$B$6:$B$19)*(INDEX('Landbrugsareal - resultat'!$F$6:$H$19,,MATCH($D166,'Landbrugsareal - resultat'!$F$5:$H$5,0)))),SUMPRODUCT(($B166='Landbrugsareal - resultat'!$B$6:$B$19)*(INDEX('Landbrugsareal - resultat'!$I$6:$K$19,,MATCH($D166,'Landbrugsareal - resultat'!$I$5:$K$5,0)))))),IF(I$2=2019,SUMPRODUCT(($B166='Landbrugsareal - resultat'!$B$6:$B$19)*(INDEX('Landbrugsareal - resultat'!$L$6:$N$19,,MATCH($D166,'Landbrugsareal - resultat'!$L$5:$N$5,0)))),IF(I$2=2030,SUMPRODUCT(($B166='Landbrugsareal - resultat'!$B$6:$B$19)*(INDEX('Landbrugsareal - resultat'!$O$6:$Q$19,,MATCH($D166,'Landbrugsareal - resultat'!$O$5:$Q$5,0)))),SUMPRODUCT(($B166='Landbrugsareal - resultat'!$B$6:$B$19)*(INDEX('Landbrugsareal - resultat'!$R$6:$T$19,,MATCH($D166,'Landbrugsareal - resultat'!$R$5:$T$5,0))))))),IF($C166="Konventionel",IF(I$2=2019,SUMPRODUCT((C166='Landbrugsareal - resultat'!$B$33:$B$46)*(INDEX('Landbrugsareal - resultat'!$C$33:$E$46,,MATCH($D166,'Landbrugsareal - resultat'!$C$5:$E$5,0)))),IF(I$2=2030,SUMPRODUCT(($B166='Landbrugsareal - resultat'!$B$33:$B$46)*(INDEX('Landbrugsareal - resultat'!$F$33:$H$46,,MATCH($D166,'Landbrugsareal - resultat'!$F$5:$H$5,0)))),SUMPRODUCT(($B166='Landbrugsareal - resultat'!$B$33:$B$46)*(INDEX('Landbrugsareal - resultat'!$I$33:$K$46,,MATCH($D166,'Landbrugsareal - resultat'!$I$5:$K$5,0)))))),IF(I$2=2019,SUMPRODUCT(($B166='Landbrugsareal - resultat'!$B$33:$B$46)*(INDEX('Landbrugsareal - resultat'!$L$33:$N$46,,MATCH($D166,'Landbrugsareal - resultat'!$L$5:$N$5,0)))),IF(I$2=2030,SUMPRODUCT(($B166='Landbrugsareal - resultat'!$B$33:$B$46)*(INDEX('Landbrugsareal - resultat'!$O$33:$Q$46,,MATCH($D166,'Landbrugsareal - resultat'!$O$5:$Q$5,0)))),SUMPRODUCT(($B166='Landbrugsareal - resultat'!$B$33:$B$46)*(INDEX('Landbrugsareal - resultat'!$R$33:$T$46,,MATCH($D166,'Landbrugsareal - resultat'!$R$5:$T$5,0))))))))</f>
        <v>23.783227503389778</v>
      </c>
    </row>
    <row r="167" spans="1:9" x14ac:dyDescent="0.25">
      <c r="A167" t="s">
        <v>24</v>
      </c>
      <c r="B167" s="1" t="str">
        <f>[1]Afgrødefordeling!$C$12</f>
        <v>Frø</v>
      </c>
      <c r="C167" t="s">
        <v>8</v>
      </c>
      <c r="D167" t="str">
        <f t="shared" si="14"/>
        <v>OC12</v>
      </c>
      <c r="F167" t="str">
        <f t="shared" si="12"/>
        <v>Areal-frøgræs</v>
      </c>
      <c r="G167" s="96" cm="1">
        <f t="array" ref="G167">IF($A167="Vestdanmark",IF($C167="Konventionel",IF(G$2=2019,SUMPRODUCT(($B167='Landbrugsareal - resultat'!$B$6:$B$19)*(INDEX('Landbrugsareal - resultat'!$C$6:$E$19,,MATCH($D167,'Landbrugsareal - resultat'!$C$5:$E$5,0)))),IF(G$2=2030,SUMPRODUCT(($B167='Landbrugsareal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resultat'!$I$5:$K$5,0)))))),IF(G$2=2019,SUMPRODUCT(($B167='Landbrugsareal - resultat'!$B$6:$B$19)*(INDEX('Landbrugsareal - resultat'!$L$6:$N$19,,MATCH($D167,'Landbrugsareal - resultat'!$L$5:$N$5,0)))),IF(G$2=2030,SUMPRODUCT(($B167='Landbrugsareal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resultat'!$R$5:$T$5,0))))))),IF($C167="Konventionel",IF(G$2=2019,SUMPRODUCT((B167='Landbrugsareal - resultat'!$B$33:$B$46)*(INDEX('Landbrugsareal - resultat'!$C$33:$E$46,,MATCH($D167,'Landbrugsareal - resultat'!$C$5:$E$5,0)))),IF(G$2=2030,SUMPRODUCT(($B167='Landbrugsareal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resultat'!$I$5:$K$5,0)))))),IF(G$2=2019,SUMPRODUCT(($B167='Landbrugsareal - resultat'!$B$33:$B$46)*(INDEX('Landbrugsareal - resultat'!$L$33:$N$46,,MATCH($D167,'Landbrugsareal - resultat'!$L$5:$N$5,0)))),IF(G$2=2030,SUMPRODUCT(($B167='Landbrugsareal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154.28842245346829</v>
      </c>
      <c r="H167" s="96" cm="1">
        <f t="array" ref="H167">IF($A167="Vestdanmark",IF($C167="Konventionel",IF(H$2=2019,SUMPRODUCT(($B167='Landbrugsareal - resultat'!$B$6:$B$19)*(INDEX('Landbrugsareal - resultat'!$C$6:$E$19,,MATCH($D167,'Landbrugsareal - resultat'!$C$5:$E$5,0)))),IF(H$2=2030,SUMPRODUCT(($B167='Landbrugsareal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resultat'!$I$5:$K$5,0)))))),IF(H$2=2019,SUMPRODUCT(($B167='Landbrugsareal - resultat'!$B$6:$B$19)*(INDEX('Landbrugsareal - resultat'!$L$6:$N$19,,MATCH($D167,'Landbrugsareal - resultat'!$L$5:$N$5,0)))),IF(H$2=2030,SUMPRODUCT(($B167='Landbrugsareal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resultat'!$R$5:$T$5,0))))))),IF($C167="Konventionel",IF(H$2=2019,SUMPRODUCT(($B167='Landbrugsareal - resultat'!$B$33:$B$46)*(INDEX('Landbrugsareal - resultat'!$C$33:$E$46,,MATCH($D167,'Landbrugsareal - resultat'!$C$5:$E$5,0)))),IF(H$2=2030,SUMPRODUCT(($B167='Landbrugsareal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resultat'!$I$5:$K$5,0)))))),IF(H$2=2019,SUMPRODUCT(($B167='Landbrugsareal - resultat'!$B$33:$B$46)*(INDEX('Landbrugsareal - resultat'!$L$33:$N$46,,MATCH($D167,'Landbrugsareal - resultat'!$L$5:$N$5,0)))),IF(H$2=2030,SUMPRODUCT(($B167='Landbrugsareal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171.6950558389579</v>
      </c>
      <c r="I167" s="96" cm="1">
        <f t="array" ref="I167">IF($A167="Vestdanmark",IF($C167="Konventionel",IF(I$2=2019,SUMPRODUCT(($B167='Landbrugsareal - resultat'!$B$6:$B$19)*(INDEX('Landbrugsareal - resultat'!$C$6:$E$19,,MATCH($D167,'Landbrugsareal - resultat'!$C$5:$E$5,0)))),IF(I$2=2030,SUMPRODUCT(($B167='Landbrugsareal - resultat'!$B$6:$B$19)*(INDEX('Landbrugsareal - resultat'!$F$6:$H$19,,MATCH($D167,'Landbrugsareal - resultat'!$F$5:$H$5,0)))),SUMPRODUCT(($B167='Landbrugsareal - resultat'!$B$6:$B$19)*(INDEX('Landbrugsareal - resultat'!$I$6:$K$19,,MATCH($D167,'Landbrugsareal - resultat'!$I$5:$K$5,0)))))),IF(I$2=2019,SUMPRODUCT(($B167='Landbrugsareal - resultat'!$B$6:$B$19)*(INDEX('Landbrugsareal - resultat'!$L$6:$N$19,,MATCH($D167,'Landbrugsareal - resultat'!$L$5:$N$5,0)))),IF(I$2=2030,SUMPRODUCT(($B167='Landbrugsareal - resultat'!$B$6:$B$19)*(INDEX('Landbrugsareal - resultat'!$O$6:$Q$19,,MATCH($D167,'Landbrugsareal - resultat'!$O$5:$Q$5,0)))),SUMPRODUCT(($B167='Landbrugsareal - resultat'!$B$6:$B$19)*(INDEX('Landbrugsareal - resultat'!$R$6:$T$19,,MATCH($D167,'Landbrugsareal - resultat'!$R$5:$T$5,0))))))),IF($C167="Konventionel",IF(I$2=2019,SUMPRODUCT((C167='Landbrugsareal - resultat'!$B$33:$B$46)*(INDEX('Landbrugsareal - resultat'!$C$33:$E$46,,MATCH($D167,'Landbrugsareal - resultat'!$C$5:$E$5,0)))),IF(I$2=2030,SUMPRODUCT(($B167='Landbrugsareal - resultat'!$B$33:$B$46)*(INDEX('Landbrugsareal - resultat'!$F$33:$H$46,,MATCH($D167,'Landbrugsareal - resultat'!$F$5:$H$5,0)))),SUMPRODUCT(($B167='Landbrugsareal - resultat'!$B$33:$B$46)*(INDEX('Landbrugsareal - resultat'!$I$33:$K$46,,MATCH($D167,'Landbrugsareal - resultat'!$I$5:$K$5,0)))))),IF(I$2=2019,SUMPRODUCT(($B167='Landbrugsareal - resultat'!$B$33:$B$46)*(INDEX('Landbrugsareal - resultat'!$L$33:$N$46,,MATCH($D167,'Landbrugsareal - resultat'!$L$5:$N$5,0)))),IF(I$2=2030,SUMPRODUCT(($B167='Landbrugsareal - resultat'!$B$33:$B$46)*(INDEX('Landbrugsareal - resultat'!$O$33:$Q$46,,MATCH($D167,'Landbrugsareal - resultat'!$O$5:$Q$5,0)))),SUMPRODUCT(($B167='Landbrugsareal - resultat'!$B$33:$B$46)*(INDEX('Landbrugsareal - resultat'!$R$33:$T$46,,MATCH($D167,'Landbrugsareal - resultat'!$R$5:$T$5,0))))))))</f>
        <v>222.56766497642693</v>
      </c>
    </row>
    <row r="168" spans="1:9" x14ac:dyDescent="0.25">
      <c r="A168" t="s">
        <v>24</v>
      </c>
      <c r="B168" s="1" t="str">
        <f>[1]Afgrødefordeling!$C$13</f>
        <v>Juletræer</v>
      </c>
      <c r="C168" t="s">
        <v>8</v>
      </c>
      <c r="D168" t="str">
        <f t="shared" si="14"/>
        <v>OC12</v>
      </c>
      <c r="F168" t="str">
        <f t="shared" si="12"/>
        <v>Areal-juletræer</v>
      </c>
      <c r="G168" s="96" cm="1">
        <f t="array" ref="G168">IF($A168="Vestdanmark",IF($C168="Konventionel",IF(G$2=2019,SUMPRODUCT(($B168='Landbrugsareal - resultat'!$B$6:$B$19)*(INDEX('Landbrugsareal - resultat'!$C$6:$E$19,,MATCH($D168,'Landbrugsareal - resultat'!$C$5:$E$5,0)))),IF(G$2=2030,SUMPRODUCT(($B168='Landbrugsareal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resultat'!$I$5:$K$5,0)))))),IF(G$2=2019,SUMPRODUCT(($B168='Landbrugsareal - resultat'!$B$6:$B$19)*(INDEX('Landbrugsareal - resultat'!$L$6:$N$19,,MATCH($D168,'Landbrugsareal - resultat'!$L$5:$N$5,0)))),IF(G$2=2030,SUMPRODUCT(($B168='Landbrugsareal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resultat'!$R$5:$T$5,0))))))),IF($C168="Konventionel",IF(G$2=2019,SUMPRODUCT((B168='Landbrugsareal - resultat'!$B$33:$B$46)*(INDEX('Landbrugsareal - resultat'!$C$33:$E$46,,MATCH($D168,'Landbrugsareal - resultat'!$C$5:$E$5,0)))),IF(G$2=2030,SUMPRODUCT(($B168='Landbrugsareal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resultat'!$I$5:$K$5,0)))))),IF(G$2=2019,SUMPRODUCT(($B168='Landbrugsareal - resultat'!$B$33:$B$46)*(INDEX('Landbrugsareal - resultat'!$L$33:$N$46,,MATCH($D168,'Landbrugsareal - resultat'!$L$5:$N$5,0)))),IF(G$2=2030,SUMPRODUCT(($B168='Landbrugsareal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3.6181100022778421</v>
      </c>
      <c r="H168" s="96" cm="1">
        <f t="array" ref="H168">IF($A168="Vestdanmark",IF($C168="Konventionel",IF(H$2=2019,SUMPRODUCT(($B168='Landbrugsareal - resultat'!$B$6:$B$19)*(INDEX('Landbrugsareal - resultat'!$C$6:$E$19,,MATCH($D168,'Landbrugsareal - resultat'!$C$5:$E$5,0)))),IF(H$2=2030,SUMPRODUCT(($B168='Landbrugsareal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resultat'!$I$5:$K$5,0)))))),IF(H$2=2019,SUMPRODUCT(($B168='Landbrugsareal - resultat'!$B$6:$B$19)*(INDEX('Landbrugsareal - resultat'!$L$6:$N$19,,MATCH($D168,'Landbrugsareal - resultat'!$L$5:$N$5,0)))),IF(H$2=2030,SUMPRODUCT(($B168='Landbrugsareal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resultat'!$R$5:$T$5,0))))))),IF($C168="Konventionel",IF(H$2=2019,SUMPRODUCT(($B168='Landbrugsareal - resultat'!$B$33:$B$46)*(INDEX('Landbrugsareal - resultat'!$C$33:$E$46,,MATCH($D168,'Landbrugsareal - resultat'!$C$5:$E$5,0)))),IF(H$2=2030,SUMPRODUCT(($B168='Landbrugsareal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resultat'!$I$5:$K$5,0)))))),IF(H$2=2019,SUMPRODUCT(($B168='Landbrugsareal - resultat'!$B$33:$B$46)*(INDEX('Landbrugsareal - resultat'!$L$33:$N$46,,MATCH($D168,'Landbrugsareal - resultat'!$L$5:$N$5,0)))),IF(H$2=2030,SUMPRODUCT(($B168='Landbrugsareal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4.0263008007612289</v>
      </c>
      <c r="I168" s="96" cm="1">
        <f t="array" ref="I168">IF($A168="Vestdanmark",IF($C168="Konventionel",IF(I$2=2019,SUMPRODUCT(($B168='Landbrugsareal - resultat'!$B$6:$B$19)*(INDEX('Landbrugsareal - resultat'!$C$6:$E$19,,MATCH($D168,'Landbrugsareal - resultat'!$C$5:$E$5,0)))),IF(I$2=2030,SUMPRODUCT(($B168='Landbrugsareal - resultat'!$B$6:$B$19)*(INDEX('Landbrugsareal - resultat'!$F$6:$H$19,,MATCH($D168,'Landbrugsareal - resultat'!$F$5:$H$5,0)))),SUMPRODUCT(($B168='Landbrugsareal - resultat'!$B$6:$B$19)*(INDEX('Landbrugsareal - resultat'!$I$6:$K$19,,MATCH($D168,'Landbrugsareal - resultat'!$I$5:$K$5,0)))))),IF(I$2=2019,SUMPRODUCT(($B168='Landbrugsareal - resultat'!$B$6:$B$19)*(INDEX('Landbrugsareal - resultat'!$L$6:$N$19,,MATCH($D168,'Landbrugsareal - resultat'!$L$5:$N$5,0)))),IF(I$2=2030,SUMPRODUCT(($B168='Landbrugsareal - resultat'!$B$6:$B$19)*(INDEX('Landbrugsareal - resultat'!$O$6:$Q$19,,MATCH($D168,'Landbrugsareal - resultat'!$O$5:$Q$5,0)))),SUMPRODUCT(($B168='Landbrugsareal - resultat'!$B$6:$B$19)*(INDEX('Landbrugsareal - resultat'!$R$6:$T$19,,MATCH($D168,'Landbrugsareal - resultat'!$R$5:$T$5,0))))))),IF($C168="Konventionel",IF(I$2=2019,SUMPRODUCT((C168='Landbrugsareal - resultat'!$B$33:$B$46)*(INDEX('Landbrugsareal - resultat'!$C$33:$E$46,,MATCH($D168,'Landbrugsareal - resultat'!$C$5:$E$5,0)))),IF(I$2=2030,SUMPRODUCT(($B168='Landbrugsareal - resultat'!$B$33:$B$46)*(INDEX('Landbrugsareal - resultat'!$F$33:$H$46,,MATCH($D168,'Landbrugsareal - resultat'!$F$5:$H$5,0)))),SUMPRODUCT(($B168='Landbrugsareal - resultat'!$B$33:$B$46)*(INDEX('Landbrugsareal - resultat'!$I$33:$K$46,,MATCH($D168,'Landbrugsareal - resultat'!$I$5:$K$5,0)))))),IF(I$2=2019,SUMPRODUCT(($B168='Landbrugsareal - resultat'!$B$33:$B$46)*(INDEX('Landbrugsareal - resultat'!$L$33:$N$46,,MATCH($D168,'Landbrugsareal - resultat'!$L$5:$N$5,0)))),IF(I$2=2030,SUMPRODUCT(($B168='Landbrugsareal - resultat'!$B$33:$B$46)*(INDEX('Landbrugsareal - resultat'!$O$33:$Q$46,,MATCH($D168,'Landbrugsareal - resultat'!$O$5:$Q$5,0)))),SUMPRODUCT(($B168='Landbrugsareal - resultat'!$B$33:$B$46)*(INDEX('Landbrugsareal - resultat'!$R$33:$T$46,,MATCH($D168,'Landbrugsareal - resultat'!$R$5:$T$5,0))))))))</f>
        <v>5.2192788158015926</v>
      </c>
    </row>
    <row r="169" spans="1:9" x14ac:dyDescent="0.25">
      <c r="A169" t="s">
        <v>24</v>
      </c>
      <c r="B169" s="1" t="str">
        <f>[1]Afgrødefordeling!$C$14</f>
        <v>Pil &amp; poppel</v>
      </c>
      <c r="C169" t="s">
        <v>8</v>
      </c>
      <c r="D169" t="str">
        <f t="shared" si="14"/>
        <v>OC12</v>
      </c>
      <c r="F169" t="str">
        <f t="shared" si="12"/>
        <v>Areal-pil-poppel</v>
      </c>
      <c r="G169" s="96" cm="1">
        <f t="array" ref="G169">IF($A169="Vestdanmark",IF($C169="Konventionel",IF(G$2=2019,SUMPRODUCT(($B169='Landbrugsareal - resultat'!$B$6:$B$19)*(INDEX('Landbrugsareal - resultat'!$C$6:$E$19,,MATCH($D169,'Landbrugsareal - resultat'!$C$5:$E$5,0)))),IF(G$2=2030,SUMPRODUCT(($B169='Landbrugsareal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resultat'!$I$5:$K$5,0)))))),IF(G$2=2019,SUMPRODUCT(($B169='Landbrugsareal - resultat'!$B$6:$B$19)*(INDEX('Landbrugsareal - resultat'!$L$6:$N$19,,MATCH($D169,'Landbrugsareal - resultat'!$L$5:$N$5,0)))),IF(G$2=2030,SUMPRODUCT(($B169='Landbrugsareal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resultat'!$R$5:$T$5,0))))))),IF($C169="Konventionel",IF(G$2=2019,SUMPRODUCT((B169='Landbrugsareal - resultat'!$B$33:$B$46)*(INDEX('Landbrugsareal - resultat'!$C$33:$E$46,,MATCH($D169,'Landbrugsareal - resultat'!$C$5:$E$5,0)))),IF(G$2=2030,SUMPRODUCT(($B169='Landbrugsareal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resultat'!$I$5:$K$5,0)))))),IF(G$2=2019,SUMPRODUCT(($B169='Landbrugsareal - resultat'!$B$33:$B$46)*(INDEX('Landbrugsareal - resultat'!$L$33:$N$46,,MATCH($D169,'Landbrugsareal - resultat'!$L$5:$N$5,0)))),IF(G$2=2030,SUMPRODUCT(($B169='Landbrugsareal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11.036752413519869</v>
      </c>
      <c r="H169" s="96" cm="1">
        <f t="array" ref="H169">IF($A169="Vestdanmark",IF($C169="Konventionel",IF(H$2=2019,SUMPRODUCT(($B169='Landbrugsareal - resultat'!$B$6:$B$19)*(INDEX('Landbrugsareal - resultat'!$C$6:$E$19,,MATCH($D169,'Landbrugsareal - resultat'!$C$5:$E$5,0)))),IF(H$2=2030,SUMPRODUCT(($B169='Landbrugsareal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resultat'!$I$5:$K$5,0)))))),IF(H$2=2019,SUMPRODUCT(($B169='Landbrugsareal - resultat'!$B$6:$B$19)*(INDEX('Landbrugsareal - resultat'!$L$6:$N$19,,MATCH($D169,'Landbrugsareal - resultat'!$L$5:$N$5,0)))),IF(H$2=2030,SUMPRODUCT(($B169='Landbrugsareal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resultat'!$R$5:$T$5,0))))))),IF($C169="Konventionel",IF(H$2=2019,SUMPRODUCT(($B169='Landbrugsareal - resultat'!$B$33:$B$46)*(INDEX('Landbrugsareal - resultat'!$C$33:$E$46,,MATCH($D169,'Landbrugsareal - resultat'!$C$5:$E$5,0)))),IF(H$2=2030,SUMPRODUCT(($B169='Landbrugsareal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resultat'!$I$5:$K$5,0)))))),IF(H$2=2019,SUMPRODUCT(($B169='Landbrugsareal - resultat'!$B$33:$B$46)*(INDEX('Landbrugsareal - resultat'!$L$33:$N$46,,MATCH($D169,'Landbrugsareal - resultat'!$L$5:$N$5,0)))),IF(H$2=2030,SUMPRODUCT(($B169='Landbrugsareal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12.281905484460736</v>
      </c>
      <c r="I169" s="96" cm="1">
        <f t="array" ref="I169">IF($A169="Vestdanmark",IF($C169="Konventionel",IF(I$2=2019,SUMPRODUCT(($B169='Landbrugsareal - resultat'!$B$6:$B$19)*(INDEX('Landbrugsareal - resultat'!$C$6:$E$19,,MATCH($D169,'Landbrugsareal - resultat'!$C$5:$E$5,0)))),IF(I$2=2030,SUMPRODUCT(($B169='Landbrugsareal - resultat'!$B$6:$B$19)*(INDEX('Landbrugsareal - resultat'!$F$6:$H$19,,MATCH($D169,'Landbrugsareal - resultat'!$F$5:$H$5,0)))),SUMPRODUCT(($B169='Landbrugsareal - resultat'!$B$6:$B$19)*(INDEX('Landbrugsareal - resultat'!$I$6:$K$19,,MATCH($D169,'Landbrugsareal - resultat'!$I$5:$K$5,0)))))),IF(I$2=2019,SUMPRODUCT(($B169='Landbrugsareal - resultat'!$B$6:$B$19)*(INDEX('Landbrugsareal - resultat'!$L$6:$N$19,,MATCH($D169,'Landbrugsareal - resultat'!$L$5:$N$5,0)))),IF(I$2=2030,SUMPRODUCT(($B169='Landbrugsareal - resultat'!$B$6:$B$19)*(INDEX('Landbrugsareal - resultat'!$O$6:$Q$19,,MATCH($D169,'Landbrugsareal - resultat'!$O$5:$Q$5,0)))),SUMPRODUCT(($B169='Landbrugsareal - resultat'!$B$6:$B$19)*(INDEX('Landbrugsareal - resultat'!$R$6:$T$19,,MATCH($D169,'Landbrugsareal - resultat'!$R$5:$T$5,0))))))),IF($C169="Konventionel",IF(I$2=2019,SUMPRODUCT((C169='Landbrugsareal - resultat'!$B$33:$B$46)*(INDEX('Landbrugsareal - resultat'!$C$33:$E$46,,MATCH($D169,'Landbrugsareal - resultat'!$C$5:$E$5,0)))),IF(I$2=2030,SUMPRODUCT(($B169='Landbrugsareal - resultat'!$B$33:$B$46)*(INDEX('Landbrugsareal - resultat'!$F$33:$H$46,,MATCH($D169,'Landbrugsareal - resultat'!$F$5:$H$5,0)))),SUMPRODUCT(($B169='Landbrugsareal - resultat'!$B$33:$B$46)*(INDEX('Landbrugsareal - resultat'!$I$33:$K$46,,MATCH($D169,'Landbrugsareal - resultat'!$I$5:$K$5,0)))))),IF(I$2=2019,SUMPRODUCT(($B169='Landbrugsareal - resultat'!$B$33:$B$46)*(INDEX('Landbrugsareal - resultat'!$L$33:$N$46,,MATCH($D169,'Landbrugsareal - resultat'!$L$5:$N$5,0)))),IF(I$2=2030,SUMPRODUCT(($B169='Landbrugsareal - resultat'!$B$33:$B$46)*(INDEX('Landbrugsareal - resultat'!$O$33:$Q$46,,MATCH($D169,'Landbrugsareal - resultat'!$O$5:$Q$5,0)))),SUMPRODUCT(($B169='Landbrugsareal - resultat'!$B$33:$B$46)*(INDEX('Landbrugsareal - resultat'!$R$33:$T$46,,MATCH($D169,'Landbrugsareal - resultat'!$R$5:$T$5,0))))))))</f>
        <v>15.920988590967621</v>
      </c>
    </row>
    <row r="170" spans="1:9" x14ac:dyDescent="0.25">
      <c r="A170" t="s">
        <v>24</v>
      </c>
      <c r="B170" s="1" t="str">
        <f>[1]Afgrødefordeling!$C$15</f>
        <v>Permanent græs</v>
      </c>
      <c r="C170" t="s">
        <v>8</v>
      </c>
      <c r="D170" t="str">
        <f t="shared" si="14"/>
        <v>OC12</v>
      </c>
      <c r="F170" t="str">
        <f t="shared" si="12"/>
        <v>Areal-permanent græs</v>
      </c>
      <c r="G170" s="96" cm="1">
        <f t="array" ref="G170">IF($A170="Vestdanmark",IF($C170="Konventionel",IF(G$2=2019,SUMPRODUCT(($B170='Landbrugsareal - resultat'!$B$6:$B$19)*(INDEX('Landbrugsareal - resultat'!$C$6:$E$19,,MATCH($D170,'Landbrugsareal - resultat'!$C$5:$E$5,0)))),IF(G$2=2030,SUMPRODUCT(($B170='Landbrugsareal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resultat'!$I$5:$K$5,0)))))),IF(G$2=2019,SUMPRODUCT(($B170='Landbrugsareal - resultat'!$B$6:$B$19)*(INDEX('Landbrugsareal - resultat'!$L$6:$N$19,,MATCH($D170,'Landbrugsareal - resultat'!$L$5:$N$5,0)))),IF(G$2=2030,SUMPRODUCT(($B170='Landbrugsareal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resultat'!$R$5:$T$5,0))))))),IF($C170="Konventionel",IF(G$2=2019,SUMPRODUCT((B170='Landbrugsareal - resultat'!$B$33:$B$46)*(INDEX('Landbrugsareal - resultat'!$C$33:$E$46,,MATCH($D170,'Landbrugsareal - resultat'!$C$5:$E$5,0)))),IF(G$2=2030,SUMPRODUCT(($B170='Landbrugsareal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resultat'!$I$5:$K$5,0)))))),IF(G$2=2019,SUMPRODUCT(($B170='Landbrugsareal - resultat'!$B$33:$B$46)*(INDEX('Landbrugsareal - resultat'!$L$33:$N$46,,MATCH($D170,'Landbrugsareal - resultat'!$L$5:$N$5,0)))),IF(G$2=2030,SUMPRODUCT(($B170='Landbrugsareal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421.80759304346049</v>
      </c>
      <c r="H170" s="96" cm="1">
        <f t="array" ref="H170">IF($A170="Vestdanmark",IF($C170="Konventionel",IF(H$2=2019,SUMPRODUCT(($B170='Landbrugsareal - resultat'!$B$6:$B$19)*(INDEX('Landbrugsareal - resultat'!$C$6:$E$19,,MATCH($D170,'Landbrugsareal - resultat'!$C$5:$E$5,0)))),IF(H$2=2030,SUMPRODUCT(($B170='Landbrugsareal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resultat'!$I$5:$K$5,0)))))),IF(H$2=2019,SUMPRODUCT(($B170='Landbrugsareal - resultat'!$B$6:$B$19)*(INDEX('Landbrugsareal - resultat'!$L$6:$N$19,,MATCH($D170,'Landbrugsareal - resultat'!$L$5:$N$5,0)))),IF(H$2=2030,SUMPRODUCT(($B170='Landbrugsareal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resultat'!$R$5:$T$5,0))))))),IF($C170="Konventionel",IF(H$2=2019,SUMPRODUCT(($B170='Landbrugsareal - resultat'!$B$33:$B$46)*(INDEX('Landbrugsareal - resultat'!$C$33:$E$46,,MATCH($D170,'Landbrugsareal - resultat'!$C$5:$E$5,0)))),IF(H$2=2030,SUMPRODUCT(($B170='Landbrugsareal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resultat'!$I$5:$K$5,0)))))),IF(H$2=2019,SUMPRODUCT(($B170='Landbrugsareal - resultat'!$B$33:$B$46)*(INDEX('Landbrugsareal - resultat'!$L$33:$N$46,,MATCH($D170,'Landbrugsareal - resultat'!$L$5:$N$5,0)))),IF(H$2=2030,SUMPRODUCT(($B170='Landbrugsareal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427.11976077481125</v>
      </c>
      <c r="I170" s="96" cm="1">
        <f t="array" ref="I170">IF($A170="Vestdanmark",IF($C170="Konventionel",IF(I$2=2019,SUMPRODUCT(($B170='Landbrugsareal - resultat'!$B$6:$B$19)*(INDEX('Landbrugsareal - resultat'!$C$6:$E$19,,MATCH($D170,'Landbrugsareal - resultat'!$C$5:$E$5,0)))),IF(I$2=2030,SUMPRODUCT(($B170='Landbrugsareal - resultat'!$B$6:$B$19)*(INDEX('Landbrugsareal - resultat'!$F$6:$H$19,,MATCH($D170,'Landbrugsareal - resultat'!$F$5:$H$5,0)))),SUMPRODUCT(($B170='Landbrugsareal - resultat'!$B$6:$B$19)*(INDEX('Landbrugsareal - resultat'!$I$6:$K$19,,MATCH($D170,'Landbrugsareal - resultat'!$I$5:$K$5,0)))))),IF(I$2=2019,SUMPRODUCT(($B170='Landbrugsareal - resultat'!$B$6:$B$19)*(INDEX('Landbrugsareal - resultat'!$L$6:$N$19,,MATCH($D170,'Landbrugsareal - resultat'!$L$5:$N$5,0)))),IF(I$2=2030,SUMPRODUCT(($B170='Landbrugsareal - resultat'!$B$6:$B$19)*(INDEX('Landbrugsareal - resultat'!$O$6:$Q$19,,MATCH($D170,'Landbrugsareal - resultat'!$O$5:$Q$5,0)))),SUMPRODUCT(($B170='Landbrugsareal - resultat'!$B$6:$B$19)*(INDEX('Landbrugsareal - resultat'!$R$6:$T$19,,MATCH($D170,'Landbrugsareal - resultat'!$R$5:$T$5,0))))))),IF($C170="Konventionel",IF(I$2=2019,SUMPRODUCT((C170='Landbrugsareal - resultat'!$B$33:$B$46)*(INDEX('Landbrugsareal - resultat'!$C$33:$E$46,,MATCH($D170,'Landbrugsareal - resultat'!$C$5:$E$5,0)))),IF(I$2=2030,SUMPRODUCT(($B170='Landbrugsareal - resultat'!$B$33:$B$46)*(INDEX('Landbrugsareal - resultat'!$F$33:$H$46,,MATCH($D170,'Landbrugsareal - resultat'!$F$5:$H$5,0)))),SUMPRODUCT(($B170='Landbrugsareal - resultat'!$B$33:$B$46)*(INDEX('Landbrugsareal - resultat'!$I$33:$K$46,,MATCH($D170,'Landbrugsareal - resultat'!$I$5:$K$5,0)))))),IF(I$2=2019,SUMPRODUCT(($B170='Landbrugsareal - resultat'!$B$33:$B$46)*(INDEX('Landbrugsareal - resultat'!$L$33:$N$46,,MATCH($D170,'Landbrugsareal - resultat'!$L$5:$N$5,0)))),IF(I$2=2030,SUMPRODUCT(($B170='Landbrugsareal - resultat'!$B$33:$B$46)*(INDEX('Landbrugsareal - resultat'!$O$33:$Q$46,,MATCH($D170,'Landbrugsareal - resultat'!$O$5:$Q$5,0)))),SUMPRODUCT(($B170='Landbrugsareal - resultat'!$B$33:$B$46)*(INDEX('Landbrugsareal - resultat'!$R$33:$T$46,,MATCH($D170,'Landbrugsareal - resultat'!$R$5:$T$5,0))))))))</f>
        <v>553.6737639673479</v>
      </c>
    </row>
    <row r="171" spans="1:9" x14ac:dyDescent="0.25">
      <c r="A171" t="s">
        <v>23</v>
      </c>
      <c r="B171" t="s">
        <v>22</v>
      </c>
      <c r="C171" t="s">
        <v>7</v>
      </c>
      <c r="F171" t="str">
        <f>B171</f>
        <v>Svin</v>
      </c>
      <c r="G171" s="96" cm="1">
        <f t="array" ref="G171">(INDEX([1]Dyrehold!$C$14:$E$17,MATCH(1,(A171=[1]Dyrehold!$A$14:$A$17)*(C171=[1]Dyrehold!$B$14:$B$17),0),MATCH($B171,[1]Dyrehold!$C$13:$E$13,0)))</f>
        <v>10266966</v>
      </c>
      <c r="H171" s="96">
        <f>SUMIFS($G$3:$G$182,$A$3:$A$182,$A171,$B$3:$B$182,$B171)*VLOOKUP($B171,Landbrug!$B$11:$E$13,3,FALSE)*IF($C171&lt;&gt;"Økologisk",1-VLOOKUP($B171,Landbrug!$B$6:$E$8,3,FALSE),VLOOKUP($B171,Landbrug!$B$6:$E$8,3,FALSE))</f>
        <v>12097501.629685199</v>
      </c>
      <c r="I171" s="96">
        <f>SUMIFS($G$3:$G$182,$A$3:$A$182,$A171,$B$3:$B$182,$B171)*VLOOKUP($B171,Landbrug!$B$11:$E$13,4,FALSE)*IF($C171&lt;&gt;"Økologisk",1-VLOOKUP($B171,Landbrug!$B$6:$E$8,4,FALSE),VLOOKUP($B171,Landbrug!$B$6:$E$8,4,FALSE))</f>
        <v>11581864.3656852</v>
      </c>
    </row>
    <row r="172" spans="1:9" x14ac:dyDescent="0.25">
      <c r="A172" t="s">
        <v>24</v>
      </c>
      <c r="B172" t="s">
        <v>22</v>
      </c>
      <c r="C172" t="s">
        <v>7</v>
      </c>
      <c r="F172" t="str">
        <f t="shared" ref="F172:F184" si="15">B172</f>
        <v>Svin</v>
      </c>
      <c r="G172" s="96" cm="1">
        <f t="array" ref="G172">(INDEX([1]Dyrehold!$C$14:$E$17,MATCH(1,(A172=[1]Dyrehold!$A$14:$A$17)*(C172=[1]Dyrehold!$B$14:$B$17),0),MATCH($B172,[1]Dyrehold!$C$13:$E$13,0)))</f>
        <v>1541102</v>
      </c>
      <c r="H172" s="96">
        <f>SUMIFS($G$3:$G$182,$A$3:$A$182,$A172,$B$3:$B$182,$B172)*VLOOKUP($B172,Landbrug!$B$11:$E$13,3,FALSE)*IF($C172&lt;&gt;"Økologisk",1-VLOOKUP($B172,Landbrug!$B$6:$E$8,3,FALSE),VLOOKUP($B172,Landbrug!$B$6:$E$8,3,FALSE))</f>
        <v>1752893.0862546694</v>
      </c>
      <c r="I172" s="96">
        <f>SUMIFS($G$3:$G$182,$A$3:$A$182,$A172,$B$3:$B$182,$B172)*VLOOKUP($B172,Landbrug!$B$11:$E$13,4,FALSE)*IF($C172&lt;&gt;"Økologisk",1-VLOOKUP($B172,Landbrug!$B$6:$E$8,4,FALSE),VLOOKUP($B172,Landbrug!$B$6:$E$8,4,FALSE))</f>
        <v>1678178.7342546694</v>
      </c>
    </row>
    <row r="173" spans="1:9" x14ac:dyDescent="0.25">
      <c r="A173" t="s">
        <v>23</v>
      </c>
      <c r="B173" t="s">
        <v>22</v>
      </c>
      <c r="C173" t="s">
        <v>8</v>
      </c>
      <c r="F173" t="str">
        <f t="shared" si="15"/>
        <v>Svin</v>
      </c>
      <c r="G173" s="96" cm="1">
        <f t="array" ref="G173">(INDEX([1]Dyrehold!$C$14:$E$17,MATCH(1,(A173=[1]Dyrehold!$A$14:$A$17)*(C173=[1]Dyrehold!$B$14:$B$17),0),MATCH($B173,[1]Dyrehold!$C$13:$E$13,0)))</f>
        <v>475477</v>
      </c>
      <c r="H173" s="96">
        <f>SUMIFS($G$3:$G$182,$A$3:$A$182,$A173,$B$3:$B$182,$B173)*VLOOKUP($B173,Landbrug!$B$11:$E$13,3,FALSE)*IF($C173&lt;&gt;"Økologisk",1-VLOOKUP($B173,Landbrug!$B$6:$E$8,3,FALSE),VLOOKUP($B173,Landbrug!$B$6:$E$8,3,FALSE))</f>
        <v>793429.97031479969</v>
      </c>
      <c r="I173" s="96">
        <f>SUMIFS($G$3:$G$182,$A$3:$A$182,$A173,$B$3:$B$182,$B173)*VLOOKUP($B173,Landbrug!$B$11:$E$13,4,FALSE)*IF($C173&lt;&gt;"Økologisk",1-VLOOKUP($B173,Landbrug!$B$6:$E$8,4,FALSE),VLOOKUP($B173,Landbrug!$B$6:$E$8,4,FALSE))</f>
        <v>1309067.2343147993</v>
      </c>
    </row>
    <row r="174" spans="1:9" x14ac:dyDescent="0.25">
      <c r="A174" t="s">
        <v>24</v>
      </c>
      <c r="B174" t="s">
        <v>22</v>
      </c>
      <c r="C174" t="s">
        <v>8</v>
      </c>
      <c r="F174" t="str">
        <f t="shared" si="15"/>
        <v>Svin</v>
      </c>
      <c r="G174" s="96" cm="1">
        <f t="array" ref="G174">(INDEX([1]Dyrehold!$C$14:$E$17,MATCH(1,(A174=[1]Dyrehold!$A$14:$A$17)*(C174=[1]Dyrehold!$B$14:$B$17),0),MATCH($B174,[1]Dyrehold!$C$13:$E$13,0)))</f>
        <v>15447</v>
      </c>
      <c r="H174" s="96">
        <f>SUMIFS($G$3:$G$182,$A$3:$A$182,$A174,$B$3:$B$182,$B174)*VLOOKUP($B174,Landbrug!$B$11:$E$13,3,FALSE)*IF($C174&lt;&gt;"Økologisk",1-VLOOKUP($B174,Landbrug!$B$6:$E$8,3,FALSE),VLOOKUP($B174,Landbrug!$B$6:$E$8,3,FALSE))</f>
        <v>114965.71374533066</v>
      </c>
      <c r="I174" s="96">
        <f>SUMIFS($G$3:$G$182,$A$3:$A$182,$A174,$B$3:$B$182,$B174)*VLOOKUP($B174,Landbrug!$B$11:$E$13,4,FALSE)*IF($C174&lt;&gt;"Økologisk",1-VLOOKUP($B174,Landbrug!$B$6:$E$8,4,FALSE),VLOOKUP($B174,Landbrug!$B$6:$E$8,4,FALSE))</f>
        <v>189680.06574533062</v>
      </c>
    </row>
    <row r="175" spans="1:9" x14ac:dyDescent="0.25">
      <c r="A175" t="s">
        <v>23</v>
      </c>
      <c r="B175" t="s">
        <v>3</v>
      </c>
      <c r="C175" t="s">
        <v>7</v>
      </c>
      <c r="F175" t="str">
        <f t="shared" si="15"/>
        <v>Køer</v>
      </c>
      <c r="G175" s="96" cm="1">
        <f t="array" ref="G175">(INDEX([1]Dyrehold!$C$14:$E$17,MATCH(1,(A175=[1]Dyrehold!$A$14:$A$17)*(C175=[1]Dyrehold!$B$14:$B$17),0),MATCH($B175,[1]Dyrehold!$C$13:$E$13,0)))</f>
        <v>1184629</v>
      </c>
      <c r="H175" s="96">
        <f>SUMIFS($G$3:$G$182,$A$3:$A$182,$A175,$B$3:$B$182,$B175)*VLOOKUP($B175,Landbrug!$B$11:$E$13,3,FALSE)*IF($C175&lt;&gt;"Økologisk",1-VLOOKUP($B175,Landbrug!$B$6:$E$8,3,FALSE),VLOOKUP($B175,Landbrug!$B$6:$E$8,3,FALSE))</f>
        <v>1383454.9238496127</v>
      </c>
      <c r="I175" s="96">
        <f>SUMIFS($G$3:$G$182,$A$3:$A$182,$A175,$B$3:$B$182,$B175)*VLOOKUP($B175,Landbrug!$B$11:$E$13,4,FALSE)*IF($C175&lt;&gt;"Økologisk",1-VLOOKUP($B175,Landbrug!$B$6:$E$8,4,FALSE),VLOOKUP($B175,Landbrug!$B$6:$E$8,4,FALSE))</f>
        <v>1316616.6518496128</v>
      </c>
    </row>
    <row r="176" spans="1:9" x14ac:dyDescent="0.25">
      <c r="A176" t="s">
        <v>24</v>
      </c>
      <c r="B176" t="s">
        <v>3</v>
      </c>
      <c r="C176" t="s">
        <v>7</v>
      </c>
      <c r="F176" t="str">
        <f t="shared" si="15"/>
        <v>Køer</v>
      </c>
      <c r="G176" s="96" cm="1">
        <f t="array" ref="G176">(INDEX([1]Dyrehold!$C$14:$E$17,MATCH(1,(A176=[1]Dyrehold!$A$14:$A$17)*(C176=[1]Dyrehold!$B$14:$B$17),0),MATCH($B176,[1]Dyrehold!$C$13:$E$13,0)))</f>
        <v>82455</v>
      </c>
      <c r="H176" s="96">
        <f>SUMIFS($G$3:$G$182,$A$3:$A$182,$A176,$B$3:$B$182,$B176)*VLOOKUP($B176,Landbrug!$B$11:$E$13,3,FALSE)*IF($C176&lt;&gt;"Økologisk",1-VLOOKUP($B176,Landbrug!$B$6:$E$8,3,FALSE),VLOOKUP($B176,Landbrug!$B$6:$E$8,3,FALSE))</f>
        <v>98327.688833282911</v>
      </c>
      <c r="I176" s="96">
        <f>SUMIFS($G$3:$G$182,$A$3:$A$182,$A176,$B$3:$B$182,$B176)*VLOOKUP($B176,Landbrug!$B$11:$E$13,4,FALSE)*IF($C176&lt;&gt;"Økologisk",1-VLOOKUP($B176,Landbrug!$B$6:$E$8,4,FALSE),VLOOKUP($B176,Landbrug!$B$6:$E$8,4,FALSE))</f>
        <v>93577.224833282919</v>
      </c>
    </row>
    <row r="177" spans="1:9" x14ac:dyDescent="0.25">
      <c r="A177" t="s">
        <v>23</v>
      </c>
      <c r="B177" t="s">
        <v>3</v>
      </c>
      <c r="C177" t="s">
        <v>8</v>
      </c>
      <c r="F177" t="str">
        <f t="shared" si="15"/>
        <v>Køer</v>
      </c>
      <c r="G177" s="96" cm="1">
        <f t="array" ref="G177">(INDEX([1]Dyrehold!$C$14:$E$17,MATCH(1,(A177=[1]Dyrehold!$A$14:$A$17)*(C177=[1]Dyrehold!$B$14:$B$17),0),MATCH($B177,[1]Dyrehold!$C$13:$E$13,0)))</f>
        <v>207835</v>
      </c>
      <c r="H177" s="96">
        <f>SUMIFS($G$3:$G$182,$A$3:$A$182,$A177,$B$3:$B$182,$B177)*VLOOKUP($B177,Landbrug!$B$11:$E$13,3,FALSE)*IF($C177&lt;&gt;"Økologisk",1-VLOOKUP($B177,Landbrug!$B$6:$E$8,3,FALSE),VLOOKUP($B177,Landbrug!$B$6:$E$8,3,FALSE))</f>
        <v>287501.87615038722</v>
      </c>
      <c r="I177" s="96">
        <f>SUMIFS($G$3:$G$182,$A$3:$A$182,$A177,$B$3:$B$182,$B177)*VLOOKUP($B177,Landbrug!$B$11:$E$13,4,FALSE)*IF($C177&lt;&gt;"Økologisk",1-VLOOKUP($B177,Landbrug!$B$6:$E$8,4,FALSE),VLOOKUP($B177,Landbrug!$B$6:$E$8,4,FALSE))</f>
        <v>354340.14815038722</v>
      </c>
    </row>
    <row r="178" spans="1:9" x14ac:dyDescent="0.25">
      <c r="A178" t="s">
        <v>24</v>
      </c>
      <c r="B178" t="s">
        <v>3</v>
      </c>
      <c r="C178" t="s">
        <v>8</v>
      </c>
      <c r="F178" t="str">
        <f t="shared" si="15"/>
        <v>Køer</v>
      </c>
      <c r="G178" s="96" cm="1">
        <f t="array" ref="G178">(INDEX([1]Dyrehold!$C$14:$E$17,MATCH(1,(A178=[1]Dyrehold!$A$14:$A$17)*(C178=[1]Dyrehold!$B$14:$B$17),0),MATCH($B178,[1]Dyrehold!$C$13:$E$13,0)))</f>
        <v>16513</v>
      </c>
      <c r="H178" s="96">
        <f>SUMIFS($G$3:$G$182,$A$3:$A$182,$A178,$B$3:$B$182,$B178)*VLOOKUP($B178,Landbrug!$B$11:$E$13,3,FALSE)*IF($C178&lt;&gt;"Økologisk",1-VLOOKUP($B178,Landbrug!$B$6:$E$8,3,FALSE),VLOOKUP($B178,Landbrug!$B$6:$E$8,3,FALSE))</f>
        <v>20433.911166717073</v>
      </c>
      <c r="I178" s="96">
        <f>SUMIFS($G$3:$G$182,$A$3:$A$182,$A178,$B$3:$B$182,$B178)*VLOOKUP($B178,Landbrug!$B$11:$E$13,4,FALSE)*IF($C178&lt;&gt;"Økologisk",1-VLOOKUP($B178,Landbrug!$B$6:$E$8,4,FALSE),VLOOKUP($B178,Landbrug!$B$6:$E$8,4,FALSE))</f>
        <v>25184.375166717069</v>
      </c>
    </row>
    <row r="179" spans="1:9" x14ac:dyDescent="0.25">
      <c r="A179" t="s">
        <v>23</v>
      </c>
      <c r="B179" t="s">
        <v>4</v>
      </c>
      <c r="C179" t="s">
        <v>7</v>
      </c>
      <c r="F179" t="str">
        <f t="shared" si="15"/>
        <v>Fjerkræ</v>
      </c>
      <c r="G179" s="96" cm="1">
        <f t="array" ref="G179">(INDEX([1]Dyrehold!$C$14:$E$17,MATCH(1,(A179=[1]Dyrehold!$A$14:$A$17)*(C179=[1]Dyrehold!$B$14:$B$17),0),MATCH($B179,[1]Dyrehold!$C$13:$E$13,0)))</f>
        <v>18212034</v>
      </c>
      <c r="H179" s="96">
        <f>SUMIFS($G$3:$G$182,$A$3:$A$182,$A179,$B$3:$B$182,$B179)*VLOOKUP($B179,Landbrug!$B$11:$E$13,3,FALSE)*IF($C179&lt;&gt;"Økologisk",1-VLOOKUP($B179,Landbrug!$B$6:$E$8,3,FALSE),VLOOKUP($B179,Landbrug!$B$6:$E$8,3,FALSE))</f>
        <v>21348681.831473798</v>
      </c>
      <c r="I179" s="96">
        <f>SUMIFS($G$3:$G$182,$A$3:$A$182,$A179,$B$3:$B$182,$B179)*VLOOKUP($B179,Landbrug!$B$11:$E$13,4,FALSE)*IF($C179&lt;&gt;"Økologisk",1-VLOOKUP($B179,Landbrug!$B$6:$E$8,4,FALSE),VLOOKUP($B179,Landbrug!$B$6:$E$8,4,FALSE))</f>
        <v>20327513.7994738</v>
      </c>
    </row>
    <row r="180" spans="1:9" x14ac:dyDescent="0.25">
      <c r="A180" t="s">
        <v>24</v>
      </c>
      <c r="B180" t="s">
        <v>4</v>
      </c>
      <c r="C180" t="s">
        <v>7</v>
      </c>
      <c r="F180" t="str">
        <f t="shared" si="15"/>
        <v>Fjerkræ</v>
      </c>
      <c r="G180" s="96" cm="1">
        <f t="array" ref="G180">(INDEX([1]Dyrehold!$C$14:$E$17,MATCH(1,(A180=[1]Dyrehold!$A$14:$A$17)*(C180=[1]Dyrehold!$B$14:$B$17),0),MATCH($B180,[1]Dyrehold!$C$13:$E$13,0)))</f>
        <v>1570560</v>
      </c>
      <c r="H180" s="96">
        <f>SUMIFS($G$3:$G$182,$A$3:$A$182,$A180,$B$3:$B$182,$B180)*VLOOKUP($B180,Landbrug!$B$11:$E$13,3,FALSE)*IF($C180&lt;&gt;"Økologisk",1-VLOOKUP($B180,Landbrug!$B$6:$E$8,3,FALSE),VLOOKUP($B180,Landbrug!$B$6:$E$8,3,FALSE))</f>
        <v>1791786.9860528908</v>
      </c>
      <c r="I180" s="96">
        <f>SUMIFS($G$3:$G$182,$A$3:$A$182,$A180,$B$3:$B$182,$B180)*VLOOKUP($B180,Landbrug!$B$11:$E$13,4,FALSE)*IF($C180&lt;&gt;"Økologisk",1-VLOOKUP($B180,Landbrug!$B$6:$E$8,4,FALSE),VLOOKUP($B180,Landbrug!$B$6:$E$8,4,FALSE))</f>
        <v>1706080.730052891</v>
      </c>
    </row>
    <row r="181" spans="1:9" x14ac:dyDescent="0.25">
      <c r="A181" t="s">
        <v>23</v>
      </c>
      <c r="B181" t="s">
        <v>4</v>
      </c>
      <c r="C181" t="s">
        <v>8</v>
      </c>
      <c r="F181" t="str">
        <f t="shared" si="15"/>
        <v>Fjerkræ</v>
      </c>
      <c r="G181" s="96" cm="1">
        <f t="array" ref="G181">(INDEX([1]Dyrehold!$C$14:$E$17,MATCH(1,(A181=[1]Dyrehold!$A$14:$A$17)*(C181=[1]Dyrehold!$B$14:$B$17),0),MATCH($B181,[1]Dyrehold!$C$13:$E$13,0)))</f>
        <v>3062300</v>
      </c>
      <c r="H181" s="96">
        <f>SUMIFS($G$3:$G$182,$A$3:$A$182,$A181,$B$3:$B$182,$B181)*VLOOKUP($B181,Landbrug!$B$11:$E$13,3,FALSE)*IF($C181&lt;&gt;"Økologisk",1-VLOOKUP($B181,Landbrug!$B$6:$E$8,3,FALSE),VLOOKUP($B181,Landbrug!$B$6:$E$8,3,FALSE))</f>
        <v>4180518.9685262032</v>
      </c>
      <c r="I181" s="96">
        <f>SUMIFS($G$3:$G$182,$A$3:$A$182,$A181,$B$3:$B$182,$B181)*VLOOKUP($B181,Landbrug!$B$11:$E$13,4,FALSE)*IF($C181&lt;&gt;"Økologisk",1-VLOOKUP($B181,Landbrug!$B$6:$E$8,4,FALSE),VLOOKUP($B181,Landbrug!$B$6:$E$8,4,FALSE))</f>
        <v>5201687.0005262028</v>
      </c>
    </row>
    <row r="182" spans="1:9" x14ac:dyDescent="0.25">
      <c r="A182" t="s">
        <v>24</v>
      </c>
      <c r="B182" t="s">
        <v>4</v>
      </c>
      <c r="C182" t="s">
        <v>8</v>
      </c>
      <c r="F182" t="str">
        <f t="shared" si="15"/>
        <v>Fjerkræ</v>
      </c>
      <c r="G182" s="96" cm="1">
        <f t="array" ref="G182">(INDEX([1]Dyrehold!$C$14:$E$17,MATCH(1,(A182=[1]Dyrehold!$A$14:$A$17)*(C182=[1]Dyrehold!$B$14:$B$17),0),MATCH($B182,[1]Dyrehold!$C$13:$E$13,0)))</f>
        <v>214987</v>
      </c>
      <c r="H182" s="96">
        <f>SUMIFS($G$3:$G$182,$A$3:$A$182,$A182,$B$3:$B$182,$B182)*VLOOKUP($B182,Landbrug!$B$11:$E$13,3,FALSE)*IF($C182&lt;&gt;"Økologisk",1-VLOOKUP($B182,Landbrug!$B$6:$E$8,3,FALSE),VLOOKUP($B182,Landbrug!$B$6:$E$8,3,FALSE))</f>
        <v>350869.41394710902</v>
      </c>
      <c r="I182" s="96">
        <f>SUMIFS($G$3:$G$182,$A$3:$A$182,$A182,$B$3:$B$182,$B182)*VLOOKUP($B182,Landbrug!$B$11:$E$13,4,FALSE)*IF($C182&lt;&gt;"Økologisk",1-VLOOKUP($B182,Landbrug!$B$6:$E$8,4,FALSE),VLOOKUP($B182,Landbrug!$B$6:$E$8,4,FALSE))</f>
        <v>436575.66994710901</v>
      </c>
    </row>
    <row r="183" spans="1:9" x14ac:dyDescent="0.25">
      <c r="A183" t="s">
        <v>23</v>
      </c>
      <c r="B183" t="s">
        <v>75</v>
      </c>
      <c r="F183" t="str">
        <f t="shared" si="15"/>
        <v>Befolkning</v>
      </c>
      <c r="G183" s="96">
        <f>[1]Befolkningstal!B5</f>
        <v>3133781</v>
      </c>
      <c r="H183" s="96">
        <f>[1]Befolkningstal!C5</f>
        <v>3238884</v>
      </c>
      <c r="I183" s="96">
        <f>[1]Befolkningstal!D5</f>
        <v>3365158</v>
      </c>
    </row>
    <row r="184" spans="1:9" x14ac:dyDescent="0.25">
      <c r="A184" t="s">
        <v>24</v>
      </c>
      <c r="B184" t="s">
        <v>75</v>
      </c>
      <c r="F184" t="str">
        <f t="shared" si="15"/>
        <v>Befolkning</v>
      </c>
      <c r="G184" s="96">
        <f>[1]Befolkningstal!B6</f>
        <v>2672300</v>
      </c>
      <c r="H184" s="96">
        <f>[1]Befolkningstal!C6</f>
        <v>2804401</v>
      </c>
      <c r="I184" s="96">
        <f>[1]Befolkningstal!D6</f>
        <v>2935892</v>
      </c>
    </row>
    <row r="185" spans="1:9" x14ac:dyDescent="0.25">
      <c r="A185" t="s">
        <v>23</v>
      </c>
      <c r="B185" t="s">
        <v>182</v>
      </c>
      <c r="D185" t="s">
        <v>182</v>
      </c>
      <c r="E185" s="152" t="s">
        <v>181</v>
      </c>
      <c r="F185" t="str">
        <f>CONCATENATE("Areal-",LOWER(B185))</f>
        <v>Areal-basisskov</v>
      </c>
      <c r="G185" s="107">
        <f>IF($A185="Vestdanmark",SUMIFS(IF(G$2=År1,Skovbrug!$C$22:$C$42,IF(G$2=År2,Skovbrug!$D$22:$D$42,Skovbrug!$E$22:$E$42)),Skovbrug!$A$22:$A$42,'Direkte input'!$B185,Skovbrug!$B$22:$B$42,'Direkte input'!$E185),SUMIFS(IF(G$2=År1,Skovbrug!$F$22:$F$42,IF(G$2=År2,Skovbrug!$G$22:$G$42,Skovbrug!$H$22:$H$42)),Skovbrug!$A$22:$A$42,'Direkte input'!$B185,Skovbrug!$B$22:$B$42,'Direkte input'!$E185))</f>
        <v>435064.52162306459</v>
      </c>
      <c r="H185" s="107">
        <f>IF($A185="Vestdanmark",SUMIFS(IF(H$2=År1,Skovbrug!$C$22:$C$42,IF(H$2=År2,Skovbrug!$D$22:$D$42,Skovbrug!$E$22:$E$42)),Skovbrug!$A$22:$A$42,'Direkte input'!$B185,Skovbrug!$B$22:$B$42,'Direkte input'!$E185),SUMIFS(IF(H$2=År1,Skovbrug!$F$22:$F$42,IF(H$2=År2,Skovbrug!$G$22:$G$42,Skovbrug!$H$22:$H$42)),Skovbrug!$A$22:$A$42,'Direkte input'!$B185,Skovbrug!$B$22:$B$42,'Direkte input'!$E185))</f>
        <v>411725.30255233188</v>
      </c>
      <c r="I185" s="107">
        <f>IF($A185="Vestdanmark",SUMIFS(IF(I$2=År1,Skovbrug!$C$22:$C$42,IF(I$2=År2,Skovbrug!$D$22:$D$42,Skovbrug!$E$22:$E$42)),Skovbrug!$A$22:$A$42,'Direkte input'!$B185,Skovbrug!$B$22:$B$42,'Direkte input'!$E185),SUMIFS(IF(I$2=År1,Skovbrug!$F$22:$F$42,IF(I$2=År2,Skovbrug!$G$22:$G$42,Skovbrug!$H$22:$H$42)),Skovbrug!$A$22:$A$42,'Direkte input'!$B185,Skovbrug!$B$22:$B$42,'Direkte input'!$E185))</f>
        <v>372451.02368307725</v>
      </c>
    </row>
    <row r="186" spans="1:9" x14ac:dyDescent="0.25">
      <c r="A186" t="s">
        <v>23</v>
      </c>
      <c r="B186" t="s">
        <v>176</v>
      </c>
      <c r="D186" t="s">
        <v>176</v>
      </c>
      <c r="E186">
        <v>10</v>
      </c>
      <c r="F186" t="str">
        <f t="shared" ref="F186:F205" si="16">CONCATENATE("Areal-",LOWER(B186),"-",E186)</f>
        <v>Areal-skovtype1-10</v>
      </c>
      <c r="G186" s="107">
        <f>IF($A186="Vestdanmark",SUMIFS(IF(G$2=År1,Skovbrug!$C$22:$C$42,IF(G$2=År2,Skovbrug!$D$22:$D$42,Skovbrug!$E$22:$E$42)),Skovbrug!$A$22:$A$42,'Direkte input'!$B186,Skovbrug!$B$22:$B$42,'Direkte input'!$E186),SUMIFS(IF(G$2=År1,Skovbrug!$F$22:$F$42,IF(G$2=År2,Skovbrug!$G$22:$G$42,Skovbrug!$H$22:$H$42)),Skovbrug!$A$22:$A$42,'Direkte input'!$B186,Skovbrug!$B$22:$B$42,'Direkte input'!$E186))</f>
        <v>0</v>
      </c>
      <c r="H186" s="107">
        <f ca="1">IF($A186="Vestdanmark",SUMIFS(IF(H$2=År1,Skovbrug!$C$22:$C$42,IF(H$2=År2,Skovbrug!$D$22:$D$42,Skovbrug!$E$22:$E$42)),Skovbrug!$A$22:$A$42,'Direkte input'!$B186,Skovbrug!$B$22:$B$42,'Direkte input'!$E186),SUMIFS(IF(H$2=År1,Skovbrug!$F$22:$F$42,IF(H$2=År2,Skovbrug!$G$22:$G$42,Skovbrug!$H$22:$H$42)),Skovbrug!$A$22:$A$42,'Direkte input'!$B186,Skovbrug!$B$22:$B$42,'Direkte input'!$E186))</f>
        <v>37658.711277432194</v>
      </c>
      <c r="I186" s="107">
        <f ca="1">IF($A186="Vestdanmark",SUMIFS(IF(I$2=År1,Skovbrug!$C$22:$C$42,IF(I$2=År2,Skovbrug!$D$22:$D$42,Skovbrug!$E$22:$E$42)),Skovbrug!$A$22:$A$42,'Direkte input'!$B186,Skovbrug!$B$22:$B$42,'Direkte input'!$E186),SUMIFS(IF(I$2=År1,Skovbrug!$F$22:$F$42,IF(I$2=År2,Skovbrug!$G$22:$G$42,Skovbrug!$H$22:$H$42)),Skovbrug!$A$22:$A$42,'Direkte input'!$B186,Skovbrug!$B$22:$B$42,'Direkte input'!$E186))</f>
        <v>35652.511073959984</v>
      </c>
    </row>
    <row r="187" spans="1:9" x14ac:dyDescent="0.25">
      <c r="A187" t="s">
        <v>23</v>
      </c>
      <c r="B187" t="s">
        <v>176</v>
      </c>
      <c r="D187" t="s">
        <v>176</v>
      </c>
      <c r="E187">
        <v>20</v>
      </c>
      <c r="F187" t="str">
        <f t="shared" si="16"/>
        <v>Areal-skovtype1-20</v>
      </c>
      <c r="G187" s="107">
        <f>IF($A187="Vestdanmark",SUMIFS(IF(G$2=År1,Skovbrug!$C$22:$C$42,IF(G$2=År2,Skovbrug!$D$22:$D$42,Skovbrug!$E$22:$E$42)),Skovbrug!$A$22:$A$42,'Direkte input'!$B187,Skovbrug!$B$22:$B$42,'Direkte input'!$E187),SUMIFS(IF(G$2=År1,Skovbrug!$F$22:$F$42,IF(G$2=År2,Skovbrug!$G$22:$G$42,Skovbrug!$H$22:$H$42)),Skovbrug!$A$22:$A$42,'Direkte input'!$B187,Skovbrug!$B$22:$B$42,'Direkte input'!$E187))</f>
        <v>0</v>
      </c>
      <c r="H187" s="107">
        <f ca="1">IF($A187="Vestdanmark",SUMIFS(IF(H$2=År1,Skovbrug!$C$22:$C$42,IF(H$2=År2,Skovbrug!$D$22:$D$42,Skovbrug!$E$22:$E$42)),Skovbrug!$A$22:$A$42,'Direkte input'!$B187,Skovbrug!$B$22:$B$42,'Direkte input'!$E187),SUMIFS(IF(H$2=År1,Skovbrug!$F$22:$F$42,IF(H$2=År2,Skovbrug!$G$22:$G$42,Skovbrug!$H$22:$H$42)),Skovbrug!$A$22:$A$42,'Direkte input'!$B187,Skovbrug!$B$22:$B$42,'Direkte input'!$E187))</f>
        <v>3824.804089596807</v>
      </c>
      <c r="I187" s="107">
        <f ca="1">IF($A187="Vestdanmark",SUMIFS(IF(I$2=År1,Skovbrug!$C$22:$C$42,IF(I$2=År2,Skovbrug!$D$22:$D$42,Skovbrug!$E$22:$E$42)),Skovbrug!$A$22:$A$42,'Direkte input'!$B187,Skovbrug!$B$22:$B$42,'Direkte input'!$E187),SUMIFS(IF(I$2=År1,Skovbrug!$F$22:$F$42,IF(I$2=År2,Skovbrug!$G$22:$G$42,Skovbrug!$H$22:$H$42)),Skovbrug!$A$22:$A$42,'Direkte input'!$B187,Skovbrug!$B$22:$B$42,'Direkte input'!$E187))</f>
        <v>36624.011140538823</v>
      </c>
    </row>
    <row r="188" spans="1:9" x14ac:dyDescent="0.25">
      <c r="A188" t="s">
        <v>23</v>
      </c>
      <c r="B188" t="s">
        <v>176</v>
      </c>
      <c r="D188" t="s">
        <v>176</v>
      </c>
      <c r="E188">
        <v>30</v>
      </c>
      <c r="F188" t="str">
        <f t="shared" si="16"/>
        <v>Areal-skovtype1-30</v>
      </c>
      <c r="G188" s="107">
        <f>IF($A188="Vestdanmark",SUMIFS(IF(G$2=År1,Skovbrug!$C$22:$C$42,IF(G$2=År2,Skovbrug!$D$22:$D$42,Skovbrug!$E$22:$E$42)),Skovbrug!$A$22:$A$42,'Direkte input'!$B188,Skovbrug!$B$22:$B$42,'Direkte input'!$E188),SUMIFS(IF(G$2=År1,Skovbrug!$F$22:$F$42,IF(G$2=År2,Skovbrug!$G$22:$G$42,Skovbrug!$H$22:$H$42)),Skovbrug!$A$22:$A$42,'Direkte input'!$B188,Skovbrug!$B$22:$B$42,'Direkte input'!$E188))</f>
        <v>0</v>
      </c>
      <c r="H188" s="107">
        <f ca="1">IF($A188="Vestdanmark",SUMIFS(IF(H$2=År1,Skovbrug!$C$22:$C$42,IF(H$2=År2,Skovbrug!$D$22:$D$42,Skovbrug!$E$22:$E$42)),Skovbrug!$A$22:$A$42,'Direkte input'!$B188,Skovbrug!$B$22:$B$42,'Direkte input'!$E188),SUMIFS(IF(H$2=År1,Skovbrug!$F$22:$F$42,IF(H$2=År2,Skovbrug!$G$22:$G$42,Skovbrug!$H$22:$H$42)),Skovbrug!$A$22:$A$42,'Direkte input'!$B188,Skovbrug!$B$22:$B$42,'Direkte input'!$E188))</f>
        <v>0</v>
      </c>
      <c r="I188" s="107">
        <f ca="1">IF($A188="Vestdanmark",SUMIFS(IF(I$2=År1,Skovbrug!$C$22:$C$42,IF(I$2=År2,Skovbrug!$D$22:$D$42,Skovbrug!$E$22:$E$42)),Skovbrug!$A$22:$A$42,'Direkte input'!$B188,Skovbrug!$B$22:$B$42,'Direkte input'!$E188),SUMIFS(IF(I$2=År1,Skovbrug!$F$22:$F$42,IF(I$2=År2,Skovbrug!$G$22:$G$42,Skovbrug!$H$22:$H$42)),Skovbrug!$A$22:$A$42,'Direkte input'!$B188,Skovbrug!$B$22:$B$42,'Direkte input'!$E188))</f>
        <v>37658.711277432194</v>
      </c>
    </row>
    <row r="189" spans="1:9" x14ac:dyDescent="0.25">
      <c r="A189" t="s">
        <v>23</v>
      </c>
      <c r="B189" t="s">
        <v>176</v>
      </c>
      <c r="D189" t="s">
        <v>176</v>
      </c>
      <c r="E189">
        <v>40</v>
      </c>
      <c r="F189" t="str">
        <f t="shared" si="16"/>
        <v>Areal-skovtype1-40</v>
      </c>
      <c r="G189" s="107">
        <f>IF($A189="Vestdanmark",SUMIFS(IF(G$2=År1,Skovbrug!$C$22:$C$42,IF(G$2=År2,Skovbrug!$D$22:$D$42,Skovbrug!$E$22:$E$42)),Skovbrug!$A$22:$A$42,'Direkte input'!$B189,Skovbrug!$B$22:$B$42,'Direkte input'!$E189),SUMIFS(IF(G$2=År1,Skovbrug!$F$22:$F$42,IF(G$2=År2,Skovbrug!$G$22:$G$42,Skovbrug!$H$22:$H$42)),Skovbrug!$A$22:$A$42,'Direkte input'!$B189,Skovbrug!$B$22:$B$42,'Direkte input'!$E189))</f>
        <v>0</v>
      </c>
      <c r="H189" s="107">
        <f ca="1">IF($A189="Vestdanmark",SUMIFS(IF(H$2=År1,Skovbrug!$C$22:$C$42,IF(H$2=År2,Skovbrug!$D$22:$D$42,Skovbrug!$E$22:$E$42)),Skovbrug!$A$22:$A$42,'Direkte input'!$B189,Skovbrug!$B$22:$B$42,'Direkte input'!$E189),SUMIFS(IF(H$2=År1,Skovbrug!$F$22:$F$42,IF(H$2=År2,Skovbrug!$G$22:$G$42,Skovbrug!$H$22:$H$42)),Skovbrug!$A$22:$A$42,'Direkte input'!$B189,Skovbrug!$B$22:$B$42,'Direkte input'!$E189))</f>
        <v>0</v>
      </c>
      <c r="I189" s="107">
        <f ca="1">IF($A189="Vestdanmark",SUMIFS(IF(I$2=År1,Skovbrug!$C$22:$C$42,IF(I$2=År2,Skovbrug!$D$22:$D$42,Skovbrug!$E$22:$E$42)),Skovbrug!$A$22:$A$42,'Direkte input'!$B189,Skovbrug!$B$22:$B$42,'Direkte input'!$E189),SUMIFS(IF(I$2=År1,Skovbrug!$F$22:$F$42,IF(I$2=År2,Skovbrug!$G$22:$G$42,Skovbrug!$H$22:$H$42)),Skovbrug!$A$22:$A$42,'Direkte input'!$B189,Skovbrug!$B$22:$B$42,'Direkte input'!$E189))</f>
        <v>3812.1903739821792</v>
      </c>
    </row>
    <row r="190" spans="1:9" x14ac:dyDescent="0.25">
      <c r="A190" t="s">
        <v>23</v>
      </c>
      <c r="B190" t="s">
        <v>177</v>
      </c>
      <c r="D190" t="s">
        <v>177</v>
      </c>
      <c r="E190">
        <v>10</v>
      </c>
      <c r="F190" t="str">
        <f t="shared" si="16"/>
        <v>Areal-skovtype2-10</v>
      </c>
      <c r="G190" s="107">
        <f>IF($A190="Vestdanmark",SUMIFS(IF(G$2=År1,Skovbrug!$C$22:$C$42,IF(G$2=År2,Skovbrug!$D$22:$D$42,Skovbrug!$E$22:$E$42)),Skovbrug!$A$22:$A$42,'Direkte input'!$B190,Skovbrug!$B$22:$B$42,'Direkte input'!$E190),SUMIFS(IF(G$2=År1,Skovbrug!$F$22:$F$42,IF(G$2=År2,Skovbrug!$G$22:$G$42,Skovbrug!$H$22:$H$42)),Skovbrug!$A$22:$A$42,'Direkte input'!$B190,Skovbrug!$B$22:$B$42,'Direkte input'!$E190))</f>
        <v>0</v>
      </c>
      <c r="H190" s="107">
        <f ca="1">IF($A190="Vestdanmark",SUMIFS(IF(H$2=År1,Skovbrug!$C$22:$C$42,IF(H$2=År2,Skovbrug!$D$22:$D$42,Skovbrug!$E$22:$E$42)),Skovbrug!$A$22:$A$42,'Direkte input'!$B190,Skovbrug!$B$22:$B$42,'Direkte input'!$E190),SUMIFS(IF(H$2=År1,Skovbrug!$F$22:$F$42,IF(H$2=År2,Skovbrug!$G$22:$G$42,Skovbrug!$H$22:$H$42)),Skovbrug!$A$22:$A$42,'Direkte input'!$B190,Skovbrug!$B$22:$B$42,'Direkte input'!$E190))</f>
        <v>0</v>
      </c>
      <c r="I190" s="107">
        <f ca="1">IF($A190="Vestdanmark",SUMIFS(IF(I$2=År1,Skovbrug!$C$22:$C$42,IF(I$2=År2,Skovbrug!$D$22:$D$42,Skovbrug!$E$22:$E$42)),Skovbrug!$A$22:$A$42,'Direkte input'!$B190,Skovbrug!$B$22:$B$42,'Direkte input'!$E190),SUMIFS(IF(I$2=År1,Skovbrug!$F$22:$F$42,IF(I$2=År2,Skovbrug!$G$22:$G$42,Skovbrug!$H$22:$H$42)),Skovbrug!$A$22:$A$42,'Direkte input'!$B190,Skovbrug!$B$22:$B$42,'Direkte input'!$E190))</f>
        <v>0</v>
      </c>
    </row>
    <row r="191" spans="1:9" x14ac:dyDescent="0.25">
      <c r="A191" t="s">
        <v>23</v>
      </c>
      <c r="B191" t="s">
        <v>177</v>
      </c>
      <c r="D191" t="s">
        <v>177</v>
      </c>
      <c r="E191">
        <v>20</v>
      </c>
      <c r="F191" t="str">
        <f t="shared" si="16"/>
        <v>Areal-skovtype2-20</v>
      </c>
      <c r="G191" s="107">
        <f>IF($A191="Vestdanmark",SUMIFS(IF(G$2=År1,Skovbrug!$C$22:$C$42,IF(G$2=År2,Skovbrug!$D$22:$D$42,Skovbrug!$E$22:$E$42)),Skovbrug!$A$22:$A$42,'Direkte input'!$B191,Skovbrug!$B$22:$B$42,'Direkte input'!$E191),SUMIFS(IF(G$2=År1,Skovbrug!$F$22:$F$42,IF(G$2=År2,Skovbrug!$G$22:$G$42,Skovbrug!$H$22:$H$42)),Skovbrug!$A$22:$A$42,'Direkte input'!$B191,Skovbrug!$B$22:$B$42,'Direkte input'!$E191))</f>
        <v>0</v>
      </c>
      <c r="H191" s="107">
        <f ca="1">IF($A191="Vestdanmark",SUMIFS(IF(H$2=År1,Skovbrug!$C$22:$C$42,IF(H$2=År2,Skovbrug!$D$22:$D$42,Skovbrug!$E$22:$E$42)),Skovbrug!$A$22:$A$42,'Direkte input'!$B191,Skovbrug!$B$22:$B$42,'Direkte input'!$E191),SUMIFS(IF(H$2=År1,Skovbrug!$F$22:$F$42,IF(H$2=År2,Skovbrug!$G$22:$G$42,Skovbrug!$H$22:$H$42)),Skovbrug!$A$22:$A$42,'Direkte input'!$B191,Skovbrug!$B$22:$B$42,'Direkte input'!$E191))</f>
        <v>0</v>
      </c>
      <c r="I191" s="107">
        <f ca="1">IF($A191="Vestdanmark",SUMIFS(IF(I$2=År1,Skovbrug!$C$22:$C$42,IF(I$2=År2,Skovbrug!$D$22:$D$42,Skovbrug!$E$22:$E$42)),Skovbrug!$A$22:$A$42,'Direkte input'!$B191,Skovbrug!$B$22:$B$42,'Direkte input'!$E191),SUMIFS(IF(I$2=År1,Skovbrug!$F$22:$F$42,IF(I$2=År2,Skovbrug!$G$22:$G$42,Skovbrug!$H$22:$H$42)),Skovbrug!$A$22:$A$42,'Direkte input'!$B191,Skovbrug!$B$22:$B$42,'Direkte input'!$E191))</f>
        <v>0</v>
      </c>
    </row>
    <row r="192" spans="1:9" x14ac:dyDescent="0.25">
      <c r="A192" t="s">
        <v>23</v>
      </c>
      <c r="B192" t="s">
        <v>177</v>
      </c>
      <c r="D192" t="s">
        <v>177</v>
      </c>
      <c r="E192">
        <v>30</v>
      </c>
      <c r="F192" t="str">
        <f t="shared" si="16"/>
        <v>Areal-skovtype2-30</v>
      </c>
      <c r="G192" s="107">
        <f>IF($A192="Vestdanmark",SUMIFS(IF(G$2=År1,Skovbrug!$C$22:$C$42,IF(G$2=År2,Skovbrug!$D$22:$D$42,Skovbrug!$E$22:$E$42)),Skovbrug!$A$22:$A$42,'Direkte input'!$B192,Skovbrug!$B$22:$B$42,'Direkte input'!$E192),SUMIFS(IF(G$2=År1,Skovbrug!$F$22:$F$42,IF(G$2=År2,Skovbrug!$G$22:$G$42,Skovbrug!$H$22:$H$42)),Skovbrug!$A$22:$A$42,'Direkte input'!$B192,Skovbrug!$B$22:$B$42,'Direkte input'!$E192))</f>
        <v>0</v>
      </c>
      <c r="H192" s="107">
        <f ca="1">IF($A192="Vestdanmark",SUMIFS(IF(H$2=År1,Skovbrug!$C$22:$C$42,IF(H$2=År2,Skovbrug!$D$22:$D$42,Skovbrug!$E$22:$E$42)),Skovbrug!$A$22:$A$42,'Direkte input'!$B192,Skovbrug!$B$22:$B$42,'Direkte input'!$E192),SUMIFS(IF(H$2=År1,Skovbrug!$F$22:$F$42,IF(H$2=År2,Skovbrug!$G$22:$G$42,Skovbrug!$H$22:$H$42)),Skovbrug!$A$22:$A$42,'Direkte input'!$B192,Skovbrug!$B$22:$B$42,'Direkte input'!$E192))</f>
        <v>0</v>
      </c>
      <c r="I192" s="107">
        <f ca="1">IF($A192="Vestdanmark",SUMIFS(IF(I$2=År1,Skovbrug!$C$22:$C$42,IF(I$2=År2,Skovbrug!$D$22:$D$42,Skovbrug!$E$22:$E$42)),Skovbrug!$A$22:$A$42,'Direkte input'!$B192,Skovbrug!$B$22:$B$42,'Direkte input'!$E192),SUMIFS(IF(I$2=År1,Skovbrug!$F$22:$F$42,IF(I$2=År2,Skovbrug!$G$22:$G$42,Skovbrug!$H$22:$H$42)),Skovbrug!$A$22:$A$42,'Direkte input'!$B192,Skovbrug!$B$22:$B$42,'Direkte input'!$E192))</f>
        <v>0</v>
      </c>
    </row>
    <row r="193" spans="1:9" x14ac:dyDescent="0.25">
      <c r="A193" t="s">
        <v>23</v>
      </c>
      <c r="B193" t="s">
        <v>177</v>
      </c>
      <c r="D193" t="s">
        <v>177</v>
      </c>
      <c r="E193">
        <v>40</v>
      </c>
      <c r="F193" t="str">
        <f t="shared" si="16"/>
        <v>Areal-skovtype2-40</v>
      </c>
      <c r="G193" s="107">
        <f>IF($A193="Vestdanmark",SUMIFS(IF(G$2=År1,Skovbrug!$C$22:$C$42,IF(G$2=År2,Skovbrug!$D$22:$D$42,Skovbrug!$E$22:$E$42)),Skovbrug!$A$22:$A$42,'Direkte input'!$B193,Skovbrug!$B$22:$B$42,'Direkte input'!$E193),SUMIFS(IF(G$2=År1,Skovbrug!$F$22:$F$42,IF(G$2=År2,Skovbrug!$G$22:$G$42,Skovbrug!$H$22:$H$42)),Skovbrug!$A$22:$A$42,'Direkte input'!$B193,Skovbrug!$B$22:$B$42,'Direkte input'!$E193))</f>
        <v>0</v>
      </c>
      <c r="H193" s="107">
        <f ca="1">IF($A193="Vestdanmark",SUMIFS(IF(H$2=År1,Skovbrug!$C$22:$C$42,IF(H$2=År2,Skovbrug!$D$22:$D$42,Skovbrug!$E$22:$E$42)),Skovbrug!$A$22:$A$42,'Direkte input'!$B193,Skovbrug!$B$22:$B$42,'Direkte input'!$E193),SUMIFS(IF(H$2=År1,Skovbrug!$F$22:$F$42,IF(H$2=År2,Skovbrug!$G$22:$G$42,Skovbrug!$H$22:$H$42)),Skovbrug!$A$22:$A$42,'Direkte input'!$B193,Skovbrug!$B$22:$B$42,'Direkte input'!$E193))</f>
        <v>0</v>
      </c>
      <c r="I193" s="107">
        <f ca="1">IF($A193="Vestdanmark",SUMIFS(IF(I$2=År1,Skovbrug!$C$22:$C$42,IF(I$2=År2,Skovbrug!$D$22:$D$42,Skovbrug!$E$22:$E$42)),Skovbrug!$A$22:$A$42,'Direkte input'!$B193,Skovbrug!$B$22:$B$42,'Direkte input'!$E193),SUMIFS(IF(I$2=År1,Skovbrug!$F$22:$F$42,IF(I$2=År2,Skovbrug!$G$22:$G$42,Skovbrug!$H$22:$H$42)),Skovbrug!$A$22:$A$42,'Direkte input'!$B193,Skovbrug!$B$22:$B$42,'Direkte input'!$E193))</f>
        <v>0</v>
      </c>
    </row>
    <row r="194" spans="1:9" x14ac:dyDescent="0.25">
      <c r="A194" t="s">
        <v>23</v>
      </c>
      <c r="B194" t="s">
        <v>178</v>
      </c>
      <c r="D194" t="s">
        <v>178</v>
      </c>
      <c r="E194">
        <v>10</v>
      </c>
      <c r="F194" t="str">
        <f t="shared" si="16"/>
        <v>Areal-skovtype3-10</v>
      </c>
      <c r="G194" s="107">
        <f>IF($A194="Vestdanmark",SUMIFS(IF(G$2=År1,Skovbrug!$C$22:$C$42,IF(G$2=År2,Skovbrug!$D$22:$D$42,Skovbrug!$E$22:$E$42)),Skovbrug!$A$22:$A$42,'Direkte input'!$B194,Skovbrug!$B$22:$B$42,'Direkte input'!$E194),SUMIFS(IF(G$2=År1,Skovbrug!$F$22:$F$42,IF(G$2=År2,Skovbrug!$G$22:$G$42,Skovbrug!$H$22:$H$42)),Skovbrug!$A$22:$A$42,'Direkte input'!$B194,Skovbrug!$B$22:$B$42,'Direkte input'!$E194))</f>
        <v>0</v>
      </c>
      <c r="H194" s="107">
        <f ca="1">IF($A194="Vestdanmark",SUMIFS(IF(H$2=År1,Skovbrug!$C$22:$C$42,IF(H$2=År2,Skovbrug!$D$22:$D$42,Skovbrug!$E$22:$E$42)),Skovbrug!$A$22:$A$42,'Direkte input'!$B194,Skovbrug!$B$22:$B$42,'Direkte input'!$E194),SUMIFS(IF(H$2=År1,Skovbrug!$F$22:$F$42,IF(H$2=År2,Skovbrug!$G$22:$G$42,Skovbrug!$H$22:$H$42)),Skovbrug!$A$22:$A$42,'Direkte input'!$B194,Skovbrug!$B$22:$B$42,'Direkte input'!$E194))</f>
        <v>0</v>
      </c>
      <c r="I194" s="107">
        <f ca="1">IF($A194="Vestdanmark",SUMIFS(IF(I$2=År1,Skovbrug!$C$22:$C$42,IF(I$2=År2,Skovbrug!$D$22:$D$42,Skovbrug!$E$22:$E$42)),Skovbrug!$A$22:$A$42,'Direkte input'!$B194,Skovbrug!$B$22:$B$42,'Direkte input'!$E194),SUMIFS(IF(I$2=År1,Skovbrug!$F$22:$F$42,IF(I$2=År2,Skovbrug!$G$22:$G$42,Skovbrug!$H$22:$H$42)),Skovbrug!$A$22:$A$42,'Direkte input'!$B194,Skovbrug!$B$22:$B$42,'Direkte input'!$E194))</f>
        <v>0</v>
      </c>
    </row>
    <row r="195" spans="1:9" x14ac:dyDescent="0.25">
      <c r="A195" t="s">
        <v>23</v>
      </c>
      <c r="B195" t="s">
        <v>178</v>
      </c>
      <c r="D195" t="s">
        <v>178</v>
      </c>
      <c r="E195">
        <v>20</v>
      </c>
      <c r="F195" t="str">
        <f t="shared" si="16"/>
        <v>Areal-skovtype3-20</v>
      </c>
      <c r="G195" s="107">
        <f>IF($A195="Vestdanmark",SUMIFS(IF(G$2=År1,Skovbrug!$C$22:$C$42,IF(G$2=År2,Skovbrug!$D$22:$D$42,Skovbrug!$E$22:$E$42)),Skovbrug!$A$22:$A$42,'Direkte input'!$B195,Skovbrug!$B$22:$B$42,'Direkte input'!$E195),SUMIFS(IF(G$2=År1,Skovbrug!$F$22:$F$42,IF(G$2=År2,Skovbrug!$G$22:$G$42,Skovbrug!$H$22:$H$42)),Skovbrug!$A$22:$A$42,'Direkte input'!$B195,Skovbrug!$B$22:$B$42,'Direkte input'!$E195))</f>
        <v>0</v>
      </c>
      <c r="H195" s="107">
        <f ca="1">IF($A195="Vestdanmark",SUMIFS(IF(H$2=År1,Skovbrug!$C$22:$C$42,IF(H$2=År2,Skovbrug!$D$22:$D$42,Skovbrug!$E$22:$E$42)),Skovbrug!$A$22:$A$42,'Direkte input'!$B195,Skovbrug!$B$22:$B$42,'Direkte input'!$E195),SUMIFS(IF(H$2=År1,Skovbrug!$F$22:$F$42,IF(H$2=År2,Skovbrug!$G$22:$G$42,Skovbrug!$H$22:$H$42)),Skovbrug!$A$22:$A$42,'Direkte input'!$B195,Skovbrug!$B$22:$B$42,'Direkte input'!$E195))</f>
        <v>0</v>
      </c>
      <c r="I195" s="107">
        <f ca="1">IF($A195="Vestdanmark",SUMIFS(IF(I$2=År1,Skovbrug!$C$22:$C$42,IF(I$2=År2,Skovbrug!$D$22:$D$42,Skovbrug!$E$22:$E$42)),Skovbrug!$A$22:$A$42,'Direkte input'!$B195,Skovbrug!$B$22:$B$42,'Direkte input'!$E195),SUMIFS(IF(I$2=År1,Skovbrug!$F$22:$F$42,IF(I$2=År2,Skovbrug!$G$22:$G$42,Skovbrug!$H$22:$H$42)),Skovbrug!$A$22:$A$42,'Direkte input'!$B195,Skovbrug!$B$22:$B$42,'Direkte input'!$E195))</f>
        <v>0</v>
      </c>
    </row>
    <row r="196" spans="1:9" x14ac:dyDescent="0.25">
      <c r="A196" t="s">
        <v>23</v>
      </c>
      <c r="B196" t="s">
        <v>178</v>
      </c>
      <c r="D196" t="s">
        <v>178</v>
      </c>
      <c r="E196">
        <v>30</v>
      </c>
      <c r="F196" t="str">
        <f t="shared" si="16"/>
        <v>Areal-skovtype3-30</v>
      </c>
      <c r="G196" s="107">
        <f>IF($A196="Vestdanmark",SUMIFS(IF(G$2=År1,Skovbrug!$C$22:$C$42,IF(G$2=År2,Skovbrug!$D$22:$D$42,Skovbrug!$E$22:$E$42)),Skovbrug!$A$22:$A$42,'Direkte input'!$B196,Skovbrug!$B$22:$B$42,'Direkte input'!$E196),SUMIFS(IF(G$2=År1,Skovbrug!$F$22:$F$42,IF(G$2=År2,Skovbrug!$G$22:$G$42,Skovbrug!$H$22:$H$42)),Skovbrug!$A$22:$A$42,'Direkte input'!$B196,Skovbrug!$B$22:$B$42,'Direkte input'!$E196))</f>
        <v>0</v>
      </c>
      <c r="H196" s="107">
        <f ca="1">IF($A196="Vestdanmark",SUMIFS(IF(H$2=År1,Skovbrug!$C$22:$C$42,IF(H$2=År2,Skovbrug!$D$22:$D$42,Skovbrug!$E$22:$E$42)),Skovbrug!$A$22:$A$42,'Direkte input'!$B196,Skovbrug!$B$22:$B$42,'Direkte input'!$E196),SUMIFS(IF(H$2=År1,Skovbrug!$F$22:$F$42,IF(H$2=År2,Skovbrug!$G$22:$G$42,Skovbrug!$H$22:$H$42)),Skovbrug!$A$22:$A$42,'Direkte input'!$B196,Skovbrug!$B$22:$B$42,'Direkte input'!$E196))</f>
        <v>0</v>
      </c>
      <c r="I196" s="107">
        <f ca="1">IF($A196="Vestdanmark",SUMIFS(IF(I$2=År1,Skovbrug!$C$22:$C$42,IF(I$2=År2,Skovbrug!$D$22:$D$42,Skovbrug!$E$22:$E$42)),Skovbrug!$A$22:$A$42,'Direkte input'!$B196,Skovbrug!$B$22:$B$42,'Direkte input'!$E196),SUMIFS(IF(I$2=År1,Skovbrug!$F$22:$F$42,IF(I$2=År2,Skovbrug!$G$22:$G$42,Skovbrug!$H$22:$H$42)),Skovbrug!$A$22:$A$42,'Direkte input'!$B196,Skovbrug!$B$22:$B$42,'Direkte input'!$E196))</f>
        <v>0</v>
      </c>
    </row>
    <row r="197" spans="1:9" x14ac:dyDescent="0.25">
      <c r="A197" t="s">
        <v>23</v>
      </c>
      <c r="B197" t="s">
        <v>178</v>
      </c>
      <c r="D197" t="s">
        <v>178</v>
      </c>
      <c r="E197">
        <v>40</v>
      </c>
      <c r="F197" t="str">
        <f t="shared" si="16"/>
        <v>Areal-skovtype3-40</v>
      </c>
      <c r="G197" s="107">
        <f>IF($A197="Vestdanmark",SUMIFS(IF(G$2=År1,Skovbrug!$C$22:$C$42,IF(G$2=År2,Skovbrug!$D$22:$D$42,Skovbrug!$E$22:$E$42)),Skovbrug!$A$22:$A$42,'Direkte input'!$B197,Skovbrug!$B$22:$B$42,'Direkte input'!$E197),SUMIFS(IF(G$2=År1,Skovbrug!$F$22:$F$42,IF(G$2=År2,Skovbrug!$G$22:$G$42,Skovbrug!$H$22:$H$42)),Skovbrug!$A$22:$A$42,'Direkte input'!$B197,Skovbrug!$B$22:$B$42,'Direkte input'!$E197))</f>
        <v>0</v>
      </c>
      <c r="H197" s="107">
        <f ca="1">IF($A197="Vestdanmark",SUMIFS(IF(H$2=År1,Skovbrug!$C$22:$C$42,IF(H$2=År2,Skovbrug!$D$22:$D$42,Skovbrug!$E$22:$E$42)),Skovbrug!$A$22:$A$42,'Direkte input'!$B197,Skovbrug!$B$22:$B$42,'Direkte input'!$E197),SUMIFS(IF(H$2=År1,Skovbrug!$F$22:$F$42,IF(H$2=År2,Skovbrug!$G$22:$G$42,Skovbrug!$H$22:$H$42)),Skovbrug!$A$22:$A$42,'Direkte input'!$B197,Skovbrug!$B$22:$B$42,'Direkte input'!$E197))</f>
        <v>0</v>
      </c>
      <c r="I197" s="107">
        <f ca="1">IF($A197="Vestdanmark",SUMIFS(IF(I$2=År1,Skovbrug!$C$22:$C$42,IF(I$2=År2,Skovbrug!$D$22:$D$42,Skovbrug!$E$22:$E$42)),Skovbrug!$A$22:$A$42,'Direkte input'!$B197,Skovbrug!$B$22:$B$42,'Direkte input'!$E197),SUMIFS(IF(I$2=År1,Skovbrug!$F$22:$F$42,IF(I$2=År2,Skovbrug!$G$22:$G$42,Skovbrug!$H$22:$H$42)),Skovbrug!$A$22:$A$42,'Direkte input'!$B197,Skovbrug!$B$22:$B$42,'Direkte input'!$E197))</f>
        <v>0</v>
      </c>
    </row>
    <row r="198" spans="1:9" x14ac:dyDescent="0.25">
      <c r="A198" t="s">
        <v>23</v>
      </c>
      <c r="B198" t="s">
        <v>179</v>
      </c>
      <c r="D198" t="s">
        <v>179</v>
      </c>
      <c r="E198">
        <v>10</v>
      </c>
      <c r="F198" t="str">
        <f t="shared" si="16"/>
        <v>Areal-skovtype4-10</v>
      </c>
      <c r="G198" s="107">
        <f>IF($A198="Vestdanmark",SUMIFS(IF(G$2=År1,Skovbrug!$C$22:$C$42,IF(G$2=År2,Skovbrug!$D$22:$D$42,Skovbrug!$E$22:$E$42)),Skovbrug!$A$22:$A$42,'Direkte input'!$B198,Skovbrug!$B$22:$B$42,'Direkte input'!$E198),SUMIFS(IF(G$2=År1,Skovbrug!$F$22:$F$42,IF(G$2=År2,Skovbrug!$G$22:$G$42,Skovbrug!$H$22:$H$42)),Skovbrug!$A$22:$A$42,'Direkte input'!$B198,Skovbrug!$B$22:$B$42,'Direkte input'!$E198))</f>
        <v>0</v>
      </c>
      <c r="H198" s="107">
        <f ca="1">IF($A198="Vestdanmark",SUMIFS(IF(H$2=År1,Skovbrug!$C$22:$C$42,IF(H$2=År2,Skovbrug!$D$22:$D$42,Skovbrug!$E$22:$E$42)),Skovbrug!$A$22:$A$42,'Direkte input'!$B198,Skovbrug!$B$22:$B$42,'Direkte input'!$E198),SUMIFS(IF(H$2=År1,Skovbrug!$F$22:$F$42,IF(H$2=År2,Skovbrug!$G$22:$G$42,Skovbrug!$H$22:$H$42)),Skovbrug!$A$22:$A$42,'Direkte input'!$B198,Skovbrug!$B$22:$B$42,'Direkte input'!$E198))</f>
        <v>0</v>
      </c>
      <c r="I198" s="107">
        <f ca="1">IF($A198="Vestdanmark",SUMIFS(IF(I$2=År1,Skovbrug!$C$22:$C$42,IF(I$2=År2,Skovbrug!$D$22:$D$42,Skovbrug!$E$22:$E$42)),Skovbrug!$A$22:$A$42,'Direkte input'!$B198,Skovbrug!$B$22:$B$42,'Direkte input'!$E198),SUMIFS(IF(I$2=År1,Skovbrug!$F$22:$F$42,IF(I$2=År2,Skovbrug!$G$22:$G$42,Skovbrug!$H$22:$H$42)),Skovbrug!$A$22:$A$42,'Direkte input'!$B198,Skovbrug!$B$22:$B$42,'Direkte input'!$E198))</f>
        <v>0</v>
      </c>
    </row>
    <row r="199" spans="1:9" x14ac:dyDescent="0.25">
      <c r="A199" t="s">
        <v>23</v>
      </c>
      <c r="B199" t="s">
        <v>179</v>
      </c>
      <c r="D199" t="s">
        <v>179</v>
      </c>
      <c r="E199">
        <v>20</v>
      </c>
      <c r="F199" t="str">
        <f t="shared" si="16"/>
        <v>Areal-skovtype4-20</v>
      </c>
      <c r="G199" s="107">
        <f>IF($A199="Vestdanmark",SUMIFS(IF(G$2=År1,Skovbrug!$C$22:$C$42,IF(G$2=År2,Skovbrug!$D$22:$D$42,Skovbrug!$E$22:$E$42)),Skovbrug!$A$22:$A$42,'Direkte input'!$B199,Skovbrug!$B$22:$B$42,'Direkte input'!$E199),SUMIFS(IF(G$2=År1,Skovbrug!$F$22:$F$42,IF(G$2=År2,Skovbrug!$G$22:$G$42,Skovbrug!$H$22:$H$42)),Skovbrug!$A$22:$A$42,'Direkte input'!$B199,Skovbrug!$B$22:$B$42,'Direkte input'!$E199))</f>
        <v>0</v>
      </c>
      <c r="H199" s="107">
        <f ca="1">IF($A199="Vestdanmark",SUMIFS(IF(H$2=År1,Skovbrug!$C$22:$C$42,IF(H$2=År2,Skovbrug!$D$22:$D$42,Skovbrug!$E$22:$E$42)),Skovbrug!$A$22:$A$42,'Direkte input'!$B199,Skovbrug!$B$22:$B$42,'Direkte input'!$E199),SUMIFS(IF(H$2=År1,Skovbrug!$F$22:$F$42,IF(H$2=År2,Skovbrug!$G$22:$G$42,Skovbrug!$H$22:$H$42)),Skovbrug!$A$22:$A$42,'Direkte input'!$B199,Skovbrug!$B$22:$B$42,'Direkte input'!$E199))</f>
        <v>0</v>
      </c>
      <c r="I199" s="107">
        <f ca="1">IF($A199="Vestdanmark",SUMIFS(IF(I$2=År1,Skovbrug!$C$22:$C$42,IF(I$2=År2,Skovbrug!$D$22:$D$42,Skovbrug!$E$22:$E$42)),Skovbrug!$A$22:$A$42,'Direkte input'!$B199,Skovbrug!$B$22:$B$42,'Direkte input'!$E199),SUMIFS(IF(I$2=År1,Skovbrug!$F$22:$F$42,IF(I$2=År2,Skovbrug!$G$22:$G$42,Skovbrug!$H$22:$H$42)),Skovbrug!$A$22:$A$42,'Direkte input'!$B199,Skovbrug!$B$22:$B$42,'Direkte input'!$E199))</f>
        <v>0</v>
      </c>
    </row>
    <row r="200" spans="1:9" x14ac:dyDescent="0.25">
      <c r="A200" t="s">
        <v>23</v>
      </c>
      <c r="B200" t="s">
        <v>179</v>
      </c>
      <c r="D200" t="s">
        <v>179</v>
      </c>
      <c r="E200">
        <v>30</v>
      </c>
      <c r="F200" t="str">
        <f t="shared" si="16"/>
        <v>Areal-skovtype4-30</v>
      </c>
      <c r="G200" s="107">
        <f>IF($A200="Vestdanmark",SUMIFS(IF(G$2=År1,Skovbrug!$C$22:$C$42,IF(G$2=År2,Skovbrug!$D$22:$D$42,Skovbrug!$E$22:$E$42)),Skovbrug!$A$22:$A$42,'Direkte input'!$B200,Skovbrug!$B$22:$B$42,'Direkte input'!$E200),SUMIFS(IF(G$2=År1,Skovbrug!$F$22:$F$42,IF(G$2=År2,Skovbrug!$G$22:$G$42,Skovbrug!$H$22:$H$42)),Skovbrug!$A$22:$A$42,'Direkte input'!$B200,Skovbrug!$B$22:$B$42,'Direkte input'!$E200))</f>
        <v>0</v>
      </c>
      <c r="H200" s="107">
        <f ca="1">IF($A200="Vestdanmark",SUMIFS(IF(H$2=År1,Skovbrug!$C$22:$C$42,IF(H$2=År2,Skovbrug!$D$22:$D$42,Skovbrug!$E$22:$E$42)),Skovbrug!$A$22:$A$42,'Direkte input'!$B200,Skovbrug!$B$22:$B$42,'Direkte input'!$E200),SUMIFS(IF(H$2=År1,Skovbrug!$F$22:$F$42,IF(H$2=År2,Skovbrug!$G$22:$G$42,Skovbrug!$H$22:$H$42)),Skovbrug!$A$22:$A$42,'Direkte input'!$B200,Skovbrug!$B$22:$B$42,'Direkte input'!$E200))</f>
        <v>0</v>
      </c>
      <c r="I200" s="107">
        <f ca="1">IF($A200="Vestdanmark",SUMIFS(IF(I$2=År1,Skovbrug!$C$22:$C$42,IF(I$2=År2,Skovbrug!$D$22:$D$42,Skovbrug!$E$22:$E$42)),Skovbrug!$A$22:$A$42,'Direkte input'!$B200,Skovbrug!$B$22:$B$42,'Direkte input'!$E200),SUMIFS(IF(I$2=År1,Skovbrug!$F$22:$F$42,IF(I$2=År2,Skovbrug!$G$22:$G$42,Skovbrug!$H$22:$H$42)),Skovbrug!$A$22:$A$42,'Direkte input'!$B200,Skovbrug!$B$22:$B$42,'Direkte input'!$E200))</f>
        <v>0</v>
      </c>
    </row>
    <row r="201" spans="1:9" x14ac:dyDescent="0.25">
      <c r="A201" t="s">
        <v>23</v>
      </c>
      <c r="B201" t="s">
        <v>179</v>
      </c>
      <c r="D201" t="s">
        <v>179</v>
      </c>
      <c r="E201">
        <v>40</v>
      </c>
      <c r="F201" t="str">
        <f t="shared" si="16"/>
        <v>Areal-skovtype4-40</v>
      </c>
      <c r="G201" s="107">
        <f>IF($A201="Vestdanmark",SUMIFS(IF(G$2=År1,Skovbrug!$C$22:$C$42,IF(G$2=År2,Skovbrug!$D$22:$D$42,Skovbrug!$E$22:$E$42)),Skovbrug!$A$22:$A$42,'Direkte input'!$B201,Skovbrug!$B$22:$B$42,'Direkte input'!$E201),SUMIFS(IF(G$2=År1,Skovbrug!$F$22:$F$42,IF(G$2=År2,Skovbrug!$G$22:$G$42,Skovbrug!$H$22:$H$42)),Skovbrug!$A$22:$A$42,'Direkte input'!$B201,Skovbrug!$B$22:$B$42,'Direkte input'!$E201))</f>
        <v>0</v>
      </c>
      <c r="H201" s="107">
        <f ca="1">IF($A201="Vestdanmark",SUMIFS(IF(H$2=År1,Skovbrug!$C$22:$C$42,IF(H$2=År2,Skovbrug!$D$22:$D$42,Skovbrug!$E$22:$E$42)),Skovbrug!$A$22:$A$42,'Direkte input'!$B201,Skovbrug!$B$22:$B$42,'Direkte input'!$E201),SUMIFS(IF(H$2=År1,Skovbrug!$F$22:$F$42,IF(H$2=År2,Skovbrug!$G$22:$G$42,Skovbrug!$H$22:$H$42)),Skovbrug!$A$22:$A$42,'Direkte input'!$B201,Skovbrug!$B$22:$B$42,'Direkte input'!$E201))</f>
        <v>0</v>
      </c>
      <c r="I201" s="107">
        <f ca="1">IF($A201="Vestdanmark",SUMIFS(IF(I$2=År1,Skovbrug!$C$22:$C$42,IF(I$2=År2,Skovbrug!$D$22:$D$42,Skovbrug!$E$22:$E$42)),Skovbrug!$A$22:$A$42,'Direkte input'!$B201,Skovbrug!$B$22:$B$42,'Direkte input'!$E201),SUMIFS(IF(I$2=År1,Skovbrug!$F$22:$F$42,IF(I$2=År2,Skovbrug!$G$22:$G$42,Skovbrug!$H$22:$H$42)),Skovbrug!$A$22:$A$42,'Direkte input'!$B201,Skovbrug!$B$22:$B$42,'Direkte input'!$E201))</f>
        <v>0</v>
      </c>
    </row>
    <row r="202" spans="1:9" x14ac:dyDescent="0.25">
      <c r="A202" t="s">
        <v>23</v>
      </c>
      <c r="B202" t="s">
        <v>180</v>
      </c>
      <c r="D202" t="s">
        <v>180</v>
      </c>
      <c r="E202">
        <v>10</v>
      </c>
      <c r="F202" t="str">
        <f t="shared" si="16"/>
        <v>Areal-skovtype5-10</v>
      </c>
      <c r="G202" s="107">
        <f>IF($A202="Vestdanmark",SUMIFS(IF(G$2=År1,Skovbrug!$C$22:$C$42,IF(G$2=År2,Skovbrug!$D$22:$D$42,Skovbrug!$E$22:$E$42)),Skovbrug!$A$22:$A$42,'Direkte input'!$B202,Skovbrug!$B$22:$B$42,'Direkte input'!$E202),SUMIFS(IF(G$2=År1,Skovbrug!$F$22:$F$42,IF(G$2=År2,Skovbrug!$G$22:$G$42,Skovbrug!$H$22:$H$42)),Skovbrug!$A$22:$A$42,'Direkte input'!$B202,Skovbrug!$B$22:$B$42,'Direkte input'!$E202))</f>
        <v>0</v>
      </c>
      <c r="H202" s="107">
        <f ca="1">IF($A202="Vestdanmark",SUMIFS(IF(H$2=År1,Skovbrug!$C$22:$C$42,IF(H$2=År2,Skovbrug!$D$22:$D$42,Skovbrug!$E$22:$E$42)),Skovbrug!$A$22:$A$42,'Direkte input'!$B202,Skovbrug!$B$22:$B$42,'Direkte input'!$E202),SUMIFS(IF(H$2=År1,Skovbrug!$F$22:$F$42,IF(H$2=År2,Skovbrug!$G$22:$G$42,Skovbrug!$H$22:$H$42)),Skovbrug!$A$22:$A$42,'Direkte input'!$B202,Skovbrug!$B$22:$B$42,'Direkte input'!$E202))</f>
        <v>0</v>
      </c>
      <c r="I202" s="107">
        <f ca="1">IF($A202="Vestdanmark",SUMIFS(IF(I$2=År1,Skovbrug!$C$22:$C$42,IF(I$2=År2,Skovbrug!$D$22:$D$42,Skovbrug!$E$22:$E$42)),Skovbrug!$A$22:$A$42,'Direkte input'!$B202,Skovbrug!$B$22:$B$42,'Direkte input'!$E202),SUMIFS(IF(I$2=År1,Skovbrug!$F$22:$F$42,IF(I$2=År2,Skovbrug!$G$22:$G$42,Skovbrug!$H$22:$H$42)),Skovbrug!$A$22:$A$42,'Direkte input'!$B202,Skovbrug!$B$22:$B$42,'Direkte input'!$E202))</f>
        <v>0</v>
      </c>
    </row>
    <row r="203" spans="1:9" x14ac:dyDescent="0.25">
      <c r="A203" t="s">
        <v>23</v>
      </c>
      <c r="B203" t="s">
        <v>180</v>
      </c>
      <c r="D203" t="s">
        <v>180</v>
      </c>
      <c r="E203">
        <v>20</v>
      </c>
      <c r="F203" t="str">
        <f t="shared" si="16"/>
        <v>Areal-skovtype5-20</v>
      </c>
      <c r="G203" s="107">
        <f>IF($A203="Vestdanmark",SUMIFS(IF(G$2=År1,Skovbrug!$C$22:$C$42,IF(G$2=År2,Skovbrug!$D$22:$D$42,Skovbrug!$E$22:$E$42)),Skovbrug!$A$22:$A$42,'Direkte input'!$B203,Skovbrug!$B$22:$B$42,'Direkte input'!$E203),SUMIFS(IF(G$2=År1,Skovbrug!$F$22:$F$42,IF(G$2=År2,Skovbrug!$G$22:$G$42,Skovbrug!$H$22:$H$42)),Skovbrug!$A$22:$A$42,'Direkte input'!$B203,Skovbrug!$B$22:$B$42,'Direkte input'!$E203))</f>
        <v>0</v>
      </c>
      <c r="H203" s="107">
        <f ca="1">IF($A203="Vestdanmark",SUMIFS(IF(H$2=År1,Skovbrug!$C$22:$C$42,IF(H$2=År2,Skovbrug!$D$22:$D$42,Skovbrug!$E$22:$E$42)),Skovbrug!$A$22:$A$42,'Direkte input'!$B203,Skovbrug!$B$22:$B$42,'Direkte input'!$E203),SUMIFS(IF(H$2=År1,Skovbrug!$F$22:$F$42,IF(H$2=År2,Skovbrug!$G$22:$G$42,Skovbrug!$H$22:$H$42)),Skovbrug!$A$22:$A$42,'Direkte input'!$B203,Skovbrug!$B$22:$B$42,'Direkte input'!$E203))</f>
        <v>0</v>
      </c>
      <c r="I203" s="107">
        <f ca="1">IF($A203="Vestdanmark",SUMIFS(IF(I$2=År1,Skovbrug!$C$22:$C$42,IF(I$2=År2,Skovbrug!$D$22:$D$42,Skovbrug!$E$22:$E$42)),Skovbrug!$A$22:$A$42,'Direkte input'!$B203,Skovbrug!$B$22:$B$42,'Direkte input'!$E203),SUMIFS(IF(I$2=År1,Skovbrug!$F$22:$F$42,IF(I$2=År2,Skovbrug!$G$22:$G$42,Skovbrug!$H$22:$H$42)),Skovbrug!$A$22:$A$42,'Direkte input'!$B203,Skovbrug!$B$22:$B$42,'Direkte input'!$E203))</f>
        <v>0</v>
      </c>
    </row>
    <row r="204" spans="1:9" x14ac:dyDescent="0.25">
      <c r="A204" t="s">
        <v>23</v>
      </c>
      <c r="B204" t="s">
        <v>180</v>
      </c>
      <c r="D204" t="s">
        <v>180</v>
      </c>
      <c r="E204">
        <v>30</v>
      </c>
      <c r="F204" t="str">
        <f t="shared" si="16"/>
        <v>Areal-skovtype5-30</v>
      </c>
      <c r="G204" s="107">
        <f>IF($A204="Vestdanmark",SUMIFS(IF(G$2=År1,Skovbrug!$C$22:$C$42,IF(G$2=År2,Skovbrug!$D$22:$D$42,Skovbrug!$E$22:$E$42)),Skovbrug!$A$22:$A$42,'Direkte input'!$B204,Skovbrug!$B$22:$B$42,'Direkte input'!$E204),SUMIFS(IF(G$2=År1,Skovbrug!$F$22:$F$42,IF(G$2=År2,Skovbrug!$G$22:$G$42,Skovbrug!$H$22:$H$42)),Skovbrug!$A$22:$A$42,'Direkte input'!$B204,Skovbrug!$B$22:$B$42,'Direkte input'!$E204))</f>
        <v>0</v>
      </c>
      <c r="H204" s="107">
        <f ca="1">IF($A204="Vestdanmark",SUMIFS(IF(H$2=År1,Skovbrug!$C$22:$C$42,IF(H$2=År2,Skovbrug!$D$22:$D$42,Skovbrug!$E$22:$E$42)),Skovbrug!$A$22:$A$42,'Direkte input'!$B204,Skovbrug!$B$22:$B$42,'Direkte input'!$E204),SUMIFS(IF(H$2=År1,Skovbrug!$F$22:$F$42,IF(H$2=År2,Skovbrug!$G$22:$G$42,Skovbrug!$H$22:$H$42)),Skovbrug!$A$22:$A$42,'Direkte input'!$B204,Skovbrug!$B$22:$B$42,'Direkte input'!$E204))</f>
        <v>0</v>
      </c>
      <c r="I204" s="107">
        <f ca="1">IF($A204="Vestdanmark",SUMIFS(IF(I$2=År1,Skovbrug!$C$22:$C$42,IF(I$2=År2,Skovbrug!$D$22:$D$42,Skovbrug!$E$22:$E$42)),Skovbrug!$A$22:$A$42,'Direkte input'!$B204,Skovbrug!$B$22:$B$42,'Direkte input'!$E204),SUMIFS(IF(I$2=År1,Skovbrug!$F$22:$F$42,IF(I$2=År2,Skovbrug!$G$22:$G$42,Skovbrug!$H$22:$H$42)),Skovbrug!$A$22:$A$42,'Direkte input'!$B204,Skovbrug!$B$22:$B$42,'Direkte input'!$E204))</f>
        <v>0</v>
      </c>
    </row>
    <row r="205" spans="1:9" x14ac:dyDescent="0.25">
      <c r="A205" t="s">
        <v>23</v>
      </c>
      <c r="B205" t="s">
        <v>180</v>
      </c>
      <c r="D205" t="s">
        <v>180</v>
      </c>
      <c r="E205">
        <v>40</v>
      </c>
      <c r="F205" t="str">
        <f t="shared" si="16"/>
        <v>Areal-skovtype5-40</v>
      </c>
      <c r="G205" s="107">
        <f>IF($A205="Vestdanmark",SUMIFS(IF(G$2=År1,Skovbrug!$C$22:$C$42,IF(G$2=År2,Skovbrug!$D$22:$D$42,Skovbrug!$E$22:$E$42)),Skovbrug!$A$22:$A$42,'Direkte input'!$B205,Skovbrug!$B$22:$B$42,'Direkte input'!$E205),SUMIFS(IF(G$2=År1,Skovbrug!$F$22:$F$42,IF(G$2=År2,Skovbrug!$G$22:$G$42,Skovbrug!$H$22:$H$42)),Skovbrug!$A$22:$A$42,'Direkte input'!$B205,Skovbrug!$B$22:$B$42,'Direkte input'!$E205))</f>
        <v>0</v>
      </c>
      <c r="H205" s="107">
        <f ca="1">IF($A205="Vestdanmark",SUMIFS(IF(H$2=År1,Skovbrug!$C$22:$C$42,IF(H$2=År2,Skovbrug!$D$22:$D$42,Skovbrug!$E$22:$E$42)),Skovbrug!$A$22:$A$42,'Direkte input'!$B205,Skovbrug!$B$22:$B$42,'Direkte input'!$E205),SUMIFS(IF(H$2=År1,Skovbrug!$F$22:$F$42,IF(H$2=År2,Skovbrug!$G$22:$G$42,Skovbrug!$H$22:$H$42)),Skovbrug!$A$22:$A$42,'Direkte input'!$B205,Skovbrug!$B$22:$B$42,'Direkte input'!$E205))</f>
        <v>0</v>
      </c>
      <c r="I205" s="107">
        <f ca="1">IF($A205="Vestdanmark",SUMIFS(IF(I$2=År1,Skovbrug!$C$22:$C$42,IF(I$2=År2,Skovbrug!$D$22:$D$42,Skovbrug!$E$22:$E$42)),Skovbrug!$A$22:$A$42,'Direkte input'!$B205,Skovbrug!$B$22:$B$42,'Direkte input'!$E205),SUMIFS(IF(I$2=År1,Skovbrug!$F$22:$F$42,IF(I$2=År2,Skovbrug!$G$22:$G$42,Skovbrug!$H$22:$H$42)),Skovbrug!$A$22:$A$42,'Direkte input'!$B205,Skovbrug!$B$22:$B$42,'Direkte input'!$E205))</f>
        <v>0</v>
      </c>
    </row>
    <row r="206" spans="1:9" x14ac:dyDescent="0.25">
      <c r="A206" t="s">
        <v>24</v>
      </c>
      <c r="B206" t="s">
        <v>182</v>
      </c>
      <c r="D206" t="s">
        <v>182</v>
      </c>
      <c r="E206" t="s">
        <v>181</v>
      </c>
      <c r="F206" t="str">
        <f>CONCATENATE("Areal-",LOWER(B206))</f>
        <v>Areal-basisskov</v>
      </c>
      <c r="G206" s="107">
        <f>IF($A206="Vestdanmark",SUMIFS(IF(G$2=År1,Skovbrug!$C$22:$C$42,IF(G$2=År2,Skovbrug!$D$22:$D$42,Skovbrug!$E$22:$E$42)),Skovbrug!$A$22:$A$42,'Direkte input'!$B206,Skovbrug!$B$22:$B$42,'Direkte input'!$E206),SUMIFS(IF(G$2=År1,Skovbrug!$F$22:$F$42,IF(G$2=År2,Skovbrug!$G$22:$G$42,Skovbrug!$H$22:$H$42)),Skovbrug!$A$22:$A$42,'Direkte input'!$B206,Skovbrug!$B$22:$B$42,'Direkte input'!$E206))</f>
        <v>127345.4783769354</v>
      </c>
      <c r="H206" s="107">
        <f>IF($A206="Vestdanmark",SUMIFS(IF(H$2=År1,Skovbrug!$C$22:$C$42,IF(H$2=År2,Skovbrug!$D$22:$D$42,Skovbrug!$E$22:$E$42)),Skovbrug!$A$22:$A$42,'Direkte input'!$B206,Skovbrug!$B$22:$B$42,'Direkte input'!$E206),SUMIFS(IF(H$2=År1,Skovbrug!$F$22:$F$42,IF(H$2=År2,Skovbrug!$G$22:$G$42,Skovbrug!$H$22:$H$42)),Skovbrug!$A$22:$A$42,'Direkte input'!$B206,Skovbrug!$B$22:$B$42,'Direkte input'!$E206))</f>
        <v>120513.97668054659</v>
      </c>
      <c r="I206" s="107">
        <f>IF($A206="Vestdanmark",SUMIFS(IF(I$2=År1,Skovbrug!$C$22:$C$42,IF(I$2=År2,Skovbrug!$D$22:$D$42,Skovbrug!$E$22:$E$42)),Skovbrug!$A$22:$A$42,'Direkte input'!$B206,Skovbrug!$B$22:$B$42,'Direkte input'!$E206),SUMIFS(IF(I$2=År1,Skovbrug!$F$22:$F$42,IF(I$2=År2,Skovbrug!$G$22:$G$42,Skovbrug!$H$22:$H$42)),Skovbrug!$A$22:$A$42,'Direkte input'!$B206,Skovbrug!$B$22:$B$42,'Direkte input'!$E206))</f>
        <v>109018.20632479334</v>
      </c>
    </row>
    <row r="207" spans="1:9" x14ac:dyDescent="0.25">
      <c r="A207" t="s">
        <v>24</v>
      </c>
      <c r="B207" t="s">
        <v>176</v>
      </c>
      <c r="D207" t="s">
        <v>176</v>
      </c>
      <c r="E207">
        <v>10</v>
      </c>
      <c r="F207" t="str">
        <f t="shared" ref="F207:F226" si="17">CONCATENATE("Areal-",LOWER(B207),"-",E207)</f>
        <v>Areal-skovtype1-10</v>
      </c>
      <c r="G207" s="107">
        <f ca="1">IF($A207="Vestdanmark",SUMIFS(IF(G$2=År1,Skovbrug!$C$22:$C$42,IF(G$2=År2,Skovbrug!$D$22:$D$42,Skovbrug!$E$22:$E$42)),Skovbrug!$A$22:$A$42,'Direkte input'!$B207,Skovbrug!$B$22:$B$42,'Direkte input'!$E207),SUMIFS(IF(G$2=År1,Skovbrug!$F$22:$F$42,IF(G$2=År2,Skovbrug!$G$22:$G$42,Skovbrug!$H$22:$H$42)),Skovbrug!$A$22:$A$42,'Direkte input'!$B207,Skovbrug!$B$22:$B$42,'Direkte input'!$E207))</f>
        <v>0</v>
      </c>
      <c r="H207" s="107">
        <f ca="1">IF($A207="Vestdanmark",SUMIFS(IF(H$2=År1,Skovbrug!$C$22:$C$42,IF(H$2=År2,Skovbrug!$D$22:$D$42,Skovbrug!$E$22:$E$42)),Skovbrug!$A$22:$A$42,'Direkte input'!$B207,Skovbrug!$B$22:$B$42,'Direkte input'!$E207),SUMIFS(IF(H$2=År1,Skovbrug!$F$22:$F$42,IF(H$2=År2,Skovbrug!$G$22:$G$42,Skovbrug!$H$22:$H$42)),Skovbrug!$A$22:$A$42,'Direkte input'!$B207,Skovbrug!$B$22:$B$42,'Direkte input'!$E207))</f>
        <v>8699.9594896893177</v>
      </c>
      <c r="I207" s="107">
        <f ca="1">IF($A207="Vestdanmark",SUMIFS(IF(I$2=År1,Skovbrug!$C$22:$C$42,IF(I$2=År2,Skovbrug!$D$22:$D$42,Skovbrug!$E$22:$E$42)),Skovbrug!$A$22:$A$42,'Direkte input'!$B207,Skovbrug!$B$22:$B$42,'Direkte input'!$E207),SUMIFS(IF(I$2=År1,Skovbrug!$F$22:$F$42,IF(I$2=År2,Skovbrug!$G$22:$G$42,Skovbrug!$H$22:$H$42)),Skovbrug!$A$22:$A$42,'Direkte input'!$B207,Skovbrug!$B$22:$B$42,'Direkte input'!$E207))</f>
        <v>8111.9689677225915</v>
      </c>
    </row>
    <row r="208" spans="1:9" x14ac:dyDescent="0.25">
      <c r="A208" t="s">
        <v>24</v>
      </c>
      <c r="B208" t="s">
        <v>176</v>
      </c>
      <c r="D208" t="s">
        <v>176</v>
      </c>
      <c r="E208">
        <v>20</v>
      </c>
      <c r="F208" t="str">
        <f t="shared" si="17"/>
        <v>Areal-skovtype1-20</v>
      </c>
      <c r="G208" s="107">
        <f ca="1">IF($A208="Vestdanmark",SUMIFS(IF(G$2=År1,Skovbrug!$C$22:$C$42,IF(G$2=År2,Skovbrug!$D$22:$D$42,Skovbrug!$E$22:$E$42)),Skovbrug!$A$22:$A$42,'Direkte input'!$B208,Skovbrug!$B$22:$B$42,'Direkte input'!$E208),SUMIFS(IF(G$2=År1,Skovbrug!$F$22:$F$42,IF(G$2=År2,Skovbrug!$G$22:$G$42,Skovbrug!$H$22:$H$42)),Skovbrug!$A$22:$A$42,'Direkte input'!$B208,Skovbrug!$B$22:$B$42,'Direkte input'!$E208))</f>
        <v>0</v>
      </c>
      <c r="H208" s="107">
        <f ca="1">IF($A208="Vestdanmark",SUMIFS(IF(H$2=År1,Skovbrug!$C$22:$C$42,IF(H$2=År2,Skovbrug!$D$22:$D$42,Skovbrug!$E$22:$E$42)),Skovbrug!$A$22:$A$42,'Direkte input'!$B208,Skovbrug!$B$22:$B$42,'Direkte input'!$E208),SUMIFS(IF(H$2=År1,Skovbrug!$F$22:$F$42,IF(H$2=År2,Skovbrug!$G$22:$G$42,Skovbrug!$H$22:$H$42)),Skovbrug!$A$22:$A$42,'Direkte input'!$B208,Skovbrug!$B$22:$B$42,'Direkte input'!$E208))</f>
        <v>887.24591040319569</v>
      </c>
      <c r="I208" s="107">
        <f ca="1">IF($A208="Vestdanmark",SUMIFS(IF(I$2=År1,Skovbrug!$C$22:$C$42,IF(I$2=År2,Skovbrug!$D$22:$D$42,Skovbrug!$E$22:$E$42)),Skovbrug!$A$22:$A$42,'Direkte input'!$B208,Skovbrug!$B$22:$B$42,'Direkte input'!$E208),SUMIFS(IF(I$2=År1,Skovbrug!$F$22:$F$42,IF(I$2=År2,Skovbrug!$G$22:$G$42,Skovbrug!$H$22:$H$42)),Skovbrug!$A$22:$A$42,'Direkte input'!$B208,Skovbrug!$B$22:$B$42,'Direkte input'!$E208))</f>
        <v>8397.0977821480992</v>
      </c>
    </row>
    <row r="209" spans="1:9" x14ac:dyDescent="0.25">
      <c r="A209" t="s">
        <v>24</v>
      </c>
      <c r="B209" t="s">
        <v>176</v>
      </c>
      <c r="D209" t="s">
        <v>176</v>
      </c>
      <c r="E209">
        <v>30</v>
      </c>
      <c r="F209" t="str">
        <f t="shared" si="17"/>
        <v>Areal-skovtype1-30</v>
      </c>
      <c r="G209" s="107">
        <f ca="1">IF($A209="Vestdanmark",SUMIFS(IF(G$2=År1,Skovbrug!$C$22:$C$42,IF(G$2=År2,Skovbrug!$D$22:$D$42,Skovbrug!$E$22:$E$42)),Skovbrug!$A$22:$A$42,'Direkte input'!$B209,Skovbrug!$B$22:$B$42,'Direkte input'!$E209),SUMIFS(IF(G$2=År1,Skovbrug!$F$22:$F$42,IF(G$2=År2,Skovbrug!$G$22:$G$42,Skovbrug!$H$22:$H$42)),Skovbrug!$A$22:$A$42,'Direkte input'!$B209,Skovbrug!$B$22:$B$42,'Direkte input'!$E209))</f>
        <v>0</v>
      </c>
      <c r="H209" s="107">
        <f ca="1">IF($A209="Vestdanmark",SUMIFS(IF(H$2=År1,Skovbrug!$C$22:$C$42,IF(H$2=År2,Skovbrug!$D$22:$D$42,Skovbrug!$E$22:$E$42)),Skovbrug!$A$22:$A$42,'Direkte input'!$B209,Skovbrug!$B$22:$B$42,'Direkte input'!$E209),SUMIFS(IF(H$2=År1,Skovbrug!$F$22:$F$42,IF(H$2=År2,Skovbrug!$G$22:$G$42,Skovbrug!$H$22:$H$42)),Skovbrug!$A$22:$A$42,'Direkte input'!$B209,Skovbrug!$B$22:$B$42,'Direkte input'!$E209))</f>
        <v>0</v>
      </c>
      <c r="I209" s="107">
        <f ca="1">IF($A209="Vestdanmark",SUMIFS(IF(I$2=År1,Skovbrug!$C$22:$C$42,IF(I$2=År2,Skovbrug!$D$22:$D$42,Skovbrug!$E$22:$E$42)),Skovbrug!$A$22:$A$42,'Direkte input'!$B209,Skovbrug!$B$22:$B$42,'Direkte input'!$E209),SUMIFS(IF(I$2=År1,Skovbrug!$F$22:$F$42,IF(I$2=År2,Skovbrug!$G$22:$G$42,Skovbrug!$H$22:$H$42)),Skovbrug!$A$22:$A$42,'Direkte input'!$B209,Skovbrug!$B$22:$B$42,'Direkte input'!$E209))</f>
        <v>8699.9594896893177</v>
      </c>
    </row>
    <row r="210" spans="1:9" x14ac:dyDescent="0.25">
      <c r="A210" t="s">
        <v>24</v>
      </c>
      <c r="B210" t="s">
        <v>176</v>
      </c>
      <c r="D210" t="s">
        <v>176</v>
      </c>
      <c r="E210">
        <v>40</v>
      </c>
      <c r="F210" t="str">
        <f t="shared" si="17"/>
        <v>Areal-skovtype1-40</v>
      </c>
      <c r="G210" s="107">
        <f ca="1">IF($A210="Vestdanmark",SUMIFS(IF(G$2=År1,Skovbrug!$C$22:$C$42,IF(G$2=År2,Skovbrug!$D$22:$D$42,Skovbrug!$E$22:$E$42)),Skovbrug!$A$22:$A$42,'Direkte input'!$B210,Skovbrug!$B$22:$B$42,'Direkte input'!$E210),SUMIFS(IF(G$2=År1,Skovbrug!$F$22:$F$42,IF(G$2=År2,Skovbrug!$G$22:$G$42,Skovbrug!$H$22:$H$42)),Skovbrug!$A$22:$A$42,'Direkte input'!$B210,Skovbrug!$B$22:$B$42,'Direkte input'!$E210))</f>
        <v>0</v>
      </c>
      <c r="H210" s="107">
        <f ca="1">IF($A210="Vestdanmark",SUMIFS(IF(H$2=År1,Skovbrug!$C$22:$C$42,IF(H$2=År2,Skovbrug!$D$22:$D$42,Skovbrug!$E$22:$E$42)),Skovbrug!$A$22:$A$42,'Direkte input'!$B210,Skovbrug!$B$22:$B$42,'Direkte input'!$E210),SUMIFS(IF(H$2=År1,Skovbrug!$F$22:$F$42,IF(H$2=År2,Skovbrug!$G$22:$G$42,Skovbrug!$H$22:$H$42)),Skovbrug!$A$22:$A$42,'Direkte input'!$B210,Skovbrug!$B$22:$B$42,'Direkte input'!$E210))</f>
        <v>0</v>
      </c>
      <c r="I210" s="107">
        <f ca="1">IF($A210="Vestdanmark",SUMIFS(IF(I$2=År1,Skovbrug!$C$22:$C$42,IF(I$2=År2,Skovbrug!$D$22:$D$42,Skovbrug!$E$22:$E$42)),Skovbrug!$A$22:$A$42,'Direkte input'!$B210,Skovbrug!$B$22:$B$42,'Direkte input'!$E210),SUMIFS(IF(I$2=År1,Skovbrug!$F$22:$F$42,IF(I$2=År2,Skovbrug!$G$22:$G$42,Skovbrug!$H$22:$H$42)),Skovbrug!$A$22:$A$42,'Direkte input'!$B210,Skovbrug!$B$22:$B$42,'Direkte input'!$E210))</f>
        <v>884.3198866561213</v>
      </c>
    </row>
    <row r="211" spans="1:9" x14ac:dyDescent="0.25">
      <c r="A211" t="s">
        <v>24</v>
      </c>
      <c r="B211" t="s">
        <v>177</v>
      </c>
      <c r="D211" t="s">
        <v>177</v>
      </c>
      <c r="E211">
        <v>10</v>
      </c>
      <c r="F211" t="str">
        <f t="shared" si="17"/>
        <v>Areal-skovtype2-10</v>
      </c>
      <c r="G211" s="107">
        <f ca="1">IF($A211="Vestdanmark",SUMIFS(IF(G$2=År1,Skovbrug!$C$22:$C$42,IF(G$2=År2,Skovbrug!$D$22:$D$42,Skovbrug!$E$22:$E$42)),Skovbrug!$A$22:$A$42,'Direkte input'!$B211,Skovbrug!$B$22:$B$42,'Direkte input'!$E211),SUMIFS(IF(G$2=År1,Skovbrug!$F$22:$F$42,IF(G$2=År2,Skovbrug!$G$22:$G$42,Skovbrug!$H$22:$H$42)),Skovbrug!$A$22:$A$42,'Direkte input'!$B211,Skovbrug!$B$22:$B$42,'Direkte input'!$E211))</f>
        <v>0</v>
      </c>
      <c r="H211" s="107">
        <f ca="1">IF($A211="Vestdanmark",SUMIFS(IF(H$2=År1,Skovbrug!$C$22:$C$42,IF(H$2=År2,Skovbrug!$D$22:$D$42,Skovbrug!$E$22:$E$42)),Skovbrug!$A$22:$A$42,'Direkte input'!$B211,Skovbrug!$B$22:$B$42,'Direkte input'!$E211),SUMIFS(IF(H$2=År1,Skovbrug!$F$22:$F$42,IF(H$2=År2,Skovbrug!$G$22:$G$42,Skovbrug!$H$22:$H$42)),Skovbrug!$A$22:$A$42,'Direkte input'!$B211,Skovbrug!$B$22:$B$42,'Direkte input'!$E211))</f>
        <v>0</v>
      </c>
      <c r="I211" s="107">
        <f ca="1">IF($A211="Vestdanmark",SUMIFS(IF(I$2=År1,Skovbrug!$C$22:$C$42,IF(I$2=År2,Skovbrug!$D$22:$D$42,Skovbrug!$E$22:$E$42)),Skovbrug!$A$22:$A$42,'Direkte input'!$B211,Skovbrug!$B$22:$B$42,'Direkte input'!$E211),SUMIFS(IF(I$2=År1,Skovbrug!$F$22:$F$42,IF(I$2=År2,Skovbrug!$G$22:$G$42,Skovbrug!$H$22:$H$42)),Skovbrug!$A$22:$A$42,'Direkte input'!$B211,Skovbrug!$B$22:$B$42,'Direkte input'!$E211))</f>
        <v>0</v>
      </c>
    </row>
    <row r="212" spans="1:9" x14ac:dyDescent="0.25">
      <c r="A212" t="s">
        <v>24</v>
      </c>
      <c r="B212" t="s">
        <v>177</v>
      </c>
      <c r="D212" t="s">
        <v>177</v>
      </c>
      <c r="E212">
        <v>20</v>
      </c>
      <c r="F212" t="str">
        <f t="shared" si="17"/>
        <v>Areal-skovtype2-20</v>
      </c>
      <c r="G212" s="107">
        <f ca="1">IF($A212="Vestdanmark",SUMIFS(IF(G$2=År1,Skovbrug!$C$22:$C$42,IF(G$2=År2,Skovbrug!$D$22:$D$42,Skovbrug!$E$22:$E$42)),Skovbrug!$A$22:$A$42,'Direkte input'!$B212,Skovbrug!$B$22:$B$42,'Direkte input'!$E212),SUMIFS(IF(G$2=År1,Skovbrug!$F$22:$F$42,IF(G$2=År2,Skovbrug!$G$22:$G$42,Skovbrug!$H$22:$H$42)),Skovbrug!$A$22:$A$42,'Direkte input'!$B212,Skovbrug!$B$22:$B$42,'Direkte input'!$E212))</f>
        <v>0</v>
      </c>
      <c r="H212" s="107">
        <f ca="1">IF($A212="Vestdanmark",SUMIFS(IF(H$2=År1,Skovbrug!$C$22:$C$42,IF(H$2=År2,Skovbrug!$D$22:$D$42,Skovbrug!$E$22:$E$42)),Skovbrug!$A$22:$A$42,'Direkte input'!$B212,Skovbrug!$B$22:$B$42,'Direkte input'!$E212),SUMIFS(IF(H$2=År1,Skovbrug!$F$22:$F$42,IF(H$2=År2,Skovbrug!$G$22:$G$42,Skovbrug!$H$22:$H$42)),Skovbrug!$A$22:$A$42,'Direkte input'!$B212,Skovbrug!$B$22:$B$42,'Direkte input'!$E212))</f>
        <v>0</v>
      </c>
      <c r="I212" s="107">
        <f ca="1">IF($A212="Vestdanmark",SUMIFS(IF(I$2=År1,Skovbrug!$C$22:$C$42,IF(I$2=År2,Skovbrug!$D$22:$D$42,Skovbrug!$E$22:$E$42)),Skovbrug!$A$22:$A$42,'Direkte input'!$B212,Skovbrug!$B$22:$B$42,'Direkte input'!$E212),SUMIFS(IF(I$2=År1,Skovbrug!$F$22:$F$42,IF(I$2=År2,Skovbrug!$G$22:$G$42,Skovbrug!$H$22:$H$42)),Skovbrug!$A$22:$A$42,'Direkte input'!$B212,Skovbrug!$B$22:$B$42,'Direkte input'!$E212))</f>
        <v>0</v>
      </c>
    </row>
    <row r="213" spans="1:9" x14ac:dyDescent="0.25">
      <c r="A213" t="s">
        <v>24</v>
      </c>
      <c r="B213" t="s">
        <v>177</v>
      </c>
      <c r="D213" t="s">
        <v>177</v>
      </c>
      <c r="E213">
        <v>30</v>
      </c>
      <c r="F213" t="str">
        <f t="shared" si="17"/>
        <v>Areal-skovtype2-30</v>
      </c>
      <c r="G213" s="107">
        <f ca="1">IF($A213="Vestdanmark",SUMIFS(IF(G$2=År1,Skovbrug!$C$22:$C$42,IF(G$2=År2,Skovbrug!$D$22:$D$42,Skovbrug!$E$22:$E$42)),Skovbrug!$A$22:$A$42,'Direkte input'!$B213,Skovbrug!$B$22:$B$42,'Direkte input'!$E213),SUMIFS(IF(G$2=År1,Skovbrug!$F$22:$F$42,IF(G$2=År2,Skovbrug!$G$22:$G$42,Skovbrug!$H$22:$H$42)),Skovbrug!$A$22:$A$42,'Direkte input'!$B213,Skovbrug!$B$22:$B$42,'Direkte input'!$E213))</f>
        <v>0</v>
      </c>
      <c r="H213" s="107">
        <f ca="1">IF($A213="Vestdanmark",SUMIFS(IF(H$2=År1,Skovbrug!$C$22:$C$42,IF(H$2=År2,Skovbrug!$D$22:$D$42,Skovbrug!$E$22:$E$42)),Skovbrug!$A$22:$A$42,'Direkte input'!$B213,Skovbrug!$B$22:$B$42,'Direkte input'!$E213),SUMIFS(IF(H$2=År1,Skovbrug!$F$22:$F$42,IF(H$2=År2,Skovbrug!$G$22:$G$42,Skovbrug!$H$22:$H$42)),Skovbrug!$A$22:$A$42,'Direkte input'!$B213,Skovbrug!$B$22:$B$42,'Direkte input'!$E213))</f>
        <v>0</v>
      </c>
      <c r="I213" s="107">
        <f ca="1">IF($A213="Vestdanmark",SUMIFS(IF(I$2=År1,Skovbrug!$C$22:$C$42,IF(I$2=År2,Skovbrug!$D$22:$D$42,Skovbrug!$E$22:$E$42)),Skovbrug!$A$22:$A$42,'Direkte input'!$B213,Skovbrug!$B$22:$B$42,'Direkte input'!$E213),SUMIFS(IF(I$2=År1,Skovbrug!$F$22:$F$42,IF(I$2=År2,Skovbrug!$G$22:$G$42,Skovbrug!$H$22:$H$42)),Skovbrug!$A$22:$A$42,'Direkte input'!$B213,Skovbrug!$B$22:$B$42,'Direkte input'!$E213))</f>
        <v>0</v>
      </c>
    </row>
    <row r="214" spans="1:9" x14ac:dyDescent="0.25">
      <c r="A214" t="s">
        <v>24</v>
      </c>
      <c r="B214" t="s">
        <v>177</v>
      </c>
      <c r="D214" t="s">
        <v>177</v>
      </c>
      <c r="E214">
        <v>40</v>
      </c>
      <c r="F214" t="str">
        <f t="shared" si="17"/>
        <v>Areal-skovtype2-40</v>
      </c>
      <c r="G214" s="107">
        <f ca="1">IF($A214="Vestdanmark",SUMIFS(IF(G$2=År1,Skovbrug!$C$22:$C$42,IF(G$2=År2,Skovbrug!$D$22:$D$42,Skovbrug!$E$22:$E$42)),Skovbrug!$A$22:$A$42,'Direkte input'!$B214,Skovbrug!$B$22:$B$42,'Direkte input'!$E214),SUMIFS(IF(G$2=År1,Skovbrug!$F$22:$F$42,IF(G$2=År2,Skovbrug!$G$22:$G$42,Skovbrug!$H$22:$H$42)),Skovbrug!$A$22:$A$42,'Direkte input'!$B214,Skovbrug!$B$22:$B$42,'Direkte input'!$E214))</f>
        <v>0</v>
      </c>
      <c r="H214" s="107">
        <f ca="1">IF($A214="Vestdanmark",SUMIFS(IF(H$2=År1,Skovbrug!$C$22:$C$42,IF(H$2=År2,Skovbrug!$D$22:$D$42,Skovbrug!$E$22:$E$42)),Skovbrug!$A$22:$A$42,'Direkte input'!$B214,Skovbrug!$B$22:$B$42,'Direkte input'!$E214),SUMIFS(IF(H$2=År1,Skovbrug!$F$22:$F$42,IF(H$2=År2,Skovbrug!$G$22:$G$42,Skovbrug!$H$22:$H$42)),Skovbrug!$A$22:$A$42,'Direkte input'!$B214,Skovbrug!$B$22:$B$42,'Direkte input'!$E214))</f>
        <v>0</v>
      </c>
      <c r="I214" s="107">
        <f ca="1">IF($A214="Vestdanmark",SUMIFS(IF(I$2=År1,Skovbrug!$C$22:$C$42,IF(I$2=År2,Skovbrug!$D$22:$D$42,Skovbrug!$E$22:$E$42)),Skovbrug!$A$22:$A$42,'Direkte input'!$B214,Skovbrug!$B$22:$B$42,'Direkte input'!$E214),SUMIFS(IF(I$2=År1,Skovbrug!$F$22:$F$42,IF(I$2=År2,Skovbrug!$G$22:$G$42,Skovbrug!$H$22:$H$42)),Skovbrug!$A$22:$A$42,'Direkte input'!$B214,Skovbrug!$B$22:$B$42,'Direkte input'!$E214))</f>
        <v>0</v>
      </c>
    </row>
    <row r="215" spans="1:9" x14ac:dyDescent="0.25">
      <c r="A215" t="s">
        <v>24</v>
      </c>
      <c r="B215" t="s">
        <v>178</v>
      </c>
      <c r="D215" t="s">
        <v>178</v>
      </c>
      <c r="E215">
        <v>10</v>
      </c>
      <c r="F215" t="str">
        <f t="shared" si="17"/>
        <v>Areal-skovtype3-10</v>
      </c>
      <c r="G215" s="107">
        <f ca="1">IF($A215="Vestdanmark",SUMIFS(IF(G$2=År1,Skovbrug!$C$22:$C$42,IF(G$2=År2,Skovbrug!$D$22:$D$42,Skovbrug!$E$22:$E$42)),Skovbrug!$A$22:$A$42,'Direkte input'!$B215,Skovbrug!$B$22:$B$42,'Direkte input'!$E215),SUMIFS(IF(G$2=År1,Skovbrug!$F$22:$F$42,IF(G$2=År2,Skovbrug!$G$22:$G$42,Skovbrug!$H$22:$H$42)),Skovbrug!$A$22:$A$42,'Direkte input'!$B215,Skovbrug!$B$22:$B$42,'Direkte input'!$E215))</f>
        <v>0</v>
      </c>
      <c r="H215" s="107">
        <f ca="1">IF($A215="Vestdanmark",SUMIFS(IF(H$2=År1,Skovbrug!$C$22:$C$42,IF(H$2=År2,Skovbrug!$D$22:$D$42,Skovbrug!$E$22:$E$42)),Skovbrug!$A$22:$A$42,'Direkte input'!$B215,Skovbrug!$B$22:$B$42,'Direkte input'!$E215),SUMIFS(IF(H$2=År1,Skovbrug!$F$22:$F$42,IF(H$2=År2,Skovbrug!$G$22:$G$42,Skovbrug!$H$22:$H$42)),Skovbrug!$A$22:$A$42,'Direkte input'!$B215,Skovbrug!$B$22:$B$42,'Direkte input'!$E215))</f>
        <v>0</v>
      </c>
      <c r="I215" s="107">
        <f ca="1">IF($A215="Vestdanmark",SUMIFS(IF(I$2=År1,Skovbrug!$C$22:$C$42,IF(I$2=År2,Skovbrug!$D$22:$D$42,Skovbrug!$E$22:$E$42)),Skovbrug!$A$22:$A$42,'Direkte input'!$B215,Skovbrug!$B$22:$B$42,'Direkte input'!$E215),SUMIFS(IF(I$2=År1,Skovbrug!$F$22:$F$42,IF(I$2=År2,Skovbrug!$G$22:$G$42,Skovbrug!$H$22:$H$42)),Skovbrug!$A$22:$A$42,'Direkte input'!$B215,Skovbrug!$B$22:$B$42,'Direkte input'!$E215))</f>
        <v>0</v>
      </c>
    </row>
    <row r="216" spans="1:9" x14ac:dyDescent="0.25">
      <c r="A216" t="s">
        <v>24</v>
      </c>
      <c r="B216" t="s">
        <v>178</v>
      </c>
      <c r="D216" t="s">
        <v>178</v>
      </c>
      <c r="E216">
        <v>20</v>
      </c>
      <c r="F216" t="str">
        <f t="shared" si="17"/>
        <v>Areal-skovtype3-20</v>
      </c>
      <c r="G216" s="107">
        <f ca="1">IF($A216="Vestdanmark",SUMIFS(IF(G$2=År1,Skovbrug!$C$22:$C$42,IF(G$2=År2,Skovbrug!$D$22:$D$42,Skovbrug!$E$22:$E$42)),Skovbrug!$A$22:$A$42,'Direkte input'!$B216,Skovbrug!$B$22:$B$42,'Direkte input'!$E216),SUMIFS(IF(G$2=År1,Skovbrug!$F$22:$F$42,IF(G$2=År2,Skovbrug!$G$22:$G$42,Skovbrug!$H$22:$H$42)),Skovbrug!$A$22:$A$42,'Direkte input'!$B216,Skovbrug!$B$22:$B$42,'Direkte input'!$E216))</f>
        <v>0</v>
      </c>
      <c r="H216" s="107">
        <f ca="1">IF($A216="Vestdanmark",SUMIFS(IF(H$2=År1,Skovbrug!$C$22:$C$42,IF(H$2=År2,Skovbrug!$D$22:$D$42,Skovbrug!$E$22:$E$42)),Skovbrug!$A$22:$A$42,'Direkte input'!$B216,Skovbrug!$B$22:$B$42,'Direkte input'!$E216),SUMIFS(IF(H$2=År1,Skovbrug!$F$22:$F$42,IF(H$2=År2,Skovbrug!$G$22:$G$42,Skovbrug!$H$22:$H$42)),Skovbrug!$A$22:$A$42,'Direkte input'!$B216,Skovbrug!$B$22:$B$42,'Direkte input'!$E216))</f>
        <v>0</v>
      </c>
      <c r="I216" s="107">
        <f ca="1">IF($A216="Vestdanmark",SUMIFS(IF(I$2=År1,Skovbrug!$C$22:$C$42,IF(I$2=År2,Skovbrug!$D$22:$D$42,Skovbrug!$E$22:$E$42)),Skovbrug!$A$22:$A$42,'Direkte input'!$B216,Skovbrug!$B$22:$B$42,'Direkte input'!$E216),SUMIFS(IF(I$2=År1,Skovbrug!$F$22:$F$42,IF(I$2=År2,Skovbrug!$G$22:$G$42,Skovbrug!$H$22:$H$42)),Skovbrug!$A$22:$A$42,'Direkte input'!$B216,Skovbrug!$B$22:$B$42,'Direkte input'!$E216))</f>
        <v>0</v>
      </c>
    </row>
    <row r="217" spans="1:9" x14ac:dyDescent="0.25">
      <c r="A217" t="s">
        <v>24</v>
      </c>
      <c r="B217" t="s">
        <v>178</v>
      </c>
      <c r="D217" t="s">
        <v>178</v>
      </c>
      <c r="E217">
        <v>30</v>
      </c>
      <c r="F217" t="str">
        <f t="shared" si="17"/>
        <v>Areal-skovtype3-30</v>
      </c>
      <c r="G217" s="107">
        <f ca="1">IF($A217="Vestdanmark",SUMIFS(IF(G$2=År1,Skovbrug!$C$22:$C$42,IF(G$2=År2,Skovbrug!$D$22:$D$42,Skovbrug!$E$22:$E$42)),Skovbrug!$A$22:$A$42,'Direkte input'!$B217,Skovbrug!$B$22:$B$42,'Direkte input'!$E217),SUMIFS(IF(G$2=År1,Skovbrug!$F$22:$F$42,IF(G$2=År2,Skovbrug!$G$22:$G$42,Skovbrug!$H$22:$H$42)),Skovbrug!$A$22:$A$42,'Direkte input'!$B217,Skovbrug!$B$22:$B$42,'Direkte input'!$E217))</f>
        <v>0</v>
      </c>
      <c r="H217" s="107">
        <f ca="1">IF($A217="Vestdanmark",SUMIFS(IF(H$2=År1,Skovbrug!$C$22:$C$42,IF(H$2=År2,Skovbrug!$D$22:$D$42,Skovbrug!$E$22:$E$42)),Skovbrug!$A$22:$A$42,'Direkte input'!$B217,Skovbrug!$B$22:$B$42,'Direkte input'!$E217),SUMIFS(IF(H$2=År1,Skovbrug!$F$22:$F$42,IF(H$2=År2,Skovbrug!$G$22:$G$42,Skovbrug!$H$22:$H$42)),Skovbrug!$A$22:$A$42,'Direkte input'!$B217,Skovbrug!$B$22:$B$42,'Direkte input'!$E217))</f>
        <v>0</v>
      </c>
      <c r="I217" s="107">
        <f ca="1">IF($A217="Vestdanmark",SUMIFS(IF(I$2=År1,Skovbrug!$C$22:$C$42,IF(I$2=År2,Skovbrug!$D$22:$D$42,Skovbrug!$E$22:$E$42)),Skovbrug!$A$22:$A$42,'Direkte input'!$B217,Skovbrug!$B$22:$B$42,'Direkte input'!$E217),SUMIFS(IF(I$2=År1,Skovbrug!$F$22:$F$42,IF(I$2=År2,Skovbrug!$G$22:$G$42,Skovbrug!$H$22:$H$42)),Skovbrug!$A$22:$A$42,'Direkte input'!$B217,Skovbrug!$B$22:$B$42,'Direkte input'!$E217))</f>
        <v>0</v>
      </c>
    </row>
    <row r="218" spans="1:9" x14ac:dyDescent="0.25">
      <c r="A218" t="s">
        <v>24</v>
      </c>
      <c r="B218" t="s">
        <v>178</v>
      </c>
      <c r="D218" t="s">
        <v>178</v>
      </c>
      <c r="E218">
        <v>40</v>
      </c>
      <c r="F218" t="str">
        <f t="shared" si="17"/>
        <v>Areal-skovtype3-40</v>
      </c>
      <c r="G218" s="107">
        <f ca="1">IF($A218="Vestdanmark",SUMIFS(IF(G$2=År1,Skovbrug!$C$22:$C$42,IF(G$2=År2,Skovbrug!$D$22:$D$42,Skovbrug!$E$22:$E$42)),Skovbrug!$A$22:$A$42,'Direkte input'!$B218,Skovbrug!$B$22:$B$42,'Direkte input'!$E218),SUMIFS(IF(G$2=År1,Skovbrug!$F$22:$F$42,IF(G$2=År2,Skovbrug!$G$22:$G$42,Skovbrug!$H$22:$H$42)),Skovbrug!$A$22:$A$42,'Direkte input'!$B218,Skovbrug!$B$22:$B$42,'Direkte input'!$E218))</f>
        <v>0</v>
      </c>
      <c r="H218" s="107">
        <f ca="1">IF($A218="Vestdanmark",SUMIFS(IF(H$2=År1,Skovbrug!$C$22:$C$42,IF(H$2=År2,Skovbrug!$D$22:$D$42,Skovbrug!$E$22:$E$42)),Skovbrug!$A$22:$A$42,'Direkte input'!$B218,Skovbrug!$B$22:$B$42,'Direkte input'!$E218),SUMIFS(IF(H$2=År1,Skovbrug!$F$22:$F$42,IF(H$2=År2,Skovbrug!$G$22:$G$42,Skovbrug!$H$22:$H$42)),Skovbrug!$A$22:$A$42,'Direkte input'!$B218,Skovbrug!$B$22:$B$42,'Direkte input'!$E218))</f>
        <v>0</v>
      </c>
      <c r="I218" s="107">
        <f ca="1">IF($A218="Vestdanmark",SUMIFS(IF(I$2=År1,Skovbrug!$C$22:$C$42,IF(I$2=År2,Skovbrug!$D$22:$D$42,Skovbrug!$E$22:$E$42)),Skovbrug!$A$22:$A$42,'Direkte input'!$B218,Skovbrug!$B$22:$B$42,'Direkte input'!$E218),SUMIFS(IF(I$2=År1,Skovbrug!$F$22:$F$42,IF(I$2=År2,Skovbrug!$G$22:$G$42,Skovbrug!$H$22:$H$42)),Skovbrug!$A$22:$A$42,'Direkte input'!$B218,Skovbrug!$B$22:$B$42,'Direkte input'!$E218))</f>
        <v>0</v>
      </c>
    </row>
    <row r="219" spans="1:9" x14ac:dyDescent="0.25">
      <c r="A219" t="s">
        <v>24</v>
      </c>
      <c r="B219" t="s">
        <v>179</v>
      </c>
      <c r="D219" t="s">
        <v>179</v>
      </c>
      <c r="E219">
        <v>10</v>
      </c>
      <c r="F219" t="str">
        <f t="shared" si="17"/>
        <v>Areal-skovtype4-10</v>
      </c>
      <c r="G219" s="107">
        <f ca="1">IF($A219="Vestdanmark",SUMIFS(IF(G$2=År1,Skovbrug!$C$22:$C$42,IF(G$2=År2,Skovbrug!$D$22:$D$42,Skovbrug!$E$22:$E$42)),Skovbrug!$A$22:$A$42,'Direkte input'!$B219,Skovbrug!$B$22:$B$42,'Direkte input'!$E219),SUMIFS(IF(G$2=År1,Skovbrug!$F$22:$F$42,IF(G$2=År2,Skovbrug!$G$22:$G$42,Skovbrug!$H$22:$H$42)),Skovbrug!$A$22:$A$42,'Direkte input'!$B219,Skovbrug!$B$22:$B$42,'Direkte input'!$E219))</f>
        <v>0</v>
      </c>
      <c r="H219" s="107">
        <f ca="1">IF($A219="Vestdanmark",SUMIFS(IF(H$2=År1,Skovbrug!$C$22:$C$42,IF(H$2=År2,Skovbrug!$D$22:$D$42,Skovbrug!$E$22:$E$42)),Skovbrug!$A$22:$A$42,'Direkte input'!$B219,Skovbrug!$B$22:$B$42,'Direkte input'!$E219),SUMIFS(IF(H$2=År1,Skovbrug!$F$22:$F$42,IF(H$2=År2,Skovbrug!$G$22:$G$42,Skovbrug!$H$22:$H$42)),Skovbrug!$A$22:$A$42,'Direkte input'!$B219,Skovbrug!$B$22:$B$42,'Direkte input'!$E219))</f>
        <v>0</v>
      </c>
      <c r="I219" s="107">
        <f ca="1">IF($A219="Vestdanmark",SUMIFS(IF(I$2=År1,Skovbrug!$C$22:$C$42,IF(I$2=År2,Skovbrug!$D$22:$D$42,Skovbrug!$E$22:$E$42)),Skovbrug!$A$22:$A$42,'Direkte input'!$B219,Skovbrug!$B$22:$B$42,'Direkte input'!$E219),SUMIFS(IF(I$2=År1,Skovbrug!$F$22:$F$42,IF(I$2=År2,Skovbrug!$G$22:$G$42,Skovbrug!$H$22:$H$42)),Skovbrug!$A$22:$A$42,'Direkte input'!$B219,Skovbrug!$B$22:$B$42,'Direkte input'!$E219))</f>
        <v>0</v>
      </c>
    </row>
    <row r="220" spans="1:9" x14ac:dyDescent="0.25">
      <c r="A220" t="s">
        <v>24</v>
      </c>
      <c r="B220" t="s">
        <v>179</v>
      </c>
      <c r="D220" t="s">
        <v>179</v>
      </c>
      <c r="E220">
        <v>20</v>
      </c>
      <c r="F220" t="str">
        <f t="shared" si="17"/>
        <v>Areal-skovtype4-20</v>
      </c>
      <c r="G220" s="107">
        <f ca="1">IF($A220="Vestdanmark",SUMIFS(IF(G$2=År1,Skovbrug!$C$22:$C$42,IF(G$2=År2,Skovbrug!$D$22:$D$42,Skovbrug!$E$22:$E$42)),Skovbrug!$A$22:$A$42,'Direkte input'!$B220,Skovbrug!$B$22:$B$42,'Direkte input'!$E220),SUMIFS(IF(G$2=År1,Skovbrug!$F$22:$F$42,IF(G$2=År2,Skovbrug!$G$22:$G$42,Skovbrug!$H$22:$H$42)),Skovbrug!$A$22:$A$42,'Direkte input'!$B220,Skovbrug!$B$22:$B$42,'Direkte input'!$E220))</f>
        <v>0</v>
      </c>
      <c r="H220" s="107">
        <f ca="1">IF($A220="Vestdanmark",SUMIFS(IF(H$2=År1,Skovbrug!$C$22:$C$42,IF(H$2=År2,Skovbrug!$D$22:$D$42,Skovbrug!$E$22:$E$42)),Skovbrug!$A$22:$A$42,'Direkte input'!$B220,Skovbrug!$B$22:$B$42,'Direkte input'!$E220),SUMIFS(IF(H$2=År1,Skovbrug!$F$22:$F$42,IF(H$2=År2,Skovbrug!$G$22:$G$42,Skovbrug!$H$22:$H$42)),Skovbrug!$A$22:$A$42,'Direkte input'!$B220,Skovbrug!$B$22:$B$42,'Direkte input'!$E220))</f>
        <v>0</v>
      </c>
      <c r="I220" s="107">
        <f ca="1">IF($A220="Vestdanmark",SUMIFS(IF(I$2=År1,Skovbrug!$C$22:$C$42,IF(I$2=År2,Skovbrug!$D$22:$D$42,Skovbrug!$E$22:$E$42)),Skovbrug!$A$22:$A$42,'Direkte input'!$B220,Skovbrug!$B$22:$B$42,'Direkte input'!$E220),SUMIFS(IF(I$2=År1,Skovbrug!$F$22:$F$42,IF(I$2=År2,Skovbrug!$G$22:$G$42,Skovbrug!$H$22:$H$42)),Skovbrug!$A$22:$A$42,'Direkte input'!$B220,Skovbrug!$B$22:$B$42,'Direkte input'!$E220))</f>
        <v>0</v>
      </c>
    </row>
    <row r="221" spans="1:9" x14ac:dyDescent="0.25">
      <c r="A221" t="s">
        <v>24</v>
      </c>
      <c r="B221" t="s">
        <v>179</v>
      </c>
      <c r="D221" t="s">
        <v>179</v>
      </c>
      <c r="E221">
        <v>30</v>
      </c>
      <c r="F221" t="str">
        <f t="shared" si="17"/>
        <v>Areal-skovtype4-30</v>
      </c>
      <c r="G221" s="107">
        <f ca="1">IF($A221="Vestdanmark",SUMIFS(IF(G$2=År1,Skovbrug!$C$22:$C$42,IF(G$2=År2,Skovbrug!$D$22:$D$42,Skovbrug!$E$22:$E$42)),Skovbrug!$A$22:$A$42,'Direkte input'!$B221,Skovbrug!$B$22:$B$42,'Direkte input'!$E221),SUMIFS(IF(G$2=År1,Skovbrug!$F$22:$F$42,IF(G$2=År2,Skovbrug!$G$22:$G$42,Skovbrug!$H$22:$H$42)),Skovbrug!$A$22:$A$42,'Direkte input'!$B221,Skovbrug!$B$22:$B$42,'Direkte input'!$E221))</f>
        <v>0</v>
      </c>
      <c r="H221" s="107">
        <f ca="1">IF($A221="Vestdanmark",SUMIFS(IF(H$2=År1,Skovbrug!$C$22:$C$42,IF(H$2=År2,Skovbrug!$D$22:$D$42,Skovbrug!$E$22:$E$42)),Skovbrug!$A$22:$A$42,'Direkte input'!$B221,Skovbrug!$B$22:$B$42,'Direkte input'!$E221),SUMIFS(IF(H$2=År1,Skovbrug!$F$22:$F$42,IF(H$2=År2,Skovbrug!$G$22:$G$42,Skovbrug!$H$22:$H$42)),Skovbrug!$A$22:$A$42,'Direkte input'!$B221,Skovbrug!$B$22:$B$42,'Direkte input'!$E221))</f>
        <v>0</v>
      </c>
      <c r="I221" s="107">
        <f ca="1">IF($A221="Vestdanmark",SUMIFS(IF(I$2=År1,Skovbrug!$C$22:$C$42,IF(I$2=År2,Skovbrug!$D$22:$D$42,Skovbrug!$E$22:$E$42)),Skovbrug!$A$22:$A$42,'Direkte input'!$B221,Skovbrug!$B$22:$B$42,'Direkte input'!$E221),SUMIFS(IF(I$2=År1,Skovbrug!$F$22:$F$42,IF(I$2=År2,Skovbrug!$G$22:$G$42,Skovbrug!$H$22:$H$42)),Skovbrug!$A$22:$A$42,'Direkte input'!$B221,Skovbrug!$B$22:$B$42,'Direkte input'!$E221))</f>
        <v>0</v>
      </c>
    </row>
    <row r="222" spans="1:9" x14ac:dyDescent="0.25">
      <c r="A222" t="s">
        <v>24</v>
      </c>
      <c r="B222" t="s">
        <v>179</v>
      </c>
      <c r="D222" t="s">
        <v>179</v>
      </c>
      <c r="E222">
        <v>40</v>
      </c>
      <c r="F222" t="str">
        <f t="shared" si="17"/>
        <v>Areal-skovtype4-40</v>
      </c>
      <c r="G222" s="107">
        <f ca="1">IF($A222="Vestdanmark",SUMIFS(IF(G$2=År1,Skovbrug!$C$22:$C$42,IF(G$2=År2,Skovbrug!$D$22:$D$42,Skovbrug!$E$22:$E$42)),Skovbrug!$A$22:$A$42,'Direkte input'!$B222,Skovbrug!$B$22:$B$42,'Direkte input'!$E222),SUMIFS(IF(G$2=År1,Skovbrug!$F$22:$F$42,IF(G$2=År2,Skovbrug!$G$22:$G$42,Skovbrug!$H$22:$H$42)),Skovbrug!$A$22:$A$42,'Direkte input'!$B222,Skovbrug!$B$22:$B$42,'Direkte input'!$E222))</f>
        <v>0</v>
      </c>
      <c r="H222" s="107">
        <f ca="1">IF($A222="Vestdanmark",SUMIFS(IF(H$2=År1,Skovbrug!$C$22:$C$42,IF(H$2=År2,Skovbrug!$D$22:$D$42,Skovbrug!$E$22:$E$42)),Skovbrug!$A$22:$A$42,'Direkte input'!$B222,Skovbrug!$B$22:$B$42,'Direkte input'!$E222),SUMIFS(IF(H$2=År1,Skovbrug!$F$22:$F$42,IF(H$2=År2,Skovbrug!$G$22:$G$42,Skovbrug!$H$22:$H$42)),Skovbrug!$A$22:$A$42,'Direkte input'!$B222,Skovbrug!$B$22:$B$42,'Direkte input'!$E222))</f>
        <v>0</v>
      </c>
      <c r="I222" s="107">
        <f ca="1">IF($A222="Vestdanmark",SUMIFS(IF(I$2=År1,Skovbrug!$C$22:$C$42,IF(I$2=År2,Skovbrug!$D$22:$D$42,Skovbrug!$E$22:$E$42)),Skovbrug!$A$22:$A$42,'Direkte input'!$B222,Skovbrug!$B$22:$B$42,'Direkte input'!$E222),SUMIFS(IF(I$2=År1,Skovbrug!$F$22:$F$42,IF(I$2=År2,Skovbrug!$G$22:$G$42,Skovbrug!$H$22:$H$42)),Skovbrug!$A$22:$A$42,'Direkte input'!$B222,Skovbrug!$B$22:$B$42,'Direkte input'!$E222))</f>
        <v>0</v>
      </c>
    </row>
    <row r="223" spans="1:9" x14ac:dyDescent="0.25">
      <c r="A223" t="s">
        <v>24</v>
      </c>
      <c r="B223" t="s">
        <v>180</v>
      </c>
      <c r="D223" t="s">
        <v>180</v>
      </c>
      <c r="E223">
        <v>10</v>
      </c>
      <c r="F223" t="str">
        <f t="shared" si="17"/>
        <v>Areal-skovtype5-10</v>
      </c>
      <c r="G223" s="107">
        <f ca="1">IF($A223="Vestdanmark",SUMIFS(IF(G$2=År1,Skovbrug!$C$22:$C$42,IF(G$2=År2,Skovbrug!$D$22:$D$42,Skovbrug!$E$22:$E$42)),Skovbrug!$A$22:$A$42,'Direkte input'!$B223,Skovbrug!$B$22:$B$42,'Direkte input'!$E223),SUMIFS(IF(G$2=År1,Skovbrug!$F$22:$F$42,IF(G$2=År2,Skovbrug!$G$22:$G$42,Skovbrug!$H$22:$H$42)),Skovbrug!$A$22:$A$42,'Direkte input'!$B223,Skovbrug!$B$22:$B$42,'Direkte input'!$E223))</f>
        <v>0</v>
      </c>
      <c r="H223" s="107">
        <f ca="1">IF($A223="Vestdanmark",SUMIFS(IF(H$2=År1,Skovbrug!$C$22:$C$42,IF(H$2=År2,Skovbrug!$D$22:$D$42,Skovbrug!$E$22:$E$42)),Skovbrug!$A$22:$A$42,'Direkte input'!$B223,Skovbrug!$B$22:$B$42,'Direkte input'!$E223),SUMIFS(IF(H$2=År1,Skovbrug!$F$22:$F$42,IF(H$2=År2,Skovbrug!$G$22:$G$42,Skovbrug!$H$22:$H$42)),Skovbrug!$A$22:$A$42,'Direkte input'!$B223,Skovbrug!$B$22:$B$42,'Direkte input'!$E223))</f>
        <v>0</v>
      </c>
      <c r="I223" s="107">
        <f ca="1">IF($A223="Vestdanmark",SUMIFS(IF(I$2=År1,Skovbrug!$C$22:$C$42,IF(I$2=År2,Skovbrug!$D$22:$D$42,Skovbrug!$E$22:$E$42)),Skovbrug!$A$22:$A$42,'Direkte input'!$B223,Skovbrug!$B$22:$B$42,'Direkte input'!$E223),SUMIFS(IF(I$2=År1,Skovbrug!$F$22:$F$42,IF(I$2=År2,Skovbrug!$G$22:$G$42,Skovbrug!$H$22:$H$42)),Skovbrug!$A$22:$A$42,'Direkte input'!$B223,Skovbrug!$B$22:$B$42,'Direkte input'!$E223))</f>
        <v>0</v>
      </c>
    </row>
    <row r="224" spans="1:9" x14ac:dyDescent="0.25">
      <c r="A224" t="s">
        <v>24</v>
      </c>
      <c r="B224" t="s">
        <v>180</v>
      </c>
      <c r="D224" t="s">
        <v>180</v>
      </c>
      <c r="E224">
        <v>20</v>
      </c>
      <c r="F224" t="str">
        <f t="shared" si="17"/>
        <v>Areal-skovtype5-20</v>
      </c>
      <c r="G224" s="107">
        <f ca="1">IF($A224="Vestdanmark",SUMIFS(IF(G$2=År1,Skovbrug!$C$22:$C$42,IF(G$2=År2,Skovbrug!$D$22:$D$42,Skovbrug!$E$22:$E$42)),Skovbrug!$A$22:$A$42,'Direkte input'!$B224,Skovbrug!$B$22:$B$42,'Direkte input'!$E224),SUMIFS(IF(G$2=År1,Skovbrug!$F$22:$F$42,IF(G$2=År2,Skovbrug!$G$22:$G$42,Skovbrug!$H$22:$H$42)),Skovbrug!$A$22:$A$42,'Direkte input'!$B224,Skovbrug!$B$22:$B$42,'Direkte input'!$E224))</f>
        <v>0</v>
      </c>
      <c r="H224" s="107">
        <f ca="1">IF($A224="Vestdanmark",SUMIFS(IF(H$2=År1,Skovbrug!$C$22:$C$42,IF(H$2=År2,Skovbrug!$D$22:$D$42,Skovbrug!$E$22:$E$42)),Skovbrug!$A$22:$A$42,'Direkte input'!$B224,Skovbrug!$B$22:$B$42,'Direkte input'!$E224),SUMIFS(IF(H$2=År1,Skovbrug!$F$22:$F$42,IF(H$2=År2,Skovbrug!$G$22:$G$42,Skovbrug!$H$22:$H$42)),Skovbrug!$A$22:$A$42,'Direkte input'!$B224,Skovbrug!$B$22:$B$42,'Direkte input'!$E224))</f>
        <v>0</v>
      </c>
      <c r="I224" s="107">
        <f ca="1">IF($A224="Vestdanmark",SUMIFS(IF(I$2=År1,Skovbrug!$C$22:$C$42,IF(I$2=År2,Skovbrug!$D$22:$D$42,Skovbrug!$E$22:$E$42)),Skovbrug!$A$22:$A$42,'Direkte input'!$B224,Skovbrug!$B$22:$B$42,'Direkte input'!$E224),SUMIFS(IF(I$2=År1,Skovbrug!$F$22:$F$42,IF(I$2=År2,Skovbrug!$G$22:$G$42,Skovbrug!$H$22:$H$42)),Skovbrug!$A$22:$A$42,'Direkte input'!$B224,Skovbrug!$B$22:$B$42,'Direkte input'!$E224))</f>
        <v>0</v>
      </c>
    </row>
    <row r="225" spans="1:9" x14ac:dyDescent="0.25">
      <c r="A225" t="s">
        <v>24</v>
      </c>
      <c r="B225" t="s">
        <v>180</v>
      </c>
      <c r="D225" t="s">
        <v>180</v>
      </c>
      <c r="E225">
        <v>30</v>
      </c>
      <c r="F225" t="str">
        <f t="shared" si="17"/>
        <v>Areal-skovtype5-30</v>
      </c>
      <c r="G225" s="107">
        <f ca="1">IF($A225="Vestdanmark",SUMIFS(IF(G$2=År1,Skovbrug!$C$22:$C$42,IF(G$2=År2,Skovbrug!$D$22:$D$42,Skovbrug!$E$22:$E$42)),Skovbrug!$A$22:$A$42,'Direkte input'!$B225,Skovbrug!$B$22:$B$42,'Direkte input'!$E225),SUMIFS(IF(G$2=År1,Skovbrug!$F$22:$F$42,IF(G$2=År2,Skovbrug!$G$22:$G$42,Skovbrug!$H$22:$H$42)),Skovbrug!$A$22:$A$42,'Direkte input'!$B225,Skovbrug!$B$22:$B$42,'Direkte input'!$E225))</f>
        <v>0</v>
      </c>
      <c r="H225" s="107">
        <f ca="1">IF($A225="Vestdanmark",SUMIFS(IF(H$2=År1,Skovbrug!$C$22:$C$42,IF(H$2=År2,Skovbrug!$D$22:$D$42,Skovbrug!$E$22:$E$42)),Skovbrug!$A$22:$A$42,'Direkte input'!$B225,Skovbrug!$B$22:$B$42,'Direkte input'!$E225),SUMIFS(IF(H$2=År1,Skovbrug!$F$22:$F$42,IF(H$2=År2,Skovbrug!$G$22:$G$42,Skovbrug!$H$22:$H$42)),Skovbrug!$A$22:$A$42,'Direkte input'!$B225,Skovbrug!$B$22:$B$42,'Direkte input'!$E225))</f>
        <v>0</v>
      </c>
      <c r="I225" s="107">
        <f ca="1">IF($A225="Vestdanmark",SUMIFS(IF(I$2=År1,Skovbrug!$C$22:$C$42,IF(I$2=År2,Skovbrug!$D$22:$D$42,Skovbrug!$E$22:$E$42)),Skovbrug!$A$22:$A$42,'Direkte input'!$B225,Skovbrug!$B$22:$B$42,'Direkte input'!$E225),SUMIFS(IF(I$2=År1,Skovbrug!$F$22:$F$42,IF(I$2=År2,Skovbrug!$G$22:$G$42,Skovbrug!$H$22:$H$42)),Skovbrug!$A$22:$A$42,'Direkte input'!$B225,Skovbrug!$B$22:$B$42,'Direkte input'!$E225))</f>
        <v>0</v>
      </c>
    </row>
    <row r="226" spans="1:9" x14ac:dyDescent="0.25">
      <c r="A226" t="s">
        <v>24</v>
      </c>
      <c r="B226" t="s">
        <v>180</v>
      </c>
      <c r="D226" t="s">
        <v>180</v>
      </c>
      <c r="E226">
        <v>40</v>
      </c>
      <c r="F226" t="str">
        <f t="shared" si="17"/>
        <v>Areal-skovtype5-40</v>
      </c>
      <c r="G226" s="107">
        <f ca="1">IF($A226="Vestdanmark",SUMIFS(IF(G$2=År1,Skovbrug!$C$22:$C$42,IF(G$2=År2,Skovbrug!$D$22:$D$42,Skovbrug!$E$22:$E$42)),Skovbrug!$A$22:$A$42,'Direkte input'!$B226,Skovbrug!$B$22:$B$42,'Direkte input'!$E226),SUMIFS(IF(G$2=År1,Skovbrug!$F$22:$F$42,IF(G$2=År2,Skovbrug!$G$22:$G$42,Skovbrug!$H$22:$H$42)),Skovbrug!$A$22:$A$42,'Direkte input'!$B226,Skovbrug!$B$22:$B$42,'Direkte input'!$E226))</f>
        <v>0</v>
      </c>
      <c r="H226" s="107">
        <f ca="1">IF($A226="Vestdanmark",SUMIFS(IF(H$2=År1,Skovbrug!$C$22:$C$42,IF(H$2=År2,Skovbrug!$D$22:$D$42,Skovbrug!$E$22:$E$42)),Skovbrug!$A$22:$A$42,'Direkte input'!$B226,Skovbrug!$B$22:$B$42,'Direkte input'!$E226),SUMIFS(IF(H$2=År1,Skovbrug!$F$22:$F$42,IF(H$2=År2,Skovbrug!$G$22:$G$42,Skovbrug!$H$22:$H$42)),Skovbrug!$A$22:$A$42,'Direkte input'!$B226,Skovbrug!$B$22:$B$42,'Direkte input'!$E226))</f>
        <v>0</v>
      </c>
      <c r="I226" s="107">
        <f ca="1">IF($A226="Vestdanmark",SUMIFS(IF(I$2=År1,Skovbrug!$C$22:$C$42,IF(I$2=År2,Skovbrug!$D$22:$D$42,Skovbrug!$E$22:$E$42)),Skovbrug!$A$22:$A$42,'Direkte input'!$B226,Skovbrug!$B$22:$B$42,'Direkte input'!$E226),SUMIFS(IF(I$2=År1,Skovbrug!$F$22:$F$42,IF(I$2=År2,Skovbrug!$G$22:$G$42,Skovbrug!$H$22:$H$42)),Skovbrug!$A$22:$A$42,'Direkte input'!$B226,Skovbrug!$B$22:$B$42,'Direkte input'!$E226))</f>
        <v>0</v>
      </c>
    </row>
    <row r="227" spans="1:9" x14ac:dyDescent="0.25">
      <c r="A227" t="s">
        <v>23</v>
      </c>
      <c r="B227" t="s">
        <v>98</v>
      </c>
      <c r="F227" t="str">
        <f>CONCATENATE(B227,"eareal")</f>
        <v>Muslingeareal</v>
      </c>
      <c r="G227" s="106">
        <f>SUMIFS(Havbrug!C$4:C$7,Havbrug!$A$4:$A$7,'Direkte input'!$B227,Havbrug!$B$4:$B$7,'Direkte input'!$A227)*SUMIFS(Havbrug!$F$4:$F$7,Havbrug!$A$4:$A$7,'Direkte input'!$B227,Havbrug!$B$4:$B$7,'Direkte input'!$A227)</f>
        <v>440.29999999999995</v>
      </c>
      <c r="H227" s="106">
        <f>SUMIFS(Havbrug!D$4:D$7,Havbrug!$A$4:$A$7,'Direkte input'!$B227,Havbrug!$B$4:$B$7,'Direkte input'!$A227)*SUMIFS(Havbrug!$F$4:$F$7,Havbrug!$A$4:$A$7,'Direkte input'!$B227,Havbrug!$B$4:$B$7,'Direkte input'!$A227)</f>
        <v>105000</v>
      </c>
      <c r="I227" s="106">
        <f>SUMIFS(Havbrug!E$4:E$7,Havbrug!$A$4:$A$7,'Direkte input'!$B227,Havbrug!$B$4:$B$7,'Direkte input'!$A227)*SUMIFS(Havbrug!$F$4:$F$7,Havbrug!$A$4:$A$7,'Direkte input'!$B227,Havbrug!$B$4:$B$7,'Direkte input'!$A227)</f>
        <v>105000</v>
      </c>
    </row>
    <row r="228" spans="1:9" x14ac:dyDescent="0.25">
      <c r="A228" t="s">
        <v>24</v>
      </c>
      <c r="B228" t="s">
        <v>98</v>
      </c>
      <c r="F228" t="str">
        <f>CONCATENATE(B228,"eareal")</f>
        <v>Muslingeareal</v>
      </c>
      <c r="G228" s="106">
        <f>SUMIFS(Havbrug!C$4:C$7,Havbrug!$A$4:$A$7,'Direkte input'!$B228,Havbrug!$B$4:$B$7,'Direkte input'!$A228)*SUMIFS(Havbrug!$F$4:$F$7,Havbrug!$A$4:$A$7,'Direkte input'!$B228,Havbrug!$B$4:$B$7,'Direkte input'!$A228)</f>
        <v>0.6</v>
      </c>
      <c r="H228" s="106">
        <f>SUMIFS(Havbrug!D$4:D$7,Havbrug!$A$4:$A$7,'Direkte input'!$B228,Havbrug!$B$4:$B$7,'Direkte input'!$A228)*SUMIFS(Havbrug!$F$4:$F$7,Havbrug!$A$4:$A$7,'Direkte input'!$B228,Havbrug!$B$4:$B$7,'Direkte input'!$A228)</f>
        <v>35000</v>
      </c>
      <c r="I228" s="106">
        <f>SUMIFS(Havbrug!E$4:E$7,Havbrug!$A$4:$A$7,'Direkte input'!$B228,Havbrug!$B$4:$B$7,'Direkte input'!$A228)*SUMIFS(Havbrug!$F$4:$F$7,Havbrug!$A$4:$A$7,'Direkte input'!$B228,Havbrug!$B$4:$B$7,'Direkte input'!$A228)</f>
        <v>35000</v>
      </c>
    </row>
    <row r="229" spans="1:9" x14ac:dyDescent="0.25">
      <c r="A229" t="s">
        <v>23</v>
      </c>
      <c r="B229" t="s">
        <v>99</v>
      </c>
      <c r="F229" t="str">
        <f>CONCATENATE(B229,"farmareal")</f>
        <v>Tangfarmareal</v>
      </c>
      <c r="G229" s="106">
        <f>SUMIFS(Havbrug!C$4:C$7,Havbrug!$A$4:$A$7,'Direkte input'!$B229,Havbrug!$B$4:$B$7,'Direkte input'!$A229)*SUMIFS(Havbrug!$F$4:$F$7,Havbrug!$A$4:$A$7,'Direkte input'!$B229,Havbrug!$B$4:$B$7,'Direkte input'!$A229)</f>
        <v>17</v>
      </c>
      <c r="H229" s="106">
        <f>SUMIFS(Havbrug!D$4:D$7,Havbrug!$A$4:$A$7,'Direkte input'!$B229,Havbrug!$B$4:$B$7,'Direkte input'!$A229)*SUMIFS(Havbrug!$F$4:$F$7,Havbrug!$A$4:$A$7,'Direkte input'!$B229,Havbrug!$B$4:$B$7,'Direkte input'!$A229)</f>
        <v>3760</v>
      </c>
      <c r="I229" s="106">
        <f>SUMIFS(Havbrug!E$4:E$7,Havbrug!$A$4:$A$7,'Direkte input'!$B229,Havbrug!$B$4:$B$7,'Direkte input'!$A229)*SUMIFS(Havbrug!$F$4:$F$7,Havbrug!$A$4:$A$7,'Direkte input'!$B229,Havbrug!$B$4:$B$7,'Direkte input'!$A229)</f>
        <v>3760</v>
      </c>
    </row>
    <row r="230" spans="1:9" x14ac:dyDescent="0.25">
      <c r="A230" t="s">
        <v>24</v>
      </c>
      <c r="B230" t="s">
        <v>99</v>
      </c>
      <c r="F230" t="str">
        <f>CONCATENATE(B230,"farmareal")</f>
        <v>Tangfarmareal</v>
      </c>
      <c r="G230" s="106">
        <f>SUMIFS(Havbrug!C$4:C$7,Havbrug!$A$4:$A$7,'Direkte input'!$B230,Havbrug!$B$4:$B$7,'Direkte input'!$A230)*SUMIFS(Havbrug!$F$4:$F$7,Havbrug!$A$4:$A$7,'Direkte input'!$B230,Havbrug!$B$4:$B$7,'Direkte input'!$A230)</f>
        <v>0</v>
      </c>
      <c r="H230" s="106">
        <f>SUMIFS(Havbrug!D$4:D$7,Havbrug!$A$4:$A$7,'Direkte input'!$B230,Havbrug!$B$4:$B$7,'Direkte input'!$A230)*SUMIFS(Havbrug!$F$4:$F$7,Havbrug!$A$4:$A$7,'Direkte input'!$B230,Havbrug!$B$4:$B$7,'Direkte input'!$A230)</f>
        <v>1600</v>
      </c>
      <c r="I230" s="106">
        <f>SUMIFS(Havbrug!E$4:E$7,Havbrug!$A$4:$A$7,'Direkte input'!$B230,Havbrug!$B$4:$B$7,'Direkte input'!$A230)*SUMIFS(Havbrug!$F$4:$F$7,Havbrug!$A$4:$A$7,'Direkte input'!$B230,Havbrug!$B$4:$B$7,'Direkte input'!$A230)</f>
        <v>1600</v>
      </c>
    </row>
  </sheetData>
  <autoFilter ref="A2:I230" xr:uid="{E65CCAA6-B7D2-4926-A470-3639DE0D1070}"/>
  <phoneticPr fontId="10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91F61F-9FCA-417C-BBAD-AB47A8A15D61}">
  <sheetPr codeName="Sheet24">
    <tabColor rgb="FFFF0000"/>
  </sheetPr>
  <dimension ref="A1:R415"/>
  <sheetViews>
    <sheetView topLeftCell="A352" workbookViewId="0">
      <selection activeCell="E379" sqref="E379"/>
    </sheetView>
  </sheetViews>
  <sheetFormatPr defaultRowHeight="15" x14ac:dyDescent="0.25"/>
  <cols>
    <col min="5" max="5" width="10.7109375" bestFit="1" customWidth="1"/>
    <col min="18" max="18" width="14.5703125" bestFit="1" customWidth="1"/>
  </cols>
  <sheetData>
    <row r="1" spans="1:13" x14ac:dyDescent="0.25">
      <c r="A1" t="s">
        <v>173</v>
      </c>
      <c r="B1" t="s">
        <v>64</v>
      </c>
      <c r="C1" t="s">
        <v>128</v>
      </c>
      <c r="D1" t="s">
        <v>58</v>
      </c>
      <c r="E1" t="s">
        <v>155</v>
      </c>
      <c r="F1" t="s">
        <v>312</v>
      </c>
      <c r="G1" t="s">
        <v>223</v>
      </c>
      <c r="I1" s="153" t="s">
        <v>189</v>
      </c>
      <c r="J1" s="153"/>
      <c r="K1" s="153"/>
      <c r="L1" s="153"/>
      <c r="M1" s="153"/>
    </row>
    <row r="2" spans="1:13" x14ac:dyDescent="0.25">
      <c r="A2" t="s">
        <v>127</v>
      </c>
      <c r="B2" t="s">
        <v>23</v>
      </c>
      <c r="C2" s="12" t="str">
        <f>Adfærd!A17</f>
        <v>Korn</v>
      </c>
      <c r="D2">
        <f t="shared" ref="D2:D15" si="0">År1</f>
        <v>2019</v>
      </c>
      <c r="E2" s="76">
        <f>IF(A2="Fødevarer",VLOOKUP(C2,Adfærd!$A$17:$D$30,MATCH(D2,Adfærd!$A$16:$D$16,0),FALSE)*365.25*VLOOKUP(B2,[1]Befolkningstal!$A$4:$D$6,MATCH(D2,[1]Befolkningstal!$A$3:$D$3,0),FALSE)/1000000/(1-Adfærd!B$12),IF(A2="Biogas",,))</f>
        <v>286329.90483694919</v>
      </c>
    </row>
    <row r="3" spans="1:13" x14ac:dyDescent="0.25">
      <c r="A3" t="s">
        <v>127</v>
      </c>
      <c r="B3" t="s">
        <v>23</v>
      </c>
      <c r="C3" s="12" t="str">
        <f>Adfærd!A18</f>
        <v>Grøntsager</v>
      </c>
      <c r="D3">
        <f t="shared" si="0"/>
        <v>2019</v>
      </c>
      <c r="E3" s="76">
        <f>IF(A3="Fødevarer",VLOOKUP(C3,Adfærd!$A$17:$D$30,MATCH(D3,Adfærd!$A$16:$D$16,0),FALSE)*365.25*VLOOKUP(B3,[1]Befolkningstal!$A$4:$D$6,MATCH(D3,[1]Befolkningstal!$A$3:$D$3,0),FALSE)/1000000/(1-Adfærd!B$12),IF(A3="Biogas",,))</f>
        <v>261374.54615849949</v>
      </c>
    </row>
    <row r="4" spans="1:13" x14ac:dyDescent="0.25">
      <c r="A4" t="s">
        <v>127</v>
      </c>
      <c r="B4" t="s">
        <v>23</v>
      </c>
      <c r="C4" s="12" t="str">
        <f>Adfærd!A19</f>
        <v>Kartofler</v>
      </c>
      <c r="D4">
        <f t="shared" si="0"/>
        <v>2019</v>
      </c>
      <c r="E4" s="76">
        <f>IF(A4="Fødevarer",VLOOKUP(C4,Adfærd!$A$17:$D$30,MATCH(D4,Adfærd!$A$16:$D$16,0),FALSE)*365.25*VLOOKUP(B4,[1]Befolkningstal!$A$4:$D$6,MATCH(D4,[1]Befolkningstal!$A$3:$D$3,0),FALSE)/1000000/(1-Adfærd!B$12),IF(A4="Biogas",,))</f>
        <v>119523.03367046962</v>
      </c>
    </row>
    <row r="5" spans="1:13" x14ac:dyDescent="0.25">
      <c r="A5" t="s">
        <v>127</v>
      </c>
      <c r="B5" t="s">
        <v>23</v>
      </c>
      <c r="C5" s="12" t="str">
        <f>Adfærd!A20</f>
        <v>Svinekød</v>
      </c>
      <c r="D5">
        <f t="shared" si="0"/>
        <v>2019</v>
      </c>
      <c r="E5" s="76">
        <f>IF(A5="Fødevarer",VLOOKUP(C5,Adfærd!$A$17:$D$30,MATCH(D5,Adfærd!$A$16:$D$16,0),FALSE)*365.25*VLOOKUP(B5,[1]Befolkningstal!$A$4:$D$6,MATCH(D5,[1]Befolkningstal!$A$3:$D$3,0),FALSE)/1000000/(1-Adfærd!B$12),IF(A5="Biogas",,))</f>
        <v>117920.63695532705</v>
      </c>
    </row>
    <row r="6" spans="1:13" x14ac:dyDescent="0.25">
      <c r="A6" t="s">
        <v>127</v>
      </c>
      <c r="B6" t="s">
        <v>23</v>
      </c>
      <c r="C6" s="12" t="str">
        <f>Adfærd!A21</f>
        <v>Oksekød</v>
      </c>
      <c r="D6">
        <f t="shared" si="0"/>
        <v>2019</v>
      </c>
      <c r="E6" s="76">
        <f>IF(A6="Fødevarer",VLOOKUP(C6,Adfærd!$A$17:$D$30,MATCH(D6,Adfærd!$A$16:$D$16,0),FALSE)*365.25*VLOOKUP(B6,[1]Befolkningstal!$A$4:$D$6,MATCH(D6,[1]Befolkningstal!$A$3:$D$3,0),FALSE)/1000000/(1-Adfærd!B$12),IF(A6="Biogas",,))</f>
        <v>58080.313724265572</v>
      </c>
    </row>
    <row r="7" spans="1:13" x14ac:dyDescent="0.25">
      <c r="A7" t="s">
        <v>127</v>
      </c>
      <c r="B7" t="s">
        <v>23</v>
      </c>
      <c r="C7" s="12" t="str">
        <f>Adfærd!A22</f>
        <v>Bælgsæd</v>
      </c>
      <c r="D7">
        <f t="shared" si="0"/>
        <v>2019</v>
      </c>
      <c r="E7" s="76">
        <f>IF(A7="Fødevarer",VLOOKUP(C7,Adfærd!$A$17:$D$30,MATCH(D7,Adfærd!$A$16:$D$16,0),FALSE)*365.25*VLOOKUP(B7,[1]Befolkningstal!$A$4:$D$6,MATCH(D7,[1]Befolkningstal!$A$3:$D$3,0),FALSE)/1000000/(1-Adfærd!B$12),IF(A7="Biogas",,))</f>
        <v>0</v>
      </c>
    </row>
    <row r="8" spans="1:13" x14ac:dyDescent="0.25">
      <c r="A8" t="s">
        <v>127</v>
      </c>
      <c r="B8" t="s">
        <v>23</v>
      </c>
      <c r="C8" s="12" t="str">
        <f>Adfærd!A23</f>
        <v>Muslinger</v>
      </c>
      <c r="D8">
        <f t="shared" si="0"/>
        <v>2019</v>
      </c>
      <c r="E8" s="76">
        <f>IF(A8="Fødevarer",VLOOKUP(C8,Adfærd!$A$17:$D$30,MATCH(D8,Adfærd!$A$16:$D$16,0),FALSE)*365.25*VLOOKUP(B8,[1]Befolkningstal!$A$4:$D$6,MATCH(D8,[1]Befolkningstal!$A$3:$D$3,0),FALSE)/1000000/(1-Adfærd!B$12),IF(A8="Biogas",,))</f>
        <v>0</v>
      </c>
    </row>
    <row r="9" spans="1:13" x14ac:dyDescent="0.25">
      <c r="A9" t="s">
        <v>127</v>
      </c>
      <c r="B9" t="s">
        <v>23</v>
      </c>
      <c r="C9" s="12" t="str">
        <f>Adfærd!A24</f>
        <v>Tang</v>
      </c>
      <c r="D9">
        <f t="shared" si="0"/>
        <v>2019</v>
      </c>
      <c r="E9" s="76">
        <f>IF(A9="Fødevarer",VLOOKUP(C9,Adfærd!$A$17:$D$30,MATCH(D9,Adfærd!$A$16:$D$16,0),FALSE)*365.25*VLOOKUP(B9,[1]Befolkningstal!$A$4:$D$6,MATCH(D9,[1]Befolkningstal!$A$3:$D$3,0),FALSE)/1000000/(1-Adfærd!B$12),IF(A9="Biogas",,))</f>
        <v>0</v>
      </c>
    </row>
    <row r="10" spans="1:13" x14ac:dyDescent="0.25">
      <c r="A10" t="s">
        <v>127</v>
      </c>
      <c r="B10" t="s">
        <v>23</v>
      </c>
      <c r="C10" s="12" t="str">
        <f>Adfærd!A25</f>
        <v>Kunstigt kød</v>
      </c>
      <c r="D10">
        <f t="shared" si="0"/>
        <v>2019</v>
      </c>
      <c r="E10" s="76">
        <f>IF(A10="Fødevarer",VLOOKUP(C10,Adfærd!$A$17:$D$30,MATCH(D10,Adfærd!$A$16:$D$16,0),FALSE)*365.25*VLOOKUP(B10,[1]Befolkningstal!$A$4:$D$6,MATCH(D10,[1]Befolkningstal!$A$3:$D$3,0),FALSE)/1000000/(1-Adfærd!B$12),IF(A10="Biogas",,))</f>
        <v>0</v>
      </c>
    </row>
    <row r="11" spans="1:13" x14ac:dyDescent="0.25">
      <c r="A11" t="s">
        <v>127</v>
      </c>
      <c r="B11" t="s">
        <v>23</v>
      </c>
      <c r="C11" s="12" t="str">
        <f>Adfærd!A26</f>
        <v>Mejeriprodukter</v>
      </c>
      <c r="D11">
        <f t="shared" si="0"/>
        <v>2019</v>
      </c>
      <c r="E11" s="76">
        <f>IF(A11="Fødevarer",VLOOKUP(C11,Adfærd!$A$17:$D$30,MATCH(D11,Adfærd!$A$16:$D$16,0),FALSE)*365.25*VLOOKUP(B11,[1]Befolkningstal!$A$4:$D$6,MATCH(D11,[1]Befolkningstal!$A$3:$D$3,0),FALSE)/1000000/(1-Adfærd!B$12),IF(A11="Biogas",,))</f>
        <v>457077.09579476295</v>
      </c>
    </row>
    <row r="12" spans="1:13" x14ac:dyDescent="0.25">
      <c r="A12" t="s">
        <v>127</v>
      </c>
      <c r="B12" t="s">
        <v>23</v>
      </c>
      <c r="C12" s="12" t="str">
        <f>Adfærd!A27</f>
        <v>Fjerkrækød</v>
      </c>
      <c r="D12">
        <f t="shared" si="0"/>
        <v>2019</v>
      </c>
      <c r="E12" s="76">
        <f>IF(A12="Fødevarer",VLOOKUP(C12,Adfærd!$A$17:$D$30,MATCH(D12,Adfærd!$A$16:$D$16,0),FALSE)*365.25*VLOOKUP(B12,[1]Befolkningstal!$A$4:$D$6,MATCH(D12,[1]Befolkningstal!$A$3:$D$3,0),FALSE)/1000000/(1-Adfærd!B$12),IF(A12="Biogas",,))</f>
        <v>34149.438191562753</v>
      </c>
    </row>
    <row r="13" spans="1:13" x14ac:dyDescent="0.25">
      <c r="A13" t="s">
        <v>127</v>
      </c>
      <c r="B13" t="s">
        <v>23</v>
      </c>
      <c r="C13" s="12" t="str">
        <f>Adfærd!A28</f>
        <v>Æg</v>
      </c>
      <c r="D13">
        <f t="shared" si="0"/>
        <v>2019</v>
      </c>
      <c r="E13" s="76">
        <f>IF(A13="Fødevarer",VLOOKUP(C13,Adfærd!$A$17:$D$30,MATCH(D13,Adfærd!$A$16:$D$16,0),FALSE)*365.25*VLOOKUP(B13,[1]Befolkningstal!$A$4:$D$6,MATCH(D13,[1]Befolkningstal!$A$3:$D$3,0),FALSE)/1000000/(1-Adfærd!B$12),IF(A13="Biogas",,))</f>
        <v>31522.55833067331</v>
      </c>
    </row>
    <row r="14" spans="1:13" x14ac:dyDescent="0.25">
      <c r="A14" t="s">
        <v>127</v>
      </c>
      <c r="B14" t="s">
        <v>23</v>
      </c>
      <c r="C14" s="12" t="str">
        <f>Adfærd!A29</f>
        <v>Frugt</v>
      </c>
      <c r="D14">
        <f t="shared" si="0"/>
        <v>2019</v>
      </c>
      <c r="E14" s="76">
        <f>IF(A14="Fødevarer",VLOOKUP(C14,Adfærd!$A$17:$D$30,MATCH(D14,Adfærd!$A$16:$D$16,0),FALSE)*365.25*VLOOKUP(B14,[1]Befolkningstal!$A$4:$D$6,MATCH(D14,[1]Befolkningstal!$A$3:$D$3,0),FALSE)/1000000/(1-Adfærd!B$12),IF(A14="Biogas",,))</f>
        <v>249553.58678449702</v>
      </c>
    </row>
    <row r="15" spans="1:13" x14ac:dyDescent="0.25">
      <c r="A15" t="s">
        <v>127</v>
      </c>
      <c r="B15" t="s">
        <v>23</v>
      </c>
      <c r="C15" s="12" t="str">
        <f>Adfærd!A30</f>
        <v>Fisk</v>
      </c>
      <c r="D15">
        <f t="shared" si="0"/>
        <v>2019</v>
      </c>
      <c r="E15" s="76">
        <f>IF(A15="Fødevarer",VLOOKUP(C15,Adfærd!$A$17:$D$30,MATCH(D15,Adfærd!$A$16:$D$16,0),FALSE)*365.25*VLOOKUP(B15,[1]Befolkningstal!$A$4:$D$6,MATCH(D15,[1]Befolkningstal!$A$3:$D$3,0),FALSE)/1000000/(1-Adfærd!B$12),IF(A15="Biogas",,))</f>
        <v>48597.277426454682</v>
      </c>
    </row>
    <row r="16" spans="1:13" x14ac:dyDescent="0.25">
      <c r="A16" t="s">
        <v>127</v>
      </c>
      <c r="B16" t="s">
        <v>23</v>
      </c>
      <c r="C16" s="12" t="str">
        <f>Adfærd!A17</f>
        <v>Korn</v>
      </c>
      <c r="D16">
        <f t="shared" ref="D16:D29" si="1">År2</f>
        <v>2030</v>
      </c>
      <c r="E16" s="76">
        <f>VLOOKUP(C16,Adfærd!$A$17:$D$30,MATCH(D16,Adfærd!$A$16:$D$16,0),FALSE)*365.25*VLOOKUP(B16,[1]Befolkningstal!$A$4:$D$6,MATCH(D16,[1]Befolkningstal!$A$3:$D$3,0),FALSE)/1000000/(1-Adfærd!B$12)</f>
        <v>295933.04302308214</v>
      </c>
    </row>
    <row r="17" spans="1:5" x14ac:dyDescent="0.25">
      <c r="A17" t="s">
        <v>127</v>
      </c>
      <c r="B17" t="s">
        <v>23</v>
      </c>
      <c r="C17" s="12" t="str">
        <f>Adfærd!A18</f>
        <v>Grøntsager</v>
      </c>
      <c r="D17">
        <f t="shared" si="1"/>
        <v>2030</v>
      </c>
      <c r="E17" s="76">
        <f>VLOOKUP(C17,Adfærd!$A$17:$D$30,MATCH(D17,Adfærd!$A$16:$D$16,0),FALSE)*365.25*VLOOKUP(B17,[1]Befolkningstal!$A$4:$D$6,MATCH(D17,[1]Befolkningstal!$A$3:$D$3,0),FALSE)/1000000/(1-Adfærd!B$12)</f>
        <v>270140.71358529059</v>
      </c>
    </row>
    <row r="18" spans="1:5" x14ac:dyDescent="0.25">
      <c r="A18" t="s">
        <v>127</v>
      </c>
      <c r="B18" t="s">
        <v>23</v>
      </c>
      <c r="C18" s="12" t="str">
        <f>Adfærd!A19</f>
        <v>Kartofler</v>
      </c>
      <c r="D18">
        <f t="shared" si="1"/>
        <v>2030</v>
      </c>
      <c r="E18" s="76">
        <f>VLOOKUP(C18,Adfærd!$A$17:$D$30,MATCH(D18,Adfærd!$A$16:$D$16,0),FALSE)*365.25*VLOOKUP(B18,[1]Befolkningstal!$A$4:$D$6,MATCH(D18,[1]Befolkningstal!$A$3:$D$3,0),FALSE)/1000000/(1-Adfærd!B$12)</f>
        <v>123531.68309679118</v>
      </c>
    </row>
    <row r="19" spans="1:5" x14ac:dyDescent="0.25">
      <c r="A19" t="s">
        <v>127</v>
      </c>
      <c r="B19" t="s">
        <v>23</v>
      </c>
      <c r="C19" s="12" t="str">
        <f>Adfærd!A20</f>
        <v>Svinekød</v>
      </c>
      <c r="D19">
        <f t="shared" si="1"/>
        <v>2030</v>
      </c>
      <c r="E19" s="76">
        <f>VLOOKUP(C19,Adfærd!$A$17:$D$30,MATCH(D19,Adfærd!$A$16:$D$16,0),FALSE)*365.25*VLOOKUP(B19,[1]Befolkningstal!$A$4:$D$6,MATCH(D19,[1]Befolkningstal!$A$3:$D$3,0),FALSE)/1000000/(1-Adfærd!B$12)</f>
        <v>121875.54404868034</v>
      </c>
    </row>
    <row r="20" spans="1:5" x14ac:dyDescent="0.25">
      <c r="A20" t="s">
        <v>127</v>
      </c>
      <c r="B20" t="s">
        <v>23</v>
      </c>
      <c r="C20" s="12" t="str">
        <f>Adfærd!A21</f>
        <v>Oksekød</v>
      </c>
      <c r="D20">
        <f t="shared" si="1"/>
        <v>2030</v>
      </c>
      <c r="E20" s="76">
        <f>VLOOKUP(C20,Adfærd!$A$17:$D$30,MATCH(D20,Adfærd!$A$16:$D$16,0),FALSE)*365.25*VLOOKUP(B20,[1]Befolkningstal!$A$4:$D$6,MATCH(D20,[1]Befolkningstal!$A$3:$D$3,0),FALSE)/1000000/(1-Adfærd!B$12)</f>
        <v>60028.253038902265</v>
      </c>
    </row>
    <row r="21" spans="1:5" x14ac:dyDescent="0.25">
      <c r="A21" t="s">
        <v>127</v>
      </c>
      <c r="B21" t="s">
        <v>23</v>
      </c>
      <c r="C21" s="12" t="str">
        <f>Adfærd!A22</f>
        <v>Bælgsæd</v>
      </c>
      <c r="D21">
        <f t="shared" si="1"/>
        <v>2030</v>
      </c>
      <c r="E21" s="76">
        <f>VLOOKUP(C21,Adfærd!$A$17:$D$30,MATCH(D21,Adfærd!$A$16:$D$16,0),FALSE)*365.25*VLOOKUP(B21,[1]Befolkningstal!$A$4:$D$6,MATCH(D21,[1]Befolkningstal!$A$3:$D$3,0),FALSE)/1000000/(1-Adfærd!B$12)</f>
        <v>0</v>
      </c>
    </row>
    <row r="22" spans="1:5" x14ac:dyDescent="0.25">
      <c r="A22" t="s">
        <v>127</v>
      </c>
      <c r="B22" t="s">
        <v>23</v>
      </c>
      <c r="C22" s="12" t="str">
        <f>Adfærd!A23</f>
        <v>Muslinger</v>
      </c>
      <c r="D22">
        <f t="shared" si="1"/>
        <v>2030</v>
      </c>
      <c r="E22" s="76">
        <f>VLOOKUP(C22,Adfærd!$A$17:$D$30,MATCH(D22,Adfærd!$A$16:$D$16,0),FALSE)*365.25*VLOOKUP(B22,[1]Befolkningstal!$A$4:$D$6,MATCH(D22,[1]Befolkningstal!$A$3:$D$3,0),FALSE)/1000000/(1-Adfærd!B$12)</f>
        <v>0</v>
      </c>
    </row>
    <row r="23" spans="1:5" x14ac:dyDescent="0.25">
      <c r="A23" t="s">
        <v>127</v>
      </c>
      <c r="B23" t="s">
        <v>23</v>
      </c>
      <c r="C23" s="12" t="str">
        <f>Adfærd!A24</f>
        <v>Tang</v>
      </c>
      <c r="D23">
        <f t="shared" si="1"/>
        <v>2030</v>
      </c>
      <c r="E23" s="76">
        <f>VLOOKUP(C23,Adfærd!$A$17:$D$30,MATCH(D23,Adfærd!$A$16:$D$16,0),FALSE)*365.25*VLOOKUP(B23,[1]Befolkningstal!$A$4:$D$6,MATCH(D23,[1]Befolkningstal!$A$3:$D$3,0),FALSE)/1000000/(1-Adfærd!B$12)</f>
        <v>0</v>
      </c>
    </row>
    <row r="24" spans="1:5" x14ac:dyDescent="0.25">
      <c r="A24" t="s">
        <v>127</v>
      </c>
      <c r="B24" t="s">
        <v>23</v>
      </c>
      <c r="C24" s="12" t="str">
        <f>Adfærd!A25</f>
        <v>Kunstigt kød</v>
      </c>
      <c r="D24">
        <f t="shared" si="1"/>
        <v>2030</v>
      </c>
      <c r="E24" s="76">
        <f>VLOOKUP(C24,Adfærd!$A$17:$D$30,MATCH(D24,Adfærd!$A$16:$D$16,0),FALSE)*365.25*VLOOKUP(B24,[1]Befolkningstal!$A$4:$D$6,MATCH(D24,[1]Befolkningstal!$A$3:$D$3,0),FALSE)/1000000/(1-Adfærd!B$12)</f>
        <v>0</v>
      </c>
    </row>
    <row r="25" spans="1:5" x14ac:dyDescent="0.25">
      <c r="A25" t="s">
        <v>127</v>
      </c>
      <c r="B25" t="s">
        <v>23</v>
      </c>
      <c r="C25" s="12" t="str">
        <f>Adfærd!A26</f>
        <v>Mejeriprodukter</v>
      </c>
      <c r="D25">
        <f t="shared" si="1"/>
        <v>2030</v>
      </c>
      <c r="E25" s="76">
        <f>VLOOKUP(C25,Adfærd!$A$17:$D$30,MATCH(D25,Adfærd!$A$16:$D$16,0),FALSE)*365.25*VLOOKUP(B25,[1]Befolkningstal!$A$4:$D$6,MATCH(D25,[1]Befolkningstal!$A$3:$D$3,0),FALSE)/1000000/(1-Adfærd!B$12)</f>
        <v>472406.87601849809</v>
      </c>
    </row>
    <row r="26" spans="1:5" x14ac:dyDescent="0.25">
      <c r="A26" t="s">
        <v>127</v>
      </c>
      <c r="B26" t="s">
        <v>23</v>
      </c>
      <c r="C26" s="12" t="str">
        <f>Adfærd!A27</f>
        <v>Fjerkrækød</v>
      </c>
      <c r="D26">
        <f t="shared" si="1"/>
        <v>2030</v>
      </c>
      <c r="E26" s="76">
        <f>VLOOKUP(C26,Adfærd!$A$17:$D$30,MATCH(D26,Adfærd!$A$16:$D$16,0),FALSE)*365.25*VLOOKUP(B26,[1]Befolkningstal!$A$4:$D$6,MATCH(D26,[1]Befolkningstal!$A$3:$D$3,0),FALSE)/1000000/(1-Adfærd!B$12)</f>
        <v>35294.766599083188</v>
      </c>
    </row>
    <row r="27" spans="1:5" x14ac:dyDescent="0.25">
      <c r="A27" t="s">
        <v>127</v>
      </c>
      <c r="B27" t="s">
        <v>23</v>
      </c>
      <c r="C27" s="12" t="str">
        <f>Adfærd!A28</f>
        <v>Æg</v>
      </c>
      <c r="D27">
        <f t="shared" si="1"/>
        <v>2030</v>
      </c>
      <c r="E27" s="76">
        <f>VLOOKUP(C27,Adfærd!$A$17:$D$30,MATCH(D27,Adfærd!$A$16:$D$16,0),FALSE)*365.25*VLOOKUP(B27,[1]Befolkningstal!$A$4:$D$6,MATCH(D27,[1]Befolkningstal!$A$3:$D$3,0),FALSE)/1000000/(1-Adfærd!B$12)</f>
        <v>32579.784552999867</v>
      </c>
    </row>
    <row r="28" spans="1:5" x14ac:dyDescent="0.25">
      <c r="A28" t="s">
        <v>127</v>
      </c>
      <c r="B28" t="s">
        <v>23</v>
      </c>
      <c r="C28" s="12" t="str">
        <f>Adfærd!A29</f>
        <v>Frugt</v>
      </c>
      <c r="D28">
        <f t="shared" si="1"/>
        <v>2030</v>
      </c>
      <c r="E28" s="76">
        <f>VLOOKUP(C28,Adfærd!$A$17:$D$30,MATCH(D28,Adfærd!$A$16:$D$16,0),FALSE)*365.25*VLOOKUP(B28,[1]Befolkningstal!$A$4:$D$6,MATCH(D28,[1]Befolkningstal!$A$3:$D$3,0),FALSE)/1000000/(1-Adfærd!B$12)</f>
        <v>257923.29437791562</v>
      </c>
    </row>
    <row r="29" spans="1:5" x14ac:dyDescent="0.25">
      <c r="A29" t="s">
        <v>127</v>
      </c>
      <c r="B29" t="s">
        <v>23</v>
      </c>
      <c r="C29" s="12" t="str">
        <f>Adfærd!A30</f>
        <v>Fisk</v>
      </c>
      <c r="D29">
        <f t="shared" si="1"/>
        <v>2030</v>
      </c>
      <c r="E29" s="76">
        <f>VLOOKUP(C29,Adfærd!$A$17:$D$30,MATCH(D29,Adfærd!$A$16:$D$16,0),FALSE)*365.25*VLOOKUP(B29,[1]Befolkningstal!$A$4:$D$6,MATCH(D29,[1]Befolkningstal!$A$3:$D$3,0),FALSE)/1000000/(1-Adfærd!B$12)</f>
        <v>50227.167852541468</v>
      </c>
    </row>
    <row r="30" spans="1:5" x14ac:dyDescent="0.25">
      <c r="A30" t="s">
        <v>127</v>
      </c>
      <c r="B30" t="s">
        <v>23</v>
      </c>
      <c r="C30" s="12" t="str">
        <f>Adfærd!A17</f>
        <v>Korn</v>
      </c>
      <c r="D30">
        <f t="shared" ref="D30:D43" si="2">År3</f>
        <v>2050</v>
      </c>
      <c r="E30" s="76">
        <f>VLOOKUP(C30,Adfærd!$A$17:$D$30,MATCH(D30,Adfærd!$A$16:$D$16,0),FALSE)*365.25*VLOOKUP(B30,[1]Befolkningstal!$A$4:$D$6,MATCH(D30,[1]Befolkningstal!$A$3:$D$3,0),FALSE)/1000000/(1-Adfærd!B$12)</f>
        <v>307470.55071854044</v>
      </c>
    </row>
    <row r="31" spans="1:5" x14ac:dyDescent="0.25">
      <c r="A31" t="s">
        <v>127</v>
      </c>
      <c r="B31" t="s">
        <v>23</v>
      </c>
      <c r="C31" s="12" t="str">
        <f>Adfærd!A18</f>
        <v>Grøntsager</v>
      </c>
      <c r="D31">
        <f t="shared" si="2"/>
        <v>2050</v>
      </c>
      <c r="E31" s="76">
        <f>VLOOKUP(C31,Adfærd!$A$17:$D$30,MATCH(D31,Adfærd!$A$16:$D$16,0),FALSE)*365.25*VLOOKUP(B31,[1]Befolkningstal!$A$4:$D$6,MATCH(D31,[1]Befolkningstal!$A$3:$D$3,0),FALSE)/1000000/(1-Adfærd!B$12)</f>
        <v>280672.65868343826</v>
      </c>
    </row>
    <row r="32" spans="1:5" x14ac:dyDescent="0.25">
      <c r="A32" t="s">
        <v>127</v>
      </c>
      <c r="B32" t="s">
        <v>23</v>
      </c>
      <c r="C32" s="12" t="str">
        <f>Adfærd!A19</f>
        <v>Kartofler</v>
      </c>
      <c r="D32">
        <f t="shared" si="2"/>
        <v>2050</v>
      </c>
      <c r="E32" s="76">
        <f>VLOOKUP(C32,Adfærd!$A$17:$D$30,MATCH(D32,Adfærd!$A$16:$D$16,0),FALSE)*365.25*VLOOKUP(B32,[1]Befolkningstal!$A$4:$D$6,MATCH(D32,[1]Befolkningstal!$A$3:$D$3,0),FALSE)/1000000/(1-Adfærd!B$12)</f>
        <v>128347.79869443661</v>
      </c>
    </row>
    <row r="33" spans="1:5" x14ac:dyDescent="0.25">
      <c r="A33" t="s">
        <v>127</v>
      </c>
      <c r="B33" t="s">
        <v>23</v>
      </c>
      <c r="C33" s="12" t="str">
        <f>Adfærd!A20</f>
        <v>Svinekød</v>
      </c>
      <c r="D33">
        <f t="shared" si="2"/>
        <v>2050</v>
      </c>
      <c r="E33" s="76">
        <f>VLOOKUP(C33,Adfærd!$A$17:$D$30,MATCH(D33,Adfærd!$A$16:$D$16,0),FALSE)*365.25*VLOOKUP(B33,[1]Befolkningstal!$A$4:$D$6,MATCH(D33,[1]Befolkningstal!$A$3:$D$3,0),FALSE)/1000000/(1-Adfærd!B$12)</f>
        <v>126627.09194270898</v>
      </c>
    </row>
    <row r="34" spans="1:5" x14ac:dyDescent="0.25">
      <c r="A34" t="s">
        <v>127</v>
      </c>
      <c r="B34" t="s">
        <v>23</v>
      </c>
      <c r="C34" s="12" t="str">
        <f>Adfærd!A21</f>
        <v>Oksekød</v>
      </c>
      <c r="D34">
        <f t="shared" si="2"/>
        <v>2050</v>
      </c>
      <c r="E34" s="76">
        <f>VLOOKUP(C34,Adfærd!$A$17:$D$30,MATCH(D34,Adfærd!$A$16:$D$16,0),FALSE)*365.25*VLOOKUP(B34,[1]Befolkningstal!$A$4:$D$6,MATCH(D34,[1]Befolkningstal!$A$3:$D$3,0),FALSE)/1000000/(1-Adfærd!B$12)</f>
        <v>62368.567673274578</v>
      </c>
    </row>
    <row r="35" spans="1:5" x14ac:dyDescent="0.25">
      <c r="A35" t="s">
        <v>127</v>
      </c>
      <c r="B35" t="s">
        <v>23</v>
      </c>
      <c r="C35" s="12" t="str">
        <f>Adfærd!A22</f>
        <v>Bælgsæd</v>
      </c>
      <c r="D35">
        <f t="shared" si="2"/>
        <v>2050</v>
      </c>
      <c r="E35" s="76">
        <f>VLOOKUP(C35,Adfærd!$A$17:$D$30,MATCH(D35,Adfærd!$A$16:$D$16,0),FALSE)*365.25*VLOOKUP(B35,[1]Befolkningstal!$A$4:$D$6,MATCH(D35,[1]Befolkningstal!$A$3:$D$3,0),FALSE)/1000000/(1-Adfærd!B$12)</f>
        <v>0</v>
      </c>
    </row>
    <row r="36" spans="1:5" x14ac:dyDescent="0.25">
      <c r="A36" t="s">
        <v>127</v>
      </c>
      <c r="B36" t="s">
        <v>23</v>
      </c>
      <c r="C36" s="12" t="str">
        <f>Adfærd!A23</f>
        <v>Muslinger</v>
      </c>
      <c r="D36">
        <f t="shared" si="2"/>
        <v>2050</v>
      </c>
      <c r="E36" s="76">
        <f>VLOOKUP(C36,Adfærd!$A$17:$D$30,MATCH(D36,Adfærd!$A$16:$D$16,0),FALSE)*365.25*VLOOKUP(B36,[1]Befolkningstal!$A$4:$D$6,MATCH(D36,[1]Befolkningstal!$A$3:$D$3,0),FALSE)/1000000/(1-Adfærd!B$12)</f>
        <v>0</v>
      </c>
    </row>
    <row r="37" spans="1:5" x14ac:dyDescent="0.25">
      <c r="A37" t="s">
        <v>127</v>
      </c>
      <c r="B37" t="s">
        <v>23</v>
      </c>
      <c r="C37" s="12" t="str">
        <f>Adfærd!A24</f>
        <v>Tang</v>
      </c>
      <c r="D37">
        <f t="shared" si="2"/>
        <v>2050</v>
      </c>
      <c r="E37" s="76">
        <f>VLOOKUP(C37,Adfærd!$A$17:$D$30,MATCH(D37,Adfærd!$A$16:$D$16,0),FALSE)*365.25*VLOOKUP(B37,[1]Befolkningstal!$A$4:$D$6,MATCH(D37,[1]Befolkningstal!$A$3:$D$3,0),FALSE)/1000000/(1-Adfærd!B$12)</f>
        <v>0</v>
      </c>
    </row>
    <row r="38" spans="1:5" x14ac:dyDescent="0.25">
      <c r="A38" t="s">
        <v>127</v>
      </c>
      <c r="B38" t="s">
        <v>23</v>
      </c>
      <c r="C38" s="12" t="str">
        <f>Adfærd!A25</f>
        <v>Kunstigt kød</v>
      </c>
      <c r="D38">
        <f t="shared" si="2"/>
        <v>2050</v>
      </c>
      <c r="E38" s="76">
        <f>VLOOKUP(C38,Adfærd!$A$17:$D$30,MATCH(D38,Adfærd!$A$16:$D$16,0),FALSE)*365.25*VLOOKUP(B38,[1]Befolkningstal!$A$4:$D$6,MATCH(D38,[1]Befolkningstal!$A$3:$D$3,0),FALSE)/1000000/(1-Adfærd!B$12)</f>
        <v>0</v>
      </c>
    </row>
    <row r="39" spans="1:5" x14ac:dyDescent="0.25">
      <c r="A39" t="s">
        <v>127</v>
      </c>
      <c r="B39" t="s">
        <v>23</v>
      </c>
      <c r="C39" s="12" t="str">
        <f>Adfærd!A26</f>
        <v>Mejeriprodukter</v>
      </c>
      <c r="D39">
        <f t="shared" si="2"/>
        <v>2050</v>
      </c>
      <c r="E39" s="76">
        <f>VLOOKUP(C39,Adfærd!$A$17:$D$30,MATCH(D39,Adfærd!$A$16:$D$16,0),FALSE)*365.25*VLOOKUP(B39,[1]Befolkningstal!$A$4:$D$6,MATCH(D39,[1]Befolkningstal!$A$3:$D$3,0),FALSE)/1000000/(1-Adfærd!B$12)</f>
        <v>490824.54885344987</v>
      </c>
    </row>
    <row r="40" spans="1:5" x14ac:dyDescent="0.25">
      <c r="A40" t="s">
        <v>127</v>
      </c>
      <c r="B40" t="s">
        <v>23</v>
      </c>
      <c r="C40" s="12" t="str">
        <f>Adfærd!A27</f>
        <v>Fjerkrækød</v>
      </c>
      <c r="D40">
        <f t="shared" si="2"/>
        <v>2050</v>
      </c>
      <c r="E40" s="76">
        <f>VLOOKUP(C40,Adfærd!$A$17:$D$30,MATCH(D40,Adfærd!$A$16:$D$16,0),FALSE)*365.25*VLOOKUP(B40,[1]Befolkningstal!$A$4:$D$6,MATCH(D40,[1]Befolkningstal!$A$3:$D$3,0),FALSE)/1000000/(1-Adfærd!B$12)</f>
        <v>36670.799626981883</v>
      </c>
    </row>
    <row r="41" spans="1:5" x14ac:dyDescent="0.25">
      <c r="A41" t="s">
        <v>127</v>
      </c>
      <c r="B41" t="s">
        <v>23</v>
      </c>
      <c r="C41" s="12" t="str">
        <f>Adfærd!A28</f>
        <v>Æg</v>
      </c>
      <c r="D41">
        <f t="shared" si="2"/>
        <v>2050</v>
      </c>
      <c r="E41" s="76">
        <f>VLOOKUP(C41,Adfærd!$A$17:$D$30,MATCH(D41,Adfærd!$A$16:$D$16,0),FALSE)*365.25*VLOOKUP(B41,[1]Befolkningstal!$A$4:$D$6,MATCH(D41,[1]Befolkningstal!$A$3:$D$3,0),FALSE)/1000000/(1-Adfærd!B$12)</f>
        <v>33849.968886444818</v>
      </c>
    </row>
    <row r="42" spans="1:5" x14ac:dyDescent="0.25">
      <c r="A42" t="s">
        <v>127</v>
      </c>
      <c r="B42" t="s">
        <v>23</v>
      </c>
      <c r="C42" s="12" t="str">
        <f>Adfærd!A29</f>
        <v>Frugt</v>
      </c>
      <c r="D42">
        <f t="shared" si="2"/>
        <v>2050</v>
      </c>
      <c r="E42" s="76">
        <f>VLOOKUP(C42,Adfærd!$A$17:$D$30,MATCH(D42,Adfærd!$A$16:$D$16,0),FALSE)*365.25*VLOOKUP(B42,[1]Befolkningstal!$A$4:$D$6,MATCH(D42,[1]Befolkningstal!$A$3:$D$3,0),FALSE)/1000000/(1-Adfærd!B$12)</f>
        <v>267978.92035102146</v>
      </c>
    </row>
    <row r="43" spans="1:5" x14ac:dyDescent="0.25">
      <c r="A43" t="s">
        <v>127</v>
      </c>
      <c r="B43" t="s">
        <v>23</v>
      </c>
      <c r="C43" s="12" t="str">
        <f>Adfærd!A30</f>
        <v>Fisk</v>
      </c>
      <c r="D43">
        <f t="shared" si="2"/>
        <v>2050</v>
      </c>
      <c r="E43" s="76">
        <f>VLOOKUP(C43,Adfærd!$A$17:$D$30,MATCH(D43,Adfærd!$A$16:$D$16,0),FALSE)*365.25*VLOOKUP(B43,[1]Befolkningstal!$A$4:$D$6,MATCH(D43,[1]Befolkningstal!$A$3:$D$3,0),FALSE)/1000000/(1-Adfærd!B$12)</f>
        <v>52185.36869993576</v>
      </c>
    </row>
    <row r="44" spans="1:5" x14ac:dyDescent="0.25">
      <c r="A44" t="s">
        <v>127</v>
      </c>
      <c r="B44" t="s">
        <v>24</v>
      </c>
      <c r="C44" s="12" t="str">
        <f>Adfærd!A17</f>
        <v>Korn</v>
      </c>
      <c r="D44">
        <f t="shared" ref="D44:D57" si="3">År1</f>
        <v>2019</v>
      </c>
      <c r="E44" s="76">
        <f>VLOOKUP(C44,Adfærd!$A$17:$D$30,MATCH(D44,Adfærd!$A$16:$D$16,0),FALSE)*365.25*VLOOKUP(B44,[1]Befolkningstal!$A$4:$D$6,MATCH(D44,[1]Befolkningstal!$A$3:$D$3,0),FALSE)/1000000/(1-Adfærd!B$12)</f>
        <v>244164.92559492172</v>
      </c>
    </row>
    <row r="45" spans="1:5" x14ac:dyDescent="0.25">
      <c r="A45" t="s">
        <v>127</v>
      </c>
      <c r="B45" t="s">
        <v>24</v>
      </c>
      <c r="C45" s="12" t="str">
        <f>Adfærd!A18</f>
        <v>Grøntsager</v>
      </c>
      <c r="D45">
        <f t="shared" si="3"/>
        <v>2019</v>
      </c>
      <c r="E45" s="76">
        <f>VLOOKUP(C45,Adfærd!$A$17:$D$30,MATCH(D45,Adfærd!$A$16:$D$16,0),FALSE)*365.25*VLOOKUP(B45,[1]Befolkningstal!$A$4:$D$6,MATCH(D45,[1]Befolkningstal!$A$3:$D$3,0),FALSE)/1000000/(1-Adfærd!B$12)</f>
        <v>222884.49629995148</v>
      </c>
    </row>
    <row r="46" spans="1:5" x14ac:dyDescent="0.25">
      <c r="A46" t="s">
        <v>127</v>
      </c>
      <c r="B46" t="s">
        <v>24</v>
      </c>
      <c r="C46" s="12" t="str">
        <f>Adfærd!A19</f>
        <v>Kartofler</v>
      </c>
      <c r="D46">
        <f t="shared" si="3"/>
        <v>2019</v>
      </c>
      <c r="E46" s="76">
        <f>VLOOKUP(C46,Adfærd!$A$17:$D$30,MATCH(D46,Adfærd!$A$16:$D$16,0),FALSE)*365.25*VLOOKUP(B46,[1]Befolkningstal!$A$4:$D$6,MATCH(D46,[1]Befolkningstal!$A$3:$D$3,0),FALSE)/1000000/(1-Adfærd!B$12)</f>
        <v>101922.05609696274</v>
      </c>
    </row>
    <row r="47" spans="1:5" x14ac:dyDescent="0.25">
      <c r="A47" t="s">
        <v>127</v>
      </c>
      <c r="B47" t="s">
        <v>24</v>
      </c>
      <c r="C47" s="12" t="str">
        <f>Adfærd!A20</f>
        <v>Svinekød</v>
      </c>
      <c r="D47">
        <f t="shared" si="3"/>
        <v>2019</v>
      </c>
      <c r="E47" s="76">
        <f>VLOOKUP(C47,Adfærd!$A$17:$D$30,MATCH(D47,Adfærd!$A$16:$D$16,0),FALSE)*365.25*VLOOKUP(B47,[1]Befolkningstal!$A$4:$D$6,MATCH(D47,[1]Befolkningstal!$A$3:$D$3,0),FALSE)/1000000/(1-Adfærd!B$12)</f>
        <v>100555.62853170674</v>
      </c>
    </row>
    <row r="48" spans="1:5" x14ac:dyDescent="0.25">
      <c r="A48" t="s">
        <v>127</v>
      </c>
      <c r="B48" t="s">
        <v>24</v>
      </c>
      <c r="C48" s="12" t="str">
        <f>Adfærd!A21</f>
        <v>Oksekød</v>
      </c>
      <c r="D48">
        <f t="shared" si="3"/>
        <v>2019</v>
      </c>
      <c r="E48" s="76">
        <f>VLOOKUP(C48,Adfærd!$A$17:$D$30,MATCH(D48,Adfærd!$A$16:$D$16,0),FALSE)*365.25*VLOOKUP(B48,[1]Befolkningstal!$A$4:$D$6,MATCH(D48,[1]Befolkningstal!$A$3:$D$3,0),FALSE)/1000000/(1-Adfærd!B$12)</f>
        <v>49527.399127557059</v>
      </c>
    </row>
    <row r="49" spans="1:5" x14ac:dyDescent="0.25">
      <c r="A49" t="s">
        <v>127</v>
      </c>
      <c r="B49" t="s">
        <v>24</v>
      </c>
      <c r="C49" s="12" t="str">
        <f>Adfærd!A22</f>
        <v>Bælgsæd</v>
      </c>
      <c r="D49">
        <f t="shared" si="3"/>
        <v>2019</v>
      </c>
      <c r="E49" s="76">
        <f>VLOOKUP(C49,Adfærd!$A$17:$D$30,MATCH(D49,Adfærd!$A$16:$D$16,0),FALSE)*365.25*VLOOKUP(B49,[1]Befolkningstal!$A$4:$D$6,MATCH(D49,[1]Befolkningstal!$A$3:$D$3,0),FALSE)/1000000/(1-Adfærd!B$12)</f>
        <v>0</v>
      </c>
    </row>
    <row r="50" spans="1:5" x14ac:dyDescent="0.25">
      <c r="A50" t="s">
        <v>127</v>
      </c>
      <c r="B50" t="s">
        <v>24</v>
      </c>
      <c r="C50" s="12" t="str">
        <f>Adfærd!A23</f>
        <v>Muslinger</v>
      </c>
      <c r="D50">
        <f t="shared" si="3"/>
        <v>2019</v>
      </c>
      <c r="E50" s="76">
        <f>VLOOKUP(C50,Adfærd!$A$17:$D$30,MATCH(D50,Adfærd!$A$16:$D$16,0),FALSE)*365.25*VLOOKUP(B50,[1]Befolkningstal!$A$4:$D$6,MATCH(D50,[1]Befolkningstal!$A$3:$D$3,0),FALSE)/1000000/(1-Adfærd!B$12)</f>
        <v>0</v>
      </c>
    </row>
    <row r="51" spans="1:5" x14ac:dyDescent="0.25">
      <c r="A51" t="s">
        <v>127</v>
      </c>
      <c r="B51" t="s">
        <v>24</v>
      </c>
      <c r="C51" s="12" t="str">
        <f>Adfærd!A24</f>
        <v>Tang</v>
      </c>
      <c r="D51">
        <f t="shared" si="3"/>
        <v>2019</v>
      </c>
      <c r="E51" s="76">
        <f>VLOOKUP(C51,Adfærd!$A$17:$D$30,MATCH(D51,Adfærd!$A$16:$D$16,0),FALSE)*365.25*VLOOKUP(B51,[1]Befolkningstal!$A$4:$D$6,MATCH(D51,[1]Befolkningstal!$A$3:$D$3,0),FALSE)/1000000/(1-Adfærd!B$12)</f>
        <v>0</v>
      </c>
    </row>
    <row r="52" spans="1:5" x14ac:dyDescent="0.25">
      <c r="A52" t="s">
        <v>127</v>
      </c>
      <c r="B52" t="s">
        <v>24</v>
      </c>
      <c r="C52" s="12" t="str">
        <f>Adfærd!A25</f>
        <v>Kunstigt kød</v>
      </c>
      <c r="D52">
        <f t="shared" si="3"/>
        <v>2019</v>
      </c>
      <c r="E52" s="76">
        <f>VLOOKUP(C52,Adfærd!$A$17:$D$30,MATCH(D52,Adfærd!$A$16:$D$16,0),FALSE)*365.25*VLOOKUP(B52,[1]Befolkningstal!$A$4:$D$6,MATCH(D52,[1]Befolkningstal!$A$3:$D$3,0),FALSE)/1000000/(1-Adfærd!B$12)</f>
        <v>0</v>
      </c>
    </row>
    <row r="53" spans="1:5" x14ac:dyDescent="0.25">
      <c r="A53" t="s">
        <v>127</v>
      </c>
      <c r="B53" t="s">
        <v>24</v>
      </c>
      <c r="C53" s="12" t="str">
        <f>Adfærd!A26</f>
        <v>Mejeriprodukter</v>
      </c>
      <c r="D53">
        <f t="shared" si="3"/>
        <v>2019</v>
      </c>
      <c r="E53" s="76">
        <f>VLOOKUP(C53,Adfærd!$A$17:$D$30,MATCH(D53,Adfærd!$A$16:$D$16,0),FALSE)*365.25*VLOOKUP(B53,[1]Befolkningstal!$A$4:$D$6,MATCH(D53,[1]Befolkningstal!$A$3:$D$3,0),FALSE)/1000000/(1-Adfærd!B$12)</f>
        <v>389767.86287629709</v>
      </c>
    </row>
    <row r="54" spans="1:5" x14ac:dyDescent="0.25">
      <c r="A54" t="s">
        <v>127</v>
      </c>
      <c r="B54" t="s">
        <v>24</v>
      </c>
      <c r="C54" s="12" t="str">
        <f>Adfærd!A27</f>
        <v>Fjerkrækød</v>
      </c>
      <c r="D54">
        <f t="shared" si="3"/>
        <v>2019</v>
      </c>
      <c r="E54" s="76">
        <f>VLOOKUP(C54,Adfærd!$A$17:$D$30,MATCH(D54,Adfærd!$A$16:$D$16,0),FALSE)*365.25*VLOOKUP(B54,[1]Befolkningstal!$A$4:$D$6,MATCH(D54,[1]Befolkningstal!$A$3:$D$3,0),FALSE)/1000000/(1-Adfærd!B$12)</f>
        <v>29120.587456275069</v>
      </c>
    </row>
    <row r="55" spans="1:5" x14ac:dyDescent="0.25">
      <c r="A55" t="s">
        <v>127</v>
      </c>
      <c r="B55" t="s">
        <v>24</v>
      </c>
      <c r="C55" s="12" t="str">
        <f>Adfærd!A28</f>
        <v>Æg</v>
      </c>
      <c r="D55">
        <f t="shared" si="3"/>
        <v>2019</v>
      </c>
      <c r="E55" s="76">
        <f>VLOOKUP(C55,Adfærd!$A$17:$D$30,MATCH(D55,Adfærd!$A$16:$D$16,0),FALSE)*365.25*VLOOKUP(B55,[1]Befolkningstal!$A$4:$D$6,MATCH(D55,[1]Befolkningstal!$A$3:$D$3,0),FALSE)/1000000/(1-Adfærd!B$12)</f>
        <v>26880.542267330831</v>
      </c>
    </row>
    <row r="56" spans="1:5" x14ac:dyDescent="0.25">
      <c r="A56" t="s">
        <v>127</v>
      </c>
      <c r="B56" t="s">
        <v>24</v>
      </c>
      <c r="C56" s="12" t="str">
        <f>Adfærd!A29</f>
        <v>Frugt</v>
      </c>
      <c r="D56">
        <f t="shared" si="3"/>
        <v>2019</v>
      </c>
      <c r="E56" s="76">
        <f>VLOOKUP(C56,Adfærd!$A$17:$D$30,MATCH(D56,Adfærd!$A$16:$D$16,0),FALSE)*365.25*VLOOKUP(B56,[1]Befolkningstal!$A$4:$D$6,MATCH(D56,[1]Befolkningstal!$A$3:$D$3,0),FALSE)/1000000/(1-Adfærd!B$12)</f>
        <v>212804.29294970242</v>
      </c>
    </row>
    <row r="57" spans="1:5" x14ac:dyDescent="0.25">
      <c r="A57" t="s">
        <v>127</v>
      </c>
      <c r="B57" t="s">
        <v>24</v>
      </c>
      <c r="C57" s="12" t="str">
        <f>Adfærd!A30</f>
        <v>Fisk</v>
      </c>
      <c r="D57">
        <f t="shared" si="3"/>
        <v>2019</v>
      </c>
      <c r="E57" s="76">
        <f>VLOOKUP(C57,Adfærd!$A$17:$D$30,MATCH(D57,Adfærd!$A$16:$D$16,0),FALSE)*365.25*VLOOKUP(B57,[1]Befolkningstal!$A$4:$D$6,MATCH(D57,[1]Befolkningstal!$A$3:$D$3,0),FALSE)/1000000/(1-Adfærd!B$12)</f>
        <v>41440.835995468369</v>
      </c>
    </row>
    <row r="58" spans="1:5" x14ac:dyDescent="0.25">
      <c r="A58" t="s">
        <v>127</v>
      </c>
      <c r="B58" t="s">
        <v>24</v>
      </c>
      <c r="C58" s="12" t="str">
        <f>Adfærd!A17</f>
        <v>Korn</v>
      </c>
      <c r="D58">
        <f t="shared" ref="D58:D71" si="4">År2</f>
        <v>2030</v>
      </c>
      <c r="E58" s="76">
        <f>VLOOKUP(C58,Adfærd!$A$17:$D$30,MATCH(D58,Adfærd!$A$16:$D$16,0),FALSE)*365.25*VLOOKUP(B58,[1]Befolkningstal!$A$4:$D$6,MATCH(D58,[1]Befolkningstal!$A$3:$D$3,0),FALSE)/1000000/(1-Adfærd!B$12)</f>
        <v>256234.83946537593</v>
      </c>
    </row>
    <row r="59" spans="1:5" x14ac:dyDescent="0.25">
      <c r="A59" t="s">
        <v>127</v>
      </c>
      <c r="B59" t="s">
        <v>24</v>
      </c>
      <c r="C59" s="12" t="str">
        <f>Adfærd!A18</f>
        <v>Grøntsager</v>
      </c>
      <c r="D59">
        <f t="shared" si="4"/>
        <v>2030</v>
      </c>
      <c r="E59" s="76">
        <f>VLOOKUP(C59,Adfærd!$A$17:$D$30,MATCH(D59,Adfærd!$A$16:$D$16,0),FALSE)*365.25*VLOOKUP(B59,[1]Befolkningstal!$A$4:$D$6,MATCH(D59,[1]Befolkningstal!$A$3:$D$3,0),FALSE)/1000000/(1-Adfærd!B$12)</f>
        <v>233902.44520004498</v>
      </c>
    </row>
    <row r="60" spans="1:5" x14ac:dyDescent="0.25">
      <c r="A60" t="s">
        <v>127</v>
      </c>
      <c r="B60" t="s">
        <v>24</v>
      </c>
      <c r="C60" s="12" t="str">
        <f>Adfærd!A19</f>
        <v>Kartofler</v>
      </c>
      <c r="D60">
        <f t="shared" si="4"/>
        <v>2030</v>
      </c>
      <c r="E60" s="76">
        <f>VLOOKUP(C60,Adfærd!$A$17:$D$30,MATCH(D60,Adfærd!$A$16:$D$16,0),FALSE)*365.25*VLOOKUP(B60,[1]Befolkningstal!$A$4:$D$6,MATCH(D60,[1]Befolkningstal!$A$3:$D$3,0),FALSE)/1000000/(1-Adfærd!B$12)</f>
        <v>106960.41463921656</v>
      </c>
    </row>
    <row r="61" spans="1:5" x14ac:dyDescent="0.25">
      <c r="A61" t="s">
        <v>127</v>
      </c>
      <c r="B61" t="s">
        <v>24</v>
      </c>
      <c r="C61" s="12" t="str">
        <f>Adfærd!A20</f>
        <v>Svinekød</v>
      </c>
      <c r="D61">
        <f t="shared" si="4"/>
        <v>2030</v>
      </c>
      <c r="E61" s="76">
        <f>VLOOKUP(C61,Adfærd!$A$17:$D$30,MATCH(D61,Adfærd!$A$16:$D$16,0),FALSE)*365.25*VLOOKUP(B61,[1]Befolkningstal!$A$4:$D$6,MATCH(D61,[1]Befolkningstal!$A$3:$D$3,0),FALSE)/1000000/(1-Adfærd!B$12)</f>
        <v>105526.43984954793</v>
      </c>
    </row>
    <row r="62" spans="1:5" x14ac:dyDescent="0.25">
      <c r="A62" t="s">
        <v>127</v>
      </c>
      <c r="B62" t="s">
        <v>24</v>
      </c>
      <c r="C62" s="12" t="str">
        <f>Adfærd!A21</f>
        <v>Oksekød</v>
      </c>
      <c r="D62">
        <f t="shared" si="4"/>
        <v>2030</v>
      </c>
      <c r="E62" s="76">
        <f>VLOOKUP(C62,Adfærd!$A$17:$D$30,MATCH(D62,Adfærd!$A$16:$D$16,0),FALSE)*365.25*VLOOKUP(B62,[1]Befolkningstal!$A$4:$D$6,MATCH(D62,[1]Befolkningstal!$A$3:$D$3,0),FALSE)/1000000/(1-Adfærd!B$12)</f>
        <v>51975.70917962808</v>
      </c>
    </row>
    <row r="63" spans="1:5" x14ac:dyDescent="0.25">
      <c r="A63" t="s">
        <v>127</v>
      </c>
      <c r="B63" t="s">
        <v>24</v>
      </c>
      <c r="C63" s="12" t="str">
        <f>Adfærd!A22</f>
        <v>Bælgsæd</v>
      </c>
      <c r="D63">
        <f t="shared" si="4"/>
        <v>2030</v>
      </c>
      <c r="E63" s="76">
        <f>VLOOKUP(C63,Adfærd!$A$17:$D$30,MATCH(D63,Adfærd!$A$16:$D$16,0),FALSE)*365.25*VLOOKUP(B63,[1]Befolkningstal!$A$4:$D$6,MATCH(D63,[1]Befolkningstal!$A$3:$D$3,0),FALSE)/1000000/(1-Adfærd!B$12)</f>
        <v>0</v>
      </c>
    </row>
    <row r="64" spans="1:5" x14ac:dyDescent="0.25">
      <c r="A64" t="s">
        <v>127</v>
      </c>
      <c r="B64" t="s">
        <v>24</v>
      </c>
      <c r="C64" s="12" t="str">
        <f>Adfærd!A23</f>
        <v>Muslinger</v>
      </c>
      <c r="D64">
        <f t="shared" si="4"/>
        <v>2030</v>
      </c>
      <c r="E64" s="76">
        <f>VLOOKUP(C64,Adfærd!$A$17:$D$30,MATCH(D64,Adfærd!$A$16:$D$16,0),FALSE)*365.25*VLOOKUP(B64,[1]Befolkningstal!$A$4:$D$6,MATCH(D64,[1]Befolkningstal!$A$3:$D$3,0),FALSE)/1000000/(1-Adfærd!B$12)</f>
        <v>0</v>
      </c>
    </row>
    <row r="65" spans="1:5" x14ac:dyDescent="0.25">
      <c r="A65" t="s">
        <v>127</v>
      </c>
      <c r="B65" t="s">
        <v>24</v>
      </c>
      <c r="C65" s="12" t="str">
        <f>Adfærd!A24</f>
        <v>Tang</v>
      </c>
      <c r="D65">
        <f t="shared" si="4"/>
        <v>2030</v>
      </c>
      <c r="E65" s="76">
        <f>VLOOKUP(C65,Adfærd!$A$17:$D$30,MATCH(D65,Adfærd!$A$16:$D$16,0),FALSE)*365.25*VLOOKUP(B65,[1]Befolkningstal!$A$4:$D$6,MATCH(D65,[1]Befolkningstal!$A$3:$D$3,0),FALSE)/1000000/(1-Adfærd!B$12)</f>
        <v>0</v>
      </c>
    </row>
    <row r="66" spans="1:5" x14ac:dyDescent="0.25">
      <c r="A66" t="s">
        <v>127</v>
      </c>
      <c r="B66" t="s">
        <v>24</v>
      </c>
      <c r="C66" s="12" t="str">
        <f>Adfærd!A25</f>
        <v>Kunstigt kød</v>
      </c>
      <c r="D66">
        <f t="shared" si="4"/>
        <v>2030</v>
      </c>
      <c r="E66" s="76">
        <f>VLOOKUP(C66,Adfærd!$A$17:$D$30,MATCH(D66,Adfærd!$A$16:$D$16,0),FALSE)*365.25*VLOOKUP(B66,[1]Befolkningstal!$A$4:$D$6,MATCH(D66,[1]Befolkningstal!$A$3:$D$3,0),FALSE)/1000000/(1-Adfærd!B$12)</f>
        <v>0</v>
      </c>
    </row>
    <row r="67" spans="1:5" x14ac:dyDescent="0.25">
      <c r="A67" t="s">
        <v>127</v>
      </c>
      <c r="B67" t="s">
        <v>24</v>
      </c>
      <c r="C67" s="12" t="str">
        <f>Adfærd!A26</f>
        <v>Mejeriprodukter</v>
      </c>
      <c r="D67">
        <f t="shared" si="4"/>
        <v>2030</v>
      </c>
      <c r="E67" s="76">
        <f>VLOOKUP(C67,Adfærd!$A$17:$D$30,MATCH(D67,Adfærd!$A$16:$D$16,0),FALSE)*365.25*VLOOKUP(B67,[1]Befolkningstal!$A$4:$D$6,MATCH(D67,[1]Befolkningstal!$A$3:$D$3,0),FALSE)/1000000/(1-Adfærd!B$12)</f>
        <v>409035.43180711387</v>
      </c>
    </row>
    <row r="68" spans="1:5" x14ac:dyDescent="0.25">
      <c r="A68" t="s">
        <v>127</v>
      </c>
      <c r="B68" t="s">
        <v>24</v>
      </c>
      <c r="C68" s="12" t="str">
        <f>Adfærd!A27</f>
        <v>Fjerkrækød</v>
      </c>
      <c r="D68">
        <f t="shared" si="4"/>
        <v>2030</v>
      </c>
      <c r="E68" s="76">
        <f>VLOOKUP(C68,Adfærd!$A$17:$D$30,MATCH(D68,Adfærd!$A$16:$D$16,0),FALSE)*365.25*VLOOKUP(B68,[1]Befolkningstal!$A$4:$D$6,MATCH(D68,[1]Befolkningstal!$A$3:$D$3,0),FALSE)/1000000/(1-Adfærd!B$12)</f>
        <v>30560.118468347584</v>
      </c>
    </row>
    <row r="69" spans="1:5" x14ac:dyDescent="0.25">
      <c r="A69" t="s">
        <v>127</v>
      </c>
      <c r="B69" t="s">
        <v>24</v>
      </c>
      <c r="C69" s="12" t="str">
        <f>Adfærd!A28</f>
        <v>Æg</v>
      </c>
      <c r="D69">
        <f t="shared" si="4"/>
        <v>2030</v>
      </c>
      <c r="E69" s="76">
        <f>VLOOKUP(C69,Adfærd!$A$17:$D$30,MATCH(D69,Adfærd!$A$16:$D$16,0),FALSE)*365.25*VLOOKUP(B69,[1]Befolkningstal!$A$4:$D$6,MATCH(D69,[1]Befolkningstal!$A$3:$D$3,0),FALSE)/1000000/(1-Adfærd!B$12)</f>
        <v>28209.340124628539</v>
      </c>
    </row>
    <row r="70" spans="1:5" x14ac:dyDescent="0.25">
      <c r="A70" t="s">
        <v>127</v>
      </c>
      <c r="B70" t="s">
        <v>24</v>
      </c>
      <c r="C70" s="12" t="str">
        <f>Adfærd!A29</f>
        <v>Frugt</v>
      </c>
      <c r="D70">
        <f t="shared" si="4"/>
        <v>2030</v>
      </c>
      <c r="E70" s="76">
        <f>VLOOKUP(C70,Adfærd!$A$17:$D$30,MATCH(D70,Adfærd!$A$16:$D$16,0),FALSE)*365.25*VLOOKUP(B70,[1]Befolkningstal!$A$4:$D$6,MATCH(D70,[1]Befolkningstal!$A$3:$D$3,0),FALSE)/1000000/(1-Adfærd!B$12)</f>
        <v>223323.94265330929</v>
      </c>
    </row>
    <row r="71" spans="1:5" x14ac:dyDescent="0.25">
      <c r="A71" t="s">
        <v>127</v>
      </c>
      <c r="B71" t="s">
        <v>24</v>
      </c>
      <c r="C71" s="12" t="str">
        <f>Adfærd!A30</f>
        <v>Fisk</v>
      </c>
      <c r="D71">
        <f t="shared" si="4"/>
        <v>2030</v>
      </c>
      <c r="E71" s="76">
        <f>VLOOKUP(C71,Adfærd!$A$17:$D$30,MATCH(D71,Adfærd!$A$16:$D$16,0),FALSE)*365.25*VLOOKUP(B71,[1]Befolkningstal!$A$4:$D$6,MATCH(D71,[1]Befolkningstal!$A$3:$D$3,0),FALSE)/1000000/(1-Adfærd!B$12)</f>
        <v>43489.39935880233</v>
      </c>
    </row>
    <row r="72" spans="1:5" x14ac:dyDescent="0.25">
      <c r="A72" t="s">
        <v>127</v>
      </c>
      <c r="B72" t="s">
        <v>24</v>
      </c>
      <c r="C72" s="12" t="str">
        <f>Adfærd!A17</f>
        <v>Korn</v>
      </c>
      <c r="D72">
        <f t="shared" ref="D72:D85" si="5">År3</f>
        <v>2050</v>
      </c>
      <c r="E72" s="76">
        <f>VLOOKUP(C72,Adfærd!$A$17:$D$30,MATCH(D72,Adfærd!$A$16:$D$16,0),FALSE)*365.25*VLOOKUP(B72,[1]Befolkningstal!$A$4:$D$6,MATCH(D72,[1]Befolkningstal!$A$3:$D$3,0),FALSE)/1000000/(1-Adfærd!B$12)</f>
        <v>268249.01834925939</v>
      </c>
    </row>
    <row r="73" spans="1:5" x14ac:dyDescent="0.25">
      <c r="A73" t="s">
        <v>127</v>
      </c>
      <c r="B73" t="s">
        <v>24</v>
      </c>
      <c r="C73" s="12" t="str">
        <f>Adfærd!A18</f>
        <v>Grøntsager</v>
      </c>
      <c r="D73">
        <f t="shared" si="5"/>
        <v>2050</v>
      </c>
      <c r="E73" s="76">
        <f>VLOOKUP(C73,Adfærd!$A$17:$D$30,MATCH(D73,Adfærd!$A$16:$D$16,0),FALSE)*365.25*VLOOKUP(B73,[1]Befolkningstal!$A$4:$D$6,MATCH(D73,[1]Befolkningstal!$A$3:$D$3,0),FALSE)/1000000/(1-Adfærd!B$12)</f>
        <v>244869.51675001203</v>
      </c>
    </row>
    <row r="74" spans="1:5" x14ac:dyDescent="0.25">
      <c r="A74" t="s">
        <v>127</v>
      </c>
      <c r="B74" t="s">
        <v>24</v>
      </c>
      <c r="C74" s="12" t="str">
        <f>Adfærd!A19</f>
        <v>Kartofler</v>
      </c>
      <c r="D74">
        <f t="shared" si="5"/>
        <v>2050</v>
      </c>
      <c r="E74" s="76">
        <f>VLOOKUP(C74,Adfærd!$A$17:$D$30,MATCH(D74,Adfærd!$A$16:$D$16,0),FALSE)*365.25*VLOOKUP(B74,[1]Befolkningstal!$A$4:$D$6,MATCH(D74,[1]Befolkningstal!$A$3:$D$3,0),FALSE)/1000000/(1-Adfærd!B$12)</f>
        <v>111975.50765955324</v>
      </c>
    </row>
    <row r="75" spans="1:5" x14ac:dyDescent="0.25">
      <c r="A75" t="s">
        <v>127</v>
      </c>
      <c r="B75" t="s">
        <v>24</v>
      </c>
      <c r="C75" s="12" t="str">
        <f>Adfærd!A20</f>
        <v>Svinekød</v>
      </c>
      <c r="D75">
        <f t="shared" si="5"/>
        <v>2050</v>
      </c>
      <c r="E75" s="76">
        <f>VLOOKUP(C75,Adfærd!$A$17:$D$30,MATCH(D75,Adfærd!$A$16:$D$16,0),FALSE)*365.25*VLOOKUP(B75,[1]Befolkningstal!$A$4:$D$6,MATCH(D75,[1]Befolkningstal!$A$3:$D$3,0),FALSE)/1000000/(1-Adfærd!B$12)</f>
        <v>110474.29755686472</v>
      </c>
    </row>
    <row r="76" spans="1:5" x14ac:dyDescent="0.25">
      <c r="A76" t="s">
        <v>127</v>
      </c>
      <c r="B76" t="s">
        <v>24</v>
      </c>
      <c r="C76" s="12" t="str">
        <f>Adfærd!A21</f>
        <v>Oksekød</v>
      </c>
      <c r="D76">
        <f t="shared" si="5"/>
        <v>2050</v>
      </c>
      <c r="E76" s="76">
        <f>VLOOKUP(C76,Adfærd!$A$17:$D$30,MATCH(D76,Adfærd!$A$16:$D$16,0),FALSE)*365.25*VLOOKUP(B76,[1]Befolkningstal!$A$4:$D$6,MATCH(D76,[1]Befolkningstal!$A$3:$D$3,0),FALSE)/1000000/(1-Adfærd!B$12)</f>
        <v>54412.71372203785</v>
      </c>
    </row>
    <row r="77" spans="1:5" x14ac:dyDescent="0.25">
      <c r="A77" t="s">
        <v>127</v>
      </c>
      <c r="B77" t="s">
        <v>24</v>
      </c>
      <c r="C77" s="12" t="str">
        <f>Adfærd!A22</f>
        <v>Bælgsæd</v>
      </c>
      <c r="D77">
        <f t="shared" si="5"/>
        <v>2050</v>
      </c>
      <c r="E77" s="76">
        <f>VLOOKUP(C77,Adfærd!$A$17:$D$30,MATCH(D77,Adfærd!$A$16:$D$16,0),FALSE)*365.25*VLOOKUP(B77,[1]Befolkningstal!$A$4:$D$6,MATCH(D77,[1]Befolkningstal!$A$3:$D$3,0),FALSE)/1000000/(1-Adfærd!B$12)</f>
        <v>0</v>
      </c>
    </row>
    <row r="78" spans="1:5" x14ac:dyDescent="0.25">
      <c r="A78" t="s">
        <v>127</v>
      </c>
      <c r="B78" t="s">
        <v>24</v>
      </c>
      <c r="C78" s="12" t="str">
        <f>Adfærd!A23</f>
        <v>Muslinger</v>
      </c>
      <c r="D78">
        <f t="shared" si="5"/>
        <v>2050</v>
      </c>
      <c r="E78" s="76">
        <f>VLOOKUP(C78,Adfærd!$A$17:$D$30,MATCH(D78,Adfærd!$A$16:$D$16,0),FALSE)*365.25*VLOOKUP(B78,[1]Befolkningstal!$A$4:$D$6,MATCH(D78,[1]Befolkningstal!$A$3:$D$3,0),FALSE)/1000000/(1-Adfærd!B$12)</f>
        <v>0</v>
      </c>
    </row>
    <row r="79" spans="1:5" x14ac:dyDescent="0.25">
      <c r="A79" t="s">
        <v>127</v>
      </c>
      <c r="B79" t="s">
        <v>24</v>
      </c>
      <c r="C79" s="12" t="str">
        <f>Adfærd!A24</f>
        <v>Tang</v>
      </c>
      <c r="D79">
        <f t="shared" si="5"/>
        <v>2050</v>
      </c>
      <c r="E79" s="76">
        <f>VLOOKUP(C79,Adfærd!$A$17:$D$30,MATCH(D79,Adfærd!$A$16:$D$16,0),FALSE)*365.25*VLOOKUP(B79,[1]Befolkningstal!$A$4:$D$6,MATCH(D79,[1]Befolkningstal!$A$3:$D$3,0),FALSE)/1000000/(1-Adfærd!B$12)</f>
        <v>0</v>
      </c>
    </row>
    <row r="80" spans="1:5" x14ac:dyDescent="0.25">
      <c r="A80" t="s">
        <v>127</v>
      </c>
      <c r="B80" t="s">
        <v>24</v>
      </c>
      <c r="C80" s="12" t="str">
        <f>Adfærd!A25</f>
        <v>Kunstigt kød</v>
      </c>
      <c r="D80">
        <f t="shared" si="5"/>
        <v>2050</v>
      </c>
      <c r="E80" s="76">
        <f>VLOOKUP(C80,Adfærd!$A$17:$D$30,MATCH(D80,Adfærd!$A$16:$D$16,0),FALSE)*365.25*VLOOKUP(B80,[1]Befolkningstal!$A$4:$D$6,MATCH(D80,[1]Befolkningstal!$A$3:$D$3,0),FALSE)/1000000/(1-Adfærd!B$12)</f>
        <v>0</v>
      </c>
    </row>
    <row r="81" spans="1:5" x14ac:dyDescent="0.25">
      <c r="A81" t="s">
        <v>127</v>
      </c>
      <c r="B81" t="s">
        <v>24</v>
      </c>
      <c r="C81" s="12" t="str">
        <f>Adfærd!A26</f>
        <v>Mejeriprodukter</v>
      </c>
      <c r="D81">
        <f t="shared" si="5"/>
        <v>2050</v>
      </c>
      <c r="E81" s="76">
        <f>VLOOKUP(C81,Adfærd!$A$17:$D$30,MATCH(D81,Adfærd!$A$16:$D$16,0),FALSE)*365.25*VLOOKUP(B81,[1]Befolkningstal!$A$4:$D$6,MATCH(D81,[1]Befolkningstal!$A$3:$D$3,0),FALSE)/1000000/(1-Adfærd!B$12)</f>
        <v>428214.02929147833</v>
      </c>
    </row>
    <row r="82" spans="1:5" x14ac:dyDescent="0.25">
      <c r="A82" t="s">
        <v>127</v>
      </c>
      <c r="B82" t="s">
        <v>24</v>
      </c>
      <c r="C82" s="12" t="str">
        <f>Adfærd!A27</f>
        <v>Fjerkrækød</v>
      </c>
      <c r="D82">
        <f t="shared" si="5"/>
        <v>2050</v>
      </c>
      <c r="E82" s="76">
        <f>VLOOKUP(C82,Adfærd!$A$17:$D$30,MATCH(D82,Adfærd!$A$16:$D$16,0),FALSE)*365.25*VLOOKUP(B82,[1]Befolkningstal!$A$4:$D$6,MATCH(D82,[1]Befolkningstal!$A$3:$D$3,0),FALSE)/1000000/(1-Adfærd!B$12)</f>
        <v>31993.002188443785</v>
      </c>
    </row>
    <row r="83" spans="1:5" x14ac:dyDescent="0.25">
      <c r="A83" t="s">
        <v>127</v>
      </c>
      <c r="B83" t="s">
        <v>24</v>
      </c>
      <c r="C83" s="12" t="str">
        <f>Adfærd!A28</f>
        <v>Æg</v>
      </c>
      <c r="D83">
        <f t="shared" si="5"/>
        <v>2050</v>
      </c>
      <c r="E83" s="76">
        <f>VLOOKUP(C83,Adfærd!$A$17:$D$30,MATCH(D83,Adfærd!$A$16:$D$16,0),FALSE)*365.25*VLOOKUP(B83,[1]Befolkningstal!$A$4:$D$6,MATCH(D83,[1]Befolkningstal!$A$3:$D$3,0),FALSE)/1000000/(1-Adfærd!B$12)</f>
        <v>29532.002020101954</v>
      </c>
    </row>
    <row r="84" spans="1:5" x14ac:dyDescent="0.25">
      <c r="A84" t="s">
        <v>127</v>
      </c>
      <c r="B84" t="s">
        <v>24</v>
      </c>
      <c r="C84" s="12" t="str">
        <f>Adfærd!A29</f>
        <v>Frugt</v>
      </c>
      <c r="D84">
        <f t="shared" si="5"/>
        <v>2050</v>
      </c>
      <c r="E84" s="76">
        <f>VLOOKUP(C84,Adfærd!$A$17:$D$30,MATCH(D84,Adfærd!$A$16:$D$16,0),FALSE)*365.25*VLOOKUP(B84,[1]Befolkningstal!$A$4:$D$6,MATCH(D84,[1]Befolkningstal!$A$3:$D$3,0),FALSE)/1000000/(1-Adfærd!B$12)</f>
        <v>233795.01599247381</v>
      </c>
    </row>
    <row r="85" spans="1:5" x14ac:dyDescent="0.25">
      <c r="A85" t="s">
        <v>127</v>
      </c>
      <c r="B85" t="s">
        <v>24</v>
      </c>
      <c r="C85" s="12" t="str">
        <f>Adfærd!A30</f>
        <v>Fisk</v>
      </c>
      <c r="D85">
        <f t="shared" si="5"/>
        <v>2050</v>
      </c>
      <c r="E85" s="76">
        <f>VLOOKUP(C85,Adfærd!$A$17:$D$30,MATCH(D85,Adfærd!$A$16:$D$16,0),FALSE)*365.25*VLOOKUP(B85,[1]Befolkningstal!$A$4:$D$6,MATCH(D85,[1]Befolkningstal!$A$3:$D$3,0),FALSE)/1000000/(1-Adfærd!B$12)</f>
        <v>45528.503114323845</v>
      </c>
    </row>
    <row r="86" spans="1:5" x14ac:dyDescent="0.25">
      <c r="A86" t="s">
        <v>109</v>
      </c>
      <c r="B86" t="s">
        <v>23</v>
      </c>
      <c r="C86" s="99" t="str">
        <f>Biogasanlæg!A12</f>
        <v>Svinegylle</v>
      </c>
      <c r="D86">
        <f t="shared" ref="D86:D102" si="6">År1</f>
        <v>2019</v>
      </c>
      <c r="E86">
        <f>IF(B86="Vestdanmark",VLOOKUP(C86,Biogasanlæg!$A$39:$E$55,MATCH(D86,Biogasanlæg!$A$38:$E$38,0),FALSE),VLOOKUP(C86,Biogasanlæg!$I$39:$M$55,MATCH(D86,Biogasanlæg!$I$38:$M$38,0),FALSE))</f>
        <v>2534442.072977222</v>
      </c>
    </row>
    <row r="87" spans="1:5" x14ac:dyDescent="0.25">
      <c r="A87" t="s">
        <v>109</v>
      </c>
      <c r="B87" t="s">
        <v>23</v>
      </c>
      <c r="C87" s="99" t="str">
        <f>Biogasanlæg!A13</f>
        <v>Kvæggylle</v>
      </c>
      <c r="D87">
        <f t="shared" si="6"/>
        <v>2019</v>
      </c>
      <c r="E87">
        <f>IF(B87="Vestdanmark",VLOOKUP(C87,Biogasanlæg!$A$39:$E$55,MATCH(D87,Biogasanlæg!$A$38:$E$38,0),FALSE),VLOOKUP(C87,Biogasanlæg!$I$39:$M$55,MATCH(D87,Biogasanlæg!$I$38:$M$38,0),FALSE))</f>
        <v>4066864.6068164087</v>
      </c>
    </row>
    <row r="88" spans="1:5" x14ac:dyDescent="0.25">
      <c r="A88" t="s">
        <v>109</v>
      </c>
      <c r="B88" t="s">
        <v>23</v>
      </c>
      <c r="C88" s="99" t="str">
        <f>Biogasanlæg!A14</f>
        <v>Fjerkrægylle</v>
      </c>
      <c r="D88">
        <f t="shared" si="6"/>
        <v>2019</v>
      </c>
      <c r="E88">
        <f>IF(B88="Vestdanmark",VLOOKUP(C88,Biogasanlæg!$A$39:$E$55,MATCH(D88,Biogasanlæg!$A$38:$E$38,0),FALSE),VLOOKUP(C88,Biogasanlæg!$I$39:$M$55,MATCH(D88,Biogasanlæg!$I$38:$M$38,0),FALSE))</f>
        <v>4103.8061780475591</v>
      </c>
    </row>
    <row r="89" spans="1:5" x14ac:dyDescent="0.25">
      <c r="A89" t="s">
        <v>109</v>
      </c>
      <c r="B89" t="s">
        <v>23</v>
      </c>
      <c r="C89" s="99" t="str">
        <f>Biogasanlæg!A15</f>
        <v>Spildevandsslam</v>
      </c>
      <c r="D89">
        <f t="shared" si="6"/>
        <v>2019</v>
      </c>
      <c r="E89">
        <f>IF(B89="Vestdanmark",VLOOKUP(C89,Biogasanlæg!$A$39:$E$55,MATCH(D89,Biogasanlæg!$A$38:$E$38,0),FALSE),VLOOKUP(C89,Biogasanlæg!$I$39:$M$55,MATCH(D89,Biogasanlæg!$I$38:$M$38,0),FALSE))</f>
        <v>1460182.5874658169</v>
      </c>
    </row>
    <row r="90" spans="1:5" x14ac:dyDescent="0.25">
      <c r="A90" t="s">
        <v>109</v>
      </c>
      <c r="B90" t="s">
        <v>23</v>
      </c>
      <c r="C90" s="99" t="str">
        <f>Biogasanlæg!A18</f>
        <v>Bioaffald</v>
      </c>
      <c r="D90">
        <f t="shared" si="6"/>
        <v>2019</v>
      </c>
      <c r="E90">
        <f ca="1">IF(B90="Vestdanmark",VLOOKUP(C90,Biogasanlæg!$A$39:$E$55,MATCH(D90,Biogasanlæg!$A$38:$E$38,0),FALSE),VLOOKUP(C90,Biogasanlæg!$I$39:$M$55,MATCH(D90,Biogasanlæg!$I$38:$M$38,0),FALSE))</f>
        <v>393543.64426779439</v>
      </c>
    </row>
    <row r="91" spans="1:5" x14ac:dyDescent="0.25">
      <c r="A91" t="s">
        <v>109</v>
      </c>
      <c r="B91" t="s">
        <v>23</v>
      </c>
      <c r="C91" s="99" t="str">
        <f>Biogasanlæg!A19</f>
        <v>Industriaffald</v>
      </c>
      <c r="D91">
        <f t="shared" si="6"/>
        <v>2019</v>
      </c>
      <c r="E91">
        <f>IF(B91="Vestdanmark",VLOOKUP(C91,Biogasanlæg!$A$39:$E$55,MATCH(D91,Biogasanlæg!$A$38:$E$38,0),FALSE),VLOOKUP(C91,Biogasanlæg!$I$39:$M$55,MATCH(D91,Biogasanlæg!$I$38:$M$38,0),FALSE))</f>
        <v>716103.75203569303</v>
      </c>
    </row>
    <row r="92" spans="1:5" x14ac:dyDescent="0.25">
      <c r="A92" t="s">
        <v>109</v>
      </c>
      <c r="B92" t="s">
        <v>23</v>
      </c>
      <c r="C92" s="99" t="str">
        <f>Biogasanlæg!A16</f>
        <v>Dybstrøelse</v>
      </c>
      <c r="D92">
        <f t="shared" si="6"/>
        <v>2019</v>
      </c>
      <c r="E92">
        <f>IF(B92="Vestdanmark",VLOOKUP(C92,Biogasanlæg!$A$39:$E$55,MATCH(D92,Biogasanlæg!$A$38:$E$38,0),FALSE),VLOOKUP(C92,Biogasanlæg!$I$39:$M$55,MATCH(D92,Biogasanlæg!$I$38:$M$38,0),FALSE))</f>
        <v>671194.67155029252</v>
      </c>
    </row>
    <row r="93" spans="1:5" x14ac:dyDescent="0.25">
      <c r="A93" t="s">
        <v>109</v>
      </c>
      <c r="B93" t="s">
        <v>23</v>
      </c>
      <c r="C93" s="99" t="str">
        <f>Biogasanlæg!A17</f>
        <v>Brun saft</v>
      </c>
      <c r="D93">
        <f t="shared" si="6"/>
        <v>2019</v>
      </c>
      <c r="E93">
        <f>IF(B93="Vestdanmark",VLOOKUP(C93,Biogasanlæg!$A$39:$E$55,MATCH(D93,Biogasanlæg!$A$38:$E$38,0),FALSE),VLOOKUP(C93,Biogasanlæg!$I$39:$M$55,MATCH(D93,Biogasanlæg!$I$38:$M$38,0),FALSE))</f>
        <v>0</v>
      </c>
    </row>
    <row r="94" spans="1:5" x14ac:dyDescent="0.25">
      <c r="A94" t="s">
        <v>109</v>
      </c>
      <c r="B94" t="s">
        <v>23</v>
      </c>
      <c r="C94" s="99" t="str">
        <f>Biogasanlæg!A20</f>
        <v>Halm</v>
      </c>
      <c r="D94">
        <f t="shared" si="6"/>
        <v>2019</v>
      </c>
      <c r="E94" s="307">
        <f>IF(B94="Vestdanmark",VLOOKUP(C94,Biogasanlæg!$A$39:$E$55,MATCH(D94,Biogasanlæg!$A$38:$E$38,0),FALSE),VLOOKUP(C94,Biogasanlæg!$I$39:$M$55,MATCH(D94,Biogasanlæg!$I$38:$M$38,0),FALSE))</f>
        <v>53194.904606816119</v>
      </c>
    </row>
    <row r="95" spans="1:5" x14ac:dyDescent="0.25">
      <c r="A95" t="s">
        <v>109</v>
      </c>
      <c r="B95" t="s">
        <v>23</v>
      </c>
      <c r="C95" s="99" t="str">
        <f>Biogasanlæg!A21</f>
        <v>Korn</v>
      </c>
      <c r="D95">
        <f t="shared" si="6"/>
        <v>2019</v>
      </c>
      <c r="E95">
        <f>IF(B95="Vestdanmark",VLOOKUP(C95,Biogasanlæg!$A$39:$E$55,MATCH(D95,Biogasanlæg!$A$38:$E$38,0),FALSE),VLOOKUP(C95,Biogasanlæg!$I$39:$M$55,MATCH(D95,Biogasanlæg!$I$38:$M$38,0),FALSE))</f>
        <v>2843.3935258054057</v>
      </c>
    </row>
    <row r="96" spans="1:5" x14ac:dyDescent="0.25">
      <c r="A96" t="s">
        <v>109</v>
      </c>
      <c r="B96" t="s">
        <v>23</v>
      </c>
      <c r="C96" s="99" t="str">
        <f>Biogasanlæg!A22</f>
        <v>Græs</v>
      </c>
      <c r="D96">
        <f t="shared" si="6"/>
        <v>2019</v>
      </c>
      <c r="E96">
        <f>IF(B96="Vestdanmark",VLOOKUP(C96,Biogasanlæg!$A$39:$E$55,MATCH(D96,Biogasanlæg!$A$38:$E$38,0),FALSE),VLOOKUP(C96,Biogasanlæg!$I$39:$M$55,MATCH(D96,Biogasanlæg!$I$38:$M$38,0),FALSE))</f>
        <v>75399.16825098735</v>
      </c>
    </row>
    <row r="97" spans="1:5" x14ac:dyDescent="0.25">
      <c r="A97" t="s">
        <v>109</v>
      </c>
      <c r="B97" t="s">
        <v>23</v>
      </c>
      <c r="C97" s="99" t="str">
        <f>Biogasanlæg!A23</f>
        <v>Majs</v>
      </c>
      <c r="D97">
        <f t="shared" si="6"/>
        <v>2019</v>
      </c>
      <c r="E97">
        <f>IF(B97="Vestdanmark",VLOOKUP(C97,Biogasanlæg!$A$39:$E$55,MATCH(D97,Biogasanlæg!$A$38:$E$38,0),FALSE),VLOOKUP(C97,Biogasanlæg!$I$39:$M$55,MATCH(D97,Biogasanlæg!$I$38:$M$38,0),FALSE))</f>
        <v>314874.94627501385</v>
      </c>
    </row>
    <row r="98" spans="1:5" x14ac:dyDescent="0.25">
      <c r="A98" t="s">
        <v>109</v>
      </c>
      <c r="B98" t="s">
        <v>23</v>
      </c>
      <c r="C98" s="99" t="str">
        <f>Biogasanlæg!A24</f>
        <v>Roer</v>
      </c>
      <c r="D98">
        <f t="shared" si="6"/>
        <v>2019</v>
      </c>
      <c r="E98">
        <f>IF(B98="Vestdanmark",VLOOKUP(C98,Biogasanlæg!$A$39:$E$55,MATCH(D98,Biogasanlæg!$A$38:$E$38,0),FALSE),VLOOKUP(C98,Biogasanlæg!$I$39:$M$55,MATCH(D98,Biogasanlæg!$I$38:$M$38,0),FALSE))</f>
        <v>4141.9679702877811</v>
      </c>
    </row>
    <row r="99" spans="1:5" x14ac:dyDescent="0.25">
      <c r="A99" t="s">
        <v>109</v>
      </c>
      <c r="B99" t="s">
        <v>23</v>
      </c>
      <c r="C99" s="99" t="str">
        <f>Biogasanlæg!A25</f>
        <v>Have/parkaffald</v>
      </c>
      <c r="D99">
        <f t="shared" si="6"/>
        <v>2019</v>
      </c>
      <c r="E99">
        <f>IF(B99="Vestdanmark",VLOOKUP(C99,Biogasanlæg!$A$39:$E$55,MATCH(D99,Biogasanlæg!$A$38:$E$38,0),FALSE),VLOOKUP(C99,Biogasanlæg!$I$39:$M$55,MATCH(D99,Biogasanlæg!$I$38:$M$38,0),FALSE))</f>
        <v>42.099811904105366</v>
      </c>
    </row>
    <row r="100" spans="1:5" x14ac:dyDescent="0.25">
      <c r="A100" t="s">
        <v>109</v>
      </c>
      <c r="B100" t="s">
        <v>23</v>
      </c>
      <c r="C100" s="99" t="str">
        <f>Biogasanlæg!A26</f>
        <v>Glycerin</v>
      </c>
      <c r="D100">
        <f t="shared" si="6"/>
        <v>2019</v>
      </c>
      <c r="E100">
        <f>IF(B100="Vestdanmark",VLOOKUP(C100,Biogasanlæg!$A$39:$E$55,MATCH(D100,Biogasanlæg!$A$38:$E$38,0),FALSE),VLOOKUP(C100,Biogasanlæg!$I$39:$M$55,MATCH(D100,Biogasanlæg!$I$38:$M$38,0),FALSE))</f>
        <v>114193.60000000001</v>
      </c>
    </row>
    <row r="101" spans="1:5" x14ac:dyDescent="0.25">
      <c r="A101" t="s">
        <v>109</v>
      </c>
      <c r="B101" t="s">
        <v>23</v>
      </c>
      <c r="C101" s="99" t="str">
        <f>Biogasanlæg!A27</f>
        <v>Muslinger</v>
      </c>
      <c r="D101">
        <f t="shared" si="6"/>
        <v>2019</v>
      </c>
      <c r="E101">
        <f>IF(B101="Vestdanmark",VLOOKUP(C101,Biogasanlæg!$A$39:$E$55,MATCH(D101,Biogasanlæg!$A$38:$E$38,0),FALSE),VLOOKUP(C101,Biogasanlæg!$I$39:$M$55,MATCH(D101,Biogasanlæg!$I$38:$M$38,0),FALSE))</f>
        <v>0</v>
      </c>
    </row>
    <row r="102" spans="1:5" x14ac:dyDescent="0.25">
      <c r="A102" t="s">
        <v>109</v>
      </c>
      <c r="B102" t="s">
        <v>23</v>
      </c>
      <c r="C102" s="99" t="str">
        <f>Biogasanlæg!A28</f>
        <v>Tang</v>
      </c>
      <c r="D102">
        <f t="shared" si="6"/>
        <v>2019</v>
      </c>
      <c r="E102">
        <f>IF(B102="Vestdanmark",VLOOKUP(C102,Biogasanlæg!$A$39:$E$55,MATCH(D102,Biogasanlæg!$A$38:$E$38,0),FALSE),VLOOKUP(C102,Biogasanlæg!$I$39:$M$55,MATCH(D102,Biogasanlæg!$I$38:$M$38,0),FALSE))</f>
        <v>0</v>
      </c>
    </row>
    <row r="103" spans="1:5" x14ac:dyDescent="0.25">
      <c r="A103" t="s">
        <v>109</v>
      </c>
      <c r="B103" t="s">
        <v>23</v>
      </c>
      <c r="C103" s="99" t="str">
        <f>Biogasanlæg!A12</f>
        <v>Svinegylle</v>
      </c>
      <c r="D103">
        <f t="shared" ref="D103:D119" si="7">År2</f>
        <v>2030</v>
      </c>
      <c r="E103">
        <f>IF(B103="Vestdanmark",VLOOKUP(C103,Biogasanlæg!$A$39:$E$55,MATCH(D103,Biogasanlæg!$A$38:$E$38,0),FALSE),VLOOKUP(C103,Biogasanlæg!$I$39:$M$55,MATCH(D103,Biogasanlæg!$I$38:$M$38,0),FALSE))</f>
        <v>9587593.8998603616</v>
      </c>
    </row>
    <row r="104" spans="1:5" x14ac:dyDescent="0.25">
      <c r="A104" t="s">
        <v>109</v>
      </c>
      <c r="B104" t="s">
        <v>23</v>
      </c>
      <c r="C104" s="99" t="str">
        <f>Biogasanlæg!A13</f>
        <v>Kvæggylle</v>
      </c>
      <c r="D104">
        <f t="shared" si="7"/>
        <v>2030</v>
      </c>
      <c r="E104">
        <f>IF(B104="Vestdanmark",VLOOKUP(C104,Biogasanlæg!$A$39:$E$55,MATCH(D104,Biogasanlæg!$A$38:$E$38,0),FALSE),VLOOKUP(C104,Biogasanlæg!$I$39:$M$55,MATCH(D104,Biogasanlæg!$I$38:$M$38,0),FALSE))</f>
        <v>11840949.000738235</v>
      </c>
    </row>
    <row r="105" spans="1:5" x14ac:dyDescent="0.25">
      <c r="A105" t="s">
        <v>109</v>
      </c>
      <c r="B105" t="s">
        <v>23</v>
      </c>
      <c r="C105" s="99" t="str">
        <f>Biogasanlæg!A14</f>
        <v>Fjerkrægylle</v>
      </c>
      <c r="D105">
        <f t="shared" si="7"/>
        <v>2030</v>
      </c>
      <c r="E105">
        <f>IF(B105="Vestdanmark",VLOOKUP(C105,Biogasanlæg!$A$39:$E$55,MATCH(D105,Biogasanlæg!$A$38:$E$38,0),FALSE),VLOOKUP(C105,Biogasanlæg!$I$39:$M$55,MATCH(D105,Biogasanlæg!$I$38:$M$38,0),FALSE))</f>
        <v>5005.6356813272896</v>
      </c>
    </row>
    <row r="106" spans="1:5" x14ac:dyDescent="0.25">
      <c r="A106" t="s">
        <v>109</v>
      </c>
      <c r="B106" t="s">
        <v>23</v>
      </c>
      <c r="C106" s="99" t="str">
        <f>Biogasanlæg!A15</f>
        <v>Spildevandsslam</v>
      </c>
      <c r="D106">
        <f t="shared" si="7"/>
        <v>2030</v>
      </c>
      <c r="E106">
        <f>IF(B106="Vestdanmark",VLOOKUP(C106,Biogasanlæg!$A$39:$E$55,MATCH(D106,Biogasanlæg!$A$38:$E$38,0),FALSE),VLOOKUP(C106,Biogasanlæg!$I$39:$M$55,MATCH(D106,Biogasanlæg!$I$38:$M$38,0),FALSE))</f>
        <v>1516336.6800324824</v>
      </c>
    </row>
    <row r="107" spans="1:5" x14ac:dyDescent="0.25">
      <c r="A107" t="s">
        <v>109</v>
      </c>
      <c r="B107" t="s">
        <v>23</v>
      </c>
      <c r="C107" s="99" t="str">
        <f>Biogasanlæg!A18</f>
        <v>Bioaffald</v>
      </c>
      <c r="D107">
        <f t="shared" si="7"/>
        <v>2030</v>
      </c>
      <c r="E107">
        <f ca="1">IF(B107="Vestdanmark",VLOOKUP(C107,Biogasanlæg!$A$39:$E$55,MATCH(D107,Biogasanlæg!$A$38:$E$38,0),FALSE),VLOOKUP(C107,Biogasanlæg!$I$39:$M$55,MATCH(D107,Biogasanlæg!$I$38:$M$38,0),FALSE))</f>
        <v>195082.24112879002</v>
      </c>
    </row>
    <row r="108" spans="1:5" x14ac:dyDescent="0.25">
      <c r="A108" t="s">
        <v>109</v>
      </c>
      <c r="B108" t="s">
        <v>23</v>
      </c>
      <c r="C108" s="99" t="str">
        <f>Biogasanlæg!A19</f>
        <v>Industriaffald</v>
      </c>
      <c r="D108">
        <f t="shared" si="7"/>
        <v>2030</v>
      </c>
      <c r="E108">
        <f>IF(B108="Vestdanmark",VLOOKUP(C108,Biogasanlæg!$A$39:$E$55,MATCH(D108,Biogasanlæg!$A$38:$E$38,0),FALSE),VLOOKUP(C108,Biogasanlæg!$I$39:$M$55,MATCH(D108,Biogasanlæg!$I$38:$M$38,0),FALSE))</f>
        <v>534945.77839568327</v>
      </c>
    </row>
    <row r="109" spans="1:5" x14ac:dyDescent="0.25">
      <c r="A109" t="s">
        <v>109</v>
      </c>
      <c r="B109" t="s">
        <v>23</v>
      </c>
      <c r="C109" s="99" t="str">
        <f>Biogasanlæg!A16</f>
        <v>Dybstrøelse</v>
      </c>
      <c r="D109">
        <f t="shared" si="7"/>
        <v>2030</v>
      </c>
      <c r="E109">
        <f>IF(B109="Vestdanmark",VLOOKUP(C109,Biogasanlæg!$A$39:$E$55,MATCH(D109,Biogasanlæg!$A$38:$E$38,0),FALSE),VLOOKUP(C109,Biogasanlæg!$I$39:$M$55,MATCH(D109,Biogasanlæg!$I$38:$M$38,0),FALSE))</f>
        <v>1591755.4910753078</v>
      </c>
    </row>
    <row r="110" spans="1:5" x14ac:dyDescent="0.25">
      <c r="A110" t="s">
        <v>109</v>
      </c>
      <c r="B110" t="s">
        <v>23</v>
      </c>
      <c r="C110" s="99" t="str">
        <f>Biogasanlæg!A17</f>
        <v>Brun saft</v>
      </c>
      <c r="D110">
        <f t="shared" si="7"/>
        <v>2030</v>
      </c>
      <c r="E110">
        <f>IF(B110="Vestdanmark",VLOOKUP(C110,Biogasanlæg!$A$39:$E$55,MATCH(D110,Biogasanlæg!$A$38:$E$38,0),FALSE),VLOOKUP(C110,Biogasanlæg!$I$39:$M$55,MATCH(D110,Biogasanlæg!$I$38:$M$38,0),FALSE))</f>
        <v>0</v>
      </c>
    </row>
    <row r="111" spans="1:5" x14ac:dyDescent="0.25">
      <c r="A111" t="s">
        <v>109</v>
      </c>
      <c r="B111" t="s">
        <v>23</v>
      </c>
      <c r="C111" s="99" t="str">
        <f>Biogasanlæg!A20</f>
        <v>Halm</v>
      </c>
      <c r="D111">
        <f t="shared" si="7"/>
        <v>2030</v>
      </c>
      <c r="E111">
        <f>IF(B111="Vestdanmark",VLOOKUP(C111,Biogasanlæg!$A$39:$E$55,MATCH(D111,Biogasanlæg!$A$38:$E$38,0),FALSE),VLOOKUP(C111,Biogasanlæg!$I$39:$M$55,MATCH(D111,Biogasanlæg!$I$38:$M$38,0),FALSE))</f>
        <v>52104.863193195859</v>
      </c>
    </row>
    <row r="112" spans="1:5" x14ac:dyDescent="0.25">
      <c r="A112" t="s">
        <v>109</v>
      </c>
      <c r="B112" t="s">
        <v>23</v>
      </c>
      <c r="C112" s="99" t="str">
        <f>Biogasanlæg!A21</f>
        <v>Korn</v>
      </c>
      <c r="D112">
        <f t="shared" si="7"/>
        <v>2030</v>
      </c>
      <c r="E112">
        <f>IF(B112="Vestdanmark",VLOOKUP(C112,Biogasanlæg!$A$39:$E$55,MATCH(D112,Biogasanlæg!$A$38:$E$38,0),FALSE),VLOOKUP(C112,Biogasanlæg!$I$39:$M$55,MATCH(D112,Biogasanlæg!$I$38:$M$38,0),FALSE))</f>
        <v>2838.8656563257464</v>
      </c>
    </row>
    <row r="113" spans="1:5" x14ac:dyDescent="0.25">
      <c r="A113" t="s">
        <v>109</v>
      </c>
      <c r="B113" t="s">
        <v>23</v>
      </c>
      <c r="C113" s="99" t="str">
        <f>Biogasanlæg!A22</f>
        <v>Græs</v>
      </c>
      <c r="D113">
        <f t="shared" si="7"/>
        <v>2030</v>
      </c>
      <c r="E113">
        <f>IF(B113="Vestdanmark",VLOOKUP(C113,Biogasanlæg!$A$39:$E$55,MATCH(D113,Biogasanlæg!$A$38:$E$38,0),FALSE),VLOOKUP(C113,Biogasanlæg!$I$39:$M$55,MATCH(D113,Biogasanlæg!$I$38:$M$38,0),FALSE))</f>
        <v>75311.342010026739</v>
      </c>
    </row>
    <row r="114" spans="1:5" x14ac:dyDescent="0.25">
      <c r="A114" t="s">
        <v>109</v>
      </c>
      <c r="B114" t="s">
        <v>23</v>
      </c>
      <c r="C114" s="99" t="str">
        <f>Biogasanlæg!A23</f>
        <v>Majs</v>
      </c>
      <c r="D114">
        <f t="shared" si="7"/>
        <v>2030</v>
      </c>
      <c r="E114">
        <f>IF(B114="Vestdanmark",VLOOKUP(C114,Biogasanlæg!$A$39:$E$55,MATCH(D114,Biogasanlæg!$A$38:$E$38,0),FALSE),VLOOKUP(C114,Biogasanlæg!$I$39:$M$55,MATCH(D114,Biogasanlæg!$I$38:$M$38,0),FALSE))</f>
        <v>314782.00911940058</v>
      </c>
    </row>
    <row r="115" spans="1:5" x14ac:dyDescent="0.25">
      <c r="A115" t="s">
        <v>109</v>
      </c>
      <c r="B115" t="s">
        <v>23</v>
      </c>
      <c r="C115" s="99" t="str">
        <f>Biogasanlæg!A24</f>
        <v>Roer</v>
      </c>
      <c r="D115">
        <f t="shared" si="7"/>
        <v>2030</v>
      </c>
      <c r="E115">
        <f>IF(B115="Vestdanmark",VLOOKUP(C115,Biogasanlæg!$A$39:$E$55,MATCH(D115,Biogasanlæg!$A$38:$E$38,0),FALSE),VLOOKUP(C115,Biogasanlæg!$I$39:$M$55,MATCH(D115,Biogasanlæg!$I$38:$M$38,0),FALSE))</f>
        <v>4123.4286638275544</v>
      </c>
    </row>
    <row r="116" spans="1:5" x14ac:dyDescent="0.25">
      <c r="A116" t="s">
        <v>109</v>
      </c>
      <c r="B116" t="s">
        <v>23</v>
      </c>
      <c r="C116" s="99" t="str">
        <f>Biogasanlæg!A25</f>
        <v>Have/parkaffald</v>
      </c>
      <c r="D116">
        <f t="shared" si="7"/>
        <v>2030</v>
      </c>
      <c r="E116">
        <f>IF(B116="Vestdanmark",VLOOKUP(C116,Biogasanlæg!$A$39:$E$55,MATCH(D116,Biogasanlæg!$A$38:$E$38,0),FALSE),VLOOKUP(C116,Biogasanlæg!$I$39:$M$55,MATCH(D116,Biogasanlæg!$I$38:$M$38,0),FALSE))</f>
        <v>41.80391161429587</v>
      </c>
    </row>
    <row r="117" spans="1:5" x14ac:dyDescent="0.25">
      <c r="A117" t="s">
        <v>109</v>
      </c>
      <c r="B117" t="s">
        <v>23</v>
      </c>
      <c r="C117" s="99" t="str">
        <f>Biogasanlæg!A26</f>
        <v>Glycerin</v>
      </c>
      <c r="D117">
        <f t="shared" si="7"/>
        <v>2030</v>
      </c>
      <c r="E117">
        <f>IF(B117="Vestdanmark",VLOOKUP(C117,Biogasanlæg!$A$39:$E$55,MATCH(D117,Biogasanlæg!$A$38:$E$38,0),FALSE),VLOOKUP(C117,Biogasanlæg!$I$39:$M$55,MATCH(D117,Biogasanlæg!$I$38:$M$38,0),FALSE))</f>
        <v>114193.60000000001</v>
      </c>
    </row>
    <row r="118" spans="1:5" x14ac:dyDescent="0.25">
      <c r="A118" t="s">
        <v>109</v>
      </c>
      <c r="B118" t="s">
        <v>23</v>
      </c>
      <c r="C118" s="99" t="str">
        <f>Biogasanlæg!A27</f>
        <v>Muslinger</v>
      </c>
      <c r="D118">
        <f t="shared" si="7"/>
        <v>2030</v>
      </c>
      <c r="E118">
        <f>IF(B118="Vestdanmark",VLOOKUP(C118,Biogasanlæg!$A$39:$E$55,MATCH(D118,Biogasanlæg!$A$38:$E$38,0),FALSE),VLOOKUP(C118,Biogasanlæg!$I$39:$M$55,MATCH(D118,Biogasanlæg!$I$38:$M$38,0),FALSE))</f>
        <v>0</v>
      </c>
    </row>
    <row r="119" spans="1:5" x14ac:dyDescent="0.25">
      <c r="A119" t="s">
        <v>109</v>
      </c>
      <c r="B119" t="s">
        <v>23</v>
      </c>
      <c r="C119" s="99" t="str">
        <f>Biogasanlæg!A28</f>
        <v>Tang</v>
      </c>
      <c r="D119">
        <f t="shared" si="7"/>
        <v>2030</v>
      </c>
      <c r="E119">
        <f>IF(B119="Vestdanmark",VLOOKUP(C119,Biogasanlæg!$A$39:$E$55,MATCH(D119,Biogasanlæg!$A$38:$E$38,0),FALSE),VLOOKUP(C119,Biogasanlæg!$I$39:$M$55,MATCH(D119,Biogasanlæg!$I$38:$M$38,0),FALSE))</f>
        <v>0</v>
      </c>
    </row>
    <row r="120" spans="1:5" x14ac:dyDescent="0.25">
      <c r="A120" t="s">
        <v>109</v>
      </c>
      <c r="B120" t="s">
        <v>23</v>
      </c>
      <c r="C120" s="101" t="str">
        <f>Biogasanlæg!A12</f>
        <v>Svinegylle</v>
      </c>
      <c r="D120">
        <f t="shared" ref="D120:D136" si="8">År3</f>
        <v>2050</v>
      </c>
      <c r="E120">
        <f>IF(B120="Vestdanmark",VLOOKUP(C120,Biogasanlæg!$A$39:$E$55,MATCH(D120,Biogasanlæg!$A$38:$E$38,0),FALSE),VLOOKUP(C120,Biogasanlæg!$I$39:$M$55,MATCH(D120,Biogasanlæg!$I$38:$M$38,0),FALSE))</f>
        <v>9178937.5641805995</v>
      </c>
    </row>
    <row r="121" spans="1:5" x14ac:dyDescent="0.25">
      <c r="A121" t="s">
        <v>109</v>
      </c>
      <c r="B121" t="s">
        <v>23</v>
      </c>
      <c r="C121" s="101" t="str">
        <f>Biogasanlæg!A13</f>
        <v>Kvæggylle</v>
      </c>
      <c r="D121">
        <f t="shared" si="8"/>
        <v>2050</v>
      </c>
      <c r="E121">
        <f>IF(B121="Vestdanmark",VLOOKUP(C121,Biogasanlæg!$A$39:$E$55,MATCH(D121,Biogasanlæg!$A$38:$E$38,0),FALSE),VLOOKUP(C121,Biogasanlæg!$I$39:$M$55,MATCH(D121,Biogasanlæg!$I$38:$M$38,0),FALSE))</f>
        <v>11614690.73032544</v>
      </c>
    </row>
    <row r="122" spans="1:5" x14ac:dyDescent="0.25">
      <c r="A122" t="s">
        <v>109</v>
      </c>
      <c r="B122" t="s">
        <v>23</v>
      </c>
      <c r="C122" s="101" t="str">
        <f>Biogasanlæg!A14</f>
        <v>Fjerkrægylle</v>
      </c>
      <c r="D122">
        <f t="shared" si="8"/>
        <v>2050</v>
      </c>
      <c r="E122">
        <f>IF(B122="Vestdanmark",VLOOKUP(C122,Biogasanlæg!$A$39:$E$55,MATCH(D122,Biogasanlæg!$A$38:$E$38,0),FALSE),VLOOKUP(C122,Biogasanlæg!$I$39:$M$55,MATCH(D122,Biogasanlæg!$I$38:$M$38,0),FALSE))</f>
        <v>5169.3190334894534</v>
      </c>
    </row>
    <row r="123" spans="1:5" x14ac:dyDescent="0.25">
      <c r="A123" t="s">
        <v>109</v>
      </c>
      <c r="B123" t="s">
        <v>23</v>
      </c>
      <c r="C123" s="101" t="str">
        <f>Biogasanlæg!A15</f>
        <v>Spildevandsslam</v>
      </c>
      <c r="D123">
        <f t="shared" si="8"/>
        <v>2050</v>
      </c>
      <c r="E123">
        <f>IF(B123="Vestdanmark",VLOOKUP(C123,Biogasanlæg!$A$39:$E$55,MATCH(D123,Biogasanlæg!$A$38:$E$38,0),FALSE),VLOOKUP(C123,Biogasanlæg!$I$39:$M$55,MATCH(D123,Biogasanlæg!$I$38:$M$38,0),FALSE))</f>
        <v>1572264.2235564108</v>
      </c>
    </row>
    <row r="124" spans="1:5" x14ac:dyDescent="0.25">
      <c r="A124" t="s">
        <v>109</v>
      </c>
      <c r="B124" t="s">
        <v>23</v>
      </c>
      <c r="C124" s="101" t="str">
        <f>Biogasanlæg!A18</f>
        <v>Bioaffald</v>
      </c>
      <c r="D124">
        <f t="shared" si="8"/>
        <v>2050</v>
      </c>
      <c r="E124">
        <f ca="1">IF(B124="Vestdanmark",VLOOKUP(C124,Biogasanlæg!$A$39:$E$55,MATCH(D124,Biogasanlæg!$A$38:$E$38,0),FALSE),VLOOKUP(C124,Biogasanlæg!$I$39:$M$55,MATCH(D124,Biogasanlæg!$I$38:$M$38,0),FALSE))</f>
        <v>197484.23354298095</v>
      </c>
    </row>
    <row r="125" spans="1:5" x14ac:dyDescent="0.25">
      <c r="A125" t="s">
        <v>109</v>
      </c>
      <c r="B125" t="s">
        <v>23</v>
      </c>
      <c r="C125" s="101" t="str">
        <f>Biogasanlæg!A19</f>
        <v>Industriaffald</v>
      </c>
      <c r="D125">
        <f t="shared" si="8"/>
        <v>2050</v>
      </c>
      <c r="E125">
        <f>IF(B125="Vestdanmark",VLOOKUP(C125,Biogasanlæg!$A$39:$E$55,MATCH(D125,Biogasanlæg!$A$38:$E$38,0),FALSE),VLOOKUP(C125,Biogasanlæg!$I$39:$M$55,MATCH(D125,Biogasanlæg!$I$38:$M$38,0),FALSE))</f>
        <v>531600.61023474101</v>
      </c>
    </row>
    <row r="126" spans="1:5" x14ac:dyDescent="0.25">
      <c r="A126" t="s">
        <v>109</v>
      </c>
      <c r="B126" t="s">
        <v>23</v>
      </c>
      <c r="C126" s="101" t="str">
        <f>Biogasanlæg!A16</f>
        <v>Dybstrøelse</v>
      </c>
      <c r="D126">
        <f t="shared" si="8"/>
        <v>2050</v>
      </c>
      <c r="E126">
        <f>IF(B126="Vestdanmark",VLOOKUP(C126,Biogasanlæg!$A$39:$E$55,MATCH(D126,Biogasanlæg!$A$38:$E$38,0),FALSE),VLOOKUP(C126,Biogasanlæg!$I$39:$M$55,MATCH(D126,Biogasanlæg!$I$38:$M$38,0),FALSE))</f>
        <v>1666786.636613145</v>
      </c>
    </row>
    <row r="127" spans="1:5" x14ac:dyDescent="0.25">
      <c r="A127" t="s">
        <v>109</v>
      </c>
      <c r="B127" t="s">
        <v>23</v>
      </c>
      <c r="C127" s="101" t="str">
        <f>Biogasanlæg!A17</f>
        <v>Brun saft</v>
      </c>
      <c r="D127">
        <f t="shared" si="8"/>
        <v>2050</v>
      </c>
      <c r="E127">
        <f>IF(B127="Vestdanmark",VLOOKUP(C127,Biogasanlæg!$A$39:$E$55,MATCH(D127,Biogasanlæg!$A$38:$E$38,0),FALSE),VLOOKUP(C127,Biogasanlæg!$I$39:$M$55,MATCH(D127,Biogasanlæg!$I$38:$M$38,0),FALSE))</f>
        <v>0</v>
      </c>
    </row>
    <row r="128" spans="1:5" x14ac:dyDescent="0.25">
      <c r="A128" t="s">
        <v>109</v>
      </c>
      <c r="B128" t="s">
        <v>23</v>
      </c>
      <c r="C128" s="101" t="str">
        <f>Biogasanlæg!A20</f>
        <v>Halm</v>
      </c>
      <c r="D128">
        <f t="shared" si="8"/>
        <v>2050</v>
      </c>
      <c r="E128">
        <f>IF(B128="Vestdanmark",VLOOKUP(C128,Biogasanlæg!$A$39:$E$55,MATCH(D128,Biogasanlæg!$A$38:$E$38,0),FALSE),VLOOKUP(C128,Biogasanlæg!$I$39:$M$55,MATCH(D128,Biogasanlæg!$I$38:$M$38,0),FALSE))</f>
        <v>51791.286576119739</v>
      </c>
    </row>
    <row r="129" spans="1:5" x14ac:dyDescent="0.25">
      <c r="A129" t="s">
        <v>109</v>
      </c>
      <c r="B129" t="s">
        <v>23</v>
      </c>
      <c r="C129" s="101" t="str">
        <f>Biogasanlæg!A21</f>
        <v>Korn</v>
      </c>
      <c r="D129">
        <f t="shared" si="8"/>
        <v>2050</v>
      </c>
      <c r="E129">
        <f>IF(B129="Vestdanmark",VLOOKUP(C129,Biogasanlæg!$A$39:$E$55,MATCH(D129,Biogasanlæg!$A$38:$E$38,0),FALSE),VLOOKUP(C129,Biogasanlæg!$I$39:$M$55,MATCH(D129,Biogasanlæg!$I$38:$M$38,0),FALSE))</f>
        <v>2832.9524091506291</v>
      </c>
    </row>
    <row r="130" spans="1:5" x14ac:dyDescent="0.25">
      <c r="A130" t="s">
        <v>109</v>
      </c>
      <c r="B130" t="s">
        <v>23</v>
      </c>
      <c r="C130" s="101" t="str">
        <f>Biogasanlæg!A22</f>
        <v>Græs</v>
      </c>
      <c r="D130">
        <f t="shared" si="8"/>
        <v>2050</v>
      </c>
      <c r="E130">
        <f>IF(B130="Vestdanmark",VLOOKUP(C130,Biogasanlæg!$A$39:$E$55,MATCH(D130,Biogasanlæg!$A$38:$E$38,0),FALSE),VLOOKUP(C130,Biogasanlæg!$I$39:$M$55,MATCH(D130,Biogasanlæg!$I$38:$M$38,0),FALSE))</f>
        <v>75243.769743329321</v>
      </c>
    </row>
    <row r="131" spans="1:5" x14ac:dyDescent="0.25">
      <c r="A131" t="s">
        <v>109</v>
      </c>
      <c r="B131" t="s">
        <v>23</v>
      </c>
      <c r="C131" s="101" t="str">
        <f>Biogasanlæg!A23</f>
        <v>Majs</v>
      </c>
      <c r="D131">
        <f t="shared" si="8"/>
        <v>2050</v>
      </c>
      <c r="E131">
        <f>IF(B131="Vestdanmark",VLOOKUP(C131,Biogasanlæg!$A$39:$E$55,MATCH(D131,Biogasanlæg!$A$38:$E$38,0),FALSE),VLOOKUP(C131,Biogasanlæg!$I$39:$M$55,MATCH(D131,Biogasanlæg!$I$38:$M$38,0),FALSE))</f>
        <v>314661.48085110582</v>
      </c>
    </row>
    <row r="132" spans="1:5" x14ac:dyDescent="0.25">
      <c r="A132" t="s">
        <v>109</v>
      </c>
      <c r="B132" t="s">
        <v>23</v>
      </c>
      <c r="C132" s="101" t="str">
        <f>Biogasanlæg!A24</f>
        <v>Roer</v>
      </c>
      <c r="D132">
        <f t="shared" si="8"/>
        <v>2050</v>
      </c>
      <c r="E132">
        <f>IF(B132="Vestdanmark",VLOOKUP(C132,Biogasanlæg!$A$39:$E$55,MATCH(D132,Biogasanlæg!$A$38:$E$38,0),FALSE),VLOOKUP(C132,Biogasanlæg!$I$39:$M$55,MATCH(D132,Biogasanlæg!$I$38:$M$38,0),FALSE))</f>
        <v>4092.8191064506923</v>
      </c>
    </row>
    <row r="133" spans="1:5" x14ac:dyDescent="0.25">
      <c r="A133" t="s">
        <v>109</v>
      </c>
      <c r="B133" t="s">
        <v>23</v>
      </c>
      <c r="C133" s="101" t="str">
        <f>Biogasanlæg!A25</f>
        <v>Have/parkaffald</v>
      </c>
      <c r="D133">
        <f t="shared" si="8"/>
        <v>2050</v>
      </c>
      <c r="E133">
        <f>IF(B133="Vestdanmark",VLOOKUP(C133,Biogasanlæg!$A$39:$E$55,MATCH(D133,Biogasanlæg!$A$38:$E$38,0),FALSE),VLOOKUP(C133,Biogasanlæg!$I$39:$M$55,MATCH(D133,Biogasanlæg!$I$38:$M$38,0),FALSE))</f>
        <v>41.656918132692169</v>
      </c>
    </row>
    <row r="134" spans="1:5" x14ac:dyDescent="0.25">
      <c r="A134" t="s">
        <v>109</v>
      </c>
      <c r="B134" t="s">
        <v>23</v>
      </c>
      <c r="C134" s="101" t="str">
        <f>Biogasanlæg!A26</f>
        <v>Glycerin</v>
      </c>
      <c r="D134">
        <f t="shared" si="8"/>
        <v>2050</v>
      </c>
      <c r="E134">
        <f>IF(B134="Vestdanmark",VLOOKUP(C134,Biogasanlæg!$A$39:$E$55,MATCH(D134,Biogasanlæg!$A$38:$E$38,0),FALSE),VLOOKUP(C134,Biogasanlæg!$I$39:$M$55,MATCH(D134,Biogasanlæg!$I$38:$M$38,0),FALSE))</f>
        <v>114193.60000000001</v>
      </c>
    </row>
    <row r="135" spans="1:5" x14ac:dyDescent="0.25">
      <c r="A135" t="s">
        <v>109</v>
      </c>
      <c r="B135" t="s">
        <v>23</v>
      </c>
      <c r="C135" s="101" t="str">
        <f>Biogasanlæg!A27</f>
        <v>Muslinger</v>
      </c>
      <c r="D135">
        <f t="shared" si="8"/>
        <v>2050</v>
      </c>
      <c r="E135">
        <f>IF(B135="Vestdanmark",VLOOKUP(C135,Biogasanlæg!$A$39:$E$55,MATCH(D135,Biogasanlæg!$A$38:$E$38,0),FALSE),VLOOKUP(C135,Biogasanlæg!$I$39:$M$55,MATCH(D135,Biogasanlæg!$I$38:$M$38,0),FALSE))</f>
        <v>0</v>
      </c>
    </row>
    <row r="136" spans="1:5" x14ac:dyDescent="0.25">
      <c r="A136" t="s">
        <v>109</v>
      </c>
      <c r="B136" t="s">
        <v>23</v>
      </c>
      <c r="C136" s="101" t="str">
        <f>Biogasanlæg!A28</f>
        <v>Tang</v>
      </c>
      <c r="D136">
        <f t="shared" si="8"/>
        <v>2050</v>
      </c>
      <c r="E136">
        <f>IF(B136="Vestdanmark",VLOOKUP(C136,Biogasanlæg!$A$39:$E$55,MATCH(D136,Biogasanlæg!$A$38:$E$38,0),FALSE),VLOOKUP(C136,Biogasanlæg!$I$39:$M$55,MATCH(D136,Biogasanlæg!$I$38:$M$38,0),FALSE))</f>
        <v>0</v>
      </c>
    </row>
    <row r="137" spans="1:5" x14ac:dyDescent="0.25">
      <c r="A137" t="s">
        <v>109</v>
      </c>
      <c r="B137" t="s">
        <v>24</v>
      </c>
      <c r="C137" s="101" t="str">
        <f>Biogasanlæg!A12</f>
        <v>Svinegylle</v>
      </c>
      <c r="D137">
        <f t="shared" ref="D137:D153" si="9">År1</f>
        <v>2019</v>
      </c>
      <c r="E137">
        <f>IF(B137="Vestdanmark",VLOOKUP(C137,Biogasanlæg!$A$39:$E$55,MATCH(D137,Biogasanlæg!$A$38:$E$38,0),FALSE),VLOOKUP(C137,Biogasanlæg!$I$39:$M$55,MATCH(D137,Biogasanlæg!$I$38:$M$38,0),FALSE))</f>
        <v>380427.26035611134</v>
      </c>
    </row>
    <row r="138" spans="1:5" x14ac:dyDescent="0.25">
      <c r="A138" t="s">
        <v>109</v>
      </c>
      <c r="B138" t="s">
        <v>24</v>
      </c>
      <c r="C138" s="101" t="str">
        <f>Biogasanlæg!A13</f>
        <v>Kvæggylle</v>
      </c>
      <c r="D138">
        <f t="shared" si="9"/>
        <v>2019</v>
      </c>
      <c r="E138">
        <f>IF(B138="Vestdanmark",VLOOKUP(C138,Biogasanlæg!$A$39:$E$55,MATCH(D138,Biogasanlæg!$A$38:$E$38,0),FALSE),VLOOKUP(C138,Biogasanlæg!$I$39:$M$55,MATCH(D138,Biogasanlæg!$I$38:$M$38,0),FALSE))</f>
        <v>286645.05985025823</v>
      </c>
    </row>
    <row r="139" spans="1:5" x14ac:dyDescent="0.25">
      <c r="A139" t="s">
        <v>109</v>
      </c>
      <c r="B139" t="s">
        <v>24</v>
      </c>
      <c r="C139" s="101" t="str">
        <f>Biogasanlæg!A14</f>
        <v>Fjerkrægylle</v>
      </c>
      <c r="D139">
        <f t="shared" si="9"/>
        <v>2019</v>
      </c>
      <c r="E139">
        <f>IF(B139="Vestdanmark",VLOOKUP(C139,Biogasanlæg!$A$39:$E$55,MATCH(D139,Biogasanlæg!$A$38:$E$38,0),FALSE),VLOOKUP(C139,Biogasanlæg!$I$39:$M$55,MATCH(D139,Biogasanlæg!$I$38:$M$38,0),FALSE))</f>
        <v>337.693821952441</v>
      </c>
    </row>
    <row r="140" spans="1:5" x14ac:dyDescent="0.25">
      <c r="A140" t="s">
        <v>109</v>
      </c>
      <c r="B140" t="s">
        <v>24</v>
      </c>
      <c r="C140" s="101" t="str">
        <f>Biogasanlæg!A15</f>
        <v>Spildevandsslam</v>
      </c>
      <c r="D140">
        <f t="shared" si="9"/>
        <v>2019</v>
      </c>
      <c r="E140">
        <f>IF(B140="Vestdanmark",VLOOKUP(C140,Biogasanlæg!$A$39:$E$55,MATCH(D140,Biogasanlæg!$A$38:$E$38,0),FALSE),VLOOKUP(C140,Biogasanlæg!$I$39:$M$55,MATCH(D140,Biogasanlæg!$I$38:$M$38,0),FALSE))</f>
        <v>1208651.4125341829</v>
      </c>
    </row>
    <row r="141" spans="1:5" x14ac:dyDescent="0.25">
      <c r="A141" t="s">
        <v>109</v>
      </c>
      <c r="B141" t="s">
        <v>24</v>
      </c>
      <c r="C141" s="101" t="str">
        <f>Biogasanlæg!A18</f>
        <v>Bioaffald</v>
      </c>
      <c r="D141">
        <f t="shared" si="9"/>
        <v>2019</v>
      </c>
      <c r="E141">
        <f ca="1">IF(B141="Vestdanmark",VLOOKUP(C141,Biogasanlæg!$A$39:$E$55,MATCH(D141,Biogasanlæg!$A$38:$E$38,0),FALSE),VLOOKUP(C141,Biogasanlæg!$I$39:$M$55,MATCH(D141,Biogasanlæg!$I$38:$M$38,0),FALSE))</f>
        <v>335590.35573220561</v>
      </c>
    </row>
    <row r="142" spans="1:5" x14ac:dyDescent="0.25">
      <c r="A142" t="s">
        <v>109</v>
      </c>
      <c r="B142" t="s">
        <v>24</v>
      </c>
      <c r="C142" s="101" t="str">
        <f>Biogasanlæg!A19</f>
        <v>Industriaffald</v>
      </c>
      <c r="D142">
        <f t="shared" si="9"/>
        <v>2019</v>
      </c>
      <c r="E142">
        <f>IF(B142="Vestdanmark",VLOOKUP(C142,Biogasanlæg!$A$39:$E$55,MATCH(D142,Biogasanlæg!$A$38:$E$38,0),FALSE),VLOOKUP(C142,Biogasanlæg!$I$39:$M$55,MATCH(D142,Biogasanlæg!$I$38:$M$38,0),FALSE))</f>
        <v>279550.24796430691</v>
      </c>
    </row>
    <row r="143" spans="1:5" x14ac:dyDescent="0.25">
      <c r="A143" t="s">
        <v>109</v>
      </c>
      <c r="B143" t="s">
        <v>24</v>
      </c>
      <c r="C143" s="101" t="str">
        <f>Biogasanlæg!A16</f>
        <v>Dybstrøelse</v>
      </c>
      <c r="D143">
        <f t="shared" si="9"/>
        <v>2019</v>
      </c>
      <c r="E143">
        <f>IF(B143="Vestdanmark",VLOOKUP(C143,Biogasanlæg!$A$39:$E$55,MATCH(D143,Biogasanlæg!$A$38:$E$38,0),FALSE),VLOOKUP(C143,Biogasanlæg!$I$39:$M$55,MATCH(D143,Biogasanlæg!$I$38:$M$38,0),FALSE))</f>
        <v>85892.328449707566</v>
      </c>
    </row>
    <row r="144" spans="1:5" x14ac:dyDescent="0.25">
      <c r="A144" t="s">
        <v>109</v>
      </c>
      <c r="B144" t="s">
        <v>24</v>
      </c>
      <c r="C144" s="101" t="str">
        <f>Biogasanlæg!A17</f>
        <v>Brun saft</v>
      </c>
      <c r="D144">
        <f t="shared" si="9"/>
        <v>2019</v>
      </c>
      <c r="E144">
        <f>IF(B144="Vestdanmark",VLOOKUP(C144,Biogasanlæg!$A$39:$E$55,MATCH(D144,Biogasanlæg!$A$38:$E$38,0),FALSE),VLOOKUP(C144,Biogasanlæg!$I$39:$M$55,MATCH(D144,Biogasanlæg!$I$38:$M$38,0),FALSE))</f>
        <v>0</v>
      </c>
    </row>
    <row r="145" spans="1:5" x14ac:dyDescent="0.25">
      <c r="A145" t="s">
        <v>109</v>
      </c>
      <c r="B145" t="s">
        <v>24</v>
      </c>
      <c r="C145" s="101" t="str">
        <f>Biogasanlæg!A20</f>
        <v>Halm</v>
      </c>
      <c r="D145">
        <f t="shared" si="9"/>
        <v>2019</v>
      </c>
      <c r="E145">
        <f>IF(B145="Vestdanmark",VLOOKUP(C145,Biogasanlæg!$A$39:$E$55,MATCH(D145,Biogasanlæg!$A$38:$E$38,0),FALSE),VLOOKUP(C145,Biogasanlæg!$I$39:$M$55,MATCH(D145,Biogasanlæg!$I$38:$M$38,0),FALSE))</f>
        <v>22739.095393183845</v>
      </c>
    </row>
    <row r="146" spans="1:5" x14ac:dyDescent="0.25">
      <c r="A146" t="s">
        <v>109</v>
      </c>
      <c r="B146" t="s">
        <v>24</v>
      </c>
      <c r="C146" s="101" t="str">
        <f>Biogasanlæg!A21</f>
        <v>Korn</v>
      </c>
      <c r="D146">
        <f t="shared" si="9"/>
        <v>2019</v>
      </c>
      <c r="E146">
        <f>IF(B146="Vestdanmark",VLOOKUP(C146,Biogasanlæg!$A$39:$E$55,MATCH(D146,Biogasanlæg!$A$38:$E$38,0),FALSE),VLOOKUP(C146,Biogasanlæg!$I$39:$M$55,MATCH(D146,Biogasanlæg!$I$38:$M$38,0),FALSE))</f>
        <v>942.6064741945944</v>
      </c>
    </row>
    <row r="147" spans="1:5" x14ac:dyDescent="0.25">
      <c r="A147" t="s">
        <v>109</v>
      </c>
      <c r="B147" t="s">
        <v>24</v>
      </c>
      <c r="C147" s="101" t="str">
        <f>Biogasanlæg!A22</f>
        <v>Græs</v>
      </c>
      <c r="D147">
        <f t="shared" si="9"/>
        <v>2019</v>
      </c>
      <c r="E147">
        <f>IF(B147="Vestdanmark",VLOOKUP(C147,Biogasanlæg!$A$39:$E$55,MATCH(D147,Biogasanlæg!$A$38:$E$38,0),FALSE),VLOOKUP(C147,Biogasanlæg!$I$39:$M$55,MATCH(D147,Biogasanlæg!$I$38:$M$38,0),FALSE))</f>
        <v>10277.831749012612</v>
      </c>
    </row>
    <row r="148" spans="1:5" x14ac:dyDescent="0.25">
      <c r="A148" t="s">
        <v>109</v>
      </c>
      <c r="B148" t="s">
        <v>24</v>
      </c>
      <c r="C148" s="101" t="str">
        <f>Biogasanlæg!A23</f>
        <v>Majs</v>
      </c>
      <c r="D148">
        <f t="shared" si="9"/>
        <v>2019</v>
      </c>
      <c r="E148">
        <f>IF(B148="Vestdanmark",VLOOKUP(C148,Biogasanlæg!$A$39:$E$55,MATCH(D148,Biogasanlæg!$A$38:$E$38,0),FALSE),VLOOKUP(C148,Biogasanlæg!$I$39:$M$55,MATCH(D148,Biogasanlæg!$I$38:$M$38,0),FALSE))</f>
        <v>15151.053724986185</v>
      </c>
    </row>
    <row r="149" spans="1:5" x14ac:dyDescent="0.25">
      <c r="A149" t="s">
        <v>109</v>
      </c>
      <c r="B149" t="s">
        <v>24</v>
      </c>
      <c r="C149" s="101" t="str">
        <f>Biogasanlæg!A24</f>
        <v>Roer</v>
      </c>
      <c r="D149">
        <f t="shared" si="9"/>
        <v>2019</v>
      </c>
      <c r="E149">
        <f>IF(B149="Vestdanmark",VLOOKUP(C149,Biogasanlæg!$A$39:$E$55,MATCH(D149,Biogasanlæg!$A$38:$E$38,0),FALSE),VLOOKUP(C149,Biogasanlæg!$I$39:$M$55,MATCH(D149,Biogasanlæg!$I$38:$M$38,0),FALSE))</f>
        <v>24503.032029712213</v>
      </c>
    </row>
    <row r="150" spans="1:5" x14ac:dyDescent="0.25">
      <c r="A150" t="s">
        <v>109</v>
      </c>
      <c r="B150" t="s">
        <v>24</v>
      </c>
      <c r="C150" s="101" t="str">
        <f>Biogasanlæg!A25</f>
        <v>Have/parkaffald</v>
      </c>
      <c r="D150">
        <f t="shared" si="9"/>
        <v>2019</v>
      </c>
      <c r="E150">
        <f>IF(B150="Vestdanmark",VLOOKUP(C150,Biogasanlæg!$A$39:$E$55,MATCH(D150,Biogasanlæg!$A$38:$E$38,0),FALSE),VLOOKUP(C150,Biogasanlæg!$I$39:$M$55,MATCH(D150,Biogasanlæg!$I$38:$M$38,0),FALSE))</f>
        <v>35.900188095894634</v>
      </c>
    </row>
    <row r="151" spans="1:5" x14ac:dyDescent="0.25">
      <c r="A151" t="s">
        <v>109</v>
      </c>
      <c r="B151" t="s">
        <v>24</v>
      </c>
      <c r="C151" s="101" t="str">
        <f>Biogasanlæg!A26</f>
        <v>Glycerin</v>
      </c>
      <c r="D151">
        <f t="shared" si="9"/>
        <v>2019</v>
      </c>
      <c r="E151">
        <f>IF(B151="Vestdanmark",VLOOKUP(C151,Biogasanlæg!$A$39:$E$55,MATCH(D151,Biogasanlæg!$A$38:$E$38,0),FALSE),VLOOKUP(C151,Biogasanlæg!$I$39:$M$55,MATCH(D151,Biogasanlæg!$I$38:$M$38,0),FALSE))</f>
        <v>28548.400000000001</v>
      </c>
    </row>
    <row r="152" spans="1:5" x14ac:dyDescent="0.25">
      <c r="A152" t="s">
        <v>109</v>
      </c>
      <c r="B152" t="s">
        <v>24</v>
      </c>
      <c r="C152" s="101" t="str">
        <f>Biogasanlæg!A27</f>
        <v>Muslinger</v>
      </c>
      <c r="D152">
        <f t="shared" si="9"/>
        <v>2019</v>
      </c>
      <c r="E152">
        <f>IF(B152="Vestdanmark",VLOOKUP(C152,Biogasanlæg!$A$39:$E$55,MATCH(D152,Biogasanlæg!$A$38:$E$38,0),FALSE),VLOOKUP(C152,Biogasanlæg!$I$39:$M$55,MATCH(D152,Biogasanlæg!$I$38:$M$38,0),FALSE))</f>
        <v>0</v>
      </c>
    </row>
    <row r="153" spans="1:5" x14ac:dyDescent="0.25">
      <c r="A153" t="s">
        <v>109</v>
      </c>
      <c r="B153" t="s">
        <v>24</v>
      </c>
      <c r="C153" s="101" t="str">
        <f>Biogasanlæg!A28</f>
        <v>Tang</v>
      </c>
      <c r="D153">
        <f t="shared" si="9"/>
        <v>2019</v>
      </c>
      <c r="E153">
        <f>IF(B153="Vestdanmark",VLOOKUP(C153,Biogasanlæg!$A$39:$E$55,MATCH(D153,Biogasanlæg!$A$38:$E$38,0),FALSE),VLOOKUP(C153,Biogasanlæg!$I$39:$M$55,MATCH(D153,Biogasanlæg!$I$38:$M$38,0),FALSE))</f>
        <v>0</v>
      </c>
    </row>
    <row r="154" spans="1:5" x14ac:dyDescent="0.25">
      <c r="A154" t="s">
        <v>109</v>
      </c>
      <c r="B154" t="s">
        <v>24</v>
      </c>
      <c r="C154" s="101" t="str">
        <f>Biogasanlæg!A12</f>
        <v>Svinegylle</v>
      </c>
      <c r="D154">
        <f t="shared" ref="D154:D170" si="10">År2</f>
        <v>2030</v>
      </c>
      <c r="E154">
        <f>IF(B154="Vestdanmark",VLOOKUP(C154,Biogasanlæg!$A$39:$E$55,MATCH(D154,Biogasanlæg!$A$38:$E$38,0),FALSE),VLOOKUP(C154,Biogasanlæg!$I$39:$M$55,MATCH(D154,Biogasanlæg!$I$38:$M$38,0),FALSE))</f>
        <v>1389214.6969952502</v>
      </c>
    </row>
    <row r="155" spans="1:5" x14ac:dyDescent="0.25">
      <c r="A155" t="s">
        <v>109</v>
      </c>
      <c r="B155" t="s">
        <v>24</v>
      </c>
      <c r="C155" s="101" t="str">
        <f>Biogasanlæg!A13</f>
        <v>Kvæggylle</v>
      </c>
      <c r="D155">
        <f t="shared" si="10"/>
        <v>2030</v>
      </c>
      <c r="E155">
        <f>IF(B155="Vestdanmark",VLOOKUP(C155,Biogasanlæg!$A$39:$E$55,MATCH(D155,Biogasanlæg!$A$38:$E$38,0),FALSE),VLOOKUP(C155,Biogasanlæg!$I$39:$M$55,MATCH(D155,Biogasanlæg!$I$38:$M$38,0),FALSE))</f>
        <v>841583.7254715825</v>
      </c>
    </row>
    <row r="156" spans="1:5" x14ac:dyDescent="0.25">
      <c r="A156" t="s">
        <v>109</v>
      </c>
      <c r="B156" t="s">
        <v>24</v>
      </c>
      <c r="C156" s="101" t="str">
        <f>Biogasanlæg!A14</f>
        <v>Fjerkrægylle</v>
      </c>
      <c r="D156">
        <f t="shared" si="10"/>
        <v>2030</v>
      </c>
      <c r="E156">
        <f>IF(B156="Vestdanmark",VLOOKUP(C156,Biogasanlæg!$A$39:$E$55,MATCH(D156,Biogasanlæg!$A$38:$E$38,0),FALSE),VLOOKUP(C156,Biogasanlæg!$I$39:$M$55,MATCH(D156,Biogasanlæg!$I$38:$M$38,0),FALSE))</f>
        <v>420.12115509171275</v>
      </c>
    </row>
    <row r="157" spans="1:5" x14ac:dyDescent="0.25">
      <c r="A157" t="s">
        <v>109</v>
      </c>
      <c r="B157" t="s">
        <v>24</v>
      </c>
      <c r="C157" s="101" t="str">
        <f>Biogasanlæg!A15</f>
        <v>Spildevandsslam</v>
      </c>
      <c r="D157">
        <f t="shared" si="10"/>
        <v>2030</v>
      </c>
      <c r="E157">
        <f>IF(B157="Vestdanmark",VLOOKUP(C157,Biogasanlæg!$A$39:$E$55,MATCH(D157,Biogasanlæg!$A$38:$E$38,0),FALSE),VLOOKUP(C157,Biogasanlæg!$I$39:$M$55,MATCH(D157,Biogasanlæg!$I$38:$M$38,0),FALSE))</f>
        <v>1268885.054531686</v>
      </c>
    </row>
    <row r="158" spans="1:5" x14ac:dyDescent="0.25">
      <c r="A158" t="s">
        <v>109</v>
      </c>
      <c r="B158" t="s">
        <v>24</v>
      </c>
      <c r="C158" s="101" t="str">
        <f>Biogasanlæg!A18</f>
        <v>Bioaffald</v>
      </c>
      <c r="D158">
        <f t="shared" si="10"/>
        <v>2030</v>
      </c>
      <c r="E158">
        <f ca="1">IF(B158="Vestdanmark",VLOOKUP(C158,Biogasanlæg!$A$39:$E$55,MATCH(D158,Biogasanlæg!$A$38:$E$38,0),FALSE),VLOOKUP(C158,Biogasanlæg!$I$39:$M$55,MATCH(D158,Biogasanlæg!$I$38:$M$38,0),FALSE))</f>
        <v>168912.75887120995</v>
      </c>
    </row>
    <row r="159" spans="1:5" x14ac:dyDescent="0.25">
      <c r="A159" t="s">
        <v>109</v>
      </c>
      <c r="B159" t="s">
        <v>24</v>
      </c>
      <c r="C159" s="101" t="str">
        <f>Biogasanlæg!A19</f>
        <v>Industriaffald</v>
      </c>
      <c r="D159">
        <f t="shared" si="10"/>
        <v>2030</v>
      </c>
      <c r="E159">
        <f>IF(B159="Vestdanmark",VLOOKUP(C159,Biogasanlæg!$A$39:$E$55,MATCH(D159,Biogasanlæg!$A$38:$E$38,0),FALSE),VLOOKUP(C159,Biogasanlæg!$I$39:$M$55,MATCH(D159,Biogasanlæg!$I$38:$M$38,0),FALSE))</f>
        <v>191022.2216043165</v>
      </c>
    </row>
    <row r="160" spans="1:5" x14ac:dyDescent="0.25">
      <c r="A160" t="s">
        <v>109</v>
      </c>
      <c r="B160" t="s">
        <v>24</v>
      </c>
      <c r="C160" s="101" t="str">
        <f>Biogasanlæg!A16</f>
        <v>Dybstrøelse</v>
      </c>
      <c r="D160">
        <f t="shared" si="10"/>
        <v>2030</v>
      </c>
      <c r="E160">
        <f>IF(B160="Vestdanmark",VLOOKUP(C160,Biogasanlæg!$A$39:$E$55,MATCH(D160,Biogasanlæg!$A$38:$E$38,0),FALSE),VLOOKUP(C160,Biogasanlæg!$I$39:$M$55,MATCH(D160,Biogasanlæg!$I$38:$M$38,0),FALSE))</f>
        <v>214833.06575530887</v>
      </c>
    </row>
    <row r="161" spans="1:5" x14ac:dyDescent="0.25">
      <c r="A161" t="s">
        <v>109</v>
      </c>
      <c r="B161" t="s">
        <v>24</v>
      </c>
      <c r="C161" s="101" t="str">
        <f>Biogasanlæg!A17</f>
        <v>Brun saft</v>
      </c>
      <c r="D161">
        <f t="shared" si="10"/>
        <v>2030</v>
      </c>
      <c r="E161">
        <f>IF(B161="Vestdanmark",VLOOKUP(C161,Biogasanlæg!$A$39:$E$55,MATCH(D161,Biogasanlæg!$A$38:$E$38,0),FALSE),VLOOKUP(C161,Biogasanlæg!$I$39:$M$55,MATCH(D161,Biogasanlæg!$I$38:$M$38,0),FALSE))</f>
        <v>0</v>
      </c>
    </row>
    <row r="162" spans="1:5" x14ac:dyDescent="0.25">
      <c r="A162" t="s">
        <v>109</v>
      </c>
      <c r="B162" t="s">
        <v>24</v>
      </c>
      <c r="C162" s="101" t="str">
        <f>Biogasanlæg!A20</f>
        <v>Halm</v>
      </c>
      <c r="D162">
        <f t="shared" si="10"/>
        <v>2030</v>
      </c>
      <c r="E162">
        <f>IF(B162="Vestdanmark",VLOOKUP(C162,Biogasanlæg!$A$39:$E$55,MATCH(D162,Biogasanlæg!$A$38:$E$38,0),FALSE),VLOOKUP(C162,Biogasanlæg!$I$39:$M$55,MATCH(D162,Biogasanlæg!$I$38:$M$38,0),FALSE))</f>
        <v>23829.136806804134</v>
      </c>
    </row>
    <row r="163" spans="1:5" x14ac:dyDescent="0.25">
      <c r="A163" t="s">
        <v>109</v>
      </c>
      <c r="B163" t="s">
        <v>24</v>
      </c>
      <c r="C163" s="101" t="str">
        <f>Biogasanlæg!A21</f>
        <v>Korn</v>
      </c>
      <c r="D163">
        <f t="shared" si="10"/>
        <v>2030</v>
      </c>
      <c r="E163">
        <f>IF(B163="Vestdanmark",VLOOKUP(C163,Biogasanlæg!$A$39:$E$55,MATCH(D163,Biogasanlæg!$A$38:$E$38,0),FALSE),VLOOKUP(C163,Biogasanlæg!$I$39:$M$55,MATCH(D163,Biogasanlæg!$I$38:$M$38,0),FALSE))</f>
        <v>947.1343436742535</v>
      </c>
    </row>
    <row r="164" spans="1:5" x14ac:dyDescent="0.25">
      <c r="A164" t="s">
        <v>109</v>
      </c>
      <c r="B164" t="s">
        <v>24</v>
      </c>
      <c r="C164" s="101" t="str">
        <f>Biogasanlæg!A22</f>
        <v>Græs</v>
      </c>
      <c r="D164">
        <f t="shared" si="10"/>
        <v>2030</v>
      </c>
      <c r="E164">
        <f>IF(B164="Vestdanmark",VLOOKUP(C164,Biogasanlæg!$A$39:$E$55,MATCH(D164,Biogasanlæg!$A$38:$E$38,0),FALSE),VLOOKUP(C164,Biogasanlæg!$I$39:$M$55,MATCH(D164,Biogasanlæg!$I$38:$M$38,0),FALSE))</f>
        <v>10365.657989973257</v>
      </c>
    </row>
    <row r="165" spans="1:5" x14ac:dyDescent="0.25">
      <c r="A165" t="s">
        <v>109</v>
      </c>
      <c r="B165" t="s">
        <v>24</v>
      </c>
      <c r="C165" s="101" t="str">
        <f>Biogasanlæg!A23</f>
        <v>Majs</v>
      </c>
      <c r="D165">
        <f t="shared" si="10"/>
        <v>2030</v>
      </c>
      <c r="E165">
        <f>IF(B165="Vestdanmark",VLOOKUP(C165,Biogasanlæg!$A$39:$E$55,MATCH(D165,Biogasanlæg!$A$38:$E$38,0),FALSE),VLOOKUP(C165,Biogasanlæg!$I$39:$M$55,MATCH(D165,Biogasanlæg!$I$38:$M$38,0),FALSE))</f>
        <v>15243.990880599462</v>
      </c>
    </row>
    <row r="166" spans="1:5" x14ac:dyDescent="0.25">
      <c r="A166" t="s">
        <v>109</v>
      </c>
      <c r="B166" t="s">
        <v>24</v>
      </c>
      <c r="C166" s="101" t="str">
        <f>Biogasanlæg!A24</f>
        <v>Roer</v>
      </c>
      <c r="D166">
        <f t="shared" si="10"/>
        <v>2030</v>
      </c>
      <c r="E166">
        <f>IF(B166="Vestdanmark",VLOOKUP(C166,Biogasanlæg!$A$39:$E$55,MATCH(D166,Biogasanlæg!$A$38:$E$38,0),FALSE),VLOOKUP(C166,Biogasanlæg!$I$39:$M$55,MATCH(D166,Biogasanlæg!$I$38:$M$38,0),FALSE))</f>
        <v>24521.571336172448</v>
      </c>
    </row>
    <row r="167" spans="1:5" x14ac:dyDescent="0.25">
      <c r="A167" t="s">
        <v>109</v>
      </c>
      <c r="B167" t="s">
        <v>24</v>
      </c>
      <c r="C167" s="101" t="str">
        <f>Biogasanlæg!A25</f>
        <v>Have/parkaffald</v>
      </c>
      <c r="D167">
        <f t="shared" si="10"/>
        <v>2030</v>
      </c>
      <c r="E167">
        <f>IF(B167="Vestdanmark",VLOOKUP(C167,Biogasanlæg!$A$39:$E$55,MATCH(D167,Biogasanlæg!$A$38:$E$38,0),FALSE),VLOOKUP(C167,Biogasanlæg!$I$39:$M$55,MATCH(D167,Biogasanlæg!$I$38:$M$38,0),FALSE))</f>
        <v>36.19608838570413</v>
      </c>
    </row>
    <row r="168" spans="1:5" x14ac:dyDescent="0.25">
      <c r="A168" t="s">
        <v>109</v>
      </c>
      <c r="B168" t="s">
        <v>24</v>
      </c>
      <c r="C168" s="101" t="str">
        <f>Biogasanlæg!A26</f>
        <v>Glycerin</v>
      </c>
      <c r="D168">
        <f t="shared" si="10"/>
        <v>2030</v>
      </c>
      <c r="E168">
        <f>IF(B168="Vestdanmark",VLOOKUP(C168,Biogasanlæg!$A$39:$E$55,MATCH(D168,Biogasanlæg!$A$38:$E$38,0),FALSE),VLOOKUP(C168,Biogasanlæg!$I$39:$M$55,MATCH(D168,Biogasanlæg!$I$38:$M$38,0),FALSE))</f>
        <v>28548.400000000001</v>
      </c>
    </row>
    <row r="169" spans="1:5" x14ac:dyDescent="0.25">
      <c r="A169" t="s">
        <v>109</v>
      </c>
      <c r="B169" t="s">
        <v>24</v>
      </c>
      <c r="C169" s="101" t="str">
        <f>Biogasanlæg!A27</f>
        <v>Muslinger</v>
      </c>
      <c r="D169">
        <f t="shared" si="10"/>
        <v>2030</v>
      </c>
      <c r="E169">
        <f>IF(B169="Vestdanmark",VLOOKUP(C169,Biogasanlæg!$A$39:$E$55,MATCH(D169,Biogasanlæg!$A$38:$E$38,0),FALSE),VLOOKUP(C169,Biogasanlæg!$I$39:$M$55,MATCH(D169,Biogasanlæg!$I$38:$M$38,0),FALSE))</f>
        <v>0</v>
      </c>
    </row>
    <row r="170" spans="1:5" x14ac:dyDescent="0.25">
      <c r="A170" t="s">
        <v>109</v>
      </c>
      <c r="B170" t="s">
        <v>24</v>
      </c>
      <c r="C170" s="101" t="str">
        <f>Biogasanlæg!A28</f>
        <v>Tang</v>
      </c>
      <c r="D170">
        <f t="shared" si="10"/>
        <v>2030</v>
      </c>
      <c r="E170">
        <f>IF(B170="Vestdanmark",VLOOKUP(C170,Biogasanlæg!$A$39:$E$55,MATCH(D170,Biogasanlæg!$A$38:$E$38,0),FALSE),VLOOKUP(C170,Biogasanlæg!$I$39:$M$55,MATCH(D170,Biogasanlæg!$I$38:$M$38,0),FALSE))</f>
        <v>0</v>
      </c>
    </row>
    <row r="171" spans="1:5" x14ac:dyDescent="0.25">
      <c r="A171" t="s">
        <v>109</v>
      </c>
      <c r="B171" t="s">
        <v>24</v>
      </c>
      <c r="C171" s="101" t="str">
        <f>Biogasanlæg!A12</f>
        <v>Svinegylle</v>
      </c>
      <c r="D171">
        <f t="shared" ref="D171:D187" si="11">År3</f>
        <v>2050</v>
      </c>
      <c r="E171">
        <f>IF(B171="Vestdanmark",VLOOKUP(C171,Biogasanlæg!$A$39:$E$55,MATCH(D171,Biogasanlæg!$A$38:$E$38,0),FALSE),VLOOKUP(C171,Biogasanlæg!$I$39:$M$55,MATCH(D171,Biogasanlæg!$I$38:$M$38,0),FALSE))</f>
        <v>1330001.5728813037</v>
      </c>
    </row>
    <row r="172" spans="1:5" x14ac:dyDescent="0.25">
      <c r="A172" t="s">
        <v>109</v>
      </c>
      <c r="B172" t="s">
        <v>24</v>
      </c>
      <c r="C172" s="101" t="str">
        <f>Biogasanlæg!A13</f>
        <v>Kvæggylle</v>
      </c>
      <c r="D172">
        <f t="shared" si="11"/>
        <v>2050</v>
      </c>
      <c r="E172">
        <f>IF(B172="Vestdanmark",VLOOKUP(C172,Biogasanlæg!$A$39:$E$55,MATCH(D172,Biogasanlæg!$A$38:$E$38,0),FALSE),VLOOKUP(C172,Biogasanlæg!$I$39:$M$55,MATCH(D172,Biogasanlæg!$I$38:$M$38,0),FALSE))</f>
        <v>825502.64294003148</v>
      </c>
    </row>
    <row r="173" spans="1:5" x14ac:dyDescent="0.25">
      <c r="A173" t="s">
        <v>109</v>
      </c>
      <c r="B173" t="s">
        <v>24</v>
      </c>
      <c r="C173" s="101" t="str">
        <f>Biogasanlæg!A14</f>
        <v>Fjerkrægylle</v>
      </c>
      <c r="D173">
        <f t="shared" si="11"/>
        <v>2050</v>
      </c>
      <c r="E173">
        <f>IF(B173="Vestdanmark",VLOOKUP(C173,Biogasanlæg!$A$39:$E$55,MATCH(D173,Biogasanlæg!$A$38:$E$38,0),FALSE),VLOOKUP(C173,Biogasanlæg!$I$39:$M$55,MATCH(D173,Biogasanlæg!$I$38:$M$38,0),FALSE))</f>
        <v>433.85903842113186</v>
      </c>
    </row>
    <row r="174" spans="1:5" x14ac:dyDescent="0.25">
      <c r="A174" t="s">
        <v>109</v>
      </c>
      <c r="B174" t="s">
        <v>24</v>
      </c>
      <c r="C174" s="101" t="str">
        <f>Biogasanlæg!A15</f>
        <v>Spildevandsslam</v>
      </c>
      <c r="D174">
        <f t="shared" si="11"/>
        <v>2050</v>
      </c>
      <c r="E174">
        <f>IF(B174="Vestdanmark",VLOOKUP(C174,Biogasanlæg!$A$39:$E$55,MATCH(D174,Biogasanlæg!$A$38:$E$38,0),FALSE),VLOOKUP(C174,Biogasanlæg!$I$39:$M$55,MATCH(D174,Biogasanlæg!$I$38:$M$38,0),FALSE))</f>
        <v>1328121.9228895183</v>
      </c>
    </row>
    <row r="175" spans="1:5" x14ac:dyDescent="0.25">
      <c r="A175" t="s">
        <v>109</v>
      </c>
      <c r="B175" t="s">
        <v>24</v>
      </c>
      <c r="C175" s="101" t="str">
        <f>Biogasanlæg!A18</f>
        <v>Bioaffald</v>
      </c>
      <c r="D175">
        <f t="shared" si="11"/>
        <v>2050</v>
      </c>
      <c r="E175">
        <f ca="1">IF(B175="Vestdanmark",VLOOKUP(C175,Biogasanlæg!$A$39:$E$55,MATCH(D175,Biogasanlæg!$A$38:$E$38,0),FALSE),VLOOKUP(C175,Biogasanlæg!$I$39:$M$55,MATCH(D175,Biogasanlæg!$I$38:$M$38,0),FALSE))</f>
        <v>172292.76645701908</v>
      </c>
    </row>
    <row r="176" spans="1:5" x14ac:dyDescent="0.25">
      <c r="A176" t="s">
        <v>109</v>
      </c>
      <c r="B176" t="s">
        <v>24</v>
      </c>
      <c r="C176" s="101" t="str">
        <f>Biogasanlæg!A19</f>
        <v>Industriaffald</v>
      </c>
      <c r="D176">
        <f t="shared" si="11"/>
        <v>2050</v>
      </c>
      <c r="E176">
        <f>IF(B176="Vestdanmark",VLOOKUP(C176,Biogasanlæg!$A$39:$E$55,MATCH(D176,Biogasanlæg!$A$38:$E$38,0),FALSE),VLOOKUP(C176,Biogasanlæg!$I$39:$M$55,MATCH(D176,Biogasanlæg!$I$38:$M$38,0),FALSE))</f>
        <v>191431.38976525888</v>
      </c>
    </row>
    <row r="177" spans="1:18" x14ac:dyDescent="0.25">
      <c r="A177" t="s">
        <v>109</v>
      </c>
      <c r="B177" t="s">
        <v>24</v>
      </c>
      <c r="C177" s="101" t="str">
        <f>Biogasanlæg!A16</f>
        <v>Dybstrøelse</v>
      </c>
      <c r="D177">
        <f t="shared" si="11"/>
        <v>2050</v>
      </c>
      <c r="E177">
        <f>IF(B177="Vestdanmark",VLOOKUP(C177,Biogasanlæg!$A$39:$E$55,MATCH(D177,Biogasanlæg!$A$38:$E$38,0),FALSE),VLOOKUP(C177,Biogasanlæg!$I$39:$M$55,MATCH(D177,Biogasanlæg!$I$38:$M$38,0),FALSE))</f>
        <v>226234.86420959991</v>
      </c>
    </row>
    <row r="178" spans="1:18" x14ac:dyDescent="0.25">
      <c r="A178" t="s">
        <v>109</v>
      </c>
      <c r="B178" t="s">
        <v>24</v>
      </c>
      <c r="C178" s="101" t="str">
        <f>Biogasanlæg!A17</f>
        <v>Brun saft</v>
      </c>
      <c r="D178">
        <f t="shared" si="11"/>
        <v>2050</v>
      </c>
      <c r="E178">
        <f>IF(B178="Vestdanmark",VLOOKUP(C178,Biogasanlæg!$A$39:$E$55,MATCH(D178,Biogasanlæg!$A$38:$E$38,0),FALSE),VLOOKUP(C178,Biogasanlæg!$I$39:$M$55,MATCH(D178,Biogasanlæg!$I$38:$M$38,0),FALSE))</f>
        <v>0</v>
      </c>
    </row>
    <row r="179" spans="1:18" x14ac:dyDescent="0.25">
      <c r="A179" t="s">
        <v>109</v>
      </c>
      <c r="B179" t="s">
        <v>24</v>
      </c>
      <c r="C179" s="101" t="str">
        <f>Biogasanlæg!A20</f>
        <v>Halm</v>
      </c>
      <c r="D179">
        <f t="shared" si="11"/>
        <v>2050</v>
      </c>
      <c r="E179">
        <f>IF(B179="Vestdanmark",VLOOKUP(C179,Biogasanlæg!$A$39:$E$55,MATCH(D179,Biogasanlæg!$A$38:$E$38,0),FALSE),VLOOKUP(C179,Biogasanlæg!$I$39:$M$55,MATCH(D179,Biogasanlæg!$I$38:$M$38,0),FALSE))</f>
        <v>24142.713423880243</v>
      </c>
    </row>
    <row r="180" spans="1:18" x14ac:dyDescent="0.25">
      <c r="A180" t="s">
        <v>109</v>
      </c>
      <c r="B180" t="s">
        <v>24</v>
      </c>
      <c r="C180" s="101" t="str">
        <f>Biogasanlæg!A21</f>
        <v>Korn</v>
      </c>
      <c r="D180">
        <f t="shared" si="11"/>
        <v>2050</v>
      </c>
      <c r="E180">
        <f>IF(B180="Vestdanmark",VLOOKUP(C180,Biogasanlæg!$A$39:$E$55,MATCH(D180,Biogasanlæg!$A$38:$E$38,0),FALSE),VLOOKUP(C180,Biogasanlæg!$I$39:$M$55,MATCH(D180,Biogasanlæg!$I$38:$M$38,0),FALSE))</f>
        <v>953.04759084937086</v>
      </c>
    </row>
    <row r="181" spans="1:18" x14ac:dyDescent="0.25">
      <c r="A181" t="s">
        <v>109</v>
      </c>
      <c r="B181" t="s">
        <v>24</v>
      </c>
      <c r="C181" s="101" t="str">
        <f>Biogasanlæg!A22</f>
        <v>Græs</v>
      </c>
      <c r="D181">
        <f t="shared" si="11"/>
        <v>2050</v>
      </c>
      <c r="E181">
        <f>IF(B181="Vestdanmark",VLOOKUP(C181,Biogasanlæg!$A$39:$E$55,MATCH(D181,Biogasanlæg!$A$38:$E$38,0),FALSE),VLOOKUP(C181,Biogasanlæg!$I$39:$M$55,MATCH(D181,Biogasanlæg!$I$38:$M$38,0),FALSE))</f>
        <v>10433.230256670677</v>
      </c>
    </row>
    <row r="182" spans="1:18" x14ac:dyDescent="0.25">
      <c r="A182" t="s">
        <v>109</v>
      </c>
      <c r="B182" t="s">
        <v>24</v>
      </c>
      <c r="C182" s="101" t="str">
        <f>Biogasanlæg!A23</f>
        <v>Majs</v>
      </c>
      <c r="D182">
        <f t="shared" si="11"/>
        <v>2050</v>
      </c>
      <c r="E182">
        <f>IF(B182="Vestdanmark",VLOOKUP(C182,Biogasanlæg!$A$39:$E$55,MATCH(D182,Biogasanlæg!$A$38:$E$38,0),FALSE),VLOOKUP(C182,Biogasanlæg!$I$39:$M$55,MATCH(D182,Biogasanlæg!$I$38:$M$38,0),FALSE))</f>
        <v>15364.519148894226</v>
      </c>
    </row>
    <row r="183" spans="1:18" x14ac:dyDescent="0.25">
      <c r="A183" t="s">
        <v>109</v>
      </c>
      <c r="B183" t="s">
        <v>24</v>
      </c>
      <c r="C183" s="101" t="str">
        <f>Biogasanlæg!A24</f>
        <v>Roer</v>
      </c>
      <c r="D183">
        <f t="shared" si="11"/>
        <v>2050</v>
      </c>
      <c r="E183">
        <f>IF(B183="Vestdanmark",VLOOKUP(C183,Biogasanlæg!$A$39:$E$55,MATCH(D183,Biogasanlæg!$A$38:$E$38,0),FALSE),VLOOKUP(C183,Biogasanlæg!$I$39:$M$55,MATCH(D183,Biogasanlæg!$I$38:$M$38,0),FALSE))</f>
        <v>24552.18089354931</v>
      </c>
    </row>
    <row r="184" spans="1:18" x14ac:dyDescent="0.25">
      <c r="A184" t="s">
        <v>109</v>
      </c>
      <c r="B184" t="s">
        <v>24</v>
      </c>
      <c r="C184" s="101" t="str">
        <f>Biogasanlæg!A25</f>
        <v>Have/parkaffald</v>
      </c>
      <c r="D184">
        <f t="shared" si="11"/>
        <v>2050</v>
      </c>
      <c r="E184">
        <f>IF(B184="Vestdanmark",VLOOKUP(C184,Biogasanlæg!$A$39:$E$55,MATCH(D184,Biogasanlæg!$A$38:$E$38,0),FALSE),VLOOKUP(C184,Biogasanlæg!$I$39:$M$55,MATCH(D184,Biogasanlæg!$I$38:$M$38,0),FALSE))</f>
        <v>36.343081867307831</v>
      </c>
    </row>
    <row r="185" spans="1:18" x14ac:dyDescent="0.25">
      <c r="A185" t="s">
        <v>109</v>
      </c>
      <c r="B185" t="s">
        <v>24</v>
      </c>
      <c r="C185" s="101" t="str">
        <f>Biogasanlæg!A26</f>
        <v>Glycerin</v>
      </c>
      <c r="D185">
        <f t="shared" si="11"/>
        <v>2050</v>
      </c>
      <c r="E185">
        <f>IF(B185="Vestdanmark",VLOOKUP(C185,Biogasanlæg!$A$39:$E$55,MATCH(D185,Biogasanlæg!$A$38:$E$38,0),FALSE),VLOOKUP(C185,Biogasanlæg!$I$39:$M$55,MATCH(D185,Biogasanlæg!$I$38:$M$38,0),FALSE))</f>
        <v>28548.400000000001</v>
      </c>
    </row>
    <row r="186" spans="1:18" x14ac:dyDescent="0.25">
      <c r="A186" t="s">
        <v>109</v>
      </c>
      <c r="B186" t="s">
        <v>24</v>
      </c>
      <c r="C186" s="101" t="str">
        <f>Biogasanlæg!A27</f>
        <v>Muslinger</v>
      </c>
      <c r="D186">
        <f t="shared" si="11"/>
        <v>2050</v>
      </c>
      <c r="E186">
        <f>IF(B186="Vestdanmark",VLOOKUP(C186,Biogasanlæg!$A$39:$E$55,MATCH(D186,Biogasanlæg!$A$38:$E$38,0),FALSE),VLOOKUP(C186,Biogasanlæg!$I$39:$M$55,MATCH(D186,Biogasanlæg!$I$38:$M$38,0),FALSE))</f>
        <v>0</v>
      </c>
    </row>
    <row r="187" spans="1:18" x14ac:dyDescent="0.25">
      <c r="A187" t="s">
        <v>109</v>
      </c>
      <c r="B187" t="s">
        <v>24</v>
      </c>
      <c r="C187" s="101" t="str">
        <f>Biogasanlæg!A28</f>
        <v>Tang</v>
      </c>
      <c r="D187">
        <f t="shared" si="11"/>
        <v>2050</v>
      </c>
      <c r="E187">
        <f>IF(B187="Vestdanmark",VLOOKUP(C187,Biogasanlæg!$A$39:$E$55,MATCH(D187,Biogasanlæg!$A$38:$E$38,0),FALSE),VLOOKUP(C187,Biogasanlæg!$I$39:$M$55,MATCH(D187,Biogasanlæg!$I$38:$M$38,0),FALSE))</f>
        <v>0</v>
      </c>
    </row>
    <row r="188" spans="1:18" x14ac:dyDescent="0.25">
      <c r="A188" s="100" t="s">
        <v>112</v>
      </c>
      <c r="B188" t="s">
        <v>23</v>
      </c>
      <c r="C188" s="101" t="str">
        <f>Fodersammensætning!A3</f>
        <v>Korn</v>
      </c>
      <c r="D188">
        <f t="shared" ref="D188:D202" si="12">År1</f>
        <v>2019</v>
      </c>
      <c r="E188" s="148">
        <f>VLOOKUP($C188,Fodersammensætning!A$3:E$17,MATCH(D188,Fodersammensætning!$A$2:$E$2,0),FALSE)*(-SUMIFS(IF(D188=År1,IF(B188="Vestdanmark",'Resultater - Vestdanmark'!H$3:H$504,'Resultater - Østdanmark'!H$3:H$504),IF(D188=År2,IF(B188="Vestdanmark",'Resultater - Vestdanmark'!I$3:I$504,'Resultater - Østdanmark'!I$3:I$504),IF(B188="Vestdanmark",'Resultater - Vestdanmark'!J$3:J$504,'Resultater - Østdanmark'!J$3:J$504))),'Resultater - Vestdanmark'!$F$3:$F$504,"Foder",'Resultater - Vestdanmark'!$A$3:$A$504,"&lt;&gt;Foderproduktion"))/SUMIFS(IF(D188=År1,'[1]Processer - data'!H$3:H$486,IF(D188=År2,'[1]Processer - data'!I$3:I$486,'[1]Processer - data'!J$3:J$486)),'[1]Processer - data'!$A$3:$A$486,"Foderproduktion",'[1]Processer - data'!$D$3:$D$486,$C188)</f>
        <v>5879215.2019956242</v>
      </c>
      <c r="G188" s="314"/>
    </row>
    <row r="189" spans="1:18" x14ac:dyDescent="0.25">
      <c r="A189" s="100" t="s">
        <v>112</v>
      </c>
      <c r="B189" t="s">
        <v>23</v>
      </c>
      <c r="C189" s="101" t="str">
        <f>Fodersammensætning!A4</f>
        <v>Halm</v>
      </c>
      <c r="D189">
        <f t="shared" si="12"/>
        <v>2019</v>
      </c>
      <c r="E189" s="148">
        <f>VLOOKUP($C189,Fodersammensætning!A$3:E$17,MATCH(D189,Fodersammensætning!$A$2:$E$2,0),FALSE)*(-SUMIFS(IF(D189=År1,IF(B189="Vestdanmark",'Resultater - Vestdanmark'!H$3:H$504,'Resultater - Østdanmark'!H$3:H$504),IF(D189=År2,IF(B189="Vestdanmark",'Resultater - Vestdanmark'!I$3:I$504,'Resultater - Østdanmark'!I$3:I$504),IF(B189="Vestdanmark",'Resultater - Vestdanmark'!J$3:J$504,'Resultater - Østdanmark'!J$3:J$504))),'Resultater - Vestdanmark'!$F$3:$F$504,"Foder",'Resultater - Vestdanmark'!$A$3:$A$504,"&lt;&gt;Foderproduktion"))/SUMIFS(IF(D189=År1,'[1]Processer - data'!H$3:H$486,IF(D189=År2,'[1]Processer - data'!I$3:I$486,'[1]Processer - data'!J$3:J$486)),'[1]Processer - data'!$A$3:$A$486,"Foderproduktion",'[1]Processer - data'!$D$3:$D$486,$C189)</f>
        <v>773085.89354292618</v>
      </c>
      <c r="R189" s="98">
        <f>-SUMIFS('Resultater - Vestdanmark'!H$3:H$504,'Resultater - Vestdanmark'!$F$3:$F$504,"Foder",'Resultater - Vestdanmark'!$A$3:$A$504,"&lt;&gt;Foderproduktion")</f>
        <v>13228458157.530001</v>
      </c>
    </row>
    <row r="190" spans="1:18" x14ac:dyDescent="0.25">
      <c r="A190" s="100" t="s">
        <v>112</v>
      </c>
      <c r="B190" t="s">
        <v>23</v>
      </c>
      <c r="C190" s="101" t="str">
        <f>Fodersammensætning!A5</f>
        <v>Kartofler</v>
      </c>
      <c r="D190">
        <f t="shared" si="12"/>
        <v>2019</v>
      </c>
      <c r="E190" s="148">
        <f>VLOOKUP($C190,Fodersammensætning!A$3:E$17,MATCH(D190,Fodersammensætning!$A$2:$E$2,0),FALSE)*(-SUMIFS(IF(D190=År1,IF(B190="Vestdanmark",'Resultater - Vestdanmark'!H$3:H$504,'Resultater - Østdanmark'!H$3:H$504),IF(D190=År2,IF(B190="Vestdanmark",'Resultater - Vestdanmark'!I$3:I$504,'Resultater - Østdanmark'!I$3:I$504),IF(B190="Vestdanmark",'Resultater - Vestdanmark'!J$3:J$504,'Resultater - Østdanmark'!J$3:J$504))),'Resultater - Vestdanmark'!$F$3:$F$504,"Foder",'Resultater - Vestdanmark'!$A$3:$A$504,"&lt;&gt;Foderproduktion"))/SUMIFS(IF(D190=År1,'[1]Processer - data'!H$3:H$486,IF(D190=År2,'[1]Processer - data'!I$3:I$486,'[1]Processer - data'!J$3:J$486)),'[1]Processer - data'!$A$3:$A$486,"Foderproduktion",'[1]Processer - data'!$D$3:$D$486,$C190)</f>
        <v>0</v>
      </c>
    </row>
    <row r="191" spans="1:18" x14ac:dyDescent="0.25">
      <c r="A191" s="100" t="s">
        <v>112</v>
      </c>
      <c r="B191" t="s">
        <v>23</v>
      </c>
      <c r="C191" s="101" t="str">
        <f>Fodersammensætning!A6</f>
        <v>Bælgsæd</v>
      </c>
      <c r="D191">
        <f t="shared" si="12"/>
        <v>2019</v>
      </c>
      <c r="E191" s="148">
        <f>VLOOKUP($C191,Fodersammensætning!A$3:E$17,MATCH(D191,Fodersammensætning!$A$2:$E$2,0),FALSE)*(-SUMIFS(IF(D191=År1,IF(B191="Vestdanmark",'Resultater - Vestdanmark'!H$3:H$504,'Resultater - Østdanmark'!H$3:H$504),IF(D191=År2,IF(B191="Vestdanmark",'Resultater - Vestdanmark'!I$3:I$504,'Resultater - Østdanmark'!I$3:I$504),IF(B191="Vestdanmark",'Resultater - Vestdanmark'!J$3:J$504,'Resultater - Østdanmark'!J$3:J$504))),'Resultater - Vestdanmark'!$F$3:$F$504,"Foder",'Resultater - Vestdanmark'!$A$3:$A$504,"&lt;&gt;Foderproduktion"))/SUMIFS(IF(D191=År1,'[1]Processer - data'!H$3:H$486,IF(D191=År2,'[1]Processer - data'!I$3:I$486,'[1]Processer - data'!J$3:J$486)),'[1]Processer - data'!$A$3:$A$486,"Foderproduktion",'[1]Processer - data'!$D$3:$D$486,$C191)</f>
        <v>64498.47547519199</v>
      </c>
    </row>
    <row r="192" spans="1:18" x14ac:dyDescent="0.25">
      <c r="A192" s="100" t="s">
        <v>112</v>
      </c>
      <c r="B192" t="s">
        <v>23</v>
      </c>
      <c r="C192" s="101" t="str">
        <f>Fodersammensætning!A7</f>
        <v>Roer</v>
      </c>
      <c r="D192">
        <f t="shared" si="12"/>
        <v>2019</v>
      </c>
      <c r="E192" s="148">
        <f>VLOOKUP($C192,Fodersammensætning!A$3:E$17,MATCH(D192,Fodersammensætning!$A$2:$E$2,0),FALSE)*(-SUMIFS(IF(D192=År1,IF(B192="Vestdanmark",'Resultater - Vestdanmark'!H$3:H$504,'Resultater - Østdanmark'!H$3:H$504),IF(D192=År2,IF(B192="Vestdanmark",'Resultater - Vestdanmark'!I$3:I$504,'Resultater - Østdanmark'!I$3:I$504),IF(B192="Vestdanmark",'Resultater - Vestdanmark'!J$3:J$504,'Resultater - Østdanmark'!J$3:J$504))),'Resultater - Vestdanmark'!$F$3:$F$504,"Foder",'Resultater - Vestdanmark'!$A$3:$A$504,"&lt;&gt;Foderproduktion"))/SUMIFS(IF(D192=År1,'[1]Processer - data'!H$3:H$486,IF(D192=År2,'[1]Processer - data'!I$3:I$486,'[1]Processer - data'!J$3:J$486)),'[1]Processer - data'!$A$3:$A$486,"Foderproduktion",'[1]Processer - data'!$D$3:$D$486,$C192)</f>
        <v>841167.61765562883</v>
      </c>
    </row>
    <row r="193" spans="1:7" x14ac:dyDescent="0.25">
      <c r="A193" s="100" t="s">
        <v>112</v>
      </c>
      <c r="B193" t="s">
        <v>23</v>
      </c>
      <c r="C193" s="101" t="str">
        <f>Fodersammensætning!A8</f>
        <v>Majs</v>
      </c>
      <c r="D193">
        <f t="shared" si="12"/>
        <v>2019</v>
      </c>
      <c r="E193" s="148">
        <f>VLOOKUP($C193,Fodersammensætning!A$3:E$17,MATCH(D193,Fodersammensætning!$A$2:$E$2,0),FALSE)*(-SUMIFS(IF(D193=År1,IF(B193="Vestdanmark",'Resultater - Vestdanmark'!H$3:H$504,'Resultater - Østdanmark'!H$3:H$504),IF(D193=År2,IF(B193="Vestdanmark",'Resultater - Vestdanmark'!I$3:I$504,'Resultater - Østdanmark'!I$3:I$504),IF(B193="Vestdanmark",'Resultater - Vestdanmark'!J$3:J$504,'Resultater - Østdanmark'!J$3:J$504))),'Resultater - Vestdanmark'!$F$3:$F$504,"Foder",'Resultater - Vestdanmark'!$A$3:$A$504,"&lt;&gt;Foderproduktion"))/SUMIFS(IF(D193=År1,'[1]Processer - data'!H$3:H$486,IF(D193=År2,'[1]Processer - data'!I$3:I$486,'[1]Processer - data'!J$3:J$486)),'[1]Processer - data'!$A$3:$A$486,"Foderproduktion",'[1]Processer - data'!$D$3:$D$486,$C193)</f>
        <v>5657053.7864699634</v>
      </c>
    </row>
    <row r="194" spans="1:7" x14ac:dyDescent="0.25">
      <c r="A194" s="100" t="s">
        <v>112</v>
      </c>
      <c r="B194" t="s">
        <v>23</v>
      </c>
      <c r="C194" s="101" t="str">
        <f>Fodersammensætning!A9</f>
        <v>Rapskage</v>
      </c>
      <c r="D194">
        <f t="shared" si="12"/>
        <v>2019</v>
      </c>
      <c r="E194" s="148">
        <f>VLOOKUP($C194,Fodersammensætning!A$3:E$17,MATCH(D194,Fodersammensætning!$A$2:$E$2,0),FALSE)*(-SUMIFS(IF(D194=År1,IF(B194="Vestdanmark",'Resultater - Vestdanmark'!H$3:H$504,'Resultater - Østdanmark'!H$3:H$504),IF(D194=År2,IF(B194="Vestdanmark",'Resultater - Vestdanmark'!I$3:I$504,'Resultater - Østdanmark'!I$3:I$504),IF(B194="Vestdanmark",'Resultater - Vestdanmark'!J$3:J$504,'Resultater - Østdanmark'!J$3:J$504))),'Resultater - Vestdanmark'!$F$3:$F$504,"Foder",'Resultater - Vestdanmark'!$A$3:$A$504,"&lt;&gt;Foderproduktion"))/SUMIFS(IF(D194=År1,'[1]Processer - data'!H$3:H$486,IF(D194=År2,'[1]Processer - data'!I$3:I$486,'[1]Processer - data'!J$3:J$486)),'[1]Processer - data'!$A$3:$A$486,"Foderproduktion",'[1]Processer - data'!$D$3:$D$486,$C194)</f>
        <v>214099.10609126228</v>
      </c>
    </row>
    <row r="195" spans="1:7" x14ac:dyDescent="0.25">
      <c r="A195" s="100" t="s">
        <v>112</v>
      </c>
      <c r="B195" t="s">
        <v>23</v>
      </c>
      <c r="C195" s="101" t="str">
        <f>Fodersammensætning!A10</f>
        <v>Tang</v>
      </c>
      <c r="D195">
        <f t="shared" si="12"/>
        <v>2019</v>
      </c>
      <c r="E195" s="148">
        <f>VLOOKUP($C195,Fodersammensætning!A$3:E$17,MATCH(D195,Fodersammensætning!$A$2:$E$2,0),FALSE)*(-SUMIFS(IF(D195=År1,IF(B195="Vestdanmark",'Resultater - Vestdanmark'!H$3:H$504,'Resultater - Østdanmark'!H$3:H$504),IF(D195=År2,IF(B195="Vestdanmark",'Resultater - Vestdanmark'!I$3:I$504,'Resultater - Østdanmark'!I$3:I$504),IF(B195="Vestdanmark",'Resultater - Vestdanmark'!J$3:J$504,'Resultater - Østdanmark'!J$3:J$504))),'Resultater - Vestdanmark'!$F$3:$F$504,"Foder",'Resultater - Vestdanmark'!$A$3:$A$504,"&lt;&gt;Foderproduktion"))/SUMIFS(IF(D195=År1,'[1]Processer - data'!H$3:H$486,IF(D195=År2,'[1]Processer - data'!I$3:I$486,'[1]Processer - data'!J$3:J$486)),'[1]Processer - data'!$A$3:$A$486,"Foderproduktion",'[1]Processer - data'!$D$3:$D$486,$C195)</f>
        <v>0</v>
      </c>
    </row>
    <row r="196" spans="1:7" x14ac:dyDescent="0.25">
      <c r="A196" s="100" t="s">
        <v>112</v>
      </c>
      <c r="B196" t="s">
        <v>23</v>
      </c>
      <c r="C196" s="101" t="str">
        <f>Fodersammensætning!A11</f>
        <v>Muslinger</v>
      </c>
      <c r="D196">
        <f t="shared" si="12"/>
        <v>2019</v>
      </c>
      <c r="E196" s="148">
        <f>VLOOKUP($C196,Fodersammensætning!A$3:E$17,MATCH(D196,Fodersammensætning!$A$2:$E$2,0),FALSE)*(-SUMIFS(IF(D196=År1,IF(B196="Vestdanmark",'Resultater - Vestdanmark'!H$3:H$504,'Resultater - Østdanmark'!H$3:H$504),IF(D196=År2,IF(B196="Vestdanmark",'Resultater - Vestdanmark'!I$3:I$504,'Resultater - Østdanmark'!I$3:I$504),IF(B196="Vestdanmark",'Resultater - Vestdanmark'!J$3:J$504,'Resultater - Østdanmark'!J$3:J$504))),'Resultater - Vestdanmark'!$F$3:$F$504,"Foder",'Resultater - Vestdanmark'!$A$3:$A$504,"&lt;&gt;Foderproduktion"))/SUMIFS(IF(D196=År1,'[1]Processer - data'!H$3:H$486,IF(D196=År2,'[1]Processer - data'!I$3:I$486,'[1]Processer - data'!J$3:J$486)),'[1]Processer - data'!$A$3:$A$486,"Foderproduktion",'[1]Processer - data'!$D$3:$D$486,$C196)</f>
        <v>0</v>
      </c>
    </row>
    <row r="197" spans="1:7" x14ac:dyDescent="0.25">
      <c r="A197" s="100" t="s">
        <v>112</v>
      </c>
      <c r="B197" t="s">
        <v>23</v>
      </c>
      <c r="C197" s="101" t="str">
        <f>Fodersammensætning!A12</f>
        <v>Græs</v>
      </c>
      <c r="D197">
        <f t="shared" si="12"/>
        <v>2019</v>
      </c>
      <c r="E197" s="148">
        <f>VLOOKUP($C197,Fodersammensætning!A$3:E$17,MATCH(D197,Fodersammensætning!$A$2:$E$2,0),FALSE)*(-SUMIFS(IF(D197=År1,IF(B197="Vestdanmark",'Resultater - Vestdanmark'!H$3:H$504,'Resultater - Østdanmark'!H$3:H$504),IF(D197=År2,IF(B197="Vestdanmark",'Resultater - Vestdanmark'!I$3:I$504,'Resultater - Østdanmark'!I$3:I$504),IF(B197="Vestdanmark",'Resultater - Vestdanmark'!J$3:J$504,'Resultater - Østdanmark'!J$3:J$504))),'Resultater - Vestdanmark'!$F$3:$F$504,"Foder",'Resultater - Vestdanmark'!$A$3:$A$504,"&lt;&gt;Foderproduktion"))/SUMIFS(IF(D197=År1,'[1]Processer - data'!H$3:H$486,IF(D197=År2,'[1]Processer - data'!I$3:I$486,'[1]Processer - data'!J$3:J$486)),'[1]Processer - data'!$A$3:$A$486,"Foderproduktion",'[1]Processer - data'!$D$3:$D$486,$C197)</f>
        <v>12237689.9092583</v>
      </c>
    </row>
    <row r="198" spans="1:7" x14ac:dyDescent="0.25">
      <c r="A198" s="100" t="s">
        <v>112</v>
      </c>
      <c r="B198" t="s">
        <v>23</v>
      </c>
      <c r="C198" s="101" t="str">
        <f>Fodersammensætning!A13</f>
        <v>Mælk til foder</v>
      </c>
      <c r="D198">
        <f t="shared" si="12"/>
        <v>2019</v>
      </c>
      <c r="E198" s="148">
        <f>VLOOKUP($C198,Fodersammensætning!A$3:E$17,MATCH(D198,Fodersammensætning!$A$2:$E$2,0),FALSE)*(-SUMIFS(IF(D198=År1,IF(B198="Vestdanmark",'Resultater - Vestdanmark'!H$3:H$504,'Resultater - Østdanmark'!H$3:H$504),IF(D198=År2,IF(B198="Vestdanmark",'Resultater - Vestdanmark'!I$3:I$504,'Resultater - Østdanmark'!I$3:I$504),IF(B198="Vestdanmark",'Resultater - Vestdanmark'!J$3:J$504,'Resultater - Østdanmark'!J$3:J$504))),'Resultater - Vestdanmark'!$F$3:$F$504,"Foder",'Resultater - Vestdanmark'!$A$3:$A$504,"&lt;&gt;Foderproduktion"))/SUMIFS(IF(D198=År1,'[1]Processer - data'!H$3:H$486,IF(D198=År2,'[1]Processer - data'!I$3:I$486,'[1]Processer - data'!J$3:J$486)),'[1]Processer - data'!$A$3:$A$486,"Foderproduktion",'[1]Processer - data'!$D$3:$D$486,$C198)</f>
        <v>1515714.1736670118</v>
      </c>
    </row>
    <row r="199" spans="1:7" x14ac:dyDescent="0.25">
      <c r="A199" s="100" t="s">
        <v>112</v>
      </c>
      <c r="B199" t="s">
        <v>23</v>
      </c>
      <c r="C199" s="101" t="str">
        <f>Fodersammensætning!A14</f>
        <v>Fiberfraktion</v>
      </c>
      <c r="D199">
        <f t="shared" si="12"/>
        <v>2019</v>
      </c>
      <c r="E199" s="148">
        <f>VLOOKUP($C199,Fodersammensætning!A$3:E$17,MATCH(D199,Fodersammensætning!$A$2:$E$2,0),FALSE)*(-SUMIFS(IF(D199=År1,IF(B199="Vestdanmark",'Resultater - Vestdanmark'!H$3:H$504,'Resultater - Østdanmark'!H$3:H$504),IF(D199=År2,IF(B199="Vestdanmark",'Resultater - Vestdanmark'!I$3:I$504,'Resultater - Østdanmark'!I$3:I$504),IF(B199="Vestdanmark",'Resultater - Vestdanmark'!J$3:J$504,'Resultater - Østdanmark'!J$3:J$504))),'Resultater - Vestdanmark'!$F$3:$F$504,"Foder",'Resultater - Vestdanmark'!$A$3:$A$504,"&lt;&gt;Foderproduktion"))/SUMIFS(IF(D199=År1,'[1]Processer - data'!H$3:H$486,IF(D199=År2,'[1]Processer - data'!I$3:I$486,'[1]Processer - data'!J$3:J$486)),'[1]Processer - data'!$A$3:$A$486,"Foderproduktion",'[1]Processer - data'!$D$3:$D$486,$C199)</f>
        <v>0</v>
      </c>
    </row>
    <row r="200" spans="1:7" x14ac:dyDescent="0.25">
      <c r="A200" s="100" t="s">
        <v>112</v>
      </c>
      <c r="B200" t="s">
        <v>23</v>
      </c>
      <c r="C200" s="101" t="str">
        <f>Fodersammensætning!A15</f>
        <v>Græsprotein</v>
      </c>
      <c r="D200">
        <f t="shared" si="12"/>
        <v>2019</v>
      </c>
      <c r="E200" s="148">
        <f>VLOOKUP($C200,Fodersammensætning!A$3:E$17,MATCH(D200,Fodersammensætning!$A$2:$E$2,0),FALSE)*(-SUMIFS(IF(D200=År1,IF(B200="Vestdanmark",'Resultater - Vestdanmark'!H$3:H$504,'Resultater - Østdanmark'!H$3:H$504),IF(D200=År2,IF(B200="Vestdanmark",'Resultater - Vestdanmark'!I$3:I$504,'Resultater - Østdanmark'!I$3:I$504),IF(B200="Vestdanmark",'Resultater - Vestdanmark'!J$3:J$504,'Resultater - Østdanmark'!J$3:J$504))),'Resultater - Vestdanmark'!$F$3:$F$504,"Foder",'Resultater - Vestdanmark'!$A$3:$A$504,"&lt;&gt;Foderproduktion"))/SUMIFS(IF(D200=År1,'[1]Processer - data'!H$3:H$486,IF(D200=År2,'[1]Processer - data'!I$3:I$486,'[1]Processer - data'!J$3:J$486)),'[1]Processer - data'!$A$3:$A$486,"Foderproduktion",'[1]Processer - data'!$D$3:$D$486,$C200)</f>
        <v>0</v>
      </c>
    </row>
    <row r="201" spans="1:7" x14ac:dyDescent="0.25">
      <c r="A201" s="100" t="s">
        <v>112</v>
      </c>
      <c r="B201" t="s">
        <v>23</v>
      </c>
      <c r="C201" s="101" t="str">
        <f>Fodersammensætning!A16</f>
        <v>Slagteriaffald til foder</v>
      </c>
      <c r="D201">
        <f t="shared" si="12"/>
        <v>2019</v>
      </c>
      <c r="E201" s="148">
        <f>VLOOKUP($C201,Fodersammensætning!A$3:E$17,MATCH(D201,Fodersammensætning!$A$2:$E$2,0),FALSE)*(-SUMIFS(IF(D201=År1,IF(B201="Vestdanmark",'Resultater - Vestdanmark'!H$3:H$504,'Resultater - Østdanmark'!H$3:H$504),IF(D201=År2,IF(B201="Vestdanmark",'Resultater - Vestdanmark'!I$3:I$504,'Resultater - Østdanmark'!I$3:I$504),IF(B201="Vestdanmark",'Resultater - Vestdanmark'!J$3:J$504,'Resultater - Østdanmark'!J$3:J$504))),'Resultater - Vestdanmark'!$F$3:$F$504,"Foder",'Resultater - Vestdanmark'!$A$3:$A$504,"&lt;&gt;Foderproduktion"))/SUMIFS(IF(D201=År1,'[1]Processer - data'!H$3:H$486,IF(D201=År2,'[1]Processer - data'!I$3:I$486,'[1]Processer - data'!J$3:J$486)),'[1]Processer - data'!$A$3:$A$486,"Foderproduktion",'[1]Processer - data'!$D$3:$D$486,$C201)</f>
        <v>39415.735012617326</v>
      </c>
    </row>
    <row r="202" spans="1:7" x14ac:dyDescent="0.25">
      <c r="A202" s="100" t="s">
        <v>112</v>
      </c>
      <c r="B202" t="s">
        <v>23</v>
      </c>
      <c r="C202" s="101" t="str">
        <f>Fodersammensætning!A17</f>
        <v>Import af foder</v>
      </c>
      <c r="D202">
        <f t="shared" si="12"/>
        <v>2019</v>
      </c>
      <c r="E202" s="148">
        <f>VLOOKUP($C202,Fodersammensætning!A$3:E$17,MATCH(D202,Fodersammensætning!$A$2:$E$2,0),FALSE)*(-SUMIFS(IF(D202=År1,IF(B202="Vestdanmark",'Resultater - Vestdanmark'!H$3:H$504,'Resultater - Østdanmark'!H$3:H$504),IF(D202=År2,IF(B202="Vestdanmark",'Resultater - Vestdanmark'!I$3:I$504,'Resultater - Østdanmark'!I$3:I$504),IF(B202="Vestdanmark",'Resultater - Vestdanmark'!J$3:J$504,'Resultater - Østdanmark'!J$3:J$504))),'Resultater - Vestdanmark'!$F$3:$F$504,"Foder",'Resultater - Vestdanmark'!$A$3:$A$504,"&lt;&gt;Foderproduktion"))/SUMIFS(IF(D202=År1,'[1]Processer - data'!H$3:H$486,IF(D202=År2,'[1]Processer - data'!I$3:I$486,'[1]Processer - data'!J$3:J$486)),'[1]Processer - data'!$A$3:$A$486,"Foderproduktion",'[1]Processer - data'!$D$3:$D$486,$C202)</f>
        <v>4828427.5390456235</v>
      </c>
    </row>
    <row r="203" spans="1:7" x14ac:dyDescent="0.25">
      <c r="A203" s="100" t="s">
        <v>112</v>
      </c>
      <c r="B203" t="s">
        <v>23</v>
      </c>
      <c r="C203" s="101" t="str">
        <f>C188</f>
        <v>Korn</v>
      </c>
      <c r="D203">
        <f t="shared" ref="D203:D217" si="13">År2</f>
        <v>2030</v>
      </c>
      <c r="E203" s="148">
        <f>VLOOKUP($C203,Fodersammensætning!A$3:E$17,MATCH(D203,Fodersammensætning!$A$2:$E$2,0),FALSE)*(-SUMIFS(IF(D203=År1,IF(B203="Vestdanmark",'Resultater - Vestdanmark'!H$3:H$504,'Resultater - Østdanmark'!H$3:H$504),IF(D203=År2,IF(B203="Vestdanmark",'Resultater - Vestdanmark'!I$3:I$504,'Resultater - Østdanmark'!I$3:I$504),IF(B203="Vestdanmark",'Resultater - Vestdanmark'!J$3:J$504,'Resultater - Østdanmark'!J$3:J$504))),'Resultater - Vestdanmark'!$F$3:$F$504,"Foder",'Resultater - Vestdanmark'!$A$3:$A$504,"&lt;&gt;Foderproduktion"))/SUMIFS(IF(D203=År1,'[1]Processer - data'!H$3:H$486,IF(D203=År2,'[1]Processer - data'!I$3:I$486,'[1]Processer - data'!J$3:J$486)),'[1]Processer - data'!$A$3:$A$486,"Foderproduktion",'[1]Processer - data'!$D$3:$D$486,$C203)</f>
        <v>7055058.2423947481</v>
      </c>
      <c r="G203" s="314"/>
    </row>
    <row r="204" spans="1:7" x14ac:dyDescent="0.25">
      <c r="A204" s="100" t="s">
        <v>112</v>
      </c>
      <c r="B204" t="s">
        <v>23</v>
      </c>
      <c r="C204" s="101" t="str">
        <f t="shared" ref="C204:C267" si="14">C189</f>
        <v>Halm</v>
      </c>
      <c r="D204">
        <f t="shared" si="13"/>
        <v>2030</v>
      </c>
      <c r="E204" s="148">
        <f>VLOOKUP($C204,Fodersammensætning!A$3:E$17,MATCH(D204,Fodersammensætning!$A$2:$E$2,0),FALSE)*(-SUMIFS(IF(D204=År1,IF(B204="Vestdanmark",'Resultater - Vestdanmark'!H$3:H$504,'Resultater - Østdanmark'!H$3:H$504),IF(D204=År2,IF(B204="Vestdanmark",'Resultater - Vestdanmark'!I$3:I$504,'Resultater - Østdanmark'!I$3:I$504),IF(B204="Vestdanmark",'Resultater - Vestdanmark'!J$3:J$504,'Resultater - Østdanmark'!J$3:J$504))),'Resultater - Vestdanmark'!$F$3:$F$504,"Foder",'Resultater - Vestdanmark'!$A$3:$A$504,"&lt;&gt;Foderproduktion"))/SUMIFS(IF(D204=År1,'[1]Processer - data'!H$3:H$486,IF(D204=År2,'[1]Processer - data'!I$3:I$486,'[1]Processer - data'!J$3:J$486)),'[1]Processer - data'!$A$3:$A$486,"Foderproduktion",'[1]Processer - data'!$D$3:$D$486,$C204)</f>
        <v>927703.07225151139</v>
      </c>
      <c r="G204" s="314"/>
    </row>
    <row r="205" spans="1:7" x14ac:dyDescent="0.25">
      <c r="A205" s="100" t="s">
        <v>112</v>
      </c>
      <c r="B205" t="s">
        <v>23</v>
      </c>
      <c r="C205" s="101" t="str">
        <f t="shared" si="14"/>
        <v>Kartofler</v>
      </c>
      <c r="D205">
        <f t="shared" si="13"/>
        <v>2030</v>
      </c>
      <c r="E205" s="148">
        <f>VLOOKUP($C205,Fodersammensætning!A$3:E$17,MATCH(D205,Fodersammensætning!$A$2:$E$2,0),FALSE)*(-SUMIFS(IF(D205=År1,IF(B205="Vestdanmark",'Resultater - Vestdanmark'!H$3:H$504,'Resultater - Østdanmark'!H$3:H$504),IF(D205=År2,IF(B205="Vestdanmark",'Resultater - Vestdanmark'!I$3:I$504,'Resultater - Østdanmark'!I$3:I$504),IF(B205="Vestdanmark",'Resultater - Vestdanmark'!J$3:J$504,'Resultater - Østdanmark'!J$3:J$504))),'Resultater - Vestdanmark'!$F$3:$F$504,"Foder",'Resultater - Vestdanmark'!$A$3:$A$504,"&lt;&gt;Foderproduktion"))/SUMIFS(IF(D205=År1,'[1]Processer - data'!H$3:H$486,IF(D205=År2,'[1]Processer - data'!I$3:I$486,'[1]Processer - data'!J$3:J$486)),'[1]Processer - data'!$A$3:$A$486,"Foderproduktion",'[1]Processer - data'!$D$3:$D$486,$C205)</f>
        <v>0</v>
      </c>
      <c r="G205" s="314"/>
    </row>
    <row r="206" spans="1:7" x14ac:dyDescent="0.25">
      <c r="A206" s="100" t="s">
        <v>112</v>
      </c>
      <c r="B206" t="s">
        <v>23</v>
      </c>
      <c r="C206" s="101" t="str">
        <f t="shared" si="14"/>
        <v>Bælgsæd</v>
      </c>
      <c r="D206">
        <f t="shared" si="13"/>
        <v>2030</v>
      </c>
      <c r="E206" s="148">
        <f>VLOOKUP($C206,Fodersammensætning!A$3:E$17,MATCH(D206,Fodersammensætning!$A$2:$E$2,0),FALSE)*(-SUMIFS(IF(D206=År1,IF(B206="Vestdanmark",'Resultater - Vestdanmark'!H$3:H$504,'Resultater - Østdanmark'!H$3:H$504),IF(D206=År2,IF(B206="Vestdanmark",'Resultater - Vestdanmark'!I$3:I$504,'Resultater - Østdanmark'!I$3:I$504),IF(B206="Vestdanmark",'Resultater - Vestdanmark'!J$3:J$504,'Resultater - Østdanmark'!J$3:J$504))),'Resultater - Vestdanmark'!$F$3:$F$504,"Foder",'Resultater - Vestdanmark'!$A$3:$A$504,"&lt;&gt;Foderproduktion"))/SUMIFS(IF(D206=År1,'[1]Processer - data'!H$3:H$486,IF(D206=År2,'[1]Processer - data'!I$3:I$486,'[1]Processer - data'!J$3:J$486)),'[1]Processer - data'!$A$3:$A$486,"Foderproduktion",'[1]Processer - data'!$D$3:$D$486,$C206)</f>
        <v>77398.170570230373</v>
      </c>
      <c r="G206" s="314"/>
    </row>
    <row r="207" spans="1:7" x14ac:dyDescent="0.25">
      <c r="A207" s="100" t="s">
        <v>112</v>
      </c>
      <c r="B207" t="s">
        <v>23</v>
      </c>
      <c r="C207" s="101" t="str">
        <f t="shared" si="14"/>
        <v>Roer</v>
      </c>
      <c r="D207">
        <f t="shared" si="13"/>
        <v>2030</v>
      </c>
      <c r="E207" s="148">
        <f>VLOOKUP($C207,Fodersammensætning!A$3:E$17,MATCH(D207,Fodersammensætning!$A$2:$E$2,0),FALSE)*(-SUMIFS(IF(D207=År1,IF(B207="Vestdanmark",'Resultater - Vestdanmark'!H$3:H$504,'Resultater - Østdanmark'!H$3:H$504),IF(D207=År2,IF(B207="Vestdanmark",'Resultater - Vestdanmark'!I$3:I$504,'Resultater - Østdanmark'!I$3:I$504),IF(B207="Vestdanmark",'Resultater - Vestdanmark'!J$3:J$504,'Resultater - Østdanmark'!J$3:J$504))),'Resultater - Vestdanmark'!$F$3:$F$504,"Foder",'Resultater - Vestdanmark'!$A$3:$A$504,"&lt;&gt;Foderproduktion"))/SUMIFS(IF(D207=År1,'[1]Processer - data'!H$3:H$486,IF(D207=År2,'[1]Processer - data'!I$3:I$486,'[1]Processer - data'!J$3:J$486)),'[1]Processer - data'!$A$3:$A$486,"Foderproduktion",'[1]Processer - data'!$D$3:$D$486,$C207)</f>
        <v>1009401.1411867546</v>
      </c>
      <c r="G207" s="314"/>
    </row>
    <row r="208" spans="1:7" x14ac:dyDescent="0.25">
      <c r="A208" s="100" t="s">
        <v>112</v>
      </c>
      <c r="B208" t="s">
        <v>23</v>
      </c>
      <c r="C208" s="101" t="str">
        <f t="shared" si="14"/>
        <v>Majs</v>
      </c>
      <c r="D208">
        <f t="shared" si="13"/>
        <v>2030</v>
      </c>
      <c r="E208" s="148">
        <f>VLOOKUP($C208,Fodersammensætning!A$3:E$17,MATCH(D208,Fodersammensætning!$A$2:$E$2,0),FALSE)*(-SUMIFS(IF(D208=År1,IF(B208="Vestdanmark",'Resultater - Vestdanmark'!H$3:H$504,'Resultater - Østdanmark'!H$3:H$504),IF(D208=År2,IF(B208="Vestdanmark",'Resultater - Vestdanmark'!I$3:I$504,'Resultater - Østdanmark'!I$3:I$504),IF(B208="Vestdanmark",'Resultater - Vestdanmark'!J$3:J$504,'Resultater - Østdanmark'!J$3:J$504))),'Resultater - Vestdanmark'!$F$3:$F$504,"Foder",'Resultater - Vestdanmark'!$A$3:$A$504,"&lt;&gt;Foderproduktion"))/SUMIFS(IF(D208=År1,'[1]Processer - data'!H$3:H$486,IF(D208=År2,'[1]Processer - data'!I$3:I$486,'[1]Processer - data'!J$3:J$486)),'[1]Processer - data'!$A$3:$A$486,"Foderproduktion",'[1]Processer - data'!$D$3:$D$486,$C208)</f>
        <v>6788464.5437639551</v>
      </c>
      <c r="G208" s="314"/>
    </row>
    <row r="209" spans="1:7" x14ac:dyDescent="0.25">
      <c r="A209" s="100" t="s">
        <v>112</v>
      </c>
      <c r="B209" t="s">
        <v>23</v>
      </c>
      <c r="C209" s="101" t="str">
        <f t="shared" si="14"/>
        <v>Rapskage</v>
      </c>
      <c r="D209">
        <f t="shared" si="13"/>
        <v>2030</v>
      </c>
      <c r="E209" s="148">
        <f>VLOOKUP($C209,Fodersammensætning!A$3:E$17,MATCH(D209,Fodersammensætning!$A$2:$E$2,0),FALSE)*(-SUMIFS(IF(D209=År1,IF(B209="Vestdanmark",'Resultater - Vestdanmark'!H$3:H$504,'Resultater - Østdanmark'!H$3:H$504),IF(D209=År2,IF(B209="Vestdanmark",'Resultater - Vestdanmark'!I$3:I$504,'Resultater - Østdanmark'!I$3:I$504),IF(B209="Vestdanmark",'Resultater - Vestdanmark'!J$3:J$504,'Resultater - Østdanmark'!J$3:J$504))),'Resultater - Vestdanmark'!$F$3:$F$504,"Foder",'Resultater - Vestdanmark'!$A$3:$A$504,"&lt;&gt;Foderproduktion"))/SUMIFS(IF(D209=År1,'[1]Processer - data'!H$3:H$486,IF(D209=År2,'[1]Processer - data'!I$3:I$486,'[1]Processer - data'!J$3:J$486)),'[1]Processer - data'!$A$3:$A$486,"Foderproduktion",'[1]Processer - data'!$D$3:$D$486,$C209)</f>
        <v>256918.92730951472</v>
      </c>
      <c r="G209" s="314"/>
    </row>
    <row r="210" spans="1:7" x14ac:dyDescent="0.25">
      <c r="A210" s="100" t="s">
        <v>112</v>
      </c>
      <c r="B210" t="s">
        <v>23</v>
      </c>
      <c r="C210" s="101" t="str">
        <f t="shared" si="14"/>
        <v>Tang</v>
      </c>
      <c r="D210">
        <f t="shared" si="13"/>
        <v>2030</v>
      </c>
      <c r="E210" s="148">
        <f>VLOOKUP($C210,Fodersammensætning!A$3:E$17,MATCH(D210,Fodersammensætning!$A$2:$E$2,0),FALSE)*(-SUMIFS(IF(D210=År1,IF(B210="Vestdanmark",'Resultater - Vestdanmark'!H$3:H$504,'Resultater - Østdanmark'!H$3:H$504),IF(D210=År2,IF(B210="Vestdanmark",'Resultater - Vestdanmark'!I$3:I$504,'Resultater - Østdanmark'!I$3:I$504),IF(B210="Vestdanmark",'Resultater - Vestdanmark'!J$3:J$504,'Resultater - Østdanmark'!J$3:J$504))),'Resultater - Vestdanmark'!$F$3:$F$504,"Foder",'Resultater - Vestdanmark'!$A$3:$A$504,"&lt;&gt;Foderproduktion"))/SUMIFS(IF(D210=År1,'[1]Processer - data'!H$3:H$486,IF(D210=År2,'[1]Processer - data'!I$3:I$486,'[1]Processer - data'!J$3:J$486)),'[1]Processer - data'!$A$3:$A$486,"Foderproduktion",'[1]Processer - data'!$D$3:$D$486,$C210)</f>
        <v>0</v>
      </c>
      <c r="G210" s="314"/>
    </row>
    <row r="211" spans="1:7" x14ac:dyDescent="0.25">
      <c r="A211" s="100" t="s">
        <v>112</v>
      </c>
      <c r="B211" t="s">
        <v>23</v>
      </c>
      <c r="C211" s="101" t="str">
        <f t="shared" si="14"/>
        <v>Muslinger</v>
      </c>
      <c r="D211">
        <f t="shared" si="13"/>
        <v>2030</v>
      </c>
      <c r="E211" s="148">
        <f>VLOOKUP($C211,Fodersammensætning!A$3:E$17,MATCH(D211,Fodersammensætning!$A$2:$E$2,0),FALSE)*(-SUMIFS(IF(D211=År1,IF(B211="Vestdanmark",'Resultater - Vestdanmark'!H$3:H$504,'Resultater - Østdanmark'!H$3:H$504),IF(D211=År2,IF(B211="Vestdanmark",'Resultater - Vestdanmark'!I$3:I$504,'Resultater - Østdanmark'!I$3:I$504),IF(B211="Vestdanmark",'Resultater - Vestdanmark'!J$3:J$504,'Resultater - Østdanmark'!J$3:J$504))),'Resultater - Vestdanmark'!$F$3:$F$504,"Foder",'Resultater - Vestdanmark'!$A$3:$A$504,"&lt;&gt;Foderproduktion"))/SUMIFS(IF(D211=År1,'[1]Processer - data'!H$3:H$486,IF(D211=År2,'[1]Processer - data'!I$3:I$486,'[1]Processer - data'!J$3:J$486)),'[1]Processer - data'!$A$3:$A$486,"Foderproduktion",'[1]Processer - data'!$D$3:$D$486,$C211)</f>
        <v>0</v>
      </c>
      <c r="G211" s="314"/>
    </row>
    <row r="212" spans="1:7" x14ac:dyDescent="0.25">
      <c r="A212" s="100" t="s">
        <v>112</v>
      </c>
      <c r="B212" t="s">
        <v>23</v>
      </c>
      <c r="C212" s="101" t="str">
        <f t="shared" si="14"/>
        <v>Græs</v>
      </c>
      <c r="D212">
        <f t="shared" si="13"/>
        <v>2030</v>
      </c>
      <c r="E212" s="148">
        <f>VLOOKUP($C212,Fodersammensætning!A$3:E$17,MATCH(D212,Fodersammensætning!$A$2:$E$2,0),FALSE)*(-SUMIFS(IF(D212=År1,IF(B212="Vestdanmark",'Resultater - Vestdanmark'!H$3:H$504,'Resultater - Østdanmark'!H$3:H$504),IF(D212=År2,IF(B212="Vestdanmark",'Resultater - Vestdanmark'!I$3:I$504,'Resultater - Østdanmark'!I$3:I$504),IF(B212="Vestdanmark",'Resultater - Vestdanmark'!J$3:J$504,'Resultater - Østdanmark'!J$3:J$504))),'Resultater - Vestdanmark'!$F$3:$F$504,"Foder",'Resultater - Vestdanmark'!$A$3:$A$504,"&lt;&gt;Foderproduktion"))/SUMIFS(IF(D212=År1,'[1]Processer - data'!H$3:H$486,IF(D212=År2,'[1]Processer - data'!I$3:I$486,'[1]Processer - data'!J$3:J$486)),'[1]Processer - data'!$A$3:$A$486,"Foderproduktion",'[1]Processer - data'!$D$3:$D$486,$C212)</f>
        <v>14685227.891109958</v>
      </c>
      <c r="G212" s="314"/>
    </row>
    <row r="213" spans="1:7" x14ac:dyDescent="0.25">
      <c r="A213" s="100" t="s">
        <v>112</v>
      </c>
      <c r="B213" t="s">
        <v>23</v>
      </c>
      <c r="C213" s="101" t="str">
        <f t="shared" si="14"/>
        <v>Mælk til foder</v>
      </c>
      <c r="D213">
        <f t="shared" si="13"/>
        <v>2030</v>
      </c>
      <c r="E213" s="148">
        <f>VLOOKUP($C213,Fodersammensætning!A$3:E$17,MATCH(D213,Fodersammensætning!$A$2:$E$2,0),FALSE)*(-SUMIFS(IF(D213=År1,IF(B213="Vestdanmark",'Resultater - Vestdanmark'!H$3:H$504,'Resultater - Østdanmark'!H$3:H$504),IF(D213=År2,IF(B213="Vestdanmark",'Resultater - Vestdanmark'!I$3:I$504,'Resultater - Østdanmark'!I$3:I$504),IF(B213="Vestdanmark",'Resultater - Vestdanmark'!J$3:J$504,'Resultater - Østdanmark'!J$3:J$504))),'Resultater - Vestdanmark'!$F$3:$F$504,"Foder",'Resultater - Vestdanmark'!$A$3:$A$504,"&lt;&gt;Foderproduktion"))/SUMIFS(IF(D213=År1,'[1]Processer - data'!H$3:H$486,IF(D213=År2,'[1]Processer - data'!I$3:I$486,'[1]Processer - data'!J$3:J$486)),'[1]Processer - data'!$A$3:$A$486,"Foderproduktion",'[1]Processer - data'!$D$3:$D$486,$C213)</f>
        <v>1818857.0084004137</v>
      </c>
      <c r="G213" s="314"/>
    </row>
    <row r="214" spans="1:7" x14ac:dyDescent="0.25">
      <c r="A214" s="100" t="s">
        <v>112</v>
      </c>
      <c r="B214" t="s">
        <v>23</v>
      </c>
      <c r="C214" s="101" t="str">
        <f t="shared" si="14"/>
        <v>Fiberfraktion</v>
      </c>
      <c r="D214">
        <f t="shared" si="13"/>
        <v>2030</v>
      </c>
      <c r="E214" s="148">
        <f>VLOOKUP($C214,Fodersammensætning!A$3:E$17,MATCH(D214,Fodersammensætning!$A$2:$E$2,0),FALSE)*(-SUMIFS(IF(D214=År1,IF(B214="Vestdanmark",'Resultater - Vestdanmark'!H$3:H$504,'Resultater - Østdanmark'!H$3:H$504),IF(D214=År2,IF(B214="Vestdanmark",'Resultater - Vestdanmark'!I$3:I$504,'Resultater - Østdanmark'!I$3:I$504),IF(B214="Vestdanmark",'Resultater - Vestdanmark'!J$3:J$504,'Resultater - Østdanmark'!J$3:J$504))),'Resultater - Vestdanmark'!$F$3:$F$504,"Foder",'Resultater - Vestdanmark'!$A$3:$A$504,"&lt;&gt;Foderproduktion"))/SUMIFS(IF(D214=År1,'[1]Processer - data'!H$3:H$486,IF(D214=År2,'[1]Processer - data'!I$3:I$486,'[1]Processer - data'!J$3:J$486)),'[1]Processer - data'!$A$3:$A$486,"Foderproduktion",'[1]Processer - data'!$D$3:$D$486,$C214)</f>
        <v>0</v>
      </c>
      <c r="G214" s="314"/>
    </row>
    <row r="215" spans="1:7" x14ac:dyDescent="0.25">
      <c r="A215" s="100" t="s">
        <v>112</v>
      </c>
      <c r="B215" t="s">
        <v>23</v>
      </c>
      <c r="C215" s="101" t="str">
        <f t="shared" si="14"/>
        <v>Græsprotein</v>
      </c>
      <c r="D215">
        <f t="shared" si="13"/>
        <v>2030</v>
      </c>
      <c r="E215" s="148">
        <f>VLOOKUP($C215,Fodersammensætning!A$3:E$17,MATCH(D215,Fodersammensætning!$A$2:$E$2,0),FALSE)*(-SUMIFS(IF(D215=År1,IF(B215="Vestdanmark",'Resultater - Vestdanmark'!H$3:H$504,'Resultater - Østdanmark'!H$3:H$504),IF(D215=År2,IF(B215="Vestdanmark",'Resultater - Vestdanmark'!I$3:I$504,'Resultater - Østdanmark'!I$3:I$504),IF(B215="Vestdanmark",'Resultater - Vestdanmark'!J$3:J$504,'Resultater - Østdanmark'!J$3:J$504))),'Resultater - Vestdanmark'!$F$3:$F$504,"Foder",'Resultater - Vestdanmark'!$A$3:$A$504,"&lt;&gt;Foderproduktion"))/SUMIFS(IF(D215=År1,'[1]Processer - data'!H$3:H$486,IF(D215=År2,'[1]Processer - data'!I$3:I$486,'[1]Processer - data'!J$3:J$486)),'[1]Processer - data'!$A$3:$A$486,"Foderproduktion",'[1]Processer - data'!$D$3:$D$486,$C215)</f>
        <v>0</v>
      </c>
      <c r="G215" s="314"/>
    </row>
    <row r="216" spans="1:7" x14ac:dyDescent="0.25">
      <c r="A216" s="100" t="s">
        <v>112</v>
      </c>
      <c r="B216" t="s">
        <v>23</v>
      </c>
      <c r="C216" s="101" t="str">
        <f t="shared" si="14"/>
        <v>Slagteriaffald til foder</v>
      </c>
      <c r="D216">
        <f t="shared" si="13"/>
        <v>2030</v>
      </c>
      <c r="E216" s="148">
        <f>VLOOKUP($C216,Fodersammensætning!A$3:E$17,MATCH(D216,Fodersammensætning!$A$2:$E$2,0),FALSE)*(-SUMIFS(IF(D216=År1,IF(B216="Vestdanmark",'Resultater - Vestdanmark'!H$3:H$504,'Resultater - Østdanmark'!H$3:H$504),IF(D216=År2,IF(B216="Vestdanmark",'Resultater - Vestdanmark'!I$3:I$504,'Resultater - Østdanmark'!I$3:I$504),IF(B216="Vestdanmark",'Resultater - Vestdanmark'!J$3:J$504,'Resultater - Østdanmark'!J$3:J$504))),'Resultater - Vestdanmark'!$F$3:$F$504,"Foder",'Resultater - Vestdanmark'!$A$3:$A$504,"&lt;&gt;Foderproduktion"))/SUMIFS(IF(D216=År1,'[1]Processer - data'!H$3:H$486,IF(D216=År2,'[1]Processer - data'!I$3:I$486,'[1]Processer - data'!J$3:J$486)),'[1]Processer - data'!$A$3:$A$486,"Foderproduktion",'[1]Processer - data'!$D$3:$D$486,$C216)</f>
        <v>47298.882015140785</v>
      </c>
      <c r="G216" s="314"/>
    </row>
    <row r="217" spans="1:7" x14ac:dyDescent="0.25">
      <c r="A217" s="100" t="s">
        <v>112</v>
      </c>
      <c r="B217" t="s">
        <v>23</v>
      </c>
      <c r="C217" s="101" t="str">
        <f t="shared" si="14"/>
        <v>Import af foder</v>
      </c>
      <c r="D217">
        <f t="shared" si="13"/>
        <v>2030</v>
      </c>
      <c r="E217" s="148">
        <f>VLOOKUP($C217,Fodersammensætning!A$3:E$17,MATCH(D217,Fodersammensætning!$A$2:$E$2,0),FALSE)*(-SUMIFS(IF(D217=År1,IF(B217="Vestdanmark",'Resultater - Vestdanmark'!H$3:H$504,'Resultater - Østdanmark'!H$3:H$504),IF(D217=År2,IF(B217="Vestdanmark",'Resultater - Vestdanmark'!I$3:I$504,'Resultater - Østdanmark'!I$3:I$504),IF(B217="Vestdanmark",'Resultater - Vestdanmark'!J$3:J$504,'Resultater - Østdanmark'!J$3:J$504))),'Resultater - Vestdanmark'!$F$3:$F$504,"Foder",'Resultater - Vestdanmark'!$A$3:$A$504,"&lt;&gt;Foderproduktion"))/SUMIFS(IF(D217=År1,'[1]Processer - data'!H$3:H$486,IF(D217=År2,'[1]Processer - data'!I$3:I$486,'[1]Processer - data'!J$3:J$486)),'[1]Processer - data'!$A$3:$A$486,"Foderproduktion",'[1]Processer - data'!$D$3:$D$486,$C217)</f>
        <v>5794113.0468547465</v>
      </c>
      <c r="G217" s="314"/>
    </row>
    <row r="218" spans="1:7" x14ac:dyDescent="0.25">
      <c r="A218" s="100" t="s">
        <v>112</v>
      </c>
      <c r="B218" t="s">
        <v>23</v>
      </c>
      <c r="C218" s="101" t="str">
        <f t="shared" si="14"/>
        <v>Korn</v>
      </c>
      <c r="D218">
        <f t="shared" ref="D218:D232" si="15">År3</f>
        <v>2050</v>
      </c>
      <c r="E218" s="148">
        <f>VLOOKUP($C218,Fodersammensætning!A$3:E$17,MATCH(D218,Fodersammensætning!$A$2:$E$2,0),FALSE)*(-SUMIFS(IF(D218=År1,IF(B218="Vestdanmark",'Resultater - Vestdanmark'!H$3:H$504,'Resultater - Østdanmark'!H$3:H$504),IF(D218=År2,IF(B218="Vestdanmark",'Resultater - Vestdanmark'!I$3:I$504,'Resultater - Østdanmark'!I$3:I$504),IF(B218="Vestdanmark",'Resultater - Vestdanmark'!J$3:J$504,'Resultater - Østdanmark'!J$3:J$504))),'Resultater - Vestdanmark'!$F$3:$F$504,"Foder",'Resultater - Vestdanmark'!$A$3:$A$504,"&lt;&gt;Foderproduktion"))/SUMIFS(IF(D218=År1,'[1]Processer - data'!H$3:H$486,IF(D218=År2,'[1]Processer - data'!I$3:I$486,'[1]Processer - data'!J$3:J$486)),'[1]Processer - data'!$A$3:$A$486,"Foderproduktion",'[1]Processer - data'!$D$3:$D$486,$C218)</f>
        <v>7055058.2423947481</v>
      </c>
    </row>
    <row r="219" spans="1:7" x14ac:dyDescent="0.25">
      <c r="A219" s="100" t="s">
        <v>112</v>
      </c>
      <c r="B219" t="s">
        <v>23</v>
      </c>
      <c r="C219" s="101" t="str">
        <f t="shared" si="14"/>
        <v>Halm</v>
      </c>
      <c r="D219">
        <f t="shared" si="15"/>
        <v>2050</v>
      </c>
      <c r="E219" s="148">
        <f>VLOOKUP($C219,Fodersammensætning!A$3:E$17,MATCH(D219,Fodersammensætning!$A$2:$E$2,0),FALSE)*(-SUMIFS(IF(D219=År1,IF(B219="Vestdanmark",'Resultater - Vestdanmark'!H$3:H$504,'Resultater - Østdanmark'!H$3:H$504),IF(D219=År2,IF(B219="Vestdanmark",'Resultater - Vestdanmark'!I$3:I$504,'Resultater - Østdanmark'!I$3:I$504),IF(B219="Vestdanmark",'Resultater - Vestdanmark'!J$3:J$504,'Resultater - Østdanmark'!J$3:J$504))),'Resultater - Vestdanmark'!$F$3:$F$504,"Foder",'Resultater - Vestdanmark'!$A$3:$A$504,"&lt;&gt;Foderproduktion"))/SUMIFS(IF(D219=År1,'[1]Processer - data'!H$3:H$486,IF(D219=År2,'[1]Processer - data'!I$3:I$486,'[1]Processer - data'!J$3:J$486)),'[1]Processer - data'!$A$3:$A$486,"Foderproduktion",'[1]Processer - data'!$D$3:$D$486,$C219)</f>
        <v>927703.07225151139</v>
      </c>
    </row>
    <row r="220" spans="1:7" x14ac:dyDescent="0.25">
      <c r="A220" s="100" t="s">
        <v>112</v>
      </c>
      <c r="B220" t="s">
        <v>23</v>
      </c>
      <c r="C220" s="101" t="str">
        <f t="shared" si="14"/>
        <v>Kartofler</v>
      </c>
      <c r="D220">
        <f t="shared" si="15"/>
        <v>2050</v>
      </c>
      <c r="E220" s="148">
        <f>VLOOKUP($C220,Fodersammensætning!A$3:E$17,MATCH(D220,Fodersammensætning!$A$2:$E$2,0),FALSE)*(-SUMIFS(IF(D220=År1,IF(B220="Vestdanmark",'Resultater - Vestdanmark'!H$3:H$504,'Resultater - Østdanmark'!H$3:H$504),IF(D220=År2,IF(B220="Vestdanmark",'Resultater - Vestdanmark'!I$3:I$504,'Resultater - Østdanmark'!I$3:I$504),IF(B220="Vestdanmark",'Resultater - Vestdanmark'!J$3:J$504,'Resultater - Østdanmark'!J$3:J$504))),'Resultater - Vestdanmark'!$F$3:$F$504,"Foder",'Resultater - Vestdanmark'!$A$3:$A$504,"&lt;&gt;Foderproduktion"))/SUMIFS(IF(D220=År1,'[1]Processer - data'!H$3:H$486,IF(D220=År2,'[1]Processer - data'!I$3:I$486,'[1]Processer - data'!J$3:J$486)),'[1]Processer - data'!$A$3:$A$486,"Foderproduktion",'[1]Processer - data'!$D$3:$D$486,$C220)</f>
        <v>0</v>
      </c>
    </row>
    <row r="221" spans="1:7" x14ac:dyDescent="0.25">
      <c r="A221" s="100" t="s">
        <v>112</v>
      </c>
      <c r="B221" t="s">
        <v>23</v>
      </c>
      <c r="C221" s="101" t="str">
        <f t="shared" si="14"/>
        <v>Bælgsæd</v>
      </c>
      <c r="D221">
        <f t="shared" si="15"/>
        <v>2050</v>
      </c>
      <c r="E221" s="148">
        <f>VLOOKUP($C221,Fodersammensætning!A$3:E$17,MATCH(D221,Fodersammensætning!$A$2:$E$2,0),FALSE)*(-SUMIFS(IF(D221=År1,IF(B221="Vestdanmark",'Resultater - Vestdanmark'!H$3:H$504,'Resultater - Østdanmark'!H$3:H$504),IF(D221=År2,IF(B221="Vestdanmark",'Resultater - Vestdanmark'!I$3:I$504,'Resultater - Østdanmark'!I$3:I$504),IF(B221="Vestdanmark",'Resultater - Vestdanmark'!J$3:J$504,'Resultater - Østdanmark'!J$3:J$504))),'Resultater - Vestdanmark'!$F$3:$F$504,"Foder",'Resultater - Vestdanmark'!$A$3:$A$504,"&lt;&gt;Foderproduktion"))/SUMIFS(IF(D221=År1,'[1]Processer - data'!H$3:H$486,IF(D221=År2,'[1]Processer - data'!I$3:I$486,'[1]Processer - data'!J$3:J$486)),'[1]Processer - data'!$A$3:$A$486,"Foderproduktion",'[1]Processer - data'!$D$3:$D$486,$C221)</f>
        <v>77398.170570230373</v>
      </c>
    </row>
    <row r="222" spans="1:7" x14ac:dyDescent="0.25">
      <c r="A222" s="100" t="s">
        <v>112</v>
      </c>
      <c r="B222" t="s">
        <v>23</v>
      </c>
      <c r="C222" s="101" t="str">
        <f t="shared" si="14"/>
        <v>Roer</v>
      </c>
      <c r="D222">
        <f t="shared" si="15"/>
        <v>2050</v>
      </c>
      <c r="E222" s="148">
        <f>VLOOKUP($C222,Fodersammensætning!A$3:E$17,MATCH(D222,Fodersammensætning!$A$2:$E$2,0),FALSE)*(-SUMIFS(IF(D222=År1,IF(B222="Vestdanmark",'Resultater - Vestdanmark'!H$3:H$504,'Resultater - Østdanmark'!H$3:H$504),IF(D222=År2,IF(B222="Vestdanmark",'Resultater - Vestdanmark'!I$3:I$504,'Resultater - Østdanmark'!I$3:I$504),IF(B222="Vestdanmark",'Resultater - Vestdanmark'!J$3:J$504,'Resultater - Østdanmark'!J$3:J$504))),'Resultater - Vestdanmark'!$F$3:$F$504,"Foder",'Resultater - Vestdanmark'!$A$3:$A$504,"&lt;&gt;Foderproduktion"))/SUMIFS(IF(D222=År1,'[1]Processer - data'!H$3:H$486,IF(D222=År2,'[1]Processer - data'!I$3:I$486,'[1]Processer - data'!J$3:J$486)),'[1]Processer - data'!$A$3:$A$486,"Foderproduktion",'[1]Processer - data'!$D$3:$D$486,$C222)</f>
        <v>1009401.1411867546</v>
      </c>
    </row>
    <row r="223" spans="1:7" x14ac:dyDescent="0.25">
      <c r="A223" s="100" t="s">
        <v>112</v>
      </c>
      <c r="B223" t="s">
        <v>23</v>
      </c>
      <c r="C223" s="101" t="str">
        <f t="shared" si="14"/>
        <v>Majs</v>
      </c>
      <c r="D223">
        <f t="shared" si="15"/>
        <v>2050</v>
      </c>
      <c r="E223" s="148">
        <f>VLOOKUP($C223,Fodersammensætning!A$3:E$17,MATCH(D223,Fodersammensætning!$A$2:$E$2,0),FALSE)*(-SUMIFS(IF(D223=År1,IF(B223="Vestdanmark",'Resultater - Vestdanmark'!H$3:H$504,'Resultater - Østdanmark'!H$3:H$504),IF(D223=År2,IF(B223="Vestdanmark",'Resultater - Vestdanmark'!I$3:I$504,'Resultater - Østdanmark'!I$3:I$504),IF(B223="Vestdanmark",'Resultater - Vestdanmark'!J$3:J$504,'Resultater - Østdanmark'!J$3:J$504))),'Resultater - Vestdanmark'!$F$3:$F$504,"Foder",'Resultater - Vestdanmark'!$A$3:$A$504,"&lt;&gt;Foderproduktion"))/SUMIFS(IF(D223=År1,'[1]Processer - data'!H$3:H$486,IF(D223=År2,'[1]Processer - data'!I$3:I$486,'[1]Processer - data'!J$3:J$486)),'[1]Processer - data'!$A$3:$A$486,"Foderproduktion",'[1]Processer - data'!$D$3:$D$486,$C223)</f>
        <v>6788464.5437639551</v>
      </c>
    </row>
    <row r="224" spans="1:7" x14ac:dyDescent="0.25">
      <c r="A224" s="100" t="s">
        <v>112</v>
      </c>
      <c r="B224" t="s">
        <v>23</v>
      </c>
      <c r="C224" s="101" t="str">
        <f t="shared" si="14"/>
        <v>Rapskage</v>
      </c>
      <c r="D224">
        <f t="shared" si="15"/>
        <v>2050</v>
      </c>
      <c r="E224" s="148">
        <f>VLOOKUP($C224,Fodersammensætning!A$3:E$17,MATCH(D224,Fodersammensætning!$A$2:$E$2,0),FALSE)*(-SUMIFS(IF(D224=År1,IF(B224="Vestdanmark",'Resultater - Vestdanmark'!H$3:H$504,'Resultater - Østdanmark'!H$3:H$504),IF(D224=År2,IF(B224="Vestdanmark",'Resultater - Vestdanmark'!I$3:I$504,'Resultater - Østdanmark'!I$3:I$504),IF(B224="Vestdanmark",'Resultater - Vestdanmark'!J$3:J$504,'Resultater - Østdanmark'!J$3:J$504))),'Resultater - Vestdanmark'!$F$3:$F$504,"Foder",'Resultater - Vestdanmark'!$A$3:$A$504,"&lt;&gt;Foderproduktion"))/SUMIFS(IF(D224=År1,'[1]Processer - data'!H$3:H$486,IF(D224=År2,'[1]Processer - data'!I$3:I$486,'[1]Processer - data'!J$3:J$486)),'[1]Processer - data'!$A$3:$A$486,"Foderproduktion",'[1]Processer - data'!$D$3:$D$486,$C224)</f>
        <v>256918.92730951472</v>
      </c>
    </row>
    <row r="225" spans="1:5" x14ac:dyDescent="0.25">
      <c r="A225" s="100" t="s">
        <v>112</v>
      </c>
      <c r="B225" t="s">
        <v>23</v>
      </c>
      <c r="C225" s="101" t="str">
        <f t="shared" si="14"/>
        <v>Tang</v>
      </c>
      <c r="D225">
        <f t="shared" si="15"/>
        <v>2050</v>
      </c>
      <c r="E225" s="148">
        <f>VLOOKUP($C225,Fodersammensætning!A$3:E$17,MATCH(D225,Fodersammensætning!$A$2:$E$2,0),FALSE)*(-SUMIFS(IF(D225=År1,IF(B225="Vestdanmark",'Resultater - Vestdanmark'!H$3:H$504,'Resultater - Østdanmark'!H$3:H$504),IF(D225=År2,IF(B225="Vestdanmark",'Resultater - Vestdanmark'!I$3:I$504,'Resultater - Østdanmark'!I$3:I$504),IF(B225="Vestdanmark",'Resultater - Vestdanmark'!J$3:J$504,'Resultater - Østdanmark'!J$3:J$504))),'Resultater - Vestdanmark'!$F$3:$F$504,"Foder",'Resultater - Vestdanmark'!$A$3:$A$504,"&lt;&gt;Foderproduktion"))/SUMIFS(IF(D225=År1,'[1]Processer - data'!H$3:H$486,IF(D225=År2,'[1]Processer - data'!I$3:I$486,'[1]Processer - data'!J$3:J$486)),'[1]Processer - data'!$A$3:$A$486,"Foderproduktion",'[1]Processer - data'!$D$3:$D$486,$C225)</f>
        <v>0</v>
      </c>
    </row>
    <row r="226" spans="1:5" x14ac:dyDescent="0.25">
      <c r="A226" s="100" t="s">
        <v>112</v>
      </c>
      <c r="B226" t="s">
        <v>23</v>
      </c>
      <c r="C226" s="101" t="str">
        <f t="shared" si="14"/>
        <v>Muslinger</v>
      </c>
      <c r="D226">
        <f t="shared" si="15"/>
        <v>2050</v>
      </c>
      <c r="E226" s="148">
        <f>VLOOKUP($C226,Fodersammensætning!A$3:E$17,MATCH(D226,Fodersammensætning!$A$2:$E$2,0),FALSE)*(-SUMIFS(IF(D226=År1,IF(B226="Vestdanmark",'Resultater - Vestdanmark'!H$3:H$504,'Resultater - Østdanmark'!H$3:H$504),IF(D226=År2,IF(B226="Vestdanmark",'Resultater - Vestdanmark'!I$3:I$504,'Resultater - Østdanmark'!I$3:I$504),IF(B226="Vestdanmark",'Resultater - Vestdanmark'!J$3:J$504,'Resultater - Østdanmark'!J$3:J$504))),'Resultater - Vestdanmark'!$F$3:$F$504,"Foder",'Resultater - Vestdanmark'!$A$3:$A$504,"&lt;&gt;Foderproduktion"))/SUMIFS(IF(D226=År1,'[1]Processer - data'!H$3:H$486,IF(D226=År2,'[1]Processer - data'!I$3:I$486,'[1]Processer - data'!J$3:J$486)),'[1]Processer - data'!$A$3:$A$486,"Foderproduktion",'[1]Processer - data'!$D$3:$D$486,$C226)</f>
        <v>0</v>
      </c>
    </row>
    <row r="227" spans="1:5" x14ac:dyDescent="0.25">
      <c r="A227" s="100" t="s">
        <v>112</v>
      </c>
      <c r="B227" t="s">
        <v>23</v>
      </c>
      <c r="C227" s="101" t="str">
        <f t="shared" si="14"/>
        <v>Græs</v>
      </c>
      <c r="D227">
        <f t="shared" si="15"/>
        <v>2050</v>
      </c>
      <c r="E227" s="148">
        <f>VLOOKUP($C227,Fodersammensætning!A$3:E$17,MATCH(D227,Fodersammensætning!$A$2:$E$2,0),FALSE)*(-SUMIFS(IF(D227=År1,IF(B227="Vestdanmark",'Resultater - Vestdanmark'!H$3:H$504,'Resultater - Østdanmark'!H$3:H$504),IF(D227=År2,IF(B227="Vestdanmark",'Resultater - Vestdanmark'!I$3:I$504,'Resultater - Østdanmark'!I$3:I$504),IF(B227="Vestdanmark",'Resultater - Vestdanmark'!J$3:J$504,'Resultater - Østdanmark'!J$3:J$504))),'Resultater - Vestdanmark'!$F$3:$F$504,"Foder",'Resultater - Vestdanmark'!$A$3:$A$504,"&lt;&gt;Foderproduktion"))/SUMIFS(IF(D227=År1,'[1]Processer - data'!H$3:H$486,IF(D227=År2,'[1]Processer - data'!I$3:I$486,'[1]Processer - data'!J$3:J$486)),'[1]Processer - data'!$A$3:$A$486,"Foderproduktion",'[1]Processer - data'!$D$3:$D$486,$C227)</f>
        <v>14685227.891109958</v>
      </c>
    </row>
    <row r="228" spans="1:5" x14ac:dyDescent="0.25">
      <c r="A228" s="100" t="s">
        <v>112</v>
      </c>
      <c r="B228" t="s">
        <v>23</v>
      </c>
      <c r="C228" s="101" t="str">
        <f t="shared" si="14"/>
        <v>Mælk til foder</v>
      </c>
      <c r="D228">
        <f t="shared" si="15"/>
        <v>2050</v>
      </c>
      <c r="E228" s="148">
        <f>VLOOKUP($C228,Fodersammensætning!A$3:E$17,MATCH(D228,Fodersammensætning!$A$2:$E$2,0),FALSE)*(-SUMIFS(IF(D228=År1,IF(B228="Vestdanmark",'Resultater - Vestdanmark'!H$3:H$504,'Resultater - Østdanmark'!H$3:H$504),IF(D228=År2,IF(B228="Vestdanmark",'Resultater - Vestdanmark'!I$3:I$504,'Resultater - Østdanmark'!I$3:I$504),IF(B228="Vestdanmark",'Resultater - Vestdanmark'!J$3:J$504,'Resultater - Østdanmark'!J$3:J$504))),'Resultater - Vestdanmark'!$F$3:$F$504,"Foder",'Resultater - Vestdanmark'!$A$3:$A$504,"&lt;&gt;Foderproduktion"))/SUMIFS(IF(D228=År1,'[1]Processer - data'!H$3:H$486,IF(D228=År2,'[1]Processer - data'!I$3:I$486,'[1]Processer - data'!J$3:J$486)),'[1]Processer - data'!$A$3:$A$486,"Foderproduktion",'[1]Processer - data'!$D$3:$D$486,$C228)</f>
        <v>1818857.0084004137</v>
      </c>
    </row>
    <row r="229" spans="1:5" x14ac:dyDescent="0.25">
      <c r="A229" s="100" t="s">
        <v>112</v>
      </c>
      <c r="B229" t="s">
        <v>23</v>
      </c>
      <c r="C229" s="101" t="str">
        <f t="shared" si="14"/>
        <v>Fiberfraktion</v>
      </c>
      <c r="D229">
        <f t="shared" si="15"/>
        <v>2050</v>
      </c>
      <c r="E229" s="148">
        <f>VLOOKUP($C229,Fodersammensætning!A$3:E$17,MATCH(D229,Fodersammensætning!$A$2:$E$2,0),FALSE)*(-SUMIFS(IF(D229=År1,IF(B229="Vestdanmark",'Resultater - Vestdanmark'!H$3:H$504,'Resultater - Østdanmark'!H$3:H$504),IF(D229=År2,IF(B229="Vestdanmark",'Resultater - Vestdanmark'!I$3:I$504,'Resultater - Østdanmark'!I$3:I$504),IF(B229="Vestdanmark",'Resultater - Vestdanmark'!J$3:J$504,'Resultater - Østdanmark'!J$3:J$504))),'Resultater - Vestdanmark'!$F$3:$F$504,"Foder",'Resultater - Vestdanmark'!$A$3:$A$504,"&lt;&gt;Foderproduktion"))/SUMIFS(IF(D229=År1,'[1]Processer - data'!H$3:H$486,IF(D229=År2,'[1]Processer - data'!I$3:I$486,'[1]Processer - data'!J$3:J$486)),'[1]Processer - data'!$A$3:$A$486,"Foderproduktion",'[1]Processer - data'!$D$3:$D$486,$C229)</f>
        <v>0</v>
      </c>
    </row>
    <row r="230" spans="1:5" x14ac:dyDescent="0.25">
      <c r="A230" s="100" t="s">
        <v>112</v>
      </c>
      <c r="B230" t="s">
        <v>23</v>
      </c>
      <c r="C230" s="101" t="str">
        <f t="shared" si="14"/>
        <v>Græsprotein</v>
      </c>
      <c r="D230">
        <f t="shared" si="15"/>
        <v>2050</v>
      </c>
      <c r="E230" s="148">
        <f>VLOOKUP($C230,Fodersammensætning!A$3:E$17,MATCH(D230,Fodersammensætning!$A$2:$E$2,0),FALSE)*(-SUMIFS(IF(D230=År1,IF(B230="Vestdanmark",'Resultater - Vestdanmark'!H$3:H$504,'Resultater - Østdanmark'!H$3:H$504),IF(D230=År2,IF(B230="Vestdanmark",'Resultater - Vestdanmark'!I$3:I$504,'Resultater - Østdanmark'!I$3:I$504),IF(B230="Vestdanmark",'Resultater - Vestdanmark'!J$3:J$504,'Resultater - Østdanmark'!J$3:J$504))),'Resultater - Vestdanmark'!$F$3:$F$504,"Foder",'Resultater - Vestdanmark'!$A$3:$A$504,"&lt;&gt;Foderproduktion"))/SUMIFS(IF(D230=År1,'[1]Processer - data'!H$3:H$486,IF(D230=År2,'[1]Processer - data'!I$3:I$486,'[1]Processer - data'!J$3:J$486)),'[1]Processer - data'!$A$3:$A$486,"Foderproduktion",'[1]Processer - data'!$D$3:$D$486,$C230)</f>
        <v>0</v>
      </c>
    </row>
    <row r="231" spans="1:5" x14ac:dyDescent="0.25">
      <c r="A231" s="100" t="s">
        <v>112</v>
      </c>
      <c r="B231" t="s">
        <v>23</v>
      </c>
      <c r="C231" s="101" t="str">
        <f t="shared" si="14"/>
        <v>Slagteriaffald til foder</v>
      </c>
      <c r="D231">
        <f t="shared" si="15"/>
        <v>2050</v>
      </c>
      <c r="E231" s="148">
        <f>VLOOKUP($C231,Fodersammensætning!A$3:E$17,MATCH(D231,Fodersammensætning!$A$2:$E$2,0),FALSE)*(-SUMIFS(IF(D231=År1,IF(B231="Vestdanmark",'Resultater - Vestdanmark'!H$3:H$504,'Resultater - Østdanmark'!H$3:H$504),IF(D231=År2,IF(B231="Vestdanmark",'Resultater - Vestdanmark'!I$3:I$504,'Resultater - Østdanmark'!I$3:I$504),IF(B231="Vestdanmark",'Resultater - Vestdanmark'!J$3:J$504,'Resultater - Østdanmark'!J$3:J$504))),'Resultater - Vestdanmark'!$F$3:$F$504,"Foder",'Resultater - Vestdanmark'!$A$3:$A$504,"&lt;&gt;Foderproduktion"))/SUMIFS(IF(D231=År1,'[1]Processer - data'!H$3:H$486,IF(D231=År2,'[1]Processer - data'!I$3:I$486,'[1]Processer - data'!J$3:J$486)),'[1]Processer - data'!$A$3:$A$486,"Foderproduktion",'[1]Processer - data'!$D$3:$D$486,$C231)</f>
        <v>47298.882015140785</v>
      </c>
    </row>
    <row r="232" spans="1:5" x14ac:dyDescent="0.25">
      <c r="A232" s="100" t="s">
        <v>112</v>
      </c>
      <c r="B232" t="s">
        <v>23</v>
      </c>
      <c r="C232" s="101" t="str">
        <f t="shared" si="14"/>
        <v>Import af foder</v>
      </c>
      <c r="D232">
        <f t="shared" si="15"/>
        <v>2050</v>
      </c>
      <c r="E232" s="148">
        <f>VLOOKUP($C232,Fodersammensætning!A$3:E$17,MATCH(D232,Fodersammensætning!$A$2:$E$2,0),FALSE)*(-SUMIFS(IF(D232=År1,IF(B232="Vestdanmark",'Resultater - Vestdanmark'!H$3:H$504,'Resultater - Østdanmark'!H$3:H$504),IF(D232=År2,IF(B232="Vestdanmark",'Resultater - Vestdanmark'!I$3:I$504,'Resultater - Østdanmark'!I$3:I$504),IF(B232="Vestdanmark",'Resultater - Vestdanmark'!J$3:J$504,'Resultater - Østdanmark'!J$3:J$504))),'Resultater - Vestdanmark'!$F$3:$F$504,"Foder",'Resultater - Vestdanmark'!$A$3:$A$504,"&lt;&gt;Foderproduktion"))/SUMIFS(IF(D232=År1,'[1]Processer - data'!H$3:H$486,IF(D232=År2,'[1]Processer - data'!I$3:I$486,'[1]Processer - data'!J$3:J$486)),'[1]Processer - data'!$A$3:$A$486,"Foderproduktion",'[1]Processer - data'!$D$3:$D$486,$C232)</f>
        <v>5794113.0468547465</v>
      </c>
    </row>
    <row r="233" spans="1:5" x14ac:dyDescent="0.25">
      <c r="A233" s="100" t="s">
        <v>112</v>
      </c>
      <c r="B233" t="s">
        <v>24</v>
      </c>
      <c r="C233" s="101" t="str">
        <f t="shared" si="14"/>
        <v>Korn</v>
      </c>
      <c r="D233">
        <f t="shared" ref="D233:D247" si="16">År1</f>
        <v>2019</v>
      </c>
      <c r="E233" s="148">
        <f>VLOOKUP($C233,Fodersammensætning!A$3:E$17,MATCH(D233,Fodersammensætning!$A$2:$E$2,0),FALSE)*(-SUMIFS(IF(D233=År1,IF(B233="Vestdanmark",'Resultater - Vestdanmark'!H$3:H$504,'Resultater - Østdanmark'!H$3:H$504),IF(D233=År2,IF(B233="Vestdanmark",'Resultater - Vestdanmark'!I$3:I$504,'Resultater - Østdanmark'!I$3:I$504),IF(B233="Vestdanmark",'Resultater - Vestdanmark'!J$3:J$504,'Resultater - Østdanmark'!J$3:J$504))),'Resultater - Vestdanmark'!$F$3:$F$504,"Foder",'Resultater - Vestdanmark'!$A$3:$A$504,"&lt;&gt;Foderproduktion"))/SUMIFS(IF(D233=År1,'[1]Processer - data'!H$3:H$486,IF(D233=År2,'[1]Processer - data'!I$3:I$486,'[1]Processer - data'!J$3:J$486)),'[1]Processer - data'!$A$3:$A$486,"Foderproduktion",'[1]Processer - data'!$D$3:$D$486,$C233)</f>
        <v>721621.60770550335</v>
      </c>
    </row>
    <row r="234" spans="1:5" x14ac:dyDescent="0.25">
      <c r="A234" s="100" t="s">
        <v>112</v>
      </c>
      <c r="B234" t="s">
        <v>24</v>
      </c>
      <c r="C234" s="101" t="str">
        <f t="shared" si="14"/>
        <v>Halm</v>
      </c>
      <c r="D234">
        <f t="shared" si="16"/>
        <v>2019</v>
      </c>
      <c r="E234" s="148">
        <f>VLOOKUP($C234,Fodersammensætning!A$3:E$17,MATCH(D234,Fodersammensætning!$A$2:$E$2,0),FALSE)*(-SUMIFS(IF(D234=År1,IF(B234="Vestdanmark",'Resultater - Vestdanmark'!H$3:H$504,'Resultater - Østdanmark'!H$3:H$504),IF(D234=År2,IF(B234="Vestdanmark",'Resultater - Vestdanmark'!I$3:I$504,'Resultater - Østdanmark'!I$3:I$504),IF(B234="Vestdanmark",'Resultater - Vestdanmark'!J$3:J$504,'Resultater - Østdanmark'!J$3:J$504))),'Resultater - Vestdanmark'!$F$3:$F$504,"Foder",'Resultater - Vestdanmark'!$A$3:$A$504,"&lt;&gt;Foderproduktion"))/SUMIFS(IF(D234=År1,'[1]Processer - data'!H$3:H$486,IF(D234=År2,'[1]Processer - data'!I$3:I$486,'[1]Processer - data'!J$3:J$486)),'[1]Processer - data'!$A$3:$A$486,"Foderproduktion",'[1]Processer - data'!$D$3:$D$486,$C234)</f>
        <v>94889.448034412548</v>
      </c>
    </row>
    <row r="235" spans="1:5" x14ac:dyDescent="0.25">
      <c r="A235" s="100" t="s">
        <v>112</v>
      </c>
      <c r="B235" t="s">
        <v>24</v>
      </c>
      <c r="C235" s="101" t="str">
        <f t="shared" si="14"/>
        <v>Kartofler</v>
      </c>
      <c r="D235">
        <f t="shared" si="16"/>
        <v>2019</v>
      </c>
      <c r="E235" s="148">
        <f>VLOOKUP($C235,Fodersammensætning!A$3:E$17,MATCH(D235,Fodersammensætning!$A$2:$E$2,0),FALSE)*(-SUMIFS(IF(D235=År1,IF(B235="Vestdanmark",'Resultater - Vestdanmark'!H$3:H$504,'Resultater - Østdanmark'!H$3:H$504),IF(D235=År2,IF(B235="Vestdanmark",'Resultater - Vestdanmark'!I$3:I$504,'Resultater - Østdanmark'!I$3:I$504),IF(B235="Vestdanmark",'Resultater - Vestdanmark'!J$3:J$504,'Resultater - Østdanmark'!J$3:J$504))),'Resultater - Vestdanmark'!$F$3:$F$504,"Foder",'Resultater - Vestdanmark'!$A$3:$A$504,"&lt;&gt;Foderproduktion"))/SUMIFS(IF(D235=År1,'[1]Processer - data'!H$3:H$486,IF(D235=År2,'[1]Processer - data'!I$3:I$486,'[1]Processer - data'!J$3:J$486)),'[1]Processer - data'!$A$3:$A$486,"Foderproduktion",'[1]Processer - data'!$D$3:$D$486,$C235)</f>
        <v>0</v>
      </c>
    </row>
    <row r="236" spans="1:5" x14ac:dyDescent="0.25">
      <c r="A236" s="100" t="s">
        <v>112</v>
      </c>
      <c r="B236" t="s">
        <v>24</v>
      </c>
      <c r="C236" s="101" t="str">
        <f t="shared" si="14"/>
        <v>Bælgsæd</v>
      </c>
      <c r="D236">
        <f t="shared" si="16"/>
        <v>2019</v>
      </c>
      <c r="E236" s="148">
        <f>VLOOKUP($C236,Fodersammensætning!A$3:E$17,MATCH(D236,Fodersammensætning!$A$2:$E$2,0),FALSE)*(-SUMIFS(IF(D236=År1,IF(B236="Vestdanmark",'Resultater - Vestdanmark'!H$3:H$504,'Resultater - Østdanmark'!H$3:H$504),IF(D236=År2,IF(B236="Vestdanmark",'Resultater - Vestdanmark'!I$3:I$504,'Resultater - Østdanmark'!I$3:I$504),IF(B236="Vestdanmark",'Resultater - Vestdanmark'!J$3:J$504,'Resultater - Østdanmark'!J$3:J$504))),'Resultater - Vestdanmark'!$F$3:$F$504,"Foder",'Resultater - Vestdanmark'!$A$3:$A$504,"&lt;&gt;Foderproduktion"))/SUMIFS(IF(D236=År1,'[1]Processer - data'!H$3:H$486,IF(D236=År2,'[1]Processer - data'!I$3:I$486,'[1]Processer - data'!J$3:J$486)),'[1]Processer - data'!$A$3:$A$486,"Foderproduktion",'[1]Processer - data'!$D$3:$D$486,$C236)</f>
        <v>7916.616753740097</v>
      </c>
    </row>
    <row r="237" spans="1:5" x14ac:dyDescent="0.25">
      <c r="A237" s="100" t="s">
        <v>112</v>
      </c>
      <c r="B237" t="s">
        <v>24</v>
      </c>
      <c r="C237" s="101" t="str">
        <f t="shared" si="14"/>
        <v>Roer</v>
      </c>
      <c r="D237">
        <f t="shared" si="16"/>
        <v>2019</v>
      </c>
      <c r="E237" s="148">
        <f>VLOOKUP($C237,Fodersammensætning!A$3:E$17,MATCH(D237,Fodersammensætning!$A$2:$E$2,0),FALSE)*(-SUMIFS(IF(D237=År1,IF(B237="Vestdanmark",'Resultater - Vestdanmark'!H$3:H$504,'Resultater - Østdanmark'!H$3:H$504),IF(D237=År2,IF(B237="Vestdanmark",'Resultater - Vestdanmark'!I$3:I$504,'Resultater - Østdanmark'!I$3:I$504),IF(B237="Vestdanmark",'Resultater - Vestdanmark'!J$3:J$504,'Resultater - Østdanmark'!J$3:J$504))),'Resultater - Vestdanmark'!$F$3:$F$504,"Foder",'Resultater - Vestdanmark'!$A$3:$A$504,"&lt;&gt;Foderproduktion"))/SUMIFS(IF(D237=År1,'[1]Processer - data'!H$3:H$486,IF(D237=År2,'[1]Processer - data'!I$3:I$486,'[1]Processer - data'!J$3:J$486)),'[1]Processer - data'!$A$3:$A$486,"Foderproduktion",'[1]Processer - data'!$D$3:$D$486,$C237)</f>
        <v>103245.87683002709</v>
      </c>
    </row>
    <row r="238" spans="1:5" x14ac:dyDescent="0.25">
      <c r="A238" s="100" t="s">
        <v>112</v>
      </c>
      <c r="B238" t="s">
        <v>24</v>
      </c>
      <c r="C238" s="101" t="str">
        <f t="shared" si="14"/>
        <v>Majs</v>
      </c>
      <c r="D238">
        <f t="shared" si="16"/>
        <v>2019</v>
      </c>
      <c r="E238" s="148">
        <f>VLOOKUP($C238,Fodersammensætning!A$3:E$17,MATCH(D238,Fodersammensætning!$A$2:$E$2,0),FALSE)*(-SUMIFS(IF(D238=År1,IF(B238="Vestdanmark",'Resultater - Vestdanmark'!H$3:H$504,'Resultater - Østdanmark'!H$3:H$504),IF(D238=År2,IF(B238="Vestdanmark",'Resultater - Vestdanmark'!I$3:I$504,'Resultater - Østdanmark'!I$3:I$504),IF(B238="Vestdanmark",'Resultater - Vestdanmark'!J$3:J$504,'Resultater - Østdanmark'!J$3:J$504))),'Resultater - Vestdanmark'!$F$3:$F$504,"Foder",'Resultater - Vestdanmark'!$A$3:$A$504,"&lt;&gt;Foderproduktion"))/SUMIFS(IF(D238=År1,'[1]Processer - data'!H$3:H$486,IF(D238=År2,'[1]Processer - data'!I$3:I$486,'[1]Processer - data'!J$3:J$486)),'[1]Processer - data'!$A$3:$A$486,"Foderproduktion",'[1]Processer - data'!$D$3:$D$486,$C238)</f>
        <v>694353.2611092875</v>
      </c>
    </row>
    <row r="239" spans="1:5" x14ac:dyDescent="0.25">
      <c r="A239" s="100" t="s">
        <v>112</v>
      </c>
      <c r="B239" t="s">
        <v>24</v>
      </c>
      <c r="C239" s="101" t="str">
        <f t="shared" si="14"/>
        <v>Rapskage</v>
      </c>
      <c r="D239">
        <f t="shared" si="16"/>
        <v>2019</v>
      </c>
      <c r="E239" s="148">
        <f>VLOOKUP($C239,Fodersammensætning!A$3:E$17,MATCH(D239,Fodersammensætning!$A$2:$E$2,0),FALSE)*(-SUMIFS(IF(D239=År1,IF(B239="Vestdanmark",'Resultater - Vestdanmark'!H$3:H$504,'Resultater - Østdanmark'!H$3:H$504),IF(D239=År2,IF(B239="Vestdanmark",'Resultater - Vestdanmark'!I$3:I$504,'Resultater - Østdanmark'!I$3:I$504),IF(B239="Vestdanmark",'Resultater - Vestdanmark'!J$3:J$504,'Resultater - Østdanmark'!J$3:J$504))),'Resultater - Vestdanmark'!$F$3:$F$504,"Foder",'Resultater - Vestdanmark'!$A$3:$A$504,"&lt;&gt;Foderproduktion"))/SUMIFS(IF(D239=År1,'[1]Processer - data'!H$3:H$486,IF(D239=År2,'[1]Processer - data'!I$3:I$486,'[1]Processer - data'!J$3:J$486)),'[1]Processer - data'!$A$3:$A$486,"Foderproduktion",'[1]Processer - data'!$D$3:$D$486,$C239)</f>
        <v>26278.769501998373</v>
      </c>
    </row>
    <row r="240" spans="1:5" x14ac:dyDescent="0.25">
      <c r="A240" s="100" t="s">
        <v>112</v>
      </c>
      <c r="B240" t="s">
        <v>24</v>
      </c>
      <c r="C240" s="101" t="str">
        <f t="shared" si="14"/>
        <v>Tang</v>
      </c>
      <c r="D240">
        <f t="shared" si="16"/>
        <v>2019</v>
      </c>
      <c r="E240" s="148">
        <f>VLOOKUP($C240,Fodersammensætning!A$3:E$17,MATCH(D240,Fodersammensætning!$A$2:$E$2,0),FALSE)*(-SUMIFS(IF(D240=År1,IF(B240="Vestdanmark",'Resultater - Vestdanmark'!H$3:H$504,'Resultater - Østdanmark'!H$3:H$504),IF(D240=År2,IF(B240="Vestdanmark",'Resultater - Vestdanmark'!I$3:I$504,'Resultater - Østdanmark'!I$3:I$504),IF(B240="Vestdanmark",'Resultater - Vestdanmark'!J$3:J$504,'Resultater - Østdanmark'!J$3:J$504))),'Resultater - Vestdanmark'!$F$3:$F$504,"Foder",'Resultater - Vestdanmark'!$A$3:$A$504,"&lt;&gt;Foderproduktion"))/SUMIFS(IF(D240=År1,'[1]Processer - data'!H$3:H$486,IF(D240=År2,'[1]Processer - data'!I$3:I$486,'[1]Processer - data'!J$3:J$486)),'[1]Processer - data'!$A$3:$A$486,"Foderproduktion",'[1]Processer - data'!$D$3:$D$486,$C240)</f>
        <v>0</v>
      </c>
    </row>
    <row r="241" spans="1:5" x14ac:dyDescent="0.25">
      <c r="A241" s="100" t="s">
        <v>112</v>
      </c>
      <c r="B241" t="s">
        <v>24</v>
      </c>
      <c r="C241" s="101" t="str">
        <f t="shared" si="14"/>
        <v>Muslinger</v>
      </c>
      <c r="D241">
        <f t="shared" si="16"/>
        <v>2019</v>
      </c>
      <c r="E241" s="148">
        <f>VLOOKUP($C241,Fodersammensætning!A$3:E$17,MATCH(D241,Fodersammensætning!$A$2:$E$2,0),FALSE)*(-SUMIFS(IF(D241=År1,IF(B241="Vestdanmark",'Resultater - Vestdanmark'!H$3:H$504,'Resultater - Østdanmark'!H$3:H$504),IF(D241=År2,IF(B241="Vestdanmark",'Resultater - Vestdanmark'!I$3:I$504,'Resultater - Østdanmark'!I$3:I$504),IF(B241="Vestdanmark",'Resultater - Vestdanmark'!J$3:J$504,'Resultater - Østdanmark'!J$3:J$504))),'Resultater - Vestdanmark'!$F$3:$F$504,"Foder",'Resultater - Vestdanmark'!$A$3:$A$504,"&lt;&gt;Foderproduktion"))/SUMIFS(IF(D241=År1,'[1]Processer - data'!H$3:H$486,IF(D241=År2,'[1]Processer - data'!I$3:I$486,'[1]Processer - data'!J$3:J$486)),'[1]Processer - data'!$A$3:$A$486,"Foderproduktion",'[1]Processer - data'!$D$3:$D$486,$C241)</f>
        <v>0</v>
      </c>
    </row>
    <row r="242" spans="1:5" x14ac:dyDescent="0.25">
      <c r="A242" s="100" t="s">
        <v>112</v>
      </c>
      <c r="B242" t="s">
        <v>24</v>
      </c>
      <c r="C242" s="101" t="str">
        <f t="shared" si="14"/>
        <v>Græs</v>
      </c>
      <c r="D242">
        <f t="shared" si="16"/>
        <v>2019</v>
      </c>
      <c r="E242" s="148">
        <f>VLOOKUP($C242,Fodersammensætning!A$3:E$17,MATCH(D242,Fodersammensætning!$A$2:$E$2,0),FALSE)*(-SUMIFS(IF(D242=År1,IF(B242="Vestdanmark",'Resultater - Vestdanmark'!H$3:H$504,'Resultater - Østdanmark'!H$3:H$504),IF(D242=År2,IF(B242="Vestdanmark",'Resultater - Vestdanmark'!I$3:I$504,'Resultater - Østdanmark'!I$3:I$504),IF(B242="Vestdanmark",'Resultater - Vestdanmark'!J$3:J$504,'Resultater - Østdanmark'!J$3:J$504))),'Resultater - Vestdanmark'!$F$3:$F$504,"Foder",'Resultater - Vestdanmark'!$A$3:$A$504,"&lt;&gt;Foderproduktion"))/SUMIFS(IF(D242=År1,'[1]Processer - data'!H$3:H$486,IF(D242=År2,'[1]Processer - data'!I$3:I$486,'[1]Processer - data'!J$3:J$486)),'[1]Processer - data'!$A$3:$A$486,"Foderproduktion",'[1]Processer - data'!$D$3:$D$486,$C242)</f>
        <v>1502068.0760117143</v>
      </c>
    </row>
    <row r="243" spans="1:5" x14ac:dyDescent="0.25">
      <c r="A243" s="100" t="s">
        <v>112</v>
      </c>
      <c r="B243" t="s">
        <v>24</v>
      </c>
      <c r="C243" s="101" t="str">
        <f t="shared" si="14"/>
        <v>Mælk til foder</v>
      </c>
      <c r="D243">
        <f t="shared" si="16"/>
        <v>2019</v>
      </c>
      <c r="E243" s="148">
        <f>VLOOKUP($C243,Fodersammensætning!A$3:E$17,MATCH(D243,Fodersammensætning!$A$2:$E$2,0),FALSE)*(-SUMIFS(IF(D243=År1,IF(B243="Vestdanmark",'Resultater - Vestdanmark'!H$3:H$504,'Resultater - Østdanmark'!H$3:H$504),IF(D243=År2,IF(B243="Vestdanmark",'Resultater - Vestdanmark'!I$3:I$504,'Resultater - Østdanmark'!I$3:I$504),IF(B243="Vestdanmark",'Resultater - Vestdanmark'!J$3:J$504,'Resultater - Østdanmark'!J$3:J$504))),'Resultater - Vestdanmark'!$F$3:$F$504,"Foder",'Resultater - Vestdanmark'!$A$3:$A$504,"&lt;&gt;Foderproduktion"))/SUMIFS(IF(D243=År1,'[1]Processer - data'!H$3:H$486,IF(D243=År2,'[1]Processer - data'!I$3:I$486,'[1]Processer - data'!J$3:J$486)),'[1]Processer - data'!$A$3:$A$486,"Foderproduktion",'[1]Processer - data'!$D$3:$D$486,$C243)</f>
        <v>186040.49371289223</v>
      </c>
    </row>
    <row r="244" spans="1:5" x14ac:dyDescent="0.25">
      <c r="A244" s="100" t="s">
        <v>112</v>
      </c>
      <c r="B244" t="s">
        <v>24</v>
      </c>
      <c r="C244" s="101" t="str">
        <f t="shared" si="14"/>
        <v>Fiberfraktion</v>
      </c>
      <c r="D244">
        <f t="shared" si="16"/>
        <v>2019</v>
      </c>
      <c r="E244" s="148">
        <f>VLOOKUP($C244,Fodersammensætning!A$3:E$17,MATCH(D244,Fodersammensætning!$A$2:$E$2,0),FALSE)*(-SUMIFS(IF(D244=År1,IF(B244="Vestdanmark",'Resultater - Vestdanmark'!H$3:H$504,'Resultater - Østdanmark'!H$3:H$504),IF(D244=År2,IF(B244="Vestdanmark",'Resultater - Vestdanmark'!I$3:I$504,'Resultater - Østdanmark'!I$3:I$504),IF(B244="Vestdanmark",'Resultater - Vestdanmark'!J$3:J$504,'Resultater - Østdanmark'!J$3:J$504))),'Resultater - Vestdanmark'!$F$3:$F$504,"Foder",'Resultater - Vestdanmark'!$A$3:$A$504,"&lt;&gt;Foderproduktion"))/SUMIFS(IF(D244=År1,'[1]Processer - data'!H$3:H$486,IF(D244=År2,'[1]Processer - data'!I$3:I$486,'[1]Processer - data'!J$3:J$486)),'[1]Processer - data'!$A$3:$A$486,"Foderproduktion",'[1]Processer - data'!$D$3:$D$486,$C244)</f>
        <v>0</v>
      </c>
    </row>
    <row r="245" spans="1:5" x14ac:dyDescent="0.25">
      <c r="A245" s="100" t="s">
        <v>112</v>
      </c>
      <c r="B245" t="s">
        <v>24</v>
      </c>
      <c r="C245" s="101" t="str">
        <f t="shared" si="14"/>
        <v>Græsprotein</v>
      </c>
      <c r="D245">
        <f t="shared" si="16"/>
        <v>2019</v>
      </c>
      <c r="E245" s="148">
        <f>VLOOKUP($C245,Fodersammensætning!A$3:E$17,MATCH(D245,Fodersammensætning!$A$2:$E$2,0),FALSE)*(-SUMIFS(IF(D245=År1,IF(B245="Vestdanmark",'Resultater - Vestdanmark'!H$3:H$504,'Resultater - Østdanmark'!H$3:H$504),IF(D245=År2,IF(B245="Vestdanmark",'Resultater - Vestdanmark'!I$3:I$504,'Resultater - Østdanmark'!I$3:I$504),IF(B245="Vestdanmark",'Resultater - Vestdanmark'!J$3:J$504,'Resultater - Østdanmark'!J$3:J$504))),'Resultater - Vestdanmark'!$F$3:$F$504,"Foder",'Resultater - Vestdanmark'!$A$3:$A$504,"&lt;&gt;Foderproduktion"))/SUMIFS(IF(D245=År1,'[1]Processer - data'!H$3:H$486,IF(D245=År2,'[1]Processer - data'!I$3:I$486,'[1]Processer - data'!J$3:J$486)),'[1]Processer - data'!$A$3:$A$486,"Foderproduktion",'[1]Processer - data'!$D$3:$D$486,$C245)</f>
        <v>0</v>
      </c>
    </row>
    <row r="246" spans="1:5" x14ac:dyDescent="0.25">
      <c r="A246" s="100" t="s">
        <v>112</v>
      </c>
      <c r="B246" t="s">
        <v>24</v>
      </c>
      <c r="C246" s="101" t="str">
        <f t="shared" si="14"/>
        <v>Slagteriaffald til foder</v>
      </c>
      <c r="D246">
        <f t="shared" si="16"/>
        <v>2019</v>
      </c>
      <c r="E246" s="148">
        <f>VLOOKUP($C246,Fodersammensætning!A$3:E$17,MATCH(D246,Fodersammensætning!$A$2:$E$2,0),FALSE)*(-SUMIFS(IF(D246=År1,IF(B246="Vestdanmark",'Resultater - Vestdanmark'!H$3:H$504,'Resultater - Østdanmark'!H$3:H$504),IF(D246=År2,IF(B246="Vestdanmark",'Resultater - Vestdanmark'!I$3:I$504,'Resultater - Østdanmark'!I$3:I$504),IF(B246="Vestdanmark",'Resultater - Vestdanmark'!J$3:J$504,'Resultater - Østdanmark'!J$3:J$504))),'Resultater - Vestdanmark'!$F$3:$F$504,"Foder",'Resultater - Vestdanmark'!$A$3:$A$504,"&lt;&gt;Foderproduktion"))/SUMIFS(IF(D246=År1,'[1]Processer - data'!H$3:H$486,IF(D246=År2,'[1]Processer - data'!I$3:I$486,'[1]Processer - data'!J$3:J$486)),'[1]Processer - data'!$A$3:$A$486,"Foderproduktion",'[1]Processer - data'!$D$3:$D$486,$C246)</f>
        <v>4837.9324606189475</v>
      </c>
    </row>
    <row r="247" spans="1:5" x14ac:dyDescent="0.25">
      <c r="A247" s="100" t="s">
        <v>112</v>
      </c>
      <c r="B247" t="s">
        <v>24</v>
      </c>
      <c r="C247" s="101" t="str">
        <f t="shared" si="14"/>
        <v>Import af foder</v>
      </c>
      <c r="D247">
        <f t="shared" si="16"/>
        <v>2019</v>
      </c>
      <c r="E247" s="148">
        <f>VLOOKUP($C247,Fodersammensætning!A$3:E$17,MATCH(D247,Fodersammensætning!$A$2:$E$2,0),FALSE)*(-SUMIFS(IF(D247=År1,IF(B247="Vestdanmark",'Resultater - Vestdanmark'!H$3:H$504,'Resultater - Østdanmark'!H$3:H$504),IF(D247=År2,IF(B247="Vestdanmark",'Resultater - Vestdanmark'!I$3:I$504,'Resultater - Østdanmark'!I$3:I$504),IF(B247="Vestdanmark",'Resultater - Vestdanmark'!J$3:J$504,'Resultater - Østdanmark'!J$3:J$504))),'Resultater - Vestdanmark'!$F$3:$F$504,"Foder",'Resultater - Vestdanmark'!$A$3:$A$504,"&lt;&gt;Foderproduktion"))/SUMIFS(IF(D247=År1,'[1]Processer - data'!H$3:H$486,IF(D247=År2,'[1]Processer - data'!I$3:I$486,'[1]Processer - data'!J$3:J$486)),'[1]Processer - data'!$A$3:$A$486,"Foderproduktion",'[1]Processer - data'!$D$3:$D$486,$C247)</f>
        <v>592646.72642582108</v>
      </c>
    </row>
    <row r="248" spans="1:5" x14ac:dyDescent="0.25">
      <c r="A248" s="100" t="s">
        <v>112</v>
      </c>
      <c r="B248" t="s">
        <v>24</v>
      </c>
      <c r="C248" s="101" t="str">
        <f t="shared" si="14"/>
        <v>Korn</v>
      </c>
      <c r="D248">
        <f t="shared" ref="D248:D262" si="17">År2</f>
        <v>2030</v>
      </c>
      <c r="E248" s="148">
        <f>VLOOKUP($C248,Fodersammensætning!A$3:E$17,MATCH(D248,Fodersammensætning!$A$2:$E$2,0),FALSE)*(-SUMIFS(IF(D248=År1,IF(B248="Vestdanmark",'Resultater - Vestdanmark'!H$3:H$504,'Resultater - Østdanmark'!H$3:H$504),IF(D248=År2,IF(B248="Vestdanmark",'Resultater - Vestdanmark'!I$3:I$504,'Resultater - Østdanmark'!I$3:I$504),IF(B248="Vestdanmark",'Resultater - Vestdanmark'!J$3:J$504,'Resultater - Østdanmark'!J$3:J$504))),'Resultater - Vestdanmark'!$F$3:$F$504,"Foder",'Resultater - Vestdanmark'!$A$3:$A$504,"&lt;&gt;Foderproduktion"))/SUMIFS(IF(D248=År1,'[1]Processer - data'!H$3:H$486,IF(D248=År2,'[1]Processer - data'!I$3:I$486,'[1]Processer - data'!J$3:J$486)),'[1]Processer - data'!$A$3:$A$486,"Foderproduktion",'[1]Processer - data'!$D$3:$D$486,$C248)</f>
        <v>865945.92924660386</v>
      </c>
    </row>
    <row r="249" spans="1:5" x14ac:dyDescent="0.25">
      <c r="A249" s="100" t="s">
        <v>112</v>
      </c>
      <c r="B249" t="s">
        <v>24</v>
      </c>
      <c r="C249" s="101" t="str">
        <f t="shared" si="14"/>
        <v>Halm</v>
      </c>
      <c r="D249">
        <f t="shared" si="17"/>
        <v>2030</v>
      </c>
      <c r="E249" s="148">
        <f>VLOOKUP($C249,Fodersammensætning!A$3:E$17,MATCH(D249,Fodersammensætning!$A$2:$E$2,0),FALSE)*(-SUMIFS(IF(D249=År1,IF(B249="Vestdanmark",'Resultater - Vestdanmark'!H$3:H$504,'Resultater - Østdanmark'!H$3:H$504),IF(D249=År2,IF(B249="Vestdanmark",'Resultater - Vestdanmark'!I$3:I$504,'Resultater - Østdanmark'!I$3:I$504),IF(B249="Vestdanmark",'Resultater - Vestdanmark'!J$3:J$504,'Resultater - Østdanmark'!J$3:J$504))),'Resultater - Vestdanmark'!$F$3:$F$504,"Foder",'Resultater - Vestdanmark'!$A$3:$A$504,"&lt;&gt;Foderproduktion"))/SUMIFS(IF(D249=År1,'[1]Processer - data'!H$3:H$486,IF(D249=År2,'[1]Processer - data'!I$3:I$486,'[1]Processer - data'!J$3:J$486)),'[1]Processer - data'!$A$3:$A$486,"Foderproduktion",'[1]Processer - data'!$D$3:$D$486,$C249)</f>
        <v>113867.33764129503</v>
      </c>
    </row>
    <row r="250" spans="1:5" x14ac:dyDescent="0.25">
      <c r="A250" s="100" t="s">
        <v>112</v>
      </c>
      <c r="B250" t="s">
        <v>24</v>
      </c>
      <c r="C250" s="101" t="str">
        <f t="shared" si="14"/>
        <v>Kartofler</v>
      </c>
      <c r="D250">
        <f t="shared" si="17"/>
        <v>2030</v>
      </c>
      <c r="E250" s="148">
        <f>VLOOKUP($C250,Fodersammensætning!A$3:E$17,MATCH(D250,Fodersammensætning!$A$2:$E$2,0),FALSE)*(-SUMIFS(IF(D250=År1,IF(B250="Vestdanmark",'Resultater - Vestdanmark'!H$3:H$504,'Resultater - Østdanmark'!H$3:H$504),IF(D250=År2,IF(B250="Vestdanmark",'Resultater - Vestdanmark'!I$3:I$504,'Resultater - Østdanmark'!I$3:I$504),IF(B250="Vestdanmark",'Resultater - Vestdanmark'!J$3:J$504,'Resultater - Østdanmark'!J$3:J$504))),'Resultater - Vestdanmark'!$F$3:$F$504,"Foder",'Resultater - Vestdanmark'!$A$3:$A$504,"&lt;&gt;Foderproduktion"))/SUMIFS(IF(D250=År1,'[1]Processer - data'!H$3:H$486,IF(D250=År2,'[1]Processer - data'!I$3:I$486,'[1]Processer - data'!J$3:J$486)),'[1]Processer - data'!$A$3:$A$486,"Foderproduktion",'[1]Processer - data'!$D$3:$D$486,$C250)</f>
        <v>0</v>
      </c>
    </row>
    <row r="251" spans="1:5" x14ac:dyDescent="0.25">
      <c r="A251" s="100" t="s">
        <v>112</v>
      </c>
      <c r="B251" t="s">
        <v>24</v>
      </c>
      <c r="C251" s="101" t="str">
        <f t="shared" si="14"/>
        <v>Bælgsæd</v>
      </c>
      <c r="D251">
        <f t="shared" si="17"/>
        <v>2030</v>
      </c>
      <c r="E251" s="148">
        <f>VLOOKUP($C251,Fodersammensætning!A$3:E$17,MATCH(D251,Fodersammensætning!$A$2:$E$2,0),FALSE)*(-SUMIFS(IF(D251=År1,IF(B251="Vestdanmark",'Resultater - Vestdanmark'!H$3:H$504,'Resultater - Østdanmark'!H$3:H$504),IF(D251=År2,IF(B251="Vestdanmark",'Resultater - Vestdanmark'!I$3:I$504,'Resultater - Østdanmark'!I$3:I$504),IF(B251="Vestdanmark",'Resultater - Vestdanmark'!J$3:J$504,'Resultater - Østdanmark'!J$3:J$504))),'Resultater - Vestdanmark'!$F$3:$F$504,"Foder",'Resultater - Vestdanmark'!$A$3:$A$504,"&lt;&gt;Foderproduktion"))/SUMIFS(IF(D251=År1,'[1]Processer - data'!H$3:H$486,IF(D251=År2,'[1]Processer - data'!I$3:I$486,'[1]Processer - data'!J$3:J$486)),'[1]Processer - data'!$A$3:$A$486,"Foderproduktion",'[1]Processer - data'!$D$3:$D$486,$C251)</f>
        <v>9499.9401044881142</v>
      </c>
    </row>
    <row r="252" spans="1:5" x14ac:dyDescent="0.25">
      <c r="A252" s="100" t="s">
        <v>112</v>
      </c>
      <c r="B252" t="s">
        <v>24</v>
      </c>
      <c r="C252" s="101" t="str">
        <f t="shared" si="14"/>
        <v>Roer</v>
      </c>
      <c r="D252">
        <f t="shared" si="17"/>
        <v>2030</v>
      </c>
      <c r="E252" s="148">
        <f>VLOOKUP($C252,Fodersammensætning!A$3:E$17,MATCH(D252,Fodersammensætning!$A$2:$E$2,0),FALSE)*(-SUMIFS(IF(D252=År1,IF(B252="Vestdanmark",'Resultater - Vestdanmark'!H$3:H$504,'Resultater - Østdanmark'!H$3:H$504),IF(D252=År2,IF(B252="Vestdanmark",'Resultater - Vestdanmark'!I$3:I$504,'Resultater - Østdanmark'!I$3:I$504),IF(B252="Vestdanmark",'Resultater - Vestdanmark'!J$3:J$504,'Resultater - Østdanmark'!J$3:J$504))),'Resultater - Vestdanmark'!$F$3:$F$504,"Foder",'Resultater - Vestdanmark'!$A$3:$A$504,"&lt;&gt;Foderproduktion"))/SUMIFS(IF(D252=År1,'[1]Processer - data'!H$3:H$486,IF(D252=År2,'[1]Processer - data'!I$3:I$486,'[1]Processer - data'!J$3:J$486)),'[1]Processer - data'!$A$3:$A$486,"Foderproduktion",'[1]Processer - data'!$D$3:$D$486,$C252)</f>
        <v>123895.05219603248</v>
      </c>
    </row>
    <row r="253" spans="1:5" x14ac:dyDescent="0.25">
      <c r="A253" s="100" t="s">
        <v>112</v>
      </c>
      <c r="B253" t="s">
        <v>24</v>
      </c>
      <c r="C253" s="101" t="str">
        <f t="shared" si="14"/>
        <v>Majs</v>
      </c>
      <c r="D253">
        <f t="shared" si="17"/>
        <v>2030</v>
      </c>
      <c r="E253" s="148">
        <f>VLOOKUP($C253,Fodersammensætning!A$3:E$17,MATCH(D253,Fodersammensætning!$A$2:$E$2,0),FALSE)*(-SUMIFS(IF(D253=År1,IF(B253="Vestdanmark",'Resultater - Vestdanmark'!H$3:H$504,'Resultater - Østdanmark'!H$3:H$504),IF(D253=År2,IF(B253="Vestdanmark",'Resultater - Vestdanmark'!I$3:I$504,'Resultater - Østdanmark'!I$3:I$504),IF(B253="Vestdanmark",'Resultater - Vestdanmark'!J$3:J$504,'Resultater - Østdanmark'!J$3:J$504))),'Resultater - Vestdanmark'!$F$3:$F$504,"Foder",'Resultater - Vestdanmark'!$A$3:$A$504,"&lt;&gt;Foderproduktion"))/SUMIFS(IF(D253=År1,'[1]Processer - data'!H$3:H$486,IF(D253=År2,'[1]Processer - data'!I$3:I$486,'[1]Processer - data'!J$3:J$486)),'[1]Processer - data'!$A$3:$A$486,"Foderproduktion",'[1]Processer - data'!$D$3:$D$486,$C253)</f>
        <v>833223.91333114496</v>
      </c>
    </row>
    <row r="254" spans="1:5" x14ac:dyDescent="0.25">
      <c r="A254" s="100" t="s">
        <v>112</v>
      </c>
      <c r="B254" t="s">
        <v>24</v>
      </c>
      <c r="C254" s="101" t="str">
        <f t="shared" si="14"/>
        <v>Rapskage</v>
      </c>
      <c r="D254">
        <f t="shared" si="17"/>
        <v>2030</v>
      </c>
      <c r="E254" s="148">
        <f>VLOOKUP($C254,Fodersammensætning!A$3:E$17,MATCH(D254,Fodersammensætning!$A$2:$E$2,0),FALSE)*(-SUMIFS(IF(D254=År1,IF(B254="Vestdanmark",'Resultater - Vestdanmark'!H$3:H$504,'Resultater - Østdanmark'!H$3:H$504),IF(D254=År2,IF(B254="Vestdanmark",'Resultater - Vestdanmark'!I$3:I$504,'Resultater - Østdanmark'!I$3:I$504),IF(B254="Vestdanmark",'Resultater - Vestdanmark'!J$3:J$504,'Resultater - Østdanmark'!J$3:J$504))),'Resultater - Vestdanmark'!$F$3:$F$504,"Foder",'Resultater - Vestdanmark'!$A$3:$A$504,"&lt;&gt;Foderproduktion"))/SUMIFS(IF(D254=År1,'[1]Processer - data'!H$3:H$486,IF(D254=År2,'[1]Processer - data'!I$3:I$486,'[1]Processer - data'!J$3:J$486)),'[1]Processer - data'!$A$3:$A$486,"Foderproduktion",'[1]Processer - data'!$D$3:$D$486,$C254)</f>
        <v>31534.523402398045</v>
      </c>
    </row>
    <row r="255" spans="1:5" x14ac:dyDescent="0.25">
      <c r="A255" s="100" t="s">
        <v>112</v>
      </c>
      <c r="B255" t="s">
        <v>24</v>
      </c>
      <c r="C255" s="101" t="str">
        <f t="shared" si="14"/>
        <v>Tang</v>
      </c>
      <c r="D255">
        <f t="shared" si="17"/>
        <v>2030</v>
      </c>
      <c r="E255" s="148">
        <f>VLOOKUP($C255,Fodersammensætning!A$3:E$17,MATCH(D255,Fodersammensætning!$A$2:$E$2,0),FALSE)*(-SUMIFS(IF(D255=År1,IF(B255="Vestdanmark",'Resultater - Vestdanmark'!H$3:H$504,'Resultater - Østdanmark'!H$3:H$504),IF(D255=År2,IF(B255="Vestdanmark",'Resultater - Vestdanmark'!I$3:I$504,'Resultater - Østdanmark'!I$3:I$504),IF(B255="Vestdanmark",'Resultater - Vestdanmark'!J$3:J$504,'Resultater - Østdanmark'!J$3:J$504))),'Resultater - Vestdanmark'!$F$3:$F$504,"Foder",'Resultater - Vestdanmark'!$A$3:$A$504,"&lt;&gt;Foderproduktion"))/SUMIFS(IF(D255=År1,'[1]Processer - data'!H$3:H$486,IF(D255=År2,'[1]Processer - data'!I$3:I$486,'[1]Processer - data'!J$3:J$486)),'[1]Processer - data'!$A$3:$A$486,"Foderproduktion",'[1]Processer - data'!$D$3:$D$486,$C255)</f>
        <v>0</v>
      </c>
    </row>
    <row r="256" spans="1:5" x14ac:dyDescent="0.25">
      <c r="A256" s="100" t="s">
        <v>112</v>
      </c>
      <c r="B256" t="s">
        <v>24</v>
      </c>
      <c r="C256" s="101" t="str">
        <f t="shared" si="14"/>
        <v>Muslinger</v>
      </c>
      <c r="D256">
        <f t="shared" si="17"/>
        <v>2030</v>
      </c>
      <c r="E256" s="148">
        <f>VLOOKUP($C256,Fodersammensætning!A$3:E$17,MATCH(D256,Fodersammensætning!$A$2:$E$2,0),FALSE)*(-SUMIFS(IF(D256=År1,IF(B256="Vestdanmark",'Resultater - Vestdanmark'!H$3:H$504,'Resultater - Østdanmark'!H$3:H$504),IF(D256=År2,IF(B256="Vestdanmark",'Resultater - Vestdanmark'!I$3:I$504,'Resultater - Østdanmark'!I$3:I$504),IF(B256="Vestdanmark",'Resultater - Vestdanmark'!J$3:J$504,'Resultater - Østdanmark'!J$3:J$504))),'Resultater - Vestdanmark'!$F$3:$F$504,"Foder",'Resultater - Vestdanmark'!$A$3:$A$504,"&lt;&gt;Foderproduktion"))/SUMIFS(IF(D256=År1,'[1]Processer - data'!H$3:H$486,IF(D256=År2,'[1]Processer - data'!I$3:I$486,'[1]Processer - data'!J$3:J$486)),'[1]Processer - data'!$A$3:$A$486,"Foderproduktion",'[1]Processer - data'!$D$3:$D$486,$C256)</f>
        <v>0</v>
      </c>
    </row>
    <row r="257" spans="1:5" x14ac:dyDescent="0.25">
      <c r="A257" s="100" t="s">
        <v>112</v>
      </c>
      <c r="B257" t="s">
        <v>24</v>
      </c>
      <c r="C257" s="101" t="str">
        <f t="shared" si="14"/>
        <v>Græs</v>
      </c>
      <c r="D257">
        <f t="shared" si="17"/>
        <v>2030</v>
      </c>
      <c r="E257" s="148">
        <f>VLOOKUP($C257,Fodersammensætning!A$3:E$17,MATCH(D257,Fodersammensætning!$A$2:$E$2,0),FALSE)*(-SUMIFS(IF(D257=År1,IF(B257="Vestdanmark",'Resultater - Vestdanmark'!H$3:H$504,'Resultater - Østdanmark'!H$3:H$504),IF(D257=År2,IF(B257="Vestdanmark",'Resultater - Vestdanmark'!I$3:I$504,'Resultater - Østdanmark'!I$3:I$504),IF(B257="Vestdanmark",'Resultater - Vestdanmark'!J$3:J$504,'Resultater - Østdanmark'!J$3:J$504))),'Resultater - Vestdanmark'!$F$3:$F$504,"Foder",'Resultater - Vestdanmark'!$A$3:$A$504,"&lt;&gt;Foderproduktion"))/SUMIFS(IF(D257=År1,'[1]Processer - data'!H$3:H$486,IF(D257=År2,'[1]Processer - data'!I$3:I$486,'[1]Processer - data'!J$3:J$486)),'[1]Processer - data'!$A$3:$A$486,"Foderproduktion",'[1]Processer - data'!$D$3:$D$486,$C257)</f>
        <v>1802481.6912140569</v>
      </c>
    </row>
    <row r="258" spans="1:5" x14ac:dyDescent="0.25">
      <c r="A258" s="100" t="s">
        <v>112</v>
      </c>
      <c r="B258" t="s">
        <v>24</v>
      </c>
      <c r="C258" s="101" t="str">
        <f t="shared" si="14"/>
        <v>Mælk til foder</v>
      </c>
      <c r="D258">
        <f t="shared" si="17"/>
        <v>2030</v>
      </c>
      <c r="E258" s="148">
        <f>VLOOKUP($C258,Fodersammensætning!A$3:E$17,MATCH(D258,Fodersammensætning!$A$2:$E$2,0),FALSE)*(-SUMIFS(IF(D258=År1,IF(B258="Vestdanmark",'Resultater - Vestdanmark'!H$3:H$504,'Resultater - Østdanmark'!H$3:H$504),IF(D258=År2,IF(B258="Vestdanmark",'Resultater - Vestdanmark'!I$3:I$504,'Resultater - Østdanmark'!I$3:I$504),IF(B258="Vestdanmark",'Resultater - Vestdanmark'!J$3:J$504,'Resultater - Østdanmark'!J$3:J$504))),'Resultater - Vestdanmark'!$F$3:$F$504,"Foder",'Resultater - Vestdanmark'!$A$3:$A$504,"&lt;&gt;Foderproduktion"))/SUMIFS(IF(D258=År1,'[1]Processer - data'!H$3:H$486,IF(D258=År2,'[1]Processer - data'!I$3:I$486,'[1]Processer - data'!J$3:J$486)),'[1]Processer - data'!$A$3:$A$486,"Foderproduktion",'[1]Processer - data'!$D$3:$D$486,$C258)</f>
        <v>223248.59245547064</v>
      </c>
    </row>
    <row r="259" spans="1:5" x14ac:dyDescent="0.25">
      <c r="A259" s="100" t="s">
        <v>112</v>
      </c>
      <c r="B259" t="s">
        <v>24</v>
      </c>
      <c r="C259" s="101" t="str">
        <f t="shared" si="14"/>
        <v>Fiberfraktion</v>
      </c>
      <c r="D259">
        <f t="shared" si="17"/>
        <v>2030</v>
      </c>
      <c r="E259" s="148">
        <f>VLOOKUP($C259,Fodersammensætning!A$3:E$17,MATCH(D259,Fodersammensætning!$A$2:$E$2,0),FALSE)*(-SUMIFS(IF(D259=År1,IF(B259="Vestdanmark",'Resultater - Vestdanmark'!H$3:H$504,'Resultater - Østdanmark'!H$3:H$504),IF(D259=År2,IF(B259="Vestdanmark",'Resultater - Vestdanmark'!I$3:I$504,'Resultater - Østdanmark'!I$3:I$504),IF(B259="Vestdanmark",'Resultater - Vestdanmark'!J$3:J$504,'Resultater - Østdanmark'!J$3:J$504))),'Resultater - Vestdanmark'!$F$3:$F$504,"Foder",'Resultater - Vestdanmark'!$A$3:$A$504,"&lt;&gt;Foderproduktion"))/SUMIFS(IF(D259=År1,'[1]Processer - data'!H$3:H$486,IF(D259=År2,'[1]Processer - data'!I$3:I$486,'[1]Processer - data'!J$3:J$486)),'[1]Processer - data'!$A$3:$A$486,"Foderproduktion",'[1]Processer - data'!$D$3:$D$486,$C259)</f>
        <v>0</v>
      </c>
    </row>
    <row r="260" spans="1:5" x14ac:dyDescent="0.25">
      <c r="A260" s="100" t="s">
        <v>112</v>
      </c>
      <c r="B260" t="s">
        <v>24</v>
      </c>
      <c r="C260" s="101" t="str">
        <f t="shared" si="14"/>
        <v>Græsprotein</v>
      </c>
      <c r="D260">
        <f t="shared" si="17"/>
        <v>2030</v>
      </c>
      <c r="E260" s="148">
        <f>VLOOKUP($C260,Fodersammensætning!A$3:E$17,MATCH(D260,Fodersammensætning!$A$2:$E$2,0),FALSE)*(-SUMIFS(IF(D260=År1,IF(B260="Vestdanmark",'Resultater - Vestdanmark'!H$3:H$504,'Resultater - Østdanmark'!H$3:H$504),IF(D260=År2,IF(B260="Vestdanmark",'Resultater - Vestdanmark'!I$3:I$504,'Resultater - Østdanmark'!I$3:I$504),IF(B260="Vestdanmark",'Resultater - Vestdanmark'!J$3:J$504,'Resultater - Østdanmark'!J$3:J$504))),'Resultater - Vestdanmark'!$F$3:$F$504,"Foder",'Resultater - Vestdanmark'!$A$3:$A$504,"&lt;&gt;Foderproduktion"))/SUMIFS(IF(D260=År1,'[1]Processer - data'!H$3:H$486,IF(D260=År2,'[1]Processer - data'!I$3:I$486,'[1]Processer - data'!J$3:J$486)),'[1]Processer - data'!$A$3:$A$486,"Foderproduktion",'[1]Processer - data'!$D$3:$D$486,$C260)</f>
        <v>0</v>
      </c>
    </row>
    <row r="261" spans="1:5" x14ac:dyDescent="0.25">
      <c r="A261" s="100" t="s">
        <v>112</v>
      </c>
      <c r="B261" t="s">
        <v>24</v>
      </c>
      <c r="C261" s="101" t="str">
        <f t="shared" si="14"/>
        <v>Slagteriaffald til foder</v>
      </c>
      <c r="D261">
        <f t="shared" si="17"/>
        <v>2030</v>
      </c>
      <c r="E261" s="148">
        <f>VLOOKUP($C261,Fodersammensætning!A$3:E$17,MATCH(D261,Fodersammensætning!$A$2:$E$2,0),FALSE)*(-SUMIFS(IF(D261=År1,IF(B261="Vestdanmark",'Resultater - Vestdanmark'!H$3:H$504,'Resultater - Østdanmark'!H$3:H$504),IF(D261=År2,IF(B261="Vestdanmark",'Resultater - Vestdanmark'!I$3:I$504,'Resultater - Østdanmark'!I$3:I$504),IF(B261="Vestdanmark",'Resultater - Vestdanmark'!J$3:J$504,'Resultater - Østdanmark'!J$3:J$504))),'Resultater - Vestdanmark'!$F$3:$F$504,"Foder",'Resultater - Vestdanmark'!$A$3:$A$504,"&lt;&gt;Foderproduktion"))/SUMIFS(IF(D261=År1,'[1]Processer - data'!H$3:H$486,IF(D261=År2,'[1]Processer - data'!I$3:I$486,'[1]Processer - data'!J$3:J$486)),'[1]Processer - data'!$A$3:$A$486,"Foderproduktion",'[1]Processer - data'!$D$3:$D$486,$C261)</f>
        <v>5805.5189527427374</v>
      </c>
    </row>
    <row r="262" spans="1:5" x14ac:dyDescent="0.25">
      <c r="A262" s="100" t="s">
        <v>112</v>
      </c>
      <c r="B262" t="s">
        <v>24</v>
      </c>
      <c r="C262" s="101" t="str">
        <f t="shared" si="14"/>
        <v>Import af foder</v>
      </c>
      <c r="D262">
        <f t="shared" si="17"/>
        <v>2030</v>
      </c>
      <c r="E262" s="148">
        <f>VLOOKUP($C262,Fodersammensætning!A$3:E$17,MATCH(D262,Fodersammensætning!$A$2:$E$2,0),FALSE)*(-SUMIFS(IF(D262=År1,IF(B262="Vestdanmark",'Resultater - Vestdanmark'!H$3:H$504,'Resultater - Østdanmark'!H$3:H$504),IF(D262=År2,IF(B262="Vestdanmark",'Resultater - Vestdanmark'!I$3:I$504,'Resultater - Østdanmark'!I$3:I$504),IF(B262="Vestdanmark",'Resultater - Vestdanmark'!J$3:J$504,'Resultater - Østdanmark'!J$3:J$504))),'Resultater - Vestdanmark'!$F$3:$F$504,"Foder",'Resultater - Vestdanmark'!$A$3:$A$504,"&lt;&gt;Foderproduktion"))/SUMIFS(IF(D262=År1,'[1]Processer - data'!H$3:H$486,IF(D262=År2,'[1]Processer - data'!I$3:I$486,'[1]Processer - data'!J$3:J$486)),'[1]Processer - data'!$A$3:$A$486,"Foderproduktion",'[1]Processer - data'!$D$3:$D$486,$C262)</f>
        <v>711176.07171098527</v>
      </c>
    </row>
    <row r="263" spans="1:5" x14ac:dyDescent="0.25">
      <c r="A263" s="100" t="s">
        <v>112</v>
      </c>
      <c r="B263" t="s">
        <v>24</v>
      </c>
      <c r="C263" s="101" t="str">
        <f t="shared" si="14"/>
        <v>Korn</v>
      </c>
      <c r="D263">
        <f t="shared" ref="D263:D277" si="18">År3</f>
        <v>2050</v>
      </c>
      <c r="E263" s="148">
        <f>VLOOKUP($C263,Fodersammensætning!A$3:E$17,MATCH(D263,Fodersammensætning!$A$2:$E$2,0),FALSE)*(-SUMIFS(IF(D263=År1,IF(B263="Vestdanmark",'Resultater - Vestdanmark'!H$3:H$504,'Resultater - Østdanmark'!H$3:H$504),IF(D263=År2,IF(B263="Vestdanmark",'Resultater - Vestdanmark'!I$3:I$504,'Resultater - Østdanmark'!I$3:I$504),IF(B263="Vestdanmark",'Resultater - Vestdanmark'!J$3:J$504,'Resultater - Østdanmark'!J$3:J$504))),'Resultater - Vestdanmark'!$F$3:$F$504,"Foder",'Resultater - Vestdanmark'!$A$3:$A$504,"&lt;&gt;Foderproduktion"))/SUMIFS(IF(D263=År1,'[1]Processer - data'!H$3:H$486,IF(D263=År2,'[1]Processer - data'!I$3:I$486,'[1]Processer - data'!J$3:J$486)),'[1]Processer - data'!$A$3:$A$486,"Foderproduktion",'[1]Processer - data'!$D$3:$D$486,$C263)</f>
        <v>865945.92924660421</v>
      </c>
    </row>
    <row r="264" spans="1:5" x14ac:dyDescent="0.25">
      <c r="A264" s="100" t="s">
        <v>112</v>
      </c>
      <c r="B264" t="s">
        <v>24</v>
      </c>
      <c r="C264" s="101" t="str">
        <f t="shared" si="14"/>
        <v>Halm</v>
      </c>
      <c r="D264">
        <f t="shared" si="18"/>
        <v>2050</v>
      </c>
      <c r="E264" s="148">
        <f>VLOOKUP($C264,Fodersammensætning!A$3:E$17,MATCH(D264,Fodersammensætning!$A$2:$E$2,0),FALSE)*(-SUMIFS(IF(D264=År1,IF(B264="Vestdanmark",'Resultater - Vestdanmark'!H$3:H$504,'Resultater - Østdanmark'!H$3:H$504),IF(D264=År2,IF(B264="Vestdanmark",'Resultater - Vestdanmark'!I$3:I$504,'Resultater - Østdanmark'!I$3:I$504),IF(B264="Vestdanmark",'Resultater - Vestdanmark'!J$3:J$504,'Resultater - Østdanmark'!J$3:J$504))),'Resultater - Vestdanmark'!$F$3:$F$504,"Foder",'Resultater - Vestdanmark'!$A$3:$A$504,"&lt;&gt;Foderproduktion"))/SUMIFS(IF(D264=År1,'[1]Processer - data'!H$3:H$486,IF(D264=År2,'[1]Processer - data'!I$3:I$486,'[1]Processer - data'!J$3:J$486)),'[1]Processer - data'!$A$3:$A$486,"Foderproduktion",'[1]Processer - data'!$D$3:$D$486,$C264)</f>
        <v>113867.33764129507</v>
      </c>
    </row>
    <row r="265" spans="1:5" x14ac:dyDescent="0.25">
      <c r="A265" s="100" t="s">
        <v>112</v>
      </c>
      <c r="B265" t="s">
        <v>24</v>
      </c>
      <c r="C265" s="101" t="str">
        <f t="shared" si="14"/>
        <v>Kartofler</v>
      </c>
      <c r="D265">
        <f t="shared" si="18"/>
        <v>2050</v>
      </c>
      <c r="E265" s="148">
        <f>VLOOKUP($C265,Fodersammensætning!A$3:E$17,MATCH(D265,Fodersammensætning!$A$2:$E$2,0),FALSE)*(-SUMIFS(IF(D265=År1,IF(B265="Vestdanmark",'Resultater - Vestdanmark'!H$3:H$504,'Resultater - Østdanmark'!H$3:H$504),IF(D265=År2,IF(B265="Vestdanmark",'Resultater - Vestdanmark'!I$3:I$504,'Resultater - Østdanmark'!I$3:I$504),IF(B265="Vestdanmark",'Resultater - Vestdanmark'!J$3:J$504,'Resultater - Østdanmark'!J$3:J$504))),'Resultater - Vestdanmark'!$F$3:$F$504,"Foder",'Resultater - Vestdanmark'!$A$3:$A$504,"&lt;&gt;Foderproduktion"))/SUMIFS(IF(D265=År1,'[1]Processer - data'!H$3:H$486,IF(D265=År2,'[1]Processer - data'!I$3:I$486,'[1]Processer - data'!J$3:J$486)),'[1]Processer - data'!$A$3:$A$486,"Foderproduktion",'[1]Processer - data'!$D$3:$D$486,$C265)</f>
        <v>0</v>
      </c>
    </row>
    <row r="266" spans="1:5" x14ac:dyDescent="0.25">
      <c r="A266" s="100" t="s">
        <v>112</v>
      </c>
      <c r="B266" t="s">
        <v>24</v>
      </c>
      <c r="C266" s="101" t="str">
        <f t="shared" si="14"/>
        <v>Bælgsæd</v>
      </c>
      <c r="D266">
        <f t="shared" si="18"/>
        <v>2050</v>
      </c>
      <c r="E266" s="148">
        <f>VLOOKUP($C266,Fodersammensætning!A$3:E$17,MATCH(D266,Fodersammensætning!$A$2:$E$2,0),FALSE)*(-SUMIFS(IF(D266=År1,IF(B266="Vestdanmark",'Resultater - Vestdanmark'!H$3:H$504,'Resultater - Østdanmark'!H$3:H$504),IF(D266=År2,IF(B266="Vestdanmark",'Resultater - Vestdanmark'!I$3:I$504,'Resultater - Østdanmark'!I$3:I$504),IF(B266="Vestdanmark",'Resultater - Vestdanmark'!J$3:J$504,'Resultater - Østdanmark'!J$3:J$504))),'Resultater - Vestdanmark'!$F$3:$F$504,"Foder",'Resultater - Vestdanmark'!$A$3:$A$504,"&lt;&gt;Foderproduktion"))/SUMIFS(IF(D266=År1,'[1]Processer - data'!H$3:H$486,IF(D266=År2,'[1]Processer - data'!I$3:I$486,'[1]Processer - data'!J$3:J$486)),'[1]Processer - data'!$A$3:$A$486,"Foderproduktion",'[1]Processer - data'!$D$3:$D$486,$C266)</f>
        <v>9499.9401044881179</v>
      </c>
    </row>
    <row r="267" spans="1:5" x14ac:dyDescent="0.25">
      <c r="A267" s="100" t="s">
        <v>112</v>
      </c>
      <c r="B267" t="s">
        <v>24</v>
      </c>
      <c r="C267" s="101" t="str">
        <f t="shared" si="14"/>
        <v>Roer</v>
      </c>
      <c r="D267">
        <f t="shared" si="18"/>
        <v>2050</v>
      </c>
      <c r="E267" s="148">
        <f>VLOOKUP($C267,Fodersammensætning!A$3:E$17,MATCH(D267,Fodersammensætning!$A$2:$E$2,0),FALSE)*(-SUMIFS(IF(D267=År1,IF(B267="Vestdanmark",'Resultater - Vestdanmark'!H$3:H$504,'Resultater - Østdanmark'!H$3:H$504),IF(D267=År2,IF(B267="Vestdanmark",'Resultater - Vestdanmark'!I$3:I$504,'Resultater - Østdanmark'!I$3:I$504),IF(B267="Vestdanmark",'Resultater - Vestdanmark'!J$3:J$504,'Resultater - Østdanmark'!J$3:J$504))),'Resultater - Vestdanmark'!$F$3:$F$504,"Foder",'Resultater - Vestdanmark'!$A$3:$A$504,"&lt;&gt;Foderproduktion"))/SUMIFS(IF(D267=År1,'[1]Processer - data'!H$3:H$486,IF(D267=År2,'[1]Processer - data'!I$3:I$486,'[1]Processer - data'!J$3:J$486)),'[1]Processer - data'!$A$3:$A$486,"Foderproduktion",'[1]Processer - data'!$D$3:$D$486,$C267)</f>
        <v>123895.05219603253</v>
      </c>
    </row>
    <row r="268" spans="1:5" x14ac:dyDescent="0.25">
      <c r="A268" s="100" t="s">
        <v>112</v>
      </c>
      <c r="B268" t="s">
        <v>24</v>
      </c>
      <c r="C268" s="101" t="str">
        <f t="shared" ref="C268:C277" si="19">C253</f>
        <v>Majs</v>
      </c>
      <c r="D268">
        <f t="shared" si="18"/>
        <v>2050</v>
      </c>
      <c r="E268" s="148">
        <f>VLOOKUP($C268,Fodersammensætning!A$3:E$17,MATCH(D268,Fodersammensætning!$A$2:$E$2,0),FALSE)*(-SUMIFS(IF(D268=År1,IF(B268="Vestdanmark",'Resultater - Vestdanmark'!H$3:H$504,'Resultater - Østdanmark'!H$3:H$504),IF(D268=År2,IF(B268="Vestdanmark",'Resultater - Vestdanmark'!I$3:I$504,'Resultater - Østdanmark'!I$3:I$504),IF(B268="Vestdanmark",'Resultater - Vestdanmark'!J$3:J$504,'Resultater - Østdanmark'!J$3:J$504))),'Resultater - Vestdanmark'!$F$3:$F$504,"Foder",'Resultater - Vestdanmark'!$A$3:$A$504,"&lt;&gt;Foderproduktion"))/SUMIFS(IF(D268=År1,'[1]Processer - data'!H$3:H$486,IF(D268=År2,'[1]Processer - data'!I$3:I$486,'[1]Processer - data'!J$3:J$486)),'[1]Processer - data'!$A$3:$A$486,"Foderproduktion",'[1]Processer - data'!$D$3:$D$486,$C268)</f>
        <v>833223.91333114507</v>
      </c>
    </row>
    <row r="269" spans="1:5" x14ac:dyDescent="0.25">
      <c r="A269" s="100" t="s">
        <v>112</v>
      </c>
      <c r="B269" t="s">
        <v>24</v>
      </c>
      <c r="C269" s="101" t="str">
        <f t="shared" si="19"/>
        <v>Rapskage</v>
      </c>
      <c r="D269">
        <f t="shared" si="18"/>
        <v>2050</v>
      </c>
      <c r="E269" s="148">
        <f>VLOOKUP($C269,Fodersammensætning!A$3:E$17,MATCH(D269,Fodersammensætning!$A$2:$E$2,0),FALSE)*(-SUMIFS(IF(D269=År1,IF(B269="Vestdanmark",'Resultater - Vestdanmark'!H$3:H$504,'Resultater - Østdanmark'!H$3:H$504),IF(D269=År2,IF(B269="Vestdanmark",'Resultater - Vestdanmark'!I$3:I$504,'Resultater - Østdanmark'!I$3:I$504),IF(B269="Vestdanmark",'Resultater - Vestdanmark'!J$3:J$504,'Resultater - Østdanmark'!J$3:J$504))),'Resultater - Vestdanmark'!$F$3:$F$504,"Foder",'Resultater - Vestdanmark'!$A$3:$A$504,"&lt;&gt;Foderproduktion"))/SUMIFS(IF(D269=År1,'[1]Processer - data'!H$3:H$486,IF(D269=År2,'[1]Processer - data'!I$3:I$486,'[1]Processer - data'!J$3:J$486)),'[1]Processer - data'!$A$3:$A$486,"Foderproduktion",'[1]Processer - data'!$D$3:$D$486,$C269)</f>
        <v>31534.523402398052</v>
      </c>
    </row>
    <row r="270" spans="1:5" x14ac:dyDescent="0.25">
      <c r="A270" s="100" t="s">
        <v>112</v>
      </c>
      <c r="B270" t="s">
        <v>24</v>
      </c>
      <c r="C270" s="101" t="str">
        <f t="shared" si="19"/>
        <v>Tang</v>
      </c>
      <c r="D270">
        <f t="shared" si="18"/>
        <v>2050</v>
      </c>
      <c r="E270" s="148">
        <f>VLOOKUP($C270,Fodersammensætning!A$3:E$17,MATCH(D270,Fodersammensætning!$A$2:$E$2,0),FALSE)*(-SUMIFS(IF(D270=År1,IF(B270="Vestdanmark",'Resultater - Vestdanmark'!H$3:H$504,'Resultater - Østdanmark'!H$3:H$504),IF(D270=År2,IF(B270="Vestdanmark",'Resultater - Vestdanmark'!I$3:I$504,'Resultater - Østdanmark'!I$3:I$504),IF(B270="Vestdanmark",'Resultater - Vestdanmark'!J$3:J$504,'Resultater - Østdanmark'!J$3:J$504))),'Resultater - Vestdanmark'!$F$3:$F$504,"Foder",'Resultater - Vestdanmark'!$A$3:$A$504,"&lt;&gt;Foderproduktion"))/SUMIFS(IF(D270=År1,'[1]Processer - data'!H$3:H$486,IF(D270=År2,'[1]Processer - data'!I$3:I$486,'[1]Processer - data'!J$3:J$486)),'[1]Processer - data'!$A$3:$A$486,"Foderproduktion",'[1]Processer - data'!$D$3:$D$486,$C270)</f>
        <v>0</v>
      </c>
    </row>
    <row r="271" spans="1:5" x14ac:dyDescent="0.25">
      <c r="A271" s="100" t="s">
        <v>112</v>
      </c>
      <c r="B271" t="s">
        <v>24</v>
      </c>
      <c r="C271" s="101" t="str">
        <f t="shared" si="19"/>
        <v>Muslinger</v>
      </c>
      <c r="D271">
        <f t="shared" si="18"/>
        <v>2050</v>
      </c>
      <c r="E271" s="148">
        <f>VLOOKUP($C271,Fodersammensætning!A$3:E$17,MATCH(D271,Fodersammensætning!$A$2:$E$2,0),FALSE)*(-SUMIFS(IF(D271=År1,IF(B271="Vestdanmark",'Resultater - Vestdanmark'!H$3:H$504,'Resultater - Østdanmark'!H$3:H$504),IF(D271=År2,IF(B271="Vestdanmark",'Resultater - Vestdanmark'!I$3:I$504,'Resultater - Østdanmark'!I$3:I$504),IF(B271="Vestdanmark",'Resultater - Vestdanmark'!J$3:J$504,'Resultater - Østdanmark'!J$3:J$504))),'Resultater - Vestdanmark'!$F$3:$F$504,"Foder",'Resultater - Vestdanmark'!$A$3:$A$504,"&lt;&gt;Foderproduktion"))/SUMIFS(IF(D271=År1,'[1]Processer - data'!H$3:H$486,IF(D271=År2,'[1]Processer - data'!I$3:I$486,'[1]Processer - data'!J$3:J$486)),'[1]Processer - data'!$A$3:$A$486,"Foderproduktion",'[1]Processer - data'!$D$3:$D$486,$C271)</f>
        <v>0</v>
      </c>
    </row>
    <row r="272" spans="1:5" x14ac:dyDescent="0.25">
      <c r="A272" s="100" t="s">
        <v>112</v>
      </c>
      <c r="B272" t="s">
        <v>24</v>
      </c>
      <c r="C272" s="101" t="str">
        <f t="shared" si="19"/>
        <v>Græs</v>
      </c>
      <c r="D272">
        <f t="shared" si="18"/>
        <v>2050</v>
      </c>
      <c r="E272" s="148">
        <f>VLOOKUP($C272,Fodersammensætning!A$3:E$17,MATCH(D272,Fodersammensætning!$A$2:$E$2,0),FALSE)*(-SUMIFS(IF(D272=År1,IF(B272="Vestdanmark",'Resultater - Vestdanmark'!H$3:H$504,'Resultater - Østdanmark'!H$3:H$504),IF(D272=År2,IF(B272="Vestdanmark",'Resultater - Vestdanmark'!I$3:I$504,'Resultater - Østdanmark'!I$3:I$504),IF(B272="Vestdanmark",'Resultater - Vestdanmark'!J$3:J$504,'Resultater - Østdanmark'!J$3:J$504))),'Resultater - Vestdanmark'!$F$3:$F$504,"Foder",'Resultater - Vestdanmark'!$A$3:$A$504,"&lt;&gt;Foderproduktion"))/SUMIFS(IF(D272=År1,'[1]Processer - data'!H$3:H$486,IF(D272=År2,'[1]Processer - data'!I$3:I$486,'[1]Processer - data'!J$3:J$486)),'[1]Processer - data'!$A$3:$A$486,"Foderproduktion",'[1]Processer - data'!$D$3:$D$486,$C272)</f>
        <v>1802481.6912140576</v>
      </c>
    </row>
    <row r="273" spans="1:7" x14ac:dyDescent="0.25">
      <c r="A273" s="100" t="s">
        <v>112</v>
      </c>
      <c r="B273" t="s">
        <v>24</v>
      </c>
      <c r="C273" s="101" t="str">
        <f t="shared" si="19"/>
        <v>Mælk til foder</v>
      </c>
      <c r="D273">
        <f t="shared" si="18"/>
        <v>2050</v>
      </c>
      <c r="E273" s="148">
        <f>VLOOKUP($C273,Fodersammensætning!A$3:E$17,MATCH(D273,Fodersammensætning!$A$2:$E$2,0),FALSE)*(-SUMIFS(IF(D273=År1,IF(B273="Vestdanmark",'Resultater - Vestdanmark'!H$3:H$504,'Resultater - Østdanmark'!H$3:H$504),IF(D273=År2,IF(B273="Vestdanmark",'Resultater - Vestdanmark'!I$3:I$504,'Resultater - Østdanmark'!I$3:I$504),IF(B273="Vestdanmark",'Resultater - Vestdanmark'!J$3:J$504,'Resultater - Østdanmark'!J$3:J$504))),'Resultater - Vestdanmark'!$F$3:$F$504,"Foder",'Resultater - Vestdanmark'!$A$3:$A$504,"&lt;&gt;Foderproduktion"))/SUMIFS(IF(D273=År1,'[1]Processer - data'!H$3:H$486,IF(D273=År2,'[1]Processer - data'!I$3:I$486,'[1]Processer - data'!J$3:J$486)),'[1]Processer - data'!$A$3:$A$486,"Foderproduktion",'[1]Processer - data'!$D$3:$D$486,$C273)</f>
        <v>223248.59245547073</v>
      </c>
    </row>
    <row r="274" spans="1:7" x14ac:dyDescent="0.25">
      <c r="A274" s="100" t="s">
        <v>112</v>
      </c>
      <c r="B274" t="s">
        <v>24</v>
      </c>
      <c r="C274" s="101" t="str">
        <f t="shared" si="19"/>
        <v>Fiberfraktion</v>
      </c>
      <c r="D274">
        <f t="shared" si="18"/>
        <v>2050</v>
      </c>
      <c r="E274" s="148">
        <f>VLOOKUP($C274,Fodersammensætning!A$3:E$17,MATCH(D274,Fodersammensætning!$A$2:$E$2,0),FALSE)*(-SUMIFS(IF(D274=År1,IF(B274="Vestdanmark",'Resultater - Vestdanmark'!H$3:H$504,'Resultater - Østdanmark'!H$3:H$504),IF(D274=År2,IF(B274="Vestdanmark",'Resultater - Vestdanmark'!I$3:I$504,'Resultater - Østdanmark'!I$3:I$504),IF(B274="Vestdanmark",'Resultater - Vestdanmark'!J$3:J$504,'Resultater - Østdanmark'!J$3:J$504))),'Resultater - Vestdanmark'!$F$3:$F$504,"Foder",'Resultater - Vestdanmark'!$A$3:$A$504,"&lt;&gt;Foderproduktion"))/SUMIFS(IF(D274=År1,'[1]Processer - data'!H$3:H$486,IF(D274=År2,'[1]Processer - data'!I$3:I$486,'[1]Processer - data'!J$3:J$486)),'[1]Processer - data'!$A$3:$A$486,"Foderproduktion",'[1]Processer - data'!$D$3:$D$486,$C274)</f>
        <v>0</v>
      </c>
    </row>
    <row r="275" spans="1:7" x14ac:dyDescent="0.25">
      <c r="A275" s="100" t="s">
        <v>112</v>
      </c>
      <c r="B275" t="s">
        <v>24</v>
      </c>
      <c r="C275" s="101" t="str">
        <f t="shared" si="19"/>
        <v>Græsprotein</v>
      </c>
      <c r="D275">
        <f t="shared" si="18"/>
        <v>2050</v>
      </c>
      <c r="E275" s="148">
        <f>VLOOKUP($C275,Fodersammensætning!A$3:E$17,MATCH(D275,Fodersammensætning!$A$2:$E$2,0),FALSE)*(-SUMIFS(IF(D275=År1,IF(B275="Vestdanmark",'Resultater - Vestdanmark'!H$3:H$504,'Resultater - Østdanmark'!H$3:H$504),IF(D275=År2,IF(B275="Vestdanmark",'Resultater - Vestdanmark'!I$3:I$504,'Resultater - Østdanmark'!I$3:I$504),IF(B275="Vestdanmark",'Resultater - Vestdanmark'!J$3:J$504,'Resultater - Østdanmark'!J$3:J$504))),'Resultater - Vestdanmark'!$F$3:$F$504,"Foder",'Resultater - Vestdanmark'!$A$3:$A$504,"&lt;&gt;Foderproduktion"))/SUMIFS(IF(D275=År1,'[1]Processer - data'!H$3:H$486,IF(D275=År2,'[1]Processer - data'!I$3:I$486,'[1]Processer - data'!J$3:J$486)),'[1]Processer - data'!$A$3:$A$486,"Foderproduktion",'[1]Processer - data'!$D$3:$D$486,$C275)</f>
        <v>0</v>
      </c>
    </row>
    <row r="276" spans="1:7" x14ac:dyDescent="0.25">
      <c r="A276" s="100" t="s">
        <v>112</v>
      </c>
      <c r="B276" t="s">
        <v>24</v>
      </c>
      <c r="C276" s="101" t="str">
        <f t="shared" si="19"/>
        <v>Slagteriaffald til foder</v>
      </c>
      <c r="D276">
        <f t="shared" si="18"/>
        <v>2050</v>
      </c>
      <c r="E276" s="148">
        <f>VLOOKUP($C276,Fodersammensætning!A$3:E$17,MATCH(D276,Fodersammensætning!$A$2:$E$2,0),FALSE)*(-SUMIFS(IF(D276=År1,IF(B276="Vestdanmark",'Resultater - Vestdanmark'!H$3:H$504,'Resultater - Østdanmark'!H$3:H$504),IF(D276=År2,IF(B276="Vestdanmark",'Resultater - Vestdanmark'!I$3:I$504,'Resultater - Østdanmark'!I$3:I$504),IF(B276="Vestdanmark",'Resultater - Vestdanmark'!J$3:J$504,'Resultater - Østdanmark'!J$3:J$504))),'Resultater - Vestdanmark'!$F$3:$F$504,"Foder",'Resultater - Vestdanmark'!$A$3:$A$504,"&lt;&gt;Foderproduktion"))/SUMIFS(IF(D276=År1,'[1]Processer - data'!H$3:H$486,IF(D276=År2,'[1]Processer - data'!I$3:I$486,'[1]Processer - data'!J$3:J$486)),'[1]Processer - data'!$A$3:$A$486,"Foderproduktion",'[1]Processer - data'!$D$3:$D$486,$C276)</f>
        <v>5805.5189527427383</v>
      </c>
    </row>
    <row r="277" spans="1:7" x14ac:dyDescent="0.25">
      <c r="A277" s="100" t="s">
        <v>112</v>
      </c>
      <c r="B277" t="s">
        <v>24</v>
      </c>
      <c r="C277" s="101" t="str">
        <f t="shared" si="19"/>
        <v>Import af foder</v>
      </c>
      <c r="D277">
        <f t="shared" si="18"/>
        <v>2050</v>
      </c>
      <c r="E277" s="148">
        <f>VLOOKUP($C277,Fodersammensætning!A$3:E$17,MATCH(D277,Fodersammensætning!$A$2:$E$2,0),FALSE)*(-SUMIFS(IF(D277=År1,IF(B277="Vestdanmark",'Resultater - Vestdanmark'!H$3:H$504,'Resultater - Østdanmark'!H$3:H$504),IF(D277=År2,IF(B277="Vestdanmark",'Resultater - Vestdanmark'!I$3:I$504,'Resultater - Østdanmark'!I$3:I$504),IF(B277="Vestdanmark",'Resultater - Vestdanmark'!J$3:J$504,'Resultater - Østdanmark'!J$3:J$504))),'Resultater - Vestdanmark'!$F$3:$F$504,"Foder",'Resultater - Vestdanmark'!$A$3:$A$504,"&lt;&gt;Foderproduktion"))/SUMIFS(IF(D277=År1,'[1]Processer - data'!H$3:H$486,IF(D277=År2,'[1]Processer - data'!I$3:I$486,'[1]Processer - data'!J$3:J$486)),'[1]Processer - data'!$A$3:$A$486,"Foderproduktion",'[1]Processer - data'!$D$3:$D$486,$C277)</f>
        <v>711176.0717109855</v>
      </c>
    </row>
    <row r="278" spans="1:7" x14ac:dyDescent="0.25">
      <c r="A278" t="s">
        <v>120</v>
      </c>
      <c r="B278" t="s">
        <v>23</v>
      </c>
      <c r="C278" t="str">
        <f>'Forbrug til andet'!A9</f>
        <v>Halm</v>
      </c>
      <c r="D278">
        <f t="shared" ref="D278:D301" si="20">År1</f>
        <v>2019</v>
      </c>
      <c r="E278" s="168">
        <f>IF(C278&lt;&gt;"Træmaterialer",IF(SUMIFS(Restprodukter!$G$2:$G$37,Restprodukter!$A$2:$A$37,C278,Restprodukter!$B$2:$B$37,B278,Restprodukter!$C$2:$C$37,D278)&gt;=0,SUMIFS(Restprodukter!$G$2:$G$37,Restprodukter!$A$2:$A$37,C278,Restprodukter!$B$2:$B$37,B278,Restprodukter!$C$2:$C$37,D278)*IF(A278="Energi",1-IF(C278&lt;&gt;"Træ til energi",VLOOKUP(C278,'Forbrug til andet'!$A$9:$D$13,MATCH('Forbrug af biomasse'!D278,'Forbrug til andet'!$A$8:$D$8,0),FALSE),0),VLOOKUP(C278,'Forbrug til andet'!$A$9:$D$13,MATCH('Forbrug af biomasse'!D278,'Forbrug til andet'!$A$8:$D$8,0),FALSE)),0),SUMIFS(IF(D278=År1,IF(B278="Vestdanmark",'Resultater - Vestdanmark'!H$3:H$1022,'Resultater - Østdanmark'!H$3:H$1022),IF(D278=År2,IF(B278="Vestdanmark",'Resultater - Vestdanmark'!I$3:I$1022,'Resultater - Østdanmark'!I$3:I$1022),IF(B278="Vestdanmark",'Resultater - Vestdanmark'!J$3:J$1022,'Resultater - Østdanmark'!J$3:J$1022))),'Resultater - Vestdanmark'!$F$3:$F$1022,C278))</f>
        <v>1162838.9310658472</v>
      </c>
      <c r="F278">
        <v>1</v>
      </c>
    </row>
    <row r="279" spans="1:7" x14ac:dyDescent="0.25">
      <c r="A279" t="s">
        <v>120</v>
      </c>
      <c r="B279" t="s">
        <v>23</v>
      </c>
      <c r="C279" t="str">
        <f>'Forbrug til andet'!A10</f>
        <v>Rapsolie</v>
      </c>
      <c r="D279">
        <f t="shared" si="20"/>
        <v>2019</v>
      </c>
      <c r="E279" s="168">
        <f>IF(C279&lt;&gt;"Træmaterialer",IF(SUMIFS(Restprodukter!$G$2:$G$37,Restprodukter!$A$2:$A$37,C279,Restprodukter!$B$2:$B$37,B279,Restprodukter!$C$2:$C$37,D279)&gt;=0,SUMIFS(Restprodukter!$G$2:$G$37,Restprodukter!$A$2:$A$37,C279,Restprodukter!$B$2:$B$37,B279,Restprodukter!$C$2:$C$37,D279)*IF(A279="Energi",1-IF(C279&lt;&gt;"Træ til energi",VLOOKUP(C279,'Forbrug til andet'!$A$9:$D$13,MATCH('Forbrug af biomasse'!D279,'Forbrug til andet'!$A$8:$D$8,0),FALSE),0),VLOOKUP(C279,'Forbrug til andet'!$A$9:$D$13,MATCH('Forbrug af biomasse'!D279,'Forbrug til andet'!$A$8:$D$8,0),FALSE)),0),SUMIFS(IF(D279=År1,IF(B279="Vestdanmark",'Resultater - Vestdanmark'!H$3:H$1022,'Resultater - Østdanmark'!H$3:H$1022),IF(D279=År2,IF(B279="Vestdanmark",'Resultater - Vestdanmark'!I$3:I$1022,'Resultater - Østdanmark'!I$3:I$1022),IF(B279="Vestdanmark",'Resultater - Vestdanmark'!J$3:J$1022,'Resultater - Østdanmark'!J$3:J$1022))),'Resultater - Vestdanmark'!$F$3:$F$1022,C279))</f>
        <v>80830.79719489353</v>
      </c>
      <c r="F279" s="168">
        <v>1</v>
      </c>
    </row>
    <row r="280" spans="1:7" x14ac:dyDescent="0.25">
      <c r="A280" t="s">
        <v>120</v>
      </c>
      <c r="B280" t="s">
        <v>23</v>
      </c>
      <c r="C280" t="str">
        <f>'Forbrug til andet'!A11</f>
        <v>Pil &amp; poppel</v>
      </c>
      <c r="D280">
        <f t="shared" si="20"/>
        <v>2019</v>
      </c>
      <c r="E280" s="168">
        <f>IF(C280&lt;&gt;"Træmaterialer",IF(SUMIFS(Restprodukter!$G$2:$G$37,Restprodukter!$A$2:$A$37,C280,Restprodukter!$B$2:$B$37,B280,Restprodukter!$C$2:$C$37,D280)&gt;=0,SUMIFS(Restprodukter!$G$2:$G$37,Restprodukter!$A$2:$A$37,C280,Restprodukter!$B$2:$B$37,B280,Restprodukter!$C$2:$C$37,D280)*IF(A280="Energi",1-IF(C280&lt;&gt;"Træ til energi",VLOOKUP(C280,'Forbrug til andet'!$A$9:$D$13,MATCH('Forbrug af biomasse'!D280,'Forbrug til andet'!$A$8:$D$8,0),FALSE),0),VLOOKUP(C280,'Forbrug til andet'!$A$9:$D$13,MATCH('Forbrug af biomasse'!D280,'Forbrug til andet'!$A$8:$D$8,0),FALSE)),0),SUMIFS(IF(D280=År1,IF(B280="Vestdanmark",'Resultater - Vestdanmark'!H$3:H$1022,'Resultater - Østdanmark'!H$3:H$1022),IF(D280=År2,IF(B280="Vestdanmark",'Resultater - Vestdanmark'!I$3:I$1022,'Resultater - Østdanmark'!I$3:I$1022),IF(B280="Vestdanmark",'Resultater - Vestdanmark'!J$3:J$1022,'Resultater - Østdanmark'!J$3:J$1022))),'Resultater - Vestdanmark'!$F$3:$F$1022,C280))</f>
        <v>171006.78248665464</v>
      </c>
      <c r="F280" s="168">
        <v>1</v>
      </c>
    </row>
    <row r="281" spans="1:7" x14ac:dyDescent="0.25">
      <c r="A281" t="s">
        <v>120</v>
      </c>
      <c r="B281" t="s">
        <v>23</v>
      </c>
      <c r="C281" t="s">
        <v>119</v>
      </c>
      <c r="D281">
        <f t="shared" si="20"/>
        <v>2019</v>
      </c>
      <c r="E281" s="168">
        <f ca="1">IF(C281&lt;&gt;"Træmaterialer",IF(SUMIFS(Restprodukter!$G$2:$G$37,Restprodukter!$A$2:$A$37,C281,Restprodukter!$B$2:$B$37,B281,Restprodukter!$C$2:$C$37,D281)&gt;=0,SUMIFS(Restprodukter!$G$2:$G$37,Restprodukter!$A$2:$A$37,C281,Restprodukter!$B$2:$B$37,B281,Restprodukter!$C$2:$C$37,D281)*IF(A281="Energi",1-IF(C281&lt;&gt;"Træ til energi",VLOOKUP(C281,'Forbrug til andet'!$A$9:$D$13,MATCH('Forbrug af biomasse'!D281,'Forbrug til andet'!$A$8:$D$8,0),FALSE),0),VLOOKUP(C281,'Forbrug til andet'!$A$9:$D$13,MATCH('Forbrug af biomasse'!D281,'Forbrug til andet'!$A$8:$D$8,0),FALSE)),0),SUMIFS(IF(D281=År1,IF(B281="Vestdanmark",'Resultater - Vestdanmark'!H$3:H$1022,'Resultater - Østdanmark'!H$3:H$1022),IF(D281=År2,IF(B281="Vestdanmark",'Resultater - Vestdanmark'!I$3:I$1022,'Resultater - Østdanmark'!I$3:I$1022),IF(B281="Vestdanmark",'Resultater - Vestdanmark'!J$3:J$1022,'Resultater - Østdanmark'!J$3:J$1022))),'Resultater - Vestdanmark'!$F$3:$F$1022,C281))</f>
        <v>2328677.081002241</v>
      </c>
      <c r="F281" s="168">
        <v>1</v>
      </c>
    </row>
    <row r="282" spans="1:7" x14ac:dyDescent="0.25">
      <c r="A282" t="s">
        <v>120</v>
      </c>
      <c r="B282" t="s">
        <v>23</v>
      </c>
      <c r="C282" t="str">
        <f>'Forbrug til andet'!A12</f>
        <v>Have/parkaffald</v>
      </c>
      <c r="D282">
        <f t="shared" si="20"/>
        <v>2019</v>
      </c>
      <c r="E282" s="168">
        <f>IF(C282&lt;&gt;"Træmaterialer",IF(SUMIFS(Restprodukter!$G$2:$G$37,Restprodukter!$A$2:$A$37,C282,Restprodukter!$B$2:$B$37,B282,Restprodukter!$C$2:$C$37,D282)&gt;=0,SUMIFS(Restprodukter!$G$2:$G$37,Restprodukter!$A$2:$A$37,C282,Restprodukter!$B$2:$B$37,B282,Restprodukter!$C$2:$C$37,D282)*IF(A282="Energi",1-IF(C282&lt;&gt;"Træ til energi",VLOOKUP(C282,'Forbrug til andet'!$A$9:$D$13,MATCH('Forbrug af biomasse'!D282,'Forbrug til andet'!$A$8:$D$8,0),FALSE),0),VLOOKUP(C282,'Forbrug til andet'!$A$9:$D$13,MATCH('Forbrug af biomasse'!D282,'Forbrug til andet'!$A$8:$D$8,0),FALSE)),0),SUMIFS(IF(D282=År1,IF(B282="Vestdanmark",'Resultater - Vestdanmark'!H$3:H$1022,'Resultater - Østdanmark'!H$3:H$1022),IF(D282=År2,IF(B282="Vestdanmark",'Resultater - Vestdanmark'!I$3:I$1022,'Resultater - Østdanmark'!I$3:I$1022),IF(B282="Vestdanmark",'Resultater - Vestdanmark'!J$3:J$1022,'Resultater - Østdanmark'!J$3:J$1022))),'Resultater - Vestdanmark'!$F$3:$F$1022,C282))</f>
        <v>530420.38785042788</v>
      </c>
      <c r="F282" s="168">
        <v>1</v>
      </c>
    </row>
    <row r="283" spans="1:7" x14ac:dyDescent="0.25">
      <c r="A283" t="s">
        <v>120</v>
      </c>
      <c r="B283" t="s">
        <v>23</v>
      </c>
      <c r="C283" t="str">
        <f>'Forbrug til andet'!A13</f>
        <v>Bioaffald</v>
      </c>
      <c r="D283">
        <f t="shared" si="20"/>
        <v>2019</v>
      </c>
      <c r="E283" s="168">
        <f ca="1">IF(C283&lt;&gt;"Træmaterialer",IF(SUMIFS(Restprodukter!$G$2:$G$37,Restprodukter!$A$2:$A$37,C283,Restprodukter!$B$2:$B$37,B283,Restprodukter!$C$2:$C$37,D283)&gt;=0,SUMIFS(Restprodukter!$G$2:$G$37,Restprodukter!$A$2:$A$37,C283,Restprodukter!$B$2:$B$37,B283,Restprodukter!$C$2:$C$37,D283)*IF(A283="Energi",1-IF(C283&lt;&gt;"Træ til energi",VLOOKUP(C283,'Forbrug til andet'!$A$9:$D$13,MATCH('Forbrug af biomasse'!D283,'Forbrug til andet'!$A$8:$D$8,0),FALSE),0),VLOOKUP(C283,'Forbrug til andet'!$A$9:$D$13,MATCH('Forbrug af biomasse'!D283,'Forbrug til andet'!$A$8:$D$8,0),FALSE)),0),SUMIFS(IF(D283=År1,IF(B283="Vestdanmark",'Resultater - Vestdanmark'!H$3:H$1022,'Resultater - Østdanmark'!H$3:H$1022),IF(D283=År2,IF(B283="Vestdanmark",'Resultater - Vestdanmark'!I$3:I$1022,'Resultater - Østdanmark'!I$3:I$1022),IF(B283="Vestdanmark",'Resultater - Vestdanmark'!J$3:J$1022,'Resultater - Østdanmark'!J$3:J$1022))),'Resultater - Vestdanmark'!$F$3:$F$1022,C283))</f>
        <v>0</v>
      </c>
      <c r="F283" s="168">
        <v>1</v>
      </c>
    </row>
    <row r="284" spans="1:7" x14ac:dyDescent="0.25">
      <c r="A284" t="s">
        <v>164</v>
      </c>
      <c r="B284" t="s">
        <v>23</v>
      </c>
      <c r="C284" t="str">
        <f t="shared" ref="C284:C286" si="21">C278</f>
        <v>Halm</v>
      </c>
      <c r="D284">
        <f t="shared" si="20"/>
        <v>2019</v>
      </c>
      <c r="E284" s="168">
        <f>IF(C284&lt;&gt;"Træmaterialer",IF(SUMIFS(Restprodukter!$G$2:$G$37,Restprodukter!$A$2:$A$37,C284,Restprodukter!$B$2:$B$37,B284,Restprodukter!$C$2:$C$37,D284)&gt;=0,SUMIFS(Restprodukter!$G$2:$G$37,Restprodukter!$A$2:$A$37,C284,Restprodukter!$B$2:$B$37,B284,Restprodukter!$C$2:$C$37,D284)*IF(A284="Energi",1-IF(C284&lt;&gt;"Træ til energi",VLOOKUP(C284,'Forbrug til andet'!$A$9:$D$13,MATCH('Forbrug af biomasse'!D284,'Forbrug til andet'!$A$8:$D$8,0),FALSE),0),VLOOKUP(C284,'Forbrug til andet'!$A$9:$D$13,MATCH('Forbrug af biomasse'!D284,'Forbrug til andet'!$A$8:$D$8,0),FALSE)),0),SUMIFS(IF(D284=År1,IF(B284="Vestdanmark",'Resultater - Vestdanmark'!H$3:H$1022,'Resultater - Østdanmark'!H$3:H$1022),IF(D284=År2,IF(B284="Vestdanmark",'Resultater - Vestdanmark'!I$3:I$1022,'Resultater - Østdanmark'!I$3:I$1022),IF(B284="Vestdanmark",'Resultater - Vestdanmark'!J$3:J$1022,'Resultater - Østdanmark'!J$3:J$1022))),'Resultater - Vestdanmark'!$F$3:$F$1022,C284))</f>
        <v>0</v>
      </c>
      <c r="F284" s="168">
        <v>1</v>
      </c>
      <c r="G284">
        <v>1</v>
      </c>
    </row>
    <row r="285" spans="1:7" x14ac:dyDescent="0.25">
      <c r="A285" t="s">
        <v>164</v>
      </c>
      <c r="B285" t="s">
        <v>23</v>
      </c>
      <c r="C285" t="str">
        <f t="shared" si="21"/>
        <v>Rapsolie</v>
      </c>
      <c r="D285">
        <f t="shared" si="20"/>
        <v>2019</v>
      </c>
      <c r="E285" s="168">
        <f>IF(C285&lt;&gt;"Træmaterialer",IF(SUMIFS(Restprodukter!$G$2:$G$37,Restprodukter!$A$2:$A$37,C285,Restprodukter!$B$2:$B$37,B285,Restprodukter!$C$2:$C$37,D285)&gt;=0,SUMIFS(Restprodukter!$G$2:$G$37,Restprodukter!$A$2:$A$37,C285,Restprodukter!$B$2:$B$37,B285,Restprodukter!$C$2:$C$37,D285)*IF(A285="Energi",1-IF(C285&lt;&gt;"Træ til energi",VLOOKUP(C285,'Forbrug til andet'!$A$9:$D$13,MATCH('Forbrug af biomasse'!D285,'Forbrug til andet'!$A$8:$D$8,0),FALSE),0),VLOOKUP(C285,'Forbrug til andet'!$A$9:$D$13,MATCH('Forbrug af biomasse'!D285,'Forbrug til andet'!$A$8:$D$8,0),FALSE)),0),SUMIFS(IF(D285=År1,IF(B285="Vestdanmark",'Resultater - Vestdanmark'!H$3:H$1022,'Resultater - Østdanmark'!H$3:H$1022),IF(D285=År2,IF(B285="Vestdanmark",'Resultater - Vestdanmark'!I$3:I$1022,'Resultater - Østdanmark'!I$3:I$1022),IF(B285="Vestdanmark",'Resultater - Vestdanmark'!J$3:J$1022,'Resultater - Østdanmark'!J$3:J$1022))),'Resultater - Vestdanmark'!$F$3:$F$1022,C285))</f>
        <v>74613.043564517109</v>
      </c>
      <c r="F285" s="168">
        <v>1</v>
      </c>
      <c r="G285" s="168">
        <v>1</v>
      </c>
    </row>
    <row r="286" spans="1:7" x14ac:dyDescent="0.25">
      <c r="A286" t="s">
        <v>164</v>
      </c>
      <c r="B286" t="s">
        <v>23</v>
      </c>
      <c r="C286" t="str">
        <f t="shared" si="21"/>
        <v>Pil &amp; poppel</v>
      </c>
      <c r="D286">
        <f t="shared" si="20"/>
        <v>2019</v>
      </c>
      <c r="E286" s="168">
        <f>IF(C286&lt;&gt;"Træmaterialer",IF(SUMIFS(Restprodukter!$G$2:$G$37,Restprodukter!$A$2:$A$37,C286,Restprodukter!$B$2:$B$37,B286,Restprodukter!$C$2:$C$37,D286)&gt;=0,SUMIFS(Restprodukter!$G$2:$G$37,Restprodukter!$A$2:$A$37,C286,Restprodukter!$B$2:$B$37,B286,Restprodukter!$C$2:$C$37,D286)*IF(A286="Energi",1-IF(C286&lt;&gt;"Træ til energi",VLOOKUP(C286,'Forbrug til andet'!$A$9:$D$13,MATCH('Forbrug af biomasse'!D286,'Forbrug til andet'!$A$8:$D$8,0),FALSE),0),VLOOKUP(C286,'Forbrug til andet'!$A$9:$D$13,MATCH('Forbrug af biomasse'!D286,'Forbrug til andet'!$A$8:$D$8,0),FALSE)),0),SUMIFS(IF(D286=År1,IF(B286="Vestdanmark",'Resultater - Vestdanmark'!H$3:H$1022,'Resultater - Østdanmark'!H$3:H$1022),IF(D286=År2,IF(B286="Vestdanmark",'Resultater - Vestdanmark'!I$3:I$1022,'Resultater - Østdanmark'!I$3:I$1022),IF(B286="Vestdanmark",'Resultater - Vestdanmark'!J$3:J$1022,'Resultater - Østdanmark'!J$3:J$1022))),'Resultater - Vestdanmark'!$F$3:$F$1022,C286))</f>
        <v>0</v>
      </c>
      <c r="F286" s="168">
        <v>1</v>
      </c>
      <c r="G286" s="168">
        <v>1</v>
      </c>
    </row>
    <row r="287" spans="1:7" s="168" customFormat="1" x14ac:dyDescent="0.25">
      <c r="A287" s="168" t="s">
        <v>164</v>
      </c>
      <c r="B287" s="168" t="s">
        <v>23</v>
      </c>
      <c r="C287" s="168" t="s">
        <v>118</v>
      </c>
      <c r="D287" s="168">
        <f t="shared" si="20"/>
        <v>2019</v>
      </c>
      <c r="E287" s="168">
        <f>IF(C287&lt;&gt;"Træmaterialer",IF(SUMIFS(Restprodukter!$G$2:$G$37,Restprodukter!$A$2:$A$37,C287,Restprodukter!$B$2:$B$37,B287,Restprodukter!$C$2:$C$37,D287)&gt;=0,SUMIFS(Restprodukter!$G$2:$G$37,Restprodukter!$A$2:$A$37,C287,Restprodukter!$B$2:$B$37,B287,Restprodukter!$C$2:$C$37,D287)*IF(A287="Energi",1-IF(C287&lt;&gt;"Træ til energi",VLOOKUP(C287,'Forbrug til andet'!$A$9:$D$13,MATCH('Forbrug af biomasse'!D287,'Forbrug til andet'!$A$8:$D$8,0),FALSE),0),VLOOKUP(C287,'Forbrug til andet'!$A$9:$D$13,MATCH('Forbrug af biomasse'!D287,'Forbrug til andet'!$A$8:$D$8,0),FALSE)),0),SUMIFS(IF(D287=År1,IF(B287="Vestdanmark",'Resultater - Vestdanmark'!H$3:H$1022,'Resultater - Østdanmark'!H$3:H$1022),IF(D287=År2,IF(B287="Vestdanmark",'Resultater - Vestdanmark'!I$3:I$1022,'Resultater - Østdanmark'!I$3:I$1022),IF(B287="Vestdanmark",'Resultater - Vestdanmark'!J$3:J$1022,'Resultater - Østdanmark'!J$3:J$1022))),'Resultater - Vestdanmark'!$F$3:$F$1022,C287))</f>
        <v>640291.52551137318</v>
      </c>
      <c r="F287" s="168">
        <v>1</v>
      </c>
      <c r="G287" s="168">
        <v>1</v>
      </c>
    </row>
    <row r="288" spans="1:7" x14ac:dyDescent="0.25">
      <c r="A288" t="s">
        <v>164</v>
      </c>
      <c r="B288" t="s">
        <v>23</v>
      </c>
      <c r="C288" t="str">
        <f>C282</f>
        <v>Have/parkaffald</v>
      </c>
      <c r="D288">
        <f t="shared" si="20"/>
        <v>2019</v>
      </c>
      <c r="E288" s="168">
        <f>IF(C288&lt;&gt;"Træmaterialer",IF(SUMIFS(Restprodukter!$G$2:$G$37,Restprodukter!$A$2:$A$37,C288,Restprodukter!$B$2:$B$37,B288,Restprodukter!$C$2:$C$37,D288)&gt;=0,SUMIFS(Restprodukter!$G$2:$G$37,Restprodukter!$A$2:$A$37,C288,Restprodukter!$B$2:$B$37,B288,Restprodukter!$C$2:$C$37,D288)*IF(A288="Energi",1-IF(C288&lt;&gt;"Træ til energi",VLOOKUP(C288,'Forbrug til andet'!$A$9:$D$13,MATCH('Forbrug af biomasse'!D288,'Forbrug til andet'!$A$8:$D$8,0),FALSE),0),VLOOKUP(C288,'Forbrug til andet'!$A$9:$D$13,MATCH('Forbrug af biomasse'!D288,'Forbrug til andet'!$A$8:$D$8,0),FALSE)),0),SUMIFS(IF(D288=År1,IF(B288="Vestdanmark",'Resultater - Vestdanmark'!H$3:H$1022,'Resultater - Østdanmark'!H$3:H$1022),IF(D288=År2,IF(B288="Vestdanmark",'Resultater - Vestdanmark'!I$3:I$1022,'Resultater - Østdanmark'!I$3:I$1022),IF(B288="Vestdanmark",'Resultater - Vestdanmark'!J$3:J$1022,'Resultater - Østdanmark'!J$3:J$1022))),'Resultater - Vestdanmark'!$F$3:$F$1022,C288))</f>
        <v>0</v>
      </c>
      <c r="F288" s="168">
        <v>1</v>
      </c>
      <c r="G288" s="168">
        <v>1</v>
      </c>
    </row>
    <row r="289" spans="1:7" x14ac:dyDescent="0.25">
      <c r="A289" t="s">
        <v>164</v>
      </c>
      <c r="B289" t="s">
        <v>23</v>
      </c>
      <c r="C289" t="str">
        <f>C283</f>
        <v>Bioaffald</v>
      </c>
      <c r="D289">
        <f t="shared" si="20"/>
        <v>2019</v>
      </c>
      <c r="E289" s="168">
        <f ca="1">IF(C289&lt;&gt;"Træmaterialer",IF(SUMIFS(Restprodukter!$G$2:$G$37,Restprodukter!$A$2:$A$37,C289,Restprodukter!$B$2:$B$37,B289,Restprodukter!$C$2:$C$37,D289)&gt;=0,SUMIFS(Restprodukter!$G$2:$G$37,Restprodukter!$A$2:$A$37,C289,Restprodukter!$B$2:$B$37,B289,Restprodukter!$C$2:$C$37,D289)*IF(A289="Energi",1-IF(C289&lt;&gt;"Træ til energi",VLOOKUP(C289,'Forbrug til andet'!$A$9:$D$13,MATCH('Forbrug af biomasse'!D289,'Forbrug til andet'!$A$8:$D$8,0),FALSE),0),VLOOKUP(C289,'Forbrug til andet'!$A$9:$D$13,MATCH('Forbrug af biomasse'!D289,'Forbrug til andet'!$A$8:$D$8,0),FALSE)),0),SUMIFS(IF(D289=År1,IF(B289="Vestdanmark",'Resultater - Vestdanmark'!H$3:H$1022,'Resultater - Østdanmark'!H$3:H$1022),IF(D289=År2,IF(B289="Vestdanmark",'Resultater - Vestdanmark'!I$3:I$1022,'Resultater - Østdanmark'!I$3:I$1022),IF(B289="Vestdanmark",'Resultater - Vestdanmark'!J$3:J$1022,'Resultater - Østdanmark'!J$3:J$1022))),'Resultater - Vestdanmark'!$F$3:$F$1022,C289))</f>
        <v>0</v>
      </c>
      <c r="F289" s="168">
        <v>1</v>
      </c>
      <c r="G289" s="168">
        <v>1</v>
      </c>
    </row>
    <row r="290" spans="1:7" x14ac:dyDescent="0.25">
      <c r="A290" t="s">
        <v>120</v>
      </c>
      <c r="B290" t="s">
        <v>24</v>
      </c>
      <c r="C290" t="str">
        <f>C278</f>
        <v>Halm</v>
      </c>
      <c r="D290">
        <f t="shared" si="20"/>
        <v>2019</v>
      </c>
      <c r="E290" s="168">
        <f>IF(C290&lt;&gt;"Træmaterialer",IF(SUMIFS(Restprodukter!$G$2:$G$37,Restprodukter!$A$2:$A$37,C290,Restprodukter!$B$2:$B$37,B290,Restprodukter!$C$2:$C$37,D290)&gt;=0,SUMIFS(Restprodukter!$G$2:$G$37,Restprodukter!$A$2:$A$37,C290,Restprodukter!$B$2:$B$37,B290,Restprodukter!$C$2:$C$37,D290)*IF(A290="Energi",1-IF(C290&lt;&gt;"Træ til energi",VLOOKUP(C290,'Forbrug til andet'!$A$9:$D$13,MATCH('Forbrug af biomasse'!D290,'Forbrug til andet'!$A$8:$D$8,0),FALSE),0),VLOOKUP(C290,'Forbrug til andet'!$A$9:$D$13,MATCH('Forbrug af biomasse'!D290,'Forbrug til andet'!$A$8:$D$8,0),FALSE)),0),SUMIFS(IF(D290=År1,IF(B290="Vestdanmark",'Resultater - Vestdanmark'!H$3:H$1022,'Resultater - Østdanmark'!H$3:H$1022),IF(D290=År2,IF(B290="Vestdanmark",'Resultater - Vestdanmark'!I$3:I$1022,'Resultater - Østdanmark'!I$3:I$1022),IF(B290="Vestdanmark",'Resultater - Vestdanmark'!J$3:J$1022,'Resultater - Østdanmark'!J$3:J$1022))),'Resultater - Vestdanmark'!$F$3:$F$1022,C290))</f>
        <v>732655.58820898295</v>
      </c>
      <c r="F290" s="168">
        <v>1</v>
      </c>
    </row>
    <row r="291" spans="1:7" x14ac:dyDescent="0.25">
      <c r="A291" t="s">
        <v>120</v>
      </c>
      <c r="B291" t="s">
        <v>24</v>
      </c>
      <c r="C291" s="168" t="str">
        <f t="shared" ref="C291:C349" si="22">C279</f>
        <v>Rapsolie</v>
      </c>
      <c r="D291">
        <f t="shared" si="20"/>
        <v>2019</v>
      </c>
      <c r="E291" s="168">
        <f>IF(C291&lt;&gt;"Træmaterialer",IF(SUMIFS(Restprodukter!$G$2:$G$37,Restprodukter!$A$2:$A$37,C291,Restprodukter!$B$2:$B$37,B291,Restprodukter!$C$2:$C$37,D291)&gt;=0,SUMIFS(Restprodukter!$G$2:$G$37,Restprodukter!$A$2:$A$37,C291,Restprodukter!$B$2:$B$37,B291,Restprodukter!$C$2:$C$37,D291)*IF(A291="Energi",1-IF(C291&lt;&gt;"Træ til energi",VLOOKUP(C291,'Forbrug til andet'!$A$9:$D$13,MATCH('Forbrug af biomasse'!D291,'Forbrug til andet'!$A$8:$D$8,0),FALSE),0),VLOOKUP(C291,'Forbrug til andet'!$A$9:$D$13,MATCH('Forbrug af biomasse'!D291,'Forbrug til andet'!$A$8:$D$8,0),FALSE)),0),SUMIFS(IF(D291=År1,IF(B291="Vestdanmark",'Resultater - Vestdanmark'!H$3:H$1022,'Resultater - Østdanmark'!H$3:H$1022),IF(D291=År2,IF(B291="Vestdanmark",'Resultater - Vestdanmark'!I$3:I$1022,'Resultater - Østdanmark'!I$3:I$1022),IF(B291="Vestdanmark",'Resultater - Vestdanmark'!J$3:J$1022,'Resultater - Østdanmark'!J$3:J$1022))),'Resultater - Vestdanmark'!$F$3:$F$1022,C291))</f>
        <v>32042.520829377954</v>
      </c>
      <c r="F291" s="168">
        <v>1</v>
      </c>
    </row>
    <row r="292" spans="1:7" x14ac:dyDescent="0.25">
      <c r="A292" t="s">
        <v>120</v>
      </c>
      <c r="B292" t="s">
        <v>24</v>
      </c>
      <c r="C292" s="168" t="str">
        <f t="shared" si="22"/>
        <v>Pil &amp; poppel</v>
      </c>
      <c r="D292">
        <f t="shared" si="20"/>
        <v>2019</v>
      </c>
      <c r="E292" s="168">
        <f>IF(C292&lt;&gt;"Træmaterialer",IF(SUMIFS(Restprodukter!$G$2:$G$37,Restprodukter!$A$2:$A$37,C292,Restprodukter!$B$2:$B$37,B292,Restprodukter!$C$2:$C$37,D292)&gt;=0,SUMIFS(Restprodukter!$G$2:$G$37,Restprodukter!$A$2:$A$37,C292,Restprodukter!$B$2:$B$37,B292,Restprodukter!$C$2:$C$37,D292)*IF(A292="Energi",1-IF(C292&lt;&gt;"Træ til energi",VLOOKUP(C292,'Forbrug til andet'!$A$9:$D$13,MATCH('Forbrug af biomasse'!D292,'Forbrug til andet'!$A$8:$D$8,0),FALSE),0),VLOOKUP(C292,'Forbrug til andet'!$A$9:$D$13,MATCH('Forbrug af biomasse'!D292,'Forbrug til andet'!$A$8:$D$8,0),FALSE)),0),SUMIFS(IF(D292=År1,IF(B292="Vestdanmark",'Resultater - Vestdanmark'!H$3:H$1022,'Resultater - Østdanmark'!H$3:H$1022),IF(D292=År2,IF(B292="Vestdanmark",'Resultater - Vestdanmark'!I$3:I$1022,'Resultater - Østdanmark'!I$3:I$1022),IF(B292="Vestdanmark",'Resultater - Vestdanmark'!J$3:J$1022,'Resultater - Østdanmark'!J$3:J$1022))),'Resultater - Vestdanmark'!$F$3:$F$1022,C292))</f>
        <v>38860.356190289756</v>
      </c>
      <c r="F292" s="168">
        <v>1</v>
      </c>
    </row>
    <row r="293" spans="1:7" x14ac:dyDescent="0.25">
      <c r="A293" t="s">
        <v>120</v>
      </c>
      <c r="B293" t="s">
        <v>24</v>
      </c>
      <c r="C293" s="168" t="str">
        <f t="shared" si="22"/>
        <v>Træ til energi</v>
      </c>
      <c r="D293">
        <f t="shared" si="20"/>
        <v>2019</v>
      </c>
      <c r="E293" s="168">
        <f ca="1">IF(C293&lt;&gt;"Træmaterialer",IF(SUMIFS(Restprodukter!$G$2:$G$37,Restprodukter!$A$2:$A$37,C293,Restprodukter!$B$2:$B$37,B293,Restprodukter!$C$2:$C$37,D293)&gt;=0,SUMIFS(Restprodukter!$G$2:$G$37,Restprodukter!$A$2:$A$37,C293,Restprodukter!$B$2:$B$37,B293,Restprodukter!$C$2:$C$37,D293)*IF(A293="Energi",1-IF(C293&lt;&gt;"Træ til energi",VLOOKUP(C293,'Forbrug til andet'!$A$9:$D$13,MATCH('Forbrug af biomasse'!D293,'Forbrug til andet'!$A$8:$D$8,0),FALSE),0),VLOOKUP(C293,'Forbrug til andet'!$A$9:$D$13,MATCH('Forbrug af biomasse'!D293,'Forbrug til andet'!$A$8:$D$8,0),FALSE)),0),SUMIFS(IF(D293=År1,IF(B293="Vestdanmark",'Resultater - Vestdanmark'!H$3:H$1022,'Resultater - Østdanmark'!H$3:H$1022),IF(D293=År2,IF(B293="Vestdanmark",'Resultater - Vestdanmark'!I$3:I$1022,'Resultater - Østdanmark'!I$3:I$1022),IF(B293="Vestdanmark",'Resultater - Vestdanmark'!J$3:J$1022,'Resultater - Østdanmark'!J$3:J$1022))),'Resultater - Vestdanmark'!$F$3:$F$1022,C293))</f>
        <v>681614.98381741357</v>
      </c>
      <c r="F293" s="168">
        <v>1</v>
      </c>
    </row>
    <row r="294" spans="1:7" x14ac:dyDescent="0.25">
      <c r="A294" t="s">
        <v>120</v>
      </c>
      <c r="B294" t="s">
        <v>24</v>
      </c>
      <c r="C294" s="168" t="str">
        <f t="shared" si="22"/>
        <v>Have/parkaffald</v>
      </c>
      <c r="D294">
        <f t="shared" si="20"/>
        <v>2019</v>
      </c>
      <c r="E294" s="168">
        <f>IF(C294&lt;&gt;"Træmaterialer",IF(SUMIFS(Restprodukter!$G$2:$G$37,Restprodukter!$A$2:$A$37,C294,Restprodukter!$B$2:$B$37,B294,Restprodukter!$C$2:$C$37,D294)&gt;=0,SUMIFS(Restprodukter!$G$2:$G$37,Restprodukter!$A$2:$A$37,C294,Restprodukter!$B$2:$B$37,B294,Restprodukter!$C$2:$C$37,D294)*IF(A294="Energi",1-IF(C294&lt;&gt;"Træ til energi",VLOOKUP(C294,'Forbrug til andet'!$A$9:$D$13,MATCH('Forbrug af biomasse'!D294,'Forbrug til andet'!$A$8:$D$8,0),FALSE),0),VLOOKUP(C294,'Forbrug til andet'!$A$9:$D$13,MATCH('Forbrug af biomasse'!D294,'Forbrug til andet'!$A$8:$D$8,0),FALSE)),0),SUMIFS(IF(D294=År1,IF(B294="Vestdanmark",'Resultater - Vestdanmark'!H$3:H$1022,'Resultater - Østdanmark'!H$3:H$1022),IF(D294=År2,IF(B294="Vestdanmark",'Resultater - Vestdanmark'!I$3:I$1022,'Resultater - Østdanmark'!I$3:I$1022),IF(B294="Vestdanmark",'Resultater - Vestdanmark'!J$3:J$1022,'Resultater - Østdanmark'!J$3:J$1022))),'Resultater - Vestdanmark'!$F$3:$F$1022,C294))</f>
        <v>452310.61214957217</v>
      </c>
      <c r="F294" s="168">
        <v>1</v>
      </c>
    </row>
    <row r="295" spans="1:7" x14ac:dyDescent="0.25">
      <c r="A295" t="s">
        <v>120</v>
      </c>
      <c r="B295" t="s">
        <v>24</v>
      </c>
      <c r="C295" s="168" t="str">
        <f t="shared" si="22"/>
        <v>Bioaffald</v>
      </c>
      <c r="D295">
        <f t="shared" si="20"/>
        <v>2019</v>
      </c>
      <c r="E295" s="168">
        <f ca="1">IF(C295&lt;&gt;"Træmaterialer",IF(SUMIFS(Restprodukter!$G$2:$G$37,Restprodukter!$A$2:$A$37,C295,Restprodukter!$B$2:$B$37,B295,Restprodukter!$C$2:$C$37,D295)&gt;=0,SUMIFS(Restprodukter!$G$2:$G$37,Restprodukter!$A$2:$A$37,C295,Restprodukter!$B$2:$B$37,B295,Restprodukter!$C$2:$C$37,D295)*IF(A295="Energi",1-IF(C295&lt;&gt;"Træ til energi",VLOOKUP(C295,'Forbrug til andet'!$A$9:$D$13,MATCH('Forbrug af biomasse'!D295,'Forbrug til andet'!$A$8:$D$8,0),FALSE),0),VLOOKUP(C295,'Forbrug til andet'!$A$9:$D$13,MATCH('Forbrug af biomasse'!D295,'Forbrug til andet'!$A$8:$D$8,0),FALSE)),0),SUMIFS(IF(D295=År1,IF(B295="Vestdanmark",'Resultater - Vestdanmark'!H$3:H$1022,'Resultater - Østdanmark'!H$3:H$1022),IF(D295=År2,IF(B295="Vestdanmark",'Resultater - Vestdanmark'!I$3:I$1022,'Resultater - Østdanmark'!I$3:I$1022),IF(B295="Vestdanmark",'Resultater - Vestdanmark'!J$3:J$1022,'Resultater - Østdanmark'!J$3:J$1022))),'Resultater - Vestdanmark'!$F$3:$F$1022,C295))</f>
        <v>0</v>
      </c>
      <c r="F295" s="168">
        <v>1</v>
      </c>
    </row>
    <row r="296" spans="1:7" x14ac:dyDescent="0.25">
      <c r="A296" t="s">
        <v>164</v>
      </c>
      <c r="B296" t="s">
        <v>24</v>
      </c>
      <c r="C296" s="168" t="str">
        <f t="shared" si="22"/>
        <v>Halm</v>
      </c>
      <c r="D296">
        <f t="shared" si="20"/>
        <v>2019</v>
      </c>
      <c r="E296" s="168">
        <f>IF(C296&lt;&gt;"Træmaterialer",IF(SUMIFS(Restprodukter!$G$2:$G$37,Restprodukter!$A$2:$A$37,C296,Restprodukter!$B$2:$B$37,B296,Restprodukter!$C$2:$C$37,D296)&gt;=0,SUMIFS(Restprodukter!$G$2:$G$37,Restprodukter!$A$2:$A$37,C296,Restprodukter!$B$2:$B$37,B296,Restprodukter!$C$2:$C$37,D296)*IF(A296="Energi",1-IF(C296&lt;&gt;"Træ til energi",VLOOKUP(C296,'Forbrug til andet'!$A$9:$D$13,MATCH('Forbrug af biomasse'!D296,'Forbrug til andet'!$A$8:$D$8,0),FALSE),0),VLOOKUP(C296,'Forbrug til andet'!$A$9:$D$13,MATCH('Forbrug af biomasse'!D296,'Forbrug til andet'!$A$8:$D$8,0),FALSE)),0),SUMIFS(IF(D296=År1,IF(B296="Vestdanmark",'Resultater - Vestdanmark'!H$3:H$1022,'Resultater - Østdanmark'!H$3:H$1022),IF(D296=År2,IF(B296="Vestdanmark",'Resultater - Vestdanmark'!I$3:I$1022,'Resultater - Østdanmark'!I$3:I$1022),IF(B296="Vestdanmark",'Resultater - Vestdanmark'!J$3:J$1022,'Resultater - Østdanmark'!J$3:J$1022))),'Resultater - Vestdanmark'!$F$3:$F$1022,C296))</f>
        <v>0</v>
      </c>
      <c r="F296" s="168">
        <v>1</v>
      </c>
      <c r="G296" s="168">
        <v>1</v>
      </c>
    </row>
    <row r="297" spans="1:7" x14ac:dyDescent="0.25">
      <c r="A297" t="s">
        <v>164</v>
      </c>
      <c r="B297" t="s">
        <v>24</v>
      </c>
      <c r="C297" s="168" t="str">
        <f t="shared" si="22"/>
        <v>Rapsolie</v>
      </c>
      <c r="D297">
        <f t="shared" si="20"/>
        <v>2019</v>
      </c>
      <c r="E297" s="168">
        <f>IF(C297&lt;&gt;"Træmaterialer",IF(SUMIFS(Restprodukter!$G$2:$G$37,Restprodukter!$A$2:$A$37,C297,Restprodukter!$B$2:$B$37,B297,Restprodukter!$C$2:$C$37,D297)&gt;=0,SUMIFS(Restprodukter!$G$2:$G$37,Restprodukter!$A$2:$A$37,C297,Restprodukter!$B$2:$B$37,B297,Restprodukter!$C$2:$C$37,D297)*IF(A297="Energi",1-IF(C297&lt;&gt;"Træ til energi",VLOOKUP(C297,'Forbrug til andet'!$A$9:$D$13,MATCH('Forbrug af biomasse'!D297,'Forbrug til andet'!$A$8:$D$8,0),FALSE),0),VLOOKUP(C297,'Forbrug til andet'!$A$9:$D$13,MATCH('Forbrug af biomasse'!D297,'Forbrug til andet'!$A$8:$D$8,0),FALSE)),0),SUMIFS(IF(D297=År1,IF(B297="Vestdanmark",'Resultater - Vestdanmark'!H$3:H$1022,'Resultater - Østdanmark'!H$3:H$1022),IF(D297=År2,IF(B297="Vestdanmark",'Resultater - Vestdanmark'!I$3:I$1022,'Resultater - Østdanmark'!I$3:I$1022),IF(B297="Vestdanmark",'Resultater - Vestdanmark'!J$3:J$1022,'Resultater - Østdanmark'!J$3:J$1022))),'Resultater - Vestdanmark'!$F$3:$F$1022,C297))</f>
        <v>29577.711534810416</v>
      </c>
      <c r="F297" s="168">
        <v>1</v>
      </c>
      <c r="G297" s="168">
        <v>1</v>
      </c>
    </row>
    <row r="298" spans="1:7" x14ac:dyDescent="0.25">
      <c r="A298" t="s">
        <v>164</v>
      </c>
      <c r="B298" t="s">
        <v>24</v>
      </c>
      <c r="C298" s="168" t="str">
        <f t="shared" si="22"/>
        <v>Pil &amp; poppel</v>
      </c>
      <c r="D298">
        <f t="shared" si="20"/>
        <v>2019</v>
      </c>
      <c r="E298" s="168">
        <f>IF(C298&lt;&gt;"Træmaterialer",IF(SUMIFS(Restprodukter!$G$2:$G$37,Restprodukter!$A$2:$A$37,C298,Restprodukter!$B$2:$B$37,B298,Restprodukter!$C$2:$C$37,D298)&gt;=0,SUMIFS(Restprodukter!$G$2:$G$37,Restprodukter!$A$2:$A$37,C298,Restprodukter!$B$2:$B$37,B298,Restprodukter!$C$2:$C$37,D298)*IF(A298="Energi",1-IF(C298&lt;&gt;"Træ til energi",VLOOKUP(C298,'Forbrug til andet'!$A$9:$D$13,MATCH('Forbrug af biomasse'!D298,'Forbrug til andet'!$A$8:$D$8,0),FALSE),0),VLOOKUP(C298,'Forbrug til andet'!$A$9:$D$13,MATCH('Forbrug af biomasse'!D298,'Forbrug til andet'!$A$8:$D$8,0),FALSE)),0),SUMIFS(IF(D298=År1,IF(B298="Vestdanmark",'Resultater - Vestdanmark'!H$3:H$1022,'Resultater - Østdanmark'!H$3:H$1022),IF(D298=År2,IF(B298="Vestdanmark",'Resultater - Vestdanmark'!I$3:I$1022,'Resultater - Østdanmark'!I$3:I$1022),IF(B298="Vestdanmark",'Resultater - Vestdanmark'!J$3:J$1022,'Resultater - Østdanmark'!J$3:J$1022))),'Resultater - Vestdanmark'!$F$3:$F$1022,C298))</f>
        <v>0</v>
      </c>
      <c r="F298" s="168">
        <v>1</v>
      </c>
      <c r="G298" s="168">
        <v>1</v>
      </c>
    </row>
    <row r="299" spans="1:7" s="168" customFormat="1" x14ac:dyDescent="0.25">
      <c r="A299" s="168" t="s">
        <v>164</v>
      </c>
      <c r="B299" s="168" t="s">
        <v>24</v>
      </c>
      <c r="C299" s="168" t="str">
        <f t="shared" si="22"/>
        <v>Træmaterialer</v>
      </c>
      <c r="D299" s="168">
        <f t="shared" si="20"/>
        <v>2019</v>
      </c>
      <c r="E299" s="168">
        <f ca="1">IF(C299&lt;&gt;"Træmaterialer",IF(SUMIFS(Restprodukter!$G$2:$G$37,Restprodukter!$A$2:$A$37,C299,Restprodukter!$B$2:$B$37,B299,Restprodukter!$C$2:$C$37,D299)&gt;=0,SUMIFS(Restprodukter!$G$2:$G$37,Restprodukter!$A$2:$A$37,C299,Restprodukter!$B$2:$B$37,B299,Restprodukter!$C$2:$C$37,D299)*IF(A299="Energi",1-IF(C299&lt;&gt;"Træ til energi",VLOOKUP(C299,'Forbrug til andet'!$A$9:$D$13,MATCH('Forbrug af biomasse'!D299,'Forbrug til andet'!$A$8:$D$8,0),FALSE),0),VLOOKUP(C299,'Forbrug til andet'!$A$9:$D$13,MATCH('Forbrug af biomasse'!D299,'Forbrug til andet'!$A$8:$D$8,0),FALSE)),0),SUMIFS(IF(D299=År1,IF(B299="Vestdanmark",'Resultater - Vestdanmark'!H$3:H$1022,'Resultater - Østdanmark'!H$3:H$1022),IF(D299=År2,IF(B299="Vestdanmark",'Resultater - Vestdanmark'!I$3:I$1022,'Resultater - Østdanmark'!I$3:I$1022),IF(B299="Vestdanmark",'Resultater - Vestdanmark'!J$3:J$1022,'Resultater - Østdanmark'!J$3:J$1022))),'Resultater - Vestdanmark'!$F$3:$F$1022,C299))</f>
        <v>187416.40966897184</v>
      </c>
      <c r="F299" s="168">
        <v>1</v>
      </c>
      <c r="G299" s="168">
        <v>1</v>
      </c>
    </row>
    <row r="300" spans="1:7" x14ac:dyDescent="0.25">
      <c r="A300" t="s">
        <v>164</v>
      </c>
      <c r="B300" t="s">
        <v>24</v>
      </c>
      <c r="C300" s="168" t="str">
        <f t="shared" si="22"/>
        <v>Have/parkaffald</v>
      </c>
      <c r="D300">
        <f t="shared" si="20"/>
        <v>2019</v>
      </c>
      <c r="E300" s="168">
        <f>IF(C300&lt;&gt;"Træmaterialer",IF(SUMIFS(Restprodukter!$G$2:$G$37,Restprodukter!$A$2:$A$37,C300,Restprodukter!$B$2:$B$37,B300,Restprodukter!$C$2:$C$37,D300)&gt;=0,SUMIFS(Restprodukter!$G$2:$G$37,Restprodukter!$A$2:$A$37,C300,Restprodukter!$B$2:$B$37,B300,Restprodukter!$C$2:$C$37,D300)*IF(A300="Energi",1-IF(C300&lt;&gt;"Træ til energi",VLOOKUP(C300,'Forbrug til andet'!$A$9:$D$13,MATCH('Forbrug af biomasse'!D300,'Forbrug til andet'!$A$8:$D$8,0),FALSE),0),VLOOKUP(C300,'Forbrug til andet'!$A$9:$D$13,MATCH('Forbrug af biomasse'!D300,'Forbrug til andet'!$A$8:$D$8,0),FALSE)),0),SUMIFS(IF(D300=År1,IF(B300="Vestdanmark",'Resultater - Vestdanmark'!H$3:H$1022,'Resultater - Østdanmark'!H$3:H$1022),IF(D300=År2,IF(B300="Vestdanmark",'Resultater - Vestdanmark'!I$3:I$1022,'Resultater - Østdanmark'!I$3:I$1022),IF(B300="Vestdanmark",'Resultater - Vestdanmark'!J$3:J$1022,'Resultater - Østdanmark'!J$3:J$1022))),'Resultater - Vestdanmark'!$F$3:$F$1022,C300))</f>
        <v>0</v>
      </c>
      <c r="F300" s="168">
        <v>1</v>
      </c>
      <c r="G300" s="168">
        <v>1</v>
      </c>
    </row>
    <row r="301" spans="1:7" x14ac:dyDescent="0.25">
      <c r="A301" t="s">
        <v>164</v>
      </c>
      <c r="B301" t="s">
        <v>24</v>
      </c>
      <c r="C301" s="168" t="str">
        <f t="shared" si="22"/>
        <v>Bioaffald</v>
      </c>
      <c r="D301">
        <f t="shared" si="20"/>
        <v>2019</v>
      </c>
      <c r="E301" s="168">
        <f ca="1">IF(C301&lt;&gt;"Træmaterialer",IF(SUMIFS(Restprodukter!$G$2:$G$37,Restprodukter!$A$2:$A$37,C301,Restprodukter!$B$2:$B$37,B301,Restprodukter!$C$2:$C$37,D301)&gt;=0,SUMIFS(Restprodukter!$G$2:$G$37,Restprodukter!$A$2:$A$37,C301,Restprodukter!$B$2:$B$37,B301,Restprodukter!$C$2:$C$37,D301)*IF(A301="Energi",1-IF(C301&lt;&gt;"Træ til energi",VLOOKUP(C301,'Forbrug til andet'!$A$9:$D$13,MATCH('Forbrug af biomasse'!D301,'Forbrug til andet'!$A$8:$D$8,0),FALSE),0),VLOOKUP(C301,'Forbrug til andet'!$A$9:$D$13,MATCH('Forbrug af biomasse'!D301,'Forbrug til andet'!$A$8:$D$8,0),FALSE)),0),SUMIFS(IF(D301=År1,IF(B301="Vestdanmark",'Resultater - Vestdanmark'!H$3:H$1022,'Resultater - Østdanmark'!H$3:H$1022),IF(D301=År2,IF(B301="Vestdanmark",'Resultater - Vestdanmark'!I$3:I$1022,'Resultater - Østdanmark'!I$3:I$1022),IF(B301="Vestdanmark",'Resultater - Vestdanmark'!J$3:J$1022,'Resultater - Østdanmark'!J$3:J$1022))),'Resultater - Vestdanmark'!$F$3:$F$1022,C301))</f>
        <v>0</v>
      </c>
      <c r="F301" s="168">
        <v>1</v>
      </c>
      <c r="G301" s="168">
        <v>1</v>
      </c>
    </row>
    <row r="302" spans="1:7" x14ac:dyDescent="0.25">
      <c r="A302" t="s">
        <v>120</v>
      </c>
      <c r="B302" t="s">
        <v>23</v>
      </c>
      <c r="C302" s="168" t="str">
        <f>C290</f>
        <v>Halm</v>
      </c>
      <c r="D302">
        <f t="shared" ref="D302:D325" si="23">År2</f>
        <v>2030</v>
      </c>
      <c r="E302" s="168">
        <f>IF(C302&lt;&gt;"Træmaterialer",IF(SUMIFS(Restprodukter!$G$2:$G$37,Restprodukter!$A$2:$A$37,C302,Restprodukter!$B$2:$B$37,B302,Restprodukter!$C$2:$C$37,D302)&gt;=0,SUMIFS(Restprodukter!$G$2:$G$37,Restprodukter!$A$2:$A$37,C302,Restprodukter!$B$2:$B$37,B302,Restprodukter!$C$2:$C$37,D302)*IF(A302="Energi",1-IF(C302&lt;&gt;"Træ til energi",VLOOKUP(C302,'Forbrug til andet'!$A$9:$D$13,MATCH('Forbrug af biomasse'!D302,'Forbrug til andet'!$A$8:$D$8,0),FALSE),0),VLOOKUP(C302,'Forbrug til andet'!$A$9:$D$13,MATCH('Forbrug af biomasse'!D302,'Forbrug til andet'!$A$8:$D$8,0),FALSE)),0),SUMIFS(IF(D302=År1,IF(B302="Vestdanmark",'Resultater - Vestdanmark'!H$3:H$1022,'Resultater - Østdanmark'!H$3:H$1022),IF(D302=År2,IF(B302="Vestdanmark",'Resultater - Vestdanmark'!I$3:I$1022,'Resultater - Østdanmark'!I$3:I$1022),IF(B302="Vestdanmark",'Resultater - Vestdanmark'!J$3:J$1022,'Resultater - Østdanmark'!J$3:J$1022))),'Resultater - Vestdanmark'!$F$3:$F$1022,C302))</f>
        <v>791713.77604489354</v>
      </c>
      <c r="F302" s="168">
        <v>1</v>
      </c>
    </row>
    <row r="303" spans="1:7" x14ac:dyDescent="0.25">
      <c r="A303" t="s">
        <v>120</v>
      </c>
      <c r="B303" t="s">
        <v>23</v>
      </c>
      <c r="C303" s="168" t="str">
        <f t="shared" si="22"/>
        <v>Rapsolie</v>
      </c>
      <c r="D303">
        <f t="shared" si="23"/>
        <v>2030</v>
      </c>
      <c r="E303" s="168">
        <f>IF(C303&lt;&gt;"Træmaterialer",IF(SUMIFS(Restprodukter!$G$2:$G$37,Restprodukter!$A$2:$A$37,C303,Restprodukter!$B$2:$B$37,B303,Restprodukter!$C$2:$C$37,D303)&gt;=0,SUMIFS(Restprodukter!$G$2:$G$37,Restprodukter!$A$2:$A$37,C303,Restprodukter!$B$2:$B$37,B303,Restprodukter!$C$2:$C$37,D303)*IF(A303="Energi",1-IF(C303&lt;&gt;"Træ til energi",VLOOKUP(C303,'Forbrug til andet'!$A$9:$D$13,MATCH('Forbrug af biomasse'!D303,'Forbrug til andet'!$A$8:$D$8,0),FALSE),0),VLOOKUP(C303,'Forbrug til andet'!$A$9:$D$13,MATCH('Forbrug af biomasse'!D303,'Forbrug til andet'!$A$8:$D$8,0),FALSE)),0),SUMIFS(IF(D303=År1,IF(B303="Vestdanmark",'Resultater - Vestdanmark'!H$3:H$1022,'Resultater - Østdanmark'!H$3:H$1022),IF(D303=År2,IF(B303="Vestdanmark",'Resultater - Vestdanmark'!I$3:I$1022,'Resultater - Østdanmark'!I$3:I$1022),IF(B303="Vestdanmark",'Resultater - Vestdanmark'!J$3:J$1022,'Resultater - Østdanmark'!J$3:J$1022))),'Resultater - Vestdanmark'!$F$3:$F$1022,C303))</f>
        <v>162889.29909228458</v>
      </c>
      <c r="F303" s="168">
        <v>1</v>
      </c>
    </row>
    <row r="304" spans="1:7" x14ac:dyDescent="0.25">
      <c r="A304" t="s">
        <v>120</v>
      </c>
      <c r="B304" t="s">
        <v>23</v>
      </c>
      <c r="C304" s="168" t="str">
        <f t="shared" si="22"/>
        <v>Pil &amp; poppel</v>
      </c>
      <c r="D304">
        <f t="shared" si="23"/>
        <v>2030</v>
      </c>
      <c r="E304" s="168">
        <f>IF(C304&lt;&gt;"Træmaterialer",IF(SUMIFS(Restprodukter!$G$2:$G$37,Restprodukter!$A$2:$A$37,C304,Restprodukter!$B$2:$B$37,B304,Restprodukter!$C$2:$C$37,D304)&gt;=0,SUMIFS(Restprodukter!$G$2:$G$37,Restprodukter!$A$2:$A$37,C304,Restprodukter!$B$2:$B$37,B304,Restprodukter!$C$2:$C$37,D304)*IF(A304="Energi",1-IF(C304&lt;&gt;"Træ til energi",VLOOKUP(C304,'Forbrug til andet'!$A$9:$D$13,MATCH('Forbrug af biomasse'!D304,'Forbrug til andet'!$A$8:$D$8,0),FALSE),0),VLOOKUP(C304,'Forbrug til andet'!$A$9:$D$13,MATCH('Forbrug af biomasse'!D304,'Forbrug til andet'!$A$8:$D$8,0),FALSE)),0),SUMIFS(IF(D304=År1,IF(B304="Vestdanmark",'Resultater - Vestdanmark'!H$3:H$1022,'Resultater - Østdanmark'!H$3:H$1022),IF(D304=År2,IF(B304="Vestdanmark",'Resultater - Vestdanmark'!I$3:I$1022,'Resultater - Østdanmark'!I$3:I$1022),IF(B304="Vestdanmark",'Resultater - Vestdanmark'!J$3:J$1022,'Resultater - Østdanmark'!J$3:J$1022))),'Resultater - Vestdanmark'!$F$3:$F$1022,C304))</f>
        <v>176446.6832046808</v>
      </c>
      <c r="F304" s="168">
        <v>1</v>
      </c>
    </row>
    <row r="305" spans="1:7" x14ac:dyDescent="0.25">
      <c r="A305" t="s">
        <v>120</v>
      </c>
      <c r="B305" t="s">
        <v>23</v>
      </c>
      <c r="C305" s="168" t="str">
        <f t="shared" si="22"/>
        <v>Træ til energi</v>
      </c>
      <c r="D305">
        <f t="shared" si="23"/>
        <v>2030</v>
      </c>
      <c r="E305" s="168">
        <f ca="1">IF(C305&lt;&gt;"Træmaterialer",IF(SUMIFS(Restprodukter!$G$2:$G$37,Restprodukter!$A$2:$A$37,C305,Restprodukter!$B$2:$B$37,B305,Restprodukter!$C$2:$C$37,D305)&gt;=0,SUMIFS(Restprodukter!$G$2:$G$37,Restprodukter!$A$2:$A$37,C305,Restprodukter!$B$2:$B$37,B305,Restprodukter!$C$2:$C$37,D305)*IF(A305="Energi",1-IF(C305&lt;&gt;"Træ til energi",VLOOKUP(C305,'Forbrug til andet'!$A$9:$D$13,MATCH('Forbrug af biomasse'!D305,'Forbrug til andet'!$A$8:$D$8,0),FALSE),0),VLOOKUP(C305,'Forbrug til andet'!$A$9:$D$13,MATCH('Forbrug af biomasse'!D305,'Forbrug til andet'!$A$8:$D$8,0),FALSE)),0),SUMIFS(IF(D305=År1,IF(B305="Vestdanmark",'Resultater - Vestdanmark'!H$3:H$1022,'Resultater - Østdanmark'!H$3:H$1022),IF(D305=År2,IF(B305="Vestdanmark",'Resultater - Vestdanmark'!I$3:I$1022,'Resultater - Østdanmark'!I$3:I$1022),IF(B305="Vestdanmark",'Resultater - Vestdanmark'!J$3:J$1022,'Resultater - Østdanmark'!J$3:J$1022))),'Resultater - Vestdanmark'!$F$3:$F$1022,C305))</f>
        <v>2203754.2205130709</v>
      </c>
      <c r="F305" s="168">
        <v>1</v>
      </c>
    </row>
    <row r="306" spans="1:7" x14ac:dyDescent="0.25">
      <c r="A306" t="s">
        <v>120</v>
      </c>
      <c r="B306" t="s">
        <v>23</v>
      </c>
      <c r="C306" s="168" t="str">
        <f t="shared" si="22"/>
        <v>Have/parkaffald</v>
      </c>
      <c r="D306">
        <f t="shared" si="23"/>
        <v>2030</v>
      </c>
      <c r="E306" s="168">
        <f>IF(C306&lt;&gt;"Træmaterialer",IF(SUMIFS(Restprodukter!$G$2:$G$37,Restprodukter!$A$2:$A$37,C306,Restprodukter!$B$2:$B$37,B306,Restprodukter!$C$2:$C$37,D306)&gt;=0,SUMIFS(Restprodukter!$G$2:$G$37,Restprodukter!$A$2:$A$37,C306,Restprodukter!$B$2:$B$37,B306,Restprodukter!$C$2:$C$37,D306)*IF(A306="Energi",1-IF(C306&lt;&gt;"Træ til energi",VLOOKUP(C306,'Forbrug til andet'!$A$9:$D$13,MATCH('Forbrug af biomasse'!D306,'Forbrug til andet'!$A$8:$D$8,0),FALSE),0),VLOOKUP(C306,'Forbrug til andet'!$A$9:$D$13,MATCH('Forbrug af biomasse'!D306,'Forbrug til andet'!$A$8:$D$8,0),FALSE)),0),SUMIFS(IF(D306=År1,IF(B306="Vestdanmark",'Resultater - Vestdanmark'!H$3:H$1022,'Resultater - Østdanmark'!H$3:H$1022),IF(D306=År2,IF(B306="Vestdanmark",'Resultater - Vestdanmark'!I$3:I$1022,'Resultater - Østdanmark'!I$3:I$1022),IF(B306="Vestdanmark",'Resultater - Vestdanmark'!J$3:J$1022,'Resultater - Østdanmark'!J$3:J$1022))),'Resultater - Vestdanmark'!$F$3:$F$1022,C306))</f>
        <v>526692.30595677684</v>
      </c>
      <c r="F306" s="168">
        <v>1</v>
      </c>
    </row>
    <row r="307" spans="1:7" x14ac:dyDescent="0.25">
      <c r="A307" t="s">
        <v>120</v>
      </c>
      <c r="B307" t="s">
        <v>23</v>
      </c>
      <c r="C307" s="168" t="str">
        <f t="shared" si="22"/>
        <v>Bioaffald</v>
      </c>
      <c r="D307">
        <f t="shared" si="23"/>
        <v>2030</v>
      </c>
      <c r="E307" s="168">
        <f ca="1">IF(C307&lt;&gt;"Træmaterialer",IF(SUMIFS(Restprodukter!$G$2:$G$37,Restprodukter!$A$2:$A$37,C307,Restprodukter!$B$2:$B$37,B307,Restprodukter!$C$2:$C$37,D307)&gt;=0,SUMIFS(Restprodukter!$G$2:$G$37,Restprodukter!$A$2:$A$37,C307,Restprodukter!$B$2:$B$37,B307,Restprodukter!$C$2:$C$37,D307)*IF(A307="Energi",1-IF(C307&lt;&gt;"Træ til energi",VLOOKUP(C307,'Forbrug til andet'!$A$9:$D$13,MATCH('Forbrug af biomasse'!D307,'Forbrug til andet'!$A$8:$D$8,0),FALSE),0),VLOOKUP(C307,'Forbrug til andet'!$A$9:$D$13,MATCH('Forbrug af biomasse'!D307,'Forbrug til andet'!$A$8:$D$8,0),FALSE)),0),SUMIFS(IF(D307=År1,IF(B307="Vestdanmark",'Resultater - Vestdanmark'!H$3:H$1022,'Resultater - Østdanmark'!H$3:H$1022),IF(D307=År2,IF(B307="Vestdanmark",'Resultater - Vestdanmark'!I$3:I$1022,'Resultater - Østdanmark'!I$3:I$1022),IF(B307="Vestdanmark",'Resultater - Vestdanmark'!J$3:J$1022,'Resultater - Østdanmark'!J$3:J$1022))),'Resultater - Vestdanmark'!$F$3:$F$1022,C307))</f>
        <v>0</v>
      </c>
      <c r="F307" s="168">
        <v>1</v>
      </c>
    </row>
    <row r="308" spans="1:7" x14ac:dyDescent="0.25">
      <c r="A308" t="s">
        <v>164</v>
      </c>
      <c r="B308" t="s">
        <v>23</v>
      </c>
      <c r="C308" s="168" t="str">
        <f t="shared" si="22"/>
        <v>Halm</v>
      </c>
      <c r="D308">
        <f t="shared" si="23"/>
        <v>2030</v>
      </c>
      <c r="E308" s="168">
        <f>IF(C308&lt;&gt;"Træmaterialer",IF(SUMIFS(Restprodukter!$G$2:$G$37,Restprodukter!$A$2:$A$37,C308,Restprodukter!$B$2:$B$37,B308,Restprodukter!$C$2:$C$37,D308)&gt;=0,SUMIFS(Restprodukter!$G$2:$G$37,Restprodukter!$A$2:$A$37,C308,Restprodukter!$B$2:$B$37,B308,Restprodukter!$C$2:$C$37,D308)*IF(A308="Energi",1-IF(C308&lt;&gt;"Træ til energi",VLOOKUP(C308,'Forbrug til andet'!$A$9:$D$13,MATCH('Forbrug af biomasse'!D308,'Forbrug til andet'!$A$8:$D$8,0),FALSE),0),VLOOKUP(C308,'Forbrug til andet'!$A$9:$D$13,MATCH('Forbrug af biomasse'!D308,'Forbrug til andet'!$A$8:$D$8,0),FALSE)),0),SUMIFS(IF(D308=År1,IF(B308="Vestdanmark",'Resultater - Vestdanmark'!H$3:H$1022,'Resultater - Østdanmark'!H$3:H$1022),IF(D308=År2,IF(B308="Vestdanmark",'Resultater - Vestdanmark'!I$3:I$1022,'Resultater - Østdanmark'!I$3:I$1022),IF(B308="Vestdanmark",'Resultater - Vestdanmark'!J$3:J$1022,'Resultater - Østdanmark'!J$3:J$1022))),'Resultater - Vestdanmark'!$F$3:$F$1022,C308))</f>
        <v>0</v>
      </c>
      <c r="F308" s="168">
        <v>1</v>
      </c>
      <c r="G308" s="168">
        <v>1</v>
      </c>
    </row>
    <row r="309" spans="1:7" x14ac:dyDescent="0.25">
      <c r="A309" t="s">
        <v>164</v>
      </c>
      <c r="B309" t="s">
        <v>23</v>
      </c>
      <c r="C309" s="168" t="str">
        <f t="shared" si="22"/>
        <v>Rapsolie</v>
      </c>
      <c r="D309">
        <f t="shared" si="23"/>
        <v>2030</v>
      </c>
      <c r="E309" s="168">
        <f>IF(C309&lt;&gt;"Træmaterialer",IF(SUMIFS(Restprodukter!$G$2:$G$37,Restprodukter!$A$2:$A$37,C309,Restprodukter!$B$2:$B$37,B309,Restprodukter!$C$2:$C$37,D309)&gt;=0,SUMIFS(Restprodukter!$G$2:$G$37,Restprodukter!$A$2:$A$37,C309,Restprodukter!$B$2:$B$37,B309,Restprodukter!$C$2:$C$37,D309)*IF(A309="Energi",1-IF(C309&lt;&gt;"Træ til energi",VLOOKUP(C309,'Forbrug til andet'!$A$9:$D$13,MATCH('Forbrug af biomasse'!D309,'Forbrug til andet'!$A$8:$D$8,0),FALSE),0),VLOOKUP(C309,'Forbrug til andet'!$A$9:$D$13,MATCH('Forbrug af biomasse'!D309,'Forbrug til andet'!$A$8:$D$8,0),FALSE)),0),SUMIFS(IF(D309=År1,IF(B309="Vestdanmark",'Resultater - Vestdanmark'!H$3:H$1022,'Resultater - Østdanmark'!H$3:H$1022),IF(D309=År2,IF(B309="Vestdanmark",'Resultater - Vestdanmark'!I$3:I$1022,'Resultater - Østdanmark'!I$3:I$1022),IF(B309="Vestdanmark",'Resultater - Vestdanmark'!J$3:J$1022,'Resultater - Østdanmark'!J$3:J$1022))),'Resultater - Vestdanmark'!$F$3:$F$1022,C309))</f>
        <v>0</v>
      </c>
      <c r="F309" s="168">
        <v>1</v>
      </c>
      <c r="G309" s="168">
        <v>1</v>
      </c>
    </row>
    <row r="310" spans="1:7" x14ac:dyDescent="0.25">
      <c r="A310" t="s">
        <v>164</v>
      </c>
      <c r="B310" t="s">
        <v>23</v>
      </c>
      <c r="C310" s="168" t="str">
        <f t="shared" si="22"/>
        <v>Pil &amp; poppel</v>
      </c>
      <c r="D310">
        <f t="shared" si="23"/>
        <v>2030</v>
      </c>
      <c r="E310" s="168">
        <f>IF(C310&lt;&gt;"Træmaterialer",IF(SUMIFS(Restprodukter!$G$2:$G$37,Restprodukter!$A$2:$A$37,C310,Restprodukter!$B$2:$B$37,B310,Restprodukter!$C$2:$C$37,D310)&gt;=0,SUMIFS(Restprodukter!$G$2:$G$37,Restprodukter!$A$2:$A$37,C310,Restprodukter!$B$2:$B$37,B310,Restprodukter!$C$2:$C$37,D310)*IF(A310="Energi",1-IF(C310&lt;&gt;"Træ til energi",VLOOKUP(C310,'Forbrug til andet'!$A$9:$D$13,MATCH('Forbrug af biomasse'!D310,'Forbrug til andet'!$A$8:$D$8,0),FALSE),0),VLOOKUP(C310,'Forbrug til andet'!$A$9:$D$13,MATCH('Forbrug af biomasse'!D310,'Forbrug til andet'!$A$8:$D$8,0),FALSE)),0),SUMIFS(IF(D310=År1,IF(B310="Vestdanmark",'Resultater - Vestdanmark'!H$3:H$1022,'Resultater - Østdanmark'!H$3:H$1022),IF(D310=År2,IF(B310="Vestdanmark",'Resultater - Vestdanmark'!I$3:I$1022,'Resultater - Østdanmark'!I$3:I$1022),IF(B310="Vestdanmark",'Resultater - Vestdanmark'!J$3:J$1022,'Resultater - Østdanmark'!J$3:J$1022))),'Resultater - Vestdanmark'!$F$3:$F$1022,C310))</f>
        <v>0</v>
      </c>
      <c r="F310" s="168">
        <v>1</v>
      </c>
      <c r="G310" s="168">
        <v>1</v>
      </c>
    </row>
    <row r="311" spans="1:7" s="168" customFormat="1" x14ac:dyDescent="0.25">
      <c r="A311" s="168" t="s">
        <v>164</v>
      </c>
      <c r="B311" s="168" t="s">
        <v>23</v>
      </c>
      <c r="C311" s="168" t="str">
        <f t="shared" si="22"/>
        <v>Træmaterialer</v>
      </c>
      <c r="D311" s="168">
        <f t="shared" si="23"/>
        <v>2030</v>
      </c>
      <c r="E311" s="168">
        <f ca="1">IF(C311&lt;&gt;"Træmaterialer",IF(SUMIFS(Restprodukter!$G$2:$G$37,Restprodukter!$A$2:$A$37,C311,Restprodukter!$B$2:$B$37,B311,Restprodukter!$C$2:$C$37,D311)&gt;=0,SUMIFS(Restprodukter!$G$2:$G$37,Restprodukter!$A$2:$A$37,C311,Restprodukter!$B$2:$B$37,B311,Restprodukter!$C$2:$C$37,D311)*IF(A311="Energi",1-IF(C311&lt;&gt;"Træ til energi",VLOOKUP(C311,'Forbrug til andet'!$A$9:$D$13,MATCH('Forbrug af biomasse'!D311,'Forbrug til andet'!$A$8:$D$8,0),FALSE),0),VLOOKUP(C311,'Forbrug til andet'!$A$9:$D$13,MATCH('Forbrug af biomasse'!D311,'Forbrug til andet'!$A$8:$D$8,0),FALSE)),0),SUMIFS(IF(D311=År1,IF(B311="Vestdanmark",'Resultater - Vestdanmark'!H$3:H$1022,'Resultater - Østdanmark'!H$3:H$1022),IF(D311=År2,IF(B311="Vestdanmark",'Resultater - Vestdanmark'!I$3:I$1022,'Resultater - Østdanmark'!I$3:I$1022),IF(B311="Vestdanmark",'Resultater - Vestdanmark'!J$3:J$1022,'Resultater - Østdanmark'!J$3:J$1022))),'Resultater - Vestdanmark'!$F$3:$F$1022,C311))</f>
        <v>605942.81758342392</v>
      </c>
      <c r="F311" s="168">
        <v>1</v>
      </c>
      <c r="G311" s="168">
        <v>1</v>
      </c>
    </row>
    <row r="312" spans="1:7" x14ac:dyDescent="0.25">
      <c r="A312" t="s">
        <v>164</v>
      </c>
      <c r="B312" t="s">
        <v>23</v>
      </c>
      <c r="C312" s="168" t="str">
        <f t="shared" si="22"/>
        <v>Have/parkaffald</v>
      </c>
      <c r="D312">
        <f t="shared" si="23"/>
        <v>2030</v>
      </c>
      <c r="E312" s="168">
        <f>IF(C312&lt;&gt;"Træmaterialer",IF(SUMIFS(Restprodukter!$G$2:$G$37,Restprodukter!$A$2:$A$37,C312,Restprodukter!$B$2:$B$37,B312,Restprodukter!$C$2:$C$37,D312)&gt;=0,SUMIFS(Restprodukter!$G$2:$G$37,Restprodukter!$A$2:$A$37,C312,Restprodukter!$B$2:$B$37,B312,Restprodukter!$C$2:$C$37,D312)*IF(A312="Energi",1-IF(C312&lt;&gt;"Træ til energi",VLOOKUP(C312,'Forbrug til andet'!$A$9:$D$13,MATCH('Forbrug af biomasse'!D312,'Forbrug til andet'!$A$8:$D$8,0),FALSE),0),VLOOKUP(C312,'Forbrug til andet'!$A$9:$D$13,MATCH('Forbrug af biomasse'!D312,'Forbrug til andet'!$A$8:$D$8,0),FALSE)),0),SUMIFS(IF(D312=År1,IF(B312="Vestdanmark",'Resultater - Vestdanmark'!H$3:H$1022,'Resultater - Østdanmark'!H$3:H$1022),IF(D312=År2,IF(B312="Vestdanmark",'Resultater - Vestdanmark'!I$3:I$1022,'Resultater - Østdanmark'!I$3:I$1022),IF(B312="Vestdanmark",'Resultater - Vestdanmark'!J$3:J$1022,'Resultater - Østdanmark'!J$3:J$1022))),'Resultater - Vestdanmark'!$F$3:$F$1022,C312))</f>
        <v>0</v>
      </c>
      <c r="F312" s="168">
        <v>1</v>
      </c>
      <c r="G312" s="168">
        <v>1</v>
      </c>
    </row>
    <row r="313" spans="1:7" x14ac:dyDescent="0.25">
      <c r="A313" t="s">
        <v>164</v>
      </c>
      <c r="B313" t="s">
        <v>23</v>
      </c>
      <c r="C313" s="168" t="str">
        <f t="shared" si="22"/>
        <v>Bioaffald</v>
      </c>
      <c r="D313">
        <f t="shared" si="23"/>
        <v>2030</v>
      </c>
      <c r="E313" s="168">
        <f ca="1">IF(C313&lt;&gt;"Træmaterialer",IF(SUMIFS(Restprodukter!$G$2:$G$37,Restprodukter!$A$2:$A$37,C313,Restprodukter!$B$2:$B$37,B313,Restprodukter!$C$2:$C$37,D313)&gt;=0,SUMIFS(Restprodukter!$G$2:$G$37,Restprodukter!$A$2:$A$37,C313,Restprodukter!$B$2:$B$37,B313,Restprodukter!$C$2:$C$37,D313)*IF(A313="Energi",1-IF(C313&lt;&gt;"Træ til energi",VLOOKUP(C313,'Forbrug til andet'!$A$9:$D$13,MATCH('Forbrug af biomasse'!D313,'Forbrug til andet'!$A$8:$D$8,0),FALSE),0),VLOOKUP(C313,'Forbrug til andet'!$A$9:$D$13,MATCH('Forbrug af biomasse'!D313,'Forbrug til andet'!$A$8:$D$8,0),FALSE)),0),SUMIFS(IF(D313=År1,IF(B313="Vestdanmark",'Resultater - Vestdanmark'!H$3:H$1022,'Resultater - Østdanmark'!H$3:H$1022),IF(D313=År2,IF(B313="Vestdanmark",'Resultater - Vestdanmark'!I$3:I$1022,'Resultater - Østdanmark'!I$3:I$1022),IF(B313="Vestdanmark",'Resultater - Vestdanmark'!J$3:J$1022,'Resultater - Østdanmark'!J$3:J$1022))),'Resultater - Vestdanmark'!$F$3:$F$1022,C313))</f>
        <v>0</v>
      </c>
      <c r="F313" s="168">
        <v>1</v>
      </c>
      <c r="G313" s="168">
        <v>1</v>
      </c>
    </row>
    <row r="314" spans="1:7" x14ac:dyDescent="0.25">
      <c r="A314" t="s">
        <v>120</v>
      </c>
      <c r="B314" t="s">
        <v>24</v>
      </c>
      <c r="C314" s="168" t="str">
        <f>C302</f>
        <v>Halm</v>
      </c>
      <c r="D314">
        <f t="shared" si="23"/>
        <v>2030</v>
      </c>
      <c r="E314" s="168">
        <f>IF(C314&lt;&gt;"Træmaterialer",IF(SUMIFS(Restprodukter!$G$2:$G$37,Restprodukter!$A$2:$A$37,C314,Restprodukter!$B$2:$B$37,B314,Restprodukter!$C$2:$C$37,D314)&gt;=0,SUMIFS(Restprodukter!$G$2:$G$37,Restprodukter!$A$2:$A$37,C314,Restprodukter!$B$2:$B$37,B314,Restprodukter!$C$2:$C$37,D314)*IF(A314="Energi",1-IF(C314&lt;&gt;"Træ til energi",VLOOKUP(C314,'Forbrug til andet'!$A$9:$D$13,MATCH('Forbrug af biomasse'!D314,'Forbrug til andet'!$A$8:$D$8,0),FALSE),0),VLOOKUP(C314,'Forbrug til andet'!$A$9:$D$13,MATCH('Forbrug af biomasse'!D314,'Forbrug til andet'!$A$8:$D$8,0),FALSE)),0),SUMIFS(IF(D314=År1,IF(B314="Vestdanmark",'Resultater - Vestdanmark'!H$3:H$1022,'Resultater - Østdanmark'!H$3:H$1022),IF(D314=År2,IF(B314="Vestdanmark",'Resultater - Vestdanmark'!I$3:I$1022,'Resultater - Østdanmark'!I$3:I$1022),IF(B314="Vestdanmark",'Resultater - Vestdanmark'!J$3:J$1022,'Resultater - Østdanmark'!J$3:J$1022))),'Resultater - Vestdanmark'!$F$3:$F$1022,C314))</f>
        <v>672474.22042135813</v>
      </c>
      <c r="F314" s="168">
        <v>1</v>
      </c>
    </row>
    <row r="315" spans="1:7" x14ac:dyDescent="0.25">
      <c r="A315" t="s">
        <v>120</v>
      </c>
      <c r="B315" t="s">
        <v>24</v>
      </c>
      <c r="C315" s="168" t="str">
        <f t="shared" si="22"/>
        <v>Rapsolie</v>
      </c>
      <c r="D315">
        <f t="shared" si="23"/>
        <v>2030</v>
      </c>
      <c r="E315" s="168">
        <f>IF(C315&lt;&gt;"Træmaterialer",IF(SUMIFS(Restprodukter!$G$2:$G$37,Restprodukter!$A$2:$A$37,C315,Restprodukter!$B$2:$B$37,B315,Restprodukter!$C$2:$C$37,D315)&gt;=0,SUMIFS(Restprodukter!$G$2:$G$37,Restprodukter!$A$2:$A$37,C315,Restprodukter!$B$2:$B$37,B315,Restprodukter!$C$2:$C$37,D315)*IF(A315="Energi",1-IF(C315&lt;&gt;"Træ til energi",VLOOKUP(C315,'Forbrug til andet'!$A$9:$D$13,MATCH('Forbrug af biomasse'!D315,'Forbrug til andet'!$A$8:$D$8,0),FALSE),0),VLOOKUP(C315,'Forbrug til andet'!$A$9:$D$13,MATCH('Forbrug af biomasse'!D315,'Forbrug til andet'!$A$8:$D$8,0),FALSE)),0),SUMIFS(IF(D315=År1,IF(B315="Vestdanmark",'Resultater - Vestdanmark'!H$3:H$1022,'Resultater - Østdanmark'!H$3:H$1022),IF(D315=År2,IF(B315="Vestdanmark",'Resultater - Vestdanmark'!I$3:I$1022,'Resultater - Østdanmark'!I$3:I$1022),IF(B315="Vestdanmark",'Resultater - Vestdanmark'!J$3:J$1022,'Resultater - Østdanmark'!J$3:J$1022))),'Resultater - Vestdanmark'!$F$3:$F$1022,C315))</f>
        <v>64956.455108856775</v>
      </c>
      <c r="F315" s="168">
        <v>1</v>
      </c>
    </row>
    <row r="316" spans="1:7" x14ac:dyDescent="0.25">
      <c r="A316" t="s">
        <v>120</v>
      </c>
      <c r="B316" t="s">
        <v>24</v>
      </c>
      <c r="C316" s="168" t="str">
        <f t="shared" si="22"/>
        <v>Pil &amp; poppel</v>
      </c>
      <c r="D316">
        <f t="shared" si="23"/>
        <v>2030</v>
      </c>
      <c r="E316" s="168">
        <f>IF(C316&lt;&gt;"Træmaterialer",IF(SUMIFS(Restprodukter!$G$2:$G$37,Restprodukter!$A$2:$A$37,C316,Restprodukter!$B$2:$B$37,B316,Restprodukter!$C$2:$C$37,D316)&gt;=0,SUMIFS(Restprodukter!$G$2:$G$37,Restprodukter!$A$2:$A$37,C316,Restprodukter!$B$2:$B$37,B316,Restprodukter!$C$2:$C$37,D316)*IF(A316="Energi",1-IF(C316&lt;&gt;"Træ til energi",VLOOKUP(C316,'Forbrug til andet'!$A$9:$D$13,MATCH('Forbrug af biomasse'!D316,'Forbrug til andet'!$A$8:$D$8,0),FALSE),0),VLOOKUP(C316,'Forbrug til andet'!$A$9:$D$13,MATCH('Forbrug af biomasse'!D316,'Forbrug til andet'!$A$8:$D$8,0),FALSE)),0),SUMIFS(IF(D316=År1,IF(B316="Vestdanmark",'Resultater - Vestdanmark'!H$3:H$1022,'Resultater - Østdanmark'!H$3:H$1022),IF(D316=År2,IF(B316="Vestdanmark",'Resultater - Vestdanmark'!I$3:I$1022,'Resultater - Østdanmark'!I$3:I$1022),IF(B316="Vestdanmark",'Resultater - Vestdanmark'!J$3:J$1022,'Resultater - Østdanmark'!J$3:J$1022))),'Resultater - Vestdanmark'!$F$3:$F$1022,C316))</f>
        <v>40614.954242467749</v>
      </c>
      <c r="F316" s="168">
        <v>1</v>
      </c>
    </row>
    <row r="317" spans="1:7" x14ac:dyDescent="0.25">
      <c r="A317" t="s">
        <v>120</v>
      </c>
      <c r="B317" t="s">
        <v>24</v>
      </c>
      <c r="C317" s="168" t="str">
        <f t="shared" si="22"/>
        <v>Træ til energi</v>
      </c>
      <c r="D317">
        <f t="shared" si="23"/>
        <v>2030</v>
      </c>
      <c r="E317" s="168">
        <f ca="1">IF(C317&lt;&gt;"Træmaterialer",IF(SUMIFS(Restprodukter!$G$2:$G$37,Restprodukter!$A$2:$A$37,C317,Restprodukter!$B$2:$B$37,B317,Restprodukter!$C$2:$C$37,D317)&gt;=0,SUMIFS(Restprodukter!$G$2:$G$37,Restprodukter!$A$2:$A$37,C317,Restprodukter!$B$2:$B$37,B317,Restprodukter!$C$2:$C$37,D317)*IF(A317="Energi",1-IF(C317&lt;&gt;"Træ til energi",VLOOKUP(C317,'Forbrug til andet'!$A$9:$D$13,MATCH('Forbrug af biomasse'!D317,'Forbrug til andet'!$A$8:$D$8,0),FALSE),0),VLOOKUP(C317,'Forbrug til andet'!$A$9:$D$13,MATCH('Forbrug af biomasse'!D317,'Forbrug til andet'!$A$8:$D$8,0),FALSE)),0),SUMIFS(IF(D317=År1,IF(B317="Vestdanmark",'Resultater - Vestdanmark'!H$3:H$1022,'Resultater - Østdanmark'!H$3:H$1022),IF(D317=År2,IF(B317="Vestdanmark",'Resultater - Vestdanmark'!I$3:I$1022,'Resultater - Østdanmark'!I$3:I$1022),IF(B317="Vestdanmark",'Resultater - Vestdanmark'!J$3:J$1022,'Resultater - Østdanmark'!J$3:J$1022))),'Resultater - Vestdanmark'!$F$3:$F$1022,C317))</f>
        <v>645049.46160507516</v>
      </c>
      <c r="F317" s="168">
        <v>1</v>
      </c>
    </row>
    <row r="318" spans="1:7" x14ac:dyDescent="0.25">
      <c r="A318" t="s">
        <v>120</v>
      </c>
      <c r="B318" t="s">
        <v>24</v>
      </c>
      <c r="C318" s="168" t="str">
        <f t="shared" si="22"/>
        <v>Have/parkaffald</v>
      </c>
      <c r="D318">
        <f t="shared" si="23"/>
        <v>2030</v>
      </c>
      <c r="E318" s="168">
        <f>IF(C318&lt;&gt;"Træmaterialer",IF(SUMIFS(Restprodukter!$G$2:$G$37,Restprodukter!$A$2:$A$37,C318,Restprodukter!$B$2:$B$37,B318,Restprodukter!$C$2:$C$37,D318)&gt;=0,SUMIFS(Restprodukter!$G$2:$G$37,Restprodukter!$A$2:$A$37,C318,Restprodukter!$B$2:$B$37,B318,Restprodukter!$C$2:$C$37,D318)*IF(A318="Energi",1-IF(C318&lt;&gt;"Træ til energi",VLOOKUP(C318,'Forbrug til andet'!$A$9:$D$13,MATCH('Forbrug af biomasse'!D318,'Forbrug til andet'!$A$8:$D$8,0),FALSE),0),VLOOKUP(C318,'Forbrug til andet'!$A$9:$D$13,MATCH('Forbrug af biomasse'!D318,'Forbrug til andet'!$A$8:$D$8,0),FALSE)),0),SUMIFS(IF(D318=År1,IF(B318="Vestdanmark",'Resultater - Vestdanmark'!H$3:H$1022,'Resultater - Østdanmark'!H$3:H$1022),IF(D318=År2,IF(B318="Vestdanmark",'Resultater - Vestdanmark'!I$3:I$1022,'Resultater - Østdanmark'!I$3:I$1022),IF(B318="Vestdanmark",'Resultater - Vestdanmark'!J$3:J$1022,'Resultater - Østdanmark'!J$3:J$1022))),'Resultater - Vestdanmark'!$F$3:$F$1022,C318))</f>
        <v>456038.69404322316</v>
      </c>
      <c r="F318" s="168">
        <v>1</v>
      </c>
    </row>
    <row r="319" spans="1:7" x14ac:dyDescent="0.25">
      <c r="A319" t="s">
        <v>120</v>
      </c>
      <c r="B319" t="s">
        <v>24</v>
      </c>
      <c r="C319" s="168" t="str">
        <f t="shared" si="22"/>
        <v>Bioaffald</v>
      </c>
      <c r="D319">
        <f t="shared" si="23"/>
        <v>2030</v>
      </c>
      <c r="E319" s="168">
        <f ca="1">IF(C319&lt;&gt;"Træmaterialer",IF(SUMIFS(Restprodukter!$G$2:$G$37,Restprodukter!$A$2:$A$37,C319,Restprodukter!$B$2:$B$37,B319,Restprodukter!$C$2:$C$37,D319)&gt;=0,SUMIFS(Restprodukter!$G$2:$G$37,Restprodukter!$A$2:$A$37,C319,Restprodukter!$B$2:$B$37,B319,Restprodukter!$C$2:$C$37,D319)*IF(A319="Energi",1-IF(C319&lt;&gt;"Træ til energi",VLOOKUP(C319,'Forbrug til andet'!$A$9:$D$13,MATCH('Forbrug af biomasse'!D319,'Forbrug til andet'!$A$8:$D$8,0),FALSE),0),VLOOKUP(C319,'Forbrug til andet'!$A$9:$D$13,MATCH('Forbrug af biomasse'!D319,'Forbrug til andet'!$A$8:$D$8,0),FALSE)),0),SUMIFS(IF(D319=År1,IF(B319="Vestdanmark",'Resultater - Vestdanmark'!H$3:H$1022,'Resultater - Østdanmark'!H$3:H$1022),IF(D319=År2,IF(B319="Vestdanmark",'Resultater - Vestdanmark'!I$3:I$1022,'Resultater - Østdanmark'!I$3:I$1022),IF(B319="Vestdanmark",'Resultater - Vestdanmark'!J$3:J$1022,'Resultater - Østdanmark'!J$3:J$1022))),'Resultater - Vestdanmark'!$F$3:$F$1022,C319))</f>
        <v>0</v>
      </c>
      <c r="F319" s="168">
        <v>1</v>
      </c>
    </row>
    <row r="320" spans="1:7" x14ac:dyDescent="0.25">
      <c r="A320" t="s">
        <v>164</v>
      </c>
      <c r="B320" t="s">
        <v>24</v>
      </c>
      <c r="C320" s="168" t="str">
        <f t="shared" si="22"/>
        <v>Halm</v>
      </c>
      <c r="D320">
        <f t="shared" si="23"/>
        <v>2030</v>
      </c>
      <c r="E320" s="168">
        <f>IF(C320&lt;&gt;"Træmaterialer",IF(SUMIFS(Restprodukter!$G$2:$G$37,Restprodukter!$A$2:$A$37,C320,Restprodukter!$B$2:$B$37,B320,Restprodukter!$C$2:$C$37,D320)&gt;=0,SUMIFS(Restprodukter!$G$2:$G$37,Restprodukter!$A$2:$A$37,C320,Restprodukter!$B$2:$B$37,B320,Restprodukter!$C$2:$C$37,D320)*IF(A320="Energi",1-IF(C320&lt;&gt;"Træ til energi",VLOOKUP(C320,'Forbrug til andet'!$A$9:$D$13,MATCH('Forbrug af biomasse'!D320,'Forbrug til andet'!$A$8:$D$8,0),FALSE),0),VLOOKUP(C320,'Forbrug til andet'!$A$9:$D$13,MATCH('Forbrug af biomasse'!D320,'Forbrug til andet'!$A$8:$D$8,0),FALSE)),0),SUMIFS(IF(D320=År1,IF(B320="Vestdanmark",'Resultater - Vestdanmark'!H$3:H$1022,'Resultater - Østdanmark'!H$3:H$1022),IF(D320=År2,IF(B320="Vestdanmark",'Resultater - Vestdanmark'!I$3:I$1022,'Resultater - Østdanmark'!I$3:I$1022),IF(B320="Vestdanmark",'Resultater - Vestdanmark'!J$3:J$1022,'Resultater - Østdanmark'!J$3:J$1022))),'Resultater - Vestdanmark'!$F$3:$F$1022,C320))</f>
        <v>0</v>
      </c>
      <c r="F320" s="168">
        <v>1</v>
      </c>
      <c r="G320" s="168">
        <v>1</v>
      </c>
    </row>
    <row r="321" spans="1:7" x14ac:dyDescent="0.25">
      <c r="A321" t="s">
        <v>164</v>
      </c>
      <c r="B321" t="s">
        <v>24</v>
      </c>
      <c r="C321" s="168" t="str">
        <f t="shared" si="22"/>
        <v>Rapsolie</v>
      </c>
      <c r="D321">
        <f t="shared" si="23"/>
        <v>2030</v>
      </c>
      <c r="E321" s="168">
        <f>IF(C321&lt;&gt;"Træmaterialer",IF(SUMIFS(Restprodukter!$G$2:$G$37,Restprodukter!$A$2:$A$37,C321,Restprodukter!$B$2:$B$37,B321,Restprodukter!$C$2:$C$37,D321)&gt;=0,SUMIFS(Restprodukter!$G$2:$G$37,Restprodukter!$A$2:$A$37,C321,Restprodukter!$B$2:$B$37,B321,Restprodukter!$C$2:$C$37,D321)*IF(A321="Energi",1-IF(C321&lt;&gt;"Træ til energi",VLOOKUP(C321,'Forbrug til andet'!$A$9:$D$13,MATCH('Forbrug af biomasse'!D321,'Forbrug til andet'!$A$8:$D$8,0),FALSE),0),VLOOKUP(C321,'Forbrug til andet'!$A$9:$D$13,MATCH('Forbrug af biomasse'!D321,'Forbrug til andet'!$A$8:$D$8,0),FALSE)),0),SUMIFS(IF(D321=År1,IF(B321="Vestdanmark",'Resultater - Vestdanmark'!H$3:H$1022,'Resultater - Østdanmark'!H$3:H$1022),IF(D321=År2,IF(B321="Vestdanmark",'Resultater - Vestdanmark'!I$3:I$1022,'Resultater - Østdanmark'!I$3:I$1022),IF(B321="Vestdanmark",'Resultater - Vestdanmark'!J$3:J$1022,'Resultater - Østdanmark'!J$3:J$1022))),'Resultater - Vestdanmark'!$F$3:$F$1022,C321))</f>
        <v>0</v>
      </c>
      <c r="F321" s="168">
        <v>1</v>
      </c>
      <c r="G321" s="168">
        <v>1</v>
      </c>
    </row>
    <row r="322" spans="1:7" x14ac:dyDescent="0.25">
      <c r="A322" t="s">
        <v>164</v>
      </c>
      <c r="B322" t="s">
        <v>24</v>
      </c>
      <c r="C322" s="168" t="str">
        <f t="shared" si="22"/>
        <v>Pil &amp; poppel</v>
      </c>
      <c r="D322">
        <f t="shared" si="23"/>
        <v>2030</v>
      </c>
      <c r="E322" s="168">
        <f>IF(C322&lt;&gt;"Træmaterialer",IF(SUMIFS(Restprodukter!$G$2:$G$37,Restprodukter!$A$2:$A$37,C322,Restprodukter!$B$2:$B$37,B322,Restprodukter!$C$2:$C$37,D322)&gt;=0,SUMIFS(Restprodukter!$G$2:$G$37,Restprodukter!$A$2:$A$37,C322,Restprodukter!$B$2:$B$37,B322,Restprodukter!$C$2:$C$37,D322)*IF(A322="Energi",1-IF(C322&lt;&gt;"Træ til energi",VLOOKUP(C322,'Forbrug til andet'!$A$9:$D$13,MATCH('Forbrug af biomasse'!D322,'Forbrug til andet'!$A$8:$D$8,0),FALSE),0),VLOOKUP(C322,'Forbrug til andet'!$A$9:$D$13,MATCH('Forbrug af biomasse'!D322,'Forbrug til andet'!$A$8:$D$8,0),FALSE)),0),SUMIFS(IF(D322=År1,IF(B322="Vestdanmark",'Resultater - Vestdanmark'!H$3:H$1022,'Resultater - Østdanmark'!H$3:H$1022),IF(D322=År2,IF(B322="Vestdanmark",'Resultater - Vestdanmark'!I$3:I$1022,'Resultater - Østdanmark'!I$3:I$1022),IF(B322="Vestdanmark",'Resultater - Vestdanmark'!J$3:J$1022,'Resultater - Østdanmark'!J$3:J$1022))),'Resultater - Vestdanmark'!$F$3:$F$1022,C322))</f>
        <v>0</v>
      </c>
      <c r="F322" s="168">
        <v>1</v>
      </c>
      <c r="G322" s="168">
        <v>1</v>
      </c>
    </row>
    <row r="323" spans="1:7" s="168" customFormat="1" x14ac:dyDescent="0.25">
      <c r="A323" s="168" t="s">
        <v>164</v>
      </c>
      <c r="B323" s="168" t="s">
        <v>24</v>
      </c>
      <c r="C323" s="168" t="str">
        <f t="shared" si="22"/>
        <v>Træmaterialer</v>
      </c>
      <c r="D323" s="168">
        <f t="shared" si="23"/>
        <v>2030</v>
      </c>
      <c r="E323" s="168">
        <f ca="1">IF(C323&lt;&gt;"Træmaterialer",IF(SUMIFS(Restprodukter!$G$2:$G$37,Restprodukter!$A$2:$A$37,C323,Restprodukter!$B$2:$B$37,B323,Restprodukter!$C$2:$C$37,D323)&gt;=0,SUMIFS(Restprodukter!$G$2:$G$37,Restprodukter!$A$2:$A$37,C323,Restprodukter!$B$2:$B$37,B323,Restprodukter!$C$2:$C$37,D323)*IF(A323="Energi",1-IF(C323&lt;&gt;"Træ til energi",VLOOKUP(C323,'Forbrug til andet'!$A$9:$D$13,MATCH('Forbrug af biomasse'!D323,'Forbrug til andet'!$A$8:$D$8,0),FALSE),0),VLOOKUP(C323,'Forbrug til andet'!$A$9:$D$13,MATCH('Forbrug af biomasse'!D323,'Forbrug til andet'!$A$8:$D$8,0),FALSE)),0),SUMIFS(IF(D323=År1,IF(B323="Vestdanmark",'Resultater - Vestdanmark'!H$3:H$1022,'Resultater - Østdanmark'!H$3:H$1022),IF(D323=År2,IF(B323="Vestdanmark",'Resultater - Vestdanmark'!I$3:I$1022,'Resultater - Østdanmark'!I$3:I$1022),IF(B323="Vestdanmark",'Resultater - Vestdanmark'!J$3:J$1022,'Resultater - Østdanmark'!J$3:J$1022))),'Resultater - Vestdanmark'!$F$3:$F$1022,C323))</f>
        <v>177362.37762242398</v>
      </c>
      <c r="F323" s="168">
        <v>1</v>
      </c>
      <c r="G323" s="168">
        <v>1</v>
      </c>
    </row>
    <row r="324" spans="1:7" x14ac:dyDescent="0.25">
      <c r="A324" t="s">
        <v>164</v>
      </c>
      <c r="B324" t="s">
        <v>24</v>
      </c>
      <c r="C324" s="168" t="str">
        <f t="shared" si="22"/>
        <v>Have/parkaffald</v>
      </c>
      <c r="D324">
        <f t="shared" si="23"/>
        <v>2030</v>
      </c>
      <c r="E324" s="168">
        <f>IF(C324&lt;&gt;"Træmaterialer",IF(SUMIFS(Restprodukter!$G$2:$G$37,Restprodukter!$A$2:$A$37,C324,Restprodukter!$B$2:$B$37,B324,Restprodukter!$C$2:$C$37,D324)&gt;=0,SUMIFS(Restprodukter!$G$2:$G$37,Restprodukter!$A$2:$A$37,C324,Restprodukter!$B$2:$B$37,B324,Restprodukter!$C$2:$C$37,D324)*IF(A324="Energi",1-IF(C324&lt;&gt;"Træ til energi",VLOOKUP(C324,'Forbrug til andet'!$A$9:$D$13,MATCH('Forbrug af biomasse'!D324,'Forbrug til andet'!$A$8:$D$8,0),FALSE),0),VLOOKUP(C324,'Forbrug til andet'!$A$9:$D$13,MATCH('Forbrug af biomasse'!D324,'Forbrug til andet'!$A$8:$D$8,0),FALSE)),0),SUMIFS(IF(D324=År1,IF(B324="Vestdanmark",'Resultater - Vestdanmark'!H$3:H$1022,'Resultater - Østdanmark'!H$3:H$1022),IF(D324=År2,IF(B324="Vestdanmark",'Resultater - Vestdanmark'!I$3:I$1022,'Resultater - Østdanmark'!I$3:I$1022),IF(B324="Vestdanmark",'Resultater - Vestdanmark'!J$3:J$1022,'Resultater - Østdanmark'!J$3:J$1022))),'Resultater - Vestdanmark'!$F$3:$F$1022,C324))</f>
        <v>0</v>
      </c>
      <c r="F324" s="168">
        <v>1</v>
      </c>
      <c r="G324" s="168">
        <v>1</v>
      </c>
    </row>
    <row r="325" spans="1:7" x14ac:dyDescent="0.25">
      <c r="A325" t="s">
        <v>164</v>
      </c>
      <c r="B325" t="s">
        <v>24</v>
      </c>
      <c r="C325" s="168" t="str">
        <f t="shared" si="22"/>
        <v>Bioaffald</v>
      </c>
      <c r="D325">
        <f t="shared" si="23"/>
        <v>2030</v>
      </c>
      <c r="E325" s="168">
        <f ca="1">IF(C325&lt;&gt;"Træmaterialer",IF(SUMIFS(Restprodukter!$G$2:$G$37,Restprodukter!$A$2:$A$37,C325,Restprodukter!$B$2:$B$37,B325,Restprodukter!$C$2:$C$37,D325)&gt;=0,SUMIFS(Restprodukter!$G$2:$G$37,Restprodukter!$A$2:$A$37,C325,Restprodukter!$B$2:$B$37,B325,Restprodukter!$C$2:$C$37,D325)*IF(A325="Energi",1-IF(C325&lt;&gt;"Træ til energi",VLOOKUP(C325,'Forbrug til andet'!$A$9:$D$13,MATCH('Forbrug af biomasse'!D325,'Forbrug til andet'!$A$8:$D$8,0),FALSE),0),VLOOKUP(C325,'Forbrug til andet'!$A$9:$D$13,MATCH('Forbrug af biomasse'!D325,'Forbrug til andet'!$A$8:$D$8,0),FALSE)),0),SUMIFS(IF(D325=År1,IF(B325="Vestdanmark",'Resultater - Vestdanmark'!H$3:H$1022,'Resultater - Østdanmark'!H$3:H$1022),IF(D325=År2,IF(B325="Vestdanmark",'Resultater - Vestdanmark'!I$3:I$1022,'Resultater - Østdanmark'!I$3:I$1022),IF(B325="Vestdanmark",'Resultater - Vestdanmark'!J$3:J$1022,'Resultater - Østdanmark'!J$3:J$1022))),'Resultater - Vestdanmark'!$F$3:$F$1022,C325))</f>
        <v>0</v>
      </c>
      <c r="F325" s="168">
        <v>1</v>
      </c>
      <c r="G325" s="168">
        <v>1</v>
      </c>
    </row>
    <row r="326" spans="1:7" x14ac:dyDescent="0.25">
      <c r="A326" t="s">
        <v>120</v>
      </c>
      <c r="B326" t="s">
        <v>23</v>
      </c>
      <c r="C326" s="168" t="str">
        <f>C314</f>
        <v>Halm</v>
      </c>
      <c r="D326">
        <f t="shared" ref="D326:D349" si="24">År3</f>
        <v>2050</v>
      </c>
      <c r="E326" s="168">
        <f>IF(C326&lt;&gt;"Træmaterialer",IF(SUMIFS(Restprodukter!$G$2:$G$37,Restprodukter!$A$2:$A$37,C326,Restprodukter!$B$2:$B$37,B326,Restprodukter!$C$2:$C$37,D326)&gt;=0,SUMIFS(Restprodukter!$G$2:$G$37,Restprodukter!$A$2:$A$37,C326,Restprodukter!$B$2:$B$37,B326,Restprodukter!$C$2:$C$37,D326)*IF(A326="Energi",1-IF(C326&lt;&gt;"Træ til energi",VLOOKUP(C326,'Forbrug til andet'!$A$9:$D$13,MATCH('Forbrug af biomasse'!D326,'Forbrug til andet'!$A$8:$D$8,0),FALSE),0),VLOOKUP(C326,'Forbrug til andet'!$A$9:$D$13,MATCH('Forbrug af biomasse'!D326,'Forbrug til andet'!$A$8:$D$8,0),FALSE)),0),SUMIFS(IF(D326=År1,IF(B326="Vestdanmark",'Resultater - Vestdanmark'!H$3:H$1022,'Resultater - Østdanmark'!H$3:H$1022),IF(D326=År2,IF(B326="Vestdanmark",'Resultater - Vestdanmark'!I$3:I$1022,'Resultater - Østdanmark'!I$3:I$1022),IF(B326="Vestdanmark",'Resultater - Vestdanmark'!J$3:J$1022,'Resultater - Østdanmark'!J$3:J$1022))),'Resultater - Vestdanmark'!$F$3:$F$1022,C326))</f>
        <v>712182.23958164698</v>
      </c>
      <c r="F326" s="168">
        <v>1</v>
      </c>
    </row>
    <row r="327" spans="1:7" x14ac:dyDescent="0.25">
      <c r="A327" t="s">
        <v>120</v>
      </c>
      <c r="B327" t="s">
        <v>23</v>
      </c>
      <c r="C327" s="168" t="str">
        <f t="shared" si="22"/>
        <v>Rapsolie</v>
      </c>
      <c r="D327">
        <f t="shared" si="24"/>
        <v>2050</v>
      </c>
      <c r="E327" s="168">
        <f>IF(C327&lt;&gt;"Træmaterialer",IF(SUMIFS(Restprodukter!$G$2:$G$37,Restprodukter!$A$2:$A$37,C327,Restprodukter!$B$2:$B$37,B327,Restprodukter!$C$2:$C$37,D327)&gt;=0,SUMIFS(Restprodukter!$G$2:$G$37,Restprodukter!$A$2:$A$37,C327,Restprodukter!$B$2:$B$37,B327,Restprodukter!$C$2:$C$37,D327)*IF(A327="Energi",1-IF(C327&lt;&gt;"Træ til energi",VLOOKUP(C327,'Forbrug til andet'!$A$9:$D$13,MATCH('Forbrug af biomasse'!D327,'Forbrug til andet'!$A$8:$D$8,0),FALSE),0),VLOOKUP(C327,'Forbrug til andet'!$A$9:$D$13,MATCH('Forbrug af biomasse'!D327,'Forbrug til andet'!$A$8:$D$8,0),FALSE)),0),SUMIFS(IF(D327=År1,IF(B327="Vestdanmark",'Resultater - Vestdanmark'!H$3:H$1022,'Resultater - Østdanmark'!H$3:H$1022),IF(D327=År2,IF(B327="Vestdanmark",'Resultater - Vestdanmark'!I$3:I$1022,'Resultater - Østdanmark'!I$3:I$1022),IF(B327="Vestdanmark",'Resultater - Vestdanmark'!J$3:J$1022,'Resultater - Østdanmark'!J$3:J$1022))),'Resultater - Vestdanmark'!$F$3:$F$1022,C327))</f>
        <v>168414.8808021411</v>
      </c>
      <c r="F327" s="168">
        <v>1</v>
      </c>
    </row>
    <row r="328" spans="1:7" x14ac:dyDescent="0.25">
      <c r="A328" t="s">
        <v>120</v>
      </c>
      <c r="B328" t="s">
        <v>23</v>
      </c>
      <c r="C328" s="168" t="str">
        <f t="shared" si="22"/>
        <v>Pil &amp; poppel</v>
      </c>
      <c r="D328">
        <f t="shared" si="24"/>
        <v>2050</v>
      </c>
      <c r="E328" s="168">
        <f>IF(C328&lt;&gt;"Træmaterialer",IF(SUMIFS(Restprodukter!$G$2:$G$37,Restprodukter!$A$2:$A$37,C328,Restprodukter!$B$2:$B$37,B328,Restprodukter!$C$2:$C$37,D328)&gt;=0,SUMIFS(Restprodukter!$G$2:$G$37,Restprodukter!$A$2:$A$37,C328,Restprodukter!$B$2:$B$37,B328,Restprodukter!$C$2:$C$37,D328)*IF(A328="Energi",1-IF(C328&lt;&gt;"Træ til energi",VLOOKUP(C328,'Forbrug til andet'!$A$9:$D$13,MATCH('Forbrug af biomasse'!D328,'Forbrug til andet'!$A$8:$D$8,0),FALSE),0),VLOOKUP(C328,'Forbrug til andet'!$A$9:$D$13,MATCH('Forbrug af biomasse'!D328,'Forbrug til andet'!$A$8:$D$8,0),FALSE)),0),SUMIFS(IF(D328=År1,IF(B328="Vestdanmark",'Resultater - Vestdanmark'!H$3:H$1022,'Resultater - Østdanmark'!H$3:H$1022),IF(D328=År2,IF(B328="Vestdanmark",'Resultater - Vestdanmark'!I$3:I$1022,'Resultater - Østdanmark'!I$3:I$1022),IF(B328="Vestdanmark",'Resultater - Vestdanmark'!J$3:J$1022,'Resultater - Østdanmark'!J$3:J$1022))),'Resultater - Vestdanmark'!$F$3:$F$1022,C328))</f>
        <v>183249.6836740704</v>
      </c>
      <c r="F328" s="168">
        <v>1</v>
      </c>
    </row>
    <row r="329" spans="1:7" x14ac:dyDescent="0.25">
      <c r="A329" t="s">
        <v>120</v>
      </c>
      <c r="B329" t="s">
        <v>23</v>
      </c>
      <c r="C329" s="168" t="str">
        <f t="shared" si="22"/>
        <v>Træ til energi</v>
      </c>
      <c r="D329">
        <f t="shared" si="24"/>
        <v>2050</v>
      </c>
      <c r="E329" s="168">
        <f ca="1">IF(C329&lt;&gt;"Træmaterialer",IF(SUMIFS(Restprodukter!$G$2:$G$37,Restprodukter!$A$2:$A$37,C329,Restprodukter!$B$2:$B$37,B329,Restprodukter!$C$2:$C$37,D329)&gt;=0,SUMIFS(Restprodukter!$G$2:$G$37,Restprodukter!$A$2:$A$37,C329,Restprodukter!$B$2:$B$37,B329,Restprodukter!$C$2:$C$37,D329)*IF(A329="Energi",1-IF(C329&lt;&gt;"Træ til energi",VLOOKUP(C329,'Forbrug til andet'!$A$9:$D$13,MATCH('Forbrug af biomasse'!D329,'Forbrug til andet'!$A$8:$D$8,0),FALSE),0),VLOOKUP(C329,'Forbrug til andet'!$A$9:$D$13,MATCH('Forbrug af biomasse'!D329,'Forbrug til andet'!$A$8:$D$8,0),FALSE)),0),SUMIFS(IF(D329=År1,IF(B329="Vestdanmark",'Resultater - Vestdanmark'!H$3:H$1022,'Resultater - Østdanmark'!H$3:H$1022),IF(D329=År2,IF(B329="Vestdanmark",'Resultater - Vestdanmark'!I$3:I$1022,'Resultater - Østdanmark'!I$3:I$1022),IF(B329="Vestdanmark",'Resultater - Vestdanmark'!J$3:J$1022,'Resultater - Østdanmark'!J$3:J$1022))),'Resultater - Vestdanmark'!$F$3:$F$1022,C329))</f>
        <v>2001119.0505128279</v>
      </c>
      <c r="F329" s="168">
        <v>1</v>
      </c>
    </row>
    <row r="330" spans="1:7" x14ac:dyDescent="0.25">
      <c r="A330" t="s">
        <v>120</v>
      </c>
      <c r="B330" t="s">
        <v>23</v>
      </c>
      <c r="C330" s="168" t="str">
        <f t="shared" si="22"/>
        <v>Have/parkaffald</v>
      </c>
      <c r="D330">
        <f t="shared" si="24"/>
        <v>2050</v>
      </c>
      <c r="E330" s="168">
        <f>IF(C330&lt;&gt;"Træmaterialer",IF(SUMIFS(Restprodukter!$G$2:$G$37,Restprodukter!$A$2:$A$37,C330,Restprodukter!$B$2:$B$37,B330,Restprodukter!$C$2:$C$37,D330)&gt;=0,SUMIFS(Restprodukter!$G$2:$G$37,Restprodukter!$A$2:$A$37,C330,Restprodukter!$B$2:$B$37,B330,Restprodukter!$C$2:$C$37,D330)*IF(A330="Energi",1-IF(C330&lt;&gt;"Træ til energi",VLOOKUP(C330,'Forbrug til andet'!$A$9:$D$13,MATCH('Forbrug af biomasse'!D330,'Forbrug til andet'!$A$8:$D$8,0),FALSE),0),VLOOKUP(C330,'Forbrug til andet'!$A$9:$D$13,MATCH('Forbrug af biomasse'!D330,'Forbrug til andet'!$A$8:$D$8,0),FALSE)),0),SUMIFS(IF(D330=År1,IF(B330="Vestdanmark",'Resultater - Vestdanmark'!H$3:H$1022,'Resultater - Østdanmark'!H$3:H$1022),IF(D330=År2,IF(B330="Vestdanmark",'Resultater - Vestdanmark'!I$3:I$1022,'Resultater - Østdanmark'!I$3:I$1022),IF(B330="Vestdanmark",'Resultater - Vestdanmark'!J$3:J$1022,'Resultater - Østdanmark'!J$3:J$1022))),'Resultater - Vestdanmark'!$F$3:$F$1022,C330))</f>
        <v>524840.3181212655</v>
      </c>
      <c r="F330" s="168">
        <v>1</v>
      </c>
    </row>
    <row r="331" spans="1:7" x14ac:dyDescent="0.25">
      <c r="A331" t="s">
        <v>120</v>
      </c>
      <c r="B331" t="s">
        <v>23</v>
      </c>
      <c r="C331" s="168" t="str">
        <f t="shared" si="22"/>
        <v>Bioaffald</v>
      </c>
      <c r="D331">
        <f t="shared" si="24"/>
        <v>2050</v>
      </c>
      <c r="E331" s="168">
        <f ca="1">IF(C331&lt;&gt;"Træmaterialer",IF(SUMIFS(Restprodukter!$G$2:$G$37,Restprodukter!$A$2:$A$37,C331,Restprodukter!$B$2:$B$37,B331,Restprodukter!$C$2:$C$37,D331)&gt;=0,SUMIFS(Restprodukter!$G$2:$G$37,Restprodukter!$A$2:$A$37,C331,Restprodukter!$B$2:$B$37,B331,Restprodukter!$C$2:$C$37,D331)*IF(A331="Energi",1-IF(C331&lt;&gt;"Træ til energi",VLOOKUP(C331,'Forbrug til andet'!$A$9:$D$13,MATCH('Forbrug af biomasse'!D331,'Forbrug til andet'!$A$8:$D$8,0),FALSE),0),VLOOKUP(C331,'Forbrug til andet'!$A$9:$D$13,MATCH('Forbrug af biomasse'!D331,'Forbrug til andet'!$A$8:$D$8,0),FALSE)),0),SUMIFS(IF(D331=År1,IF(B331="Vestdanmark",'Resultater - Vestdanmark'!H$3:H$1022,'Resultater - Østdanmark'!H$3:H$1022),IF(D331=År2,IF(B331="Vestdanmark",'Resultater - Vestdanmark'!I$3:I$1022,'Resultater - Østdanmark'!I$3:I$1022),IF(B331="Vestdanmark",'Resultater - Vestdanmark'!J$3:J$1022,'Resultater - Østdanmark'!J$3:J$1022))),'Resultater - Vestdanmark'!$F$3:$F$1022,C331))</f>
        <v>0</v>
      </c>
      <c r="F331" s="168">
        <v>1</v>
      </c>
    </row>
    <row r="332" spans="1:7" x14ac:dyDescent="0.25">
      <c r="A332" t="s">
        <v>164</v>
      </c>
      <c r="B332" t="s">
        <v>23</v>
      </c>
      <c r="C332" s="168" t="str">
        <f t="shared" si="22"/>
        <v>Halm</v>
      </c>
      <c r="D332">
        <f t="shared" si="24"/>
        <v>2050</v>
      </c>
      <c r="E332" s="168">
        <f>IF(C332&lt;&gt;"Træmaterialer",IF(SUMIFS(Restprodukter!$G$2:$G$37,Restprodukter!$A$2:$A$37,C332,Restprodukter!$B$2:$B$37,B332,Restprodukter!$C$2:$C$37,D332)&gt;=0,SUMIFS(Restprodukter!$G$2:$G$37,Restprodukter!$A$2:$A$37,C332,Restprodukter!$B$2:$B$37,B332,Restprodukter!$C$2:$C$37,D332)*IF(A332="Energi",1-IF(C332&lt;&gt;"Træ til energi",VLOOKUP(C332,'Forbrug til andet'!$A$9:$D$13,MATCH('Forbrug af biomasse'!D332,'Forbrug til andet'!$A$8:$D$8,0),FALSE),0),VLOOKUP(C332,'Forbrug til andet'!$A$9:$D$13,MATCH('Forbrug af biomasse'!D332,'Forbrug til andet'!$A$8:$D$8,0),FALSE)),0),SUMIFS(IF(D332=År1,IF(B332="Vestdanmark",'Resultater - Vestdanmark'!H$3:H$1022,'Resultater - Østdanmark'!H$3:H$1022),IF(D332=År2,IF(B332="Vestdanmark",'Resultater - Vestdanmark'!I$3:I$1022,'Resultater - Østdanmark'!I$3:I$1022),IF(B332="Vestdanmark",'Resultater - Vestdanmark'!J$3:J$1022,'Resultater - Østdanmark'!J$3:J$1022))),'Resultater - Vestdanmark'!$F$3:$F$1022,C332))</f>
        <v>0</v>
      </c>
      <c r="F332" s="168">
        <v>1</v>
      </c>
      <c r="G332" s="168">
        <v>1</v>
      </c>
    </row>
    <row r="333" spans="1:7" x14ac:dyDescent="0.25">
      <c r="A333" t="s">
        <v>164</v>
      </c>
      <c r="B333" t="s">
        <v>23</v>
      </c>
      <c r="C333" s="168" t="str">
        <f t="shared" si="22"/>
        <v>Rapsolie</v>
      </c>
      <c r="D333">
        <f t="shared" si="24"/>
        <v>2050</v>
      </c>
      <c r="E333" s="168">
        <f>IF(C333&lt;&gt;"Træmaterialer",IF(SUMIFS(Restprodukter!$G$2:$G$37,Restprodukter!$A$2:$A$37,C333,Restprodukter!$B$2:$B$37,B333,Restprodukter!$C$2:$C$37,D333)&gt;=0,SUMIFS(Restprodukter!$G$2:$G$37,Restprodukter!$A$2:$A$37,C333,Restprodukter!$B$2:$B$37,B333,Restprodukter!$C$2:$C$37,D333)*IF(A333="Energi",1-IF(C333&lt;&gt;"Træ til energi",VLOOKUP(C333,'Forbrug til andet'!$A$9:$D$13,MATCH('Forbrug af biomasse'!D333,'Forbrug til andet'!$A$8:$D$8,0),FALSE),0),VLOOKUP(C333,'Forbrug til andet'!$A$9:$D$13,MATCH('Forbrug af biomasse'!D333,'Forbrug til andet'!$A$8:$D$8,0),FALSE)),0),SUMIFS(IF(D333=År1,IF(B333="Vestdanmark",'Resultater - Vestdanmark'!H$3:H$1022,'Resultater - Østdanmark'!H$3:H$1022),IF(D333=År2,IF(B333="Vestdanmark",'Resultater - Vestdanmark'!I$3:I$1022,'Resultater - Østdanmark'!I$3:I$1022),IF(B333="Vestdanmark",'Resultater - Vestdanmark'!J$3:J$1022,'Resultater - Østdanmark'!J$3:J$1022))),'Resultater - Vestdanmark'!$F$3:$F$1022,C333))</f>
        <v>0</v>
      </c>
      <c r="F333" s="168">
        <v>1</v>
      </c>
      <c r="G333" s="168">
        <v>1</v>
      </c>
    </row>
    <row r="334" spans="1:7" x14ac:dyDescent="0.25">
      <c r="A334" t="s">
        <v>164</v>
      </c>
      <c r="B334" t="s">
        <v>23</v>
      </c>
      <c r="C334" s="168" t="str">
        <f t="shared" si="22"/>
        <v>Pil &amp; poppel</v>
      </c>
      <c r="D334">
        <f t="shared" si="24"/>
        <v>2050</v>
      </c>
      <c r="E334" s="168">
        <f>IF(C334&lt;&gt;"Træmaterialer",IF(SUMIFS(Restprodukter!$G$2:$G$37,Restprodukter!$A$2:$A$37,C334,Restprodukter!$B$2:$B$37,B334,Restprodukter!$C$2:$C$37,D334)&gt;=0,SUMIFS(Restprodukter!$G$2:$G$37,Restprodukter!$A$2:$A$37,C334,Restprodukter!$B$2:$B$37,B334,Restprodukter!$C$2:$C$37,D334)*IF(A334="Energi",1-IF(C334&lt;&gt;"Træ til energi",VLOOKUP(C334,'Forbrug til andet'!$A$9:$D$13,MATCH('Forbrug af biomasse'!D334,'Forbrug til andet'!$A$8:$D$8,0),FALSE),0),VLOOKUP(C334,'Forbrug til andet'!$A$9:$D$13,MATCH('Forbrug af biomasse'!D334,'Forbrug til andet'!$A$8:$D$8,0),FALSE)),0),SUMIFS(IF(D334=År1,IF(B334="Vestdanmark",'Resultater - Vestdanmark'!H$3:H$1022,'Resultater - Østdanmark'!H$3:H$1022),IF(D334=År2,IF(B334="Vestdanmark",'Resultater - Vestdanmark'!I$3:I$1022,'Resultater - Østdanmark'!I$3:I$1022),IF(B334="Vestdanmark",'Resultater - Vestdanmark'!J$3:J$1022,'Resultater - Østdanmark'!J$3:J$1022))),'Resultater - Vestdanmark'!$F$3:$F$1022,C334))</f>
        <v>0</v>
      </c>
      <c r="F334" s="168">
        <v>1</v>
      </c>
      <c r="G334" s="168">
        <v>1</v>
      </c>
    </row>
    <row r="335" spans="1:7" s="168" customFormat="1" x14ac:dyDescent="0.25">
      <c r="A335" s="168" t="s">
        <v>164</v>
      </c>
      <c r="B335" s="168" t="s">
        <v>23</v>
      </c>
      <c r="C335" s="168" t="str">
        <f t="shared" si="22"/>
        <v>Træmaterialer</v>
      </c>
      <c r="D335" s="168">
        <f t="shared" si="24"/>
        <v>2050</v>
      </c>
      <c r="E335" s="168">
        <f ca="1">IF(C335&lt;&gt;"Træmaterialer",IF(SUMIFS(Restprodukter!$G$2:$G$37,Restprodukter!$A$2:$A$37,C335,Restprodukter!$B$2:$B$37,B335,Restprodukter!$C$2:$C$37,D335)&gt;=0,SUMIFS(Restprodukter!$G$2:$G$37,Restprodukter!$A$2:$A$37,C335,Restprodukter!$B$2:$B$37,B335,Restprodukter!$C$2:$C$37,D335)*IF(A335="Energi",1-IF(C335&lt;&gt;"Træ til energi",VLOOKUP(C335,'Forbrug til andet'!$A$9:$D$13,MATCH('Forbrug af biomasse'!D335,'Forbrug til andet'!$A$8:$D$8,0),FALSE),0),VLOOKUP(C335,'Forbrug til andet'!$A$9:$D$13,MATCH('Forbrug af biomasse'!D335,'Forbrug til andet'!$A$8:$D$8,0),FALSE)),0),SUMIFS(IF(D335=År1,IF(B335="Vestdanmark",'Resultater - Vestdanmark'!H$3:H$1022,'Resultater - Østdanmark'!H$3:H$1022),IF(D335=År2,IF(B335="Vestdanmark",'Resultater - Vestdanmark'!I$3:I$1022,'Resultater - Østdanmark'!I$3:I$1022),IF(B335="Vestdanmark",'Resultater - Vestdanmark'!J$3:J$1022,'Resultater - Østdanmark'!J$3:J$1022))),'Resultater - Vestdanmark'!$F$3:$F$1022,C335))</f>
        <v>551632.61779012682</v>
      </c>
      <c r="F335" s="168">
        <v>1</v>
      </c>
      <c r="G335" s="168">
        <v>1</v>
      </c>
    </row>
    <row r="336" spans="1:7" x14ac:dyDescent="0.25">
      <c r="A336" t="s">
        <v>164</v>
      </c>
      <c r="B336" t="s">
        <v>23</v>
      </c>
      <c r="C336" s="168" t="str">
        <f t="shared" si="22"/>
        <v>Have/parkaffald</v>
      </c>
      <c r="D336">
        <f t="shared" si="24"/>
        <v>2050</v>
      </c>
      <c r="E336" s="168">
        <f>IF(C336&lt;&gt;"Træmaterialer",IF(SUMIFS(Restprodukter!$G$2:$G$37,Restprodukter!$A$2:$A$37,C336,Restprodukter!$B$2:$B$37,B336,Restprodukter!$C$2:$C$37,D336)&gt;=0,SUMIFS(Restprodukter!$G$2:$G$37,Restprodukter!$A$2:$A$37,C336,Restprodukter!$B$2:$B$37,B336,Restprodukter!$C$2:$C$37,D336)*IF(A336="Energi",1-IF(C336&lt;&gt;"Træ til energi",VLOOKUP(C336,'Forbrug til andet'!$A$9:$D$13,MATCH('Forbrug af biomasse'!D336,'Forbrug til andet'!$A$8:$D$8,0),FALSE),0),VLOOKUP(C336,'Forbrug til andet'!$A$9:$D$13,MATCH('Forbrug af biomasse'!D336,'Forbrug til andet'!$A$8:$D$8,0),FALSE)),0),SUMIFS(IF(D336=År1,IF(B336="Vestdanmark",'Resultater - Vestdanmark'!H$3:H$1022,'Resultater - Østdanmark'!H$3:H$1022),IF(D336=År2,IF(B336="Vestdanmark",'Resultater - Vestdanmark'!I$3:I$1022,'Resultater - Østdanmark'!I$3:I$1022),IF(B336="Vestdanmark",'Resultater - Vestdanmark'!J$3:J$1022,'Resultater - Østdanmark'!J$3:J$1022))),'Resultater - Vestdanmark'!$F$3:$F$1022,C336))</f>
        <v>0</v>
      </c>
      <c r="F336" s="168">
        <v>1</v>
      </c>
      <c r="G336" s="168">
        <v>1</v>
      </c>
    </row>
    <row r="337" spans="1:7" x14ac:dyDescent="0.25">
      <c r="A337" t="s">
        <v>164</v>
      </c>
      <c r="B337" t="s">
        <v>23</v>
      </c>
      <c r="C337" s="168" t="str">
        <f t="shared" si="22"/>
        <v>Bioaffald</v>
      </c>
      <c r="D337">
        <f t="shared" si="24"/>
        <v>2050</v>
      </c>
      <c r="E337" s="168">
        <f ca="1">IF(C337&lt;&gt;"Træmaterialer",IF(SUMIFS(Restprodukter!$G$2:$G$37,Restprodukter!$A$2:$A$37,C337,Restprodukter!$B$2:$B$37,B337,Restprodukter!$C$2:$C$37,D337)&gt;=0,SUMIFS(Restprodukter!$G$2:$G$37,Restprodukter!$A$2:$A$37,C337,Restprodukter!$B$2:$B$37,B337,Restprodukter!$C$2:$C$37,D337)*IF(A337="Energi",1-IF(C337&lt;&gt;"Træ til energi",VLOOKUP(C337,'Forbrug til andet'!$A$9:$D$13,MATCH('Forbrug af biomasse'!D337,'Forbrug til andet'!$A$8:$D$8,0),FALSE),0),VLOOKUP(C337,'Forbrug til andet'!$A$9:$D$13,MATCH('Forbrug af biomasse'!D337,'Forbrug til andet'!$A$8:$D$8,0),FALSE)),0),SUMIFS(IF(D337=År1,IF(B337="Vestdanmark",'Resultater - Vestdanmark'!H$3:H$1022,'Resultater - Østdanmark'!H$3:H$1022),IF(D337=År2,IF(B337="Vestdanmark",'Resultater - Vestdanmark'!I$3:I$1022,'Resultater - Østdanmark'!I$3:I$1022),IF(B337="Vestdanmark",'Resultater - Vestdanmark'!J$3:J$1022,'Resultater - Østdanmark'!J$3:J$1022))),'Resultater - Vestdanmark'!$F$3:$F$1022,C337))</f>
        <v>0</v>
      </c>
      <c r="F337" s="168">
        <v>1</v>
      </c>
      <c r="G337" s="168">
        <v>1</v>
      </c>
    </row>
    <row r="338" spans="1:7" x14ac:dyDescent="0.25">
      <c r="A338" t="s">
        <v>120</v>
      </c>
      <c r="B338" t="s">
        <v>24</v>
      </c>
      <c r="C338" s="168" t="str">
        <f>C326</f>
        <v>Halm</v>
      </c>
      <c r="D338">
        <f t="shared" si="24"/>
        <v>2050</v>
      </c>
      <c r="E338" s="168">
        <f>IF(C338&lt;&gt;"Træmaterialer",IF(SUMIFS(Restprodukter!$G$2:$G$37,Restprodukter!$A$2:$A$37,C338,Restprodukter!$B$2:$B$37,B338,Restprodukter!$C$2:$C$37,D338)&gt;=0,SUMIFS(Restprodukter!$G$2:$G$37,Restprodukter!$A$2:$A$37,C338,Restprodukter!$B$2:$B$37,B338,Restprodukter!$C$2:$C$37,D338)*IF(A338="Energi",1-IF(C338&lt;&gt;"Træ til energi",VLOOKUP(C338,'Forbrug til andet'!$A$9:$D$13,MATCH('Forbrug af biomasse'!D338,'Forbrug til andet'!$A$8:$D$8,0),FALSE),0),VLOOKUP(C338,'Forbrug til andet'!$A$9:$D$13,MATCH('Forbrug af biomasse'!D338,'Forbrug til andet'!$A$8:$D$8,0),FALSE)),0),SUMIFS(IF(D338=År1,IF(B338="Vestdanmark",'Resultater - Vestdanmark'!H$3:H$1022,'Resultater - Østdanmark'!H$3:H$1022),IF(D338=År2,IF(B338="Vestdanmark",'Resultater - Vestdanmark'!I$3:I$1022,'Resultater - Østdanmark'!I$3:I$1022),IF(B338="Vestdanmark",'Resultater - Vestdanmark'!J$3:J$1022,'Resultater - Østdanmark'!J$3:J$1022))),'Resultater - Vestdanmark'!$F$3:$F$1022,C338))</f>
        <v>650571.69735795178</v>
      </c>
      <c r="F338" s="168">
        <v>1</v>
      </c>
    </row>
    <row r="339" spans="1:7" x14ac:dyDescent="0.25">
      <c r="A339" t="s">
        <v>120</v>
      </c>
      <c r="B339" t="s">
        <v>24</v>
      </c>
      <c r="C339" s="168" t="str">
        <f t="shared" si="22"/>
        <v>Rapsolie</v>
      </c>
      <c r="D339">
        <f t="shared" si="24"/>
        <v>2050</v>
      </c>
      <c r="E339" s="168">
        <f>IF(C339&lt;&gt;"Træmaterialer",IF(SUMIFS(Restprodukter!$G$2:$G$37,Restprodukter!$A$2:$A$37,C339,Restprodukter!$B$2:$B$37,B339,Restprodukter!$C$2:$C$37,D339)&gt;=0,SUMIFS(Restprodukter!$G$2:$G$37,Restprodukter!$A$2:$A$37,C339,Restprodukter!$B$2:$B$37,B339,Restprodukter!$C$2:$C$37,D339)*IF(A339="Energi",1-IF(C339&lt;&gt;"Træ til energi",VLOOKUP(C339,'Forbrug til andet'!$A$9:$D$13,MATCH('Forbrug af biomasse'!D339,'Forbrug til andet'!$A$8:$D$8,0),FALSE),0),VLOOKUP(C339,'Forbrug til andet'!$A$9:$D$13,MATCH('Forbrug af biomasse'!D339,'Forbrug til andet'!$A$8:$D$8,0),FALSE)),0),SUMIFS(IF(D339=År1,IF(B339="Vestdanmark",'Resultater - Vestdanmark'!H$3:H$1022,'Resultater - Østdanmark'!H$3:H$1022),IF(D339=År2,IF(B339="Vestdanmark",'Resultater - Vestdanmark'!I$3:I$1022,'Resultater - Østdanmark'!I$3:I$1022),IF(B339="Vestdanmark",'Resultater - Vestdanmark'!J$3:J$1022,'Resultater - Østdanmark'!J$3:J$1022))),'Resultater - Vestdanmark'!$F$3:$F$1022,C339))</f>
        <v>67729.865689932136</v>
      </c>
      <c r="F339" s="168">
        <v>1</v>
      </c>
    </row>
    <row r="340" spans="1:7" x14ac:dyDescent="0.25">
      <c r="A340" t="s">
        <v>120</v>
      </c>
      <c r="B340" t="s">
        <v>24</v>
      </c>
      <c r="C340" s="168" t="str">
        <f t="shared" si="22"/>
        <v>Pil &amp; poppel</v>
      </c>
      <c r="D340">
        <f t="shared" si="24"/>
        <v>2050</v>
      </c>
      <c r="E340" s="168">
        <f>IF(C340&lt;&gt;"Træmaterialer",IF(SUMIFS(Restprodukter!$G$2:$G$37,Restprodukter!$A$2:$A$37,C340,Restprodukter!$B$2:$B$37,B340,Restprodukter!$C$2:$C$37,D340)&gt;=0,SUMIFS(Restprodukter!$G$2:$G$37,Restprodukter!$A$2:$A$37,C340,Restprodukter!$B$2:$B$37,B340,Restprodukter!$C$2:$C$37,D340)*IF(A340="Energi",1-IF(C340&lt;&gt;"Træ til energi",VLOOKUP(C340,'Forbrug til andet'!$A$9:$D$13,MATCH('Forbrug af biomasse'!D340,'Forbrug til andet'!$A$8:$D$8,0),FALSE),0),VLOOKUP(C340,'Forbrug til andet'!$A$9:$D$13,MATCH('Forbrug af biomasse'!D340,'Forbrug til andet'!$A$8:$D$8,0),FALSE)),0),SUMIFS(IF(D340=År1,IF(B340="Vestdanmark",'Resultater - Vestdanmark'!H$3:H$1022,'Resultater - Østdanmark'!H$3:H$1022),IF(D340=År2,IF(B340="Vestdanmark",'Resultater - Vestdanmark'!I$3:I$1022,'Resultater - Østdanmark'!I$3:I$1022),IF(B340="Vestdanmark",'Resultater - Vestdanmark'!J$3:J$1022,'Resultater - Østdanmark'!J$3:J$1022))),'Resultater - Vestdanmark'!$F$3:$F$1022,C340))</f>
        <v>42440.412782955995</v>
      </c>
      <c r="F340" s="168">
        <v>1</v>
      </c>
    </row>
    <row r="341" spans="1:7" x14ac:dyDescent="0.25">
      <c r="A341" t="s">
        <v>120</v>
      </c>
      <c r="B341" t="s">
        <v>24</v>
      </c>
      <c r="C341" s="168" t="str">
        <f t="shared" si="22"/>
        <v>Træ til energi</v>
      </c>
      <c r="D341">
        <f t="shared" si="24"/>
        <v>2050</v>
      </c>
      <c r="E341" s="168">
        <f ca="1">IF(C341&lt;&gt;"Træmaterialer",IF(SUMIFS(Restprodukter!$G$2:$G$37,Restprodukter!$A$2:$A$37,C341,Restprodukter!$B$2:$B$37,B341,Restprodukter!$C$2:$C$37,D341)&gt;=0,SUMIFS(Restprodukter!$G$2:$G$37,Restprodukter!$A$2:$A$37,C341,Restprodukter!$B$2:$B$37,B341,Restprodukter!$C$2:$C$37,D341)*IF(A341="Energi",1-IF(C341&lt;&gt;"Træ til energi",VLOOKUP(C341,'Forbrug til andet'!$A$9:$D$13,MATCH('Forbrug af biomasse'!D341,'Forbrug til andet'!$A$8:$D$8,0),FALSE),0),VLOOKUP(C341,'Forbrug til andet'!$A$9:$D$13,MATCH('Forbrug af biomasse'!D341,'Forbrug til andet'!$A$8:$D$8,0),FALSE)),0),SUMIFS(IF(D341=År1,IF(B341="Vestdanmark",'Resultater - Vestdanmark'!H$3:H$1022,'Resultater - Østdanmark'!H$3:H$1022),IF(D341=År2,IF(B341="Vestdanmark",'Resultater - Vestdanmark'!I$3:I$1022,'Resultater - Østdanmark'!I$3:I$1022),IF(B341="Vestdanmark",'Resultater - Vestdanmark'!J$3:J$1022,'Resultater - Østdanmark'!J$3:J$1022))),'Resultater - Vestdanmark'!$F$3:$F$1022,C341))</f>
        <v>585276.82167847839</v>
      </c>
      <c r="F341" s="168">
        <v>1</v>
      </c>
    </row>
    <row r="342" spans="1:7" x14ac:dyDescent="0.25">
      <c r="A342" t="s">
        <v>120</v>
      </c>
      <c r="B342" t="s">
        <v>24</v>
      </c>
      <c r="C342" s="168" t="str">
        <f t="shared" si="22"/>
        <v>Have/parkaffald</v>
      </c>
      <c r="D342">
        <f t="shared" si="24"/>
        <v>2050</v>
      </c>
      <c r="E342" s="168">
        <f>IF(C342&lt;&gt;"Træmaterialer",IF(SUMIFS(Restprodukter!$G$2:$G$37,Restprodukter!$A$2:$A$37,C342,Restprodukter!$B$2:$B$37,B342,Restprodukter!$C$2:$C$37,D342)&gt;=0,SUMIFS(Restprodukter!$G$2:$G$37,Restprodukter!$A$2:$A$37,C342,Restprodukter!$B$2:$B$37,B342,Restprodukter!$C$2:$C$37,D342)*IF(A342="Energi",1-IF(C342&lt;&gt;"Træ til energi",VLOOKUP(C342,'Forbrug til andet'!$A$9:$D$13,MATCH('Forbrug af biomasse'!D342,'Forbrug til andet'!$A$8:$D$8,0),FALSE),0),VLOOKUP(C342,'Forbrug til andet'!$A$9:$D$13,MATCH('Forbrug af biomasse'!D342,'Forbrug til andet'!$A$8:$D$8,0),FALSE)),0),SUMIFS(IF(D342=År1,IF(B342="Vestdanmark",'Resultater - Vestdanmark'!H$3:H$1022,'Resultater - Østdanmark'!H$3:H$1022),IF(D342=År2,IF(B342="Vestdanmark",'Resultater - Vestdanmark'!I$3:I$1022,'Resultater - Østdanmark'!I$3:I$1022),IF(B342="Vestdanmark",'Resultater - Vestdanmark'!J$3:J$1022,'Resultater - Østdanmark'!J$3:J$1022))),'Resultater - Vestdanmark'!$F$3:$F$1022,C342))</f>
        <v>457890.6818787345</v>
      </c>
      <c r="F342" s="168">
        <v>1</v>
      </c>
    </row>
    <row r="343" spans="1:7" x14ac:dyDescent="0.25">
      <c r="A343" t="s">
        <v>120</v>
      </c>
      <c r="B343" t="s">
        <v>24</v>
      </c>
      <c r="C343" s="168" t="str">
        <f t="shared" si="22"/>
        <v>Bioaffald</v>
      </c>
      <c r="D343">
        <f t="shared" si="24"/>
        <v>2050</v>
      </c>
      <c r="E343" s="168">
        <f ca="1">IF(C343&lt;&gt;"Træmaterialer",IF(SUMIFS(Restprodukter!$G$2:$G$37,Restprodukter!$A$2:$A$37,C343,Restprodukter!$B$2:$B$37,B343,Restprodukter!$C$2:$C$37,D343)&gt;=0,SUMIFS(Restprodukter!$G$2:$G$37,Restprodukter!$A$2:$A$37,C343,Restprodukter!$B$2:$B$37,B343,Restprodukter!$C$2:$C$37,D343)*IF(A343="Energi",1-IF(C343&lt;&gt;"Træ til energi",VLOOKUP(C343,'Forbrug til andet'!$A$9:$D$13,MATCH('Forbrug af biomasse'!D343,'Forbrug til andet'!$A$8:$D$8,0),FALSE),0),VLOOKUP(C343,'Forbrug til andet'!$A$9:$D$13,MATCH('Forbrug af biomasse'!D343,'Forbrug til andet'!$A$8:$D$8,0),FALSE)),0),SUMIFS(IF(D343=År1,IF(B343="Vestdanmark",'Resultater - Vestdanmark'!H$3:H$1022,'Resultater - Østdanmark'!H$3:H$1022),IF(D343=År2,IF(B343="Vestdanmark",'Resultater - Vestdanmark'!I$3:I$1022,'Resultater - Østdanmark'!I$3:I$1022),IF(B343="Vestdanmark",'Resultater - Vestdanmark'!J$3:J$1022,'Resultater - Østdanmark'!J$3:J$1022))),'Resultater - Vestdanmark'!$F$3:$F$1022,C343))</f>
        <v>0</v>
      </c>
      <c r="F343" s="168">
        <v>1</v>
      </c>
    </row>
    <row r="344" spans="1:7" x14ac:dyDescent="0.25">
      <c r="A344" t="s">
        <v>164</v>
      </c>
      <c r="B344" t="s">
        <v>24</v>
      </c>
      <c r="C344" s="168" t="str">
        <f t="shared" si="22"/>
        <v>Halm</v>
      </c>
      <c r="D344">
        <f t="shared" si="24"/>
        <v>2050</v>
      </c>
      <c r="E344" s="168">
        <f>IF(C344&lt;&gt;"Træmaterialer",IF(SUMIFS(Restprodukter!$G$2:$G$37,Restprodukter!$A$2:$A$37,C344,Restprodukter!$B$2:$B$37,B344,Restprodukter!$C$2:$C$37,D344)&gt;=0,SUMIFS(Restprodukter!$G$2:$G$37,Restprodukter!$A$2:$A$37,C344,Restprodukter!$B$2:$B$37,B344,Restprodukter!$C$2:$C$37,D344)*IF(A344="Energi",1-IF(C344&lt;&gt;"Træ til energi",VLOOKUP(C344,'Forbrug til andet'!$A$9:$D$13,MATCH('Forbrug af biomasse'!D344,'Forbrug til andet'!$A$8:$D$8,0),FALSE),0),VLOOKUP(C344,'Forbrug til andet'!$A$9:$D$13,MATCH('Forbrug af biomasse'!D344,'Forbrug til andet'!$A$8:$D$8,0),FALSE)),0),SUMIFS(IF(D344=År1,IF(B344="Vestdanmark",'Resultater - Vestdanmark'!H$3:H$1022,'Resultater - Østdanmark'!H$3:H$1022),IF(D344=År2,IF(B344="Vestdanmark",'Resultater - Vestdanmark'!I$3:I$1022,'Resultater - Østdanmark'!I$3:I$1022),IF(B344="Vestdanmark",'Resultater - Vestdanmark'!J$3:J$1022,'Resultater - Østdanmark'!J$3:J$1022))),'Resultater - Vestdanmark'!$F$3:$F$1022,C344))</f>
        <v>0</v>
      </c>
      <c r="F344" s="168">
        <v>1</v>
      </c>
      <c r="G344" s="168">
        <v>1</v>
      </c>
    </row>
    <row r="345" spans="1:7" x14ac:dyDescent="0.25">
      <c r="A345" t="s">
        <v>164</v>
      </c>
      <c r="B345" t="s">
        <v>24</v>
      </c>
      <c r="C345" s="168" t="str">
        <f t="shared" si="22"/>
        <v>Rapsolie</v>
      </c>
      <c r="D345">
        <f t="shared" si="24"/>
        <v>2050</v>
      </c>
      <c r="E345" s="168">
        <f>IF(C345&lt;&gt;"Træmaterialer",IF(SUMIFS(Restprodukter!$G$2:$G$37,Restprodukter!$A$2:$A$37,C345,Restprodukter!$B$2:$B$37,B345,Restprodukter!$C$2:$C$37,D345)&gt;=0,SUMIFS(Restprodukter!$G$2:$G$37,Restprodukter!$A$2:$A$37,C345,Restprodukter!$B$2:$B$37,B345,Restprodukter!$C$2:$C$37,D345)*IF(A345="Energi",1-IF(C345&lt;&gt;"Træ til energi",VLOOKUP(C345,'Forbrug til andet'!$A$9:$D$13,MATCH('Forbrug af biomasse'!D345,'Forbrug til andet'!$A$8:$D$8,0),FALSE),0),VLOOKUP(C345,'Forbrug til andet'!$A$9:$D$13,MATCH('Forbrug af biomasse'!D345,'Forbrug til andet'!$A$8:$D$8,0),FALSE)),0),SUMIFS(IF(D345=År1,IF(B345="Vestdanmark",'Resultater - Vestdanmark'!H$3:H$1022,'Resultater - Østdanmark'!H$3:H$1022),IF(D345=År2,IF(B345="Vestdanmark",'Resultater - Vestdanmark'!I$3:I$1022,'Resultater - Østdanmark'!I$3:I$1022),IF(B345="Vestdanmark",'Resultater - Vestdanmark'!J$3:J$1022,'Resultater - Østdanmark'!J$3:J$1022))),'Resultater - Vestdanmark'!$F$3:$F$1022,C345))</f>
        <v>0</v>
      </c>
      <c r="F345" s="168">
        <v>1</v>
      </c>
      <c r="G345" s="168">
        <v>1</v>
      </c>
    </row>
    <row r="346" spans="1:7" x14ac:dyDescent="0.25">
      <c r="A346" t="s">
        <v>164</v>
      </c>
      <c r="B346" t="s">
        <v>24</v>
      </c>
      <c r="C346" s="168" t="str">
        <f t="shared" si="22"/>
        <v>Pil &amp; poppel</v>
      </c>
      <c r="D346">
        <f t="shared" si="24"/>
        <v>2050</v>
      </c>
      <c r="E346" s="168">
        <f>IF(C346&lt;&gt;"Træmaterialer",IF(SUMIFS(Restprodukter!$G$2:$G$37,Restprodukter!$A$2:$A$37,C346,Restprodukter!$B$2:$B$37,B346,Restprodukter!$C$2:$C$37,D346)&gt;=0,SUMIFS(Restprodukter!$G$2:$G$37,Restprodukter!$A$2:$A$37,C346,Restprodukter!$B$2:$B$37,B346,Restprodukter!$C$2:$C$37,D346)*IF(A346="Energi",1-IF(C346&lt;&gt;"Træ til energi",VLOOKUP(C346,'Forbrug til andet'!$A$9:$D$13,MATCH('Forbrug af biomasse'!D346,'Forbrug til andet'!$A$8:$D$8,0),FALSE),0),VLOOKUP(C346,'Forbrug til andet'!$A$9:$D$13,MATCH('Forbrug af biomasse'!D346,'Forbrug til andet'!$A$8:$D$8,0),FALSE)),0),SUMIFS(IF(D346=År1,IF(B346="Vestdanmark",'Resultater - Vestdanmark'!H$3:H$1022,'Resultater - Østdanmark'!H$3:H$1022),IF(D346=År2,IF(B346="Vestdanmark",'Resultater - Vestdanmark'!I$3:I$1022,'Resultater - Østdanmark'!I$3:I$1022),IF(B346="Vestdanmark",'Resultater - Vestdanmark'!J$3:J$1022,'Resultater - Østdanmark'!J$3:J$1022))),'Resultater - Vestdanmark'!$F$3:$F$1022,C346))</f>
        <v>0</v>
      </c>
      <c r="F346" s="168">
        <v>1</v>
      </c>
      <c r="G346" s="168">
        <v>1</v>
      </c>
    </row>
    <row r="347" spans="1:7" s="168" customFormat="1" x14ac:dyDescent="0.25">
      <c r="A347" s="168" t="s">
        <v>164</v>
      </c>
      <c r="B347" s="168" t="s">
        <v>24</v>
      </c>
      <c r="C347" s="168" t="str">
        <f t="shared" si="22"/>
        <v>Træmaterialer</v>
      </c>
      <c r="D347" s="168">
        <f t="shared" si="24"/>
        <v>2050</v>
      </c>
      <c r="E347" s="168">
        <f ca="1">IF(C347&lt;&gt;"Træmaterialer",IF(SUMIFS(Restprodukter!$G$2:$G$37,Restprodukter!$A$2:$A$37,C347,Restprodukter!$B$2:$B$37,B347,Restprodukter!$C$2:$C$37,D347)&gt;=0,SUMIFS(Restprodukter!$G$2:$G$37,Restprodukter!$A$2:$A$37,C347,Restprodukter!$B$2:$B$37,B347,Restprodukter!$C$2:$C$37,D347)*IF(A347="Energi",1-IF(C347&lt;&gt;"Træ til energi",VLOOKUP(C347,'Forbrug til andet'!$A$9:$D$13,MATCH('Forbrug af biomasse'!D347,'Forbrug til andet'!$A$8:$D$8,0),FALSE),0),VLOOKUP(C347,'Forbrug til andet'!$A$9:$D$13,MATCH('Forbrug af biomasse'!D347,'Forbrug til andet'!$A$8:$D$8,0),FALSE)),0),SUMIFS(IF(D347=År1,IF(B347="Vestdanmark",'Resultater - Vestdanmark'!H$3:H$1022,'Resultater - Østdanmark'!H$3:H$1022),IF(D347=År2,IF(B347="Vestdanmark",'Resultater - Vestdanmark'!I$3:I$1022,'Resultater - Østdanmark'!I$3:I$1022),IF(B347="Vestdanmark",'Resultater - Vestdanmark'!J$3:J$1022,'Resultater - Østdanmark'!J$3:J$1022))),'Resultater - Vestdanmark'!$F$3:$F$1022,C347))</f>
        <v>161253.53800096706</v>
      </c>
      <c r="F347" s="168">
        <v>1</v>
      </c>
      <c r="G347" s="168">
        <v>1</v>
      </c>
    </row>
    <row r="348" spans="1:7" x14ac:dyDescent="0.25">
      <c r="A348" t="s">
        <v>164</v>
      </c>
      <c r="B348" t="s">
        <v>24</v>
      </c>
      <c r="C348" s="168" t="str">
        <f t="shared" si="22"/>
        <v>Have/parkaffald</v>
      </c>
      <c r="D348">
        <f t="shared" si="24"/>
        <v>2050</v>
      </c>
      <c r="E348" s="168">
        <f>IF(C348&lt;&gt;"Træmaterialer",IF(SUMIFS(Restprodukter!$G$2:$G$37,Restprodukter!$A$2:$A$37,C348,Restprodukter!$B$2:$B$37,B348,Restprodukter!$C$2:$C$37,D348)&gt;=0,SUMIFS(Restprodukter!$G$2:$G$37,Restprodukter!$A$2:$A$37,C348,Restprodukter!$B$2:$B$37,B348,Restprodukter!$C$2:$C$37,D348)*IF(A348="Energi",1-IF(C348&lt;&gt;"Træ til energi",VLOOKUP(C348,'Forbrug til andet'!$A$9:$D$13,MATCH('Forbrug af biomasse'!D348,'Forbrug til andet'!$A$8:$D$8,0),FALSE),0),VLOOKUP(C348,'Forbrug til andet'!$A$9:$D$13,MATCH('Forbrug af biomasse'!D348,'Forbrug til andet'!$A$8:$D$8,0),FALSE)),0),SUMIFS(IF(D348=År1,IF(B348="Vestdanmark",'Resultater - Vestdanmark'!H$3:H$1022,'Resultater - Østdanmark'!H$3:H$1022),IF(D348=År2,IF(B348="Vestdanmark",'Resultater - Vestdanmark'!I$3:I$1022,'Resultater - Østdanmark'!I$3:I$1022),IF(B348="Vestdanmark",'Resultater - Vestdanmark'!J$3:J$1022,'Resultater - Østdanmark'!J$3:J$1022))),'Resultater - Vestdanmark'!$F$3:$F$1022,C348))</f>
        <v>0</v>
      </c>
      <c r="F348" s="168">
        <v>1</v>
      </c>
      <c r="G348" s="168">
        <v>1</v>
      </c>
    </row>
    <row r="349" spans="1:7" x14ac:dyDescent="0.25">
      <c r="A349" t="s">
        <v>164</v>
      </c>
      <c r="B349" t="s">
        <v>24</v>
      </c>
      <c r="C349" s="168" t="str">
        <f t="shared" si="22"/>
        <v>Bioaffald</v>
      </c>
      <c r="D349">
        <f t="shared" si="24"/>
        <v>2050</v>
      </c>
      <c r="E349" s="168">
        <f ca="1">IF(C349&lt;&gt;"Træmaterialer",IF(SUMIFS(Restprodukter!$G$2:$G$37,Restprodukter!$A$2:$A$37,C349,Restprodukter!$B$2:$B$37,B349,Restprodukter!$C$2:$C$37,D349)&gt;=0,SUMIFS(Restprodukter!$G$2:$G$37,Restprodukter!$A$2:$A$37,C349,Restprodukter!$B$2:$B$37,B349,Restprodukter!$C$2:$C$37,D349)*IF(A349="Energi",1-IF(C349&lt;&gt;"Træ til energi",VLOOKUP(C349,'Forbrug til andet'!$A$9:$D$13,MATCH('Forbrug af biomasse'!D349,'Forbrug til andet'!$A$8:$D$8,0),FALSE),0),VLOOKUP(C349,'Forbrug til andet'!$A$9:$D$13,MATCH('Forbrug af biomasse'!D349,'Forbrug til andet'!$A$8:$D$8,0),FALSE)),0),SUMIFS(IF(D349=År1,IF(B349="Vestdanmark",'Resultater - Vestdanmark'!H$3:H$1022,'Resultater - Østdanmark'!H$3:H$1022),IF(D349=År2,IF(B349="Vestdanmark",'Resultater - Vestdanmark'!I$3:I$1022,'Resultater - Østdanmark'!I$3:I$1022),IF(B349="Vestdanmark",'Resultater - Vestdanmark'!J$3:J$1022,'Resultater - Østdanmark'!J$3:J$1022))),'Resultater - Vestdanmark'!$F$3:$F$1022,C349))</f>
        <v>0</v>
      </c>
      <c r="F349" s="168">
        <v>1</v>
      </c>
      <c r="G349" s="168">
        <v>1</v>
      </c>
    </row>
    <row r="350" spans="1:7" x14ac:dyDescent="0.25">
      <c r="A350" t="s">
        <v>114</v>
      </c>
      <c r="B350" t="s">
        <v>23</v>
      </c>
      <c r="C350" t="s">
        <v>135</v>
      </c>
      <c r="D350">
        <f t="shared" ref="D350:D355" si="25">År1</f>
        <v>2019</v>
      </c>
      <c r="E350">
        <f>SUMIFS(IF(D350=År1,IF(B350="Vestdanmark",'Resultater - Vestdanmark'!$H$3:$H$496,'Resultater - Østdanmark'!$H$3:$H$496),IF(D350=År2,IF(B350="Vestdanmark",'Resultater - Vestdanmark'!$I$3:$I$496,'Resultater - Østdanmark'!$I$3:$I$496),IF(B350="Vestdanmark",'Resultater - Vestdanmark'!$J$3:$J$496,'Resultater - Østdanmark'!$J$3:$J$496))),'Resultater - Vestdanmark'!$D$3:$D$496,C350,'Resultater - Vestdanmark'!$F$3:$F$496,A350)/SUMIFS(IF(D350=År1,'[1]Processer - data'!$H$3:$H$489,IF(D350=År2,'[1]Processer - data'!$I$3:$I$489,'[1]Processer - data'!$J$3:$J$489)),'[1]Processer - data'!$D$3:$D$489,C350,'[1]Processer - data'!$F$3:$F$489,A350)</f>
        <v>12818096.433914844</v>
      </c>
    </row>
    <row r="351" spans="1:7" x14ac:dyDescent="0.25">
      <c r="A351" t="s">
        <v>114</v>
      </c>
      <c r="B351" t="s">
        <v>23</v>
      </c>
      <c r="C351" t="s">
        <v>136</v>
      </c>
      <c r="D351">
        <f t="shared" si="25"/>
        <v>2019</v>
      </c>
      <c r="E351">
        <f>SUMIFS(IF(D351=År1,IF(B351="Vestdanmark",'Resultater - Vestdanmark'!$H$3:$H$496,'Resultater - Østdanmark'!$H$3:$H$496),IF(D351=År2,IF(B351="Vestdanmark",'Resultater - Vestdanmark'!$I$3:$I$496,'Resultater - Østdanmark'!$I$3:$I$496),IF(B351="Vestdanmark",'Resultater - Vestdanmark'!$J$3:$J$496,'Resultater - Østdanmark'!$J$3:$J$496))),'Resultater - Vestdanmark'!$D$3:$D$496,C351,'Resultater - Vestdanmark'!$F$3:$F$496,A351)/SUMIFS(IF(D351=År1,'[1]Processer - data'!$H$3:$H$489,IF(D351=År2,'[1]Processer - data'!$I$3:$I$489,'[1]Processer - data'!$J$3:$J$489)),'[1]Processer - data'!$D$3:$D$489,C351,'[1]Processer - data'!$F$3:$F$489,A351)</f>
        <v>9058051.1739541572</v>
      </c>
    </row>
    <row r="352" spans="1:7" x14ac:dyDescent="0.25">
      <c r="A352" t="s">
        <v>114</v>
      </c>
      <c r="B352" t="s">
        <v>23</v>
      </c>
      <c r="C352" t="s">
        <v>137</v>
      </c>
      <c r="D352">
        <f t="shared" si="25"/>
        <v>2019</v>
      </c>
      <c r="E352">
        <f>SUMIFS(IF(D352=År1,IF(B352="Vestdanmark",'Resultater - Vestdanmark'!$H$3:$H$496,'Resultater - Østdanmark'!$H$3:$H$496),IF(D352=År2,IF(B352="Vestdanmark",'Resultater - Vestdanmark'!$I$3:$I$496,'Resultater - Østdanmark'!$I$3:$I$496),IF(B352="Vestdanmark",'Resultater - Vestdanmark'!$J$3:$J$496,'Resultater - Østdanmark'!$J$3:$J$496))),'Resultater - Vestdanmark'!$D$3:$D$496,C352,'Resultater - Vestdanmark'!$F$3:$F$496,A352)/SUMIFS(IF(D352=År1,'[1]Processer - data'!$H$3:$H$489,IF(D352=År2,'[1]Processer - data'!$I$3:$I$489,'[1]Processer - data'!$J$3:$J$489)),'[1]Processer - data'!$D$3:$D$489,C352,'[1]Processer - data'!$F$3:$F$489,A352)</f>
        <v>4103.8061780475591</v>
      </c>
    </row>
    <row r="353" spans="1:5" x14ac:dyDescent="0.25">
      <c r="A353" t="s">
        <v>114</v>
      </c>
      <c r="B353" t="s">
        <v>23</v>
      </c>
      <c r="C353" t="s">
        <v>101</v>
      </c>
      <c r="D353">
        <f t="shared" si="25"/>
        <v>2019</v>
      </c>
      <c r="E353">
        <f>SUMIFS(IF(D353=År1,IF(B353="Vestdanmark",'Resultater - Vestdanmark'!$H$3:$H$496,'Resultater - Østdanmark'!$H$3:$H$496),IF(D353=År2,IF(B353="Vestdanmark",'Resultater - Vestdanmark'!$I$3:$I$496,'Resultater - Østdanmark'!$I$3:$I$496),IF(B353="Vestdanmark",'Resultater - Vestdanmark'!$J$3:$J$496,'Resultater - Østdanmark'!$J$3:$J$496))),'Resultater - Vestdanmark'!$D$3:$D$496,C353,'Resultater - Vestdanmark'!$F$3:$F$496,A353)/SUMIFS(IF(D353=År1,'[1]Processer - data'!$H$3:$H$489,IF(D353=År2,'[1]Processer - data'!$I$3:$I$489,'[1]Processer - data'!$J$3:$J$489)),'[1]Processer - data'!$D$3:$D$489,C353,'[1]Processer - data'!$F$3:$F$489,A353)</f>
        <v>730307.97492940596</v>
      </c>
    </row>
    <row r="354" spans="1:5" x14ac:dyDescent="0.25">
      <c r="A354" t="s">
        <v>114</v>
      </c>
      <c r="B354" t="s">
        <v>23</v>
      </c>
      <c r="C354" t="s">
        <v>110</v>
      </c>
      <c r="D354">
        <f t="shared" si="25"/>
        <v>2019</v>
      </c>
      <c r="E354">
        <f ca="1">SUMIFS(IF(D354=År1,IF(B354="Vestdanmark",'Resultater - Vestdanmark'!$H$3:$H$496,'Resultater - Østdanmark'!$H$3:$H$496),IF(D354=År2,IF(B354="Vestdanmark",'Resultater - Vestdanmark'!$I$3:$I$496,'Resultater - Østdanmark'!$I$3:$I$496),IF(B354="Vestdanmark",'Resultater - Vestdanmark'!$J$3:$J$496,'Resultater - Østdanmark'!$J$3:$J$496))),'Resultater - Vestdanmark'!$D$3:$D$496,C354,'Resultater - Vestdanmark'!$F$3:$F$496,A354)/SUMIFS(IF(D354=År1,'[1]Processer - data'!$H$3:$H$489,IF(D354=År2,'[1]Processer - data'!$I$3:$I$489,'[1]Processer - data'!$J$3:$J$489)),'[1]Processer - data'!$D$3:$D$489,C354,'[1]Processer - data'!$F$3:$F$489,A354)</f>
        <v>7001629.6154696662</v>
      </c>
    </row>
    <row r="355" spans="1:5" x14ac:dyDescent="0.25">
      <c r="A355" t="s">
        <v>114</v>
      </c>
      <c r="B355" t="s">
        <v>23</v>
      </c>
      <c r="C355" t="s">
        <v>115</v>
      </c>
      <c r="D355">
        <f t="shared" si="25"/>
        <v>2019</v>
      </c>
      <c r="E355">
        <f ca="1">SUMIFS(IF(D355=År1,IF(B355="Vestdanmark",'Resultater - Vestdanmark'!$H$3:$H$496,'Resultater - Østdanmark'!$H$3:$H$496),IF(D355=År2,IF(B355="Vestdanmark",'Resultater - Vestdanmark'!$I$3:$I$496,'Resultater - Østdanmark'!$I$3:$I$496),IF(B355="Vestdanmark",'Resultater - Vestdanmark'!$J$3:$J$496,'Resultater - Østdanmark'!$J$3:$J$496))),'Resultater - Vestdanmark'!$D$3:$D$496,C355,'Resultater - Vestdanmark'!$F$3:$F$496,A355)/SUMIFS(IF(D355=År1,'[1]Processer - data'!$H$3:$H$489,IF(D355=År2,'[1]Processer - data'!$I$3:$I$489,'[1]Processer - data'!$J$3:$J$489)),'[1]Processer - data'!$D$3:$D$489,C355,'[1]Processer - data'!$F$3:$F$489,A355)</f>
        <v>569996.93502990273</v>
      </c>
    </row>
    <row r="356" spans="1:5" x14ac:dyDescent="0.25">
      <c r="A356" t="s">
        <v>114</v>
      </c>
      <c r="B356" t="s">
        <v>23</v>
      </c>
      <c r="C356" t="s">
        <v>135</v>
      </c>
      <c r="D356">
        <f t="shared" ref="D356:D361" si="26">År2</f>
        <v>2030</v>
      </c>
      <c r="E356">
        <f>SUMIFS(IF(D356=År1,IF(B356="Vestdanmark",'Resultater - Vestdanmark'!$H$3:$H$496,'Resultater - Østdanmark'!$H$3:$H$496),IF(D356=År2,IF(B356="Vestdanmark",'Resultater - Vestdanmark'!$I$3:$I$496,'Resultater - Østdanmark'!$I$3:$I$496),IF(B356="Vestdanmark",'Resultater - Vestdanmark'!$J$3:$J$496,'Resultater - Østdanmark'!$J$3:$J$496))),'Resultater - Vestdanmark'!$D$3:$D$496,C356,'Resultater - Vestdanmark'!$F$3:$F$496,A356)/SUMIFS(IF(D356=År1,'[1]Processer - data'!$H$3:$H$489,IF(D356=År2,'[1]Processer - data'!$I$3:$I$489,'[1]Processer - data'!$J$3:$J$489)),'[1]Processer - data'!$D$3:$D$489,C356,'[1]Processer - data'!$F$3:$F$489,A356)</f>
        <v>8502205.9111969229</v>
      </c>
    </row>
    <row r="357" spans="1:5" x14ac:dyDescent="0.25">
      <c r="A357" t="s">
        <v>114</v>
      </c>
      <c r="B357" t="s">
        <v>23</v>
      </c>
      <c r="C357" t="s">
        <v>136</v>
      </c>
      <c r="D357">
        <f t="shared" si="26"/>
        <v>2030</v>
      </c>
      <c r="E357">
        <f>SUMIFS(IF(D357=År1,IF(B357="Vestdanmark",'Resultater - Vestdanmark'!$H$3:$H$496,'Resultater - Østdanmark'!$H$3:$H$496),IF(D357=År2,IF(B357="Vestdanmark",'Resultater - Vestdanmark'!$I$3:$I$496,'Resultater - Østdanmark'!$I$3:$I$496),IF(B357="Vestdanmark",'Resultater - Vestdanmark'!$J$3:$J$496,'Resultater - Østdanmark'!$J$3:$J$496))),'Resultater - Vestdanmark'!$D$3:$D$496,C357,'Resultater - Vestdanmark'!$F$3:$F$496,A357)/SUMIFS(IF(D357=År1,'[1]Processer - data'!$H$3:$H$489,IF(D357=År2,'[1]Processer - data'!$I$3:$I$489,'[1]Processer - data'!$J$3:$J$489)),'[1]Processer - data'!$D$3:$D$489,C357,'[1]Processer - data'!$F$3:$F$489,A357)</f>
        <v>3739247.0528647057</v>
      </c>
    </row>
    <row r="358" spans="1:5" x14ac:dyDescent="0.25">
      <c r="A358" t="s">
        <v>114</v>
      </c>
      <c r="B358" t="s">
        <v>23</v>
      </c>
      <c r="C358" t="s">
        <v>137</v>
      </c>
      <c r="D358">
        <f t="shared" si="26"/>
        <v>2030</v>
      </c>
      <c r="E358">
        <f>SUMIFS(IF(D358=År1,IF(B358="Vestdanmark",'Resultater - Vestdanmark'!$H$3:$H$496,'Resultater - Østdanmark'!$H$3:$H$496),IF(D358=År2,IF(B358="Vestdanmark",'Resultater - Vestdanmark'!$I$3:$I$496,'Resultater - Østdanmark'!$I$3:$I$496),IF(B358="Vestdanmark",'Resultater - Vestdanmark'!$J$3:$J$496,'Resultater - Østdanmark'!$J$3:$J$496))),'Resultater - Vestdanmark'!$D$3:$D$496,C358,'Resultater - Vestdanmark'!$F$3:$F$496,A358)/SUMIFS(IF(D358=År1,'[1]Processer - data'!$H$3:$H$489,IF(D358=År2,'[1]Processer - data'!$I$3:$I$489,'[1]Processer - data'!$J$3:$J$489)),'[1]Processer - data'!$D$3:$D$489,C358,'[1]Processer - data'!$F$3:$F$489,A358)</f>
        <v>5005.6356813272896</v>
      </c>
    </row>
    <row r="359" spans="1:5" x14ac:dyDescent="0.25">
      <c r="A359" t="s">
        <v>114</v>
      </c>
      <c r="B359" t="s">
        <v>23</v>
      </c>
      <c r="C359" t="s">
        <v>101</v>
      </c>
      <c r="D359">
        <f t="shared" si="26"/>
        <v>2030</v>
      </c>
      <c r="E359">
        <f>SUMIFS(IF(D359=År1,IF(B359="Vestdanmark",'Resultater - Vestdanmark'!$H$3:$H$496,'Resultater - Østdanmark'!$H$3:$H$496),IF(D359=År2,IF(B359="Vestdanmark",'Resultater - Vestdanmark'!$I$3:$I$496,'Resultater - Østdanmark'!$I$3:$I$496),IF(B359="Vestdanmark",'Resultater - Vestdanmark'!$J$3:$J$496,'Resultater - Østdanmark'!$J$3:$J$496))),'Resultater - Vestdanmark'!$D$3:$D$496,C359,'Resultater - Vestdanmark'!$F$3:$F$496,A359)/SUMIFS(IF(D359=År1,'[1]Processer - data'!$H$3:$H$489,IF(D359=År2,'[1]Processer - data'!$I$3:$I$489,'[1]Processer - data'!$J$3:$J$489)),'[1]Processer - data'!$D$3:$D$489,C359,'[1]Processer - data'!$F$3:$F$489,A359)</f>
        <v>602593.15019279509</v>
      </c>
    </row>
    <row r="360" spans="1:5" x14ac:dyDescent="0.25">
      <c r="A360" t="s">
        <v>114</v>
      </c>
      <c r="B360" t="s">
        <v>23</v>
      </c>
      <c r="C360" t="s">
        <v>110</v>
      </c>
      <c r="D360">
        <f t="shared" si="26"/>
        <v>2030</v>
      </c>
      <c r="E360">
        <f ca="1">SUMIFS(IF(D360=År1,IF(B360="Vestdanmark",'Resultater - Vestdanmark'!$H$3:$H$496,'Resultater - Østdanmark'!$H$3:$H$496),IF(D360=År2,IF(B360="Vestdanmark",'Resultater - Vestdanmark'!$I$3:$I$496,'Resultater - Østdanmark'!$I$3:$I$496),IF(B360="Vestdanmark",'Resultater - Vestdanmark'!$J$3:$J$496,'Resultater - Østdanmark'!$J$3:$J$496))),'Resultater - Vestdanmark'!$D$3:$D$496,C360,'Resultater - Vestdanmark'!$F$3:$F$496,A360)/SUMIFS(IF(D360=År1,'[1]Processer - data'!$H$3:$H$489,IF(D360=År2,'[1]Processer - data'!$I$3:$I$489,'[1]Processer - data'!$J$3:$J$489)),'[1]Processer - data'!$D$3:$D$489,C360,'[1]Processer - data'!$F$3:$F$489,A360)</f>
        <v>21249247.461072169</v>
      </c>
    </row>
    <row r="361" spans="1:5" x14ac:dyDescent="0.25">
      <c r="A361" t="s">
        <v>114</v>
      </c>
      <c r="B361" t="s">
        <v>23</v>
      </c>
      <c r="C361" t="s">
        <v>115</v>
      </c>
      <c r="D361">
        <f t="shared" si="26"/>
        <v>2030</v>
      </c>
      <c r="E361">
        <f ca="1">SUMIFS(IF(D361=År1,IF(B361="Vestdanmark",'Resultater - Vestdanmark'!$H$3:$H$496,'Resultater - Østdanmark'!$H$3:$H$496),IF(D361=År2,IF(B361="Vestdanmark",'Resultater - Vestdanmark'!$I$3:$I$496,'Resultater - Østdanmark'!$I$3:$I$496),IF(B361="Vestdanmark",'Resultater - Vestdanmark'!$J$3:$J$496,'Resultater - Østdanmark'!$J$3:$J$496))),'Resultater - Vestdanmark'!$D$3:$D$496,C361,'Resultater - Vestdanmark'!$F$3:$F$496,A361)/SUMIFS(IF(D361=År1,'[1]Processer - data'!$H$3:$H$489,IF(D361=År2,'[1]Processer - data'!$I$3:$I$489,'[1]Processer - data'!$J$3:$J$489)),'[1]Processer - data'!$D$3:$D$489,C361,'[1]Processer - data'!$F$3:$F$489,A361)</f>
        <v>329393.66202820744</v>
      </c>
    </row>
    <row r="362" spans="1:5" x14ac:dyDescent="0.25">
      <c r="A362" t="s">
        <v>114</v>
      </c>
      <c r="B362" t="s">
        <v>23</v>
      </c>
      <c r="C362" t="s">
        <v>135</v>
      </c>
      <c r="D362">
        <f t="shared" ref="D362:D367" si="27">År3</f>
        <v>2050</v>
      </c>
      <c r="E362">
        <f>SUMIFS(IF(D362=År1,IF(B362="Vestdanmark",'Resultater - Vestdanmark'!$H$3:$H$496,'Resultater - Østdanmark'!$H$3:$H$496),IF(D362=År2,IF(B362="Vestdanmark",'Resultater - Vestdanmark'!$I$3:$I$496,'Resultater - Østdanmark'!$I$3:$I$496),IF(B362="Vestdanmark",'Resultater - Vestdanmark'!$J$3:$J$496,'Resultater - Østdanmark'!$J$3:$J$496))),'Resultater - Vestdanmark'!$D$3:$D$496,C362,'Resultater - Vestdanmark'!$F$3:$F$496,A362)/SUMIFS(IF(D362=År1,'[1]Processer - data'!$H$3:$H$489,IF(D362=År2,'[1]Processer - data'!$I$3:$I$489,'[1]Processer - data'!$J$3:$J$489)),'[1]Processer - data'!$D$3:$D$489,C362,'[1]Processer - data'!$F$3:$F$489,A362)</f>
        <v>8139812.5569148706</v>
      </c>
    </row>
    <row r="363" spans="1:5" x14ac:dyDescent="0.25">
      <c r="A363" t="s">
        <v>114</v>
      </c>
      <c r="B363" t="s">
        <v>23</v>
      </c>
      <c r="C363" t="s">
        <v>136</v>
      </c>
      <c r="D363">
        <f t="shared" si="27"/>
        <v>2050</v>
      </c>
      <c r="E363">
        <f>SUMIFS(IF(D363=År1,IF(B363="Vestdanmark",'Resultater - Vestdanmark'!$H$3:$H$496,'Resultater - Østdanmark'!$H$3:$H$496),IF(D363=År2,IF(B363="Vestdanmark",'Resultater - Vestdanmark'!$I$3:$I$496,'Resultater - Østdanmark'!$I$3:$I$496),IF(B363="Vestdanmark",'Resultater - Vestdanmark'!$J$3:$J$496,'Resultater - Østdanmark'!$J$3:$J$496))),'Resultater - Vestdanmark'!$D$3:$D$496,C363,'Resultater - Vestdanmark'!$F$3:$F$496,A363)/SUMIFS(IF(D363=År1,'[1]Processer - data'!$H$3:$H$489,IF(D363=År2,'[1]Processer - data'!$I$3:$I$489,'[1]Processer - data'!$J$3:$J$489)),'[1]Processer - data'!$D$3:$D$489,C363,'[1]Processer - data'!$F$3:$F$489,A363)</f>
        <v>3667797.0727343494</v>
      </c>
    </row>
    <row r="364" spans="1:5" x14ac:dyDescent="0.25">
      <c r="A364" t="s">
        <v>114</v>
      </c>
      <c r="B364" t="s">
        <v>23</v>
      </c>
      <c r="C364" t="s">
        <v>137</v>
      </c>
      <c r="D364">
        <f t="shared" si="27"/>
        <v>2050</v>
      </c>
      <c r="E364">
        <f>SUMIFS(IF(D364=År1,IF(B364="Vestdanmark",'Resultater - Vestdanmark'!$H$3:$H$496,'Resultater - Østdanmark'!$H$3:$H$496),IF(D364=År2,IF(B364="Vestdanmark",'Resultater - Vestdanmark'!$I$3:$I$496,'Resultater - Østdanmark'!$I$3:$I$496),IF(B364="Vestdanmark",'Resultater - Vestdanmark'!$J$3:$J$496,'Resultater - Østdanmark'!$J$3:$J$496))),'Resultater - Vestdanmark'!$D$3:$D$496,C364,'Resultater - Vestdanmark'!$F$3:$F$496,A364)/SUMIFS(IF(D364=År1,'[1]Processer - data'!$H$3:$H$489,IF(D364=År2,'[1]Processer - data'!$I$3:$I$489,'[1]Processer - data'!$J$3:$J$489)),'[1]Processer - data'!$D$3:$D$489,C364,'[1]Processer - data'!$F$3:$F$489,A364)</f>
        <v>5169.3190334894534</v>
      </c>
    </row>
    <row r="365" spans="1:5" x14ac:dyDescent="0.25">
      <c r="A365" t="s">
        <v>114</v>
      </c>
      <c r="B365" t="s">
        <v>23</v>
      </c>
      <c r="C365" t="s">
        <v>101</v>
      </c>
      <c r="D365">
        <f t="shared" si="27"/>
        <v>2050</v>
      </c>
      <c r="E365">
        <f>SUMIFS(IF(D365=År1,IF(B365="Vestdanmark",'Resultater - Vestdanmark'!$H$3:$H$496,'Resultater - Østdanmark'!$H$3:$H$496),IF(D365=År2,IF(B365="Vestdanmark",'Resultater - Vestdanmark'!$I$3:$I$496,'Resultater - Østdanmark'!$I$3:$I$496),IF(B365="Vestdanmark",'Resultater - Vestdanmark'!$J$3:$J$496,'Resultater - Østdanmark'!$J$3:$J$496))),'Resultater - Vestdanmark'!$D$3:$D$496,C365,'Resultater - Vestdanmark'!$F$3:$F$496,A365)/SUMIFS(IF(D365=År1,'[1]Processer - data'!$H$3:$H$489,IF(D365=År2,'[1]Processer - data'!$I$3:$I$489,'[1]Processer - data'!$J$3:$J$489)),'[1]Processer - data'!$D$3:$D$489,C365,'[1]Processer - data'!$F$3:$F$489,A365)</f>
        <v>630997.79814640491</v>
      </c>
    </row>
    <row r="366" spans="1:5" x14ac:dyDescent="0.25">
      <c r="A366" t="s">
        <v>114</v>
      </c>
      <c r="B366" t="s">
        <v>23</v>
      </c>
      <c r="C366" t="s">
        <v>110</v>
      </c>
      <c r="D366">
        <f t="shared" si="27"/>
        <v>2050</v>
      </c>
      <c r="E366">
        <f ca="1">SUMIFS(IF(D366=År1,IF(B366="Vestdanmark",'Resultater - Vestdanmark'!$H$3:$H$496,'Resultater - Østdanmark'!$H$3:$H$496),IF(D366=År2,IF(B366="Vestdanmark",'Resultater - Vestdanmark'!$I$3:$I$496,'Resultater - Østdanmark'!$I$3:$I$496),IF(B366="Vestdanmark",'Resultater - Vestdanmark'!$J$3:$J$496,'Resultater - Østdanmark'!$J$3:$J$496))),'Resultater - Vestdanmark'!$D$3:$D$496,C366,'Resultater - Vestdanmark'!$F$3:$F$496,A366)/SUMIFS(IF(D366=År1,'[1]Processer - data'!$H$3:$H$489,IF(D366=År2,'[1]Processer - data'!$I$3:$I$489,'[1]Processer - data'!$J$3:$J$489)),'[1]Processer - data'!$D$3:$D$489,C366,'[1]Processer - data'!$F$3:$F$489,A366)</f>
        <v>20673526.844649076</v>
      </c>
    </row>
    <row r="367" spans="1:5" x14ac:dyDescent="0.25">
      <c r="A367" t="s">
        <v>114</v>
      </c>
      <c r="B367" t="s">
        <v>23</v>
      </c>
      <c r="C367" t="s">
        <v>115</v>
      </c>
      <c r="D367">
        <f t="shared" si="27"/>
        <v>2050</v>
      </c>
      <c r="E367">
        <f ca="1">SUMIFS(IF(D367=År1,IF(B367="Vestdanmark",'Resultater - Vestdanmark'!$H$3:$H$496,'Resultater - Østdanmark'!$H$3:$H$496),IF(D367=År2,IF(B367="Vestdanmark",'Resultater - Vestdanmark'!$I$3:$I$496,'Resultater - Østdanmark'!$I$3:$I$496),IF(B367="Vestdanmark",'Resultater - Vestdanmark'!$J$3:$J$496,'Resultater - Østdanmark'!$J$3:$J$496))),'Resultater - Vestdanmark'!$D$3:$D$496,C367,'Resultater - Vestdanmark'!$F$3:$F$496,A367)/SUMIFS(IF(D367=År1,'[1]Processer - data'!$H$3:$H$489,IF(D367=År2,'[1]Processer - data'!$I$3:$I$489,'[1]Processer - data'!$J$3:$J$489)),'[1]Processer - data'!$D$3:$D$489,C367,'[1]Processer - data'!$F$3:$F$489,A367)</f>
        <v>314100.84942853882</v>
      </c>
    </row>
    <row r="368" spans="1:5" x14ac:dyDescent="0.25">
      <c r="A368" t="s">
        <v>114</v>
      </c>
      <c r="B368" t="s">
        <v>24</v>
      </c>
      <c r="C368" t="s">
        <v>135</v>
      </c>
      <c r="D368">
        <f t="shared" ref="D368:D373" si="28">År1</f>
        <v>2019</v>
      </c>
      <c r="E368">
        <f>SUMIFS(IF(D368=År1,IF(B368="Vestdanmark",'Resultater - Vestdanmark'!$H$3:$H$496,'Resultater - Østdanmark'!$H$3:$H$496),IF(D368=År2,IF(B368="Vestdanmark",'Resultater - Vestdanmark'!$I$3:$I$496,'Resultater - Østdanmark'!$I$3:$I$496),IF(B368="Vestdanmark",'Resultater - Vestdanmark'!$J$3:$J$496,'Resultater - Østdanmark'!$J$3:$J$496))),'Resultater - Vestdanmark'!$D$3:$D$496,C368,'Resultater - Vestdanmark'!$F$3:$F$496,A368)/SUMIFS(IF(D368=År1,'[1]Processer - data'!$H$3:$H$489,IF(D368=År2,'[1]Processer - data'!$I$3:$I$489,'[1]Processer - data'!$J$3:$J$489)),'[1]Processer - data'!$D$3:$D$489,C368,'[1]Processer - data'!$F$3:$F$489,A368)</f>
        <v>1924034.2327518209</v>
      </c>
    </row>
    <row r="369" spans="1:5" x14ac:dyDescent="0.25">
      <c r="A369" t="s">
        <v>114</v>
      </c>
      <c r="B369" t="s">
        <v>24</v>
      </c>
      <c r="C369" t="s">
        <v>136</v>
      </c>
      <c r="D369">
        <f t="shared" si="28"/>
        <v>2019</v>
      </c>
      <c r="E369">
        <f>SUMIFS(IF(D369=År1,IF(B369="Vestdanmark",'Resultater - Vestdanmark'!$H$3:$H$496,'Resultater - Østdanmark'!$H$3:$H$496),IF(D369=År2,IF(B369="Vestdanmark",'Resultater - Vestdanmark'!$I$3:$I$496,'Resultater - Østdanmark'!$I$3:$I$496),IF(B369="Vestdanmark",'Resultater - Vestdanmark'!$J$3:$J$496,'Resultater - Østdanmark'!$J$3:$J$496))),'Resultater - Vestdanmark'!$D$3:$D$496,C369,'Resultater - Vestdanmark'!$F$3:$F$496,A369)/SUMIFS(IF(D369=År1,'[1]Processer - data'!$H$3:$H$489,IF(D369=År2,'[1]Processer - data'!$I$3:$I$489,'[1]Processer - data'!$J$3:$J$489)),'[1]Processer - data'!$D$3:$D$489,C369,'[1]Processer - data'!$F$3:$F$489,A369)</f>
        <v>638439.1593791761</v>
      </c>
    </row>
    <row r="370" spans="1:5" x14ac:dyDescent="0.25">
      <c r="A370" t="s">
        <v>114</v>
      </c>
      <c r="B370" t="s">
        <v>24</v>
      </c>
      <c r="C370" t="s">
        <v>137</v>
      </c>
      <c r="D370">
        <f t="shared" si="28"/>
        <v>2019</v>
      </c>
      <c r="E370">
        <f>SUMIFS(IF(D370=År1,IF(B370="Vestdanmark",'Resultater - Vestdanmark'!$H$3:$H$496,'Resultater - Østdanmark'!$H$3:$H$496),IF(D370=År2,IF(B370="Vestdanmark",'Resultater - Vestdanmark'!$I$3:$I$496,'Resultater - Østdanmark'!$I$3:$I$496),IF(B370="Vestdanmark",'Resultater - Vestdanmark'!$J$3:$J$496,'Resultater - Østdanmark'!$J$3:$J$496))),'Resultater - Vestdanmark'!$D$3:$D$496,C370,'Resultater - Vestdanmark'!$F$3:$F$496,A370)/SUMIFS(IF(D370=År1,'[1]Processer - data'!$H$3:$H$489,IF(D370=År2,'[1]Processer - data'!$I$3:$I$489,'[1]Processer - data'!$J$3:$J$489)),'[1]Processer - data'!$D$3:$D$489,C370,'[1]Processer - data'!$F$3:$F$489,A370)</f>
        <v>337.693821952441</v>
      </c>
    </row>
    <row r="371" spans="1:5" x14ac:dyDescent="0.25">
      <c r="A371" t="s">
        <v>114</v>
      </c>
      <c r="B371" t="s">
        <v>24</v>
      </c>
      <c r="C371" t="s">
        <v>101</v>
      </c>
      <c r="D371">
        <f t="shared" si="28"/>
        <v>2019</v>
      </c>
      <c r="E371">
        <f>SUMIFS(IF(D371=År1,IF(B371="Vestdanmark",'Resultater - Vestdanmark'!$H$3:$H$496,'Resultater - Østdanmark'!$H$3:$H$496),IF(D371=År2,IF(B371="Vestdanmark",'Resultater - Vestdanmark'!$I$3:$I$496,'Resultater - Østdanmark'!$I$3:$I$496),IF(B371="Vestdanmark",'Resultater - Vestdanmark'!$J$3:$J$496,'Resultater - Østdanmark'!$J$3:$J$496))),'Resultater - Vestdanmark'!$D$3:$D$496,C371,'Resultater - Vestdanmark'!$F$3:$F$496,A371)/SUMIFS(IF(D371=År1,'[1]Processer - data'!$H$3:$H$489,IF(D371=År2,'[1]Processer - data'!$I$3:$I$489,'[1]Processer - data'!$J$3:$J$489)),'[1]Processer - data'!$D$3:$D$489,C371,'[1]Processer - data'!$F$3:$F$489,A371)</f>
        <v>93457.017927737121</v>
      </c>
    </row>
    <row r="372" spans="1:5" x14ac:dyDescent="0.25">
      <c r="A372" t="s">
        <v>114</v>
      </c>
      <c r="B372" t="s">
        <v>24</v>
      </c>
      <c r="C372" t="s">
        <v>110</v>
      </c>
      <c r="D372">
        <f t="shared" si="28"/>
        <v>2019</v>
      </c>
      <c r="E372">
        <f ca="1">SUMIFS(IF(D372=År1,IF(B372="Vestdanmark",'Resultater - Vestdanmark'!$H$3:$H$496,'Resultater - Østdanmark'!$H$3:$H$496),IF(D372=År2,IF(B372="Vestdanmark",'Resultater - Vestdanmark'!$I$3:$I$496,'Resultater - Østdanmark'!$I$3:$I$496),IF(B372="Vestdanmark",'Resultater - Vestdanmark'!$J$3:$J$496,'Resultater - Østdanmark'!$J$3:$J$496))),'Resultater - Vestdanmark'!$D$3:$D$496,C372,'Resultater - Vestdanmark'!$F$3:$F$496,A372)/SUMIFS(IF(D372=År1,'[1]Processer - data'!$H$3:$H$489,IF(D372=År2,'[1]Processer - data'!$I$3:$I$489,'[1]Processer - data'!$J$3:$J$489)),'[1]Processer - data'!$D$3:$D$489,C372,'[1]Processer - data'!$F$3:$F$489,A372)</f>
        <v>1801862.1200388186</v>
      </c>
    </row>
    <row r="373" spans="1:5" x14ac:dyDescent="0.25">
      <c r="A373" t="s">
        <v>114</v>
      </c>
      <c r="B373" t="s">
        <v>24</v>
      </c>
      <c r="C373" t="s">
        <v>115</v>
      </c>
      <c r="D373">
        <f t="shared" si="28"/>
        <v>2019</v>
      </c>
      <c r="E373">
        <f ca="1">SUMIFS(IF(D373=År1,IF(B373="Vestdanmark",'Resultater - Vestdanmark'!$H$3:$H$496,'Resultater - Østdanmark'!$H$3:$H$496),IF(D373=År2,IF(B373="Vestdanmark",'Resultater - Vestdanmark'!$I$3:$I$496,'Resultater - Østdanmark'!$I$3:$I$496),IF(B373="Vestdanmark",'Resultater - Vestdanmark'!$J$3:$J$496,'Resultater - Østdanmark'!$J$3:$J$496))),'Resultater - Vestdanmark'!$D$3:$D$496,C373,'Resultater - Vestdanmark'!$F$3:$F$496,A373)/SUMIFS(IF(D373=År1,'[1]Processer - data'!$H$3:$H$489,IF(D373=År2,'[1]Processer - data'!$I$3:$I$489,'[1]Processer - data'!$J$3:$J$489)),'[1]Processer - data'!$D$3:$D$489,C373,'[1]Processer - data'!$F$3:$F$489,A373)</f>
        <v>374820.3560243976</v>
      </c>
    </row>
    <row r="374" spans="1:5" x14ac:dyDescent="0.25">
      <c r="A374" t="s">
        <v>114</v>
      </c>
      <c r="B374" t="s">
        <v>24</v>
      </c>
      <c r="C374" t="s">
        <v>135</v>
      </c>
      <c r="D374">
        <f t="shared" ref="D374:D379" si="29">År2</f>
        <v>2030</v>
      </c>
      <c r="E374">
        <f>SUMIFS(IF(D374=År1,IF(B374="Vestdanmark",'Resultater - Vestdanmark'!$H$3:$H$496,'Resultater - Østdanmark'!$H$3:$H$496),IF(D374=År2,IF(B374="Vestdanmark",'Resultater - Vestdanmark'!$I$3:$I$496,'Resultater - Østdanmark'!$I$3:$I$496),IF(B374="Vestdanmark",'Resultater - Vestdanmark'!$J$3:$J$496,'Resultater - Østdanmark'!$J$3:$J$496))),'Resultater - Vestdanmark'!$D$3:$D$496,C374,'Resultater - Vestdanmark'!$F$3:$F$496,A374)/SUMIFS(IF(D374=År1,'[1]Processer - data'!$H$3:$H$489,IF(D374=År2,'[1]Processer - data'!$I$3:$I$489,'[1]Processer - data'!$J$3:$J$489)),'[1]Processer - data'!$D$3:$D$489,C374,'[1]Processer - data'!$F$3:$F$489,A374)</f>
        <v>1231945.108656165</v>
      </c>
    </row>
    <row r="375" spans="1:5" x14ac:dyDescent="0.25">
      <c r="A375" t="s">
        <v>114</v>
      </c>
      <c r="B375" t="s">
        <v>24</v>
      </c>
      <c r="C375" t="s">
        <v>136</v>
      </c>
      <c r="D375">
        <f t="shared" si="29"/>
        <v>2030</v>
      </c>
      <c r="E375">
        <f>SUMIFS(IF(D375=År1,IF(B375="Vestdanmark",'Resultater - Vestdanmark'!$H$3:$H$496,'Resultater - Østdanmark'!$H$3:$H$496),IF(D375=År2,IF(B375="Vestdanmark",'Resultater - Vestdanmark'!$I$3:$I$496,'Resultater - Østdanmark'!$I$3:$I$496),IF(B375="Vestdanmark",'Resultater - Vestdanmark'!$J$3:$J$496,'Resultater - Østdanmark'!$J$3:$J$496))),'Resultater - Vestdanmark'!$D$3:$D$496,C375,'Resultater - Vestdanmark'!$F$3:$F$496,A375)/SUMIFS(IF(D375=År1,'[1]Processer - data'!$H$3:$H$489,IF(D375=År2,'[1]Processer - data'!$I$3:$I$489,'[1]Processer - data'!$J$3:$J$489)),'[1]Processer - data'!$D$3:$D$489,C375,'[1]Processer - data'!$F$3:$F$489,A375)</f>
        <v>265763.28172786813</v>
      </c>
    </row>
    <row r="376" spans="1:5" x14ac:dyDescent="0.25">
      <c r="A376" t="s">
        <v>114</v>
      </c>
      <c r="B376" t="s">
        <v>24</v>
      </c>
      <c r="C376" t="s">
        <v>137</v>
      </c>
      <c r="D376">
        <f t="shared" si="29"/>
        <v>2030</v>
      </c>
      <c r="E376">
        <f>SUMIFS(IF(D376=År1,IF(B376="Vestdanmark",'Resultater - Vestdanmark'!$H$3:$H$496,'Resultater - Østdanmark'!$H$3:$H$496),IF(D376=År2,IF(B376="Vestdanmark",'Resultater - Vestdanmark'!$I$3:$I$496,'Resultater - Østdanmark'!$I$3:$I$496),IF(B376="Vestdanmark",'Resultater - Vestdanmark'!$J$3:$J$496,'Resultater - Østdanmark'!$J$3:$J$496))),'Resultater - Vestdanmark'!$D$3:$D$496,C376,'Resultater - Vestdanmark'!$F$3:$F$496,A376)/SUMIFS(IF(D376=År1,'[1]Processer - data'!$H$3:$H$489,IF(D376=År2,'[1]Processer - data'!$I$3:$I$489,'[1]Processer - data'!$J$3:$J$489)),'[1]Processer - data'!$D$3:$D$489,C376,'[1]Processer - data'!$F$3:$F$489,A376)</f>
        <v>420.12115509171275</v>
      </c>
    </row>
    <row r="377" spans="1:5" x14ac:dyDescent="0.25">
      <c r="A377" t="s">
        <v>114</v>
      </c>
      <c r="B377" t="s">
        <v>24</v>
      </c>
      <c r="C377" t="s">
        <v>101</v>
      </c>
      <c r="D377">
        <f t="shared" si="29"/>
        <v>2030</v>
      </c>
      <c r="E377">
        <f>SUMIFS(IF(D377=År1,IF(B377="Vestdanmark",'Resultater - Vestdanmark'!$H$3:$H$496,'Resultater - Østdanmark'!$H$3:$H$496),IF(D377=År2,IF(B377="Vestdanmark",'Resultater - Vestdanmark'!$I$3:$I$496,'Resultater - Østdanmark'!$I$3:$I$496),IF(B377="Vestdanmark",'Resultater - Vestdanmark'!$J$3:$J$496,'Resultater - Østdanmark'!$J$3:$J$496))),'Resultater - Vestdanmark'!$D$3:$D$496,C377,'Resultater - Vestdanmark'!$F$3:$F$496,A377)/SUMIFS(IF(D377=År1,'[1]Processer - data'!$H$3:$H$489,IF(D377=År2,'[1]Processer - data'!$I$3:$I$489,'[1]Processer - data'!$J$3:$J$489)),'[1]Processer - data'!$D$3:$D$489,C377,'[1]Processer - data'!$F$3:$F$489,A377)</f>
        <v>81329.660607366925</v>
      </c>
    </row>
    <row r="378" spans="1:5" x14ac:dyDescent="0.25">
      <c r="A378" t="s">
        <v>114</v>
      </c>
      <c r="B378" t="s">
        <v>24</v>
      </c>
      <c r="C378" t="s">
        <v>110</v>
      </c>
      <c r="D378">
        <f t="shared" si="29"/>
        <v>2030</v>
      </c>
      <c r="E378">
        <f ca="1">SUMIFS(IF(D378=År1,IF(B378="Vestdanmark",'Resultater - Vestdanmark'!$H$3:$H$496,'Resultater - Østdanmark'!$H$3:$H$496),IF(D378=År2,IF(B378="Vestdanmark",'Resultater - Vestdanmark'!$I$3:$I$496,'Resultater - Østdanmark'!$I$3:$I$496),IF(B378="Vestdanmark",'Resultater - Vestdanmark'!$J$3:$J$496,'Resultater - Østdanmark'!$J$3:$J$496))),'Resultater - Vestdanmark'!$D$3:$D$496,C378,'Resultater - Vestdanmark'!$F$3:$F$496,A378)/SUMIFS(IF(D378=År1,'[1]Processer - data'!$H$3:$H$489,IF(D378=År2,'[1]Processer - data'!$I$3:$I$489,'[1]Processer - data'!$J$3:$J$489)),'[1]Processer - data'!$D$3:$D$489,C378,'[1]Processer - data'!$F$3:$F$489,A378)</f>
        <v>3436689.0951916357</v>
      </c>
    </row>
    <row r="379" spans="1:5" x14ac:dyDescent="0.25">
      <c r="A379" t="s">
        <v>114</v>
      </c>
      <c r="B379" t="s">
        <v>24</v>
      </c>
      <c r="C379" t="s">
        <v>115</v>
      </c>
      <c r="D379">
        <f t="shared" si="29"/>
        <v>2030</v>
      </c>
      <c r="E379">
        <f ca="1">SUMIFS(IF(D379=År1,IF(B379="Vestdanmark",'Resultater - Vestdanmark'!$H$3:$H$496,'Resultater - Østdanmark'!$H$3:$H$496),IF(D379=År2,IF(B379="Vestdanmark",'Resultater - Vestdanmark'!$I$3:$I$496,'Resultater - Østdanmark'!$I$3:$I$496),IF(B379="Vestdanmark",'Resultater - Vestdanmark'!$J$3:$J$496,'Resultater - Østdanmark'!$J$3:$J$496))),'Resultater - Vestdanmark'!$D$3:$D$496,C379,'Resultater - Vestdanmark'!$F$3:$F$496,A379)/SUMIFS(IF(D379=År1,'[1]Processer - data'!$H$3:$H$489,IF(D379=År2,'[1]Processer - data'!$I$3:$I$489,'[1]Processer - data'!$J$3:$J$489)),'[1]Processer - data'!$D$3:$D$489,C379,'[1]Processer - data'!$F$3:$F$489,A379)</f>
        <v>337668.75931622676</v>
      </c>
    </row>
    <row r="380" spans="1:5" x14ac:dyDescent="0.25">
      <c r="A380" t="s">
        <v>114</v>
      </c>
      <c r="B380" t="s">
        <v>24</v>
      </c>
      <c r="C380" t="s">
        <v>135</v>
      </c>
      <c r="D380">
        <f t="shared" ref="D380:D385" si="30">År3</f>
        <v>2050</v>
      </c>
      <c r="E380">
        <f>SUMIFS(IF(D380=År1,IF(B380="Vestdanmark",'Resultater - Vestdanmark'!$H$3:$H$496,'Resultater - Østdanmark'!$H$3:$H$496),IF(D380=År2,IF(B380="Vestdanmark",'Resultater - Vestdanmark'!$I$3:$I$496,'Resultater - Østdanmark'!$I$3:$I$496),IF(B380="Vestdanmark",'Resultater - Vestdanmark'!$J$3:$J$496,'Resultater - Østdanmark'!$J$3:$J$496))),'Resultater - Vestdanmark'!$D$3:$D$496,C380,'Resultater - Vestdanmark'!$F$3:$F$496,A380)/SUMIFS(IF(D380=År1,'[1]Processer - data'!$H$3:$H$489,IF(D380=År2,'[1]Processer - data'!$I$3:$I$489,'[1]Processer - data'!$J$3:$J$489)),'[1]Processer - data'!$D$3:$D$489,C380,'[1]Processer - data'!$F$3:$F$489,A380)</f>
        <v>1179435.3570834203</v>
      </c>
    </row>
    <row r="381" spans="1:5" x14ac:dyDescent="0.25">
      <c r="A381" t="s">
        <v>114</v>
      </c>
      <c r="B381" t="s">
        <v>24</v>
      </c>
      <c r="C381" t="s">
        <v>136</v>
      </c>
      <c r="D381">
        <f t="shared" si="30"/>
        <v>2050</v>
      </c>
      <c r="E381">
        <f>SUMIFS(IF(D381=År1,IF(B381="Vestdanmark",'Resultater - Vestdanmark'!$H$3:$H$496,'Resultater - Østdanmark'!$H$3:$H$496),IF(D381=År2,IF(B381="Vestdanmark",'Resultater - Vestdanmark'!$I$3:$I$496,'Resultater - Østdanmark'!$I$3:$I$496),IF(B381="Vestdanmark",'Resultater - Vestdanmark'!$J$3:$J$496,'Resultater - Østdanmark'!$J$3:$J$496))),'Resultater - Vestdanmark'!$D$3:$D$496,C381,'Resultater - Vestdanmark'!$F$3:$F$496,A381)/SUMIFS(IF(D381=År1,'[1]Processer - data'!$H$3:$H$489,IF(D381=År2,'[1]Processer - data'!$I$3:$I$489,'[1]Processer - data'!$J$3:$J$489)),'[1]Processer - data'!$D$3:$D$489,C381,'[1]Processer - data'!$F$3:$F$489,A381)</f>
        <v>260685.0451389573</v>
      </c>
    </row>
    <row r="382" spans="1:5" x14ac:dyDescent="0.25">
      <c r="A382" t="s">
        <v>114</v>
      </c>
      <c r="B382" t="s">
        <v>24</v>
      </c>
      <c r="C382" t="s">
        <v>137</v>
      </c>
      <c r="D382">
        <f t="shared" si="30"/>
        <v>2050</v>
      </c>
      <c r="E382">
        <f>SUMIFS(IF(D382=År1,IF(B382="Vestdanmark",'Resultater - Vestdanmark'!$H$3:$H$496,'Resultater - Østdanmark'!$H$3:$H$496),IF(D382=År2,IF(B382="Vestdanmark",'Resultater - Vestdanmark'!$I$3:$I$496,'Resultater - Østdanmark'!$I$3:$I$496),IF(B382="Vestdanmark",'Resultater - Vestdanmark'!$J$3:$J$496,'Resultater - Østdanmark'!$J$3:$J$496))),'Resultater - Vestdanmark'!$D$3:$D$496,C382,'Resultater - Vestdanmark'!$F$3:$F$496,A382)/SUMIFS(IF(D382=År1,'[1]Processer - data'!$H$3:$H$489,IF(D382=År2,'[1]Processer - data'!$I$3:$I$489,'[1]Processer - data'!$J$3:$J$489)),'[1]Processer - data'!$D$3:$D$489,C382,'[1]Processer - data'!$F$3:$F$489,A382)</f>
        <v>433.85903842113186</v>
      </c>
    </row>
    <row r="383" spans="1:5" x14ac:dyDescent="0.25">
      <c r="A383" t="s">
        <v>114</v>
      </c>
      <c r="B383" t="s">
        <v>24</v>
      </c>
      <c r="C383" t="s">
        <v>101</v>
      </c>
      <c r="D383">
        <f t="shared" si="30"/>
        <v>2050</v>
      </c>
      <c r="E383">
        <f>SUMIFS(IF(D383=År1,IF(B383="Vestdanmark",'Resultater - Vestdanmark'!$H$3:$H$496,'Resultater - Østdanmark'!$H$3:$H$496),IF(D383=År2,IF(B383="Vestdanmark",'Resultater - Vestdanmark'!$I$3:$I$496,'Resultater - Østdanmark'!$I$3:$I$496),IF(B383="Vestdanmark",'Resultater - Vestdanmark'!$J$3:$J$496,'Resultater - Østdanmark'!$J$3:$J$496))),'Resultater - Vestdanmark'!$D$3:$D$496,C383,'Resultater - Vestdanmark'!$F$3:$F$496,A383)/SUMIFS(IF(D383=År1,'[1]Processer - data'!$H$3:$H$489,IF(D383=År2,'[1]Processer - data'!$I$3:$I$489,'[1]Processer - data'!$J$3:$J$489)),'[1]Processer - data'!$D$3:$D$489,C383,'[1]Processer - data'!$F$3:$F$489,A383)</f>
        <v>85646.055736491384</v>
      </c>
    </row>
    <row r="384" spans="1:5" x14ac:dyDescent="0.25">
      <c r="A384" t="s">
        <v>114</v>
      </c>
      <c r="B384" t="s">
        <v>24</v>
      </c>
      <c r="C384" t="s">
        <v>110</v>
      </c>
      <c r="D384">
        <f t="shared" si="30"/>
        <v>2050</v>
      </c>
      <c r="E384">
        <f ca="1">SUMIFS(IF(D384=År1,IF(B384="Vestdanmark",'Resultater - Vestdanmark'!$H$3:$H$496,'Resultater - Østdanmark'!$H$3:$H$496),IF(D384=År2,IF(B384="Vestdanmark",'Resultater - Vestdanmark'!$I$3:$I$496,'Resultater - Østdanmark'!$I$3:$I$496),IF(B384="Vestdanmark",'Resultater - Vestdanmark'!$J$3:$J$496,'Resultater - Østdanmark'!$J$3:$J$496))),'Resultater - Vestdanmark'!$D$3:$D$496,C384,'Resultater - Vestdanmark'!$F$3:$F$496,A384)/SUMIFS(IF(D384=År1,'[1]Processer - data'!$H$3:$H$489,IF(D384=År2,'[1]Processer - data'!$I$3:$I$489,'[1]Processer - data'!$J$3:$J$489)),'[1]Processer - data'!$D$3:$D$489,C384,'[1]Processer - data'!$F$3:$F$489,A384)</f>
        <v>3410016.9999342072</v>
      </c>
    </row>
    <row r="385" spans="1:7" x14ac:dyDescent="0.25">
      <c r="A385" t="s">
        <v>114</v>
      </c>
      <c r="B385" t="s">
        <v>24</v>
      </c>
      <c r="C385" t="s">
        <v>115</v>
      </c>
      <c r="D385">
        <f t="shared" si="30"/>
        <v>2050</v>
      </c>
      <c r="E385">
        <f ca="1">SUMIFS(IF(D385=År1,IF(B385="Vestdanmark",'Resultater - Vestdanmark'!$H$3:$H$496,'Resultater - Østdanmark'!$H$3:$H$496),IF(D385=År2,IF(B385="Vestdanmark",'Resultater - Vestdanmark'!$I$3:$I$496,'Resultater - Østdanmark'!$I$3:$I$496),IF(B385="Vestdanmark",'Resultater - Vestdanmark'!$J$3:$J$496,'Resultater - Østdanmark'!$J$3:$J$496))),'Resultater - Vestdanmark'!$D$3:$D$496,C385,'Resultater - Vestdanmark'!$F$3:$F$496,A385)/SUMIFS(IF(D385=År1,'[1]Processer - data'!$H$3:$H$489,IF(D385=År2,'[1]Processer - data'!$I$3:$I$489,'[1]Processer - data'!$J$3:$J$489)),'[1]Processer - data'!$D$3:$D$489,C385,'[1]Processer - data'!$F$3:$F$489,A385)</f>
        <v>327492.78950962157</v>
      </c>
    </row>
    <row r="386" spans="1:7" x14ac:dyDescent="0.25">
      <c r="A386" t="s">
        <v>209</v>
      </c>
      <c r="B386" t="s">
        <v>23</v>
      </c>
      <c r="C386" t="s">
        <v>51</v>
      </c>
      <c r="D386">
        <f>År1</f>
        <v>2019</v>
      </c>
      <c r="E386">
        <f>SUMIFS($E$2:$E$385,$A$2:$A$385,"Foder",$B$2:$B$385,B386,$C$2:$C$385,"Græsprotein",$D$2:$D$385,D386)/VLOOKUP(A386,'[1]Processer - data'!$A$3:$J$492,MATCH(D386,'[1]Processer - data'!$A$2:$J$2,0),FALSE)</f>
        <v>0</v>
      </c>
      <c r="G386" s="168">
        <v>1</v>
      </c>
    </row>
    <row r="387" spans="1:7" x14ac:dyDescent="0.25">
      <c r="A387" t="s">
        <v>209</v>
      </c>
      <c r="B387" t="s">
        <v>23</v>
      </c>
      <c r="C387" t="s">
        <v>51</v>
      </c>
      <c r="D387">
        <f>År2</f>
        <v>2030</v>
      </c>
      <c r="E387">
        <f>SUMIFS($E$2:$E$385,$A$2:$A$385,"Foder",$B$2:$B$385,B387,$C$2:$C$385,"Græsprotein",$D$2:$D$385,D387)/VLOOKUP(A387,'[1]Processer - data'!$A$3:$J$492,MATCH(D387,'[1]Processer - data'!$A$2:$J$2,0),FALSE)</f>
        <v>0</v>
      </c>
      <c r="G387" s="168">
        <v>1</v>
      </c>
    </row>
    <row r="388" spans="1:7" x14ac:dyDescent="0.25">
      <c r="A388" t="s">
        <v>209</v>
      </c>
      <c r="B388" t="s">
        <v>23</v>
      </c>
      <c r="C388" t="s">
        <v>51</v>
      </c>
      <c r="D388">
        <f>År3</f>
        <v>2050</v>
      </c>
      <c r="E388">
        <f>SUMIFS($E$2:$E$385,$A$2:$A$385,"Foder",$B$2:$B$385,B388,$C$2:$C$385,"Græsprotein",$D$2:$D$385,D388)/VLOOKUP(A388,'[1]Processer - data'!$A$3:$J$492,MATCH(D388,'[1]Processer - data'!$A$2:$J$2,0),FALSE)</f>
        <v>0</v>
      </c>
      <c r="G388" s="168">
        <v>1</v>
      </c>
    </row>
    <row r="389" spans="1:7" x14ac:dyDescent="0.25">
      <c r="A389" t="s">
        <v>209</v>
      </c>
      <c r="B389" t="s">
        <v>24</v>
      </c>
      <c r="C389" t="s">
        <v>51</v>
      </c>
      <c r="D389">
        <f>År1</f>
        <v>2019</v>
      </c>
      <c r="E389">
        <f>SUMIFS($E$2:$E$385,$A$2:$A$385,"Foder",$B$2:$B$385,B389,$C$2:$C$385,"Græsprotein",$D$2:$D$385,D389)/VLOOKUP(A389,'[1]Processer - data'!$A$3:$J$492,MATCH(D389,'[1]Processer - data'!$A$2:$J$2,0),FALSE)</f>
        <v>0</v>
      </c>
      <c r="G389" s="168">
        <v>1</v>
      </c>
    </row>
    <row r="390" spans="1:7" x14ac:dyDescent="0.25">
      <c r="A390" t="s">
        <v>209</v>
      </c>
      <c r="B390" t="s">
        <v>24</v>
      </c>
      <c r="C390" t="s">
        <v>51</v>
      </c>
      <c r="D390">
        <f>År2</f>
        <v>2030</v>
      </c>
      <c r="E390">
        <f>SUMIFS($E$2:$E$385,$A$2:$A$385,"Foder",$B$2:$B$385,B390,$C$2:$C$385,"Græsprotein",$D$2:$D$385,D390)/VLOOKUP(A390,'[1]Processer - data'!$A$3:$J$492,MATCH(D390,'[1]Processer - data'!$A$2:$J$2,0),FALSE)</f>
        <v>0</v>
      </c>
      <c r="G390" s="168">
        <v>1</v>
      </c>
    </row>
    <row r="391" spans="1:7" x14ac:dyDescent="0.25">
      <c r="A391" t="s">
        <v>209</v>
      </c>
      <c r="B391" t="s">
        <v>24</v>
      </c>
      <c r="C391" t="s">
        <v>51</v>
      </c>
      <c r="D391">
        <f>År3</f>
        <v>2050</v>
      </c>
      <c r="E391">
        <f>SUMIFS($E$2:$E$385,$A$2:$A$385,"Foder",$B$2:$B$385,B391,$C$2:$C$385,"Græsprotein",$D$2:$D$385,D391)/VLOOKUP(A391,'[1]Processer - data'!$A$3:$J$492,MATCH(D391,'[1]Processer - data'!$A$2:$J$2,0),FALSE)</f>
        <v>0</v>
      </c>
      <c r="G391" s="168">
        <v>1</v>
      </c>
    </row>
    <row r="392" spans="1:7" x14ac:dyDescent="0.25">
      <c r="A392" t="s">
        <v>237</v>
      </c>
      <c r="B392" t="s">
        <v>23</v>
      </c>
      <c r="C392" t="s">
        <v>50</v>
      </c>
      <c r="D392">
        <f>År1</f>
        <v>2019</v>
      </c>
      <c r="E392">
        <f>IF(B392="Vestdanmark",SUMIFS(IF(D392=År1,'Resultater - Vestdanmark'!$H$3:$H$494,IF(D392=År2,'Resultater - Vestdanmark'!$I$3:$I$494,'Resultater - Vestdanmark'!$J$3:$J$494)),'Resultater - Vestdanmark'!$F$3:$F$494,C392),SUMIFS(IF(D392=År1,'Resultater - Østdanmark'!$H$3:$H$494,IF(D392=År2,'Resultater - Østdanmark'!$I$3:$I$494,'Resultater - Østdanmark'!$J$3:$J$494)),'Resultater - Østdanmark'!$F$3:$F$494,C392))</f>
        <v>485762.00237315823</v>
      </c>
      <c r="G392" s="168">
        <v>1</v>
      </c>
    </row>
    <row r="393" spans="1:7" x14ac:dyDescent="0.25">
      <c r="A393" t="s">
        <v>237</v>
      </c>
      <c r="B393" t="s">
        <v>23</v>
      </c>
      <c r="C393" t="s">
        <v>50</v>
      </c>
      <c r="D393">
        <f>År2</f>
        <v>2030</v>
      </c>
      <c r="E393">
        <f>IF(B393="Vestdanmark",SUMIFS(IF(D393=År1,'Resultater - Vestdanmark'!$H$3:$H$494,IF(D393=År2,'Resultater - Vestdanmark'!$I$3:$I$494,'Resultater - Vestdanmark'!$J$3:$J$494)),'Resultater - Vestdanmark'!$F$3:$F$494,C393),SUMIFS(IF(D393=År1,'Resultater - Østdanmark'!$H$3:$H$494,IF(D393=År2,'Resultater - Østdanmark'!$I$3:$I$494,'Resultater - Østdanmark'!$J$3:$J$494)),'Resultater - Østdanmark'!$F$3:$F$494,C393))</f>
        <v>509029.05966338929</v>
      </c>
      <c r="G393" s="168">
        <v>1</v>
      </c>
    </row>
    <row r="394" spans="1:7" x14ac:dyDescent="0.25">
      <c r="A394" t="s">
        <v>237</v>
      </c>
      <c r="B394" t="s">
        <v>23</v>
      </c>
      <c r="C394" t="s">
        <v>50</v>
      </c>
      <c r="D394">
        <f>År3</f>
        <v>2050</v>
      </c>
      <c r="E394">
        <f>IF(B394="Vestdanmark",SUMIFS(IF(D394=År1,'Resultater - Vestdanmark'!$H$3:$H$494,IF(D394=År2,'Resultater - Vestdanmark'!$I$3:$I$494,'Resultater - Vestdanmark'!$J$3:$J$494)),'Resultater - Vestdanmark'!$F$3:$F$494,C394),SUMIFS(IF(D394=År1,'Resultater - Østdanmark'!$H$3:$H$494,IF(D394=År2,'Resultater - Østdanmark'!$I$3:$I$494,'Resultater - Østdanmark'!$J$3:$J$494)),'Resultater - Østdanmark'!$F$3:$F$494,C394))</f>
        <v>526296.50250669091</v>
      </c>
      <c r="G394" s="168">
        <v>1</v>
      </c>
    </row>
    <row r="395" spans="1:7" x14ac:dyDescent="0.25">
      <c r="A395" t="s">
        <v>237</v>
      </c>
      <c r="B395" t="s">
        <v>24</v>
      </c>
      <c r="C395" t="s">
        <v>50</v>
      </c>
      <c r="D395">
        <f>År1</f>
        <v>2019</v>
      </c>
      <c r="E395">
        <f>IF(B395="Vestdanmark",SUMIFS(IF(D395=År1,'Resultater - Vestdanmark'!$H$3:$H$494,IF(D395=År2,'Resultater - Vestdanmark'!$I$3:$I$494,'Resultater - Vestdanmark'!$J$3:$J$494)),'Resultater - Vestdanmark'!$F$3:$F$494,C395),SUMIFS(IF(D395=År1,'Resultater - Østdanmark'!$H$3:$H$494,IF(D395=År2,'Resultater - Østdanmark'!$I$3:$I$494,'Resultater - Østdanmark'!$J$3:$J$494)),'Resultater - Østdanmark'!$F$3:$F$494,C395))</f>
        <v>192563.22613808865</v>
      </c>
      <c r="G395" s="168">
        <v>1</v>
      </c>
    </row>
    <row r="396" spans="1:7" x14ac:dyDescent="0.25">
      <c r="A396" t="s">
        <v>237</v>
      </c>
      <c r="B396" t="s">
        <v>24</v>
      </c>
      <c r="C396" t="s">
        <v>50</v>
      </c>
      <c r="D396">
        <f>År2</f>
        <v>2030</v>
      </c>
      <c r="E396">
        <f>IF(B396="Vestdanmark",SUMIFS(IF(D396=År1,'Resultater - Vestdanmark'!$H$3:$H$494,IF(D396=År2,'Resultater - Vestdanmark'!$I$3:$I$494,'Resultater - Vestdanmark'!$J$3:$J$494)),'Resultater - Vestdanmark'!$F$3:$F$494,C396),SUMIFS(IF(D396=År1,'Resultater - Østdanmark'!$H$3:$H$494,IF(D396=År2,'Resultater - Østdanmark'!$I$3:$I$494,'Resultater - Østdanmark'!$J$3:$J$494)),'Resultater - Østdanmark'!$F$3:$F$494,C396))</f>
        <v>202988.92221517742</v>
      </c>
      <c r="G396" s="168">
        <v>1</v>
      </c>
    </row>
    <row r="397" spans="1:7" x14ac:dyDescent="0.25">
      <c r="A397" t="s">
        <v>237</v>
      </c>
      <c r="B397" t="s">
        <v>24</v>
      </c>
      <c r="C397" t="s">
        <v>50</v>
      </c>
      <c r="D397">
        <f>År3</f>
        <v>2050</v>
      </c>
      <c r="E397">
        <f>IF(B397="Vestdanmark",SUMIFS(IF(D397=År1,'Resultater - Vestdanmark'!$H$3:$H$494,IF(D397=År2,'Resultater - Vestdanmark'!$I$3:$I$494,'Resultater - Vestdanmark'!$J$3:$J$494)),'Resultater - Vestdanmark'!$F$3:$F$494,C397),SUMIFS(IF(D397=År1,'Resultater - Østdanmark'!$H$3:$H$494,IF(D397=År2,'Resultater - Østdanmark'!$I$3:$I$494,'Resultater - Østdanmark'!$J$3:$J$494)),'Resultater - Østdanmark'!$F$3:$F$494,C397))</f>
        <v>211655.83028103792</v>
      </c>
      <c r="G397" s="168">
        <v>1</v>
      </c>
    </row>
    <row r="398" spans="1:7" x14ac:dyDescent="0.25">
      <c r="A398" t="s">
        <v>313</v>
      </c>
      <c r="B398" s="168" t="s">
        <v>23</v>
      </c>
      <c r="C398" t="s">
        <v>67</v>
      </c>
      <c r="D398" s="168">
        <f>År1</f>
        <v>2019</v>
      </c>
      <c r="E398">
        <f>HLOOKUP(D398,'Forbrug til andet'!$B$3:$D$4,2,FALSE)*IF(B398="Vestdanmark",SUMIFS(IF(D398=År1,'Resultater - Vestdanmark'!$H$3:$H$502,IF(D398=År2,'Resultater - Vestdanmark'!$I$3:$I$502,'Resultater - Vestdanmark'!$J$3:$J$502)),'Resultater - Vestdanmark'!$F$3:$F$502,'Forbrug af biomasse'!C398),SUMIFS(IF(D398=År1,'Resultater - Østdanmark'!$H$3:$H$502,IF(D398=År2,'Resultater - Østdanmark'!$I$3:$I$502,'Resultater - Østdanmark'!$J$3:$J$502)),'Resultater - Østdanmark'!$F$3:$F$502,'Forbrug af biomasse'!C398))/SUMIFS(IF(D398=År1,'Resultater - Danmark'!$H$3:$H$502,IF(D398=År2,'Resultater - Danmark'!$I$3:$I$502,'Resultater - Danmark'!$J$3:$J$502)),'Resultater - Danmark'!$F$3:$F$502,'Forbrug af biomasse'!C398)</f>
        <v>0</v>
      </c>
      <c r="G398" s="168">
        <v>1</v>
      </c>
    </row>
    <row r="399" spans="1:7" x14ac:dyDescent="0.25">
      <c r="A399" s="168" t="s">
        <v>313</v>
      </c>
      <c r="B399" s="168" t="s">
        <v>23</v>
      </c>
      <c r="C399" s="168" t="s">
        <v>67</v>
      </c>
      <c r="D399" s="168">
        <f>År2</f>
        <v>2030</v>
      </c>
      <c r="E399" s="168">
        <f>HLOOKUP(D399,'Forbrug til andet'!$B$3:$D$4,2,FALSE)*IF(B399="Vestdanmark",SUMIFS(IF(D399=År1,'Resultater - Vestdanmark'!$H$3:$H$502,IF(D399=År2,'Resultater - Vestdanmark'!$I$3:$I$502,'Resultater - Vestdanmark'!$J$3:$J$502)),'Resultater - Vestdanmark'!$F$3:$F$502,'Forbrug af biomasse'!C399),SUMIFS(IF(D399=År1,'Resultater - Østdanmark'!$H$3:$H$502,IF(D399=År2,'Resultater - Østdanmark'!$I$3:$I$502,'Resultater - Østdanmark'!$J$3:$J$502)),'Resultater - Østdanmark'!$F$3:$F$502,'Forbrug af biomasse'!C399))/SUMIFS(IF(D399=År1,'Resultater - Danmark'!$H$3:$H$502,IF(D399=År2,'Resultater - Danmark'!$I$3:$I$502,'Resultater - Danmark'!$J$3:$J$502)),'Resultater - Danmark'!$F$3:$F$502,'Forbrug af biomasse'!C399)</f>
        <v>0</v>
      </c>
      <c r="G399" s="168">
        <v>1</v>
      </c>
    </row>
    <row r="400" spans="1:7" x14ac:dyDescent="0.25">
      <c r="A400" s="168" t="s">
        <v>313</v>
      </c>
      <c r="B400" s="168" t="s">
        <v>23</v>
      </c>
      <c r="C400" s="168" t="s">
        <v>67</v>
      </c>
      <c r="D400" s="168">
        <f>År3</f>
        <v>2050</v>
      </c>
      <c r="E400" s="168">
        <f>HLOOKUP(D400,'Forbrug til andet'!$B$3:$D$4,2,FALSE)*IF(B400="Vestdanmark",SUMIFS(IF(D400=År1,'Resultater - Vestdanmark'!$H$3:$H$502,IF(D400=År2,'Resultater - Vestdanmark'!$I$3:$I$502,'Resultater - Vestdanmark'!$J$3:$J$502)),'Resultater - Vestdanmark'!$F$3:$F$502,'Forbrug af biomasse'!C400),SUMIFS(IF(D400=År1,'Resultater - Østdanmark'!$H$3:$H$502,IF(D400=År2,'Resultater - Østdanmark'!$I$3:$I$502,'Resultater - Østdanmark'!$J$3:$J$502)),'Resultater - Østdanmark'!$F$3:$F$502,'Forbrug af biomasse'!C400))/SUMIFS(IF(D400=År1,'Resultater - Danmark'!$H$3:$H$502,IF(D400=År2,'Resultater - Danmark'!$I$3:$I$502,'Resultater - Danmark'!$J$3:$J$502)),'Resultater - Danmark'!$F$3:$F$502,'Forbrug af biomasse'!C400)</f>
        <v>0</v>
      </c>
      <c r="G400" s="168">
        <v>1</v>
      </c>
    </row>
    <row r="401" spans="1:7" x14ac:dyDescent="0.25">
      <c r="A401" s="168" t="s">
        <v>313</v>
      </c>
      <c r="B401" s="168" t="s">
        <v>24</v>
      </c>
      <c r="C401" s="168" t="s">
        <v>67</v>
      </c>
      <c r="D401" s="168">
        <f>År1</f>
        <v>2019</v>
      </c>
      <c r="E401" s="168">
        <f>HLOOKUP(D401,'Forbrug til andet'!$B$3:$D$4,2,FALSE)*IF(B401="Vestdanmark",SUMIFS(IF(D401=År1,'Resultater - Vestdanmark'!$H$3:$H$502,IF(D401=År2,'Resultater - Vestdanmark'!$I$3:$I$502,'Resultater - Vestdanmark'!$J$3:$J$502)),'Resultater - Vestdanmark'!$F$3:$F$502,'Forbrug af biomasse'!C401),SUMIFS(IF(D401=År1,'Resultater - Østdanmark'!$H$3:$H$502,IF(D401=År2,'Resultater - Østdanmark'!$I$3:$I$502,'Resultater - Østdanmark'!$J$3:$J$502)),'Resultater - Østdanmark'!$F$3:$F$502,'Forbrug af biomasse'!C401))/SUMIFS(IF(D401=År1,'Resultater - Danmark'!$H$3:$H$502,IF(D401=År2,'Resultater - Danmark'!$I$3:$I$502,'Resultater - Danmark'!$J$3:$J$502)),'Resultater - Danmark'!$F$3:$F$502,'Forbrug af biomasse'!C401)</f>
        <v>0</v>
      </c>
      <c r="G401" s="168">
        <v>1</v>
      </c>
    </row>
    <row r="402" spans="1:7" x14ac:dyDescent="0.25">
      <c r="A402" s="168" t="s">
        <v>313</v>
      </c>
      <c r="B402" s="168" t="s">
        <v>24</v>
      </c>
      <c r="C402" s="168" t="s">
        <v>67</v>
      </c>
      <c r="D402" s="168">
        <f>År2</f>
        <v>2030</v>
      </c>
      <c r="E402" s="168">
        <f>HLOOKUP(D402,'Forbrug til andet'!$B$3:$D$4,2,FALSE)*IF(B402="Vestdanmark",SUMIFS(IF(D402=År1,'Resultater - Vestdanmark'!$H$3:$H$502,IF(D402=År2,'Resultater - Vestdanmark'!$I$3:$I$502,'Resultater - Vestdanmark'!$J$3:$J$502)),'Resultater - Vestdanmark'!$F$3:$F$502,'Forbrug af biomasse'!C402),SUMIFS(IF(D402=År1,'Resultater - Østdanmark'!$H$3:$H$502,IF(D402=År2,'Resultater - Østdanmark'!$I$3:$I$502,'Resultater - Østdanmark'!$J$3:$J$502)),'Resultater - Østdanmark'!$F$3:$F$502,'Forbrug af biomasse'!C402))/SUMIFS(IF(D402=År1,'Resultater - Danmark'!$H$3:$H$502,IF(D402=År2,'Resultater - Danmark'!$I$3:$I$502,'Resultater - Danmark'!$J$3:$J$502)),'Resultater - Danmark'!$F$3:$F$502,'Forbrug af biomasse'!C402)</f>
        <v>0</v>
      </c>
      <c r="G402" s="168">
        <v>1</v>
      </c>
    </row>
    <row r="403" spans="1:7" x14ac:dyDescent="0.25">
      <c r="A403" s="168" t="s">
        <v>313</v>
      </c>
      <c r="B403" s="168" t="s">
        <v>24</v>
      </c>
      <c r="C403" s="168" t="s">
        <v>67</v>
      </c>
      <c r="D403" s="168">
        <f>År3</f>
        <v>2050</v>
      </c>
      <c r="E403" s="168">
        <f>HLOOKUP(D403,'Forbrug til andet'!$B$3:$D$4,2,FALSE)*IF(B403="Vestdanmark",SUMIFS(IF(D403=År1,'Resultater - Vestdanmark'!$H$3:$H$502,IF(D403=År2,'Resultater - Vestdanmark'!$I$3:$I$502,'Resultater - Vestdanmark'!$J$3:$J$502)),'Resultater - Vestdanmark'!$F$3:$F$502,'Forbrug af biomasse'!C403),SUMIFS(IF(D403=År1,'Resultater - Østdanmark'!$H$3:$H$502,IF(D403=År2,'Resultater - Østdanmark'!$I$3:$I$502,'Resultater - Østdanmark'!$J$3:$J$502)),'Resultater - Østdanmark'!$F$3:$F$502,'Forbrug af biomasse'!C403))/SUMIFS(IF(D403=År1,'Resultater - Danmark'!$H$3:$H$502,IF(D403=År2,'Resultater - Danmark'!$I$3:$I$502,'Resultater - Danmark'!$J$3:$J$502)),'Resultater - Danmark'!$F$3:$F$502,'Forbrug af biomasse'!C403)</f>
        <v>0</v>
      </c>
      <c r="G403" s="168">
        <v>1</v>
      </c>
    </row>
    <row r="404" spans="1:7" x14ac:dyDescent="0.25">
      <c r="A404" s="168" t="s">
        <v>120</v>
      </c>
      <c r="B404" s="168" t="s">
        <v>23</v>
      </c>
      <c r="C404" s="168" t="s">
        <v>309</v>
      </c>
      <c r="D404" s="168">
        <f t="shared" ref="D404:D411" si="31">År1</f>
        <v>2019</v>
      </c>
      <c r="E404" s="168">
        <f>IF(B404="Vestdanmark",SUMIFS(IF(D404=År1,'Resultater - Vestdanmark'!$H$3:$H$502,IF(D404=År2,'Resultater - Vestdanmark'!$I$3:$I$502,'Resultater - Vestdanmark'!$J$3:$J$502)),'Resultater - Vestdanmark'!$F$3:$F$502,'Forbrug af biomasse'!C404),SUMIFS(IF(D404=År1,'Resultater - Østdanmark'!$H$3:$H$502,IF(D404=År2,'Resultater - Østdanmark'!$I$3:$I$502,'Resultater - Østdanmark'!$J$3:$J$502)),'Resultater - Østdanmark'!$F$3:$F$502,'Forbrug af biomasse'!C404))</f>
        <v>0</v>
      </c>
      <c r="F404" s="168">
        <v>1</v>
      </c>
    </row>
    <row r="405" spans="1:7" x14ac:dyDescent="0.25">
      <c r="A405" s="168" t="s">
        <v>120</v>
      </c>
      <c r="B405" s="168" t="s">
        <v>23</v>
      </c>
      <c r="C405" s="168" t="s">
        <v>310</v>
      </c>
      <c r="D405" s="168">
        <f t="shared" si="31"/>
        <v>2019</v>
      </c>
      <c r="E405" s="168">
        <f>IF(B405="Vestdanmark",SUMIFS(IF(D405=År1,'Resultater - Vestdanmark'!$H$3:$H$502,IF(D405=År2,'Resultater - Vestdanmark'!$I$3:$I$502,'Resultater - Vestdanmark'!$J$3:$J$502)),'Resultater - Vestdanmark'!$F$3:$F$502,'Forbrug af biomasse'!C405),SUMIFS(IF(D405=År1,'Resultater - Østdanmark'!$H$3:$H$502,IF(D405=År2,'Resultater - Østdanmark'!$I$3:$I$502,'Resultater - Østdanmark'!$J$3:$J$502)),'Resultater - Østdanmark'!$F$3:$F$502,'Forbrug af biomasse'!C405))</f>
        <v>0</v>
      </c>
      <c r="F405" s="168">
        <v>1</v>
      </c>
    </row>
    <row r="406" spans="1:7" x14ac:dyDescent="0.25">
      <c r="A406" s="168" t="s">
        <v>120</v>
      </c>
      <c r="B406" s="168" t="s">
        <v>23</v>
      </c>
      <c r="C406" s="168" t="s">
        <v>309</v>
      </c>
      <c r="D406" s="168">
        <f>År2</f>
        <v>2030</v>
      </c>
      <c r="E406" s="168">
        <f>IF(B406="Vestdanmark",SUMIFS(IF(D406=År1,'Resultater - Vestdanmark'!$H$3:$H$502,IF(D406=År2,'Resultater - Vestdanmark'!$I$3:$I$502,'Resultater - Vestdanmark'!$J$3:$J$502)),'Resultater - Vestdanmark'!$F$3:$F$502,'Forbrug af biomasse'!C406),SUMIFS(IF(D406=År1,'Resultater - Østdanmark'!$H$3:$H$502,IF(D406=År2,'Resultater - Østdanmark'!$I$3:$I$502,'Resultater - Østdanmark'!$J$3:$J$502)),'Resultater - Østdanmark'!$F$3:$F$502,'Forbrug af biomasse'!C406))</f>
        <v>0</v>
      </c>
      <c r="F406" s="168">
        <v>1</v>
      </c>
    </row>
    <row r="407" spans="1:7" x14ac:dyDescent="0.25">
      <c r="A407" s="168" t="s">
        <v>120</v>
      </c>
      <c r="B407" s="168" t="s">
        <v>23</v>
      </c>
      <c r="C407" s="168" t="s">
        <v>310</v>
      </c>
      <c r="D407" s="168">
        <f>År2</f>
        <v>2030</v>
      </c>
      <c r="E407" s="168">
        <f>IF(B407="Vestdanmark",SUMIFS(IF(D407=År1,'Resultater - Vestdanmark'!$H$3:$H$502,IF(D407=År2,'Resultater - Vestdanmark'!$I$3:$I$502,'Resultater - Vestdanmark'!$J$3:$J$502)),'Resultater - Vestdanmark'!$F$3:$F$502,'Forbrug af biomasse'!C407),SUMIFS(IF(D407=År1,'Resultater - Østdanmark'!$H$3:$H$502,IF(D407=År2,'Resultater - Østdanmark'!$I$3:$I$502,'Resultater - Østdanmark'!$J$3:$J$502)),'Resultater - Østdanmark'!$F$3:$F$502,'Forbrug af biomasse'!C407))</f>
        <v>0</v>
      </c>
      <c r="F407" s="168">
        <v>1</v>
      </c>
    </row>
    <row r="408" spans="1:7" x14ac:dyDescent="0.25">
      <c r="A408" s="168" t="s">
        <v>120</v>
      </c>
      <c r="B408" s="168" t="s">
        <v>23</v>
      </c>
      <c r="C408" s="168" t="s">
        <v>309</v>
      </c>
      <c r="D408" s="168">
        <f>År3</f>
        <v>2050</v>
      </c>
      <c r="E408" s="168">
        <f>IF(B408="Vestdanmark",SUMIFS(IF(D408=År1,'Resultater - Vestdanmark'!$H$3:$H$502,IF(D408=År2,'Resultater - Vestdanmark'!$I$3:$I$502,'Resultater - Vestdanmark'!$J$3:$J$502)),'Resultater - Vestdanmark'!$F$3:$F$502,'Forbrug af biomasse'!C408),SUMIFS(IF(D408=År1,'Resultater - Østdanmark'!$H$3:$H$502,IF(D408=År2,'Resultater - Østdanmark'!$I$3:$I$502,'Resultater - Østdanmark'!$J$3:$J$502)),'Resultater - Østdanmark'!$F$3:$F$502,'Forbrug af biomasse'!C408))</f>
        <v>0</v>
      </c>
      <c r="F408" s="168">
        <v>1</v>
      </c>
    </row>
    <row r="409" spans="1:7" x14ac:dyDescent="0.25">
      <c r="A409" s="168" t="s">
        <v>120</v>
      </c>
      <c r="B409" s="168" t="s">
        <v>23</v>
      </c>
      <c r="C409" s="168" t="s">
        <v>310</v>
      </c>
      <c r="D409" s="168">
        <f>År3</f>
        <v>2050</v>
      </c>
      <c r="E409" s="168">
        <f>IF(B409="Vestdanmark",SUMIFS(IF(D409=År1,'Resultater - Vestdanmark'!$H$3:$H$502,IF(D409=År2,'Resultater - Vestdanmark'!$I$3:$I$502,'Resultater - Vestdanmark'!$J$3:$J$502)),'Resultater - Vestdanmark'!$F$3:$F$502,'Forbrug af biomasse'!C409),SUMIFS(IF(D409=År1,'Resultater - Østdanmark'!$H$3:$H$502,IF(D409=År2,'Resultater - Østdanmark'!$I$3:$I$502,'Resultater - Østdanmark'!$J$3:$J$502)),'Resultater - Østdanmark'!$F$3:$F$502,'Forbrug af biomasse'!C409))</f>
        <v>0</v>
      </c>
      <c r="F409" s="168">
        <v>1</v>
      </c>
    </row>
    <row r="410" spans="1:7" x14ac:dyDescent="0.25">
      <c r="A410" s="168" t="s">
        <v>120</v>
      </c>
      <c r="B410" s="168" t="s">
        <v>24</v>
      </c>
      <c r="C410" s="168" t="s">
        <v>309</v>
      </c>
      <c r="D410" s="168">
        <f t="shared" si="31"/>
        <v>2019</v>
      </c>
      <c r="E410" s="168">
        <f>IF(B410="Vestdanmark",SUMIFS(IF(D410=År1,'Resultater - Vestdanmark'!$H$3:$H$502,IF(D410=År2,'Resultater - Vestdanmark'!$I$3:$I$502,'Resultater - Vestdanmark'!$J$3:$J$502)),'Resultater - Vestdanmark'!$F$3:$F$502,'Forbrug af biomasse'!C410),SUMIFS(IF(D410=År1,'Resultater - Østdanmark'!$H$3:$H$502,IF(D410=År2,'Resultater - Østdanmark'!$I$3:$I$502,'Resultater - Østdanmark'!$J$3:$J$502)),'Resultater - Østdanmark'!$F$3:$F$502,'Forbrug af biomasse'!C410))</f>
        <v>0</v>
      </c>
      <c r="F410" s="168">
        <v>1</v>
      </c>
    </row>
    <row r="411" spans="1:7" x14ac:dyDescent="0.25">
      <c r="A411" s="168" t="s">
        <v>120</v>
      </c>
      <c r="B411" s="168" t="s">
        <v>24</v>
      </c>
      <c r="C411" s="168" t="s">
        <v>310</v>
      </c>
      <c r="D411" s="168">
        <f t="shared" si="31"/>
        <v>2019</v>
      </c>
      <c r="E411" s="168">
        <f>IF(B411="Vestdanmark",SUMIFS(IF(D411=År1,'Resultater - Vestdanmark'!$H$3:$H$502,IF(D411=År2,'Resultater - Vestdanmark'!$I$3:$I$502,'Resultater - Vestdanmark'!$J$3:$J$502)),'Resultater - Vestdanmark'!$F$3:$F$502,'Forbrug af biomasse'!C411),SUMIFS(IF(D411=År1,'Resultater - Østdanmark'!$H$3:$H$502,IF(D411=År2,'Resultater - Østdanmark'!$I$3:$I$502,'Resultater - Østdanmark'!$J$3:$J$502)),'Resultater - Østdanmark'!$F$3:$F$502,'Forbrug af biomasse'!C411))</f>
        <v>0</v>
      </c>
      <c r="F411" s="168">
        <v>1</v>
      </c>
    </row>
    <row r="412" spans="1:7" x14ac:dyDescent="0.25">
      <c r="A412" s="168" t="s">
        <v>120</v>
      </c>
      <c r="B412" s="168" t="s">
        <v>24</v>
      </c>
      <c r="C412" s="168" t="s">
        <v>309</v>
      </c>
      <c r="D412" s="168">
        <f>År2</f>
        <v>2030</v>
      </c>
      <c r="E412" s="168">
        <f>IF(B412="Vestdanmark",SUMIFS(IF(D412=År1,'Resultater - Vestdanmark'!$H$3:$H$502,IF(D412=År2,'Resultater - Vestdanmark'!$I$3:$I$502,'Resultater - Vestdanmark'!$J$3:$J$502)),'Resultater - Vestdanmark'!$F$3:$F$502,'Forbrug af biomasse'!C412),SUMIFS(IF(D412=År1,'Resultater - Østdanmark'!$H$3:$H$502,IF(D412=År2,'Resultater - Østdanmark'!$I$3:$I$502,'Resultater - Østdanmark'!$J$3:$J$502)),'Resultater - Østdanmark'!$F$3:$F$502,'Forbrug af biomasse'!C412))</f>
        <v>0</v>
      </c>
      <c r="F412" s="168">
        <v>1</v>
      </c>
    </row>
    <row r="413" spans="1:7" x14ac:dyDescent="0.25">
      <c r="A413" s="168" t="s">
        <v>120</v>
      </c>
      <c r="B413" s="168" t="s">
        <v>24</v>
      </c>
      <c r="C413" s="168" t="s">
        <v>310</v>
      </c>
      <c r="D413" s="168">
        <f>År2</f>
        <v>2030</v>
      </c>
      <c r="E413" s="168">
        <f>IF(B413="Vestdanmark",SUMIFS(IF(D413=År1,'Resultater - Vestdanmark'!$H$3:$H$502,IF(D413=År2,'Resultater - Vestdanmark'!$I$3:$I$502,'Resultater - Vestdanmark'!$J$3:$J$502)),'Resultater - Vestdanmark'!$F$3:$F$502,'Forbrug af biomasse'!C413),SUMIFS(IF(D413=År1,'Resultater - Østdanmark'!$H$3:$H$502,IF(D413=År2,'Resultater - Østdanmark'!$I$3:$I$502,'Resultater - Østdanmark'!$J$3:$J$502)),'Resultater - Østdanmark'!$F$3:$F$502,'Forbrug af biomasse'!C413))</f>
        <v>0</v>
      </c>
      <c r="F413" s="168">
        <v>1</v>
      </c>
    </row>
    <row r="414" spans="1:7" x14ac:dyDescent="0.25">
      <c r="A414" s="168" t="s">
        <v>120</v>
      </c>
      <c r="B414" s="168" t="s">
        <v>24</v>
      </c>
      <c r="C414" s="168" t="s">
        <v>309</v>
      </c>
      <c r="D414" s="168">
        <f>År3</f>
        <v>2050</v>
      </c>
      <c r="E414" s="168">
        <f>IF(B414="Vestdanmark",SUMIFS(IF(D414=År1,'Resultater - Vestdanmark'!$H$3:$H$502,IF(D414=År2,'Resultater - Vestdanmark'!$I$3:$I$502,'Resultater - Vestdanmark'!$J$3:$J$502)),'Resultater - Vestdanmark'!$F$3:$F$502,'Forbrug af biomasse'!C414),SUMIFS(IF(D414=År1,'Resultater - Østdanmark'!$H$3:$H$502,IF(D414=År2,'Resultater - Østdanmark'!$I$3:$I$502,'Resultater - Østdanmark'!$J$3:$J$502)),'Resultater - Østdanmark'!$F$3:$F$502,'Forbrug af biomasse'!C414))</f>
        <v>0</v>
      </c>
      <c r="F414" s="168">
        <v>1</v>
      </c>
    </row>
    <row r="415" spans="1:7" x14ac:dyDescent="0.25">
      <c r="A415" s="168" t="s">
        <v>120</v>
      </c>
      <c r="B415" s="168" t="s">
        <v>24</v>
      </c>
      <c r="C415" s="168" t="s">
        <v>310</v>
      </c>
      <c r="D415" s="168">
        <f>År3</f>
        <v>2050</v>
      </c>
      <c r="E415" s="168">
        <f>IF(B415="Vestdanmark",SUMIFS(IF(D415=År1,'Resultater - Vestdanmark'!$H$3:$H$502,IF(D415=År2,'Resultater - Vestdanmark'!$I$3:$I$502,'Resultater - Vestdanmark'!$J$3:$J$502)),'Resultater - Vestdanmark'!$F$3:$F$502,'Forbrug af biomasse'!C415),SUMIFS(IF(D415=År1,'Resultater - Østdanmark'!$H$3:$H$502,IF(D415=År2,'Resultater - Østdanmark'!$I$3:$I$502,'Resultater - Østdanmark'!$J$3:$J$502)),'Resultater - Østdanmark'!$F$3:$F$502,'Forbrug af biomasse'!C415))</f>
        <v>0</v>
      </c>
      <c r="F415" s="168">
        <v>1</v>
      </c>
    </row>
  </sheetData>
  <autoFilter ref="A1:G415" xr:uid="{9891F61F-9FCA-417C-BBAD-AB47A8A15D61}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E0689-811A-4E55-B5B9-7482D46C505E}">
  <sheetPr codeName="Sheet25">
    <tabColor rgb="FFFF0000"/>
  </sheetPr>
  <dimension ref="A1:H37"/>
  <sheetViews>
    <sheetView topLeftCell="A5" workbookViewId="0">
      <selection activeCell="A6" sqref="A6"/>
    </sheetView>
  </sheetViews>
  <sheetFormatPr defaultRowHeight="15" x14ac:dyDescent="0.25"/>
  <sheetData>
    <row r="1" spans="1:8" x14ac:dyDescent="0.25">
      <c r="D1" t="s">
        <v>76</v>
      </c>
      <c r="E1" t="s">
        <v>165</v>
      </c>
      <c r="F1" t="s">
        <v>191</v>
      </c>
      <c r="G1" t="s">
        <v>166</v>
      </c>
      <c r="H1" t="s">
        <v>228</v>
      </c>
    </row>
    <row r="2" spans="1:8" x14ac:dyDescent="0.25">
      <c r="A2" t="str">
        <f>'Forbrug til andet'!A9</f>
        <v>Halm</v>
      </c>
      <c r="B2" t="s">
        <v>23</v>
      </c>
      <c r="C2">
        <f t="shared" ref="C2:C13" si="0">År1</f>
        <v>2019</v>
      </c>
      <c r="D2">
        <f>SUMIFS('Forbrug af biomasse'!E:E,'Forbrug af biomasse'!F:F,"",'Forbrug af biomasse'!B:B,Restprodukter!$B2,'Forbrug af biomasse'!C:C,Restprodukter!$A2,'Forbrug af biomasse'!D:D,Restprodukter!$C2)</f>
        <v>826280.7981497423</v>
      </c>
      <c r="E2">
        <f>IF(B2="Vestdanmark",SUMIFS(IF($C2=År1,'Resultater - Vestdanmark'!$H$3:$H$502,IF($C2=År2,'Resultater - Vestdanmark'!$I$3:$I$502,'Resultater - Vestdanmark'!$J$3:$J$502)),'Resultater - Vestdanmark'!$F$3:$F$502,Restprodukter!$A2),SUMIFS(IF($C2=År1,'Resultater - Østdanmark'!$H$3:$H$502,IF($C2=År2,'Resultater - Østdanmark'!$I$3:$I$502,'Resultater - Østdanmark'!$J$3:$J$502)),'Resultater - Østdanmark'!$F$3:$F$502,Restprodukter!$A2))</f>
        <v>1989119.7292155896</v>
      </c>
      <c r="F2">
        <f>E2-D2</f>
        <v>1162838.9310658472</v>
      </c>
      <c r="G2">
        <f>IF(F2&gt;=0,IF(H2&gt;=0,F2,F2+H2),IF(F2+H2&gt;0,0,F2+H2))</f>
        <v>1162838.9310658472</v>
      </c>
      <c r="H2">
        <f t="shared" ref="H2:H37" si="1">SUMIFS($F$2:$F$37,$C$2:$C$37,C2,$A$2:$A$37,A2,$B$2:$B$37,"&lt;&gt;"&amp;B2)</f>
        <v>732655.58820898295</v>
      </c>
    </row>
    <row r="3" spans="1:8" x14ac:dyDescent="0.25">
      <c r="A3" t="str">
        <f>'Forbrug til andet'!A10</f>
        <v>Rapsolie</v>
      </c>
      <c r="B3" t="s">
        <v>23</v>
      </c>
      <c r="C3">
        <f t="shared" si="0"/>
        <v>2019</v>
      </c>
      <c r="D3" s="168">
        <f>SUMIFS('Forbrug af biomasse'!E:E,'Forbrug af biomasse'!F:F,"",'Forbrug af biomasse'!B:B,Restprodukter!$B3,'Forbrug af biomasse'!C:C,Restprodukter!$A3,'Forbrug af biomasse'!D:D,Restprodukter!$C3)</f>
        <v>0</v>
      </c>
      <c r="E3">
        <f>IF(B3="Vestdanmark",SUMIFS(IF($C3=År1,'Resultater - Vestdanmark'!$H$3:$H$502,IF($C3=År2,'Resultater - Vestdanmark'!$I$3:$I$502,'Resultater - Vestdanmark'!$J$3:$J$502)),'Resultater - Vestdanmark'!$F$3:$F$502,Restprodukter!$A3),SUMIFS(IF($C3=År1,'Resultater - Østdanmark'!$H$3:$H$502,IF($C3=År2,'Resultater - Østdanmark'!$I$3:$I$502,'Resultater - Østdanmark'!$J$3:$J$502)),'Resultater - Østdanmark'!$F$3:$F$502,Restprodukter!$A3))</f>
        <v>155443.84075941064</v>
      </c>
      <c r="F3">
        <f t="shared" ref="F3:F37" si="2">E3-D3</f>
        <v>155443.84075941064</v>
      </c>
      <c r="G3">
        <f t="shared" ref="G3:G37" si="3">IF(F3&gt;=0,IF(H3&gt;=0,F3,F3+H3),IF(F3+H3&gt;0,0,F3+H3))</f>
        <v>155443.84075941064</v>
      </c>
      <c r="H3">
        <f t="shared" si="1"/>
        <v>61620.23236418837</v>
      </c>
    </row>
    <row r="4" spans="1:8" x14ac:dyDescent="0.25">
      <c r="A4" t="str">
        <f>'Forbrug til andet'!A11</f>
        <v>Pil &amp; poppel</v>
      </c>
      <c r="B4" t="s">
        <v>23</v>
      </c>
      <c r="C4">
        <f t="shared" si="0"/>
        <v>2019</v>
      </c>
      <c r="D4" s="168">
        <f>SUMIFS('Forbrug af biomasse'!E:E,'Forbrug af biomasse'!F:F,"",'Forbrug af biomasse'!B:B,Restprodukter!$B4,'Forbrug af biomasse'!C:C,Restprodukter!$A4,'Forbrug af biomasse'!D:D,Restprodukter!$C4)</f>
        <v>0</v>
      </c>
      <c r="E4">
        <f>IF(B4="Vestdanmark",SUMIFS(IF($C4=År1,'Resultater - Vestdanmark'!$H$3:$H$502,IF($C4=År2,'Resultater - Vestdanmark'!$I$3:$I$502,'Resultater - Vestdanmark'!$J$3:$J$502)),'Resultater - Vestdanmark'!$F$3:$F$502,Restprodukter!$A4),SUMIFS(IF($C4=År1,'Resultater - Østdanmark'!$H$3:$H$502,IF($C4=År2,'Resultater - Østdanmark'!$I$3:$I$502,'Resultater - Østdanmark'!$J$3:$J$502)),'Resultater - Østdanmark'!$F$3:$F$502,Restprodukter!$A4))</f>
        <v>171006.78248665464</v>
      </c>
      <c r="F4">
        <f t="shared" si="2"/>
        <v>171006.78248665464</v>
      </c>
      <c r="G4">
        <f t="shared" si="3"/>
        <v>171006.78248665464</v>
      </c>
      <c r="H4">
        <f t="shared" si="1"/>
        <v>38860.356190289756</v>
      </c>
    </row>
    <row r="5" spans="1:8" x14ac:dyDescent="0.25">
      <c r="A5" t="s">
        <v>119</v>
      </c>
      <c r="B5" t="s">
        <v>23</v>
      </c>
      <c r="C5">
        <f t="shared" si="0"/>
        <v>2019</v>
      </c>
      <c r="D5" s="168">
        <f>SUMIFS('Forbrug af biomasse'!E:E,'Forbrug af biomasse'!F:F,"",'Forbrug af biomasse'!B:B,Restprodukter!$B5,'Forbrug af biomasse'!C:C,Restprodukter!$A5,'Forbrug af biomasse'!D:D,Restprodukter!$C5)</f>
        <v>0</v>
      </c>
      <c r="E5">
        <f>IF(B5="Vestdanmark",SUMIFS(IF($C5=År1,'Resultater - Vestdanmark'!$H$3:$H$502,IF($C5=År2,'Resultater - Vestdanmark'!$I$3:$I$502,'Resultater - Vestdanmark'!$J$3:$J$502)),'Resultater - Vestdanmark'!$F$3:$F$502,Restprodukter!$A5),SUMIFS(IF($C5=År1,'Resultater - Østdanmark'!$H$3:$H$502,IF($C5=År2,'Resultater - Østdanmark'!$I$3:$I$502,'Resultater - Østdanmark'!$J$3:$J$502)),'Resultater - Østdanmark'!$F$3:$F$502,Restprodukter!$A5))</f>
        <v>2328677.081002241</v>
      </c>
      <c r="F5">
        <f t="shared" si="2"/>
        <v>2328677.081002241</v>
      </c>
      <c r="G5">
        <f t="shared" ca="1" si="3"/>
        <v>2328677.081002241</v>
      </c>
      <c r="H5">
        <f t="shared" ca="1" si="1"/>
        <v>681614.98381741357</v>
      </c>
    </row>
    <row r="6" spans="1:8" x14ac:dyDescent="0.25">
      <c r="A6" t="str">
        <f>'Forbrug til andet'!A12</f>
        <v>Have/parkaffald</v>
      </c>
      <c r="B6" t="s">
        <v>23</v>
      </c>
      <c r="C6">
        <f t="shared" si="0"/>
        <v>2019</v>
      </c>
      <c r="D6" s="168">
        <f>SUMIFS('Forbrug af biomasse'!E:E,'Forbrug af biomasse'!F:F,"",'Forbrug af biomasse'!B:B,Restprodukter!$B6,'Forbrug af biomasse'!C:C,Restprodukter!$A6,'Forbrug af biomasse'!D:D,Restprodukter!$C6)</f>
        <v>42.099811904105366</v>
      </c>
      <c r="E6">
        <f>IF(B6="Vestdanmark",SUMIFS(IF($C6=År1,'Resultater - Vestdanmark'!$H$3:$H$502,IF($C6=År2,'Resultater - Vestdanmark'!$I$3:$I$502,'Resultater - Vestdanmark'!$J$3:$J$502)),'Resultater - Vestdanmark'!$F$3:$F$502,Restprodukter!$A6),SUMIFS(IF($C6=År1,'Resultater - Østdanmark'!$H$3:$H$502,IF($C6=År2,'Resultater - Østdanmark'!$I$3:$I$502,'Resultater - Østdanmark'!$J$3:$J$502)),'Resultater - Østdanmark'!$F$3:$F$502,Restprodukter!$A6))</f>
        <v>530462.48766233202</v>
      </c>
      <c r="F6">
        <f t="shared" si="2"/>
        <v>530420.38785042788</v>
      </c>
      <c r="G6">
        <f t="shared" si="3"/>
        <v>530420.38785042788</v>
      </c>
      <c r="H6">
        <f t="shared" si="1"/>
        <v>452310.61214957217</v>
      </c>
    </row>
    <row r="7" spans="1:8" x14ac:dyDescent="0.25">
      <c r="A7" t="str">
        <f>'Forbrug til andet'!A13</f>
        <v>Bioaffald</v>
      </c>
      <c r="B7" t="s">
        <v>23</v>
      </c>
      <c r="C7">
        <f t="shared" si="0"/>
        <v>2019</v>
      </c>
      <c r="D7" s="168">
        <f ca="1">SUMIFS('Forbrug af biomasse'!E:E,'Forbrug af biomasse'!F:F,"",'Forbrug af biomasse'!B:B,Restprodukter!$B7,'Forbrug af biomasse'!C:C,Restprodukter!$A7,'Forbrug af biomasse'!D:D,Restprodukter!$C7)</f>
        <v>393543.64426779439</v>
      </c>
      <c r="E7">
        <f ca="1">IF(B7="Vestdanmark",SUMIFS(IF($C7=År1,'Resultater - Vestdanmark'!$H$3:$H$502,IF($C7=År2,'Resultater - Vestdanmark'!$I$3:$I$502,'Resultater - Vestdanmark'!$J$3:$J$502)),'Resultater - Vestdanmark'!$F$3:$F$502,Restprodukter!$A7),SUMIFS(IF($C7=År1,'Resultater - Østdanmark'!$H$3:$H$502,IF($C7=År2,'Resultater - Østdanmark'!$I$3:$I$502,'Resultater - Østdanmark'!$J$3:$J$502)),'Resultater - Østdanmark'!$F$3:$F$502,Restprodukter!$A7))</f>
        <v>193591.30306616417</v>
      </c>
      <c r="F7">
        <f t="shared" ca="1" si="2"/>
        <v>-199952.34120163022</v>
      </c>
      <c r="G7">
        <f t="shared" ca="1" si="3"/>
        <v>-370459.67448149773</v>
      </c>
      <c r="H7">
        <f t="shared" ca="1" si="1"/>
        <v>-170507.33327986751</v>
      </c>
    </row>
    <row r="8" spans="1:8" x14ac:dyDescent="0.25">
      <c r="A8" t="str">
        <f t="shared" ref="A8:A37" si="4">A2</f>
        <v>Halm</v>
      </c>
      <c r="B8" t="s">
        <v>24</v>
      </c>
      <c r="C8">
        <f t="shared" si="0"/>
        <v>2019</v>
      </c>
      <c r="D8" s="168">
        <f>SUMIFS('Forbrug af biomasse'!E:E,'Forbrug af biomasse'!F:F,"",'Forbrug af biomasse'!B:B,Restprodukter!$B8,'Forbrug af biomasse'!C:C,Restprodukter!$A8,'Forbrug af biomasse'!D:D,Restprodukter!$C8)</f>
        <v>117628.54342759639</v>
      </c>
      <c r="E8">
        <f>IF(B8="Vestdanmark",SUMIFS(IF($C8=År1,'Resultater - Vestdanmark'!$H$3:$H$502,IF($C8=År2,'Resultater - Vestdanmark'!$I$3:$I$502,'Resultater - Vestdanmark'!$J$3:$J$502)),'Resultater - Vestdanmark'!$F$3:$F$502,Restprodukter!$A8),SUMIFS(IF($C8=År1,'Resultater - Østdanmark'!$H$3:$H$502,IF($C8=År2,'Resultater - Østdanmark'!$I$3:$I$502,'Resultater - Østdanmark'!$J$3:$J$502)),'Resultater - Østdanmark'!$F$3:$F$502,Restprodukter!$A8))</f>
        <v>850284.13163657929</v>
      </c>
      <c r="F8">
        <f t="shared" si="2"/>
        <v>732655.58820898295</v>
      </c>
      <c r="G8">
        <f t="shared" si="3"/>
        <v>732655.58820898295</v>
      </c>
      <c r="H8">
        <f t="shared" si="1"/>
        <v>1162838.9310658472</v>
      </c>
    </row>
    <row r="9" spans="1:8" x14ac:dyDescent="0.25">
      <c r="A9" t="str">
        <f t="shared" si="4"/>
        <v>Rapsolie</v>
      </c>
      <c r="B9" t="s">
        <v>24</v>
      </c>
      <c r="C9">
        <f t="shared" si="0"/>
        <v>2019</v>
      </c>
      <c r="D9" s="168">
        <f>SUMIFS('Forbrug af biomasse'!E:E,'Forbrug af biomasse'!F:F,"",'Forbrug af biomasse'!B:B,Restprodukter!$B9,'Forbrug af biomasse'!C:C,Restprodukter!$A9,'Forbrug af biomasse'!D:D,Restprodukter!$C9)</f>
        <v>0</v>
      </c>
      <c r="E9">
        <f>IF(B9="Vestdanmark",SUMIFS(IF($C9=År1,'Resultater - Vestdanmark'!$H$3:$H$502,IF($C9=År2,'Resultater - Vestdanmark'!$I$3:$I$502,'Resultater - Vestdanmark'!$J$3:$J$502)),'Resultater - Vestdanmark'!$F$3:$F$502,Restprodukter!$A9),SUMIFS(IF($C9=År1,'Resultater - Østdanmark'!$H$3:$H$502,IF($C9=År2,'Resultater - Østdanmark'!$I$3:$I$502,'Resultater - Østdanmark'!$J$3:$J$502)),'Resultater - Østdanmark'!$F$3:$F$502,Restprodukter!$A9))</f>
        <v>61620.23236418837</v>
      </c>
      <c r="F9">
        <f t="shared" si="2"/>
        <v>61620.23236418837</v>
      </c>
      <c r="G9">
        <f t="shared" si="3"/>
        <v>61620.23236418837</v>
      </c>
      <c r="H9">
        <f t="shared" si="1"/>
        <v>155443.84075941064</v>
      </c>
    </row>
    <row r="10" spans="1:8" x14ac:dyDescent="0.25">
      <c r="A10" t="str">
        <f t="shared" si="4"/>
        <v>Pil &amp; poppel</v>
      </c>
      <c r="B10" t="s">
        <v>24</v>
      </c>
      <c r="C10">
        <f t="shared" si="0"/>
        <v>2019</v>
      </c>
      <c r="D10" s="168">
        <f>SUMIFS('Forbrug af biomasse'!E:E,'Forbrug af biomasse'!F:F,"",'Forbrug af biomasse'!B:B,Restprodukter!$B10,'Forbrug af biomasse'!C:C,Restprodukter!$A10,'Forbrug af biomasse'!D:D,Restprodukter!$C10)</f>
        <v>0</v>
      </c>
      <c r="E10">
        <f>IF(B10="Vestdanmark",SUMIFS(IF($C10=År1,'Resultater - Vestdanmark'!$H$3:$H$502,IF($C10=År2,'Resultater - Vestdanmark'!$I$3:$I$502,'Resultater - Vestdanmark'!$J$3:$J$502)),'Resultater - Vestdanmark'!$F$3:$F$502,Restprodukter!$A10),SUMIFS(IF($C10=År1,'Resultater - Østdanmark'!$H$3:$H$502,IF($C10=År2,'Resultater - Østdanmark'!$I$3:$I$502,'Resultater - Østdanmark'!$J$3:$J$502)),'Resultater - Østdanmark'!$F$3:$F$502,Restprodukter!$A10))</f>
        <v>38860.356190289756</v>
      </c>
      <c r="F10">
        <f t="shared" si="2"/>
        <v>38860.356190289756</v>
      </c>
      <c r="G10">
        <f t="shared" si="3"/>
        <v>38860.356190289756</v>
      </c>
      <c r="H10">
        <f t="shared" si="1"/>
        <v>171006.78248665464</v>
      </c>
    </row>
    <row r="11" spans="1:8" x14ac:dyDescent="0.25">
      <c r="A11" t="str">
        <f t="shared" si="4"/>
        <v>Træ til energi</v>
      </c>
      <c r="B11" t="s">
        <v>24</v>
      </c>
      <c r="C11">
        <f t="shared" si="0"/>
        <v>2019</v>
      </c>
      <c r="D11" s="168">
        <f>SUMIFS('Forbrug af biomasse'!E:E,'Forbrug af biomasse'!F:F,"",'Forbrug af biomasse'!B:B,Restprodukter!$B11,'Forbrug af biomasse'!C:C,Restprodukter!$A11,'Forbrug af biomasse'!D:D,Restprodukter!$C11)</f>
        <v>0</v>
      </c>
      <c r="E11">
        <f ca="1">IF(B11="Vestdanmark",SUMIFS(IF($C11=År1,'Resultater - Vestdanmark'!$H$3:$H$502,IF($C11=År2,'Resultater - Vestdanmark'!$I$3:$I$502,'Resultater - Vestdanmark'!$J$3:$J$502)),'Resultater - Vestdanmark'!$F$3:$F$502,Restprodukter!$A11),SUMIFS(IF($C11=År1,'Resultater - Østdanmark'!$H$3:$H$502,IF($C11=År2,'Resultater - Østdanmark'!$I$3:$I$502,'Resultater - Østdanmark'!$J$3:$J$502)),'Resultater - Østdanmark'!$F$3:$F$502,Restprodukter!$A11))</f>
        <v>681614.98381741357</v>
      </c>
      <c r="F11">
        <f t="shared" ca="1" si="2"/>
        <v>681614.98381741357</v>
      </c>
      <c r="G11">
        <f t="shared" ca="1" si="3"/>
        <v>681614.98381741357</v>
      </c>
      <c r="H11">
        <f t="shared" si="1"/>
        <v>2328677.081002241</v>
      </c>
    </row>
    <row r="12" spans="1:8" x14ac:dyDescent="0.25">
      <c r="A12" t="str">
        <f t="shared" si="4"/>
        <v>Have/parkaffald</v>
      </c>
      <c r="B12" t="s">
        <v>24</v>
      </c>
      <c r="C12">
        <f t="shared" si="0"/>
        <v>2019</v>
      </c>
      <c r="D12" s="168">
        <f>SUMIFS('Forbrug af biomasse'!E:E,'Forbrug af biomasse'!F:F,"",'Forbrug af biomasse'!B:B,Restprodukter!$B12,'Forbrug af biomasse'!C:C,Restprodukter!$A12,'Forbrug af biomasse'!D:D,Restprodukter!$C12)</f>
        <v>35.900188095894634</v>
      </c>
      <c r="E12">
        <f>IF(B12="Vestdanmark",SUMIFS(IF($C12=År1,'Resultater - Vestdanmark'!$H$3:$H$502,IF($C12=År2,'Resultater - Vestdanmark'!$I$3:$I$502,'Resultater - Vestdanmark'!$J$3:$J$502)),'Resultater - Vestdanmark'!$F$3:$F$502,Restprodukter!$A12),SUMIFS(IF($C12=År1,'Resultater - Østdanmark'!$H$3:$H$502,IF($C12=År2,'Resultater - Østdanmark'!$I$3:$I$502,'Resultater - Østdanmark'!$J$3:$J$502)),'Resultater - Østdanmark'!$F$3:$F$502,Restprodukter!$A12))</f>
        <v>452346.51233766804</v>
      </c>
      <c r="F12">
        <f t="shared" si="2"/>
        <v>452310.61214957217</v>
      </c>
      <c r="G12">
        <f t="shared" si="3"/>
        <v>452310.61214957217</v>
      </c>
      <c r="H12">
        <f t="shared" si="1"/>
        <v>530420.38785042788</v>
      </c>
    </row>
    <row r="13" spans="1:8" x14ac:dyDescent="0.25">
      <c r="A13" t="str">
        <f t="shared" si="4"/>
        <v>Bioaffald</v>
      </c>
      <c r="B13" t="s">
        <v>24</v>
      </c>
      <c r="C13">
        <f t="shared" si="0"/>
        <v>2019</v>
      </c>
      <c r="D13" s="168">
        <f ca="1">SUMIFS('Forbrug af biomasse'!E:E,'Forbrug af biomasse'!F:F,"",'Forbrug af biomasse'!B:B,Restprodukter!$B13,'Forbrug af biomasse'!C:C,Restprodukter!$A13,'Forbrug af biomasse'!D:D,Restprodukter!$C13)</f>
        <v>335590.35573220561</v>
      </c>
      <c r="E13">
        <f ca="1">IF(B13="Vestdanmark",SUMIFS(IF($C13=År1,'Resultater - Vestdanmark'!$H$3:$H$502,IF($C13=År2,'Resultater - Vestdanmark'!$I$3:$I$502,'Resultater - Vestdanmark'!$J$3:$J$502)),'Resultater - Vestdanmark'!$F$3:$F$502,Restprodukter!$A13),SUMIFS(IF($C13=År1,'Resultater - Østdanmark'!$H$3:$H$502,IF($C13=År2,'Resultater - Østdanmark'!$I$3:$I$502,'Resultater - Østdanmark'!$J$3:$J$502)),'Resultater - Østdanmark'!$F$3:$F$502,Restprodukter!$A13))</f>
        <v>165083.0224523381</v>
      </c>
      <c r="F13">
        <f ca="1">E13-D13</f>
        <v>-170507.33327986751</v>
      </c>
      <c r="G13">
        <f t="shared" ca="1" si="3"/>
        <v>-370459.67448149773</v>
      </c>
      <c r="H13">
        <f t="shared" ca="1" si="1"/>
        <v>-199952.34120163022</v>
      </c>
    </row>
    <row r="14" spans="1:8" x14ac:dyDescent="0.25">
      <c r="A14" t="str">
        <f t="shared" si="4"/>
        <v>Halm</v>
      </c>
      <c r="B14" t="s">
        <v>23</v>
      </c>
      <c r="C14">
        <f t="shared" ref="C14:C25" si="5">År2</f>
        <v>2030</v>
      </c>
      <c r="D14" s="168">
        <f>SUMIFS('Forbrug af biomasse'!E:E,'Forbrug af biomasse'!F:F,"",'Forbrug af biomasse'!B:B,Restprodukter!$B14,'Forbrug af biomasse'!C:C,Restprodukter!$A14,'Forbrug af biomasse'!D:D,Restprodukter!$C14)</f>
        <v>979807.93544470728</v>
      </c>
      <c r="E14">
        <f>IF(B14="Vestdanmark",SUMIFS(IF($C14=År1,'Resultater - Vestdanmark'!$H$3:$H$502,IF($C14=År2,'Resultater - Vestdanmark'!$I$3:$I$502,'Resultater - Vestdanmark'!$J$3:$J$502)),'Resultater - Vestdanmark'!$F$3:$F$502,Restprodukter!$A14),SUMIFS(IF($C14=År1,'Resultater - Østdanmark'!$H$3:$H$502,IF($C14=År2,'Resultater - Østdanmark'!$I$3:$I$502,'Resultater - Østdanmark'!$J$3:$J$502)),'Resultater - Østdanmark'!$F$3:$F$502,Restprodukter!$A14))</f>
        <v>1771521.7114896008</v>
      </c>
      <c r="F14">
        <f>E14-D14</f>
        <v>791713.77604489354</v>
      </c>
      <c r="G14">
        <f t="shared" si="3"/>
        <v>791713.77604489354</v>
      </c>
      <c r="H14">
        <f t="shared" si="1"/>
        <v>672474.22042135813</v>
      </c>
    </row>
    <row r="15" spans="1:8" x14ac:dyDescent="0.25">
      <c r="A15" t="str">
        <f t="shared" si="4"/>
        <v>Rapsolie</v>
      </c>
      <c r="B15" t="s">
        <v>23</v>
      </c>
      <c r="C15">
        <f t="shared" si="5"/>
        <v>2030</v>
      </c>
      <c r="D15" s="168">
        <f>SUMIFS('Forbrug af biomasse'!E:E,'Forbrug af biomasse'!F:F,"",'Forbrug af biomasse'!B:B,Restprodukter!$B15,'Forbrug af biomasse'!C:C,Restprodukter!$A15,'Forbrug af biomasse'!D:D,Restprodukter!$C15)</f>
        <v>0</v>
      </c>
      <c r="E15">
        <f>IF(B15="Vestdanmark",SUMIFS(IF($C15=År1,'Resultater - Vestdanmark'!$H$3:$H$502,IF($C15=År2,'Resultater - Vestdanmark'!$I$3:$I$502,'Resultater - Vestdanmark'!$J$3:$J$502)),'Resultater - Vestdanmark'!$F$3:$F$502,Restprodukter!$A15),SUMIFS(IF($C15=År1,'Resultater - Østdanmark'!$H$3:$H$502,IF($C15=År2,'Resultater - Østdanmark'!$I$3:$I$502,'Resultater - Østdanmark'!$J$3:$J$502)),'Resultater - Østdanmark'!$F$3:$F$502,Restprodukter!$A15))</f>
        <v>162889.29909228458</v>
      </c>
      <c r="F15">
        <f t="shared" si="2"/>
        <v>162889.29909228458</v>
      </c>
      <c r="G15">
        <f t="shared" si="3"/>
        <v>162889.29909228458</v>
      </c>
      <c r="H15">
        <f t="shared" si="1"/>
        <v>64956.455108856775</v>
      </c>
    </row>
    <row r="16" spans="1:8" x14ac:dyDescent="0.25">
      <c r="A16" t="str">
        <f t="shared" si="4"/>
        <v>Pil &amp; poppel</v>
      </c>
      <c r="B16" t="s">
        <v>23</v>
      </c>
      <c r="C16">
        <f t="shared" si="5"/>
        <v>2030</v>
      </c>
      <c r="D16" s="168">
        <f>SUMIFS('Forbrug af biomasse'!E:E,'Forbrug af biomasse'!F:F,"",'Forbrug af biomasse'!B:B,Restprodukter!$B16,'Forbrug af biomasse'!C:C,Restprodukter!$A16,'Forbrug af biomasse'!D:D,Restprodukter!$C16)</f>
        <v>0</v>
      </c>
      <c r="E16">
        <f>IF(B16="Vestdanmark",SUMIFS(IF($C16=År1,'Resultater - Vestdanmark'!$H$3:$H$502,IF($C16=År2,'Resultater - Vestdanmark'!$I$3:$I$502,'Resultater - Vestdanmark'!$J$3:$J$502)),'Resultater - Vestdanmark'!$F$3:$F$502,Restprodukter!$A16),SUMIFS(IF($C16=År1,'Resultater - Østdanmark'!$H$3:$H$502,IF($C16=År2,'Resultater - Østdanmark'!$I$3:$I$502,'Resultater - Østdanmark'!$J$3:$J$502)),'Resultater - Østdanmark'!$F$3:$F$502,Restprodukter!$A16))</f>
        <v>176446.6832046808</v>
      </c>
      <c r="F16">
        <f t="shared" si="2"/>
        <v>176446.6832046808</v>
      </c>
      <c r="G16">
        <f t="shared" si="3"/>
        <v>176446.6832046808</v>
      </c>
      <c r="H16">
        <f t="shared" si="1"/>
        <v>40614.954242467749</v>
      </c>
    </row>
    <row r="17" spans="1:8" x14ac:dyDescent="0.25">
      <c r="A17" t="str">
        <f t="shared" si="4"/>
        <v>Træ til energi</v>
      </c>
      <c r="B17" t="s">
        <v>23</v>
      </c>
      <c r="C17">
        <f t="shared" si="5"/>
        <v>2030</v>
      </c>
      <c r="D17" s="168">
        <f>SUMIFS('Forbrug af biomasse'!E:E,'Forbrug af biomasse'!F:F,"",'Forbrug af biomasse'!B:B,Restprodukter!$B17,'Forbrug af biomasse'!C:C,Restprodukter!$A17,'Forbrug af biomasse'!D:D,Restprodukter!$C17)</f>
        <v>0</v>
      </c>
      <c r="E17">
        <f ca="1">IF(B17="Vestdanmark",SUMIFS(IF($C17=År1,'Resultater - Vestdanmark'!$H$3:$H$502,IF($C17=År2,'Resultater - Vestdanmark'!$I$3:$I$502,'Resultater - Vestdanmark'!$J$3:$J$502)),'Resultater - Vestdanmark'!$F$3:$F$502,Restprodukter!$A17),SUMIFS(IF($C17=År1,'Resultater - Østdanmark'!$H$3:$H$502,IF($C17=År2,'Resultater - Østdanmark'!$I$3:$I$502,'Resultater - Østdanmark'!$J$3:$J$502)),'Resultater - Østdanmark'!$F$3:$F$502,Restprodukter!$A17))</f>
        <v>2203754.2205130709</v>
      </c>
      <c r="F17">
        <f t="shared" ca="1" si="2"/>
        <v>2203754.2205130709</v>
      </c>
      <c r="G17">
        <f t="shared" ca="1" si="3"/>
        <v>2203754.2205130709</v>
      </c>
      <c r="H17">
        <f t="shared" ca="1" si="1"/>
        <v>645049.46160507516</v>
      </c>
    </row>
    <row r="18" spans="1:8" x14ac:dyDescent="0.25">
      <c r="A18" t="str">
        <f t="shared" si="4"/>
        <v>Have/parkaffald</v>
      </c>
      <c r="B18" t="s">
        <v>23</v>
      </c>
      <c r="C18">
        <f t="shared" si="5"/>
        <v>2030</v>
      </c>
      <c r="D18" s="168">
        <f>SUMIFS('Forbrug af biomasse'!E:E,'Forbrug af biomasse'!F:F,"",'Forbrug af biomasse'!B:B,Restprodukter!$B18,'Forbrug af biomasse'!C:C,Restprodukter!$A18,'Forbrug af biomasse'!D:D,Restprodukter!$C18)</f>
        <v>41.80391161429587</v>
      </c>
      <c r="E18">
        <f>IF(B18="Vestdanmark",SUMIFS(IF($C18=År1,'Resultater - Vestdanmark'!$H$3:$H$502,IF($C18=År2,'Resultater - Vestdanmark'!$I$3:$I$502,'Resultater - Vestdanmark'!$J$3:$J$502)),'Resultater - Vestdanmark'!$F$3:$F$502,Restprodukter!$A18),SUMIFS(IF($C18=År1,'Resultater - Østdanmark'!$H$3:$H$502,IF($C18=År2,'Resultater - Østdanmark'!$I$3:$I$502,'Resultater - Østdanmark'!$J$3:$J$502)),'Resultater - Østdanmark'!$F$3:$F$502,Restprodukter!$A18))</f>
        <v>526734.10986839118</v>
      </c>
      <c r="F18">
        <f t="shared" si="2"/>
        <v>526692.30595677684</v>
      </c>
      <c r="G18">
        <f t="shared" si="3"/>
        <v>526692.30595677684</v>
      </c>
      <c r="H18">
        <f t="shared" si="1"/>
        <v>456038.69404322316</v>
      </c>
    </row>
    <row r="19" spans="1:8" x14ac:dyDescent="0.25">
      <c r="A19" t="str">
        <f t="shared" si="4"/>
        <v>Bioaffald</v>
      </c>
      <c r="B19" t="s">
        <v>23</v>
      </c>
      <c r="C19">
        <f t="shared" si="5"/>
        <v>2030</v>
      </c>
      <c r="D19" s="168">
        <f ca="1">SUMIFS('Forbrug af biomasse'!E:E,'Forbrug af biomasse'!F:F,"",'Forbrug af biomasse'!B:B,Restprodukter!$B19,'Forbrug af biomasse'!C:C,Restprodukter!$A19,'Forbrug af biomasse'!D:D,Restprodukter!$C19)</f>
        <v>195082.24112879002</v>
      </c>
      <c r="E19">
        <f ca="1">IF(B19="Vestdanmark",SUMIFS(IF($C19=År1,'Resultater - Vestdanmark'!$H$3:$H$502,IF($C19=År2,'Resultater - Vestdanmark'!$I$3:$I$502,'Resultater - Vestdanmark'!$J$3:$J$502)),'Resultater - Vestdanmark'!$F$3:$F$502,Restprodukter!$A19),SUMIFS(IF($C19=År1,'Resultater - Østdanmark'!$H$3:$H$502,IF($C19=År2,'Resultater - Østdanmark'!$I$3:$I$502,'Resultater - Østdanmark'!$J$3:$J$502)),'Resultater - Østdanmark'!$F$3:$F$502,Restprodukter!$A19))</f>
        <v>195082.22598438186</v>
      </c>
      <c r="F19">
        <f t="shared" ca="1" si="2"/>
        <v>-1.5144408156629652E-2</v>
      </c>
      <c r="G19">
        <f t="shared" ca="1" si="3"/>
        <v>-2.825725611182861E-2</v>
      </c>
      <c r="H19">
        <f t="shared" ca="1" si="1"/>
        <v>-1.3112847955198959E-2</v>
      </c>
    </row>
    <row r="20" spans="1:8" x14ac:dyDescent="0.25">
      <c r="A20" t="str">
        <f t="shared" si="4"/>
        <v>Halm</v>
      </c>
      <c r="B20" t="s">
        <v>24</v>
      </c>
      <c r="C20">
        <f t="shared" si="5"/>
        <v>2030</v>
      </c>
      <c r="D20" s="168">
        <f>SUMIFS('Forbrug af biomasse'!E:E,'Forbrug af biomasse'!F:F,"",'Forbrug af biomasse'!B:B,Restprodukter!$B20,'Forbrug af biomasse'!C:C,Restprodukter!$A20,'Forbrug af biomasse'!D:D,Restprodukter!$C20)</f>
        <v>137696.47444809915</v>
      </c>
      <c r="E20">
        <f>IF(B20="Vestdanmark",SUMIFS(IF($C20=År1,'Resultater - Vestdanmark'!$H$3:$H$502,IF($C20=År2,'Resultater - Vestdanmark'!$I$3:$I$502,'Resultater - Vestdanmark'!$J$3:$J$502)),'Resultater - Vestdanmark'!$F$3:$F$502,Restprodukter!$A20),SUMIFS(IF($C20=År1,'Resultater - Østdanmark'!$H$3:$H$502,IF($C20=År2,'Resultater - Østdanmark'!$I$3:$I$502,'Resultater - Østdanmark'!$J$3:$J$502)),'Resultater - Østdanmark'!$F$3:$F$502,Restprodukter!$A20))</f>
        <v>810170.69486945728</v>
      </c>
      <c r="F20">
        <f t="shared" si="2"/>
        <v>672474.22042135813</v>
      </c>
      <c r="G20">
        <f t="shared" si="3"/>
        <v>672474.22042135813</v>
      </c>
      <c r="H20">
        <f t="shared" si="1"/>
        <v>791713.77604489354</v>
      </c>
    </row>
    <row r="21" spans="1:8" x14ac:dyDescent="0.25">
      <c r="A21" t="str">
        <f t="shared" si="4"/>
        <v>Rapsolie</v>
      </c>
      <c r="B21" t="s">
        <v>24</v>
      </c>
      <c r="C21">
        <f t="shared" si="5"/>
        <v>2030</v>
      </c>
      <c r="D21" s="168">
        <f>SUMIFS('Forbrug af biomasse'!E:E,'Forbrug af biomasse'!F:F,"",'Forbrug af biomasse'!B:B,Restprodukter!$B21,'Forbrug af biomasse'!C:C,Restprodukter!$A21,'Forbrug af biomasse'!D:D,Restprodukter!$C21)</f>
        <v>0</v>
      </c>
      <c r="E21">
        <f>IF(B21="Vestdanmark",SUMIFS(IF($C21=År1,'Resultater - Vestdanmark'!$H$3:$H$502,IF($C21=År2,'Resultater - Vestdanmark'!$I$3:$I$502,'Resultater - Vestdanmark'!$J$3:$J$502)),'Resultater - Vestdanmark'!$F$3:$F$502,Restprodukter!$A21),SUMIFS(IF($C21=År1,'Resultater - Østdanmark'!$H$3:$H$502,IF($C21=År2,'Resultater - Østdanmark'!$I$3:$I$502,'Resultater - Østdanmark'!$J$3:$J$502)),'Resultater - Østdanmark'!$F$3:$F$502,Restprodukter!$A21))</f>
        <v>64956.455108856775</v>
      </c>
      <c r="F21">
        <f t="shared" si="2"/>
        <v>64956.455108856775</v>
      </c>
      <c r="G21">
        <f t="shared" si="3"/>
        <v>64956.455108856775</v>
      </c>
      <c r="H21">
        <f t="shared" si="1"/>
        <v>162889.29909228458</v>
      </c>
    </row>
    <row r="22" spans="1:8" x14ac:dyDescent="0.25">
      <c r="A22" t="str">
        <f t="shared" si="4"/>
        <v>Pil &amp; poppel</v>
      </c>
      <c r="B22" t="s">
        <v>24</v>
      </c>
      <c r="C22">
        <f t="shared" si="5"/>
        <v>2030</v>
      </c>
      <c r="D22" s="168">
        <f>SUMIFS('Forbrug af biomasse'!E:E,'Forbrug af biomasse'!F:F,"",'Forbrug af biomasse'!B:B,Restprodukter!$B22,'Forbrug af biomasse'!C:C,Restprodukter!$A22,'Forbrug af biomasse'!D:D,Restprodukter!$C22)</f>
        <v>0</v>
      </c>
      <c r="E22">
        <f>IF(B22="Vestdanmark",SUMIFS(IF($C22=År1,'Resultater - Vestdanmark'!$H$3:$H$502,IF($C22=År2,'Resultater - Vestdanmark'!$I$3:$I$502,'Resultater - Vestdanmark'!$J$3:$J$502)),'Resultater - Vestdanmark'!$F$3:$F$502,Restprodukter!$A22),SUMIFS(IF($C22=År1,'Resultater - Østdanmark'!$H$3:$H$502,IF($C22=År2,'Resultater - Østdanmark'!$I$3:$I$502,'Resultater - Østdanmark'!$J$3:$J$502)),'Resultater - Østdanmark'!$F$3:$F$502,Restprodukter!$A22))</f>
        <v>40614.954242467749</v>
      </c>
      <c r="F22">
        <f t="shared" si="2"/>
        <v>40614.954242467749</v>
      </c>
      <c r="G22">
        <f t="shared" si="3"/>
        <v>40614.954242467749</v>
      </c>
      <c r="H22">
        <f t="shared" si="1"/>
        <v>176446.6832046808</v>
      </c>
    </row>
    <row r="23" spans="1:8" x14ac:dyDescent="0.25">
      <c r="A23" t="str">
        <f t="shared" si="4"/>
        <v>Træ til energi</v>
      </c>
      <c r="B23" t="s">
        <v>24</v>
      </c>
      <c r="C23">
        <f t="shared" si="5"/>
        <v>2030</v>
      </c>
      <c r="D23" s="168">
        <f>SUMIFS('Forbrug af biomasse'!E:E,'Forbrug af biomasse'!F:F,"",'Forbrug af biomasse'!B:B,Restprodukter!$B23,'Forbrug af biomasse'!C:C,Restprodukter!$A23,'Forbrug af biomasse'!D:D,Restprodukter!$C23)</f>
        <v>0</v>
      </c>
      <c r="E23">
        <f ca="1">IF(B23="Vestdanmark",SUMIFS(IF($C23=År1,'Resultater - Vestdanmark'!$H$3:$H$502,IF($C23=År2,'Resultater - Vestdanmark'!$I$3:$I$502,'Resultater - Vestdanmark'!$J$3:$J$502)),'Resultater - Vestdanmark'!$F$3:$F$502,Restprodukter!$A23),SUMIFS(IF($C23=År1,'Resultater - Østdanmark'!$H$3:$H$502,IF($C23=År2,'Resultater - Østdanmark'!$I$3:$I$502,'Resultater - Østdanmark'!$J$3:$J$502)),'Resultater - Østdanmark'!$F$3:$F$502,Restprodukter!$A23))</f>
        <v>645049.46160507516</v>
      </c>
      <c r="F23">
        <f t="shared" ca="1" si="2"/>
        <v>645049.46160507516</v>
      </c>
      <c r="G23">
        <f t="shared" ca="1" si="3"/>
        <v>645049.46160507516</v>
      </c>
      <c r="H23">
        <f t="shared" ca="1" si="1"/>
        <v>2203754.2205130709</v>
      </c>
    </row>
    <row r="24" spans="1:8" x14ac:dyDescent="0.25">
      <c r="A24" t="str">
        <f t="shared" si="4"/>
        <v>Have/parkaffald</v>
      </c>
      <c r="B24" t="s">
        <v>24</v>
      </c>
      <c r="C24">
        <f t="shared" si="5"/>
        <v>2030</v>
      </c>
      <c r="D24" s="168">
        <f>SUMIFS('Forbrug af biomasse'!E:E,'Forbrug af biomasse'!F:F,"",'Forbrug af biomasse'!B:B,Restprodukter!$B24,'Forbrug af biomasse'!C:C,Restprodukter!$A24,'Forbrug af biomasse'!D:D,Restprodukter!$C24)</f>
        <v>36.19608838570413</v>
      </c>
      <c r="E24">
        <f>IF(B24="Vestdanmark",SUMIFS(IF($C24=År1,'Resultater - Vestdanmark'!$H$3:$H$502,IF($C24=År2,'Resultater - Vestdanmark'!$I$3:$I$502,'Resultater - Vestdanmark'!$J$3:$J$502)),'Resultater - Vestdanmark'!$F$3:$F$502,Restprodukter!$A24),SUMIFS(IF($C24=År1,'Resultater - Østdanmark'!$H$3:$H$502,IF($C24=År2,'Resultater - Østdanmark'!$I$3:$I$502,'Resultater - Østdanmark'!$J$3:$J$502)),'Resultater - Østdanmark'!$F$3:$F$502,Restprodukter!$A24))</f>
        <v>456074.89013160887</v>
      </c>
      <c r="F24">
        <f t="shared" si="2"/>
        <v>456038.69404322316</v>
      </c>
      <c r="G24">
        <f t="shared" si="3"/>
        <v>456038.69404322316</v>
      </c>
      <c r="H24">
        <f t="shared" si="1"/>
        <v>526692.30595677684</v>
      </c>
    </row>
    <row r="25" spans="1:8" x14ac:dyDescent="0.25">
      <c r="A25" t="str">
        <f t="shared" si="4"/>
        <v>Bioaffald</v>
      </c>
      <c r="B25" t="s">
        <v>24</v>
      </c>
      <c r="C25">
        <f t="shared" si="5"/>
        <v>2030</v>
      </c>
      <c r="D25" s="168">
        <f ca="1">SUMIFS('Forbrug af biomasse'!E:E,'Forbrug af biomasse'!F:F,"",'Forbrug af biomasse'!B:B,Restprodukter!$B25,'Forbrug af biomasse'!C:C,Restprodukter!$A25,'Forbrug af biomasse'!D:D,Restprodukter!$C25)</f>
        <v>168912.75887120995</v>
      </c>
      <c r="E25">
        <f ca="1">IF(B25="Vestdanmark",SUMIFS(IF($C25=År1,'Resultater - Vestdanmark'!$H$3:$H$502,IF($C25=År2,'Resultater - Vestdanmark'!$I$3:$I$502,'Resultater - Vestdanmark'!$J$3:$J$502)),'Resultater - Vestdanmark'!$F$3:$F$502,Restprodukter!$A25),SUMIFS(IF($C25=År1,'Resultater - Østdanmark'!$H$3:$H$502,IF($C25=År2,'Resultater - Østdanmark'!$I$3:$I$502,'Resultater - Østdanmark'!$J$3:$J$502)),'Resultater - Østdanmark'!$F$3:$F$502,Restprodukter!$A25))</f>
        <v>168912.745758362</v>
      </c>
      <c r="F25">
        <f t="shared" ca="1" si="2"/>
        <v>-1.3112847955198959E-2</v>
      </c>
      <c r="G25">
        <f t="shared" ca="1" si="3"/>
        <v>-2.825725611182861E-2</v>
      </c>
      <c r="H25">
        <f t="shared" ca="1" si="1"/>
        <v>-1.5144408156629652E-2</v>
      </c>
    </row>
    <row r="26" spans="1:8" x14ac:dyDescent="0.25">
      <c r="A26" t="str">
        <f t="shared" si="4"/>
        <v>Halm</v>
      </c>
      <c r="B26" t="s">
        <v>23</v>
      </c>
      <c r="C26">
        <f t="shared" ref="C26:C37" si="6">År3</f>
        <v>2050</v>
      </c>
      <c r="D26" s="168">
        <f>SUMIFS('Forbrug af biomasse'!E:E,'Forbrug af biomasse'!F:F,"",'Forbrug af biomasse'!B:B,Restprodukter!$B26,'Forbrug af biomasse'!C:C,Restprodukter!$A26,'Forbrug af biomasse'!D:D,Restprodukter!$C26)</f>
        <v>979494.35882763111</v>
      </c>
      <c r="E26">
        <f>IF(B26="Vestdanmark",SUMIFS(IF($C26=År1,'Resultater - Vestdanmark'!$H$3:$H$502,IF($C26=År2,'Resultater - Vestdanmark'!$I$3:$I$502,'Resultater - Vestdanmark'!$J$3:$J$502)),'Resultater - Vestdanmark'!$F$3:$F$502,Restprodukter!$A26),SUMIFS(IF($C26=År1,'Resultater - Østdanmark'!$H$3:$H$502,IF($C26=År2,'Resultater - Østdanmark'!$I$3:$I$502,'Resultater - Østdanmark'!$J$3:$J$502)),'Resultater - Østdanmark'!$F$3:$F$502,Restprodukter!$A26))</f>
        <v>1691676.5984092781</v>
      </c>
      <c r="F26">
        <f t="shared" si="2"/>
        <v>712182.23958164698</v>
      </c>
      <c r="G26">
        <f t="shared" si="3"/>
        <v>712182.23958164698</v>
      </c>
      <c r="H26">
        <f t="shared" si="1"/>
        <v>650571.69735795178</v>
      </c>
    </row>
    <row r="27" spans="1:8" x14ac:dyDescent="0.25">
      <c r="A27" t="str">
        <f t="shared" si="4"/>
        <v>Rapsolie</v>
      </c>
      <c r="B27" t="s">
        <v>23</v>
      </c>
      <c r="C27">
        <f t="shared" si="6"/>
        <v>2050</v>
      </c>
      <c r="D27" s="168">
        <f>SUMIFS('Forbrug af biomasse'!E:E,'Forbrug af biomasse'!F:F,"",'Forbrug af biomasse'!B:B,Restprodukter!$B27,'Forbrug af biomasse'!C:C,Restprodukter!$A27,'Forbrug af biomasse'!D:D,Restprodukter!$C27)</f>
        <v>0</v>
      </c>
      <c r="E27">
        <f>IF(B27="Vestdanmark",SUMIFS(IF($C27=År1,'Resultater - Vestdanmark'!$H$3:$H$502,IF($C27=År2,'Resultater - Vestdanmark'!$I$3:$I$502,'Resultater - Vestdanmark'!$J$3:$J$502)),'Resultater - Vestdanmark'!$F$3:$F$502,Restprodukter!$A27),SUMIFS(IF($C27=År1,'Resultater - Østdanmark'!$H$3:$H$502,IF($C27=År2,'Resultater - Østdanmark'!$I$3:$I$502,'Resultater - Østdanmark'!$J$3:$J$502)),'Resultater - Østdanmark'!$F$3:$F$502,Restprodukter!$A27))</f>
        <v>168414.8808021411</v>
      </c>
      <c r="F27">
        <f t="shared" si="2"/>
        <v>168414.8808021411</v>
      </c>
      <c r="G27">
        <f t="shared" si="3"/>
        <v>168414.8808021411</v>
      </c>
      <c r="H27">
        <f t="shared" si="1"/>
        <v>67729.865689932136</v>
      </c>
    </row>
    <row r="28" spans="1:8" x14ac:dyDescent="0.25">
      <c r="A28" t="str">
        <f t="shared" si="4"/>
        <v>Pil &amp; poppel</v>
      </c>
      <c r="B28" t="s">
        <v>23</v>
      </c>
      <c r="C28">
        <f t="shared" si="6"/>
        <v>2050</v>
      </c>
      <c r="D28" s="168">
        <f>SUMIFS('Forbrug af biomasse'!E:E,'Forbrug af biomasse'!F:F,"",'Forbrug af biomasse'!B:B,Restprodukter!$B28,'Forbrug af biomasse'!C:C,Restprodukter!$A28,'Forbrug af biomasse'!D:D,Restprodukter!$C28)</f>
        <v>0</v>
      </c>
      <c r="E28">
        <f>IF(B28="Vestdanmark",SUMIFS(IF($C28=År1,'Resultater - Vestdanmark'!$H$3:$H$502,IF($C28=År2,'Resultater - Vestdanmark'!$I$3:$I$502,'Resultater - Vestdanmark'!$J$3:$J$502)),'Resultater - Vestdanmark'!$F$3:$F$502,Restprodukter!$A28),SUMIFS(IF($C28=År1,'Resultater - Østdanmark'!$H$3:$H$502,IF($C28=År2,'Resultater - Østdanmark'!$I$3:$I$502,'Resultater - Østdanmark'!$J$3:$J$502)),'Resultater - Østdanmark'!$F$3:$F$502,Restprodukter!$A28))</f>
        <v>183249.6836740704</v>
      </c>
      <c r="F28">
        <f t="shared" si="2"/>
        <v>183249.6836740704</v>
      </c>
      <c r="G28">
        <f t="shared" si="3"/>
        <v>183249.6836740704</v>
      </c>
      <c r="H28">
        <f t="shared" si="1"/>
        <v>42440.412782955995</v>
      </c>
    </row>
    <row r="29" spans="1:8" x14ac:dyDescent="0.25">
      <c r="A29" t="str">
        <f t="shared" si="4"/>
        <v>Træ til energi</v>
      </c>
      <c r="B29" t="s">
        <v>23</v>
      </c>
      <c r="C29">
        <f t="shared" si="6"/>
        <v>2050</v>
      </c>
      <c r="D29" s="168">
        <f>SUMIFS('Forbrug af biomasse'!E:E,'Forbrug af biomasse'!F:F,"",'Forbrug af biomasse'!B:B,Restprodukter!$B29,'Forbrug af biomasse'!C:C,Restprodukter!$A29,'Forbrug af biomasse'!D:D,Restprodukter!$C29)</f>
        <v>0</v>
      </c>
      <c r="E29">
        <f ca="1">IF(B29="Vestdanmark",SUMIFS(IF($C29=År1,'Resultater - Vestdanmark'!$H$3:$H$502,IF($C29=År2,'Resultater - Vestdanmark'!$I$3:$I$502,'Resultater - Vestdanmark'!$J$3:$J$502)),'Resultater - Vestdanmark'!$F$3:$F$502,Restprodukter!$A29),SUMIFS(IF($C29=År1,'Resultater - Østdanmark'!$H$3:$H$502,IF($C29=År2,'Resultater - Østdanmark'!$I$3:$I$502,'Resultater - Østdanmark'!$J$3:$J$502)),'Resultater - Østdanmark'!$F$3:$F$502,Restprodukter!$A29))</f>
        <v>2001119.0505128279</v>
      </c>
      <c r="F29">
        <f t="shared" ca="1" si="2"/>
        <v>2001119.0505128279</v>
      </c>
      <c r="G29">
        <f t="shared" ca="1" si="3"/>
        <v>2001119.0505128279</v>
      </c>
      <c r="H29">
        <f t="shared" ca="1" si="1"/>
        <v>585276.82167847839</v>
      </c>
    </row>
    <row r="30" spans="1:8" x14ac:dyDescent="0.25">
      <c r="A30" t="str">
        <f t="shared" si="4"/>
        <v>Have/parkaffald</v>
      </c>
      <c r="B30" t="s">
        <v>23</v>
      </c>
      <c r="C30">
        <f t="shared" si="6"/>
        <v>2050</v>
      </c>
      <c r="D30" s="168">
        <f>SUMIFS('Forbrug af biomasse'!E:E,'Forbrug af biomasse'!F:F,"",'Forbrug af biomasse'!B:B,Restprodukter!$B30,'Forbrug af biomasse'!C:C,Restprodukter!$A30,'Forbrug af biomasse'!D:D,Restprodukter!$C30)</f>
        <v>41.656918132692169</v>
      </c>
      <c r="E30">
        <f>IF(B30="Vestdanmark",SUMIFS(IF($C30=År1,'Resultater - Vestdanmark'!$H$3:$H$502,IF($C30=År2,'Resultater - Vestdanmark'!$I$3:$I$502,'Resultater - Vestdanmark'!$J$3:$J$502)),'Resultater - Vestdanmark'!$F$3:$F$502,Restprodukter!$A30),SUMIFS(IF($C30=År1,'Resultater - Østdanmark'!$H$3:$H$502,IF($C30=År2,'Resultater - Østdanmark'!$I$3:$I$502,'Resultater - Østdanmark'!$J$3:$J$502)),'Resultater - Østdanmark'!$F$3:$F$502,Restprodukter!$A30))</f>
        <v>524881.97503939818</v>
      </c>
      <c r="F30">
        <f t="shared" si="2"/>
        <v>524840.3181212655</v>
      </c>
      <c r="G30">
        <f t="shared" si="3"/>
        <v>524840.3181212655</v>
      </c>
      <c r="H30">
        <f t="shared" si="1"/>
        <v>457890.6818787345</v>
      </c>
    </row>
    <row r="31" spans="1:8" x14ac:dyDescent="0.25">
      <c r="A31" t="str">
        <f t="shared" si="4"/>
        <v>Bioaffald</v>
      </c>
      <c r="B31" t="s">
        <v>23</v>
      </c>
      <c r="C31">
        <f t="shared" si="6"/>
        <v>2050</v>
      </c>
      <c r="D31" s="168">
        <f ca="1">SUMIFS('Forbrug af biomasse'!E:E,'Forbrug af biomasse'!F:F,"",'Forbrug af biomasse'!B:B,Restprodukter!$B31,'Forbrug af biomasse'!C:C,Restprodukter!$A31,'Forbrug af biomasse'!D:D,Restprodukter!$C31)</f>
        <v>197484.23354298095</v>
      </c>
      <c r="E31">
        <f ca="1">IF(B31="Vestdanmark",SUMIFS(IF($C31=År1,'Resultater - Vestdanmark'!$H$3:$H$502,IF($C31=År2,'Resultater - Vestdanmark'!$I$3:$I$502,'Resultater - Vestdanmark'!$J$3:$J$502)),'Resultater - Vestdanmark'!$F$3:$F$502,Restprodukter!$A31),SUMIFS(IF($C31=År1,'Resultater - Østdanmark'!$H$3:$H$502,IF($C31=År2,'Resultater - Østdanmark'!$I$3:$I$502,'Resultater - Østdanmark'!$J$3:$J$502)),'Resultater - Østdanmark'!$F$3:$F$502,Restprodukter!$A31))</f>
        <v>197484.13479984918</v>
      </c>
      <c r="F31">
        <f t="shared" ca="1" si="2"/>
        <v>-9.8743131762603298E-2</v>
      </c>
      <c r="G31">
        <f t="shared" ca="1" si="3"/>
        <v>-0.18489040050189942</v>
      </c>
      <c r="H31">
        <f t="shared" ca="1" si="1"/>
        <v>-8.6147268739296123E-2</v>
      </c>
    </row>
    <row r="32" spans="1:8" x14ac:dyDescent="0.25">
      <c r="A32" t="str">
        <f t="shared" si="4"/>
        <v>Halm</v>
      </c>
      <c r="B32" t="s">
        <v>24</v>
      </c>
      <c r="C32">
        <f t="shared" si="6"/>
        <v>2050</v>
      </c>
      <c r="D32" s="168">
        <f>SUMIFS('Forbrug af biomasse'!E:E,'Forbrug af biomasse'!F:F,"",'Forbrug af biomasse'!B:B,Restprodukter!$B32,'Forbrug af biomasse'!C:C,Restprodukter!$A32,'Forbrug af biomasse'!D:D,Restprodukter!$C32)</f>
        <v>138010.05106517533</v>
      </c>
      <c r="E32">
        <f>IF(B32="Vestdanmark",SUMIFS(IF($C32=År1,'Resultater - Vestdanmark'!$H$3:$H$502,IF($C32=År2,'Resultater - Vestdanmark'!$I$3:$I$502,'Resultater - Vestdanmark'!$J$3:$J$502)),'Resultater - Vestdanmark'!$F$3:$F$502,Restprodukter!$A32),SUMIFS(IF($C32=År1,'Resultater - Østdanmark'!$H$3:$H$502,IF($C32=År2,'Resultater - Østdanmark'!$I$3:$I$502,'Resultater - Østdanmark'!$J$3:$J$502)),'Resultater - Østdanmark'!$F$3:$F$502,Restprodukter!$A32))</f>
        <v>788581.74842312711</v>
      </c>
      <c r="F32">
        <f t="shared" si="2"/>
        <v>650571.69735795178</v>
      </c>
      <c r="G32">
        <f t="shared" si="3"/>
        <v>650571.69735795178</v>
      </c>
      <c r="H32">
        <f t="shared" si="1"/>
        <v>712182.23958164698</v>
      </c>
    </row>
    <row r="33" spans="1:8" x14ac:dyDescent="0.25">
      <c r="A33" t="str">
        <f t="shared" si="4"/>
        <v>Rapsolie</v>
      </c>
      <c r="B33" t="s">
        <v>24</v>
      </c>
      <c r="C33">
        <f t="shared" si="6"/>
        <v>2050</v>
      </c>
      <c r="D33" s="168">
        <f>SUMIFS('Forbrug af biomasse'!E:E,'Forbrug af biomasse'!F:F,"",'Forbrug af biomasse'!B:B,Restprodukter!$B33,'Forbrug af biomasse'!C:C,Restprodukter!$A33,'Forbrug af biomasse'!D:D,Restprodukter!$C33)</f>
        <v>0</v>
      </c>
      <c r="E33">
        <f>IF(B33="Vestdanmark",SUMIFS(IF($C33=År1,'Resultater - Vestdanmark'!$H$3:$H$502,IF($C33=År2,'Resultater - Vestdanmark'!$I$3:$I$502,'Resultater - Vestdanmark'!$J$3:$J$502)),'Resultater - Vestdanmark'!$F$3:$F$502,Restprodukter!$A33),SUMIFS(IF($C33=År1,'Resultater - Østdanmark'!$H$3:$H$502,IF($C33=År2,'Resultater - Østdanmark'!$I$3:$I$502,'Resultater - Østdanmark'!$J$3:$J$502)),'Resultater - Østdanmark'!$F$3:$F$502,Restprodukter!$A33))</f>
        <v>67729.865689932136</v>
      </c>
      <c r="F33">
        <f t="shared" si="2"/>
        <v>67729.865689932136</v>
      </c>
      <c r="G33">
        <f t="shared" si="3"/>
        <v>67729.865689932136</v>
      </c>
      <c r="H33">
        <f t="shared" si="1"/>
        <v>168414.8808021411</v>
      </c>
    </row>
    <row r="34" spans="1:8" x14ac:dyDescent="0.25">
      <c r="A34" t="str">
        <f t="shared" si="4"/>
        <v>Pil &amp; poppel</v>
      </c>
      <c r="B34" t="s">
        <v>24</v>
      </c>
      <c r="C34">
        <f t="shared" si="6"/>
        <v>2050</v>
      </c>
      <c r="D34" s="168">
        <f>SUMIFS('Forbrug af biomasse'!E:E,'Forbrug af biomasse'!F:F,"",'Forbrug af biomasse'!B:B,Restprodukter!$B34,'Forbrug af biomasse'!C:C,Restprodukter!$A34,'Forbrug af biomasse'!D:D,Restprodukter!$C34)</f>
        <v>0</v>
      </c>
      <c r="E34">
        <f>IF(B34="Vestdanmark",SUMIFS(IF($C34=År1,'Resultater - Vestdanmark'!$H$3:$H$502,IF($C34=År2,'Resultater - Vestdanmark'!$I$3:$I$502,'Resultater - Vestdanmark'!$J$3:$J$502)),'Resultater - Vestdanmark'!$F$3:$F$502,Restprodukter!$A34),SUMIFS(IF($C34=År1,'Resultater - Østdanmark'!$H$3:$H$502,IF($C34=År2,'Resultater - Østdanmark'!$I$3:$I$502,'Resultater - Østdanmark'!$J$3:$J$502)),'Resultater - Østdanmark'!$F$3:$F$502,Restprodukter!$A34))</f>
        <v>42440.412782955995</v>
      </c>
      <c r="F34">
        <f t="shared" si="2"/>
        <v>42440.412782955995</v>
      </c>
      <c r="G34">
        <f t="shared" si="3"/>
        <v>42440.412782955995</v>
      </c>
      <c r="H34">
        <f t="shared" si="1"/>
        <v>183249.6836740704</v>
      </c>
    </row>
    <row r="35" spans="1:8" x14ac:dyDescent="0.25">
      <c r="A35" t="str">
        <f t="shared" si="4"/>
        <v>Træ til energi</v>
      </c>
      <c r="B35" t="s">
        <v>24</v>
      </c>
      <c r="C35">
        <f t="shared" si="6"/>
        <v>2050</v>
      </c>
      <c r="D35" s="168">
        <f>SUMIFS('Forbrug af biomasse'!E:E,'Forbrug af biomasse'!F:F,"",'Forbrug af biomasse'!B:B,Restprodukter!$B35,'Forbrug af biomasse'!C:C,Restprodukter!$A35,'Forbrug af biomasse'!D:D,Restprodukter!$C35)</f>
        <v>0</v>
      </c>
      <c r="E35">
        <f ca="1">IF(B35="Vestdanmark",SUMIFS(IF($C35=År1,'Resultater - Vestdanmark'!$H$3:$H$502,IF($C35=År2,'Resultater - Vestdanmark'!$I$3:$I$502,'Resultater - Vestdanmark'!$J$3:$J$502)),'Resultater - Vestdanmark'!$F$3:$F$502,Restprodukter!$A35),SUMIFS(IF($C35=År1,'Resultater - Østdanmark'!$H$3:$H$502,IF($C35=År2,'Resultater - Østdanmark'!$I$3:$I$502,'Resultater - Østdanmark'!$J$3:$J$502)),'Resultater - Østdanmark'!$F$3:$F$502,Restprodukter!$A35))</f>
        <v>585276.82167847839</v>
      </c>
      <c r="F35">
        <f t="shared" ca="1" si="2"/>
        <v>585276.82167847839</v>
      </c>
      <c r="G35">
        <f t="shared" ca="1" si="3"/>
        <v>585276.82167847839</v>
      </c>
      <c r="H35">
        <f t="shared" ca="1" si="1"/>
        <v>2001119.0505128279</v>
      </c>
    </row>
    <row r="36" spans="1:8" x14ac:dyDescent="0.25">
      <c r="A36" t="str">
        <f t="shared" si="4"/>
        <v>Have/parkaffald</v>
      </c>
      <c r="B36" t="s">
        <v>24</v>
      </c>
      <c r="C36">
        <f t="shared" si="6"/>
        <v>2050</v>
      </c>
      <c r="D36" s="168">
        <f>SUMIFS('Forbrug af biomasse'!E:E,'Forbrug af biomasse'!F:F,"",'Forbrug af biomasse'!B:B,Restprodukter!$B36,'Forbrug af biomasse'!C:C,Restprodukter!$A36,'Forbrug af biomasse'!D:D,Restprodukter!$C36)</f>
        <v>36.343081867307831</v>
      </c>
      <c r="E36">
        <f>IF(B36="Vestdanmark",SUMIFS(IF($C36=År1,'Resultater - Vestdanmark'!$H$3:$H$502,IF($C36=År2,'Resultater - Vestdanmark'!$I$3:$I$502,'Resultater - Vestdanmark'!$J$3:$J$502)),'Resultater - Vestdanmark'!$F$3:$F$502,Restprodukter!$A36),SUMIFS(IF($C36=År1,'Resultater - Østdanmark'!$H$3:$H$502,IF($C36=År2,'Resultater - Østdanmark'!$I$3:$I$502,'Resultater - Østdanmark'!$J$3:$J$502)),'Resultater - Østdanmark'!$F$3:$F$502,Restprodukter!$A36))</f>
        <v>457927.02496060182</v>
      </c>
      <c r="F36">
        <f t="shared" si="2"/>
        <v>457890.6818787345</v>
      </c>
      <c r="G36">
        <f t="shared" si="3"/>
        <v>457890.6818787345</v>
      </c>
      <c r="H36">
        <f t="shared" si="1"/>
        <v>524840.3181212655</v>
      </c>
    </row>
    <row r="37" spans="1:8" x14ac:dyDescent="0.25">
      <c r="A37" t="str">
        <f t="shared" si="4"/>
        <v>Bioaffald</v>
      </c>
      <c r="B37" t="s">
        <v>24</v>
      </c>
      <c r="C37">
        <f t="shared" si="6"/>
        <v>2050</v>
      </c>
      <c r="D37" s="168">
        <f ca="1">SUMIFS('Forbrug af biomasse'!E:E,'Forbrug af biomasse'!F:F,"",'Forbrug af biomasse'!B:B,Restprodukter!$B37,'Forbrug af biomasse'!C:C,Restprodukter!$A37,'Forbrug af biomasse'!D:D,Restprodukter!$C37)</f>
        <v>172292.76645701908</v>
      </c>
      <c r="E37">
        <f ca="1">IF(B37="Vestdanmark",SUMIFS(IF($C37=År1,'Resultater - Vestdanmark'!$H$3:$H$502,IF($C37=År2,'Resultater - Vestdanmark'!$I$3:$I$502,'Resultater - Vestdanmark'!$J$3:$J$502)),'Resultater - Vestdanmark'!$F$3:$F$502,Restprodukter!$A37),SUMIFS(IF($C37=År1,'Resultater - Østdanmark'!$H$3:$H$502,IF($C37=År2,'Resultater - Østdanmark'!$I$3:$I$502,'Resultater - Østdanmark'!$J$3:$J$502)),'Resultater - Østdanmark'!$F$3:$F$502,Restprodukter!$A37))</f>
        <v>172292.68030975034</v>
      </c>
      <c r="F37">
        <f t="shared" ca="1" si="2"/>
        <v>-8.6147268739296123E-2</v>
      </c>
      <c r="G37">
        <f t="shared" ca="1" si="3"/>
        <v>-0.18489040050189942</v>
      </c>
      <c r="H37">
        <f t="shared" ca="1" si="1"/>
        <v>-9.8743131762603298E-2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A89E6-B9A6-46D5-83F7-24899AA46FB2}">
  <sheetPr codeName="Sheet21">
    <tabColor rgb="FFFF0000"/>
  </sheetPr>
  <dimension ref="A1:U502"/>
  <sheetViews>
    <sheetView topLeftCell="A403" zoomScale="80" zoomScaleNormal="80" workbookViewId="0">
      <selection activeCell="I425" sqref="I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2.5703125" bestFit="1" customWidth="1"/>
    <col min="11" max="11" width="4.42578125" bestFit="1" customWidth="1"/>
    <col min="12" max="12" width="10.7109375" bestFit="1" customWidth="1"/>
    <col min="13" max="13" width="11.5703125" customWidth="1"/>
  </cols>
  <sheetData>
    <row r="1" spans="1:21" x14ac:dyDescent="0.25">
      <c r="A1" t="s">
        <v>23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drivhus",Landbrug!C$51,1-Landbrug!C$51),1)*IF($A3="Tømmerproduktion",VLOOKUP($F3,Skovbrug!$A$59:$D$60,MATCH(H$2,Skovbrug!$A$58:$D$58,0),FALSE)/'[1]Processer - data'!H3,1)</f>
        <v>3727146.4907319495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drivhus",Landbrug!D$51,1-Landbrug!D$51),1)*IF($A3="Tømmerproduktion",VLOOKUP($F3,Skovbrug!$A$59:$D$60,MATCH(I$2,Skovbrug!$A$58:$D$58,0),FALSE)/'[1]Processer - data'!I3,1)</f>
        <v>3852150.2091205032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drivhus",Landbrug!E$51,1-Landbrug!E$51),1)*IF($A3="Tømmerproduktion",VLOOKUP($F3,Skovbrug!$A$59:$D$60,MATCH(J$2,Skovbrug!$A$58:$D$58,0),FALSE)/'[1]Processer - data'!J3,1)</f>
        <v>4002333.5486616795</v>
      </c>
      <c r="M3">
        <f>SUMIF($F$3:$F$494,"Roer",H3:H494)</f>
        <v>377517.57644613879</v>
      </c>
      <c r="N3" s="168">
        <f>SUMIF($F$3:$F$494,"Roer",I3:I494)</f>
        <v>396405.63727863086</v>
      </c>
      <c r="O3" s="168">
        <f>SUMIF($F$3:$F$494,"Roer",J3:J494)</f>
        <v>410082.28428580571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drivhus",Landbrug!C$51,1-Landbrug!C$51),1)*IF($A4="Tømmerproduktion",VLOOKUP($F4,Skovbrug!$A$59:$D$60,MATCH(H$2,Skovbrug!$A$58:$D$58,0),FALSE)/'[1]Processer - data'!H4,1)</f>
        <v>193591.30306616417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drivhus",Landbrug!D$51,1-Landbrug!D$51),1)*IF($A4="Tømmerproduktion",VLOOKUP($F4,Skovbrug!$A$59:$D$60,MATCH(I$2,Skovbrug!$A$58:$D$58,0),FALSE)/'[1]Processer - data'!I4,1)</f>
        <v>195082.22598438186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drivhus",Landbrug!E$51,1-Landbrug!E$51),1)*IF($A4="Tømmerproduktion",VLOOKUP($F4,Skovbrug!$A$59:$D$60,MATCH(J$2,Skovbrug!$A$58:$D$58,0),FALSE)/'[1]Processer - data'!J4,1)</f>
        <v>197484.13479984918</v>
      </c>
      <c r="N4" s="168"/>
      <c r="O4" s="168"/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input'!$A$3:$A$230,$A$1)),IF(VLOOKUP($A5,[1]!Table1[#All],2,FALSE)="Resultat",SUMIF($F$1:$F4,$D5,H$1:H4)+SUMIF($F6:$F$512,$D5,H6:H$512),0))*'[1]Processer - data'!H5,"")*IF($C5&lt;&gt;"",IF($F5="Halm",Landbrug!C$16*Landbrug!C$17,IF(LEFT($D5,5)="Areal", IF($G5="Ton",Landbrug!C$18,1),1)),1)*IF($F5="Grøntsager",IF($A5="Grøntsager i drivhus",Landbrug!C$51,1-Landbrug!C$51),1)*IF($A5="Tømmerproduktion",VLOOKUP($F5,Skovbrug!$A$59:$D$60,MATCH(H$2,Skovbrug!$A$58:$D$58,0),FALSE)/'[1]Processer - data'!H5,1)</f>
        <v>530462.48766233202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input'!$A$3:$A$230,$A$1)),IF(VLOOKUP($A5,[1]!Table1[#All],2,FALSE)="Resultat",SUMIF($F$1:$F4,$D5,I$1:I4)+SUMIF($F6:$F$512,$D5,I6:I$512),0))*'[1]Processer - data'!I5,"")*IF($C5&lt;&gt;"",IF($F5="Halm",Landbrug!D$16*Landbrug!D$17,IF(LEFT($D5,5)="Areal", IF($G5="Ton",Landbrug!D$18,1),1)),1)*IF($F5="Grøntsager",IF($A5="Grøntsager i drivhus",Landbrug!D$51,1-Landbrug!D$51),1)*IF($A5="Tømmerproduktion",VLOOKUP($F5,Skovbrug!$A$59:$D$60,MATCH(I$2,Skovbrug!$A$58:$D$58,0),FALSE)/'[1]Processer - data'!I5,1)</f>
        <v>526734.10986839118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input'!$A$3:$A$230,$A$1)),IF(VLOOKUP($A5,[1]!Table1[#All],2,FALSE)="Resultat",SUMIF($F$1:$F4,$D5,J$1:J4)+SUMIF($F6:$F$512,$D5,J6:J$512),0))*'[1]Processer - data'!J5,"")*IF($C5&lt;&gt;"",IF($F5="Halm",Landbrug!E$16*Landbrug!E$17,IF(LEFT($D5,5)="Areal", IF($G5="Ton",Landbrug!E$18,1),1)),1)*IF($F5="Grøntsager",IF($A5="Grøntsager i drivhus",Landbrug!E$51,1-Landbrug!E$51),1)*IF($A5="Tømmerproduktion",VLOOKUP($F5,Skovbrug!$A$59:$D$60,MATCH(J$2,Skovbrug!$A$58:$D$58,0),FALSE)/'[1]Processer - data'!J5,1)</f>
        <v>524881.97503939818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input'!$A$3:$A$230,$A$1)),IF(VLOOKUP($A6,[1]!Table1[#All],2,FALSE)="Resultat",SUMIF($F$1:$F5,$D6,H$1:H5)+SUMIF($F7:$F$512,$D6,H7:H$512),0))*'[1]Processer - data'!H6,"")*IF($C6&lt;&gt;"",IF($F6="Halm",Landbrug!C$16*Landbrug!C$17,IF(LEFT($D6,5)="Areal", IF($G6="Ton",Landbrug!C$18,1),1)),1)*IF($F6="Grøntsager",IF($A6="Grøntsager i drivhus",Landbrug!C$51,1-Landbrug!C$51),1)*IF($A6="Tømmerproduktion",VLOOKUP($F6,Skovbrug!$A$59:$D$60,MATCH(H$2,Skovbrug!$A$58:$D$58,0),FALSE)/'[1]Processer - data'!H6,1)</f>
        <v>191617.83362271384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input'!$A$3:$A$230,$A$1)),IF(VLOOKUP($A6,[1]!Table1[#All],2,FALSE)="Resultat",SUMIF($F$1:$F5,$D6,I$1:I5)+SUMIF($F7:$F$512,$D6,I7:I$512),0))*'[1]Processer - data'!I6,"")*IF($C6&lt;&gt;"",IF($F6="Halm",Landbrug!D$16*Landbrug!D$17,IF(LEFT($D6,5)="Areal", IF($G6="Ton",Landbrug!D$18,1),1)),1)*IF($F6="Grøntsager",IF($A6="Grøntsager i drivhus",Landbrug!D$51,1-Landbrug!D$51),1)*IF($A6="Tømmerproduktion",VLOOKUP($F6,Skovbrug!$A$59:$D$60,MATCH(I$2,Skovbrug!$A$58:$D$58,0),FALSE)/'[1]Processer - data'!I6,1)</f>
        <v>190271.03966005245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input'!$A$3:$A$230,$A$1)),IF(VLOOKUP($A6,[1]!Table1[#All],2,FALSE)="Resultat",SUMIF($F$1:$F5,$D6,J$1:J5)+SUMIF($F7:$F$512,$D6,J7:J$512),0))*'[1]Processer - data'!J6,"")*IF($C6&lt;&gt;"",IF($F6="Halm",Landbrug!E$16*Landbrug!E$17,IF(LEFT($D6,5)="Areal", IF($G6="Ton",Landbrug!E$18,1),1)),1)*IF($F6="Grøntsager",IF($A6="Grøntsager i drivhus",Landbrug!E$51,1-Landbrug!E$51),1)*IF($A6="Tømmerproduktion",VLOOKUP($F6,Skovbrug!$A$59:$D$60,MATCH(J$2,Skovbrug!$A$58:$D$58,0),FALSE)/'[1]Processer - data'!J6,1)</f>
        <v>189601.99694400141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input'!$A$3:$A$230,$A$1)),IF(VLOOKUP($A7,[1]!Table1[#All],2,FALSE)="Resultat",SUMIF($F$1:$F6,$D7,H$1:H6)+SUMIF($F8:$F$512,$D7,H8:H$512),0))*'[1]Processer - data'!H7,"")*IF($C7&lt;&gt;"",IF($F7="Halm",Landbrug!C$16*Landbrug!C$17,IF(LEFT($D7,5)="Areal", IF($G7="Ton",Landbrug!C$18,1),1)),1)*IF($F7="Grøntsager",IF($A7="Grøntsager i drivhus",Landbrug!C$51,1-Landbrug!C$51),1)*IF($A7="Tømmerproduktion",VLOOKUP($F7,Skovbrug!$A$59:$D$60,MATCH(H$2,Skovbrug!$A$58:$D$58,0),FALSE)/'[1]Processer - data'!H7,1)</f>
        <v>878.90231344976178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input'!$A$3:$A$230,$A$1)),IF(VLOOKUP($A7,[1]!Table1[#All],2,FALSE)="Resultat",SUMIF($F$1:$F6,$D7,I$1:I6)+SUMIF($F8:$F$512,$D7,I8:I$512),0))*'[1]Processer - data'!I7,"")*IF($C7&lt;&gt;"",IF($F7="Halm",Landbrug!D$16*Landbrug!D$17,IF(LEFT($D7,5)="Areal", IF($G7="Ton",Landbrug!D$18,1),1)),1)*IF($F7="Grøntsager",IF($A7="Grøntsager i drivhus",Landbrug!D$51,1-Landbrug!D$51),1)*IF($A7="Tømmerproduktion",VLOOKUP($F7,Skovbrug!$A$59:$D$60,MATCH(I$2,Skovbrug!$A$58:$D$58,0),FALSE)/'[1]Processer - data'!I7,1)</f>
        <v>209595.14629167612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input'!$A$3:$A$230,$A$1)),IF(VLOOKUP($A7,[1]!Table1[#All],2,FALSE)="Resultat",SUMIF($F$1:$F6,$D7,J$1:J6)+SUMIF($F8:$F$512,$D7,J8:J$512),0))*'[1]Processer - data'!J7,"")*IF($C7&lt;&gt;"",IF($F7="Halm",Landbrug!E$16*Landbrug!E$17,IF(LEFT($D7,5)="Areal", IF($G7="Ton",Landbrug!E$18,1),1)),1)*IF($F7="Grøntsager",IF($A7="Grøntsager i drivhus",Landbrug!E$51,1-Landbrug!E$51),1)*IF($A7="Tømmerproduktion",VLOOKUP($F7,Skovbrug!$A$59:$D$60,MATCH(J$2,Skovbrug!$A$58:$D$58,0),FALSE)/'[1]Processer - data'!J7,1)</f>
        <v>209595.14629167612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drivhus",Landbrug!C$51,1-Landbrug!C$51),1)*IF($A8="Tømmerproduktion",VLOOKUP($F8,Skovbrug!$A$59:$D$60,MATCH(H$2,Skovbrug!$A$58:$D$58,0),FALSE)/'[1]Processer - data'!H8,1)</f>
        <v>-142.38217477886138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drivhus",Landbrug!D$51,1-Landbrug!D$51),1)*IF($A8="Tømmerproduktion",VLOOKUP($F8,Skovbrug!$A$59:$D$60,MATCH(I$2,Skovbrug!$A$58:$D$58,0),FALSE)/'[1]Processer - data'!I8,1)</f>
        <v>-33954.413699251527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drivhus",Landbrug!E$51,1-Landbrug!E$51),1)*IF($A8="Tømmerproduktion",VLOOKUP($F8,Skovbrug!$A$59:$D$60,MATCH(J$2,Skovbrug!$A$58:$D$58,0),FALSE)/'[1]Processer - data'!J8,1)</f>
        <v>-33954.413699251527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drivhus",Landbrug!C$51,1-Landbrug!C$51),1)*IF($A9="Tømmerproduktion",VLOOKUP($F9,Skovbrug!$A$59:$D$60,MATCH(H$2,Skovbrug!$A$58:$D$58,0),FALSE)/'[1]Processer - data'!H9,1)</f>
        <v>76.5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drivhus",Landbrug!D$51,1-Landbrug!D$51),1)*IF($A9="Tømmerproduktion",VLOOKUP($F9,Skovbrug!$A$59:$D$60,MATCH(I$2,Skovbrug!$A$58:$D$58,0),FALSE)/'[1]Processer - data'!I9,1)</f>
        <v>84600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drivhus",Landbrug!E$51,1-Landbrug!E$51),1)*IF($A9="Tømmerproduktion",VLOOKUP($F9,Skovbrug!$A$59:$D$60,MATCH(J$2,Skovbrug!$A$58:$D$58,0),FALSE)/'[1]Processer - data'!J9,1)</f>
        <v>84600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drivhus",Landbrug!C$51,1-Landbrug!C$51),1)*IF($A10="Tømmerproduktion",VLOOKUP($F10,Skovbrug!$A$59:$D$60,MATCH(H$2,Skovbrug!$A$58:$D$58,0),FALSE)/'[1]Processer - data'!H10,1)</f>
        <v>-15.861000000000001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drivhus",Landbrug!D$51,1-Landbrug!D$51),1)*IF($A10="Tømmerproduktion",VLOOKUP($F10,Skovbrug!$A$59:$D$60,MATCH(I$2,Skovbrug!$A$58:$D$58,0),FALSE)/'[1]Processer - data'!I10,1)</f>
        <v>-3508.0800000000004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drivhus",Landbrug!E$51,1-Landbrug!E$51),1)*IF($A10="Tømmerproduktion",VLOOKUP($F10,Skovbrug!$A$59:$D$60,MATCH(J$2,Skovbrug!$A$58:$D$58,0),FALSE)/'[1]Processer - data'!J10,1)</f>
        <v>-3508.0800000000004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drivhus",Landbrug!C$51,1-Landbrug!C$51),1)*IF($A11="Tømmerproduktion",VLOOKUP($F11,Skovbrug!$A$59:$D$60,MATCH(H$2,Skovbrug!$A$58:$D$58,0),FALSE)/'[1]Processer - data'!H11,1)</f>
        <v>1333940.6781486941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drivhus",Landbrug!D$51,1-Landbrug!D$51),1)*IF($A11="Tømmerproduktion",VLOOKUP($F11,Skovbrug!$A$59:$D$60,MATCH(I$2,Skovbrug!$A$58:$D$58,0),FALSE)/'[1]Processer - data'!I11,1)</f>
        <v>1262380.8699654664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drivhus",Landbrug!E$51,1-Landbrug!E$51),1)*IF($A11="Tømmerproduktion",VLOOKUP($F11,Skovbrug!$A$59:$D$60,MATCH(J$2,Skovbrug!$A$58:$D$58,0),FALSE)/'[1]Processer - data'!J11,1)</f>
        <v>1141962.9650689506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drivhus",Landbrug!C$51,1-Landbrug!C$51),1)*IF($A12="Tømmerproduktion",VLOOKUP($F12,Skovbrug!$A$59:$D$60,MATCH(H$2,Skovbrug!$A$58:$D$58,0),FALSE)/'[1]Processer - data'!H12,1)</f>
        <v>1635027.9283649202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drivhus",Landbrug!D$51,1-Landbrug!D$51),1)*IF($A12="Tømmerproduktion",VLOOKUP($F12,Skovbrug!$A$59:$D$60,MATCH(I$2,Skovbrug!$A$58:$D$58,0),FALSE)/'[1]Processer - data'!I12,1)</f>
        <v>1547316.1681310283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drivhus",Landbrug!E$51,1-Landbrug!E$51),1)*IF($A12="Tømmerproduktion",VLOOKUP($F12,Skovbrug!$A$59:$D$60,MATCH(J$2,Skovbrug!$A$58:$D$58,0),FALSE)/'[1]Processer - data'!J12,1)</f>
        <v>1399718.4219896907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drivhus",Landbrug!C$51,1-Landbrug!C$51),1)*IF($A13="Tømmerproduktion",VLOOKUP($F13,Skovbrug!$A$59:$D$60,MATCH(H$2,Skovbrug!$A$58:$D$58,0),FALSE)/'[1]Processer - data'!H13,1)</f>
        <v>-435064.52162306459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drivhus",Landbrug!D$51,1-Landbrug!D$51),1)*IF($A13="Tømmerproduktion",VLOOKUP($F13,Skovbrug!$A$59:$D$60,MATCH(I$2,Skovbrug!$A$58:$D$58,0),FALSE)/'[1]Processer - data'!I13,1)</f>
        <v>-411725.30255233188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drivhus",Landbrug!E$51,1-Landbrug!E$51),1)*IF($A13="Tømmerproduktion",VLOOKUP($F13,Skovbrug!$A$59:$D$60,MATCH(J$2,Skovbrug!$A$58:$D$58,0),FALSE)/'[1]Processer - data'!J13,1)</f>
        <v>-372451.02368307725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drivhus",Landbrug!C$51,1-Landbrug!C$51),1)*IF($A14="Tømmerproduktion",VLOOKUP($F14,Skovbrug!$A$59:$D$60,MATCH(H$2,Skovbrug!$A$58:$D$58,0),FALSE)/'[1]Processer - data'!H14,1)</f>
        <v>-977360.05314956617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drivhus",Landbrug!D$51,1-Landbrug!D$51),1)*IF($A14="Tømmerproduktion",VLOOKUP($F14,Skovbrug!$A$59:$D$60,MATCH(I$2,Skovbrug!$A$58:$D$58,0),FALSE)/'[1]Processer - data'!I14,1)</f>
        <v>-924929.16242480197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drivhus",Landbrug!E$51,1-Landbrug!E$51),1)*IF($A14="Tømmerproduktion",VLOOKUP($F14,Skovbrug!$A$59:$D$60,MATCH(J$2,Skovbrug!$A$58:$D$58,0),FALSE)/'[1]Processer - data'!J14,1)</f>
        <v>-836700.61384110001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drivhus",Landbrug!C$51,1-Landbrug!C$51),1)*IF($A15="Tømmerproduktion",VLOOKUP($F15,Skovbrug!$A$59:$D$60,MATCH(H$2,Skovbrug!$A$58:$D$58,0),FALSE)/'[1]Processer - data'!H15,1)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drivhus",Landbrug!D$51,1-Landbrug!D$51),1)*IF($A15="Tømmerproduktion",VLOOKUP($F15,Skovbrug!$A$59:$D$60,MATCH(I$2,Skovbrug!$A$58:$D$58,0),FALSE)/'[1]Processer - data'!I15,1)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drivhus",Landbrug!E$51,1-Landbrug!E$51),1)*IF($A15="Tømmerproduktion",VLOOKUP($F15,Skovbrug!$A$59:$D$60,MATCH(J$2,Skovbrug!$A$58:$D$58,0),FALSE)/'[1]Processer - data'!J15,1)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drivhus",Landbrug!C$51,1-Landbrug!C$51),1)*IF($A16="Tømmerproduktion",VLOOKUP($F16,Skovbrug!$A$59:$D$60,MATCH(H$2,Skovbrug!$A$58:$D$58,0),FALSE)/'[1]Processer - data'!H16,1)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drivhus",Landbrug!D$51,1-Landbrug!D$51),1)*IF($A16="Tømmerproduktion",VLOOKUP($F16,Skovbrug!$A$59:$D$60,MATCH(I$2,Skovbrug!$A$58:$D$58,0),FALSE)/'[1]Processer - data'!I16,1)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drivhus",Landbrug!E$51,1-Landbrug!E$51),1)*IF($A16="Tømmerproduktion",VLOOKUP($F16,Skovbrug!$A$59:$D$60,MATCH(J$2,Skovbrug!$A$58:$D$58,0),FALSE)/'[1]Processer - data'!J16,1)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drivhus",Landbrug!C$51,1-Landbrug!C$51),1)*IF($A17="Tømmerproduktion",VLOOKUP($F17,Skovbrug!$A$59:$D$60,MATCH(H$2,Skovbrug!$A$58:$D$58,0),FALSE)/'[1]Processer - data'!H17,1)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drivhus",Landbrug!D$51,1-Landbrug!D$51),1)*IF($A17="Tømmerproduktion",VLOOKUP($F17,Skovbrug!$A$59:$D$60,MATCH(I$2,Skovbrug!$A$58:$D$58,0),FALSE)/'[1]Processer - data'!I17,1)</f>
        <v>-94146.778193580481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drivhus",Landbrug!E$51,1-Landbrug!E$51),1)*IF($A17="Tømmerproduktion",VLOOKUP($F17,Skovbrug!$A$59:$D$60,MATCH(J$2,Skovbrug!$A$58:$D$58,0),FALSE)/'[1]Processer - data'!J17,1)</f>
        <v>-89131.277684899964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drivhus",Landbrug!C$51,1-Landbrug!C$51),1)*IF($A18="Tømmerproduktion",VLOOKUP($F18,Skovbrug!$A$59:$D$60,MATCH(H$2,Skovbrug!$A$58:$D$58,0),FALSE)/'[1]Processer - data'!H18,1)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drivhus",Landbrug!D$51,1-Landbrug!D$51),1)*IF($A18="Tømmerproduktion",VLOOKUP($F18,Skovbrug!$A$59:$D$60,MATCH(I$2,Skovbrug!$A$58:$D$58,0),FALSE)/'[1]Processer - data'!I18,1)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drivhus",Landbrug!E$51,1-Landbrug!E$51),1)*IF($A18="Tømmerproduktion",VLOOKUP($F18,Skovbrug!$A$59:$D$60,MATCH(J$2,Skovbrug!$A$58:$D$58,0),FALSE)/'[1]Processer - data'!J18,1)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drivhus",Landbrug!C$51,1-Landbrug!C$51),1)*IF($A19="Tømmerproduktion",VLOOKUP($F19,Skovbrug!$A$59:$D$60,MATCH(H$2,Skovbrug!$A$58:$D$58,0),FALSE)/'[1]Processer - data'!H19,1)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drivhus",Landbrug!D$51,1-Landbrug!D$51),1)*IF($A19="Tømmerproduktion",VLOOKUP($F19,Skovbrug!$A$59:$D$60,MATCH(I$2,Skovbrug!$A$58:$D$58,0),FALSE)/'[1]Processer - data'!I19,1)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drivhus",Landbrug!E$51,1-Landbrug!E$51),1)*IF($A19="Tømmerproduktion",VLOOKUP($F19,Skovbrug!$A$59:$D$60,MATCH(J$2,Skovbrug!$A$58:$D$58,0),FALSE)/'[1]Processer - data'!J19,1)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drivhus",Landbrug!C$51,1-Landbrug!C$51),1)*IF($A20="Tømmerproduktion",VLOOKUP($F20,Skovbrug!$A$59:$D$60,MATCH(H$2,Skovbrug!$A$58:$D$58,0),FALSE)/'[1]Processer - data'!H20,1)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drivhus",Landbrug!D$51,1-Landbrug!D$51),1)*IF($A20="Tømmerproduktion",VLOOKUP($F20,Skovbrug!$A$59:$D$60,MATCH(I$2,Skovbrug!$A$58:$D$58,0),FALSE)/'[1]Processer - data'!I20,1)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drivhus",Landbrug!E$51,1-Landbrug!E$51),1)*IF($A20="Tømmerproduktion",VLOOKUP($F20,Skovbrug!$A$59:$D$60,MATCH(J$2,Skovbrug!$A$58:$D$58,0),FALSE)/'[1]Processer - data'!J20,1)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drivhus",Landbrug!C$51,1-Landbrug!C$51),1)*IF($A21="Tømmerproduktion",VLOOKUP($F21,Skovbrug!$A$59:$D$60,MATCH(H$2,Skovbrug!$A$58:$D$58,0),FALSE)/'[1]Processer - data'!H21,1)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drivhus",Landbrug!D$51,1-Landbrug!D$51),1)*IF($A21="Tømmerproduktion",VLOOKUP($F21,Skovbrug!$A$59:$D$60,MATCH(I$2,Skovbrug!$A$58:$D$58,0),FALSE)/'[1]Processer - data'!I21,1)</f>
        <v>-21036.42249278244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drivhus",Landbrug!E$51,1-Landbrug!E$51),1)*IF($A21="Tømmerproduktion",VLOOKUP($F21,Skovbrug!$A$59:$D$60,MATCH(J$2,Skovbrug!$A$58:$D$58,0),FALSE)/'[1]Processer - data'!J21,1)</f>
        <v>-201432.06127296353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drivhus",Landbrug!C$51,1-Landbrug!C$51),1)*IF($A22="Tømmerproduktion",VLOOKUP($F22,Skovbrug!$A$59:$D$60,MATCH(H$2,Skovbrug!$A$58:$D$58,0),FALSE)/'[1]Processer - data'!H22,1)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drivhus",Landbrug!D$51,1-Landbrug!D$51),1)*IF($A22="Tømmerproduktion",VLOOKUP($F22,Skovbrug!$A$59:$D$60,MATCH(I$2,Skovbrug!$A$58:$D$58,0),FALSE)/'[1]Processer - data'!I22,1)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drivhus",Landbrug!E$51,1-Landbrug!E$51),1)*IF($A22="Tømmerproduktion",VLOOKUP($F22,Skovbrug!$A$59:$D$60,MATCH(J$2,Skovbrug!$A$58:$D$58,0),FALSE)/'[1]Processer - data'!J22,1)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drivhus",Landbrug!C$51,1-Landbrug!C$51),1)*IF($A23="Tømmerproduktion",VLOOKUP($F23,Skovbrug!$A$59:$D$60,MATCH(H$2,Skovbrug!$A$58:$D$58,0),FALSE)/'[1]Processer - data'!H23,1)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drivhus",Landbrug!D$51,1-Landbrug!D$51),1)*IF($A23="Tømmerproduktion",VLOOKUP($F23,Skovbrug!$A$59:$D$60,MATCH(I$2,Skovbrug!$A$58:$D$58,0),FALSE)/'[1]Processer - data'!I23,1)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drivhus",Landbrug!E$51,1-Landbrug!E$51),1)*IF($A23="Tømmerproduktion",VLOOKUP($F23,Skovbrug!$A$59:$D$60,MATCH(J$2,Skovbrug!$A$58:$D$58,0),FALSE)/'[1]Processer - data'!J23,1)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drivhus",Landbrug!C$51,1-Landbrug!C$51),1)*IF($A24="Tømmerproduktion",VLOOKUP($F24,Skovbrug!$A$59:$D$60,MATCH(H$2,Skovbrug!$A$58:$D$58,0),FALSE)/'[1]Processer - data'!H24,1)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drivhus",Landbrug!D$51,1-Landbrug!D$51),1)*IF($A24="Tømmerproduktion",VLOOKUP($F24,Skovbrug!$A$59:$D$60,MATCH(I$2,Skovbrug!$A$58:$D$58,0),FALSE)/'[1]Processer - data'!I24,1)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drivhus",Landbrug!E$51,1-Landbrug!E$51),1)*IF($A24="Tømmerproduktion",VLOOKUP($F24,Skovbrug!$A$59:$D$60,MATCH(J$2,Skovbrug!$A$58:$D$58,0),FALSE)/'[1]Processer - data'!J24,1)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drivhus",Landbrug!C$51,1-Landbrug!C$51),1)*IF($A25="Tømmerproduktion",VLOOKUP($F25,Skovbrug!$A$59:$D$60,MATCH(H$2,Skovbrug!$A$58:$D$58,0),FALSE)/'[1]Processer - data'!H25,1)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drivhus",Landbrug!D$51,1-Landbrug!D$51),1)*IF($A25="Tømmerproduktion",VLOOKUP($F25,Skovbrug!$A$59:$D$60,MATCH(I$2,Skovbrug!$A$58:$D$58,0),FALSE)/'[1]Processer - data'!I25,1)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drivhus",Landbrug!E$51,1-Landbrug!E$51),1)*IF($A25="Tømmerproduktion",VLOOKUP($F25,Skovbrug!$A$59:$D$60,MATCH(J$2,Skovbrug!$A$58:$D$58,0),FALSE)/'[1]Processer - data'!J25,1)</f>
        <v>-527221.95788405067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drivhus",Landbrug!C$51,1-Landbrug!C$51),1)*IF($A26="Tømmerproduktion",VLOOKUP($F26,Skovbrug!$A$59:$D$60,MATCH(H$2,Skovbrug!$A$58:$D$58,0),FALSE)/'[1]Processer - data'!H26,1)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drivhus",Landbrug!D$51,1-Landbrug!D$51),1)*IF($A26="Tømmerproduktion",VLOOKUP($F26,Skovbrug!$A$59:$D$60,MATCH(I$2,Skovbrug!$A$58:$D$58,0),FALSE)/'[1]Processer - data'!I26,1)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drivhus",Landbrug!E$51,1-Landbrug!E$51),1)*IF($A26="Tømmerproduktion",VLOOKUP($F26,Skovbrug!$A$59:$D$60,MATCH(J$2,Skovbrug!$A$58:$D$58,0),FALSE)/'[1]Processer - data'!J26,1)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drivhus",Landbrug!C$51,1-Landbrug!C$51),1)*IF($A27="Tømmerproduktion",VLOOKUP($F27,Skovbrug!$A$59:$D$60,MATCH(H$2,Skovbrug!$A$58:$D$58,0),FALSE)/'[1]Processer - data'!H27,1)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drivhus",Landbrug!D$51,1-Landbrug!D$51),1)*IF($A27="Tømmerproduktion",VLOOKUP($F27,Skovbrug!$A$59:$D$60,MATCH(I$2,Skovbrug!$A$58:$D$58,0),FALSE)/'[1]Processer - data'!I27,1)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drivhus",Landbrug!E$51,1-Landbrug!E$51),1)*IF($A27="Tømmerproduktion",VLOOKUP($F27,Skovbrug!$A$59:$D$60,MATCH(J$2,Skovbrug!$A$58:$D$58,0),FALSE)/'[1]Processer - data'!J27,1)</f>
        <v>7271.6553271470366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drivhus",Landbrug!C$51,1-Landbrug!C$51),1)*IF($A28="Tømmerproduktion",VLOOKUP($F28,Skovbrug!$A$59:$D$60,MATCH(H$2,Skovbrug!$A$58:$D$58,0),FALSE)/'[1]Processer - data'!H28,1)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drivhus",Landbrug!D$51,1-Landbrug!D$51),1)*IF($A28="Tømmerproduktion",VLOOKUP($F28,Skovbrug!$A$59:$D$60,MATCH(I$2,Skovbrug!$A$58:$D$58,0),FALSE)/'[1]Processer - data'!I28,1)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drivhus",Landbrug!E$51,1-Landbrug!E$51),1)*IF($A28="Tømmerproduktion",VLOOKUP($F28,Skovbrug!$A$59:$D$60,MATCH(J$2,Skovbrug!$A$58:$D$58,0),FALSE)/'[1]Processer - data'!J28,1)</f>
        <v>3798.6259171663623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drivhus",Landbrug!C$51,1-Landbrug!C$51),1)*IF($A29="Tømmerproduktion",VLOOKUP($F29,Skovbrug!$A$59:$D$60,MATCH(H$2,Skovbrug!$A$58:$D$58,0),FALSE)/'[1]Processer - data'!H29,1)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drivhus",Landbrug!D$51,1-Landbrug!D$51),1)*IF($A29="Tømmerproduktion",VLOOKUP($F29,Skovbrug!$A$59:$D$60,MATCH(I$2,Skovbrug!$A$58:$D$58,0),FALSE)/'[1]Processer - data'!I29,1)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drivhus",Landbrug!E$51,1-Landbrug!E$51),1)*IF($A29="Tømmerproduktion",VLOOKUP($F29,Skovbrug!$A$59:$D$60,MATCH(J$2,Skovbrug!$A$58:$D$58,0),FALSE)/'[1]Processer - data'!J29,1)</f>
        <v>-55276.760422741601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drivhus",Landbrug!C$51,1-Landbrug!C$51),1)*IF($A30="Tømmerproduktion",VLOOKUP($F30,Skovbrug!$A$59:$D$60,MATCH(H$2,Skovbrug!$A$58:$D$58,0),FALSE)/'[1]Processer - data'!H30,1)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drivhus",Landbrug!D$51,1-Landbrug!D$51),1)*IF($A30="Tømmerproduktion",VLOOKUP($F30,Skovbrug!$A$59:$D$60,MATCH(I$2,Skovbrug!$A$58:$D$58,0),FALSE)/'[1]Processer - data'!I30,1)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drivhus",Landbrug!E$51,1-Landbrug!E$51),1)*IF($A30="Tømmerproduktion",VLOOKUP($F30,Skovbrug!$A$59:$D$60,MATCH(J$2,Skovbrug!$A$58:$D$58,0),FALSE)/'[1]Processer - data'!J30,1)</f>
        <v>-38813.330425298955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drivhus",Landbrug!C$51,1-Landbrug!C$51),1)*IF($A31="Tømmerproduktion",VLOOKUP($F31,Skovbrug!$A$59:$D$60,MATCH(H$2,Skovbrug!$A$58:$D$58,0),FALSE)/'[1]Processer - data'!H31,1)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drivhus",Landbrug!D$51,1-Landbrug!D$51),1)*IF($A31="Tømmerproduktion",VLOOKUP($F31,Skovbrug!$A$59:$D$60,MATCH(I$2,Skovbrug!$A$58:$D$58,0),FALSE)/'[1]Processer - data'!I31,1)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drivhus",Landbrug!E$51,1-Landbrug!E$51),1)*IF($A31="Tømmerproduktion",VLOOKUP($F31,Skovbrug!$A$59:$D$60,MATCH(J$2,Skovbrug!$A$58:$D$58,0),FALSE)/'[1]Processer - data'!J31,1)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drivhus",Landbrug!C$51,1-Landbrug!C$51),1)*IF($A32="Tømmerproduktion",VLOOKUP($F32,Skovbrug!$A$59:$D$60,MATCH(H$2,Skovbrug!$A$58:$D$58,0),FALSE)/'[1]Processer - data'!H32,1)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drivhus",Landbrug!D$51,1-Landbrug!D$51),1)*IF($A32="Tømmerproduktion",VLOOKUP($F32,Skovbrug!$A$59:$D$60,MATCH(I$2,Skovbrug!$A$58:$D$58,0),FALSE)/'[1]Processer - data'!I32,1)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drivhus",Landbrug!E$51,1-Landbrug!E$51),1)*IF($A32="Tømmerproduktion",VLOOKUP($F32,Skovbrug!$A$59:$D$60,MATCH(J$2,Skovbrug!$A$58:$D$58,0),FALSE)/'[1]Processer - data'!J32,1)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drivhus",Landbrug!C$51,1-Landbrug!C$51),1)*IF($A33="Tømmerproduktion",VLOOKUP($F33,Skovbrug!$A$59:$D$60,MATCH(H$2,Skovbrug!$A$58:$D$58,0),FALSE)/'[1]Processer - data'!H33,1)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drivhus",Landbrug!D$51,1-Landbrug!D$51),1)*IF($A33="Tømmerproduktion",VLOOKUP($F33,Skovbrug!$A$59:$D$60,MATCH(I$2,Skovbrug!$A$58:$D$58,0),FALSE)/'[1]Processer - data'!I33,1)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drivhus",Landbrug!E$51,1-Landbrug!E$51),1)*IF($A33="Tømmerproduktion",VLOOKUP($F33,Skovbrug!$A$59:$D$60,MATCH(J$2,Skovbrug!$A$58:$D$58,0),FALSE)/'[1]Processer - data'!J33,1)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drivhus",Landbrug!C$51,1-Landbrug!C$51),1)*IF($A34="Tømmerproduktion",VLOOKUP($F34,Skovbrug!$A$59:$D$60,MATCH(H$2,Skovbrug!$A$58:$D$58,0),FALSE)/'[1]Processer - data'!H34,1)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drivhus",Landbrug!D$51,1-Landbrug!D$51),1)*IF($A34="Tømmerproduktion",VLOOKUP($F34,Skovbrug!$A$59:$D$60,MATCH(I$2,Skovbrug!$A$58:$D$58,0),FALSE)/'[1]Processer - data'!I34,1)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drivhus",Landbrug!E$51,1-Landbrug!E$51),1)*IF($A34="Tømmerproduktion",VLOOKUP($F34,Skovbrug!$A$59:$D$60,MATCH(J$2,Skovbrug!$A$58:$D$58,0),FALSE)/'[1]Processer - data'!J34,1)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drivhus",Landbrug!C$51,1-Landbrug!C$51),1)*IF($A35="Tømmerproduktion",VLOOKUP($F35,Skovbrug!$A$59:$D$60,MATCH(H$2,Skovbrug!$A$58:$D$58,0),FALSE)/'[1]Processer - data'!H35,1)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drivhus",Landbrug!D$51,1-Landbrug!D$51),1)*IF($A35="Tømmerproduktion",VLOOKUP($F35,Skovbrug!$A$59:$D$60,MATCH(I$2,Skovbrug!$A$58:$D$58,0),FALSE)/'[1]Processer - data'!I35,1)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drivhus",Landbrug!E$51,1-Landbrug!E$51),1)*IF($A35="Tømmerproduktion",VLOOKUP($F35,Skovbrug!$A$59:$D$60,MATCH(J$2,Skovbrug!$A$58:$D$58,0),FALSE)/'[1]Processer - data'!J35,1)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drivhus",Landbrug!C$51,1-Landbrug!C$51),1)*IF($A36="Tømmerproduktion",VLOOKUP($F36,Skovbrug!$A$59:$D$60,MATCH(H$2,Skovbrug!$A$58:$D$58,0),FALSE)/'[1]Processer - data'!H36,1)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drivhus",Landbrug!D$51,1-Landbrug!D$51),1)*IF($A36="Tømmerproduktion",VLOOKUP($F36,Skovbrug!$A$59:$D$60,MATCH(I$2,Skovbrug!$A$58:$D$58,0),FALSE)/'[1]Processer - data'!I36,1)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drivhus",Landbrug!E$51,1-Landbrug!E$51),1)*IF($A36="Tømmerproduktion",VLOOKUP($F36,Skovbrug!$A$59:$D$60,MATCH(J$2,Skovbrug!$A$58:$D$58,0),FALSE)/'[1]Processer - data'!J36,1)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drivhus",Landbrug!C$51,1-Landbrug!C$51),1)*IF($A37="Tømmerproduktion",VLOOKUP($F37,Skovbrug!$A$59:$D$60,MATCH(H$2,Skovbrug!$A$58:$D$58,0),FALSE)/'[1]Processer - data'!H37,1)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drivhus",Landbrug!D$51,1-Landbrug!D$51),1)*IF($A37="Tømmerproduktion",VLOOKUP($F37,Skovbrug!$A$59:$D$60,MATCH(I$2,Skovbrug!$A$58:$D$58,0),FALSE)/'[1]Processer - data'!I37,1)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drivhus",Landbrug!E$51,1-Landbrug!E$51),1)*IF($A37="Tømmerproduktion",VLOOKUP($F37,Skovbrug!$A$59:$D$60,MATCH(J$2,Skovbrug!$A$58:$D$58,0),FALSE)/'[1]Processer - data'!J37,1)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drivhus",Landbrug!C$51,1-Landbrug!C$51),1)*IF($A38="Tømmerproduktion",VLOOKUP($F38,Skovbrug!$A$59:$D$60,MATCH(H$2,Skovbrug!$A$58:$D$58,0),FALSE)/'[1]Processer - data'!H38,1)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drivhus",Landbrug!D$51,1-Landbrug!D$51),1)*IF($A38="Tømmerproduktion",VLOOKUP($F38,Skovbrug!$A$59:$D$60,MATCH(I$2,Skovbrug!$A$58:$D$58,0),FALSE)/'[1]Processer - data'!I38,1)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drivhus",Landbrug!E$51,1-Landbrug!E$51),1)*IF($A38="Tømmerproduktion",VLOOKUP($F38,Skovbrug!$A$59:$D$60,MATCH(J$2,Skovbrug!$A$58:$D$58,0),FALSE)/'[1]Processer - data'!J38,1)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drivhus",Landbrug!C$51,1-Landbrug!C$51),1)*IF($A39="Tømmerproduktion",VLOOKUP($F39,Skovbrug!$A$59:$D$60,MATCH(H$2,Skovbrug!$A$58:$D$58,0),FALSE)/'[1]Processer - data'!H39,1)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drivhus",Landbrug!D$51,1-Landbrug!D$51),1)*IF($A39="Tømmerproduktion",VLOOKUP($F39,Skovbrug!$A$59:$D$60,MATCH(I$2,Skovbrug!$A$58:$D$58,0),FALSE)/'[1]Processer - data'!I39,1)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drivhus",Landbrug!E$51,1-Landbrug!E$51),1)*IF($A39="Tømmerproduktion",VLOOKUP($F39,Skovbrug!$A$59:$D$60,MATCH(J$2,Skovbrug!$A$58:$D$58,0),FALSE)/'[1]Processer - data'!J39,1)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drivhus",Landbrug!C$51,1-Landbrug!C$51),1)*IF($A40="Tømmerproduktion",VLOOKUP($F40,Skovbrug!$A$59:$D$60,MATCH(H$2,Skovbrug!$A$58:$D$58,0),FALSE)/'[1]Processer - data'!H40,1)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drivhus",Landbrug!D$51,1-Landbrug!D$51),1)*IF($A40="Tømmerproduktion",VLOOKUP($F40,Skovbrug!$A$59:$D$60,MATCH(I$2,Skovbrug!$A$58:$D$58,0),FALSE)/'[1]Processer - data'!I40,1)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drivhus",Landbrug!E$51,1-Landbrug!E$51),1)*IF($A40="Tømmerproduktion",VLOOKUP($F40,Skovbrug!$A$59:$D$60,MATCH(J$2,Skovbrug!$A$58:$D$58,0),FALSE)/'[1]Processer - data'!J40,1)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drivhus",Landbrug!C$51,1-Landbrug!C$51),1)*IF($A41="Tømmerproduktion",VLOOKUP($F41,Skovbrug!$A$59:$D$60,MATCH(H$2,Skovbrug!$A$58:$D$58,0),FALSE)/'[1]Processer - data'!H41,1)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drivhus",Landbrug!D$51,1-Landbrug!D$51),1)*IF($A41="Tømmerproduktion",VLOOKUP($F41,Skovbrug!$A$59:$D$60,MATCH(I$2,Skovbrug!$A$58:$D$58,0),FALSE)/'[1]Processer - data'!I41,1)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drivhus",Landbrug!E$51,1-Landbrug!E$51),1)*IF($A41="Tømmerproduktion",VLOOKUP($F41,Skovbrug!$A$59:$D$60,MATCH(J$2,Skovbrug!$A$58:$D$58,0),FALSE)/'[1]Processer - data'!J41,1)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drivhus",Landbrug!C$51,1-Landbrug!C$51),1)*IF($A42="Tømmerproduktion",VLOOKUP($F42,Skovbrug!$A$59:$D$60,MATCH(H$2,Skovbrug!$A$58:$D$58,0),FALSE)/'[1]Processer - data'!H42,1)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drivhus",Landbrug!D$51,1-Landbrug!D$51),1)*IF($A42="Tømmerproduktion",VLOOKUP($F42,Skovbrug!$A$59:$D$60,MATCH(I$2,Skovbrug!$A$58:$D$58,0),FALSE)/'[1]Processer - data'!I42,1)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drivhus",Landbrug!E$51,1-Landbrug!E$51),1)*IF($A42="Tømmerproduktion",VLOOKUP($F42,Skovbrug!$A$59:$D$60,MATCH(J$2,Skovbrug!$A$58:$D$58,0),FALSE)/'[1]Processer - data'!J42,1)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drivhus",Landbrug!C$51,1-Landbrug!C$51),1)*IF($A43="Tømmerproduktion",VLOOKUP($F43,Skovbrug!$A$59:$D$60,MATCH(H$2,Skovbrug!$A$58:$D$58,0),FALSE)/'[1]Processer - data'!H43,1)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drivhus",Landbrug!D$51,1-Landbrug!D$51),1)*IF($A43="Tømmerproduktion",VLOOKUP($F43,Skovbrug!$A$59:$D$60,MATCH(I$2,Skovbrug!$A$58:$D$58,0),FALSE)/'[1]Processer - data'!I43,1)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drivhus",Landbrug!E$51,1-Landbrug!E$51),1)*IF($A43="Tømmerproduktion",VLOOKUP($F43,Skovbrug!$A$59:$D$60,MATCH(J$2,Skovbrug!$A$58:$D$58,0),FALSE)/'[1]Processer - data'!J43,1)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drivhus",Landbrug!C$51,1-Landbrug!C$51),1)*IF($A44="Tømmerproduktion",VLOOKUP($F44,Skovbrug!$A$59:$D$60,MATCH(H$2,Skovbrug!$A$58:$D$58,0),FALSE)/'[1]Processer - data'!H44,1)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drivhus",Landbrug!D$51,1-Landbrug!D$51),1)*IF($A44="Tømmerproduktion",VLOOKUP($F44,Skovbrug!$A$59:$D$60,MATCH(I$2,Skovbrug!$A$58:$D$58,0),FALSE)/'[1]Processer - data'!I44,1)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drivhus",Landbrug!E$51,1-Landbrug!E$51),1)*IF($A44="Tømmerproduktion",VLOOKUP($F44,Skovbrug!$A$59:$D$60,MATCH(J$2,Skovbrug!$A$58:$D$58,0),FALSE)/'[1]Processer - data'!J44,1)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drivhus",Landbrug!C$51,1-Landbrug!C$51),1)*IF($A45="Tømmerproduktion",VLOOKUP($F45,Skovbrug!$A$59:$D$60,MATCH(H$2,Skovbrug!$A$58:$D$58,0),FALSE)/'[1]Processer - data'!H45,1)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drivhus",Landbrug!D$51,1-Landbrug!D$51),1)*IF($A45="Tømmerproduktion",VLOOKUP($F45,Skovbrug!$A$59:$D$60,MATCH(I$2,Skovbrug!$A$58:$D$58,0),FALSE)/'[1]Processer - data'!I45,1)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drivhus",Landbrug!E$51,1-Landbrug!E$51),1)*IF($A45="Tømmerproduktion",VLOOKUP($F45,Skovbrug!$A$59:$D$60,MATCH(J$2,Skovbrug!$A$58:$D$58,0),FALSE)/'[1]Processer - data'!J45,1)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drivhus",Landbrug!C$51,1-Landbrug!C$51),1)*IF($A46="Tømmerproduktion",VLOOKUP($F46,Skovbrug!$A$59:$D$60,MATCH(H$2,Skovbrug!$A$58:$D$58,0),FALSE)/'[1]Processer - data'!H46,1)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drivhus",Landbrug!D$51,1-Landbrug!D$51),1)*IF($A46="Tømmerproduktion",VLOOKUP($F46,Skovbrug!$A$59:$D$60,MATCH(I$2,Skovbrug!$A$58:$D$58,0),FALSE)/'[1]Processer - data'!I46,1)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drivhus",Landbrug!E$51,1-Landbrug!E$51),1)*IF($A46="Tømmerproduktion",VLOOKUP($F46,Skovbrug!$A$59:$D$60,MATCH(J$2,Skovbrug!$A$58:$D$58,0),FALSE)/'[1]Processer - data'!J46,1)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drivhus",Landbrug!C$51,1-Landbrug!C$51),1)*IF($A47="Tømmerproduktion",VLOOKUP($F47,Skovbrug!$A$59:$D$60,MATCH(H$2,Skovbrug!$A$58:$D$58,0),FALSE)/'[1]Processer - data'!H47,1)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drivhus",Landbrug!D$51,1-Landbrug!D$51),1)*IF($A47="Tømmerproduktion",VLOOKUP($F47,Skovbrug!$A$59:$D$60,MATCH(I$2,Skovbrug!$A$58:$D$58,0),FALSE)/'[1]Processer - data'!I47,1)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drivhus",Landbrug!E$51,1-Landbrug!E$51),1)*IF($A47="Tømmerproduktion",VLOOKUP($F47,Skovbrug!$A$59:$D$60,MATCH(J$2,Skovbrug!$A$58:$D$58,0),FALSE)/'[1]Processer - data'!J47,1)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drivhus",Landbrug!C$51,1-Landbrug!C$51),1)*IF($A48="Tømmerproduktion",VLOOKUP($F48,Skovbrug!$A$59:$D$60,MATCH(H$2,Skovbrug!$A$58:$D$58,0),FALSE)/'[1]Processer - data'!H48,1)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drivhus",Landbrug!D$51,1-Landbrug!D$51),1)*IF($A48="Tømmerproduktion",VLOOKUP($F48,Skovbrug!$A$59:$D$60,MATCH(I$2,Skovbrug!$A$58:$D$58,0),FALSE)/'[1]Processer - data'!I48,1)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drivhus",Landbrug!E$51,1-Landbrug!E$51),1)*IF($A48="Tømmerproduktion",VLOOKUP($F48,Skovbrug!$A$59:$D$60,MATCH(J$2,Skovbrug!$A$58:$D$58,0),FALSE)/'[1]Processer - data'!J48,1)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drivhus",Landbrug!C$51,1-Landbrug!C$51),1)*IF($A49="Tømmerproduktion",VLOOKUP($F49,Skovbrug!$A$59:$D$60,MATCH(H$2,Skovbrug!$A$58:$D$58,0),FALSE)/'[1]Processer - data'!H49,1)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drivhus",Landbrug!D$51,1-Landbrug!D$51),1)*IF($A49="Tømmerproduktion",VLOOKUP($F49,Skovbrug!$A$59:$D$60,MATCH(I$2,Skovbrug!$A$58:$D$58,0),FALSE)/'[1]Processer - data'!I49,1)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drivhus",Landbrug!E$51,1-Landbrug!E$51),1)*IF($A49="Tømmerproduktion",VLOOKUP($F49,Skovbrug!$A$59:$D$60,MATCH(J$2,Skovbrug!$A$58:$D$58,0),FALSE)/'[1]Processer - data'!J49,1)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drivhus",Landbrug!C$51,1-Landbrug!C$51),1)*IF($A50="Tømmerproduktion",VLOOKUP($F50,Skovbrug!$A$59:$D$60,MATCH(H$2,Skovbrug!$A$58:$D$58,0),FALSE)/'[1]Processer - data'!H50,1)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drivhus",Landbrug!D$51,1-Landbrug!D$51),1)*IF($A50="Tømmerproduktion",VLOOKUP($F50,Skovbrug!$A$59:$D$60,MATCH(I$2,Skovbrug!$A$58:$D$58,0),FALSE)/'[1]Processer - data'!I50,1)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drivhus",Landbrug!E$51,1-Landbrug!E$51),1)*IF($A50="Tømmerproduktion",VLOOKUP($F50,Skovbrug!$A$59:$D$60,MATCH(J$2,Skovbrug!$A$58:$D$58,0),FALSE)/'[1]Processer - data'!J50,1)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drivhus",Landbrug!C$51,1-Landbrug!C$51),1)*IF($A51="Tømmerproduktion",VLOOKUP($F51,Skovbrug!$A$59:$D$60,MATCH(H$2,Skovbrug!$A$58:$D$58,0),FALSE)/'[1]Processer - data'!H51,1)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drivhus",Landbrug!D$51,1-Landbrug!D$51),1)*IF($A51="Tømmerproduktion",VLOOKUP($F51,Skovbrug!$A$59:$D$60,MATCH(I$2,Skovbrug!$A$58:$D$58,0),FALSE)/'[1]Processer - data'!I51,1)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drivhus",Landbrug!E$51,1-Landbrug!E$51),1)*IF($A51="Tømmerproduktion",VLOOKUP($F51,Skovbrug!$A$59:$D$60,MATCH(J$2,Skovbrug!$A$58:$D$58,0),FALSE)/'[1]Processer - data'!J51,1)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drivhus",Landbrug!C$51,1-Landbrug!C$51),1)*IF($A52="Tømmerproduktion",VLOOKUP($F52,Skovbrug!$A$59:$D$60,MATCH(H$2,Skovbrug!$A$58:$D$58,0),FALSE)/'[1]Processer - data'!H52,1)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drivhus",Landbrug!D$51,1-Landbrug!D$51),1)*IF($A52="Tømmerproduktion",VLOOKUP($F52,Skovbrug!$A$59:$D$60,MATCH(I$2,Skovbrug!$A$58:$D$58,0),FALSE)/'[1]Processer - data'!I52,1)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drivhus",Landbrug!E$51,1-Landbrug!E$51),1)*IF($A52="Tømmerproduktion",VLOOKUP($F52,Skovbrug!$A$59:$D$60,MATCH(J$2,Skovbrug!$A$58:$D$58,0),FALSE)/'[1]Processer - data'!J52,1)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drivhus",Landbrug!C$51,1-Landbrug!C$51),1)*IF($A53="Tømmerproduktion",VLOOKUP($F53,Skovbrug!$A$59:$D$60,MATCH(H$2,Skovbrug!$A$58:$D$58,0),FALSE)/'[1]Processer - data'!H53,1)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drivhus",Landbrug!D$51,1-Landbrug!D$51),1)*IF($A53="Tømmerproduktion",VLOOKUP($F53,Skovbrug!$A$59:$D$60,MATCH(I$2,Skovbrug!$A$58:$D$58,0),FALSE)/'[1]Processer - data'!I53,1)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drivhus",Landbrug!E$51,1-Landbrug!E$51),1)*IF($A53="Tømmerproduktion",VLOOKUP($F53,Skovbrug!$A$59:$D$60,MATCH(J$2,Skovbrug!$A$58:$D$58,0),FALSE)/'[1]Processer - data'!J53,1)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drivhus",Landbrug!C$51,1-Landbrug!C$51),1)*IF($A54="Tømmerproduktion",VLOOKUP($F54,Skovbrug!$A$59:$D$60,MATCH(H$2,Skovbrug!$A$58:$D$58,0),FALSE)/'[1]Processer - data'!H54,1)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drivhus",Landbrug!D$51,1-Landbrug!D$51),1)*IF($A54="Tømmerproduktion",VLOOKUP($F54,Skovbrug!$A$59:$D$60,MATCH(I$2,Skovbrug!$A$58:$D$58,0),FALSE)/'[1]Processer - data'!I54,1)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drivhus",Landbrug!E$51,1-Landbrug!E$51),1)*IF($A54="Tømmerproduktion",VLOOKUP($F54,Skovbrug!$A$59:$D$60,MATCH(J$2,Skovbrug!$A$58:$D$58,0),FALSE)/'[1]Processer - data'!J54,1)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drivhus",Landbrug!C$51,1-Landbrug!C$51),1)*IF($A55="Tømmerproduktion",VLOOKUP($F55,Skovbrug!$A$59:$D$60,MATCH(H$2,Skovbrug!$A$58:$D$58,0),FALSE)/'[1]Processer - data'!H55,1)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drivhus",Landbrug!D$51,1-Landbrug!D$51),1)*IF($A55="Tømmerproduktion",VLOOKUP($F55,Skovbrug!$A$59:$D$60,MATCH(I$2,Skovbrug!$A$58:$D$58,0),FALSE)/'[1]Processer - data'!I55,1)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drivhus",Landbrug!E$51,1-Landbrug!E$51),1)*IF($A55="Tømmerproduktion",VLOOKUP($F55,Skovbrug!$A$59:$D$60,MATCH(J$2,Skovbrug!$A$58:$D$58,0),FALSE)/'[1]Processer - data'!J55,1)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drivhus",Landbrug!C$51,1-Landbrug!C$51),1)*IF($A56="Tømmerproduktion",VLOOKUP($F56,Skovbrug!$A$59:$D$60,MATCH(H$2,Skovbrug!$A$58:$D$58,0),FALSE)/'[1]Processer - data'!H56,1)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drivhus",Landbrug!D$51,1-Landbrug!D$51),1)*IF($A56="Tømmerproduktion",VLOOKUP($F56,Skovbrug!$A$59:$D$60,MATCH(I$2,Skovbrug!$A$58:$D$58,0),FALSE)/'[1]Processer - data'!I56,1)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drivhus",Landbrug!E$51,1-Landbrug!E$51),1)*IF($A56="Tømmerproduktion",VLOOKUP($F56,Skovbrug!$A$59:$D$60,MATCH(J$2,Skovbrug!$A$58:$D$58,0),FALSE)/'[1]Processer - data'!J56,1)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drivhus",Landbrug!C$51,1-Landbrug!C$51),1)*IF($A57="Tømmerproduktion",VLOOKUP($F57,Skovbrug!$A$59:$D$60,MATCH(H$2,Skovbrug!$A$58:$D$58,0),FALSE)/'[1]Processer - data'!H57,1)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drivhus",Landbrug!D$51,1-Landbrug!D$51),1)*IF($A57="Tømmerproduktion",VLOOKUP($F57,Skovbrug!$A$59:$D$60,MATCH(I$2,Skovbrug!$A$58:$D$58,0),FALSE)/'[1]Processer - data'!I57,1)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drivhus",Landbrug!E$51,1-Landbrug!E$51),1)*IF($A57="Tømmerproduktion",VLOOKUP($F57,Skovbrug!$A$59:$D$60,MATCH(J$2,Skovbrug!$A$58:$D$58,0),FALSE)/'[1]Processer - data'!J57,1)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drivhus",Landbrug!C$51,1-Landbrug!C$51),1)*IF($A58="Tømmerproduktion",VLOOKUP($F58,Skovbrug!$A$59:$D$60,MATCH(H$2,Skovbrug!$A$58:$D$58,0),FALSE)/'[1]Processer - data'!H58,1)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drivhus",Landbrug!D$51,1-Landbrug!D$51),1)*IF($A58="Tømmerproduktion",VLOOKUP($F58,Skovbrug!$A$59:$D$60,MATCH(I$2,Skovbrug!$A$58:$D$58,0),FALSE)/'[1]Processer - data'!I58,1)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drivhus",Landbrug!E$51,1-Landbrug!E$51),1)*IF($A58="Tømmerproduktion",VLOOKUP($F58,Skovbrug!$A$59:$D$60,MATCH(J$2,Skovbrug!$A$58:$D$58,0),FALSE)/'[1]Processer - data'!J58,1)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drivhus",Landbrug!C$51,1-Landbrug!C$51),1)*IF($A59="Tømmerproduktion",VLOOKUP($F59,Skovbrug!$A$59:$D$60,MATCH(H$2,Skovbrug!$A$58:$D$58,0),FALSE)/'[1]Processer - data'!H59,1)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drivhus",Landbrug!D$51,1-Landbrug!D$51),1)*IF($A59="Tømmerproduktion",VLOOKUP($F59,Skovbrug!$A$59:$D$60,MATCH(I$2,Skovbrug!$A$58:$D$58,0),FALSE)/'[1]Processer - data'!I59,1)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drivhus",Landbrug!E$51,1-Landbrug!E$51),1)*IF($A59="Tømmerproduktion",VLOOKUP($F59,Skovbrug!$A$59:$D$60,MATCH(J$2,Skovbrug!$A$58:$D$58,0),FALSE)/'[1]Processer - data'!J59,1)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drivhus",Landbrug!C$51,1-Landbrug!C$51),1)*IF($A60="Tømmerproduktion",VLOOKUP($F60,Skovbrug!$A$59:$D$60,MATCH(H$2,Skovbrug!$A$58:$D$58,0),FALSE)/'[1]Processer - data'!H60,1)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drivhus",Landbrug!D$51,1-Landbrug!D$51),1)*IF($A60="Tømmerproduktion",VLOOKUP($F60,Skovbrug!$A$59:$D$60,MATCH(I$2,Skovbrug!$A$58:$D$58,0),FALSE)/'[1]Processer - data'!I60,1)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drivhus",Landbrug!E$51,1-Landbrug!E$51),1)*IF($A60="Tømmerproduktion",VLOOKUP($F60,Skovbrug!$A$59:$D$60,MATCH(J$2,Skovbrug!$A$58:$D$58,0),FALSE)/'[1]Processer - data'!J60,1)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drivhus",Landbrug!C$51,1-Landbrug!C$51),1)*IF($A61="Tømmerproduktion",VLOOKUP($F61,Skovbrug!$A$59:$D$60,MATCH(H$2,Skovbrug!$A$58:$D$58,0),FALSE)/'[1]Processer - data'!H61,1)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drivhus",Landbrug!D$51,1-Landbrug!D$51),1)*IF($A61="Tømmerproduktion",VLOOKUP($F61,Skovbrug!$A$59:$D$60,MATCH(I$2,Skovbrug!$A$58:$D$58,0),FALSE)/'[1]Processer - data'!I61,1)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drivhus",Landbrug!E$51,1-Landbrug!E$51),1)*IF($A61="Tømmerproduktion",VLOOKUP($F61,Skovbrug!$A$59:$D$60,MATCH(J$2,Skovbrug!$A$58:$D$58,0),FALSE)/'[1]Processer - data'!J61,1)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drivhus",Landbrug!C$51,1-Landbrug!C$51),1)*IF($A62="Tømmerproduktion",VLOOKUP($F62,Skovbrug!$A$59:$D$60,MATCH(H$2,Skovbrug!$A$58:$D$58,0),FALSE)/'[1]Processer - data'!H62,1)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drivhus",Landbrug!D$51,1-Landbrug!D$51),1)*IF($A62="Tømmerproduktion",VLOOKUP($F62,Skovbrug!$A$59:$D$60,MATCH(I$2,Skovbrug!$A$58:$D$58,0),FALSE)/'[1]Processer - data'!I62,1)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drivhus",Landbrug!E$51,1-Landbrug!E$51),1)*IF($A62="Tømmerproduktion",VLOOKUP($F62,Skovbrug!$A$59:$D$60,MATCH(J$2,Skovbrug!$A$58:$D$58,0),FALSE)/'[1]Processer - data'!J62,1)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drivhus",Landbrug!C$51,1-Landbrug!C$51),1)*IF($A63="Tømmerproduktion",VLOOKUP($F63,Skovbrug!$A$59:$D$60,MATCH(H$2,Skovbrug!$A$58:$D$58,0),FALSE)/'[1]Processer - data'!H63,1)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drivhus",Landbrug!D$51,1-Landbrug!D$51),1)*IF($A63="Tømmerproduktion",VLOOKUP($F63,Skovbrug!$A$59:$D$60,MATCH(I$2,Skovbrug!$A$58:$D$58,0),FALSE)/'[1]Processer - data'!I63,1)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drivhus",Landbrug!E$51,1-Landbrug!E$51),1)*IF($A63="Tømmerproduktion",VLOOKUP($F63,Skovbrug!$A$59:$D$60,MATCH(J$2,Skovbrug!$A$58:$D$58,0),FALSE)/'[1]Processer - data'!J63,1)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drivhus",Landbrug!C$51,1-Landbrug!C$51),1)*IF($A64="Tømmerproduktion",VLOOKUP($F64,Skovbrug!$A$59:$D$60,MATCH(H$2,Skovbrug!$A$58:$D$58,0),FALSE)/'[1]Processer - data'!H64,1)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drivhus",Landbrug!D$51,1-Landbrug!D$51),1)*IF($A64="Tømmerproduktion",VLOOKUP($F64,Skovbrug!$A$59:$D$60,MATCH(I$2,Skovbrug!$A$58:$D$58,0),FALSE)/'[1]Processer - data'!I64,1)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drivhus",Landbrug!E$51,1-Landbrug!E$51),1)*IF($A64="Tømmerproduktion",VLOOKUP($F64,Skovbrug!$A$59:$D$60,MATCH(J$2,Skovbrug!$A$58:$D$58,0),FALSE)/'[1]Processer - data'!J64,1)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drivhus",Landbrug!C$51,1-Landbrug!C$51),1)*IF($A65="Tømmerproduktion",VLOOKUP($F65,Skovbrug!$A$59:$D$60,MATCH(H$2,Skovbrug!$A$58:$D$58,0),FALSE)/'[1]Processer - data'!H65,1)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drivhus",Landbrug!D$51,1-Landbrug!D$51),1)*IF($A65="Tømmerproduktion",VLOOKUP($F65,Skovbrug!$A$59:$D$60,MATCH(I$2,Skovbrug!$A$58:$D$58,0),FALSE)/'[1]Processer - data'!I65,1)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drivhus",Landbrug!E$51,1-Landbrug!E$51),1)*IF($A65="Tømmerproduktion",VLOOKUP($F65,Skovbrug!$A$59:$D$60,MATCH(J$2,Skovbrug!$A$58:$D$58,0),FALSE)/'[1]Processer - data'!J65,1)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drivhus",Landbrug!C$51,1-Landbrug!C$51),1)*IF($A66="Tømmerproduktion",VLOOKUP($F66,Skovbrug!$A$59:$D$60,MATCH(H$2,Skovbrug!$A$58:$D$58,0),FALSE)/'[1]Processer - data'!H66,1)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drivhus",Landbrug!D$51,1-Landbrug!D$51),1)*IF($A66="Tømmerproduktion",VLOOKUP($F66,Skovbrug!$A$59:$D$60,MATCH(I$2,Skovbrug!$A$58:$D$58,0),FALSE)/'[1]Processer - data'!I66,1)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drivhus",Landbrug!E$51,1-Landbrug!E$51),1)*IF($A66="Tømmerproduktion",VLOOKUP($F66,Skovbrug!$A$59:$D$60,MATCH(J$2,Skovbrug!$A$58:$D$58,0),FALSE)/'[1]Processer - data'!J66,1)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drivhus",Landbrug!C$51,1-Landbrug!C$51),1)*IF($A67="Tømmerproduktion",VLOOKUP($F67,Skovbrug!$A$59:$D$60,MATCH(H$2,Skovbrug!$A$58:$D$58,0),FALSE)/'[1]Processer - data'!H67,1)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drivhus",Landbrug!D$51,1-Landbrug!D$51),1)*IF($A67="Tømmerproduktion",VLOOKUP($F67,Skovbrug!$A$59:$D$60,MATCH(I$2,Skovbrug!$A$58:$D$58,0),FALSE)/'[1]Processer - data'!I67,1)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drivhus",Landbrug!E$51,1-Landbrug!E$51),1)*IF($A67="Tømmerproduktion",VLOOKUP($F67,Skovbrug!$A$59:$D$60,MATCH(J$2,Skovbrug!$A$58:$D$58,0),FALSE)/'[1]Processer - data'!J67,1)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drivhus",Landbrug!C$51,1-Landbrug!C$51),1)*IF($A68="Tømmerproduktion",VLOOKUP($F68,Skovbrug!$A$59:$D$60,MATCH(H$2,Skovbrug!$A$58:$D$58,0),FALSE)/'[1]Processer - data'!H68,1)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drivhus",Landbrug!D$51,1-Landbrug!D$51),1)*IF($A68="Tømmerproduktion",VLOOKUP($F68,Skovbrug!$A$59:$D$60,MATCH(I$2,Skovbrug!$A$58:$D$58,0),FALSE)/'[1]Processer - data'!I68,1)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drivhus",Landbrug!E$51,1-Landbrug!E$51),1)*IF($A68="Tømmerproduktion",VLOOKUP($F68,Skovbrug!$A$59:$D$60,MATCH(J$2,Skovbrug!$A$58:$D$58,0),FALSE)/'[1]Processer - data'!J68,1)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drivhus",Landbrug!C$51,1-Landbrug!C$51),1)*IF($A69="Tømmerproduktion",VLOOKUP($F69,Skovbrug!$A$59:$D$60,MATCH(H$2,Skovbrug!$A$58:$D$58,0),FALSE)/'[1]Processer - data'!H69,1)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drivhus",Landbrug!D$51,1-Landbrug!D$51),1)*IF($A69="Tømmerproduktion",VLOOKUP($F69,Skovbrug!$A$59:$D$60,MATCH(I$2,Skovbrug!$A$58:$D$58,0),FALSE)/'[1]Processer - data'!I69,1)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drivhus",Landbrug!E$51,1-Landbrug!E$51),1)*IF($A69="Tømmerproduktion",VLOOKUP($F69,Skovbrug!$A$59:$D$60,MATCH(J$2,Skovbrug!$A$58:$D$58,0),FALSE)/'[1]Processer - data'!J69,1)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drivhus",Landbrug!C$51,1-Landbrug!C$51),1)*IF($A70="Tømmerproduktion",VLOOKUP($F70,Skovbrug!$A$59:$D$60,MATCH(H$2,Skovbrug!$A$58:$D$58,0),FALSE)/'[1]Processer - data'!H70,1)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drivhus",Landbrug!D$51,1-Landbrug!D$51),1)*IF($A70="Tømmerproduktion",VLOOKUP($F70,Skovbrug!$A$59:$D$60,MATCH(I$2,Skovbrug!$A$58:$D$58,0),FALSE)/'[1]Processer - data'!I70,1)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drivhus",Landbrug!E$51,1-Landbrug!E$51),1)*IF($A70="Tømmerproduktion",VLOOKUP($F70,Skovbrug!$A$59:$D$60,MATCH(J$2,Skovbrug!$A$58:$D$58,0),FALSE)/'[1]Processer - data'!J70,1)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drivhus",Landbrug!C$51,1-Landbrug!C$51),1)*IF($A71="Tømmerproduktion",VLOOKUP($F71,Skovbrug!$A$59:$D$60,MATCH(H$2,Skovbrug!$A$58:$D$58,0),FALSE)/'[1]Processer - data'!H71,1)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drivhus",Landbrug!D$51,1-Landbrug!D$51),1)*IF($A71="Tømmerproduktion",VLOOKUP($F71,Skovbrug!$A$59:$D$60,MATCH(I$2,Skovbrug!$A$58:$D$58,0),FALSE)/'[1]Processer - data'!I71,1)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drivhus",Landbrug!E$51,1-Landbrug!E$51),1)*IF($A71="Tømmerproduktion",VLOOKUP($F71,Skovbrug!$A$59:$D$60,MATCH(J$2,Skovbrug!$A$58:$D$58,0),FALSE)/'[1]Processer - data'!J71,1)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drivhus",Landbrug!C$51,1-Landbrug!C$51),1)*IF($A72="Tømmerproduktion",VLOOKUP($F72,Skovbrug!$A$59:$D$60,MATCH(H$2,Skovbrug!$A$58:$D$58,0),FALSE)/'[1]Processer - data'!H72,1)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drivhus",Landbrug!D$51,1-Landbrug!D$51),1)*IF($A72="Tømmerproduktion",VLOOKUP($F72,Skovbrug!$A$59:$D$60,MATCH(I$2,Skovbrug!$A$58:$D$58,0),FALSE)/'[1]Processer - data'!I72,1)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drivhus",Landbrug!E$51,1-Landbrug!E$51),1)*IF($A72="Tømmerproduktion",VLOOKUP($F72,Skovbrug!$A$59:$D$60,MATCH(J$2,Skovbrug!$A$58:$D$58,0),FALSE)/'[1]Processer - data'!J72,1)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drivhus",Landbrug!C$51,1-Landbrug!C$51),1)*IF($A73="Tømmerproduktion",VLOOKUP($F73,Skovbrug!$A$59:$D$60,MATCH(H$2,Skovbrug!$A$58:$D$58,0),FALSE)/'[1]Processer - data'!H73,1)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drivhus",Landbrug!D$51,1-Landbrug!D$51),1)*IF($A73="Tømmerproduktion",VLOOKUP($F73,Skovbrug!$A$59:$D$60,MATCH(I$2,Skovbrug!$A$58:$D$58,0),FALSE)/'[1]Processer - data'!I73,1)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drivhus",Landbrug!E$51,1-Landbrug!E$51),1)*IF($A73="Tømmerproduktion",VLOOKUP($F73,Skovbrug!$A$59:$D$60,MATCH(J$2,Skovbrug!$A$58:$D$58,0),FALSE)/'[1]Processer - data'!J73,1)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drivhus",Landbrug!C$51,1-Landbrug!C$51),1)*IF($A74="Tømmerproduktion",VLOOKUP($F74,Skovbrug!$A$59:$D$60,MATCH(H$2,Skovbrug!$A$58:$D$58,0),FALSE)/'[1]Processer - data'!H74,1)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drivhus",Landbrug!D$51,1-Landbrug!D$51),1)*IF($A74="Tømmerproduktion",VLOOKUP($F74,Skovbrug!$A$59:$D$60,MATCH(I$2,Skovbrug!$A$58:$D$58,0),FALSE)/'[1]Processer - data'!I74,1)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drivhus",Landbrug!E$51,1-Landbrug!E$51),1)*IF($A74="Tømmerproduktion",VLOOKUP($F74,Skovbrug!$A$59:$D$60,MATCH(J$2,Skovbrug!$A$58:$D$58,0),FALSE)/'[1]Processer - data'!J74,1)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drivhus",Landbrug!C$51,1-Landbrug!C$51),1)*IF($A75="Tømmerproduktion",VLOOKUP($F75,Skovbrug!$A$59:$D$60,MATCH(H$2,Skovbrug!$A$58:$D$58,0),FALSE)/'[1]Processer - data'!H75,1)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drivhus",Landbrug!D$51,1-Landbrug!D$51),1)*IF($A75="Tømmerproduktion",VLOOKUP($F75,Skovbrug!$A$59:$D$60,MATCH(I$2,Skovbrug!$A$58:$D$58,0),FALSE)/'[1]Processer - data'!I75,1)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drivhus",Landbrug!E$51,1-Landbrug!E$51),1)*IF($A75="Tømmerproduktion",VLOOKUP($F75,Skovbrug!$A$59:$D$60,MATCH(J$2,Skovbrug!$A$58:$D$58,0),FALSE)/'[1]Processer - data'!J75,1)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drivhus",Landbrug!C$51,1-Landbrug!C$51),1)*IF($A76="Tømmerproduktion",VLOOKUP($F76,Skovbrug!$A$59:$D$60,MATCH(H$2,Skovbrug!$A$58:$D$58,0),FALSE)/'[1]Processer - data'!H76,1)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drivhus",Landbrug!D$51,1-Landbrug!D$51),1)*IF($A76="Tømmerproduktion",VLOOKUP($F76,Skovbrug!$A$59:$D$60,MATCH(I$2,Skovbrug!$A$58:$D$58,0),FALSE)/'[1]Processer - data'!I76,1)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drivhus",Landbrug!E$51,1-Landbrug!E$51),1)*IF($A76="Tømmerproduktion",VLOOKUP($F76,Skovbrug!$A$59:$D$60,MATCH(J$2,Skovbrug!$A$58:$D$58,0),FALSE)/'[1]Processer - data'!J76,1)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drivhus",Landbrug!C$51,1-Landbrug!C$51),1)*IF($A77="Tømmerproduktion",VLOOKUP($F77,Skovbrug!$A$59:$D$60,MATCH(H$2,Skovbrug!$A$58:$D$58,0),FALSE)/'[1]Processer - data'!H77,1)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drivhus",Landbrug!D$51,1-Landbrug!D$51),1)*IF($A77="Tømmerproduktion",VLOOKUP($F77,Skovbrug!$A$59:$D$60,MATCH(I$2,Skovbrug!$A$58:$D$58,0),FALSE)/'[1]Processer - data'!I77,1)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drivhus",Landbrug!E$51,1-Landbrug!E$51),1)*IF($A77="Tømmerproduktion",VLOOKUP($F77,Skovbrug!$A$59:$D$60,MATCH(J$2,Skovbrug!$A$58:$D$58,0),FALSE)/'[1]Processer - data'!J77,1)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drivhus",Landbrug!C$51,1-Landbrug!C$51),1)*IF($A78="Tømmerproduktion",VLOOKUP($F78,Skovbrug!$A$59:$D$60,MATCH(H$2,Skovbrug!$A$58:$D$58,0),FALSE)/'[1]Processer - data'!H78,1)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drivhus",Landbrug!D$51,1-Landbrug!D$51),1)*IF($A78="Tømmerproduktion",VLOOKUP($F78,Skovbrug!$A$59:$D$60,MATCH(I$2,Skovbrug!$A$58:$D$58,0),FALSE)/'[1]Processer - data'!I78,1)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drivhus",Landbrug!E$51,1-Landbrug!E$51),1)*IF($A78="Tømmerproduktion",VLOOKUP($F78,Skovbrug!$A$59:$D$60,MATCH(J$2,Skovbrug!$A$58:$D$58,0),FALSE)/'[1]Processer - data'!J78,1)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drivhus",Landbrug!C$51,1-Landbrug!C$51),1)*IF($A79="Tømmerproduktion",VLOOKUP($F79,Skovbrug!$A$59:$D$60,MATCH(H$2,Skovbrug!$A$58:$D$58,0),FALSE)/'[1]Processer - data'!H79,1)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drivhus",Landbrug!D$51,1-Landbrug!D$51),1)*IF($A79="Tømmerproduktion",VLOOKUP($F79,Skovbrug!$A$59:$D$60,MATCH(I$2,Skovbrug!$A$58:$D$58,0),FALSE)/'[1]Processer - data'!I79,1)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drivhus",Landbrug!E$51,1-Landbrug!E$51),1)*IF($A79="Tømmerproduktion",VLOOKUP($F79,Skovbrug!$A$59:$D$60,MATCH(J$2,Skovbrug!$A$58:$D$58,0),FALSE)/'[1]Processer - data'!J79,1)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drivhus",Landbrug!C$51,1-Landbrug!C$51),1)*IF($A80="Tømmerproduktion",VLOOKUP($F80,Skovbrug!$A$59:$D$60,MATCH(H$2,Skovbrug!$A$58:$D$58,0),FALSE)/'[1]Processer - data'!H80,1)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drivhus",Landbrug!D$51,1-Landbrug!D$51),1)*IF($A80="Tømmerproduktion",VLOOKUP($F80,Skovbrug!$A$59:$D$60,MATCH(I$2,Skovbrug!$A$58:$D$58,0),FALSE)/'[1]Processer - data'!I80,1)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drivhus",Landbrug!E$51,1-Landbrug!E$51),1)*IF($A80="Tømmerproduktion",VLOOKUP($F80,Skovbrug!$A$59:$D$60,MATCH(J$2,Skovbrug!$A$58:$D$58,0),FALSE)/'[1]Processer - data'!J80,1)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drivhus",Landbrug!C$51,1-Landbrug!C$51),1)*IF($A81="Tømmerproduktion",VLOOKUP($F81,Skovbrug!$A$59:$D$60,MATCH(H$2,Skovbrug!$A$58:$D$58,0),FALSE)/'[1]Processer - data'!H81,1)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drivhus",Landbrug!D$51,1-Landbrug!D$51),1)*IF($A81="Tømmerproduktion",VLOOKUP($F81,Skovbrug!$A$59:$D$60,MATCH(I$2,Skovbrug!$A$58:$D$58,0),FALSE)/'[1]Processer - data'!I81,1)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drivhus",Landbrug!E$51,1-Landbrug!E$51),1)*IF($A81="Tømmerproduktion",VLOOKUP($F81,Skovbrug!$A$59:$D$60,MATCH(J$2,Skovbrug!$A$58:$D$58,0),FALSE)/'[1]Processer - data'!J81,1)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drivhus",Landbrug!C$51,1-Landbrug!C$51),1)*IF($A82="Tømmerproduktion",VLOOKUP($F82,Skovbrug!$A$59:$D$60,MATCH(H$2,Skovbrug!$A$58:$D$58,0),FALSE)/'[1]Processer - data'!H82,1)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drivhus",Landbrug!D$51,1-Landbrug!D$51),1)*IF($A82="Tømmerproduktion",VLOOKUP($F82,Skovbrug!$A$59:$D$60,MATCH(I$2,Skovbrug!$A$58:$D$58,0),FALSE)/'[1]Processer - data'!I82,1)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drivhus",Landbrug!E$51,1-Landbrug!E$51),1)*IF($A82="Tømmerproduktion",VLOOKUP($F82,Skovbrug!$A$59:$D$60,MATCH(J$2,Skovbrug!$A$58:$D$58,0),FALSE)/'[1]Processer - data'!J82,1)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drivhus",Landbrug!C$51,1-Landbrug!C$51),1)*IF($A83="Tømmerproduktion",VLOOKUP($F83,Skovbrug!$A$59:$D$60,MATCH(H$2,Skovbrug!$A$58:$D$58,0),FALSE)/'[1]Processer - data'!H83,1)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drivhus",Landbrug!D$51,1-Landbrug!D$51),1)*IF($A83="Tømmerproduktion",VLOOKUP($F83,Skovbrug!$A$59:$D$60,MATCH(I$2,Skovbrug!$A$58:$D$58,0),FALSE)/'[1]Processer - data'!I83,1)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drivhus",Landbrug!E$51,1-Landbrug!E$51),1)*IF($A83="Tømmerproduktion",VLOOKUP($F83,Skovbrug!$A$59:$D$60,MATCH(J$2,Skovbrug!$A$58:$D$58,0),FALSE)/'[1]Processer - data'!J83,1)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drivhus",Landbrug!C$51,1-Landbrug!C$51),1)*IF($A84="Tømmerproduktion",VLOOKUP($F84,Skovbrug!$A$59:$D$60,MATCH(H$2,Skovbrug!$A$58:$D$58,0),FALSE)/'[1]Processer - data'!H84,1)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drivhus",Landbrug!D$51,1-Landbrug!D$51),1)*IF($A84="Tømmerproduktion",VLOOKUP($F84,Skovbrug!$A$59:$D$60,MATCH(I$2,Skovbrug!$A$58:$D$58,0),FALSE)/'[1]Processer - data'!I84,1)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drivhus",Landbrug!E$51,1-Landbrug!E$51),1)*IF($A84="Tømmerproduktion",VLOOKUP($F84,Skovbrug!$A$59:$D$60,MATCH(J$2,Skovbrug!$A$58:$D$58,0),FALSE)/'[1]Processer - data'!J84,1)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drivhus",Landbrug!C$51,1-Landbrug!C$51),1)*IF($A85="Tømmerproduktion",VLOOKUP($F85,Skovbrug!$A$59:$D$60,MATCH(H$2,Skovbrug!$A$58:$D$58,0),FALSE)/'[1]Processer - data'!H85,1)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drivhus",Landbrug!D$51,1-Landbrug!D$51),1)*IF($A85="Tømmerproduktion",VLOOKUP($F85,Skovbrug!$A$59:$D$60,MATCH(I$2,Skovbrug!$A$58:$D$58,0),FALSE)/'[1]Processer - data'!I85,1)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drivhus",Landbrug!E$51,1-Landbrug!E$51),1)*IF($A85="Tømmerproduktion",VLOOKUP($F85,Skovbrug!$A$59:$D$60,MATCH(J$2,Skovbrug!$A$58:$D$58,0),FALSE)/'[1]Processer - data'!J85,1)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drivhus",Landbrug!C$51,1-Landbrug!C$51),1)*IF($A86="Tømmerproduktion",VLOOKUP($F86,Skovbrug!$A$59:$D$60,MATCH(H$2,Skovbrug!$A$58:$D$58,0),FALSE)/'[1]Processer - data'!H86,1)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drivhus",Landbrug!D$51,1-Landbrug!D$51),1)*IF($A86="Tømmerproduktion",VLOOKUP($F86,Skovbrug!$A$59:$D$60,MATCH(I$2,Skovbrug!$A$58:$D$58,0),FALSE)/'[1]Processer - data'!I86,1)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drivhus",Landbrug!E$51,1-Landbrug!E$51),1)*IF($A86="Tømmerproduktion",VLOOKUP($F86,Skovbrug!$A$59:$D$60,MATCH(J$2,Skovbrug!$A$58:$D$58,0),FALSE)/'[1]Processer - data'!J86,1)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drivhus",Landbrug!C$51,1-Landbrug!C$51),1)*IF($A87="Tømmerproduktion",VLOOKUP($F87,Skovbrug!$A$59:$D$60,MATCH(H$2,Skovbrug!$A$58:$D$58,0),FALSE)/'[1]Processer - data'!H87,1)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drivhus",Landbrug!D$51,1-Landbrug!D$51),1)*IF($A87="Tømmerproduktion",VLOOKUP($F87,Skovbrug!$A$59:$D$60,MATCH(I$2,Skovbrug!$A$58:$D$58,0),FALSE)/'[1]Processer - data'!I87,1)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drivhus",Landbrug!E$51,1-Landbrug!E$51),1)*IF($A87="Tømmerproduktion",VLOOKUP($F87,Skovbrug!$A$59:$D$60,MATCH(J$2,Skovbrug!$A$58:$D$58,0),FALSE)/'[1]Processer - data'!J87,1)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drivhus",Landbrug!C$51,1-Landbrug!C$51),1)*IF($A88="Tømmerproduktion",VLOOKUP($F88,Skovbrug!$A$59:$D$60,MATCH(H$2,Skovbrug!$A$58:$D$58,0),FALSE)/'[1]Processer - data'!H88,1)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drivhus",Landbrug!D$51,1-Landbrug!D$51),1)*IF($A88="Tømmerproduktion",VLOOKUP($F88,Skovbrug!$A$59:$D$60,MATCH(I$2,Skovbrug!$A$58:$D$58,0),FALSE)/'[1]Processer - data'!I88,1)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drivhus",Landbrug!E$51,1-Landbrug!E$51),1)*IF($A88="Tømmerproduktion",VLOOKUP($F88,Skovbrug!$A$59:$D$60,MATCH(J$2,Skovbrug!$A$58:$D$58,0),FALSE)/'[1]Processer - data'!J88,1)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drivhus",Landbrug!C$51,1-Landbrug!C$51),1)*IF($A89="Tømmerproduktion",VLOOKUP($F89,Skovbrug!$A$59:$D$60,MATCH(H$2,Skovbrug!$A$58:$D$58,0),FALSE)/'[1]Processer - data'!H89,1)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drivhus",Landbrug!D$51,1-Landbrug!D$51),1)*IF($A89="Tømmerproduktion",VLOOKUP($F89,Skovbrug!$A$59:$D$60,MATCH(I$2,Skovbrug!$A$58:$D$58,0),FALSE)/'[1]Processer - data'!I89,1)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drivhus",Landbrug!E$51,1-Landbrug!E$51),1)*IF($A89="Tømmerproduktion",VLOOKUP($F89,Skovbrug!$A$59:$D$60,MATCH(J$2,Skovbrug!$A$58:$D$58,0),FALSE)/'[1]Processer - data'!J89,1)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drivhus",Landbrug!C$51,1-Landbrug!C$51),1)*IF($A90="Tømmerproduktion",VLOOKUP($F90,Skovbrug!$A$59:$D$60,MATCH(H$2,Skovbrug!$A$58:$D$58,0),FALSE)/'[1]Processer - data'!H90,1)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drivhus",Landbrug!D$51,1-Landbrug!D$51),1)*IF($A90="Tømmerproduktion",VLOOKUP($F90,Skovbrug!$A$59:$D$60,MATCH(I$2,Skovbrug!$A$58:$D$58,0),FALSE)/'[1]Processer - data'!I90,1)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drivhus",Landbrug!E$51,1-Landbrug!E$51),1)*IF($A90="Tømmerproduktion",VLOOKUP($F90,Skovbrug!$A$59:$D$60,MATCH(J$2,Skovbrug!$A$58:$D$58,0),FALSE)/'[1]Processer - data'!J90,1)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drivhus",Landbrug!C$51,1-Landbrug!C$51),1)*IF($A91="Tømmerproduktion",VLOOKUP($F91,Skovbrug!$A$59:$D$60,MATCH(H$2,Skovbrug!$A$58:$D$58,0),FALSE)/'[1]Processer - data'!H91,1)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drivhus",Landbrug!D$51,1-Landbrug!D$51),1)*IF($A91="Tømmerproduktion",VLOOKUP($F91,Skovbrug!$A$59:$D$60,MATCH(I$2,Skovbrug!$A$58:$D$58,0),FALSE)/'[1]Processer - data'!I91,1)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drivhus",Landbrug!E$51,1-Landbrug!E$51),1)*IF($A91="Tømmerproduktion",VLOOKUP($F91,Skovbrug!$A$59:$D$60,MATCH(J$2,Skovbrug!$A$58:$D$58,0),FALSE)/'[1]Processer - data'!J91,1)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drivhus",Landbrug!C$51,1-Landbrug!C$51),1)*IF($A92="Tømmerproduktion",VLOOKUP($F92,Skovbrug!$A$59:$D$60,MATCH(H$2,Skovbrug!$A$58:$D$58,0),FALSE)/'[1]Processer - data'!H92,1)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drivhus",Landbrug!D$51,1-Landbrug!D$51),1)*IF($A92="Tømmerproduktion",VLOOKUP($F92,Skovbrug!$A$59:$D$60,MATCH(I$2,Skovbrug!$A$58:$D$58,0),FALSE)/'[1]Processer - data'!I92,1)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drivhus",Landbrug!E$51,1-Landbrug!E$51),1)*IF($A92="Tømmerproduktion",VLOOKUP($F92,Skovbrug!$A$59:$D$60,MATCH(J$2,Skovbrug!$A$58:$D$58,0),FALSE)/'[1]Processer - data'!J92,1)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drivhus",Landbrug!C$51,1-Landbrug!C$51),1)*IF($A93="Tømmerproduktion",VLOOKUP($F93,Skovbrug!$A$59:$D$60,MATCH(H$2,Skovbrug!$A$58:$D$58,0),FALSE)/'[1]Processer - data'!H93,1)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drivhus",Landbrug!D$51,1-Landbrug!D$51),1)*IF($A93="Tømmerproduktion",VLOOKUP($F93,Skovbrug!$A$59:$D$60,MATCH(I$2,Skovbrug!$A$58:$D$58,0),FALSE)/'[1]Processer - data'!I93,1)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drivhus",Landbrug!E$51,1-Landbrug!E$51),1)*IF($A93="Tømmerproduktion",VLOOKUP($F93,Skovbrug!$A$59:$D$60,MATCH(J$2,Skovbrug!$A$58:$D$58,0),FALSE)/'[1]Processer - data'!J93,1)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drivhus",Landbrug!C$51,1-Landbrug!C$51),1)*IF($A94="Tømmerproduktion",VLOOKUP($F94,Skovbrug!$A$59:$D$60,MATCH(H$2,Skovbrug!$A$58:$D$58,0),FALSE)/'[1]Processer - data'!H94,1)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drivhus",Landbrug!D$51,1-Landbrug!D$51),1)*IF($A94="Tømmerproduktion",VLOOKUP($F94,Skovbrug!$A$59:$D$60,MATCH(I$2,Skovbrug!$A$58:$D$58,0),FALSE)/'[1]Processer - data'!I94,1)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drivhus",Landbrug!E$51,1-Landbrug!E$51),1)*IF($A94="Tømmerproduktion",VLOOKUP($F94,Skovbrug!$A$59:$D$60,MATCH(J$2,Skovbrug!$A$58:$D$58,0),FALSE)/'[1]Processer - data'!J94,1)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input'!$A$3:$A$230,$A$1)),IF(VLOOKUP($A95,[1]!Table1[#All],2,FALSE)="Resultat",SUMIF($F$1:$F93,$D95,H$1:H93)+SUMIF($F96:$F$512,$D95,H96:H$512),0))*'[1]Processer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drivhus",Landbrug!C$51,1-Landbrug!C$51),1)*IF($A95="Tømmerproduktion",VLOOKUP($F95,Skovbrug!$A$59:$D$60,MATCH(H$2,Skovbrug!$A$58:$D$58,0),FALSE)/'[1]Processer - data'!H95,1)</f>
        <v>14231744.940235101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input'!$A$3:$A$230,$A$1)),IF(VLOOKUP($A95,[1]!Table1[#All],2,FALSE)="Resultat",SUMIF($F$1:$F93,$D95,I$1:I93)+SUMIF($F96:$F$512,$D95,I96:I$512),0))*'[1]Processer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drivhus",Landbrug!D$51,1-Landbrug!D$51),1)*IF($A95="Tømmerproduktion",VLOOKUP($F95,Skovbrug!$A$59:$D$60,MATCH(I$2,Skovbrug!$A$58:$D$58,0),FALSE)/'[1]Processer - data'!I95,1)</f>
        <v>16769175.782578632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input'!$A$3:$A$230,$A$1)),IF(VLOOKUP($A95,[1]!Table1[#All],2,FALSE)="Resultat",SUMIF($F$1:$F93,$D95,J$1:J93)+SUMIF($F96:$F$512,$D95,J96:J$512),0))*'[1]Processer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drivhus",Landbrug!E$51,1-Landbrug!E$51),1)*IF($A95="Tømmerproduktion",VLOOKUP($F95,Skovbrug!$A$59:$D$60,MATCH(J$2,Skovbrug!$A$58:$D$58,0),FALSE)/'[1]Processer - data'!J95,1)</f>
        <v>16054415.645754507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drivhus",Landbrug!C$51,1-Landbrug!C$51),1)*IF($A96="Tømmerproduktion",VLOOKUP($F96,Skovbrug!$A$59:$D$60,MATCH(H$2,Skovbrug!$A$58:$D$58,0),FALSE)/'[1]Processer - data'!H96,1)</f>
        <v>15352538.506892066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drivhus",Landbrug!D$51,1-Landbrug!D$51),1)*IF($A96="Tømmerproduktion",VLOOKUP($F96,Skovbrug!$A$59:$D$60,MATCH(I$2,Skovbrug!$A$58:$D$58,0),FALSE)/'[1]Processer - data'!I96,1)</f>
        <v>18089799.811057284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drivhus",Landbrug!E$51,1-Landbrug!E$51),1)*IF($A96="Tømmerproduktion",VLOOKUP($F96,Skovbrug!$A$59:$D$60,MATCH(J$2,Skovbrug!$A$58:$D$58,0),FALSE)/'[1]Processer - data'!J96,1)</f>
        <v>17318750.121095471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drivhus",Landbrug!C$51,1-Landbrug!C$51),1)*IF($A97="Tømmerproduktion",VLOOKUP($F97,Skovbrug!$A$59:$D$60,MATCH(H$2,Skovbrug!$A$58:$D$58,0),FALSE)/'[1]Processer - data'!H97,1)</f>
        <v>1968084.6638925183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drivhus",Landbrug!D$51,1-Landbrug!D$51),1)*IF($A97="Tømmerproduktion",VLOOKUP($F97,Skovbrug!$A$59:$D$60,MATCH(I$2,Skovbrug!$A$58:$D$58,0),FALSE)/'[1]Processer - data'!I97,1)</f>
        <v>2318981.8130105999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drivhus",Landbrug!E$51,1-Landbrug!E$51),1)*IF($A97="Tømmerproduktion",VLOOKUP($F97,Skovbrug!$A$59:$D$60,MATCH(J$2,Skovbrug!$A$58:$D$58,0),FALSE)/'[1]Processer - data'!J97,1)</f>
        <v>2220138.8060882147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drivhus",Landbrug!C$51,1-Landbrug!C$51),1)*IF($A98="Tømmerproduktion",VLOOKUP($F98,Skovbrug!$A$59:$D$60,MATCH(H$2,Skovbrug!$A$58:$D$58,0),FALSE)/'[1]Processer - data'!H98,1)</f>
        <v>160864.90802355704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drivhus",Landbrug!D$51,1-Landbrug!D$51),1)*IF($A98="Tømmerproduktion",VLOOKUP($F98,Skovbrug!$A$59:$D$60,MATCH(I$2,Skovbrug!$A$58:$D$58,0),FALSE)/'[1]Processer - data'!I98,1)</f>
        <v>189546.11196473631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drivhus",Landbrug!E$51,1-Landbrug!E$51),1)*IF($A98="Tømmerproduktion",VLOOKUP($F98,Skovbrug!$A$59:$D$60,MATCH(J$2,Skovbrug!$A$58:$D$58,0),FALSE)/'[1]Processer - data'!J98,1)</f>
        <v>181467.00261082608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drivhus",Landbrug!C$51,1-Landbrug!C$51),1)*IF($A99="Tømmerproduktion",VLOOKUP($F99,Skovbrug!$A$59:$D$60,MATCH(H$2,Skovbrug!$A$58:$D$58,0),FALSE)/'[1]Processer - data'!H99,1)</f>
        <v>-8783081404.0200005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drivhus",Landbrug!D$51,1-Landbrug!D$51),1)*IF($A99="Tømmerproduktion",VLOOKUP($F99,Skovbrug!$A$59:$D$60,MATCH(I$2,Skovbrug!$A$58:$D$58,0),FALSE)/'[1]Processer - data'!I99,1)</f>
        <v>-10349049719.146797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drivhus",Landbrug!E$51,1-Landbrug!E$51),1)*IF($A99="Tømmerproduktion",VLOOKUP($F99,Skovbrug!$A$59:$D$60,MATCH(J$2,Skovbrug!$A$58:$D$58,0),FALSE)/'[1]Processer - data'!J99,1)</f>
        <v>-9907937508.9127178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drivhus",Landbrug!C$51,1-Landbrug!C$51),1)*IF($A100="Tømmerproduktion",VLOOKUP($F100,Skovbrug!$A$59:$D$60,MATCH(H$2,Skovbrug!$A$58:$D$58,0),FALSE)/'[1]Processer - data'!H100,1)</f>
        <v>-674539.66619999998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drivhus",Landbrug!D$51,1-Landbrug!D$51),1)*IF($A100="Tømmerproduktion",VLOOKUP($F100,Skovbrug!$A$59:$D$60,MATCH(I$2,Skovbrug!$A$58:$D$58,0),FALSE)/'[1]Processer - data'!I100,1)</f>
        <v>-794805.85707031749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drivhus",Landbrug!E$51,1-Landbrug!E$51),1)*IF($A100="Tømmerproduktion",VLOOKUP($F100,Skovbrug!$A$59:$D$60,MATCH(J$2,Skovbrug!$A$58:$D$58,0),FALSE)/'[1]Processer - data'!J100,1)</f>
        <v>-760928.48882551759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drivhus",Landbrug!C$51,1-Landbrug!C$51),1)*IF($A101="Tømmerproduktion",VLOOKUP($F101,Skovbrug!$A$59:$D$60,MATCH(H$2,Skovbrug!$A$58:$D$58,0),FALSE)/'[1]Processer - data'!H101,1)</f>
        <v>1150151.6436268529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drivhus",Landbrug!D$51,1-Landbrug!D$51),1)*IF($A101="Tømmerproduktion",VLOOKUP($F101,Skovbrug!$A$59:$D$60,MATCH(I$2,Skovbrug!$A$58:$D$58,0),FALSE)/'[1]Processer - data'!I101,1)</f>
        <v>1355216.4663992226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drivhus",Landbrug!E$51,1-Landbrug!E$51),1)*IF($A101="Tømmerproduktion",VLOOKUP($F101,Skovbrug!$A$59:$D$60,MATCH(J$2,Skovbrug!$A$58:$D$58,0),FALSE)/'[1]Processer - data'!J101,1)</f>
        <v>1297452.4641901131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drivhus",Landbrug!C$51,1-Landbrug!C$51),1)*IF($A102="Tømmerproduktion",VLOOKUP($F102,Skovbrug!$A$59:$D$60,MATCH(H$2,Skovbrug!$A$58:$D$58,0),FALSE)/'[1]Processer - data'!H102,1)</f>
        <v>224727.20289902308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drivhus",Landbrug!D$51,1-Landbrug!D$51),1)*IF($A102="Tømmerproduktion",VLOOKUP($F102,Skovbrug!$A$59:$D$60,MATCH(I$2,Skovbrug!$A$58:$D$58,0),FALSE)/'[1]Processer - data'!I102,1)</f>
        <v>375002.99262656202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drivhus",Landbrug!E$51,1-Landbrug!E$51),1)*IF($A102="Tømmerproduktion",VLOOKUP($F102,Skovbrug!$A$59:$D$60,MATCH(J$2,Skovbrug!$A$58:$D$58,0),FALSE)/'[1]Processer - data'!J102,1)</f>
        <v>618711.35296623153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drivhus",Landbrug!C$51,1-Landbrug!C$51),1)*IF($A103="Tømmerproduktion",VLOOKUP($F103,Skovbrug!$A$59:$D$60,MATCH(H$2,Skovbrug!$A$58:$D$58,0),FALSE)/'[1]Processer - data'!H103,1)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drivhus",Landbrug!D$51,1-Landbrug!D$51),1)*IF($A103="Tømmerproduktion",VLOOKUP($F103,Skovbrug!$A$59:$D$60,MATCH(I$2,Skovbrug!$A$58:$D$58,0),FALSE)/'[1]Processer - data'!I103,1)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drivhus",Landbrug!E$51,1-Landbrug!E$51),1)*IF($A103="Tømmerproduktion",VLOOKUP($F103,Skovbrug!$A$59:$D$60,MATCH(J$2,Skovbrug!$A$58:$D$58,0),FALSE)/'[1]Processer - data'!J103,1)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drivhus",Landbrug!C$51,1-Landbrug!C$51),1)*IF($A104="Tømmerproduktion",VLOOKUP($F104,Skovbrug!$A$59:$D$60,MATCH(H$2,Skovbrug!$A$58:$D$58,0),FALSE)/'[1]Processer - data'!H104,1)</f>
        <v>243586.51339107481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drivhus",Landbrug!D$51,1-Landbrug!D$51),1)*IF($A104="Tømmerproduktion",VLOOKUP($F104,Skovbrug!$A$59:$D$60,MATCH(I$2,Skovbrug!$A$58:$D$58,0),FALSE)/'[1]Processer - data'!I104,1)</f>
        <v>406473.58355707221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drivhus",Landbrug!E$51,1-Landbrug!E$51),1)*IF($A104="Tømmerproduktion",VLOOKUP($F104,Skovbrug!$A$59:$D$60,MATCH(J$2,Skovbrug!$A$58:$D$58,0),FALSE)/'[1]Processer - data'!J104,1)</f>
        <v>670634.17031999258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drivhus",Landbrug!C$51,1-Landbrug!C$51),1)*IF($A105="Tømmerproduktion",VLOOKUP($F105,Skovbrug!$A$59:$D$60,MATCH(H$2,Skovbrug!$A$58:$D$58,0),FALSE)/'[1]Processer - data'!H105,1)</f>
        <v>7449.8701829066958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drivhus",Landbrug!D$51,1-Landbrug!D$51),1)*IF($A105="Tømmerproduktion",VLOOKUP($F105,Skovbrug!$A$59:$D$60,MATCH(I$2,Skovbrug!$A$58:$D$58,0),FALSE)/'[1]Processer - data'!I105,1)</f>
        <v>12431.621883020149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drivhus",Landbrug!E$51,1-Landbrug!E$51),1)*IF($A105="Tømmerproduktion",VLOOKUP($F105,Skovbrug!$A$59:$D$60,MATCH(J$2,Skovbrug!$A$58:$D$58,0),FALSE)/'[1]Processer - data'!J105,1)</f>
        <v>20510.731236930402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drivhus",Landbrug!C$51,1-Landbrug!C$51),1)*IF($A106="Tømmerproduktion",VLOOKUP($F106,Skovbrug!$A$59:$D$60,MATCH(H$2,Skovbrug!$A$58:$D$58,0),FALSE)/'[1]Processer - data'!H106,1)</f>
        <v>-406756309.19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drivhus",Landbrug!D$51,1-Landbrug!D$51),1)*IF($A106="Tømmerproduktion",VLOOKUP($F106,Skovbrug!$A$59:$D$60,MATCH(I$2,Skovbrug!$A$58:$D$58,0),FALSE)/'[1]Processer - data'!I106,1)</f>
        <v>-678755536.70520175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drivhus",Landbrug!E$51,1-Landbrug!E$51),1)*IF($A106="Tømmerproduktion",VLOOKUP($F106,Skovbrug!$A$59:$D$60,MATCH(J$2,Skovbrug!$A$58:$D$58,0),FALSE)/'[1]Processer - data'!J106,1)</f>
        <v>-1119867746.9392815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drivhus",Landbrug!C$51,1-Landbrug!C$51),1)*IF($A107="Tømmerproduktion",VLOOKUP($F107,Skovbrug!$A$59:$D$60,MATCH(H$2,Skovbrug!$A$58:$D$58,0),FALSE)/'[1]Processer - data'!H107,1)</f>
        <v>-27458.796750000001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drivhus",Landbrug!D$51,1-Landbrug!D$51),1)*IF($A107="Tømmerproduktion",VLOOKUP($F107,Skovbrug!$A$59:$D$60,MATCH(I$2,Skovbrug!$A$58:$D$58,0),FALSE)/'[1]Processer - data'!I107,1)</f>
        <v>-45820.580785679682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drivhus",Landbrug!E$51,1-Landbrug!E$51),1)*IF($A107="Tømmerproduktion",VLOOKUP($F107,Skovbrug!$A$59:$D$60,MATCH(J$2,Skovbrug!$A$58:$D$58,0),FALSE)/'[1]Processer - data'!J107,1)</f>
        <v>-75598.632781679669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drivhus",Landbrug!C$51,1-Landbrug!C$51),1)*IF($A108="Tømmerproduktion",VLOOKUP($F108,Skovbrug!$A$59:$D$60,MATCH(H$2,Skovbrug!$A$58:$D$58,0),FALSE)/'[1]Processer - data'!H108,1)</f>
        <v>58591.57596922417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drivhus",Landbrug!D$51,1-Landbrug!D$51),1)*IF($A108="Tømmerproduktion",VLOOKUP($F108,Skovbrug!$A$59:$D$60,MATCH(I$2,Skovbrug!$A$58:$D$58,0),FALSE)/'[1]Processer - data'!I108,1)</f>
        <v>97771.947711369561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drivhus",Landbrug!E$51,1-Landbrug!E$51),1)*IF($A108="Tømmerproduktion",VLOOKUP($F108,Skovbrug!$A$59:$D$60,MATCH(J$2,Skovbrug!$A$58:$D$58,0),FALSE)/'[1]Processer - data'!J108,1)</f>
        <v>161312.35014139008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drivhus",Landbrug!C$51,1-Landbrug!C$51),1)*IF($A109="Tømmerproduktion",VLOOKUP($F109,Skovbrug!$A$59:$D$60,MATCH(H$2,Skovbrug!$A$58:$D$58,0),FALSE)/'[1]Processer - data'!H109,1)</f>
        <v>411928.1258385395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drivhus",Landbrug!D$51,1-Landbrug!D$51),1)*IF($A109="Tømmerproduktion",VLOOKUP($F109,Skovbrug!$A$59:$D$60,MATCH(I$2,Skovbrug!$A$58:$D$58,0),FALSE)/'[1]Processer - data'!I109,1)</f>
        <v>481065.37486712751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drivhus",Landbrug!E$51,1-Landbrug!E$51),1)*IF($A109="Tømmerproduktion",VLOOKUP($F109,Skovbrug!$A$59:$D$60,MATCH(J$2,Skovbrug!$A$58:$D$58,0),FALSE)/'[1]Processer - data'!J109,1)</f>
        <v>457823.86708769068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drivhus",Landbrug!C$51,1-Landbrug!C$51),1)*IF($A110="Tømmerproduktion",VLOOKUP($F110,Skovbrug!$A$59:$D$60,MATCH(H$2,Skovbrug!$A$58:$D$58,0),FALSE)/'[1]Processer - data'!H110,1)</f>
        <v>11953488.544958346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drivhus",Landbrug!D$51,1-Landbrug!D$51),1)*IF($A110="Tømmerproduktion",VLOOKUP($F110,Skovbrug!$A$59:$D$60,MATCH(I$2,Skovbrug!$A$58:$D$58,0),FALSE)/'[1]Processer - data'!I110,1)</f>
        <v>13959739.787479933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drivhus",Landbrug!E$51,1-Landbrug!E$51),1)*IF($A110="Tømmerproduktion",VLOOKUP($F110,Skovbrug!$A$59:$D$60,MATCH(J$2,Skovbrug!$A$58:$D$58,0),FALSE)/'[1]Processer - data'!J110,1)</f>
        <v>13285308.789490851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drivhus",Landbrug!C$51,1-Landbrug!C$51),1)*IF($A111="Tømmerproduktion",VLOOKUP($F111,Skovbrug!$A$59:$D$60,MATCH(H$2,Skovbrug!$A$58:$D$58,0),FALSE)/'[1]Processer - data'!H111,1)</f>
        <v>234254.90515230247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drivhus",Landbrug!D$51,1-Landbrug!D$51),1)*IF($A111="Tømmerproduktion",VLOOKUP($F111,Skovbrug!$A$59:$D$60,MATCH(I$2,Skovbrug!$A$58:$D$58,0),FALSE)/'[1]Processer - data'!I111,1)</f>
        <v>273571.81190809683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drivhus",Landbrug!E$51,1-Landbrug!E$51),1)*IF($A111="Tømmerproduktion",VLOOKUP($F111,Skovbrug!$A$59:$D$60,MATCH(J$2,Skovbrug!$A$58:$D$58,0),FALSE)/'[1]Processer - data'!J111,1)</f>
        <v>260354.85278595501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drivhus",Landbrug!C$51,1-Landbrug!C$51),1)*IF($A112="Tømmerproduktion",VLOOKUP($F112,Skovbrug!$A$59:$D$60,MATCH(H$2,Skovbrug!$A$58:$D$58,0),FALSE)/'[1]Processer - data'!H112,1)</f>
        <v>4474552.90572685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drivhus",Landbrug!D$51,1-Landbrug!D$51),1)*IF($A112="Tømmerproduktion",VLOOKUP($F112,Skovbrug!$A$59:$D$60,MATCH(I$2,Skovbrug!$A$58:$D$58,0),FALSE)/'[1]Processer - data'!I112,1)</f>
        <v>5225553.5272675268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drivhus",Landbrug!E$51,1-Landbrug!E$51),1)*IF($A112="Tømmerproduktion",VLOOKUP($F112,Skovbrug!$A$59:$D$60,MATCH(J$2,Skovbrug!$A$58:$D$58,0),FALSE)/'[1]Processer - data'!J112,1)</f>
        <v>4973093.5721327448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drivhus",Landbrug!C$51,1-Landbrug!C$51),1)*IF($A113="Tømmerproduktion",VLOOKUP($F113,Skovbrug!$A$59:$D$60,MATCH(H$2,Skovbrug!$A$58:$D$58,0),FALSE)/'[1]Processer - data'!H113,1)</f>
        <v>50974.141893857719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drivhus",Landbrug!D$51,1-Landbrug!D$51),1)*IF($A113="Tømmerproduktion",VLOOKUP($F113,Skovbrug!$A$59:$D$60,MATCH(I$2,Skovbrug!$A$58:$D$58,0),FALSE)/'[1]Processer - data'!I113,1)</f>
        <v>59529.546880978167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drivhus",Landbrug!E$51,1-Landbrug!E$51),1)*IF($A113="Tømmerproduktion",VLOOKUP($F113,Skovbrug!$A$59:$D$60,MATCH(J$2,Skovbrug!$A$58:$D$58,0),FALSE)/'[1]Processer - data'!J113,1)</f>
        <v>56653.521086515728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drivhus",Landbrug!C$51,1-Landbrug!C$51),1)*IF($A114="Tømmerproduktion",VLOOKUP($F114,Skovbrug!$A$59:$D$60,MATCH(H$2,Skovbrug!$A$58:$D$58,0),FALSE)/'[1]Processer - data'!H114,1)</f>
        <v>-3101358722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drivhus",Landbrug!D$51,1-Landbrug!D$51),1)*IF($A114="Tømmerproduktion",VLOOKUP($F114,Skovbrug!$A$59:$D$60,MATCH(I$2,Skovbrug!$A$58:$D$58,0),FALSE)/'[1]Processer - data'!I114,1)</f>
        <v>-3621884990.6382861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drivhus",Landbrug!E$51,1-Landbrug!E$51),1)*IF($A114="Tømmerproduktion",VLOOKUP($F114,Skovbrug!$A$59:$D$60,MATCH(J$2,Skovbrug!$A$58:$D$58,0),FALSE)/'[1]Processer - data'!J114,1)</f>
        <v>-3446902394.5422864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drivhus",Landbrug!C$51,1-Landbrug!C$51),1)*IF($A115="Tømmerproduktion",VLOOKUP($F115,Skovbrug!$A$59:$D$60,MATCH(H$2,Skovbrug!$A$58:$D$58,0),FALSE)/'[1]Processer - data'!H115,1)</f>
        <v>-12971.687549999999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drivhus",Landbrug!D$51,1-Landbrug!D$51),1)*IF($A115="Tømmerproduktion",VLOOKUP($F115,Skovbrug!$A$59:$D$60,MATCH(I$2,Skovbrug!$A$58:$D$58,0),FALSE)/'[1]Processer - data'!I115,1)</f>
        <v>-15148.831416153258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drivhus",Landbrug!E$51,1-Landbrug!E$51),1)*IF($A115="Tømmerproduktion",VLOOKUP($F115,Skovbrug!$A$59:$D$60,MATCH(J$2,Skovbrug!$A$58:$D$58,0),FALSE)/'[1]Processer - data'!J115,1)</f>
        <v>-14416.952337753261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drivhus",Landbrug!C$51,1-Landbrug!C$51),1)*IF($A116="Tømmerproduktion",VLOOKUP($F116,Skovbrug!$A$59:$D$60,MATCH(H$2,Skovbrug!$A$58:$D$58,0),FALSE)/'[1]Processer - data'!H116,1)</f>
        <v>3354535.1850575823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drivhus",Landbrug!D$51,1-Landbrug!D$51),1)*IF($A116="Tømmerproduktion",VLOOKUP($F116,Skovbrug!$A$59:$D$60,MATCH(I$2,Skovbrug!$A$58:$D$58,0),FALSE)/'[1]Processer - data'!I116,1)</f>
        <v>3917554.1194708925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drivhus",Landbrug!E$51,1-Landbrug!E$51),1)*IF($A116="Tømmerproduktion",VLOOKUP($F116,Skovbrug!$A$59:$D$60,MATCH(J$2,Skovbrug!$A$58:$D$58,0),FALSE)/'[1]Processer - data'!J116,1)</f>
        <v>3728286.9859358799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drivhus",Landbrug!C$51,1-Landbrug!C$51),1)*IF($A117="Tømmerproduktion",VLOOKUP($F117,Skovbrug!$A$59:$D$60,MATCH(H$2,Skovbrug!$A$58:$D$58,0),FALSE)/'[1]Processer - data'!H117,1)</f>
        <v>21677.657032824009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drivhus",Landbrug!D$51,1-Landbrug!D$51),1)*IF($A117="Tømmerproduktion",VLOOKUP($F117,Skovbrug!$A$59:$D$60,MATCH(I$2,Skovbrug!$A$58:$D$58,0),FALSE)/'[1]Processer - data'!I117,1)</f>
        <v>29987.091045692679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drivhus",Landbrug!E$51,1-Landbrug!E$51),1)*IF($A117="Tømmerproduktion",VLOOKUP($F117,Skovbrug!$A$59:$D$60,MATCH(J$2,Skovbrug!$A$58:$D$58,0),FALSE)/'[1]Processer - data'!J117,1)</f>
        <v>36958.4728489626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drivhus",Landbrug!C$51,1-Landbrug!C$51),1)*IF($A118="Tømmerproduktion",VLOOKUP($F118,Skovbrug!$A$59:$D$60,MATCH(H$2,Skovbrug!$A$58:$D$58,0),FALSE)/'[1]Processer - data'!H118,1)</f>
        <v>1171427.2358122203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drivhus",Landbrug!D$51,1-Landbrug!D$51),1)*IF($A118="Tømmerproduktion",VLOOKUP($F118,Skovbrug!$A$59:$D$60,MATCH(I$2,Skovbrug!$A$58:$D$58,0),FALSE)/'[1]Processer - data'!I118,1)</f>
        <v>1620456.2661230082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drivhus",Landbrug!E$51,1-Landbrug!E$51),1)*IF($A118="Tømmerproduktion",VLOOKUP($F118,Skovbrug!$A$59:$D$60,MATCH(J$2,Skovbrug!$A$58:$D$58,0),FALSE)/'[1]Processer - data'!J118,1)</f>
        <v>1997179.0135689403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drivhus",Landbrug!C$51,1-Landbrug!C$51),1)*IF($A119="Tømmerproduktion",VLOOKUP($F119,Skovbrug!$A$59:$D$60,MATCH(H$2,Skovbrug!$A$58:$D$58,0),FALSE)/'[1]Processer - data'!H119,1)</f>
        <v>9671.5700607984036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drivhus",Landbrug!D$51,1-Landbrug!D$51),1)*IF($A119="Tømmerproduktion",VLOOKUP($F119,Skovbrug!$A$59:$D$60,MATCH(I$2,Skovbrug!$A$58:$D$58,0),FALSE)/'[1]Processer - data'!I119,1)</f>
        <v>13378.856005001349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drivhus",Landbrug!E$51,1-Landbrug!E$51),1)*IF($A119="Tømmerproduktion",VLOOKUP($F119,Skovbrug!$A$59:$D$60,MATCH(J$2,Skovbrug!$A$58:$D$58,0),FALSE)/'[1]Processer - data'!J119,1)</f>
        <v>16489.16480953716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drivhus",Landbrug!C$51,1-Landbrug!C$51),1)*IF($A120="Tømmerproduktion",VLOOKUP($F120,Skovbrug!$A$59:$D$60,MATCH(H$2,Skovbrug!$A$58:$D$58,0),FALSE)/'[1]Processer - data'!H120,1)</f>
        <v>447449.07465188007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drivhus",Landbrug!D$51,1-Landbrug!D$51),1)*IF($A120="Tømmerproduktion",VLOOKUP($F120,Skovbrug!$A$59:$D$60,MATCH(I$2,Skovbrug!$A$58:$D$58,0),FALSE)/'[1]Processer - data'!I120,1)</f>
        <v>618964.31517391291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drivhus",Landbrug!E$51,1-Landbrug!E$51),1)*IF($A120="Tømmerproduktion",VLOOKUP($F120,Skovbrug!$A$59:$D$60,MATCH(J$2,Skovbrug!$A$58:$D$58,0),FALSE)/'[1]Processer - data'!J120,1)</f>
        <v>762860.78572858695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drivhus",Landbrug!C$51,1-Landbrug!C$51),1)*IF($A121="Tømmerproduktion",VLOOKUP($F121,Skovbrug!$A$59:$D$60,MATCH(H$2,Skovbrug!$A$58:$D$58,0),FALSE)/'[1]Processer - data'!H121,1)</f>
        <v>8943.0621574433171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drivhus",Landbrug!D$51,1-Landbrug!D$51),1)*IF($A121="Tømmerproduktion",VLOOKUP($F121,Skovbrug!$A$59:$D$60,MATCH(I$2,Skovbrug!$A$58:$D$58,0),FALSE)/'[1]Processer - data'!I121,1)</f>
        <v>12371.097980583076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drivhus",Landbrug!E$51,1-Landbrug!E$51),1)*IF($A121="Tømmerproduktion",VLOOKUP($F121,Skovbrug!$A$59:$D$60,MATCH(J$2,Skovbrug!$A$58:$D$58,0),FALSE)/'[1]Processer - data'!J121,1)</f>
        <v>15247.123775045524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drivhus",Landbrug!C$51,1-Landbrug!C$51),1)*IF($A122="Tømmerproduktion",VLOOKUP($F122,Skovbrug!$A$59:$D$60,MATCH(H$2,Skovbrug!$A$58:$D$58,0),FALSE)/'[1]Processer - data'!H122,1)</f>
        <v>-544112030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drivhus",Landbrug!D$51,1-Landbrug!D$51),1)*IF($A122="Tømmerproduktion",VLOOKUP($F122,Skovbrug!$A$59:$D$60,MATCH(I$2,Skovbrug!$A$58:$D$58,0),FALSE)/'[1]Processer - data'!I122,1)</f>
        <v>-752679911.76171374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drivhus",Landbrug!E$51,1-Landbrug!E$51),1)*IF($A122="Tømmerproduktion",VLOOKUP($F122,Skovbrug!$A$59:$D$60,MATCH(J$2,Skovbrug!$A$58:$D$58,0),FALSE)/'[1]Processer - data'!J122,1)</f>
        <v>-927662507.8577137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drivhus",Landbrug!C$51,1-Landbrug!C$51),1)*IF($A123="Tømmerproduktion",VLOOKUP($F123,Skovbrug!$A$59:$D$60,MATCH(H$2,Skovbrug!$A$58:$D$58,0),FALSE)/'[1]Processer - data'!H123,1)</f>
        <v>-2743.422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drivhus",Landbrug!D$51,1-Landbrug!D$51),1)*IF($A123="Tømmerproduktion",VLOOKUP($F123,Skovbrug!$A$59:$D$60,MATCH(I$2,Skovbrug!$A$58:$D$58,0),FALSE)/'[1]Processer - data'!I123,1)</f>
        <v>-3795.0247651851114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drivhus",Landbrug!E$51,1-Landbrug!E$51),1)*IF($A123="Tømmerproduktion",VLOOKUP($F123,Skovbrug!$A$59:$D$60,MATCH(J$2,Skovbrug!$A$58:$D$58,0),FALSE)/'[1]Processer - data'!J123,1)</f>
        <v>-4677.2899555851109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drivhus",Landbrug!C$51,1-Landbrug!C$51),1)*IF($A124="Tømmerproduktion",VLOOKUP($F124,Skovbrug!$A$59:$D$60,MATCH(H$2,Skovbrug!$A$58:$D$58,0),FALSE)/'[1]Processer - data'!H124,1)</f>
        <v>492157.47803573997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drivhus",Landbrug!D$51,1-Landbrug!D$51),1)*IF($A124="Tømmerproduktion",VLOOKUP($F124,Skovbrug!$A$59:$D$60,MATCH(I$2,Skovbrug!$A$58:$D$58,0),FALSE)/'[1]Processer - data'!I124,1)</f>
        <v>680810.24994210899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drivhus",Landbrug!E$51,1-Landbrug!E$51),1)*IF($A124="Tømmerproduktion",VLOOKUP($F124,Skovbrug!$A$59:$D$60,MATCH(J$2,Skovbrug!$A$58:$D$58,0),FALSE)/'[1]Processer - data'!J124,1)</f>
        <v>839084.62809683185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drivhus",Landbrug!C$51,1-Landbrug!C$51),1)*IF($A125="Tømmerproduktion",VLOOKUP($F125,Skovbrug!$A$59:$D$60,MATCH(H$2,Skovbrug!$A$58:$D$58,0),FALSE)/'[1]Processer - data'!H125,1)</f>
        <v>97185929.8774468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drivhus",Landbrug!D$51,1-Landbrug!D$51),1)*IF($A125="Tømmerproduktion",VLOOKUP($F125,Skovbrug!$A$59:$D$60,MATCH(I$2,Skovbrug!$A$58:$D$58,0),FALSE)/'[1]Processer - data'!I125,1)</f>
        <v>113924205.03110938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drivhus",Landbrug!E$51,1-Landbrug!E$51),1)*IF($A125="Tømmerproduktion",VLOOKUP($F125,Skovbrug!$A$59:$D$60,MATCH(J$2,Skovbrug!$A$58:$D$58,0),FALSE)/'[1]Processer - data'!J125,1)</f>
        <v>108474887.02791204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drivhus",Landbrug!C$51,1-Landbrug!C$51),1)*IF($A126="Tømmerproduktion",VLOOKUP($F126,Skovbrug!$A$59:$D$60,MATCH(H$2,Skovbrug!$A$58:$D$58,0),FALSE)/'[1]Processer - data'!H126,1)</f>
        <v>6185.7778797696892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drivhus",Landbrug!D$51,1-Landbrug!D$51),1)*IF($A126="Tømmerproduktion",VLOOKUP($F126,Skovbrug!$A$59:$D$60,MATCH(I$2,Skovbrug!$A$58:$D$58,0),FALSE)/'[1]Processer - data'!I126,1)</f>
        <v>7251.1507410633913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drivhus",Landbrug!E$51,1-Landbrug!E$51),1)*IF($A126="Tømmerproduktion",VLOOKUP($F126,Skovbrug!$A$59:$D$60,MATCH(J$2,Skovbrug!$A$58:$D$58,0),FALSE)/'[1]Processer - data'!J126,1)</f>
        <v>6904.3076249197729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drivhus",Landbrug!C$51,1-Landbrug!C$51),1)*IF($A127="Tømmerproduktion",VLOOKUP($F127,Skovbrug!$A$59:$D$60,MATCH(H$2,Skovbrug!$A$58:$D$58,0),FALSE)/'[1]Processer - data'!H127,1)</f>
        <v>137099.40658193204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drivhus",Landbrug!D$51,1-Landbrug!D$51),1)*IF($A127="Tømmerproduktion",VLOOKUP($F127,Skovbrug!$A$59:$D$60,MATCH(I$2,Skovbrug!$A$58:$D$58,0),FALSE)/'[1]Processer - data'!I127,1)</f>
        <v>160711.95619344505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drivhus",Landbrug!E$51,1-Landbrug!E$51),1)*IF($A127="Tømmerproduktion",VLOOKUP($F127,Skovbrug!$A$59:$D$60,MATCH(J$2,Skovbrug!$A$58:$D$58,0),FALSE)/'[1]Processer - data'!J127,1)</f>
        <v>153024.64728508043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drivhus",Landbrug!C$51,1-Landbrug!C$51),1)*IF($A128="Tømmerproduktion",VLOOKUP($F128,Skovbrug!$A$59:$D$60,MATCH(H$2,Skovbrug!$A$58:$D$58,0),FALSE)/'[1]Processer - data'!H128,1)</f>
        <v>202533.97911315371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drivhus",Landbrug!D$51,1-Landbrug!D$51),1)*IF($A128="Tømmerproduktion",VLOOKUP($F128,Skovbrug!$A$59:$D$60,MATCH(I$2,Skovbrug!$A$58:$D$58,0),FALSE)/'[1]Processer - data'!I128,1)</f>
        <v>237416.28640431259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drivhus",Landbrug!E$51,1-Landbrug!E$51),1)*IF($A128="Tømmerproduktion",VLOOKUP($F128,Skovbrug!$A$59:$D$60,MATCH(J$2,Skovbrug!$A$58:$D$58,0),FALSE)/'[1]Processer - data'!J128,1)</f>
        <v>226059.99172222996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drivhus",Landbrug!C$51,1-Landbrug!C$51),1)*IF($A129="Tømmerproduktion",VLOOKUP($F129,Skovbrug!$A$59:$D$60,MATCH(H$2,Skovbrug!$A$58:$D$58,0),FALSE)/'[1]Processer - data'!H129,1)</f>
        <v>8553.8229892246891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drivhus",Landbrug!D$51,1-Landbrug!D$51),1)*IF($A129="Tømmerproduktion",VLOOKUP($F129,Skovbrug!$A$59:$D$60,MATCH(I$2,Skovbrug!$A$58:$D$58,0),FALSE)/'[1]Processer - data'!I129,1)</f>
        <v>10027.042857470176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drivhus",Landbrug!E$51,1-Landbrug!E$51),1)*IF($A129="Tømmerproduktion",VLOOKUP($F129,Skovbrug!$A$59:$D$60,MATCH(J$2,Skovbrug!$A$58:$D$58,0),FALSE)/'[1]Processer - data'!J129,1)</f>
        <v>9547.4209443997897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drivhus",Landbrug!C$51,1-Landbrug!C$51),1)*IF($A130="Tømmerproduktion",VLOOKUP($F130,Skovbrug!$A$59:$D$60,MATCH(H$2,Skovbrug!$A$58:$D$58,0),FALSE)/'[1]Processer - data'!H130,1)</f>
        <v>-336558388.31999999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drivhus",Landbrug!D$51,1-Landbrug!D$51),1)*IF($A130="Tømmerproduktion",VLOOKUP($F130,Skovbrug!$A$59:$D$60,MATCH(I$2,Skovbrug!$A$58:$D$58,0),FALSE)/'[1]Processer - data'!I130,1)</f>
        <v>-394523640.24563581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drivhus",Landbrug!E$51,1-Landbrug!E$51),1)*IF($A130="Tømmerproduktion",VLOOKUP($F130,Skovbrug!$A$59:$D$60,MATCH(J$2,Skovbrug!$A$58:$D$58,0),FALSE)/'[1]Processer - data'!J130,1)</f>
        <v>-375652455.01427585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drivhus",Landbrug!C$51,1-Landbrug!C$51),1)*IF($A131="Tømmerproduktion",VLOOKUP($F131,Skovbrug!$A$59:$D$60,MATCH(H$2,Skovbrug!$A$58:$D$58,0),FALSE)/'[1]Processer - data'!H131,1)</f>
        <v>-7976.870891999999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drivhus",Landbrug!D$51,1-Landbrug!D$51),1)*IF($A131="Tømmerproduktion",VLOOKUP($F131,Skovbrug!$A$59:$D$60,MATCH(I$2,Skovbrug!$A$58:$D$58,0),FALSE)/'[1]Processer - data'!I131,1)</f>
        <v>-9350.722642185523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drivhus",Landbrug!E$51,1-Landbrug!E$51),1)*IF($A131="Tømmerproduktion",VLOOKUP($F131,Skovbrug!$A$59:$D$60,MATCH(J$2,Skovbrug!$A$58:$D$58,0),FALSE)/'[1]Processer - data'!J131,1)</f>
        <v>-8903.4510441695238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drivhus",Landbrug!C$51,1-Landbrug!C$51),1)*IF($A132="Tømmerproduktion",VLOOKUP($F132,Skovbrug!$A$59:$D$60,MATCH(H$2,Skovbrug!$A$58:$D$58,0),FALSE)/'[1]Processer - data'!H132,1)</f>
        <v>12995.753733500585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drivhus",Landbrug!D$51,1-Landbrug!D$51),1)*IF($A132="Tømmerproduktion",VLOOKUP($F132,Skovbrug!$A$59:$D$60,MATCH(I$2,Skovbrug!$A$58:$D$58,0),FALSE)/'[1]Processer - data'!I132,1)</f>
        <v>15234.004703521403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drivhus",Landbrug!E$51,1-Landbrug!E$51),1)*IF($A132="Tømmerproduktion",VLOOKUP($F132,Skovbrug!$A$59:$D$60,MATCH(J$2,Skovbrug!$A$58:$D$58,0),FALSE)/'[1]Processer - data'!J132,1)</f>
        <v>14505.319029840177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drivhus",Landbrug!C$51,1-Landbrug!C$51),1)*IF($A133="Tømmerproduktion",VLOOKUP($F133,Skovbrug!$A$59:$D$60,MATCH(H$2,Skovbrug!$A$58:$D$58,0),FALSE)/'[1]Processer - data'!H133,1)</f>
        <v>1144367.3520506443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drivhus",Landbrug!D$51,1-Landbrug!D$51),1)*IF($A133="Tømmerproduktion",VLOOKUP($F133,Skovbrug!$A$59:$D$60,MATCH(I$2,Skovbrug!$A$58:$D$58,0),FALSE)/'[1]Processer - data'!I133,1)</f>
        <v>1562240.6107206421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drivhus",Landbrug!E$51,1-Landbrug!E$51),1)*IF($A133="Tømmerproduktion",VLOOKUP($F133,Skovbrug!$A$59:$D$60,MATCH(J$2,Skovbrug!$A$58:$D$58,0),FALSE)/'[1]Processer - data'!J133,1)</f>
        <v>1943846.3831069556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drivhus",Landbrug!C$51,1-Landbrug!C$51),1)*IF($A134="Tømmerproduktion",VLOOKUP($F134,Skovbrug!$A$59:$D$60,MATCH(H$2,Skovbrug!$A$58:$D$58,0),FALSE)/'[1]Processer - data'!H134,1)</f>
        <v>2021.8344763254286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drivhus",Landbrug!D$51,1-Landbrug!D$51),1)*IF($A134="Tømmerproduktion",VLOOKUP($F134,Skovbrug!$A$59:$D$60,MATCH(I$2,Skovbrug!$A$58:$D$58,0),FALSE)/'[1]Processer - data'!I134,1)</f>
        <v>2760.1206215911884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drivhus",Landbrug!E$51,1-Landbrug!E$51),1)*IF($A134="Tømmerproduktion",VLOOKUP($F134,Skovbrug!$A$59:$D$60,MATCH(J$2,Skovbrug!$A$58:$D$58,0),FALSE)/'[1]Processer - data'!J134,1)</f>
        <v>3434.3304420591335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drivhus",Landbrug!C$51,1-Landbrug!C$51),1)*IF($A135="Tømmerproduktion",VLOOKUP($F135,Skovbrug!$A$59:$D$60,MATCH(H$2,Skovbrug!$A$58:$D$58,0),FALSE)/'[1]Processer - data'!H135,1)</f>
        <v>7613.0179455684893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drivhus",Landbrug!D$51,1-Landbrug!D$51),1)*IF($A135="Tømmerproduktion",VLOOKUP($F135,Skovbrug!$A$59:$D$60,MATCH(I$2,Skovbrug!$A$58:$D$58,0),FALSE)/'[1]Processer - data'!I135,1)</f>
        <v>10392.961476399914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drivhus",Landbrug!E$51,1-Landbrug!E$51),1)*IF($A135="Tømmerproduktion",VLOOKUP($F135,Skovbrug!$A$59:$D$60,MATCH(J$2,Skovbrug!$A$58:$D$58,0),FALSE)/'[1]Processer - data'!J135,1)</f>
        <v>12931.631937509816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drivhus",Landbrug!C$51,1-Landbrug!C$51),1)*IF($A136="Tømmerproduktion",VLOOKUP($F136,Skovbrug!$A$59:$D$60,MATCH(H$2,Skovbrug!$A$58:$D$58,0),FALSE)/'[1]Processer - data'!H136,1)</f>
        <v>14016.013855362682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drivhus",Landbrug!D$51,1-Landbrug!D$51),1)*IF($A136="Tømmerproduktion",VLOOKUP($F136,Skovbrug!$A$59:$D$60,MATCH(I$2,Skovbrug!$A$58:$D$58,0),FALSE)/'[1]Processer - data'!I136,1)</f>
        <v>19134.053419152198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drivhus",Landbrug!E$51,1-Landbrug!E$51),1)*IF($A136="Tømmerproduktion",VLOOKUP($F136,Skovbrug!$A$59:$D$60,MATCH(J$2,Skovbrug!$A$58:$D$58,0),FALSE)/'[1]Processer - data'!J136,1)</f>
        <v>23807.895069273163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drivhus",Landbrug!C$51,1-Landbrug!C$51),1)*IF($A137="Tømmerproduktion",VLOOKUP($F137,Skovbrug!$A$59:$D$60,MATCH(H$2,Skovbrug!$A$58:$D$58,0),FALSE)/'[1]Processer - data'!H137,1)</f>
        <v>1438.3001997417073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drivhus",Landbrug!D$51,1-Landbrug!D$51),1)*IF($A137="Tømmerproduktion",VLOOKUP($F137,Skovbrug!$A$59:$D$60,MATCH(I$2,Skovbrug!$A$58:$D$58,0),FALSE)/'[1]Processer - data'!I137,1)</f>
        <v>1963.5049692894995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drivhus",Landbrug!E$51,1-Landbrug!E$51),1)*IF($A137="Tømmerproduktion",VLOOKUP($F137,Skovbrug!$A$59:$D$60,MATCH(J$2,Skovbrug!$A$58:$D$58,0),FALSE)/'[1]Processer - data'!J137,1)</f>
        <v>2443.1268823598866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drivhus",Landbrug!C$51,1-Landbrug!C$51),1)*IF($A138="Tømmerproduktion",VLOOKUP($F138,Skovbrug!$A$59:$D$60,MATCH(H$2,Skovbrug!$A$58:$D$58,0),FALSE)/'[1]Processer - data'!H138,1)</f>
        <v>-56591304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drivhus",Landbrug!D$51,1-Landbrug!D$51),1)*IF($A138="Tømmerproduktion",VLOOKUP($F138,Skovbrug!$A$59:$D$60,MATCH(I$2,Skovbrug!$A$58:$D$58,0),FALSE)/'[1]Processer - data'!I138,1)</f>
        <v>-77255990.538364232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drivhus",Landbrug!E$51,1-Landbrug!E$51),1)*IF($A138="Tømmerproduktion",VLOOKUP($F138,Skovbrug!$A$59:$D$60,MATCH(J$2,Skovbrug!$A$58:$D$58,0),FALSE)/'[1]Processer - data'!J138,1)</f>
        <v>-96127175.769724235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drivhus",Landbrug!C$51,1-Landbrug!C$51),1)*IF($A139="Tømmerproduktion",VLOOKUP($F139,Skovbrug!$A$59:$D$60,MATCH(H$2,Skovbrug!$A$58:$D$58,0),FALSE)/'[1]Processer - data'!H139,1)</f>
        <v>-2526.3975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drivhus",Landbrug!D$51,1-Landbrug!D$51),1)*IF($A139="Tømmerproduktion",VLOOKUP($F139,Skovbrug!$A$59:$D$60,MATCH(I$2,Skovbrug!$A$58:$D$58,0),FALSE)/'[1]Processer - data'!I139,1)</f>
        <v>-3448.9281490341177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drivhus",Landbrug!E$51,1-Landbrug!E$51),1)*IF($A139="Tømmerproduktion",VLOOKUP($F139,Skovbrug!$A$59:$D$60,MATCH(J$2,Skovbrug!$A$58:$D$58,0),FALSE)/'[1]Processer - data'!J139,1)</f>
        <v>-4291.3917754341173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drivhus",Landbrug!C$51,1-Landbrug!C$51),1)*IF($A140="Tømmerproduktion",VLOOKUP($F140,Skovbrug!$A$59:$D$60,MATCH(H$2,Skovbrug!$A$58:$D$58,0),FALSE)/'[1]Processer - data'!H140,1)</f>
        <v>2403.7175816775175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drivhus",Landbrug!D$51,1-Landbrug!D$51),1)*IF($A140="Tømmerproduktion",VLOOKUP($F140,Skovbrug!$A$59:$D$60,MATCH(I$2,Skovbrug!$A$58:$D$58,0),FALSE)/'[1]Processer - data'!I140,1)</f>
        <v>3281.4508523602508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drivhus",Landbrug!E$51,1-Landbrug!E$51),1)*IF($A140="Tømmerproduktion",VLOOKUP($F140,Skovbrug!$A$59:$D$60,MATCH(J$2,Skovbrug!$A$58:$D$58,0),FALSE)/'[1]Processer - data'!J140,1)</f>
        <v>4083.0050934096021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drivhus",Landbrug!C$51,1-Landbrug!C$51),1)*IF($A141="Tømmerproduktion",VLOOKUP($F141,Skovbrug!$A$59:$D$60,MATCH(H$2,Skovbrug!$A$58:$D$58,0),FALSE)/'[1]Processer - data'!H141,1)</f>
        <v>6000728.6487308554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drivhus",Landbrug!D$51,1-Landbrug!D$51),1)*IF($A141="Tømmerproduktion",VLOOKUP($F141,Skovbrug!$A$59:$D$60,MATCH(I$2,Skovbrug!$A$58:$D$58,0),FALSE)/'[1]Processer - data'!I141,1)</f>
        <v>6214399.736746531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drivhus",Landbrug!E$51,1-Landbrug!E$51),1)*IF($A141="Tømmerproduktion",VLOOKUP($F141,Skovbrug!$A$59:$D$60,MATCH(J$2,Skovbrug!$A$58:$D$58,0),FALSE)/'[1]Processer - data'!J141,1)</f>
        <v>6244022.6330797393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drivhus",Landbrug!C$51,1-Landbrug!C$51),1)*IF($A142="Tømmerproduktion",VLOOKUP($F142,Skovbrug!$A$59:$D$60,MATCH(H$2,Skovbrug!$A$58:$D$58,0),FALSE)/'[1]Processer - data'!H142,1)</f>
        <v>1958622.8291241296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drivhus",Landbrug!D$51,1-Landbrug!D$51),1)*IF($A142="Tømmerproduktion",VLOOKUP($F142,Skovbrug!$A$59:$D$60,MATCH(I$2,Skovbrug!$A$58:$D$58,0),FALSE)/'[1]Processer - data'!I142,1)</f>
        <v>1881131.2635953818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drivhus",Landbrug!E$51,1-Landbrug!E$51),1)*IF($A142="Tømmerproduktion",VLOOKUP($F142,Skovbrug!$A$59:$D$60,MATCH(J$2,Skovbrug!$A$58:$D$58,0),FALSE)/'[1]Processer - data'!J142,1)</f>
        <v>1761900.2995081528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drivhus",Landbrug!C$51,1-Landbrug!C$51),1)*IF($A143="Tømmerproduktion",VLOOKUP($F143,Skovbrug!$A$59:$D$60,MATCH(H$2,Skovbrug!$A$58:$D$58,0),FALSE)/'[1]Processer - data'!H143,1)</f>
        <v>-136963849.32909226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drivhus",Landbrug!D$51,1-Landbrug!D$51),1)*IF($A143="Tømmerproduktion",VLOOKUP($F143,Skovbrug!$A$59:$D$60,MATCH(I$2,Skovbrug!$A$58:$D$58,0),FALSE)/'[1]Processer - data'!I143,1)</f>
        <v>-132314172.43482724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drivhus",Landbrug!E$51,1-Landbrug!E$51),1)*IF($A143="Tømmerproduktion",VLOOKUP($F143,Skovbrug!$A$59:$D$60,MATCH(J$2,Skovbrug!$A$58:$D$58,0),FALSE)/'[1]Processer - data'!J143,1)</f>
        <v>-123927758.02180222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drivhus",Landbrug!C$51,1-Landbrug!C$51),1)*IF($A144="Tømmerproduktion",VLOOKUP($F144,Skovbrug!$A$59:$D$60,MATCH(H$2,Skovbrug!$A$58:$D$58,0),FALSE)/'[1]Processer - data'!H144,1)</f>
        <v>1946337.0798042775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drivhus",Landbrug!D$51,1-Landbrug!D$51),1)*IF($A144="Tømmerproduktion",VLOOKUP($F144,Skovbrug!$A$59:$D$60,MATCH(I$2,Skovbrug!$A$58:$D$58,0),FALSE)/'[1]Processer - data'!I144,1)</f>
        <v>1880262.4287722919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drivhus",Landbrug!E$51,1-Landbrug!E$51),1)*IF($A144="Tømmerproduktion",VLOOKUP($F144,Skovbrug!$A$59:$D$60,MATCH(J$2,Skovbrug!$A$58:$D$58,0),FALSE)/'[1]Processer - data'!J144,1)</f>
        <v>1761086.533682955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drivhus",Landbrug!C$51,1-Landbrug!C$51),1)*IF($A145="Tømmerproduktion",VLOOKUP($F145,Skovbrug!$A$59:$D$60,MATCH(H$2,Skovbrug!$A$58:$D$58,0),FALSE)/'[1]Processer - data'!H145,1)</f>
        <v>190413.34522670315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drivhus",Landbrug!D$51,1-Landbrug!D$51),1)*IF($A145="Tømmerproduktion",VLOOKUP($F145,Skovbrug!$A$59:$D$60,MATCH(I$2,Skovbrug!$A$58:$D$58,0),FALSE)/'[1]Processer - data'!I145,1)</f>
        <v>184281.45690900442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drivhus",Landbrug!E$51,1-Landbrug!E$51),1)*IF($A145="Tømmerproduktion",VLOOKUP($F145,Skovbrug!$A$59:$D$60,MATCH(J$2,Skovbrug!$A$58:$D$58,0),FALSE)/'[1]Processer - data'!J145,1)</f>
        <v>188548.26184369114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drivhus",Landbrug!C$51,1-Landbrug!C$51),1)*IF($A146="Tømmerproduktion",VLOOKUP($F146,Skovbrug!$A$59:$D$60,MATCH(H$2,Skovbrug!$A$58:$D$58,0),FALSE)/'[1]Processer - data'!H146,1)</f>
        <v>62150.439848632843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drivhus",Landbrug!D$51,1-Landbrug!D$51),1)*IF($A146="Tømmerproduktion",VLOOKUP($F146,Skovbrug!$A$59:$D$60,MATCH(I$2,Skovbrug!$A$58:$D$58,0),FALSE)/'[1]Processer - data'!I146,1)</f>
        <v>55782.959670682772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drivhus",Landbrug!E$51,1-Landbrug!E$51),1)*IF($A146="Tømmerproduktion",VLOOKUP($F146,Skovbrug!$A$59:$D$60,MATCH(J$2,Skovbrug!$A$58:$D$58,0),FALSE)/'[1]Processer - data'!J146,1)</f>
        <v>53203.400841980692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drivhus",Landbrug!C$51,1-Landbrug!C$51),1)*IF($A147="Tømmerproduktion",VLOOKUP($F147,Skovbrug!$A$59:$D$60,MATCH(H$2,Skovbrug!$A$58:$D$58,0),FALSE)/'[1]Processer - data'!H147,1)</f>
        <v>-2942669.3865277474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drivhus",Landbrug!D$51,1-Landbrug!D$51),1)*IF($A147="Tømmerproduktion",VLOOKUP($F147,Skovbrug!$A$59:$D$60,MATCH(I$2,Skovbrug!$A$58:$D$58,0),FALSE)/'[1]Processer - data'!I147,1)</f>
        <v>-2656629.1889086328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drivhus",Landbrug!E$51,1-Landbrug!E$51),1)*IF($A147="Tømmerproduktion",VLOOKUP($F147,Skovbrug!$A$59:$D$60,MATCH(J$2,Skovbrug!$A$58:$D$58,0),FALSE)/'[1]Processer - data'!J147,1)</f>
        <v>-2533779.2842192166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drivhus",Landbrug!C$51,1-Landbrug!C$51),1)*IF($A148="Tømmerproduktion",VLOOKUP($F148,Skovbrug!$A$59:$D$60,MATCH(H$2,Skovbrug!$A$58:$D$58,0),FALSE)/'[1]Processer - data'!H148,1)</f>
        <v>361986.6881069821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drivhus",Landbrug!D$51,1-Landbrug!D$51),1)*IF($A148="Tømmerproduktion",VLOOKUP($F148,Skovbrug!$A$59:$D$60,MATCH(I$2,Skovbrug!$A$58:$D$58,0),FALSE)/'[1]Processer - data'!I148,1)</f>
        <v>326800.01566744345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drivhus",Landbrug!E$51,1-Landbrug!E$51),1)*IF($A148="Tømmerproduktion",VLOOKUP($F148,Skovbrug!$A$59:$D$60,MATCH(J$2,Skovbrug!$A$58:$D$58,0),FALSE)/'[1]Processer - data'!J148,1)</f>
        <v>311687.87621461373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drivhus",Landbrug!C$51,1-Landbrug!C$51),1)*IF($A149="Tømmerproduktion",VLOOKUP($F149,Skovbrug!$A$59:$D$60,MATCH(H$2,Skovbrug!$A$58:$D$58,0),FALSE)/'[1]Processer - data'!H149,1)</f>
        <v>112295.35066349972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drivhus",Landbrug!D$51,1-Landbrug!D$51),1)*IF($A149="Tømmerproduktion",VLOOKUP($F149,Skovbrug!$A$59:$D$60,MATCH(I$2,Skovbrug!$A$58:$D$58,0),FALSE)/'[1]Processer - data'!I149,1)</f>
        <v>106184.21266776162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drivhus",Landbrug!E$51,1-Landbrug!E$51),1)*IF($A149="Tømmerproduktion",VLOOKUP($F149,Skovbrug!$A$59:$D$60,MATCH(J$2,Skovbrug!$A$58:$D$58,0),FALSE)/'[1]Processer - data'!J149,1)</f>
        <v>108642.77431686094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drivhus",Landbrug!C$51,1-Landbrug!C$51),1)*IF($A150="Tømmerproduktion",VLOOKUP($F150,Skovbrug!$A$59:$D$60,MATCH(H$2,Skovbrug!$A$58:$D$58,0),FALSE)/'[1]Processer - data'!H150,1)</f>
        <v>36652.921718189653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drivhus",Landbrug!D$51,1-Landbrug!D$51),1)*IF($A150="Tømmerproduktion",VLOOKUP($F150,Skovbrug!$A$59:$D$60,MATCH(I$2,Skovbrug!$A$58:$D$58,0),FALSE)/'[1]Processer - data'!I150,1)</f>
        <v>32142.515868179707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drivhus",Landbrug!E$51,1-Landbrug!E$51),1)*IF($A150="Tømmerproduktion",VLOOKUP($F150,Skovbrug!$A$59:$D$60,MATCH(J$2,Skovbrug!$A$58:$D$58,0),FALSE)/'[1]Processer - data'!J150,1)</f>
        <v>30656.156752888157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drivhus",Landbrug!C$51,1-Landbrug!C$51),1)*IF($A151="Tømmerproduktion",VLOOKUP($F151,Skovbrug!$A$59:$D$60,MATCH(H$2,Skovbrug!$A$58:$D$58,0),FALSE)/'[1]Processer - data'!H151,1)</f>
        <v>-1144236.3018493962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drivhus",Landbrug!D$51,1-Landbrug!D$51),1)*IF($A151="Tømmerproduktion",VLOOKUP($F151,Skovbrug!$A$59:$D$60,MATCH(I$2,Skovbrug!$A$58:$D$58,0),FALSE)/'[1]Processer - data'!I151,1)</f>
        <v>-1009297.3017126161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drivhus",Landbrug!E$51,1-Landbrug!E$51),1)*IF($A151="Tømmerproduktion",VLOOKUP($F151,Skovbrug!$A$59:$D$60,MATCH(J$2,Skovbrug!$A$58:$D$58,0),FALSE)/'[1]Processer - data'!J151,1)</f>
        <v>-962624.59411896905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drivhus",Landbrug!C$51,1-Landbrug!C$51),1)*IF($A152="Tømmerproduktion",VLOOKUP($F152,Skovbrug!$A$59:$D$60,MATCH(H$2,Skovbrug!$A$58:$D$58,0),FALSE)/'[1]Processer - data'!H152,1)</f>
        <v>468584.15317518299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drivhus",Landbrug!D$51,1-Landbrug!D$51),1)*IF($A152="Tømmerproduktion",VLOOKUP($F152,Skovbrug!$A$59:$D$60,MATCH(I$2,Skovbrug!$A$58:$D$58,0),FALSE)/'[1]Processer - data'!I152,1)</f>
        <v>413324.34625662811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drivhus",Landbrug!E$51,1-Landbrug!E$51),1)*IF($A152="Tømmerproduktion",VLOOKUP($F152,Skovbrug!$A$59:$D$60,MATCH(J$2,Skovbrug!$A$58:$D$58,0),FALSE)/'[1]Processer - data'!J152,1)</f>
        <v>394211.08168984758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drivhus",Landbrug!C$51,1-Landbrug!C$51),1)*IF($A153="Tømmerproduktion",VLOOKUP($F153,Skovbrug!$A$59:$D$60,MATCH(H$2,Skovbrug!$A$58:$D$58,0),FALSE)/'[1]Processer - data'!H153,1)</f>
        <v>514065.70872799889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drivhus",Landbrug!D$51,1-Landbrug!D$51),1)*IF($A153="Tømmerproduktion",VLOOKUP($F153,Skovbrug!$A$59:$D$60,MATCH(I$2,Skovbrug!$A$58:$D$58,0),FALSE)/'[1]Processer - data'!I153,1)</f>
        <v>649817.86842627032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drivhus",Landbrug!E$51,1-Landbrug!E$51),1)*IF($A153="Tømmerproduktion",VLOOKUP($F153,Skovbrug!$A$59:$D$60,MATCH(J$2,Skovbrug!$A$58:$D$58,0),FALSE)/'[1]Processer - data'!J153,1)</f>
        <v>887408.06512557517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drivhus",Landbrug!C$51,1-Landbrug!C$51),1)*IF($A154="Tømmerproduktion",VLOOKUP($F154,Skovbrug!$A$59:$D$60,MATCH(H$2,Skovbrug!$A$58:$D$58,0),FALSE)/'[1]Processer - data'!H154,1)</f>
        <v>167789.76216454705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drivhus",Landbrug!D$51,1-Landbrug!D$51),1)*IF($A154="Tømmerproduktion",VLOOKUP($F154,Skovbrug!$A$59:$D$60,MATCH(I$2,Skovbrug!$A$58:$D$58,0),FALSE)/'[1]Processer - data'!I154,1)</f>
        <v>196703.26334358647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drivhus",Landbrug!E$51,1-Landbrug!E$51),1)*IF($A154="Tømmerproduktion",VLOOKUP($F154,Skovbrug!$A$59:$D$60,MATCH(J$2,Skovbrug!$A$58:$D$58,0),FALSE)/'[1]Processer - data'!J154,1)</f>
        <v>250403.4062028254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drivhus",Landbrug!C$51,1-Landbrug!C$51),1)*IF($A155="Tømmerproduktion",VLOOKUP($F155,Skovbrug!$A$59:$D$60,MATCH(H$2,Skovbrug!$A$58:$D$58,0),FALSE)/'[1]Processer - data'!H155,1)</f>
        <v>-11733311.468827365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drivhus",Landbrug!D$51,1-Landbrug!D$51),1)*IF($A155="Tømmerproduktion",VLOOKUP($F155,Skovbrug!$A$59:$D$60,MATCH(I$2,Skovbrug!$A$58:$D$58,0),FALSE)/'[1]Processer - data'!I155,1)</f>
        <v>-13835626.470208237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drivhus",Landbrug!E$51,1-Landbrug!E$51),1)*IF($A155="Tømmerproduktion",VLOOKUP($F155,Skovbrug!$A$59:$D$60,MATCH(J$2,Skovbrug!$A$58:$D$58,0),FALSE)/'[1]Processer - data'!J155,1)</f>
        <v>-17612763.185522802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drivhus",Landbrug!C$51,1-Landbrug!C$51),1)*IF($A156="Tømmerproduktion",VLOOKUP($F156,Skovbrug!$A$59:$D$60,MATCH(H$2,Skovbrug!$A$58:$D$58,0),FALSE)/'[1]Processer - data'!H156,1)</f>
        <v>248861.6063304602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drivhus",Landbrug!D$51,1-Landbrug!D$51),1)*IF($A156="Tømmerproduktion",VLOOKUP($F156,Skovbrug!$A$59:$D$60,MATCH(I$2,Skovbrug!$A$58:$D$58,0),FALSE)/'[1]Processer - data'!I156,1)</f>
        <v>293451.36171590682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drivhus",Landbrug!E$51,1-Landbrug!E$51),1)*IF($A156="Tømmerproduktion",VLOOKUP($F156,Skovbrug!$A$59:$D$60,MATCH(J$2,Skovbrug!$A$58:$D$58,0),FALSE)/'[1]Processer - data'!J156,1)</f>
        <v>373563.81017517229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drivhus",Landbrug!C$51,1-Landbrug!C$51),1)*IF($A157="Tømmerproduktion",VLOOKUP($F157,Skovbrug!$A$59:$D$60,MATCH(H$2,Skovbrug!$A$58:$D$58,0),FALSE)/'[1]Processer - data'!H157,1)</f>
        <v>16312.180902553693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drivhus",Landbrug!D$51,1-Landbrug!D$51),1)*IF($A157="Tømmerproduktion",VLOOKUP($F157,Skovbrug!$A$59:$D$60,MATCH(I$2,Skovbrug!$A$58:$D$58,0),FALSE)/'[1]Processer - data'!I157,1)</f>
        <v>19269.662170427113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drivhus",Landbrug!E$51,1-Landbrug!E$51),1)*IF($A157="Tømmerproduktion",VLOOKUP($F157,Skovbrug!$A$59:$D$60,MATCH(J$2,Skovbrug!$A$58:$D$58,0),FALSE)/'[1]Processer - data'!J157,1)</f>
        <v>26796.707516573075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drivhus",Landbrug!C$51,1-Landbrug!C$51),1)*IF($A158="Tømmerproduktion",VLOOKUP($F158,Skovbrug!$A$59:$D$60,MATCH(H$2,Skovbrug!$A$58:$D$58,0),FALSE)/'[1]Processer - data'!H158,1)</f>
        <v>5324.2550661412697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drivhus",Landbrug!D$51,1-Landbrug!D$51),1)*IF($A158="Tømmerproduktion",VLOOKUP($F158,Skovbrug!$A$59:$D$60,MATCH(I$2,Skovbrug!$A$58:$D$58,0),FALSE)/'[1]Processer - data'!I158,1)</f>
        <v>5833.0274014026099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drivhus",Landbrug!E$51,1-Landbrug!E$51),1)*IF($A158="Tømmerproduktion",VLOOKUP($F158,Skovbrug!$A$59:$D$60,MATCH(J$2,Skovbrug!$A$58:$D$58,0),FALSE)/'[1]Processer - data'!J158,1)</f>
        <v>7561.3318166330127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drivhus",Landbrug!C$51,1-Landbrug!C$51),1)*IF($A159="Tømmerproduktion",VLOOKUP($F159,Skovbrug!$A$59:$D$60,MATCH(H$2,Skovbrug!$A$58:$D$58,0),FALSE)/'[1]Processer - data'!H159,1)</f>
        <v>-252090.28974464818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drivhus",Landbrug!D$51,1-Landbrug!D$51),1)*IF($A159="Tømmerproduktion",VLOOKUP($F159,Skovbrug!$A$59:$D$60,MATCH(I$2,Skovbrug!$A$58:$D$58,0),FALSE)/'[1]Processer - data'!I159,1)</f>
        <v>-277794.34697894321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drivhus",Landbrug!E$51,1-Landbrug!E$51),1)*IF($A159="Tømmerproduktion",VLOOKUP($F159,Skovbrug!$A$59:$D$60,MATCH(J$2,Skovbrug!$A$58:$D$58,0),FALSE)/'[1]Processer - data'!J159,1)</f>
        <v>-360103.78312085225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drivhus",Landbrug!C$51,1-Landbrug!C$51),1)*IF($A160="Tømmerproduktion",VLOOKUP($F160,Skovbrug!$A$59:$D$60,MATCH(H$2,Skovbrug!$A$58:$D$58,0),FALSE)/'[1]Processer - data'!H160,1)</f>
        <v>46284.166091931889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drivhus",Landbrug!D$51,1-Landbrug!D$51),1)*IF($A160="Tømmerproduktion",VLOOKUP($F160,Skovbrug!$A$59:$D$60,MATCH(I$2,Skovbrug!$A$58:$D$58,0),FALSE)/'[1]Processer - data'!I160,1)</f>
        <v>51003.470653300428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drivhus",Landbrug!E$51,1-Landbrug!E$51),1)*IF($A160="Tømmerproduktion",VLOOKUP($F160,Skovbrug!$A$59:$D$60,MATCH(J$2,Skovbrug!$A$58:$D$58,0),FALSE)/'[1]Processer - data'!J160,1)</f>
        <v>66115.610106130174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drivhus",Landbrug!C$51,1-Landbrug!C$51),1)*IF($A161="Tømmerproduktion",VLOOKUP($F161,Skovbrug!$A$59:$D$60,MATCH(H$2,Skovbrug!$A$58:$D$58,0),FALSE)/'[1]Processer - data'!H161,1)</f>
        <v>9620.0299005188881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drivhus",Landbrug!D$51,1-Landbrug!D$51),1)*IF($A161="Tømmerproduktion",VLOOKUP($F161,Skovbrug!$A$59:$D$60,MATCH(I$2,Skovbrug!$A$58:$D$58,0),FALSE)/'[1]Processer - data'!I161,1)</f>
        <v>11103.308711906404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drivhus",Landbrug!E$51,1-Landbrug!E$51),1)*IF($A161="Tømmerproduktion",VLOOKUP($F161,Skovbrug!$A$59:$D$60,MATCH(J$2,Skovbrug!$A$58:$D$58,0),FALSE)/'[1]Processer - data'!J161,1)</f>
        <v>15440.442774123569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drivhus",Landbrug!C$51,1-Landbrug!C$51),1)*IF($A162="Tømmerproduktion",VLOOKUP($F162,Skovbrug!$A$59:$D$60,MATCH(H$2,Skovbrug!$A$58:$D$58,0),FALSE)/'[1]Processer - data'!H162,1)</f>
        <v>3139.9537094546145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drivhus",Landbrug!D$51,1-Landbrug!D$51),1)*IF($A162="Tømmerproduktion",VLOOKUP($F162,Skovbrug!$A$59:$D$60,MATCH(I$2,Skovbrug!$A$58:$D$58,0),FALSE)/'[1]Processer - data'!I162,1)</f>
        <v>3361.029549453011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drivhus",Landbrug!E$51,1-Landbrug!E$51),1)*IF($A162="Tømmerproduktion",VLOOKUP($F162,Skovbrug!$A$59:$D$60,MATCH(J$2,Skovbrug!$A$58:$D$58,0),FALSE)/'[1]Processer - data'!J162,1)</f>
        <v>4356.8901566983468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drivhus",Landbrug!C$51,1-Landbrug!C$51),1)*IF($A163="Tømmerproduktion",VLOOKUP($F163,Skovbrug!$A$59:$D$60,MATCH(H$2,Skovbrug!$A$58:$D$58,0),FALSE)/'[1]Processer - data'!H163,1)</f>
        <v>-98023.536789473103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drivhus",Landbrug!D$51,1-Landbrug!D$51),1)*IF($A163="Tømmerproduktion",VLOOKUP($F163,Skovbrug!$A$59:$D$60,MATCH(I$2,Skovbrug!$A$58:$D$58,0),FALSE)/'[1]Processer - data'!I163,1)</f>
        <v>-105538.66004613426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drivhus",Landbrug!E$51,1-Landbrug!E$51),1)*IF($A163="Tømmerproduktion",VLOOKUP($F163,Skovbrug!$A$59:$D$60,MATCH(J$2,Skovbrug!$A$58:$D$58,0),FALSE)/'[1]Processer - data'!J163,1)</f>
        <v>-136809.37413387772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drivhus",Landbrug!C$51,1-Landbrug!C$51),1)*IF($A164="Tømmerproduktion",VLOOKUP($F164,Skovbrug!$A$59:$D$60,MATCH(H$2,Skovbrug!$A$58:$D$58,0),FALSE)/'[1]Processer - data'!H164,1)</f>
        <v>59913.879394365205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drivhus",Landbrug!D$51,1-Landbrug!D$51),1)*IF($A164="Tømmerproduktion",VLOOKUP($F164,Skovbrug!$A$59:$D$60,MATCH(I$2,Skovbrug!$A$58:$D$58,0),FALSE)/'[1]Processer - data'!I164,1)</f>
        <v>64507.267912884156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drivhus",Landbrug!E$51,1-Landbrug!E$51),1)*IF($A164="Tømmerproduktion",VLOOKUP($F164,Skovbrug!$A$59:$D$60,MATCH(J$2,Skovbrug!$A$58:$D$58,0),FALSE)/'[1]Processer - data'!J164,1)</f>
        <v>83620.532479664631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drivhus",Landbrug!C$51,1-Landbrug!C$51),1)*IF($A165="Tømmerproduktion",VLOOKUP($F165,Skovbrug!$A$59:$D$60,MATCH(H$2,Skovbrug!$A$58:$D$58,0),FALSE)/'[1]Processer - data'!H165,1)</f>
        <v>151288.25314661043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drivhus",Landbrug!D$51,1-Landbrug!D$51),1)*IF($A165="Tømmerproduktion",VLOOKUP($F165,Skovbrug!$A$59:$D$60,MATCH(I$2,Skovbrug!$A$58:$D$58,0),FALSE)/'[1]Processer - data'!I165,1)</f>
        <v>156675.25321712089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drivhus",Landbrug!E$51,1-Landbrug!E$51),1)*IF($A165="Tømmerproduktion",VLOOKUP($F165,Skovbrug!$A$59:$D$60,MATCH(J$2,Skovbrug!$A$58:$D$58,0),FALSE)/'[1]Processer - data'!J165,1)</f>
        <v>157422.09522610626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drivhus",Landbrug!C$51,1-Landbrug!C$51),1)*IF($A166="Tømmerproduktion",VLOOKUP($F166,Skovbrug!$A$59:$D$60,MATCH(H$2,Skovbrug!$A$58:$D$58,0),FALSE)/'[1]Processer - data'!H166,1)</f>
        <v>-1467704.1161021357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drivhus",Landbrug!D$51,1-Landbrug!D$51),1)*IF($A166="Tømmerproduktion",VLOOKUP($F166,Skovbrug!$A$59:$D$60,MATCH(I$2,Skovbrug!$A$58:$D$58,0),FALSE)/'[1]Processer - data'!I166,1)</f>
        <v>-1417878.195250127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drivhus",Landbrug!E$51,1-Landbrug!E$51),1)*IF($A166="Tømmerproduktion",VLOOKUP($F166,Skovbrug!$A$59:$D$60,MATCH(J$2,Skovbrug!$A$58:$D$58,0),FALSE)/'[1]Processer - data'!J166,1)</f>
        <v>-1328009.4086058498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drivhus",Landbrug!C$51,1-Landbrug!C$51),1)*IF($A167="Tømmerproduktion",VLOOKUP($F167,Skovbrug!$A$59:$D$60,MATCH(H$2,Skovbrug!$A$58:$D$58,0),FALSE)/'[1]Processer - data'!H167,1)</f>
        <v>16685.552909583264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drivhus",Landbrug!D$51,1-Landbrug!D$51),1)*IF($A167="Tømmerproduktion",VLOOKUP($F167,Skovbrug!$A$59:$D$60,MATCH(I$2,Skovbrug!$A$58:$D$58,0),FALSE)/'[1]Processer - data'!I167,1)</f>
        <v>16119.108331603318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drivhus",Landbrug!E$51,1-Landbrug!E$51),1)*IF($A167="Tømmerproduktion",VLOOKUP($F167,Skovbrug!$A$59:$D$60,MATCH(J$2,Skovbrug!$A$58:$D$58,0),FALSE)/'[1]Processer - data'!J167,1)</f>
        <v>15097.437561574092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drivhus",Landbrug!C$51,1-Landbrug!C$51),1)*IF($A168="Tømmerproduktion",VLOOKUP($F168,Skovbrug!$A$59:$D$60,MATCH(H$2,Skovbrug!$A$58:$D$58,0),FALSE)/'[1]Processer - data'!H168,1)</f>
        <v>2218.5848349981225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drivhus",Landbrug!D$51,1-Landbrug!D$51),1)*IF($A168="Tømmerproduktion",VLOOKUP($F168,Skovbrug!$A$59:$D$60,MATCH(I$2,Skovbrug!$A$58:$D$58,0),FALSE)/'[1]Processer - data'!I168,1)</f>
        <v>2147.1396617863825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drivhus",Landbrug!E$51,1-Landbrug!E$51),1)*IF($A168="Tømmerproduktion",VLOOKUP($F168,Skovbrug!$A$59:$D$60,MATCH(J$2,Skovbrug!$A$58:$D$58,0),FALSE)/'[1]Processer - data'!J168,1)</f>
        <v>2196.8539751960898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drivhus",Landbrug!C$51,1-Landbrug!C$51),1)*IF($A169="Tømmerproduktion",VLOOKUP($F169,Skovbrug!$A$59:$D$60,MATCH(H$2,Skovbrug!$A$58:$D$58,0),FALSE)/'[1]Processer - data'!H169,1)</f>
        <v>-17487.700773523011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drivhus",Landbrug!D$51,1-Landbrug!D$51),1)*IF($A169="Tømmerproduktion",VLOOKUP($F169,Skovbrug!$A$59:$D$60,MATCH(I$2,Skovbrug!$A$58:$D$58,0),FALSE)/'[1]Processer - data'!I169,1)</f>
        <v>-15787.820587164431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drivhus",Landbrug!E$51,1-Landbrug!E$51),1)*IF($A169="Tømmerproduktion",VLOOKUP($F169,Skovbrug!$A$59:$D$60,MATCH(J$2,Skovbrug!$A$58:$D$58,0),FALSE)/'[1]Processer - data'!J169,1)</f>
        <v>-15057.747958856249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drivhus",Landbrug!C$51,1-Landbrug!C$51),1)*IF($A170="Tømmerproduktion",VLOOKUP($F170,Skovbrug!$A$59:$D$60,MATCH(H$2,Skovbrug!$A$58:$D$58,0),FALSE)/'[1]Processer - data'!H170,1)</f>
        <v>1434.1434151806104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drivhus",Landbrug!D$51,1-Landbrug!D$51),1)*IF($A170="Tømmerproduktion",VLOOKUP($F170,Skovbrug!$A$59:$D$60,MATCH(I$2,Skovbrug!$A$58:$D$58,0),FALSE)/'[1]Processer - data'!I170,1)</f>
        <v>1294.7384695314279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drivhus",Landbrug!E$51,1-Landbrug!E$51),1)*IF($A170="Tømmerproduktion",VLOOKUP($F170,Skovbrug!$A$59:$D$60,MATCH(J$2,Skovbrug!$A$58:$D$58,0),FALSE)/'[1]Processer - data'!J170,1)</f>
        <v>1234.8661703623445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drivhus",Landbrug!C$51,1-Landbrug!C$51),1)*IF($A171="Tømmerproduktion",VLOOKUP($F171,Skovbrug!$A$59:$D$60,MATCH(H$2,Skovbrug!$A$58:$D$58,0),FALSE)/'[1]Processer - data'!H171,1)</f>
        <v>660.08898837497532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drivhus",Landbrug!D$51,1-Landbrug!D$51),1)*IF($A171="Tømmerproduktion",VLOOKUP($F171,Skovbrug!$A$59:$D$60,MATCH(I$2,Skovbrug!$A$58:$D$58,0),FALSE)/'[1]Processer - data'!I171,1)</f>
        <v>624.16679859959925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drivhus",Landbrug!E$51,1-Landbrug!E$51),1)*IF($A171="Tømmerproduktion",VLOOKUP($F171,Skovbrug!$A$59:$D$60,MATCH(J$2,Skovbrug!$A$58:$D$58,0),FALSE)/'[1]Processer - data'!J171,1)</f>
        <v>638.61859435269787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drivhus",Landbrug!C$51,1-Landbrug!C$51),1)*IF($A172="Tømmerproduktion",VLOOKUP($F172,Skovbrug!$A$59:$D$60,MATCH(H$2,Skovbrug!$A$58:$D$58,0),FALSE)/'[1]Processer - data'!H172,1)</f>
        <v>-4345.4160226653421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drivhus",Landbrug!D$51,1-Landbrug!D$51),1)*IF($A172="Tømmerproduktion",VLOOKUP($F172,Skovbrug!$A$59:$D$60,MATCH(I$2,Skovbrug!$A$58:$D$58,0),FALSE)/'[1]Processer - data'!I172,1)</f>
        <v>-3832.9640996411572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drivhus",Landbrug!E$51,1-Landbrug!E$51),1)*IF($A172="Tømmerproduktion",VLOOKUP($F172,Skovbrug!$A$59:$D$60,MATCH(J$2,Skovbrug!$A$58:$D$58,0),FALSE)/'[1]Processer - data'!J172,1)</f>
        <v>-3655.7172048600628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drivhus",Landbrug!C$51,1-Landbrug!C$51),1)*IF($A173="Tømmerproduktion",VLOOKUP($F173,Skovbrug!$A$59:$D$60,MATCH(H$2,Skovbrug!$A$58:$D$58,0),FALSE)/'[1]Processer - data'!H173,1)</f>
        <v>936.5902571566595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drivhus",Landbrug!D$51,1-Landbrug!D$51),1)*IF($A173="Tømmerproduktion",VLOOKUP($F173,Skovbrug!$A$59:$D$60,MATCH(I$2,Skovbrug!$A$58:$D$58,0),FALSE)/'[1]Processer - data'!I173,1)</f>
        <v>826.13881226341437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drivhus",Landbrug!E$51,1-Landbrug!E$51),1)*IF($A173="Tømmerproduktion",VLOOKUP($F173,Skovbrug!$A$59:$D$60,MATCH(J$2,Skovbrug!$A$58:$D$58,0),FALSE)/'[1]Processer - data'!J173,1)</f>
        <v>787.93586140730258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drivhus",Landbrug!C$51,1-Landbrug!C$51),1)*IF($A174="Tømmerproduktion",VLOOKUP($F174,Skovbrug!$A$59:$D$60,MATCH(H$2,Skovbrug!$A$58:$D$58,0),FALSE)/'[1]Processer - data'!H174,1)</f>
        <v>11026.048730184528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drivhus",Landbrug!D$51,1-Landbrug!D$51),1)*IF($A174="Tømmerproduktion",VLOOKUP($F174,Skovbrug!$A$59:$D$60,MATCH(I$2,Skovbrug!$A$58:$D$58,0),FALSE)/'[1]Processer - data'!I174,1)</f>
        <v>13937.758075210928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drivhus",Landbrug!E$51,1-Landbrug!E$51),1)*IF($A174="Tømmerproduktion",VLOOKUP($F174,Skovbrug!$A$59:$D$60,MATCH(J$2,Skovbrug!$A$58:$D$58,0),FALSE)/'[1]Processer - data'!J174,1)</f>
        <v>19033.762422792846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drivhus",Landbrug!C$51,1-Landbrug!C$51),1)*IF($A175="Tømmerproduktion",VLOOKUP($F175,Skovbrug!$A$59:$D$60,MATCH(H$2,Skovbrug!$A$58:$D$58,0),FALSE)/'[1]Processer - data'!H175,1)</f>
        <v>-106967.83635905928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drivhus",Landbrug!D$51,1-Landbrug!D$51),1)*IF($A175="Tømmerproduktion",VLOOKUP($F175,Skovbrug!$A$59:$D$60,MATCH(I$2,Skovbrug!$A$58:$D$58,0),FALSE)/'[1]Processer - data'!I175,1)</f>
        <v>-126133.78858323385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drivhus",Landbrug!E$51,1-Landbrug!E$51),1)*IF($A175="Tømmerproduktion",VLOOKUP($F175,Skovbrug!$A$59:$D$60,MATCH(J$2,Skovbrug!$A$58:$D$58,0),FALSE)/'[1]Processer - data'!J175,1)</f>
        <v>-160568.41031325271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drivhus",Landbrug!C$51,1-Landbrug!C$51),1)*IF($A176="Tømmerproduktion",VLOOKUP($F176,Skovbrug!$A$59:$D$60,MATCH(H$2,Skovbrug!$A$58:$D$58,0),FALSE)/'[1]Processer - data'!H176,1)</f>
        <v>2133.4400616815751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drivhus",Landbrug!D$51,1-Landbrug!D$51),1)*IF($A176="Tømmerproduktion",VLOOKUP($F176,Skovbrug!$A$59:$D$60,MATCH(I$2,Skovbrug!$A$58:$D$58,0),FALSE)/'[1]Processer - data'!I176,1)</f>
        <v>2515.6989881693048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drivhus",Landbrug!E$51,1-Landbrug!E$51),1)*IF($A176="Tømmerproduktion",VLOOKUP($F176,Skovbrug!$A$59:$D$60,MATCH(J$2,Skovbrug!$A$58:$D$58,0),FALSE)/'[1]Processer - data'!J176,1)</f>
        <v>3202.4867554854131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drivhus",Landbrug!C$51,1-Landbrug!C$51),1)*IF($A177="Tømmerproduktion",VLOOKUP($F177,Skovbrug!$A$59:$D$60,MATCH(H$2,Skovbrug!$A$58:$D$58,0),FALSE)/'[1]Processer - data'!H177,1)</f>
        <v>161.69282144484706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drivhus",Landbrug!D$51,1-Landbrug!D$51),1)*IF($A177="Tømmerproduktion",VLOOKUP($F177,Skovbrug!$A$59:$D$60,MATCH(I$2,Skovbrug!$A$58:$D$58,0),FALSE)/'[1]Processer - data'!I177,1)</f>
        <v>191.00855141556323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drivhus",Landbrug!E$51,1-Landbrug!E$51),1)*IF($A177="Tømmerproduktion",VLOOKUP($F177,Skovbrug!$A$59:$D$60,MATCH(J$2,Skovbrug!$A$58:$D$58,0),FALSE)/'[1]Processer - data'!J177,1)</f>
        <v>265.6196170009818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drivhus",Landbrug!C$51,1-Landbrug!C$51),1)*IF($A178="Tømmerproduktion",VLOOKUP($F178,Skovbrug!$A$59:$D$60,MATCH(H$2,Skovbrug!$A$58:$D$58,0),FALSE)/'[1]Processer - data'!H178,1)</f>
        <v>-1274.5222242793175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drivhus",Landbrug!D$51,1-Landbrug!D$51),1)*IF($A178="Tømmerproduktion",VLOOKUP($F178,Skovbrug!$A$59:$D$60,MATCH(I$2,Skovbrug!$A$58:$D$58,0),FALSE)/'[1]Processer - data'!I178,1)</f>
        <v>-1404.4772187078649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drivhus",Landbrug!E$51,1-Landbrug!E$51),1)*IF($A178="Tømmerproduktion",VLOOKUP($F178,Skovbrug!$A$59:$D$60,MATCH(J$2,Skovbrug!$A$58:$D$58,0),FALSE)/'[1]Processer - data'!J178,1)</f>
        <v>-1820.6186168435286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drivhus",Landbrug!C$51,1-Landbrug!C$51),1)*IF($A179="Tømmerproduktion",VLOOKUP($F179,Skovbrug!$A$59:$D$60,MATCH(H$2,Skovbrug!$A$58:$D$58,0),FALSE)/'[1]Processer - data'!H179,1)</f>
        <v>183.37174876511565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drivhus",Landbrug!D$51,1-Landbrug!D$51),1)*IF($A179="Tømmerproduktion",VLOOKUP($F179,Skovbrug!$A$59:$D$60,MATCH(I$2,Skovbrug!$A$58:$D$58,0),FALSE)/'[1]Processer - data'!I179,1)</f>
        <v>202.0690096956564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drivhus",Landbrug!E$51,1-Landbrug!E$51),1)*IF($A179="Tømmerproduktion",VLOOKUP($F179,Skovbrug!$A$59:$D$60,MATCH(J$2,Skovbrug!$A$58:$D$58,0),FALSE)/'[1]Processer - data'!J179,1)</f>
        <v>261.94130886473977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drivhus",Landbrug!C$51,1-Landbrug!C$51),1)*IF($A180="Tømmerproduktion",VLOOKUP($F180,Skovbrug!$A$59:$D$60,MATCH(H$2,Skovbrug!$A$58:$D$58,0),FALSE)/'[1]Processer - data'!H180,1)</f>
        <v>48.107987240936367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drivhus",Landbrug!D$51,1-Landbrug!D$51),1)*IF($A180="Tømmerproduktion",VLOOKUP($F180,Skovbrug!$A$59:$D$60,MATCH(I$2,Skovbrug!$A$58:$D$58,0),FALSE)/'[1]Processer - data'!I180,1)</f>
        <v>55.525589771374761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drivhus",Landbrug!E$51,1-Landbrug!E$51),1)*IF($A180="Tømmerproduktion",VLOOKUP($F180,Skovbrug!$A$59:$D$60,MATCH(J$2,Skovbrug!$A$58:$D$58,0),FALSE)/'[1]Processer - data'!J180,1)</f>
        <v>77.214793680826205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drivhus",Landbrug!C$51,1-Landbrug!C$51),1)*IF($A181="Tømmerproduktion",VLOOKUP($F181,Skovbrug!$A$59:$D$60,MATCH(H$2,Skovbrug!$A$58:$D$58,0),FALSE)/'[1]Processer - data'!H181,1)</f>
        <v>-316.6985395250839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drivhus",Landbrug!D$51,1-Landbrug!D$51),1)*IF($A181="Tømmerproduktion",VLOOKUP($F181,Skovbrug!$A$59:$D$60,MATCH(I$2,Skovbrug!$A$58:$D$58,0),FALSE)/'[1]Processer - data'!I181,1)</f>
        <v>-340.97871383512955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drivhus",Landbrug!E$51,1-Landbrug!E$51),1)*IF($A181="Tømmerproduktion",VLOOKUP($F181,Skovbrug!$A$59:$D$60,MATCH(J$2,Skovbrug!$A$58:$D$58,0),FALSE)/'[1]Processer - data'!J181,1)</f>
        <v>-442.00944386035303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drivhus",Landbrug!C$51,1-Landbrug!C$51),1)*IF($A182="Tømmerproduktion",VLOOKUP($F182,Skovbrug!$A$59:$D$60,MATCH(H$2,Skovbrug!$A$58:$D$58,0),FALSE)/'[1]Processer - data'!H182,1)</f>
        <v>119.75384854349258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drivhus",Landbrug!D$51,1-Landbrug!D$51),1)*IF($A182="Tømmerproduktion",VLOOKUP($F182,Skovbrug!$A$59:$D$60,MATCH(I$2,Skovbrug!$A$58:$D$58,0),FALSE)/'[1]Processer - data'!I182,1)</f>
        <v>128.93495913937682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drivhus",Landbrug!E$51,1-Landbrug!E$51),1)*IF($A182="Tømmerproduktion",VLOOKUP($F182,Skovbrug!$A$59:$D$60,MATCH(J$2,Skovbrug!$A$58:$D$58,0),FALSE)/'[1]Processer - data'!J182,1)</f>
        <v>167.13790999548843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drivhus",Landbrug!C$51,1-Landbrug!C$51),1)*IF($A183="Tømmerproduktion",VLOOKUP($F183,Skovbrug!$A$59:$D$60,MATCH(H$2,Skovbrug!$A$58:$D$58,0),FALSE)/'[1]Processer - data'!H183,1)</f>
        <v>18287.386999956889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drivhus",Landbrug!D$51,1-Landbrug!D$51),1)*IF($A183="Tømmerproduktion",VLOOKUP($F183,Skovbrug!$A$59:$D$60,MATCH(I$2,Skovbrug!$A$58:$D$58,0),FALSE)/'[1]Processer - data'!I183,1)</f>
        <v>17647.925975881906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drivhus",Landbrug!E$51,1-Landbrug!E$51),1)*IF($A183="Tømmerproduktion",VLOOKUP($F183,Skovbrug!$A$59:$D$60,MATCH(J$2,Skovbrug!$A$58:$D$58,0),FALSE)/'[1]Processer - data'!J183,1)</f>
        <v>16533.609281297191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drivhus",Landbrug!C$51,1-Landbrug!C$51),1)*IF($A184="Tømmerproduktion",VLOOKUP($F184,Skovbrug!$A$59:$D$60,MATCH(H$2,Skovbrug!$A$58:$D$58,0),FALSE)/'[1]Processer - data'!H184,1)</f>
        <v>-15647250.586681526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drivhus",Landbrug!D$51,1-Landbrug!D$51),1)*IF($A184="Tømmerproduktion",VLOOKUP($F184,Skovbrug!$A$59:$D$60,MATCH(I$2,Skovbrug!$A$58:$D$58,0),FALSE)/'[1]Processer - data'!I184,1)</f>
        <v>-15100108.073421385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drivhus",Landbrug!E$51,1-Landbrug!E$51),1)*IF($A184="Tømmerproduktion",VLOOKUP($F184,Skovbrug!$A$59:$D$60,MATCH(J$2,Skovbrug!$A$58:$D$58,0),FALSE)/'[1]Processer - data'!J184,1)</f>
        <v>-14146664.448417395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drivhus",Landbrug!C$51,1-Landbrug!C$51),1)*IF($A185="Tømmerproduktion",VLOOKUP($F185,Skovbrug!$A$59:$D$60,MATCH(H$2,Skovbrug!$A$58:$D$58,0),FALSE)/'[1]Processer - data'!H185,1)</f>
        <v>3388.2919548163195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drivhus",Landbrug!D$51,1-Landbrug!D$51),1)*IF($A185="Tømmerproduktion",VLOOKUP($F185,Skovbrug!$A$59:$D$60,MATCH(I$2,Skovbrug!$A$58:$D$58,0),FALSE)/'[1]Processer - data'!I185,1)</f>
        <v>3269.8124452342795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drivhus",Landbrug!E$51,1-Landbrug!E$51),1)*IF($A185="Tømmerproduktion",VLOOKUP($F185,Skovbrug!$A$59:$D$60,MATCH(J$2,Skovbrug!$A$58:$D$58,0),FALSE)/'[1]Processer - data'!J185,1)</f>
        <v>3063.3515500069948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drivhus",Landbrug!C$51,1-Landbrug!C$51),1)*IF($A186="Tømmerproduktion",VLOOKUP($F186,Skovbrug!$A$59:$D$60,MATCH(H$2,Skovbrug!$A$58:$D$58,0),FALSE)/'[1]Processer - data'!H186,1)</f>
        <v>1332.8042066416401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drivhus",Landbrug!D$51,1-Landbrug!D$51),1)*IF($A186="Tømmerproduktion",VLOOKUP($F186,Skovbrug!$A$59:$D$60,MATCH(I$2,Skovbrug!$A$58:$D$58,0),FALSE)/'[1]Processer - data'!I186,1)</f>
        <v>1569.9513339238299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drivhus",Landbrug!E$51,1-Landbrug!E$51),1)*IF($A186="Tømmerproduktion",VLOOKUP($F186,Skovbrug!$A$59:$D$60,MATCH(J$2,Skovbrug!$A$58:$D$58,0),FALSE)/'[1]Processer - data'!J186,1)</f>
        <v>1999.0636676477511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drivhus",Landbrug!C$51,1-Landbrug!C$51),1)*IF($A187="Tømmerproduktion",VLOOKUP($F187,Skovbrug!$A$59:$D$60,MATCH(H$2,Skovbrug!$A$58:$D$58,0),FALSE)/'[1]Processer - data'!H187,1)</f>
        <v>-1140388.2580028614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drivhus",Landbrug!D$51,1-Landbrug!D$51),1)*IF($A187="Tømmerproduktion",VLOOKUP($F187,Skovbrug!$A$59:$D$60,MATCH(I$2,Skovbrug!$A$58:$D$58,0),FALSE)/'[1]Processer - data'!I187,1)</f>
        <v>-1343298.6315026309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drivhus",Landbrug!E$51,1-Landbrug!E$51),1)*IF($A187="Tømmerproduktion",VLOOKUP($F187,Skovbrug!$A$59:$D$60,MATCH(J$2,Skovbrug!$A$58:$D$58,0),FALSE)/'[1]Processer - data'!J187,1)</f>
        <v>-1710460.3378541032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drivhus",Landbrug!C$51,1-Landbrug!C$51),1)*IF($A188="Tømmerproduktion",VLOOKUP($F188,Skovbrug!$A$59:$D$60,MATCH(H$2,Skovbrug!$A$58:$D$58,0),FALSE)/'[1]Processer - data'!H188,1)</f>
        <v>433.23214017838967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drivhus",Landbrug!D$51,1-Landbrug!D$51),1)*IF($A188="Tømmerproduktion",VLOOKUP($F188,Skovbrug!$A$59:$D$60,MATCH(I$2,Skovbrug!$A$58:$D$58,0),FALSE)/'[1]Processer - data'!I188,1)</f>
        <v>510.31754925621709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drivhus",Landbrug!E$51,1-Landbrug!E$51),1)*IF($A188="Tømmerproduktion",VLOOKUP($F188,Skovbrug!$A$59:$D$60,MATCH(J$2,Skovbrug!$A$58:$D$58,0),FALSE)/'[1]Processer - data'!J188,1)</f>
        <v>649.80184394087769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drivhus",Landbrug!C$51,1-Landbrug!C$51),1)*IF($A189="Tømmerproduktion",VLOOKUP($F189,Skovbrug!$A$59:$D$60,MATCH(H$2,Skovbrug!$A$58:$D$58,0),FALSE)/'[1]Processer - data'!H189,1)</f>
        <v>1856679.0274235527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drivhus",Landbrug!D$51,1-Landbrug!D$51),1)*IF($A189="Tømmerproduktion",VLOOKUP($F189,Skovbrug!$A$59:$D$60,MATCH(I$2,Skovbrug!$A$58:$D$58,0),FALSE)/'[1]Processer - data'!I189,1)</f>
        <v>1922790.7700315742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drivhus",Landbrug!E$51,1-Landbrug!E$51),1)*IF($A189="Tømmerproduktion",VLOOKUP($F189,Skovbrug!$A$59:$D$60,MATCH(J$2,Skovbrug!$A$58:$D$58,0),FALSE)/'[1]Processer - data'!J189,1)</f>
        <v>1931956.3586747211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drivhus",Landbrug!C$51,1-Landbrug!C$51),1)*IF($A190="Tømmerproduktion",VLOOKUP($F190,Skovbrug!$A$59:$D$60,MATCH(H$2,Skovbrug!$A$58:$D$58,0),FALSE)/'[1]Processer - data'!H190,1)</f>
        <v>-6557474.8258948205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drivhus",Landbrug!D$51,1-Landbrug!D$51),1)*IF($A190="Tømmerproduktion",VLOOKUP($F190,Skovbrug!$A$59:$D$60,MATCH(I$2,Skovbrug!$A$58:$D$58,0),FALSE)/'[1]Processer - data'!I190,1)</f>
        <v>-6334860.3233670238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drivhus",Landbrug!E$51,1-Landbrug!E$51),1)*IF($A190="Tømmerproduktion",VLOOKUP($F190,Skovbrug!$A$59:$D$60,MATCH(J$2,Skovbrug!$A$58:$D$58,0),FALSE)/'[1]Processer - data'!J190,1)</f>
        <v>-5933340.4941397086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drivhus",Landbrug!C$51,1-Landbrug!C$51),1)*IF($A191="Tømmerproduktion",VLOOKUP($F191,Skovbrug!$A$59:$D$60,MATCH(H$2,Skovbrug!$A$58:$D$58,0),FALSE)/'[1]Processer - data'!H191,1)</f>
        <v>99397.95717709836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drivhus",Landbrug!D$51,1-Landbrug!D$51),1)*IF($A191="Tømmerproduktion",VLOOKUP($F191,Skovbrug!$A$59:$D$60,MATCH(I$2,Skovbrug!$A$58:$D$58,0),FALSE)/'[1]Processer - data'!I191,1)</f>
        <v>96023.574906978174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drivhus",Landbrug!E$51,1-Landbrug!E$51),1)*IF($A191="Tømmerproduktion",VLOOKUP($F191,Skovbrug!$A$59:$D$60,MATCH(J$2,Skovbrug!$A$58:$D$58,0),FALSE)/'[1]Processer - data'!J191,1)</f>
        <v>89937.352412659035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drivhus",Landbrug!C$51,1-Landbrug!C$51),1)*IF($A192="Tømmerproduktion",VLOOKUP($F192,Skovbrug!$A$59:$D$60,MATCH(H$2,Skovbrug!$A$58:$D$58,0),FALSE)/'[1]Processer - data'!H192,1)</f>
        <v>72157.52731348855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drivhus",Landbrug!D$51,1-Landbrug!D$51),1)*IF($A192="Tømmerproduktion",VLOOKUP($F192,Skovbrug!$A$59:$D$60,MATCH(I$2,Skovbrug!$A$58:$D$58,0),FALSE)/'[1]Processer - data'!I192,1)</f>
        <v>69833.835671808629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drivhus",Landbrug!E$51,1-Landbrug!E$51),1)*IF($A192="Tømmerproduktion",VLOOKUP($F192,Skovbrug!$A$59:$D$60,MATCH(J$2,Skovbrug!$A$58:$D$58,0),FALSE)/'[1]Processer - data'!J192,1)</f>
        <v>71450.750144107937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drivhus",Landbrug!C$51,1-Landbrug!C$51),1)*IF($A193="Tømmerproduktion",VLOOKUP($F193,Skovbrug!$A$59:$D$60,MATCH(H$2,Skovbrug!$A$58:$D$58,0),FALSE)/'[1]Processer - data'!H193,1)</f>
        <v>-169898.74999687725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drivhus",Landbrug!D$51,1-Landbrug!D$51),1)*IF($A193="Tømmerproduktion",VLOOKUP($F193,Skovbrug!$A$59:$D$60,MATCH(I$2,Skovbrug!$A$58:$D$58,0),FALSE)/'[1]Processer - data'!I193,1)</f>
        <v>-153383.85632691893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drivhus",Landbrug!E$51,1-Landbrug!E$51),1)*IF($A193="Tømmerproduktion",VLOOKUP($F193,Skovbrug!$A$59:$D$60,MATCH(J$2,Skovbrug!$A$58:$D$58,0),FALSE)/'[1]Processer - data'!J193,1)</f>
        <v>-146290.96123665673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drivhus",Landbrug!C$51,1-Landbrug!C$51),1)*IF($A194="Tømmerproduktion",VLOOKUP($F194,Skovbrug!$A$59:$D$60,MATCH(H$2,Skovbrug!$A$58:$D$58,0),FALSE)/'[1]Processer - data'!H194,1)</f>
        <v>22641.407361399019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drivhus",Landbrug!D$51,1-Landbrug!D$51),1)*IF($A194="Tømmerproduktion",VLOOKUP($F194,Skovbrug!$A$59:$D$60,MATCH(I$2,Skovbrug!$A$58:$D$58,0),FALSE)/'[1]Processer - data'!I194,1)</f>
        <v>20440.564594053238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drivhus",Landbrug!E$51,1-Landbrug!E$51),1)*IF($A194="Tømmerproduktion",VLOOKUP($F194,Skovbrug!$A$59:$D$60,MATCH(J$2,Skovbrug!$A$58:$D$58,0),FALSE)/'[1]Processer - data'!J194,1)</f>
        <v>19495.336173518979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drivhus",Landbrug!C$51,1-Landbrug!C$51),1)*IF($A195="Tømmerproduktion",VLOOKUP($F195,Skovbrug!$A$59:$D$60,MATCH(H$2,Skovbrug!$A$58:$D$58,0),FALSE)/'[1]Processer - data'!H195,1)</f>
        <v>71978.294997334495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drivhus",Landbrug!D$51,1-Landbrug!D$51),1)*IF($A195="Tømmerproduktion",VLOOKUP($F195,Skovbrug!$A$59:$D$60,MATCH(I$2,Skovbrug!$A$58:$D$58,0),FALSE)/'[1]Processer - data'!I195,1)</f>
        <v>68061.220151157191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drivhus",Landbrug!E$51,1-Landbrug!E$51),1)*IF($A195="Tømmerproduktion",VLOOKUP($F195,Skovbrug!$A$59:$D$60,MATCH(J$2,Skovbrug!$A$58:$D$58,0),FALSE)/'[1]Processer - data'!J195,1)</f>
        <v>69637.091944623404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drivhus",Landbrug!C$51,1-Landbrug!C$51),1)*IF($A196="Tømmerproduktion",VLOOKUP($F196,Skovbrug!$A$59:$D$60,MATCH(H$2,Skovbrug!$A$58:$D$58,0),FALSE)/'[1]Processer - data'!H196,1)</f>
        <v>-108949.33153327699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drivhus",Landbrug!D$51,1-Landbrug!D$51),1)*IF($A196="Tømmerproduktion",VLOOKUP($F196,Skovbrug!$A$59:$D$60,MATCH(I$2,Skovbrug!$A$58:$D$58,0),FALSE)/'[1]Processer - data'!I196,1)</f>
        <v>-96101.0117946799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drivhus",Landbrug!E$51,1-Landbrug!E$51),1)*IF($A196="Tømmerproduktion",VLOOKUP($F196,Skovbrug!$A$59:$D$60,MATCH(J$2,Skovbrug!$A$58:$D$58,0),FALSE)/'[1]Processer - data'!J196,1)</f>
        <v>-91657.034370648456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drivhus",Landbrug!C$51,1-Landbrug!C$51),1)*IF($A197="Tømmerproduktion",VLOOKUP($F197,Skovbrug!$A$59:$D$60,MATCH(H$2,Skovbrug!$A$58:$D$58,0),FALSE)/'[1]Processer - data'!H197,1)</f>
        <v>49573.996961028934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drivhus",Landbrug!D$51,1-Landbrug!D$51),1)*IF($A197="Tømmerproduktion",VLOOKUP($F197,Skovbrug!$A$59:$D$60,MATCH(I$2,Skovbrug!$A$58:$D$58,0),FALSE)/'[1]Processer - data'!I197,1)</f>
        <v>43727.769593576064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drivhus",Landbrug!E$51,1-Landbrug!E$51),1)*IF($A197="Tømmerproduktion",VLOOKUP($F197,Skovbrug!$A$59:$D$60,MATCH(J$2,Skovbrug!$A$58:$D$58,0),FALSE)/'[1]Processer - data'!J197,1)</f>
        <v>41705.676201965609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drivhus",Landbrug!C$51,1-Landbrug!C$51),1)*IF($A198="Tømmerproduktion",VLOOKUP($F198,Skovbrug!$A$59:$D$60,MATCH(H$2,Skovbrug!$A$58:$D$58,0),FALSE)/'[1]Processer - data'!H198,1)</f>
        <v>135316.74143163557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drivhus",Landbrug!D$51,1-Landbrug!D$51),1)*IF($A198="Tømmerproduktion",VLOOKUP($F198,Skovbrug!$A$59:$D$60,MATCH(I$2,Skovbrug!$A$58:$D$58,0),FALSE)/'[1]Processer - data'!I198,1)</f>
        <v>171050.57775020768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drivhus",Landbrug!E$51,1-Landbrug!E$51),1)*IF($A198="Tømmerproduktion",VLOOKUP($F198,Skovbrug!$A$59:$D$60,MATCH(J$2,Skovbrug!$A$58:$D$58,0),FALSE)/'[1]Processer - data'!J198,1)</f>
        <v>233591.08700339808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drivhus",Landbrug!C$51,1-Landbrug!C$51),1)*IF($A199="Tømmerproduktion",VLOOKUP($F199,Skovbrug!$A$59:$D$60,MATCH(H$2,Skovbrug!$A$58:$D$58,0),FALSE)/'[1]Processer - data'!H199,1)</f>
        <v>-477915.73683653522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drivhus",Landbrug!D$51,1-Landbrug!D$51),1)*IF($A199="Tømmerproduktion",VLOOKUP($F199,Skovbrug!$A$59:$D$60,MATCH(I$2,Skovbrug!$A$58:$D$58,0),FALSE)/'[1]Processer - data'!I199,1)</f>
        <v>-563546.24495155201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drivhus",Landbrug!E$51,1-Landbrug!E$51),1)*IF($A199="Tømmerproduktion",VLOOKUP($F199,Skovbrug!$A$59:$D$60,MATCH(J$2,Skovbrug!$A$58:$D$58,0),FALSE)/'[1]Processer - data'!J199,1)</f>
        <v>-717394.80520052824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drivhus",Landbrug!C$51,1-Landbrug!C$51),1)*IF($A200="Tømmerproduktion",VLOOKUP($F200,Skovbrug!$A$59:$D$60,MATCH(H$2,Skovbrug!$A$58:$D$58,0),FALSE)/'[1]Processer - data'!H200,1)</f>
        <v>12709.173321378878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drivhus",Landbrug!D$51,1-Landbrug!D$51),1)*IF($A200="Tømmerproduktion",VLOOKUP($F200,Skovbrug!$A$59:$D$60,MATCH(I$2,Skovbrug!$A$58:$D$58,0),FALSE)/'[1]Processer - data'!I200,1)</f>
        <v>14986.338280279833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drivhus",Landbrug!E$51,1-Landbrug!E$51),1)*IF($A200="Tømmerproduktion",VLOOKUP($F200,Skovbrug!$A$59:$D$60,MATCH(J$2,Skovbrug!$A$58:$D$58,0),FALSE)/'[1]Processer - data'!J200,1)</f>
        <v>19077.620208745855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drivhus",Landbrug!C$51,1-Landbrug!C$51),1)*IF($A201="Tømmerproduktion",VLOOKUP($F201,Skovbrug!$A$59:$D$60,MATCH(H$2,Skovbrug!$A$58:$D$58,0),FALSE)/'[1]Processer - data'!H201,1)</f>
        <v>5258.9173042875573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drivhus",Landbrug!D$51,1-Landbrug!D$51),1)*IF($A201="Tømmerproduktion",VLOOKUP($F201,Skovbrug!$A$59:$D$60,MATCH(I$2,Skovbrug!$A$58:$D$58,0),FALSE)/'[1]Processer - data'!I201,1)</f>
        <v>6212.3857282608933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drivhus",Landbrug!E$51,1-Landbrug!E$51),1)*IF($A201="Tømmerproduktion",VLOOKUP($F201,Skovbrug!$A$59:$D$60,MATCH(J$2,Skovbrug!$A$58:$D$58,0),FALSE)/'[1]Processer - data'!J201,1)</f>
        <v>8639.0452446966883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drivhus",Landbrug!C$51,1-Landbrug!C$51),1)*IF($A202="Tømmerproduktion",VLOOKUP($F202,Skovbrug!$A$59:$D$60,MATCH(H$2,Skovbrug!$A$58:$D$58,0),FALSE)/'[1]Processer - data'!H202,1)</f>
        <v>-12382.401526228334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drivhus",Landbrug!D$51,1-Landbrug!D$51),1)*IF($A202="Tømmerproduktion",VLOOKUP($F202,Skovbrug!$A$59:$D$60,MATCH(I$2,Skovbrug!$A$58:$D$58,0),FALSE)/'[1]Processer - data'!I202,1)</f>
        <v>-13644.956929891803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drivhus",Landbrug!E$51,1-Landbrug!E$51),1)*IF($A202="Tømmerproduktion",VLOOKUP($F202,Skovbrug!$A$59:$D$60,MATCH(J$2,Skovbrug!$A$58:$D$58,0),FALSE)/'[1]Processer - data'!J202,1)</f>
        <v>-17687.907131341224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drivhus",Landbrug!C$51,1-Landbrug!C$51),1)*IF($A203="Tømmerproduktion",VLOOKUP($F203,Skovbrug!$A$59:$D$60,MATCH(H$2,Skovbrug!$A$58:$D$58,0),FALSE)/'[1]Processer - data'!H203,1)</f>
        <v>2894.9646307445764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drivhus",Landbrug!D$51,1-Landbrug!D$51),1)*IF($A203="Tømmerproduktion",VLOOKUP($F203,Skovbrug!$A$59:$D$60,MATCH(I$2,Skovbrug!$A$58:$D$58,0),FALSE)/'[1]Processer - data'!I203,1)</f>
        <v>3190.145919303106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drivhus",Landbrug!E$51,1-Landbrug!E$51),1)*IF($A203="Tømmerproduktion",VLOOKUP($F203,Skovbrug!$A$59:$D$60,MATCH(J$2,Skovbrug!$A$58:$D$58,0),FALSE)/'[1]Processer - data'!J203,1)</f>
        <v>4135.374339837359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drivhus",Landbrug!C$51,1-Landbrug!C$51),1)*IF($A204="Tømmerproduktion",VLOOKUP($F204,Skovbrug!$A$59:$D$60,MATCH(H$2,Skovbrug!$A$58:$D$58,0),FALSE)/'[1]Processer - data'!H204,1)</f>
        <v>5245.854662536889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drivhus",Landbrug!D$51,1-Landbrug!D$51),1)*IF($A204="Tømmerproduktion",VLOOKUP($F204,Skovbrug!$A$59:$D$60,MATCH(I$2,Skovbrug!$A$58:$D$58,0),FALSE)/'[1]Processer - data'!I204,1)</f>
        <v>6054.6946712503432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drivhus",Landbrug!E$51,1-Landbrug!E$51),1)*IF($A204="Tømmerproduktion",VLOOKUP($F204,Skovbrug!$A$59:$D$60,MATCH(J$2,Skovbrug!$A$58:$D$58,0),FALSE)/'[1]Processer - data'!J204,1)</f>
        <v>8419.757480577191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drivhus",Landbrug!C$51,1-Landbrug!C$51),1)*IF($A205="Tømmerproduktion",VLOOKUP($F205,Skovbrug!$A$59:$D$60,MATCH(H$2,Skovbrug!$A$58:$D$58,0),FALSE)/'[1]Processer - data'!H205,1)</f>
        <v>-7940.3431107291908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drivhus",Landbrug!D$51,1-Landbrug!D$51),1)*IF($A205="Tømmerproduktion",VLOOKUP($F205,Skovbrug!$A$59:$D$60,MATCH(I$2,Skovbrug!$A$58:$D$58,0),FALSE)/'[1]Processer - data'!I205,1)</f>
        <v>-8549.1015694804846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drivhus",Landbrug!E$51,1-Landbrug!E$51),1)*IF($A205="Tømmerproduktion",VLOOKUP($F205,Skovbrug!$A$59:$D$60,MATCH(J$2,Skovbrug!$A$58:$D$58,0),FALSE)/'[1]Processer - data'!J205,1)</f>
        <v>-11082.168701178403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drivhus",Landbrug!C$51,1-Landbrug!C$51),1)*IF($A206="Tømmerproduktion",VLOOKUP($F206,Skovbrug!$A$59:$D$60,MATCH(H$2,Skovbrug!$A$58:$D$58,0),FALSE)/'[1]Processer - data'!H206,1)</f>
        <v>6338.6063205370474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drivhus",Landbrug!D$51,1-Landbrug!D$51),1)*IF($A206="Tømmerproduktion",VLOOKUP($F206,Skovbrug!$A$59:$D$60,MATCH(I$2,Skovbrug!$A$58:$D$58,0),FALSE)/'[1]Processer - data'!I206,1)</f>
        <v>6824.5651966852829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drivhus",Landbrug!E$51,1-Landbrug!E$51),1)*IF($A206="Tømmerproduktion",VLOOKUP($F206,Skovbrug!$A$59:$D$60,MATCH(J$2,Skovbrug!$A$58:$D$58,0),FALSE)/'[1]Processer - data'!J206,1)</f>
        <v>8846.6585882957352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drivhus",Landbrug!C$51,1-Landbrug!C$51),1)*IF($A207="Tømmerproduktion",VLOOKUP($F207,Skovbrug!$A$59:$D$60,MATCH(H$2,Skovbrug!$A$58:$D$58,0),FALSE)/'[1]Processer - data'!H207,1)</f>
        <v>9409787.8886368591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drivhus",Landbrug!D$51,1-Landbrug!D$51),1)*IF($A207="Tømmerproduktion",VLOOKUP($F207,Skovbrug!$A$59:$D$60,MATCH(I$2,Skovbrug!$A$58:$D$58,0),FALSE)/'[1]Processer - data'!I207,1)</f>
        <v>9744847.1345814336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drivhus",Landbrug!E$51,1-Landbrug!E$51),1)*IF($A207="Tømmerproduktion",VLOOKUP($F207,Skovbrug!$A$59:$D$60,MATCH(J$2,Skovbrug!$A$58:$D$58,0),FALSE)/'[1]Processer - data'!J207,1)</f>
        <v>9791299.0219204035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drivhus",Landbrug!C$51,1-Landbrug!C$51),1)*IF($A208="Tømmerproduktion",VLOOKUP($F208,Skovbrug!$A$59:$D$60,MATCH(H$2,Skovbrug!$A$58:$D$58,0),FALSE)/'[1]Processer - data'!H208,1)</f>
        <v>-29393734.83955488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drivhus",Landbrug!D$51,1-Landbrug!D$51),1)*IF($A208="Tømmerproduktion",VLOOKUP($F208,Skovbrug!$A$59:$D$60,MATCH(I$2,Skovbrug!$A$58:$D$58,0),FALSE)/'[1]Processer - data'!I208,1)</f>
        <v>-28395870.290704168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drivhus",Landbrug!E$51,1-Landbrug!E$51),1)*IF($A208="Tømmerproduktion",VLOOKUP($F208,Skovbrug!$A$59:$D$60,MATCH(J$2,Skovbrug!$A$58:$D$58,0),FALSE)/'[1]Processer - data'!J208,1)</f>
        <v>-26596066.600032642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drivhus",Landbrug!C$51,1-Landbrug!C$51),1)*IF($A209="Tømmerproduktion",VLOOKUP($F209,Skovbrug!$A$59:$D$60,MATCH(H$2,Skovbrug!$A$58:$D$58,0),FALSE)/'[1]Processer - data'!H209,1)</f>
        <v>431176.57641327148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drivhus",Landbrug!D$51,1-Landbrug!D$51),1)*IF($A209="Tømmerproduktion",VLOOKUP($F209,Skovbrug!$A$59:$D$60,MATCH(I$2,Skovbrug!$A$58:$D$58,0),FALSE)/'[1]Processer - data'!I209,1)</f>
        <v>416538.90541820513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drivhus",Landbrug!E$51,1-Landbrug!E$51),1)*IF($A209="Tømmerproduktion",VLOOKUP($F209,Skovbrug!$A$59:$D$60,MATCH(J$2,Skovbrug!$A$58:$D$58,0),FALSE)/'[1]Processer - data'!J209,1)</f>
        <v>390137.59242427361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drivhus",Landbrug!C$51,1-Landbrug!C$51),1)*IF($A210="Tømmerproduktion",VLOOKUP($F210,Skovbrug!$A$59:$D$60,MATCH(H$2,Skovbrug!$A$58:$D$58,0),FALSE)/'[1]Processer - data'!H210,1)</f>
        <v>1141734.8185532175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drivhus",Landbrug!D$51,1-Landbrug!D$51),1)*IF($A210="Tømmerproduktion",VLOOKUP($F210,Skovbrug!$A$59:$D$60,MATCH(I$2,Skovbrug!$A$58:$D$58,0),FALSE)/'[1]Processer - data'!I210,1)</f>
        <v>1104967.4880519807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drivhus",Landbrug!E$51,1-Landbrug!E$51),1)*IF($A210="Tømmerproduktion",VLOOKUP($F210,Skovbrug!$A$59:$D$60,MATCH(J$2,Skovbrug!$A$58:$D$58,0),FALSE)/'[1]Processer - data'!J210,1)</f>
        <v>1130551.617946377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drivhus",Landbrug!C$51,1-Landbrug!C$51),1)*IF($A211="Tømmerproduktion",VLOOKUP($F211,Skovbrug!$A$59:$D$60,MATCH(H$2,Skovbrug!$A$58:$D$58,0),FALSE)/'[1]Processer - data'!H211,1)</f>
        <v>-2492703.3187545058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drivhus",Landbrug!D$51,1-Landbrug!D$51),1)*IF($A211="Tømmerproduktion",VLOOKUP($F211,Skovbrug!$A$59:$D$60,MATCH(I$2,Skovbrug!$A$58:$D$58,0),FALSE)/'[1]Processer - data'!I211,1)</f>
        <v>-2250401.7699747789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drivhus",Landbrug!E$51,1-Landbrug!E$51),1)*IF($A211="Tømmerproduktion",VLOOKUP($F211,Skovbrug!$A$59:$D$60,MATCH(J$2,Skovbrug!$A$58:$D$58,0),FALSE)/'[1]Processer - data'!J211,1)</f>
        <v>-2146336.948241841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drivhus",Landbrug!C$51,1-Landbrug!C$51),1)*IF($A212="Tømmerproduktion",VLOOKUP($F212,Skovbrug!$A$59:$D$60,MATCH(H$2,Skovbrug!$A$58:$D$58,0),FALSE)/'[1]Processer - data'!H212,1)</f>
        <v>306634.99709491339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drivhus",Landbrug!D$51,1-Landbrug!D$51),1)*IF($A212="Tømmerproduktion",VLOOKUP($F212,Skovbrug!$A$59:$D$60,MATCH(I$2,Skovbrug!$A$58:$D$58,0),FALSE)/'[1]Processer - data'!I212,1)</f>
        <v>276828.74853449984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drivhus",Landbrug!E$51,1-Landbrug!E$51),1)*IF($A212="Tømmerproduktion",VLOOKUP($F212,Skovbrug!$A$59:$D$60,MATCH(J$2,Skovbrug!$A$58:$D$58,0),FALSE)/'[1]Processer - data'!J212,1)</f>
        <v>264027.41912249982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drivhus",Landbrug!C$51,1-Landbrug!C$51),1)*IF($A213="Tømmerproduktion",VLOOKUP($F213,Skovbrug!$A$59:$D$60,MATCH(H$2,Skovbrug!$A$58:$D$58,0),FALSE)/'[1]Processer - data'!H213,1)</f>
        <v>1366909.1315970949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drivhus",Landbrug!D$51,1-Landbrug!D$51),1)*IF($A213="Tømmerproduktion",VLOOKUP($F213,Skovbrug!$A$59:$D$60,MATCH(I$2,Skovbrug!$A$58:$D$58,0),FALSE)/'[1]Processer - data'!I213,1)</f>
        <v>1292521.632190679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drivhus",Landbrug!E$51,1-Landbrug!E$51),1)*IF($A213="Tømmerproduktion",VLOOKUP($F213,Skovbrug!$A$59:$D$60,MATCH(J$2,Skovbrug!$A$58:$D$58,0),FALSE)/'[1]Processer - data'!J213,1)</f>
        <v>1322448.3419688835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drivhus",Landbrug!C$51,1-Landbrug!C$51),1)*IF($A214="Tømmerproduktion",VLOOKUP($F214,Skovbrug!$A$59:$D$60,MATCH(H$2,Skovbrug!$A$58:$D$58,0),FALSE)/'[1]Processer - data'!H214,1)</f>
        <v>-2066065.7974563106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drivhus",Landbrug!D$51,1-Landbrug!D$51),1)*IF($A214="Tømmerproduktion",VLOOKUP($F214,Skovbrug!$A$59:$D$60,MATCH(I$2,Skovbrug!$A$58:$D$58,0),FALSE)/'[1]Processer - data'!I214,1)</f>
        <v>-1822416.0788842391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drivhus",Landbrug!E$51,1-Landbrug!E$51),1)*IF($A214="Tømmerproduktion",VLOOKUP($F214,Skovbrug!$A$59:$D$60,MATCH(J$2,Skovbrug!$A$58:$D$58,0),FALSE)/'[1]Processer - data'!J214,1)</f>
        <v>-1738142.5029820777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drivhus",Landbrug!C$51,1-Landbrug!C$51),1)*IF($A215="Tømmerproduktion",VLOOKUP($F215,Skovbrug!$A$59:$D$60,MATCH(H$2,Skovbrug!$A$58:$D$58,0),FALSE)/'[1]Processer - data'!H215,1)</f>
        <v>805799.00076710421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drivhus",Landbrug!D$51,1-Landbrug!D$51),1)*IF($A215="Tømmerproduktion",VLOOKUP($F215,Skovbrug!$A$59:$D$60,MATCH(I$2,Skovbrug!$A$58:$D$58,0),FALSE)/'[1]Processer - data'!I215,1)</f>
        <v>710771.67878912971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drivhus",Landbrug!E$51,1-Landbrug!E$51),1)*IF($A215="Tømmerproduktion",VLOOKUP($F215,Skovbrug!$A$59:$D$60,MATCH(J$2,Skovbrug!$A$58:$D$58,0),FALSE)/'[1]Processer - data'!J215,1)</f>
        <v>677903.62427864969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drivhus",Landbrug!C$51,1-Landbrug!C$51),1)*IF($A216="Tømmerproduktion",VLOOKUP($F216,Skovbrug!$A$59:$D$60,MATCH(H$2,Skovbrug!$A$58:$D$58,0),FALSE)/'[1]Processer - data'!H216,1)</f>
        <v>938456.78825367626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drivhus",Landbrug!D$51,1-Landbrug!D$51),1)*IF($A216="Tømmerproduktion",VLOOKUP($F216,Skovbrug!$A$59:$D$60,MATCH(I$2,Skovbrug!$A$58:$D$58,0),FALSE)/'[1]Processer - data'!I216,1)</f>
        <v>1186280.2349958671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drivhus",Landbrug!E$51,1-Landbrug!E$51),1)*IF($A216="Tømmerproduktion",VLOOKUP($F216,Skovbrug!$A$59:$D$60,MATCH(J$2,Skovbrug!$A$58:$D$58,0),FALSE)/'[1]Processer - data'!J216,1)</f>
        <v>1620014.9290813759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drivhus",Landbrug!C$51,1-Landbrug!C$51),1)*IF($A217="Tømmerproduktion",VLOOKUP($F217,Skovbrug!$A$59:$D$60,MATCH(H$2,Skovbrug!$A$58:$D$58,0),FALSE)/'[1]Processer - data'!H217,1)</f>
        <v>-2931495.4086924591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drivhus",Landbrug!D$51,1-Landbrug!D$51),1)*IF($A217="Tømmerproduktion",VLOOKUP($F217,Skovbrug!$A$59:$D$60,MATCH(I$2,Skovbrug!$A$58:$D$58,0),FALSE)/'[1]Processer - data'!I217,1)</f>
        <v>-3456745.8284521955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drivhus",Landbrug!E$51,1-Landbrug!E$51),1)*IF($A217="Tømmerproduktion",VLOOKUP($F217,Skovbrug!$A$59:$D$60,MATCH(J$2,Skovbrug!$A$58:$D$58,0),FALSE)/'[1]Processer - data'!J217,1)</f>
        <v>-4400440.1101872195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drivhus",Landbrug!C$51,1-Landbrug!C$51),1)*IF($A218="Tømmerproduktion",VLOOKUP($F218,Skovbrug!$A$59:$D$60,MATCH(H$2,Skovbrug!$A$58:$D$58,0),FALSE)/'[1]Processer - data'!H218,1)</f>
        <v>55130.88998390019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drivhus",Landbrug!D$51,1-Landbrug!D$51),1)*IF($A218="Tømmerproduktion",VLOOKUP($F218,Skovbrug!$A$59:$D$60,MATCH(I$2,Skovbrug!$A$58:$D$58,0),FALSE)/'[1]Processer - data'!I218,1)</f>
        <v>65008.962117292132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drivhus",Landbrug!E$51,1-Landbrug!E$51),1)*IF($A218="Tømmerproduktion",VLOOKUP($F218,Skovbrug!$A$59:$D$60,MATCH(J$2,Skovbrug!$A$58:$D$58,0),FALSE)/'[1]Processer - data'!J218,1)</f>
        <v>82756.45899908834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drivhus",Landbrug!C$51,1-Landbrug!C$51),1)*IF($A219="Tømmerproduktion",VLOOKUP($F219,Skovbrug!$A$59:$D$60,MATCH(H$2,Skovbrug!$A$58:$D$58,0),FALSE)/'[1]Processer - data'!H219,1)</f>
        <v>113867.47539237716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drivhus",Landbrug!D$51,1-Landbrug!D$51),1)*IF($A219="Tømmerproduktion",VLOOKUP($F219,Skovbrug!$A$59:$D$60,MATCH(I$2,Skovbrug!$A$58:$D$58,0),FALSE)/'[1]Processer - data'!I219,1)</f>
        <v>134512.22715823533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drivhus",Landbrug!E$51,1-Landbrug!E$51),1)*IF($A219="Tømmerproduktion",VLOOKUP($F219,Skovbrug!$A$59:$D$60,MATCH(J$2,Skovbrug!$A$58:$D$58,0),FALSE)/'[1]Processer - data'!J219,1)</f>
        <v>187054.90406021872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drivhus",Landbrug!C$51,1-Landbrug!C$51),1)*IF($A220="Tømmerproduktion",VLOOKUP($F220,Skovbrug!$A$59:$D$60,MATCH(H$2,Skovbrug!$A$58:$D$58,0),FALSE)/'[1]Processer - data'!H220,1)</f>
        <v>-248602.24037701587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drivhus",Landbrug!D$51,1-Landbrug!D$51),1)*IF($A220="Tømmerproduktion",VLOOKUP($F220,Skovbrug!$A$59:$D$60,MATCH(I$2,Skovbrug!$A$58:$D$58,0),FALSE)/'[1]Processer - data'!I220,1)</f>
        <v>-273950.64321195864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drivhus",Landbrug!E$51,1-Landbrug!E$51),1)*IF($A220="Tømmerproduktion",VLOOKUP($F220,Skovbrug!$A$59:$D$60,MATCH(J$2,Skovbrug!$A$58:$D$58,0),FALSE)/'[1]Processer - data'!J220,1)</f>
        <v>-355121.20416365005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drivhus",Landbrug!C$51,1-Landbrug!C$51),1)*IF($A221="Tømmerproduktion",VLOOKUP($F221,Skovbrug!$A$59:$D$60,MATCH(H$2,Skovbrug!$A$58:$D$58,0),FALSE)/'[1]Processer - data'!H221,1)</f>
        <v>39206.815060960464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drivhus",Landbrug!D$51,1-Landbrug!D$51),1)*IF($A221="Tømmerproduktion",VLOOKUP($F221,Skovbrug!$A$59:$D$60,MATCH(I$2,Skovbrug!$A$58:$D$58,0),FALSE)/'[1]Processer - data'!I221,1)</f>
        <v>43204.486765499976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drivhus",Landbrug!E$51,1-Landbrug!E$51),1)*IF($A221="Tømmerproduktion",VLOOKUP($F221,Skovbrug!$A$59:$D$60,MATCH(J$2,Skovbrug!$A$58:$D$58,0),FALSE)/'[1]Processer - data'!J221,1)</f>
        <v>56005.816177499961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drivhus",Landbrug!C$51,1-Landbrug!C$51),1)*IF($A222="Tømmerproduktion",VLOOKUP($F222,Skovbrug!$A$59:$D$60,MATCH(H$2,Skovbrug!$A$58:$D$58,0),FALSE)/'[1]Processer - data'!H222,1)</f>
        <v>136324.55573438658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drivhus",Landbrug!D$51,1-Landbrug!D$51),1)*IF($A222="Tømmerproduktion",VLOOKUP($F222,Skovbrug!$A$59:$D$60,MATCH(I$2,Skovbrug!$A$58:$D$58,0),FALSE)/'[1]Processer - data'!I222,1)</f>
        <v>157343.96285511967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drivhus",Landbrug!E$51,1-Landbrug!E$51),1)*IF($A222="Tømmerproduktion",VLOOKUP($F222,Skovbrug!$A$59:$D$60,MATCH(J$2,Skovbrug!$A$58:$D$58,0),FALSE)/'[1]Processer - data'!J222,1)</f>
        <v>218805.08930757892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drivhus",Landbrug!C$51,1-Landbrug!C$51),1)*IF($A223="Tømmerproduktion",VLOOKUP($F223,Skovbrug!$A$59:$D$60,MATCH(H$2,Skovbrug!$A$58:$D$58,0),FALSE)/'[1]Processer - data'!H223,1)</f>
        <v>-206052.83514871012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drivhus",Landbrug!D$51,1-Landbrug!D$51),1)*IF($A223="Tømmerproduktion",VLOOKUP($F223,Skovbrug!$A$59:$D$60,MATCH(I$2,Skovbrug!$A$58:$D$58,0),FALSE)/'[1]Processer - data'!I223,1)</f>
        <v>-221850.18856243978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drivhus",Landbrug!E$51,1-Landbrug!E$51),1)*IF($A223="Tømmerproduktion",VLOOKUP($F223,Skovbrug!$A$59:$D$60,MATCH(J$2,Skovbrug!$A$58:$D$58,0),FALSE)/'[1]Processer - data'!J223,1)</f>
        <v>-287583.57776612556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drivhus",Landbrug!C$51,1-Landbrug!C$51),1)*IF($A224="Tømmerproduktion",VLOOKUP($F224,Skovbrug!$A$59:$D$60,MATCH(H$2,Skovbrug!$A$58:$D$58,0),FALSE)/'[1]Processer - data'!H224,1)</f>
        <v>103030.68044644492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drivhus",Landbrug!D$51,1-Landbrug!D$51),1)*IF($A224="Tømmerproduktion",VLOOKUP($F224,Skovbrug!$A$59:$D$60,MATCH(I$2,Skovbrug!$A$58:$D$58,0),FALSE)/'[1]Processer - data'!I224,1)</f>
        <v>110929.68397286996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drivhus",Landbrug!E$51,1-Landbrug!E$51),1)*IF($A224="Tømmerproduktion",VLOOKUP($F224,Skovbrug!$A$59:$D$60,MATCH(J$2,Skovbrug!$A$58:$D$58,0),FALSE)/'[1]Processer - data'!J224,1)</f>
        <v>143797.73848334991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input'!$A$3:$A$230,$A$1)),IF(VLOOKUP($A225,[1]!Table1[#All],2,FALSE)="Resultat",SUMIF($F$1:$F224,$D225,H$1:H224)+SUMIF($F226:$F$512,$D225,H226:H$512),0))*'[1]Processer - data'!H225,"")*IF($C225&lt;&gt;"",IF($F225="Halm",Landbrug!C$16*Landbrug!C$17,IF(LEFT($D225,5)="Areal", IF($G225="Ton",Landbrug!C$18,1),1)),1)*IF($F225="Grøntsager",IF($A225="Grøntsager i drivhus",Landbrug!C$51,1-Landbrug!C$51),1)*IF($A225="Tømmerproduktion",VLOOKUP($F225,Skovbrug!$A$59:$D$60,MATCH(H$2,Skovbrug!$A$58:$D$58,0),FALSE)/'[1]Processer - data'!H225,1)</f>
        <v>228295.83737196182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input'!$A$3:$A$230,$A$1)),IF(VLOOKUP($A225,[1]!Table1[#All],2,FALSE)="Resultat",SUMIF($F$1:$F224,$D225,I$1:I224)+SUMIF($F226:$F$512,$D225,I226:I$512),0))*'[1]Processer - data'!I225,"")*IF($C225&lt;&gt;"",IF($F225="Halm",Landbrug!D$16*Landbrug!D$17,IF(LEFT($D225,5)="Areal", IF($G225="Ton",Landbrug!D$18,1),1)),1)*IF($F225="Grøntsager",IF($A225="Grøntsager i drivhus",Landbrug!D$51,1-Landbrug!D$51),1)*IF($A225="Tømmerproduktion",VLOOKUP($F225,Skovbrug!$A$59:$D$60,MATCH(I$2,Skovbrug!$A$58:$D$58,0),FALSE)/'[1]Processer - data'!I225,1)</f>
        <v>236424.88682848631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input'!$A$3:$A$230,$A$1)),IF(VLOOKUP($A225,[1]!Table1[#All],2,FALSE)="Resultat",SUMIF($F$1:$F224,$D225,J$1:J224)+SUMIF($F226:$F$512,$D225,J226:J$512),0))*'[1]Processer - data'!J225,"")*IF($C225&lt;&gt;"",IF($F225="Halm",Landbrug!E$16*Landbrug!E$17,IF(LEFT($D225,5)="Areal", IF($G225="Ton",Landbrug!E$18,1),1)),1)*IF($F225="Grøntsager",IF($A225="Grøntsager i drivhus",Landbrug!E$51,1-Landbrug!E$51),1)*IF($A225="Tømmerproduktion",VLOOKUP($F225,Skovbrug!$A$59:$D$60,MATCH(J$2,Skovbrug!$A$58:$D$58,0),FALSE)/'[1]Processer - data'!J225,1)</f>
        <v>237551.88061868263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input'!$A$3:$A$230,$A$1)),IF(VLOOKUP($A226,[1]!Table1[#All],2,FALSE)="Resultat",SUMIF($F$1:$F225,$D226,H$1:H225)+SUMIF($F227:$F$512,$D226,H227:H$512),0))*'[1]Processer - data'!H226,"")*IF($C226&lt;&gt;"",IF($F226="Halm",Landbrug!C$16*Landbrug!C$17,IF(LEFT($D226,5)="Areal", IF($G226="Ton",Landbrug!C$18,1),1)),1)*IF($F226="Grøntsager",IF($A226="Grøntsager i drivhus",Landbrug!C$51,1-Landbrug!C$51),1)*IF($A226="Tømmerproduktion",VLOOKUP($F226,Skovbrug!$A$59:$D$60,MATCH(H$2,Skovbrug!$A$58:$D$58,0),FALSE)/'[1]Processer - data'!H226,1)</f>
        <v>67776.181350591316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input'!$A$3:$A$230,$A$1)),IF(VLOOKUP($A226,[1]!Table1[#All],2,FALSE)="Resultat",SUMIF($F$1:$F225,$D226,I$1:I225)+SUMIF($F227:$F$512,$D226,I227:I$512),0))*'[1]Processer - data'!I226,"")*IF($C226&lt;&gt;"",IF($F226="Halm",Landbrug!D$16*Landbrug!D$17,IF(LEFT($D226,5)="Areal", IF($G226="Ton",Landbrug!D$18,1),1)),1)*IF($F226="Grøntsager",IF($A226="Grøntsager i drivhus",Landbrug!D$51,1-Landbrug!D$51),1)*IF($A226="Tømmerproduktion",VLOOKUP($F226,Skovbrug!$A$59:$D$60,MATCH(I$2,Skovbrug!$A$58:$D$58,0),FALSE)/'[1]Processer - data'!I226,1)</f>
        <v>65094.663336851867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input'!$A$3:$A$230,$A$1)),IF(VLOOKUP($A226,[1]!Table1[#All],2,FALSE)="Resultat",SUMIF($F$1:$F225,$D226,J$1:J225)+SUMIF($F227:$F$512,$D226,J227:J$512),0))*'[1]Processer - data'!J226,"")*IF($C226&lt;&gt;"",IF($F226="Halm",Landbrug!E$16*Landbrug!E$17,IF(LEFT($D226,5)="Areal", IF($G226="Ton",Landbrug!E$18,1),1)),1)*IF($F226="Grøntsager",IF($A226="Grøntsager i drivhus",Landbrug!E$51,1-Landbrug!E$51),1)*IF($A226="Tømmerproduktion",VLOOKUP($F226,Skovbrug!$A$59:$D$60,MATCH(J$2,Skovbrug!$A$58:$D$58,0),FALSE)/'[1]Processer - data'!J226,1)</f>
        <v>60968.795239932173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input'!$A$3:$A$230,$A$1)),IF(VLOOKUP($A227,[1]!Table1[#All],2,FALSE)="Resultat",SUMIF($F$1:$F226,$D227,H$1:H226)+SUMIF($F228:$F$512,$D227,H228:H$512),0))*'[1]Processer - data'!H227,"")*IF($C227&lt;&gt;"",IF($F227="Halm",Landbrug!C$16*Landbrug!C$17,IF(LEFT($D227,5)="Areal", IF($G227="Ton",Landbrug!C$18,1),1)),1)*IF($F227="Grøntsager",IF($A227="Grøntsager i drivhus",Landbrug!C$51,1-Landbrug!C$51),1)*IF($A227="Tømmerproduktion",VLOOKUP($F227,Skovbrug!$A$59:$D$60,MATCH(H$2,Skovbrug!$A$58:$D$58,0),FALSE)/'[1]Processer - data'!H227,1)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input'!$A$3:$A$230,$A$1)),IF(VLOOKUP($A227,[1]!Table1[#All],2,FALSE)="Resultat",SUMIF($F$1:$F226,$D227,I$1:I226)+SUMIF($F228:$F$512,$D227,I228:I$512),0))*'[1]Processer - data'!I227,"")*IF($C227&lt;&gt;"",IF($F227="Halm",Landbrug!D$16*Landbrug!D$17,IF(LEFT($D227,5)="Areal", IF($G227="Ton",Landbrug!D$18,1),1)),1)*IF($F227="Grøntsager",IF($A227="Grøntsager i drivhus",Landbrug!D$51,1-Landbrug!D$51),1)*IF($A227="Tømmerproduktion",VLOOKUP($F227,Skovbrug!$A$59:$D$60,MATCH(I$2,Skovbrug!$A$58:$D$58,0),FALSE)/'[1]Processer - data'!I227,1)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input'!$A$3:$A$230,$A$1)),IF(VLOOKUP($A227,[1]!Table1[#All],2,FALSE)="Resultat",SUMIF($F$1:$F226,$D227,J$1:J226)+SUMIF($F228:$F$512,$D227,J228:J$512),0))*'[1]Processer - data'!J227,"")*IF($C227&lt;&gt;"",IF($F227="Halm",Landbrug!E$16*Landbrug!E$17,IF(LEFT($D227,5)="Areal", IF($G227="Ton",Landbrug!E$18,1),1)),1)*IF($F227="Grøntsager",IF($A227="Grøntsager i drivhus",Landbrug!E$51,1-Landbrug!E$51),1)*IF($A227="Tømmerproduktion",VLOOKUP($F227,Skovbrug!$A$59:$D$60,MATCH(J$2,Skovbrug!$A$58:$D$58,0),FALSE)/'[1]Processer - data'!J227,1)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input'!$A$3:$A$230,$A$1)),IF(VLOOKUP($A228,[1]!Table1[#All],2,FALSE)="Resultat",SUMIF($F$1:$F227,$D228,H$1:H227)+SUMIF($F229:$F$512,$D228,H229:H$512),0))*'[1]Processer - data'!H228,"")*IF($C228&lt;&gt;"",IF($F228="Halm",Landbrug!C$16*Landbrug!C$17,IF(LEFT($D228,5)="Areal", IF($G228="Ton",Landbrug!C$18,1),1)),1)*IF($F228="Grøntsager",IF($A228="Grøntsager i drivhus",Landbrug!C$51,1-Landbrug!C$51),1)*IF($A228="Tømmerproduktion",VLOOKUP($F228,Skovbrug!$A$59:$D$60,MATCH(H$2,Skovbrug!$A$58:$D$58,0),FALSE)/'[1]Processer - data'!H228,1)</f>
        <v>134475.37812254048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input'!$A$3:$A$230,$A$1)),IF(VLOOKUP($A228,[1]!Table1[#All],2,FALSE)="Resultat",SUMIF($F$1:$F227,$D228,I$1:I227)+SUMIF($F229:$F$512,$D228,I229:I$512),0))*'[1]Processer - data'!I228,"")*IF($C228&lt;&gt;"",IF($F228="Halm",Landbrug!D$16*Landbrug!D$17,IF(LEFT($D228,5)="Areal", IF($G228="Ton",Landbrug!D$18,1),1)),1)*IF($F228="Grøntsager",IF($A228="Grøntsager i drivhus",Landbrug!D$51,1-Landbrug!D$51),1)*IF($A228="Tømmerproduktion",VLOOKUP($F228,Skovbrug!$A$59:$D$60,MATCH(I$2,Skovbrug!$A$58:$D$58,0),FALSE)/'[1]Processer - data'!I228,1)</f>
        <v>129910.18036001583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input'!$A$3:$A$230,$A$1)),IF(VLOOKUP($A228,[1]!Table1[#All],2,FALSE)="Resultat",SUMIF($F$1:$F227,$D228,J$1:J227)+SUMIF($F229:$F$512,$D228,J229:J$512),0))*'[1]Processer - data'!J228,"")*IF($C228&lt;&gt;"",IF($F228="Halm",Landbrug!E$16*Landbrug!E$17,IF(LEFT($D228,5)="Areal", IF($G228="Ton",Landbrug!E$18,1),1)),1)*IF($F228="Grøntsager",IF($A228="Grøntsager i drivhus",Landbrug!E$51,1-Landbrug!E$51),1)*IF($A228="Tømmerproduktion",VLOOKUP($F228,Skovbrug!$A$59:$D$60,MATCH(J$2,Skovbrug!$A$58:$D$58,0),FALSE)/'[1]Processer - data'!J228,1)</f>
        <v>121676.13718140961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input'!$A$3:$A$230,$A$1)),IF(VLOOKUP($A229,[1]!Table1[#All],2,FALSE)="Resultat",SUMIF($F$1:$F228,$D229,H$1:H228)+SUMIF($F230:$F$512,$D229,H230:H$512),0))*'[1]Processer - data'!H229,"")*IF($C229&lt;&gt;"",IF($F229="Halm",Landbrug!C$16*Landbrug!C$17,IF(LEFT($D229,5)="Areal", IF($G229="Ton",Landbrug!C$18,1),1)),1)*IF($F229="Grøntsager",IF($A229="Grøntsager i drivhus",Landbrug!C$51,1-Landbrug!C$51),1)*IF($A229="Tømmerproduktion",VLOOKUP($F229,Skovbrug!$A$59:$D$60,MATCH(H$2,Skovbrug!$A$58:$D$58,0),FALSE)/'[1]Processer - data'!H229,1)</f>
        <v>8988.1461515200863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input'!$A$3:$A$230,$A$1)),IF(VLOOKUP($A229,[1]!Table1[#All],2,FALSE)="Resultat",SUMIF($F$1:$F228,$D229,I$1:I228)+SUMIF($F230:$F$512,$D229,I230:I$512),0))*'[1]Processer - data'!I229,"")*IF($C229&lt;&gt;"",IF($F229="Halm",Landbrug!D$16*Landbrug!D$17,IF(LEFT($D229,5)="Areal", IF($G229="Ton",Landbrug!D$18,1),1)),1)*IF($F229="Grøntsager",IF($A229="Grøntsager i drivhus",Landbrug!D$51,1-Landbrug!D$51),1)*IF($A229="Tømmerproduktion",VLOOKUP($F229,Skovbrug!$A$59:$D$60,MATCH(I$2,Skovbrug!$A$58:$D$58,0),FALSE)/'[1]Processer - data'!I229,1)</f>
        <v>8698.7005335217436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input'!$A$3:$A$230,$A$1)),IF(VLOOKUP($A229,[1]!Table1[#All],2,FALSE)="Resultat",SUMIF($F$1:$F228,$D229,J$1:J228)+SUMIF($F230:$F$512,$D229,J230:J$512),0))*'[1]Processer - data'!J229,"")*IF($C229&lt;&gt;"",IF($F229="Halm",Landbrug!E$16*Landbrug!E$17,IF(LEFT($D229,5)="Areal", IF($G229="Ton",Landbrug!E$18,1),1)),1)*IF($F229="Grøntsager",IF($A229="Grøntsager i drivhus",Landbrug!E$51,1-Landbrug!E$51),1)*IF($A229="Tømmerproduktion",VLOOKUP($F229,Skovbrug!$A$59:$D$60,MATCH(J$2,Skovbrug!$A$58:$D$58,0),FALSE)/'[1]Processer - data'!J229,1)</f>
        <v>8900.1079837576071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input'!$A$3:$A$230,$A$1)),IF(VLOOKUP($A230,[1]!Table1[#All],2,FALSE)="Resultat",SUMIF($F$1:$F229,$D230,H$1:H229)+SUMIF($F231:$F$512,$D230,H231:H$512),0))*'[1]Processer - data'!H230,"")*IF($C230&lt;&gt;"",IF($F230="Halm",Landbrug!C$16*Landbrug!C$17,IF(LEFT($D230,5)="Areal", IF($G230="Ton",Landbrug!C$18,1),1)),1)*IF($F230="Grøntsager",IF($A230="Grøntsager i drivhus",Landbrug!C$51,1-Landbrug!C$51),1)*IF($A230="Tømmerproduktion",VLOOKUP($F230,Skovbrug!$A$59:$D$60,MATCH(H$2,Skovbrug!$A$58:$D$58,0),FALSE)/'[1]Processer - data'!H230,1)</f>
        <v>2668.3895360672113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input'!$A$3:$A$230,$A$1)),IF(VLOOKUP($A230,[1]!Table1[#All],2,FALSE)="Resultat",SUMIF($F$1:$F229,$D230,I$1:I229)+SUMIF($F231:$F$512,$D230,I231:I$512),0))*'[1]Processer - data'!I230,"")*IF($C230&lt;&gt;"",IF($F230="Halm",Landbrug!D$16*Landbrug!D$17,IF(LEFT($D230,5)="Areal", IF($G230="Ton",Landbrug!D$18,1),1)),1)*IF($F230="Grøntsager",IF($A230="Grøntsager i drivhus",Landbrug!D$51,1-Landbrug!D$51),1)*IF($A230="Tømmerproduktion",VLOOKUP($F230,Skovbrug!$A$59:$D$60,MATCH(I$2,Skovbrug!$A$58:$D$58,0),FALSE)/'[1]Processer - data'!I230,1)</f>
        <v>2395.005831634247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input'!$A$3:$A$230,$A$1)),IF(VLOOKUP($A230,[1]!Table1[#All],2,FALSE)="Resultat",SUMIF($F$1:$F229,$D230,J$1:J229)+SUMIF($F231:$F$512,$D230,J231:J$512),0))*'[1]Processer - data'!J230,"")*IF($C230&lt;&gt;"",IF($F230="Halm",Landbrug!E$16*Landbrug!E$17,IF(LEFT($D230,5)="Areal", IF($G230="Ton",Landbrug!E$18,1),1)),1)*IF($F230="Grøntsager",IF($A230="Grøntsager i drivhus",Landbrug!E$51,1-Landbrug!E$51),1)*IF($A230="Tømmerproduktion",VLOOKUP($F230,Skovbrug!$A$59:$D$60,MATCH(J$2,Skovbrug!$A$58:$D$58,0),FALSE)/'[1]Processer - data'!J230,1)</f>
        <v>2284.2541168765943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input'!$A$3:$A$230,$A$1)),IF(VLOOKUP($A231,[1]!Table1[#All],2,FALSE)="Resultat",SUMIF($F$1:$F230,$D231,H$1:H230)+SUMIF($F232:$F$512,$D231,H232:H$512),0))*'[1]Processer - data'!H231,"")*IF($C231&lt;&gt;"",IF($F231="Halm",Landbrug!C$16*Landbrug!C$17,IF(LEFT($D231,5)="Areal", IF($G231="Ton",Landbrug!C$18,1),1)),1)*IF($F231="Grøntsager",IF($A231="Grøntsager i drivhus",Landbrug!C$51,1-Landbrug!C$51),1)*IF($A231="Tømmerproduktion",VLOOKUP($F231,Skovbrug!$A$59:$D$60,MATCH(H$2,Skovbrug!$A$58:$D$58,0),FALSE)/'[1]Processer - data'!H231,1)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input'!$A$3:$A$230,$A$1)),IF(VLOOKUP($A231,[1]!Table1[#All],2,FALSE)="Resultat",SUMIF($F$1:$F230,$D231,I$1:I230)+SUMIF($F232:$F$512,$D231,I232:I$512),0))*'[1]Processer - data'!I231,"")*IF($C231&lt;&gt;"",IF($F231="Halm",Landbrug!D$16*Landbrug!D$17,IF(LEFT($D231,5)="Areal", IF($G231="Ton",Landbrug!D$18,1),1)),1)*IF($F231="Grøntsager",IF($A231="Grøntsager i drivhus",Landbrug!D$51,1-Landbrug!D$51),1)*IF($A231="Tømmerproduktion",VLOOKUP($F231,Skovbrug!$A$59:$D$60,MATCH(I$2,Skovbrug!$A$58:$D$58,0),FALSE)/'[1]Processer - data'!I231,1)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input'!$A$3:$A$230,$A$1)),IF(VLOOKUP($A231,[1]!Table1[#All],2,FALSE)="Resultat",SUMIF($F$1:$F230,$D231,J$1:J230)+SUMIF($F232:$F$512,$D231,J232:J$512),0))*'[1]Processer - data'!J231,"")*IF($C231&lt;&gt;"",IF($F231="Halm",Landbrug!E$16*Landbrug!E$17,IF(LEFT($D231,5)="Areal", IF($G231="Ton",Landbrug!E$18,1),1)),1)*IF($F231="Grøntsager",IF($A231="Grøntsager i drivhus",Landbrug!E$51,1-Landbrug!E$51),1)*IF($A231="Tømmerproduktion",VLOOKUP($F231,Skovbrug!$A$59:$D$60,MATCH(J$2,Skovbrug!$A$58:$D$58,0),FALSE)/'[1]Processer - data'!J231,1)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input'!$A$3:$A$230,$A$1)),IF(VLOOKUP($A232,[1]!Table1[#All],2,FALSE)="Resultat",SUMIF($F$1:$F231,$D232,H$1:H231)+SUMIF($F233:$F$512,$D232,H233:H$512),0))*'[1]Processer - data'!H232,"")*IF($C232&lt;&gt;"",IF($F232="Halm",Landbrug!C$16*Landbrug!C$17,IF(LEFT($D232,5)="Areal", IF($G232="Ton",Landbrug!C$18,1),1)),1)*IF($F232="Grøntsager",IF($A232="Grøntsager i drivhus",Landbrug!C$51,1-Landbrug!C$51),1)*IF($A232="Tømmerproduktion",VLOOKUP($F232,Skovbrug!$A$59:$D$60,MATCH(H$2,Skovbrug!$A$58:$D$58,0),FALSE)/'[1]Processer - data'!H232,1)</f>
        <v>31031.020333635548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input'!$A$3:$A$230,$A$1)),IF(VLOOKUP($A232,[1]!Table1[#All],2,FALSE)="Resultat",SUMIF($F$1:$F231,$D232,I$1:I231)+SUMIF($F233:$F$512,$D232,I233:I$512),0))*'[1]Processer - data'!I232,"")*IF($C232&lt;&gt;"",IF($F232="Halm",Landbrug!D$16*Landbrug!D$17,IF(LEFT($D232,5)="Areal", IF($G232="Ton",Landbrug!D$18,1),1)),1)*IF($F232="Grøntsager",IF($A232="Grøntsager i drivhus",Landbrug!D$51,1-Landbrug!D$51),1)*IF($A232="Tømmerproduktion",VLOOKUP($F232,Skovbrug!$A$59:$D$60,MATCH(I$2,Skovbrug!$A$58:$D$58,0),FALSE)/'[1]Processer - data'!I232,1)</f>
        <v>28014.670882625895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input'!$A$3:$A$230,$A$1)),IF(VLOOKUP($A232,[1]!Table1[#All],2,FALSE)="Resultat",SUMIF($F$1:$F231,$D232,J$1:J231)+SUMIF($F233:$F$512,$D232,J233:J$512),0))*'[1]Processer - data'!J232,"")*IF($C232&lt;&gt;"",IF($F232="Halm",Landbrug!E$16*Landbrug!E$17,IF(LEFT($D232,5)="Areal", IF($G232="Ton",Landbrug!E$18,1),1)),1)*IF($F232="Grøntsager",IF($A232="Grøntsager i drivhus",Landbrug!E$51,1-Landbrug!E$51),1)*IF($A232="Tømmerproduktion",VLOOKUP($F232,Skovbrug!$A$59:$D$60,MATCH(J$2,Skovbrug!$A$58:$D$58,0),FALSE)/'[1]Processer - data'!J232,1)</f>
        <v>26719.194772446663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input'!$A$3:$A$230,$A$1)),IF(VLOOKUP($A233,[1]!Table1[#All],2,FALSE)="Resultat",SUMIF($F$1:$F232,$D233,H$1:H232)+SUMIF($F234:$F$512,$D233,H234:H$512),0))*'[1]Processer - data'!H233,"")*IF($C233&lt;&gt;"",IF($F233="Halm",Landbrug!C$16*Landbrug!C$17,IF(LEFT($D233,5)="Areal", IF($G233="Ton",Landbrug!C$18,1),1)),1)*IF($F233="Grøntsager",IF($A233="Grøntsager i drivhus",Landbrug!C$51,1-Landbrug!C$51),1)*IF($A233="Tømmerproduktion",VLOOKUP($F233,Skovbrug!$A$59:$D$60,MATCH(H$2,Skovbrug!$A$58:$D$58,0),FALSE)/'[1]Processer - data'!H233,1)</f>
        <v>3560.384134370031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input'!$A$3:$A$230,$A$1)),IF(VLOOKUP($A233,[1]!Table1[#All],2,FALSE)="Resultat",SUMIF($F$1:$F232,$D233,I$1:I232)+SUMIF($F234:$F$512,$D233,I234:I$512),0))*'[1]Processer - data'!I233,"")*IF($C233&lt;&gt;"",IF($F233="Halm",Landbrug!D$16*Landbrug!D$17,IF(LEFT($D233,5)="Areal", IF($G233="Ton",Landbrug!D$18,1),1)),1)*IF($F233="Grøntsager",IF($A233="Grøntsager i drivhus",Landbrug!D$51,1-Landbrug!D$51),1)*IF($A233="Tømmerproduktion",VLOOKUP($F233,Skovbrug!$A$59:$D$60,MATCH(I$2,Skovbrug!$A$58:$D$58,0),FALSE)/'[1]Processer - data'!I233,1)</f>
        <v>3366.6272367387924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input'!$A$3:$A$230,$A$1)),IF(VLOOKUP($A233,[1]!Table1[#All],2,FALSE)="Resultat",SUMIF($F$1:$F232,$D233,J$1:J232)+SUMIF($F234:$F$512,$D233,J234:J$512),0))*'[1]Processer - data'!J233,"")*IF($C233&lt;&gt;"",IF($F233="Halm",Landbrug!E$16*Landbrug!E$17,IF(LEFT($D233,5)="Areal", IF($G233="Ton",Landbrug!E$18,1),1)),1)*IF($F233="Grøntsager",IF($A233="Grøntsager i drivhus",Landbrug!E$51,1-Landbrug!E$51),1)*IF($A233="Tømmerproduktion",VLOOKUP($F233,Skovbrug!$A$59:$D$60,MATCH(J$2,Skovbrug!$A$58:$D$58,0),FALSE)/'[1]Processer - data'!J233,1)</f>
        <v>3444.5772483564065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input'!$A$3:$A$230,$A$1)),IF(VLOOKUP($A234,[1]!Table1[#All],2,FALSE)="Resultat",SUMIF($F$1:$F233,$D234,H$1:H233)+SUMIF($F235:$F$512,$D234,H235:H$512),0))*'[1]Processer - data'!H234,"")*IF($C234&lt;&gt;"",IF($F234="Halm",Landbrug!C$16*Landbrug!C$17,IF(LEFT($D234,5)="Areal", IF($G234="Ton",Landbrug!C$18,1),1)),1)*IF($F234="Grøntsager",IF($A234="Grøntsager i drivhus",Landbrug!C$51,1-Landbrug!C$51),1)*IF($A234="Tømmerproduktion",VLOOKUP($F234,Skovbrug!$A$59:$D$60,MATCH(H$2,Skovbrug!$A$58:$D$58,0),FALSE)/'[1]Processer - data'!H234,1)</f>
        <v>1057.0023682721239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input'!$A$3:$A$230,$A$1)),IF(VLOOKUP($A234,[1]!Table1[#All],2,FALSE)="Resultat",SUMIF($F$1:$F233,$D234,I$1:I233)+SUMIF($F235:$F$512,$D234,I235:I$512),0))*'[1]Processer - data'!I234,"")*IF($C234&lt;&gt;"",IF($F234="Halm",Landbrug!D$16*Landbrug!D$17,IF(LEFT($D234,5)="Areal", IF($G234="Ton",Landbrug!D$18,1),1)),1)*IF($F234="Grøntsager",IF($A234="Grøntsager i drivhus",Landbrug!D$51,1-Landbrug!D$51),1)*IF($A234="Tømmerproduktion",VLOOKUP($F234,Skovbrug!$A$59:$D$60,MATCH(I$2,Skovbrug!$A$58:$D$58,0),FALSE)/'[1]Processer - data'!I234,1)</f>
        <v>926.93061841314909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input'!$A$3:$A$230,$A$1)),IF(VLOOKUP($A234,[1]!Table1[#All],2,FALSE)="Resultat",SUMIF($F$1:$F233,$D234,J$1:J233)+SUMIF($F235:$F$512,$D234,J235:J$512),0))*'[1]Processer - data'!J234,"")*IF($C234&lt;&gt;"",IF($F234="Halm",Landbrug!E$16*Landbrug!E$17,IF(LEFT($D234,5)="Areal", IF($G234="Ton",Landbrug!E$18,1),1)),1)*IF($F234="Grøntsager",IF($A234="Grøntsager i drivhus",Landbrug!E$51,1-Landbrug!E$51),1)*IF($A234="Tømmerproduktion",VLOOKUP($F234,Skovbrug!$A$59:$D$60,MATCH(J$2,Skovbrug!$A$58:$D$58,0),FALSE)/'[1]Processer - data'!J234,1)</f>
        <v>884.06677478710742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input'!$A$3:$A$230,$A$1)),IF(VLOOKUP($A235,[1]!Table1[#All],2,FALSE)="Resultat",SUMIF($F$1:$F234,$D235,H$1:H234)+SUMIF($F236:$F$512,$D235,H236:H$512),0))*'[1]Processer - data'!H235,"")*IF($C235&lt;&gt;"",IF($F235="Halm",Landbrug!C$16*Landbrug!C$17,IF(LEFT($D235,5)="Areal", IF($G235="Ton",Landbrug!C$18,1),1)),1)*IF($F235="Grøntsager",IF($A235="Grøntsager i drivhus",Landbrug!C$51,1-Landbrug!C$51),1)*IF($A235="Tømmerproduktion",VLOOKUP($F235,Skovbrug!$A$59:$D$60,MATCH(H$2,Skovbrug!$A$58:$D$58,0),FALSE)/'[1]Processer - data'!H235,1)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input'!$A$3:$A$230,$A$1)),IF(VLOOKUP($A235,[1]!Table1[#All],2,FALSE)="Resultat",SUMIF($F$1:$F234,$D235,I$1:I234)+SUMIF($F236:$F$512,$D235,I236:I$512),0))*'[1]Processer - data'!I235,"")*IF($C235&lt;&gt;"",IF($F235="Halm",Landbrug!D$16*Landbrug!D$17,IF(LEFT($D235,5)="Areal", IF($G235="Ton",Landbrug!D$18,1),1)),1)*IF($F235="Grøntsager",IF($A235="Grøntsager i drivhus",Landbrug!D$51,1-Landbrug!D$51),1)*IF($A235="Tømmerproduktion",VLOOKUP($F235,Skovbrug!$A$59:$D$60,MATCH(I$2,Skovbrug!$A$58:$D$58,0),FALSE)/'[1]Processer - data'!I235,1)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input'!$A$3:$A$230,$A$1)),IF(VLOOKUP($A235,[1]!Table1[#All],2,FALSE)="Resultat",SUMIF($F$1:$F234,$D235,J$1:J234)+SUMIF($F236:$F$512,$D235,J236:J$512),0))*'[1]Processer - data'!J235,"")*IF($C235&lt;&gt;"",IF($F235="Halm",Landbrug!E$16*Landbrug!E$17,IF(LEFT($D235,5)="Areal", IF($G235="Ton",Landbrug!E$18,1),1)),1)*IF($F235="Grøntsager",IF($A235="Grøntsager i drivhus",Landbrug!E$51,1-Landbrug!E$51),1)*IF($A235="Tømmerproduktion",VLOOKUP($F235,Skovbrug!$A$59:$D$60,MATCH(J$2,Skovbrug!$A$58:$D$58,0),FALSE)/'[1]Processer - data'!J235,1)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input'!$A$3:$A$230,$A$1)),IF(VLOOKUP($A236,[1]!Table1[#All],2,FALSE)="Resultat",SUMIF($F$1:$F235,$D236,H$1:H235)+SUMIF($F237:$F$512,$D236,H237:H$512),0))*'[1]Processer - data'!H236,"")*IF($C236&lt;&gt;"",IF($F236="Halm",Landbrug!C$16*Landbrug!C$17,IF(LEFT($D236,5)="Areal", IF($G236="Ton",Landbrug!C$18,1),1)),1)*IF($F236="Grøntsager",IF($A236="Grøntsager i drivhus",Landbrug!C$51,1-Landbrug!C$51),1)*IF($A236="Tømmerproduktion",VLOOKUP($F236,Skovbrug!$A$59:$D$60,MATCH(H$2,Skovbrug!$A$58:$D$58,0),FALSE)/'[1]Processer - data'!H236,1)</f>
        <v>26980.711121681303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input'!$A$3:$A$230,$A$1)),IF(VLOOKUP($A236,[1]!Table1[#All],2,FALSE)="Resultat",SUMIF($F$1:$F235,$D236,I$1:I235)+SUMIF($F237:$F$512,$D236,I237:I$512),0))*'[1]Processer - data'!I236,"")*IF($C236&lt;&gt;"",IF($F236="Halm",Landbrug!D$16*Landbrug!D$17,IF(LEFT($D236,5)="Areal", IF($G236="Ton",Landbrug!D$18,1),1)),1)*IF($F236="Grøntsager",IF($A236="Grøntsager i drivhus",Landbrug!D$51,1-Landbrug!D$51),1)*IF($A236="Tømmerproduktion",VLOOKUP($F236,Skovbrug!$A$59:$D$60,MATCH(I$2,Skovbrug!$A$58:$D$58,0),FALSE)/'[1]Processer - data'!I236,1)</f>
        <v>23798.894414892213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input'!$A$3:$A$230,$A$1)),IF(VLOOKUP($A236,[1]!Table1[#All],2,FALSE)="Resultat",SUMIF($F$1:$F235,$D236,J$1:J235)+SUMIF($F237:$F$512,$D236,J237:J$512),0))*'[1]Processer - data'!J236,"")*IF($C236&lt;&gt;"",IF($F236="Halm",Landbrug!E$16*Landbrug!E$17,IF(LEFT($D236,5)="Areal", IF($G236="Ton",Landbrug!E$18,1),1)),1)*IF($F236="Grøntsager",IF($A236="Grøntsager i drivhus",Landbrug!E$51,1-Landbrug!E$51),1)*IF($A236="Tømmerproduktion",VLOOKUP($F236,Skovbrug!$A$59:$D$60,MATCH(J$2,Skovbrug!$A$58:$D$58,0),FALSE)/'[1]Processer - data'!J236,1)</f>
        <v>22698.367505533035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input'!$A$3:$A$230,$A$1)),IF(VLOOKUP($A237,[1]!Table1[#All],2,FALSE)="Resultat",SUMIF($F$1:$F236,$D237,H$1:H236)+SUMIF($F238:$F$512,$D237,H238:H$512),0))*'[1]Processer - data'!H237,"")*IF($C237&lt;&gt;"",IF($F237="Halm",Landbrug!C$16*Landbrug!C$17,IF(LEFT($D237,5)="Areal", IF($G237="Ton",Landbrug!C$18,1),1)),1)*IF($F237="Grøntsager",IF($A237="Grøntsager i drivhus",Landbrug!C$51,1-Landbrug!C$51),1)*IF($A237="Tømmerproduktion",VLOOKUP($F237,Skovbrug!$A$59:$D$60,MATCH(H$2,Skovbrug!$A$58:$D$58,0),FALSE)/'[1]Processer - data'!H237,1)</f>
        <v>16638.443338506684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input'!$A$3:$A$230,$A$1)),IF(VLOOKUP($A237,[1]!Table1[#All],2,FALSE)="Resultat",SUMIF($F$1:$F236,$D237,I$1:I236)+SUMIF($F238:$F$512,$D237,I238:I$512),0))*'[1]Processer - data'!I237,"")*IF($C237&lt;&gt;"",IF($F237="Halm",Landbrug!D$16*Landbrug!D$17,IF(LEFT($D237,5)="Areal", IF($G237="Ton",Landbrug!D$18,1),1)),1)*IF($F237="Grøntsager",IF($A237="Grøntsager i drivhus",Landbrug!D$51,1-Landbrug!D$51),1)*IF($A237="Tømmerproduktion",VLOOKUP($F237,Skovbrug!$A$59:$D$60,MATCH(I$2,Skovbrug!$A$58:$D$58,0),FALSE)/'[1]Processer - data'!I237,1)</f>
        <v>21032.248602834708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input'!$A$3:$A$230,$A$1)),IF(VLOOKUP($A237,[1]!Table1[#All],2,FALSE)="Resultat",SUMIF($F$1:$F236,$D237,J$1:J236)+SUMIF($F238:$F$512,$D237,J238:J$512),0))*'[1]Processer - data'!J237,"")*IF($C237&lt;&gt;"",IF($F237="Halm",Landbrug!E$16*Landbrug!E$17,IF(LEFT($D237,5)="Areal", IF($G237="Ton",Landbrug!E$18,1),1)),1)*IF($F237="Grøntsager",IF($A237="Grøntsager i drivhus",Landbrug!E$51,1-Landbrug!E$51),1)*IF($A237="Tømmerproduktion",VLOOKUP($F237,Skovbrug!$A$59:$D$60,MATCH(J$2,Skovbrug!$A$58:$D$58,0),FALSE)/'[1]Processer - data'!J237,1)</f>
        <v>28722.181929349812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input'!$A$3:$A$230,$A$1)),IF(VLOOKUP($A238,[1]!Table1[#All],2,FALSE)="Resultat",SUMIF($F$1:$F237,$D238,H$1:H237)+SUMIF($F239:$F$512,$D238,H239:H$512),0))*'[1]Processer - data'!H238,"")*IF($C238&lt;&gt;"",IF($F238="Halm",Landbrug!C$16*Landbrug!C$17,IF(LEFT($D238,5)="Areal", IF($G238="Ton",Landbrug!C$18,1),1)),1)*IF($F238="Grøntsager",IF($A238="Grøntsager i drivhus",Landbrug!C$51,1-Landbrug!C$51),1)*IF($A238="Tømmerproduktion",VLOOKUP($F238,Skovbrug!$A$59:$D$60,MATCH(H$2,Skovbrug!$A$58:$D$58,0),FALSE)/'[1]Processer - data'!H238,1)</f>
        <v>4939.6001525197526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input'!$A$3:$A$230,$A$1)),IF(VLOOKUP($A238,[1]!Table1[#All],2,FALSE)="Resultat",SUMIF($F$1:$F237,$D238,I$1:I237)+SUMIF($F239:$F$512,$D238,I239:I$512),0))*'[1]Processer - data'!I238,"")*IF($C238&lt;&gt;"",IF($F238="Halm",Landbrug!D$16*Landbrug!D$17,IF(LEFT($D238,5)="Areal", IF($G238="Ton",Landbrug!D$18,1),1)),1)*IF($F238="Grøntsager",IF($A238="Grøntsager i drivhus",Landbrug!D$51,1-Landbrug!D$51),1)*IF($A238="Tømmerproduktion",VLOOKUP($F238,Skovbrug!$A$59:$D$60,MATCH(I$2,Skovbrug!$A$58:$D$58,0),FALSE)/'[1]Processer - data'!I238,1)</f>
        <v>5790.7911488679201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input'!$A$3:$A$230,$A$1)),IF(VLOOKUP($A238,[1]!Table1[#All],2,FALSE)="Resultat",SUMIF($F$1:$F237,$D238,J$1:J237)+SUMIF($F239:$F$512,$D238,J239:J$512),0))*'[1]Processer - data'!J238,"")*IF($C238&lt;&gt;"",IF($F238="Halm",Landbrug!E$16*Landbrug!E$17,IF(LEFT($D238,5)="Areal", IF($G238="Ton",Landbrug!E$18,1),1)),1)*IF($F238="Grøntsager",IF($A238="Grøntsager i drivhus",Landbrug!E$51,1-Landbrug!E$51),1)*IF($A238="Tømmerproduktion",VLOOKUP($F238,Skovbrug!$A$59:$D$60,MATCH(J$2,Skovbrug!$A$58:$D$58,0),FALSE)/'[1]Processer - data'!J238,1)</f>
        <v>7371.6816062827083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input'!$A$3:$A$230,$A$1)),IF(VLOOKUP($A239,[1]!Table1[#All],2,FALSE)="Resultat",SUMIF($F$1:$F238,$D239,H$1:H238)+SUMIF($F240:$F$512,$D239,H240:H$512),0))*'[1]Processer - data'!H239,"")*IF($C239&lt;&gt;"",IF($F239="Halm",Landbrug!C$16*Landbrug!C$17,IF(LEFT($D239,5)="Areal", IF($G239="Ton",Landbrug!C$18,1),1)),1)*IF($F239="Grøntsager",IF($A239="Grøntsager i drivhus",Landbrug!C$51,1-Landbrug!C$51),1)*IF($A239="Tømmerproduktion",VLOOKUP($F239,Skovbrug!$A$59:$D$60,MATCH(H$2,Skovbrug!$A$58:$D$58,0),FALSE)/'[1]Processer - data'!H239,1)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input'!$A$3:$A$230,$A$1)),IF(VLOOKUP($A239,[1]!Table1[#All],2,FALSE)="Resultat",SUMIF($F$1:$F238,$D239,I$1:I238)+SUMIF($F240:$F$512,$D239,I240:I$512),0))*'[1]Processer - data'!I239,"")*IF($C239&lt;&gt;"",IF($F239="Halm",Landbrug!D$16*Landbrug!D$17,IF(LEFT($D239,5)="Areal", IF($G239="Ton",Landbrug!D$18,1),1)),1)*IF($F239="Grøntsager",IF($A239="Grøntsager i drivhus",Landbrug!D$51,1-Landbrug!D$51),1)*IF($A239="Tømmerproduktion",VLOOKUP($F239,Skovbrug!$A$59:$D$60,MATCH(I$2,Skovbrug!$A$58:$D$58,0),FALSE)/'[1]Processer - data'!I239,1)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input'!$A$3:$A$230,$A$1)),IF(VLOOKUP($A239,[1]!Table1[#All],2,FALSE)="Resultat",SUMIF($F$1:$F238,$D239,J$1:J238)+SUMIF($F240:$F$512,$D239,J240:J$512),0))*'[1]Processer - data'!J239,"")*IF($C239&lt;&gt;"",IF($F239="Halm",Landbrug!E$16*Landbrug!E$17,IF(LEFT($D239,5)="Areal", IF($G239="Ton",Landbrug!E$18,1),1)),1)*IF($F239="Grøntsager",IF($A239="Grøntsager i drivhus",Landbrug!E$51,1-Landbrug!E$51),1)*IF($A239="Tømmerproduktion",VLOOKUP($F239,Skovbrug!$A$59:$D$60,MATCH(J$2,Skovbrug!$A$58:$D$58,0),FALSE)/'[1]Processer - data'!J239,1)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input'!$A$3:$A$230,$A$1)),IF(VLOOKUP($A240,[1]!Table1[#All],2,FALSE)="Resultat",SUMIF($F$1:$F239,$D240,H$1:H239)+SUMIF($F241:$F$512,$D240,H241:H$512),0))*'[1]Processer - data'!H240,"")*IF($C240&lt;&gt;"",IF($F240="Halm",Landbrug!C$16*Landbrug!C$17,IF(LEFT($D240,5)="Areal", IF($G240="Ton",Landbrug!C$18,1),1)),1)*IF($F240="Grøntsager",IF($A240="Grøntsager i drivhus",Landbrug!C$51,1-Landbrug!C$51),1)*IF($A240="Tømmerproduktion",VLOOKUP($F240,Skovbrug!$A$59:$D$60,MATCH(H$2,Skovbrug!$A$58:$D$58,0),FALSE)/'[1]Processer - data'!H240,1)</f>
        <v>17194.225480632958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input'!$A$3:$A$230,$A$1)),IF(VLOOKUP($A240,[1]!Table1[#All],2,FALSE)="Resultat",SUMIF($F$1:$F239,$D240,I$1:I239)+SUMIF($F241:$F$512,$D240,I241:I$512),0))*'[1]Processer - data'!I240,"")*IF($C240&lt;&gt;"",IF($F240="Halm",Landbrug!D$16*Landbrug!D$17,IF(LEFT($D240,5)="Areal", IF($G240="Ton",Landbrug!D$18,1),1)),1)*IF($F240="Grøntsager",IF($A240="Grøntsager i drivhus",Landbrug!D$51,1-Landbrug!D$51),1)*IF($A240="Tømmerproduktion",VLOOKUP($F240,Skovbrug!$A$59:$D$60,MATCH(I$2,Skovbrug!$A$58:$D$58,0),FALSE)/'[1]Processer - data'!I240,1)</f>
        <v>20274.999246938889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input'!$A$3:$A$230,$A$1)),IF(VLOOKUP($A240,[1]!Table1[#All],2,FALSE)="Resultat",SUMIF($F$1:$F239,$D240,J$1:J239)+SUMIF($F241:$F$512,$D240,J241:J$512),0))*'[1]Processer - data'!J240,"")*IF($C240&lt;&gt;"",IF($F240="Halm",Landbrug!E$16*Landbrug!E$17,IF(LEFT($D240,5)="Areal", IF($G240="Ton",Landbrug!E$18,1),1)),1)*IF($F240="Grøntsager",IF($A240="Grøntsager i drivhus",Landbrug!E$51,1-Landbrug!E$51),1)*IF($A240="Tømmerproduktion",VLOOKUP($F240,Skovbrug!$A$59:$D$60,MATCH(J$2,Skovbrug!$A$58:$D$58,0),FALSE)/'[1]Processer - data'!J240,1)</f>
        <v>25810.089705147493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input'!$A$3:$A$230,$A$1)),IF(VLOOKUP($A241,[1]!Table1[#All],2,FALSE)="Resultat",SUMIF($F$1:$F240,$D241,H$1:H240)+SUMIF($F242:$F$512,$D241,H242:H$512),0))*'[1]Processer - data'!H241,"")*IF($C241&lt;&gt;"",IF($F241="Halm",Landbrug!C$16*Landbrug!C$17,IF(LEFT($D241,5)="Areal", IF($G241="Ton",Landbrug!C$18,1),1)),1)*IF($F241="Grøntsager",IF($A241="Grøntsager i drivhus",Landbrug!C$51,1-Landbrug!C$51),1)*IF($A241="Tømmerproduktion",VLOOKUP($F241,Skovbrug!$A$59:$D$60,MATCH(H$2,Skovbrug!$A$58:$D$58,0),FALSE)/'[1]Processer - data'!H241,1)</f>
        <v>655.06564719629318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input'!$A$3:$A$230,$A$1)),IF(VLOOKUP($A241,[1]!Table1[#All],2,FALSE)="Resultat",SUMIF($F$1:$F240,$D241,I$1:I240)+SUMIF($F242:$F$512,$D241,I242:I$512),0))*'[1]Processer - data'!I241,"")*IF($C241&lt;&gt;"",IF($F241="Halm",Landbrug!D$16*Landbrug!D$17,IF(LEFT($D241,5)="Areal", IF($G241="Ton",Landbrug!D$18,1),1)),1)*IF($F241="Grøntsager",IF($A241="Grøntsager i drivhus",Landbrug!D$51,1-Landbrug!D$51),1)*IF($A241="Tømmerproduktion",VLOOKUP($F241,Skovbrug!$A$59:$D$60,MATCH(I$2,Skovbrug!$A$58:$D$58,0),FALSE)/'[1]Processer - data'!I241,1)</f>
        <v>773.83237694161642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input'!$A$3:$A$230,$A$1)),IF(VLOOKUP($A241,[1]!Table1[#All],2,FALSE)="Resultat",SUMIF($F$1:$F240,$D241,J$1:J240)+SUMIF($F242:$F$512,$D241,J242:J$512),0))*'[1]Processer - data'!J241,"")*IF($C241&lt;&gt;"",IF($F241="Halm",Landbrug!E$16*Landbrug!E$17,IF(LEFT($D241,5)="Areal", IF($G241="Ton",Landbrug!E$18,1),1)),1)*IF($F241="Grøntsager",IF($A241="Grøntsager i drivhus",Landbrug!E$51,1-Landbrug!E$51),1)*IF($A241="Tømmerproduktion",VLOOKUP($F241,Skovbrug!$A$59:$D$60,MATCH(J$2,Skovbrug!$A$58:$D$58,0),FALSE)/'[1]Processer - data'!J241,1)</f>
        <v>1076.103965308874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input'!$A$3:$A$230,$A$1)),IF(VLOOKUP($A242,[1]!Table1[#All],2,FALSE)="Resultat",SUMIF($F$1:$F241,$D242,H$1:H241)+SUMIF($F243:$F$512,$D242,H243:H$512),0))*'[1]Processer - data'!H242,"")*IF($C242&lt;&gt;"",IF($F242="Halm",Landbrug!C$16*Landbrug!C$17,IF(LEFT($D242,5)="Areal", IF($G242="Ton",Landbrug!C$18,1),1)),1)*IF($F242="Grøntsager",IF($A242="Grøntsager i drivhus",Landbrug!C$51,1-Landbrug!C$51),1)*IF($A242="Tømmerproduktion",VLOOKUP($F242,Skovbrug!$A$59:$D$60,MATCH(H$2,Skovbrug!$A$58:$D$58,0),FALSE)/'[1]Processer - data'!H242,1)</f>
        <v>194.47506626492333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input'!$A$3:$A$230,$A$1)),IF(VLOOKUP($A242,[1]!Table1[#All],2,FALSE)="Resultat",SUMIF($F$1:$F241,$D242,I$1:I241)+SUMIF($F243:$F$512,$D242,I243:I$512),0))*'[1]Processer - data'!I242,"")*IF($C242&lt;&gt;"",IF($F242="Halm",Landbrug!D$16*Landbrug!D$17,IF(LEFT($D242,5)="Areal", IF($G242="Ton",Landbrug!D$18,1),1)),1)*IF($F242="Grøntsager",IF($A242="Grøntsager i drivhus",Landbrug!D$51,1-Landbrug!D$51),1)*IF($A242="Tømmerproduktion",VLOOKUP($F242,Skovbrug!$A$59:$D$60,MATCH(I$2,Skovbrug!$A$58:$D$58,0),FALSE)/'[1]Processer - data'!I242,1)</f>
        <v>213.05861126503504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input'!$A$3:$A$230,$A$1)),IF(VLOOKUP($A242,[1]!Table1[#All],2,FALSE)="Resultat",SUMIF($F$1:$F241,$D242,J$1:J241)+SUMIF($F243:$F$512,$D242,J243:J$512),0))*'[1]Processer - data'!J242,"")*IF($C242&lt;&gt;"",IF($F242="Halm",Landbrug!E$16*Landbrug!E$17,IF(LEFT($D242,5)="Areal", IF($G242="Ton",Landbrug!E$18,1),1)),1)*IF($F242="Grøntsager",IF($A242="Grøntsager i drivhus",Landbrug!E$51,1-Landbrug!E$51),1)*IF($A242="Tømmerproduktion",VLOOKUP($F242,Skovbrug!$A$59:$D$60,MATCH(J$2,Skovbrug!$A$58:$D$58,0),FALSE)/'[1]Processer - data'!J242,1)</f>
        <v>276.18708867689719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input'!$A$3:$A$230,$A$1)),IF(VLOOKUP($A243,[1]!Table1[#All],2,FALSE)="Resultat",SUMIF($F$1:$F242,$D243,H$1:H242)+SUMIF($F244:$F$512,$D243,H244:H$512),0))*'[1]Processer - data'!H243,"")*IF($C243&lt;&gt;"",IF($F243="Halm",Landbrug!C$16*Landbrug!C$17,IF(LEFT($D243,5)="Areal", IF($G243="Ton",Landbrug!C$18,1),1)),1)*IF($F243="Grøntsager",IF($A243="Grøntsager i drivhus",Landbrug!C$51,1-Landbrug!C$51),1)*IF($A243="Tømmerproduktion",VLOOKUP($F243,Skovbrug!$A$59:$D$60,MATCH(H$2,Skovbrug!$A$58:$D$58,0),FALSE)/'[1]Processer - data'!H243,1)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input'!$A$3:$A$230,$A$1)),IF(VLOOKUP($A243,[1]!Table1[#All],2,FALSE)="Resultat",SUMIF($F$1:$F242,$D243,I$1:I242)+SUMIF($F244:$F$512,$D243,I244:I$512),0))*'[1]Processer - data'!I243,"")*IF($C243&lt;&gt;"",IF($F243="Halm",Landbrug!D$16*Landbrug!D$17,IF(LEFT($D243,5)="Areal", IF($G243="Ton",Landbrug!D$18,1),1)),1)*IF($F243="Grøntsager",IF($A243="Grøntsager i drivhus",Landbrug!D$51,1-Landbrug!D$51),1)*IF($A243="Tømmerproduktion",VLOOKUP($F243,Skovbrug!$A$59:$D$60,MATCH(I$2,Skovbrug!$A$58:$D$58,0),FALSE)/'[1]Processer - data'!I243,1)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input'!$A$3:$A$230,$A$1)),IF(VLOOKUP($A243,[1]!Table1[#All],2,FALSE)="Resultat",SUMIF($F$1:$F242,$D243,J$1:J242)+SUMIF($F244:$F$512,$D243,J244:J$512),0))*'[1]Processer - data'!J243,"")*IF($C243&lt;&gt;"",IF($F243="Halm",Landbrug!E$16*Landbrug!E$17,IF(LEFT($D243,5)="Areal", IF($G243="Ton",Landbrug!E$18,1),1)),1)*IF($F243="Grøntsager",IF($A243="Grøntsager i drivhus",Landbrug!E$51,1-Landbrug!E$51),1)*IF($A243="Tømmerproduktion",VLOOKUP($F243,Skovbrug!$A$59:$D$60,MATCH(J$2,Skovbrug!$A$58:$D$58,0),FALSE)/'[1]Processer - data'!J243,1)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input'!$A$3:$A$230,$A$1)),IF(VLOOKUP($A244,[1]!Table1[#All],2,FALSE)="Resultat",SUMIF($F$1:$F243,$D244,H$1:H243)+SUMIF($F245:$F$512,$D244,H245:H$512),0))*'[1]Processer - data'!H244,"")*IF($C244&lt;&gt;"",IF($F244="Halm",Landbrug!C$16*Landbrug!C$17,IF(LEFT($D244,5)="Areal", IF($G244="Ton",Landbrug!C$18,1),1)),1)*IF($F244="Grøntsager",IF($A244="Grøntsager i drivhus",Landbrug!C$51,1-Landbrug!C$51),1)*IF($A244="Tømmerproduktion",VLOOKUP($F244,Skovbrug!$A$59:$D$60,MATCH(H$2,Skovbrug!$A$58:$D$58,0),FALSE)/'[1]Processer - data'!H244,1)</f>
        <v>3967.6732496296468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input'!$A$3:$A$230,$A$1)),IF(VLOOKUP($A244,[1]!Table1[#All],2,FALSE)="Resultat",SUMIF($F$1:$F243,$D244,I$1:I243)+SUMIF($F245:$F$512,$D244,I245:I$512),0))*'[1]Processer - data'!I244,"")*IF($C244&lt;&gt;"",IF($F244="Halm",Landbrug!D$16*Landbrug!D$17,IF(LEFT($D244,5)="Areal", IF($G244="Ton",Landbrug!D$18,1),1)),1)*IF($F244="Grøntsager",IF($A244="Grøntsager i drivhus",Landbrug!D$51,1-Landbrug!D$51),1)*IF($A244="Tømmerproduktion",VLOOKUP($F244,Skovbrug!$A$59:$D$60,MATCH(I$2,Skovbrug!$A$58:$D$58,0),FALSE)/'[1]Processer - data'!I244,1)</f>
        <v>4372.2318718549086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input'!$A$3:$A$230,$A$1)),IF(VLOOKUP($A244,[1]!Table1[#All],2,FALSE)="Resultat",SUMIF($F$1:$F243,$D244,J$1:J243)+SUMIF($F245:$F$512,$D244,J245:J$512),0))*'[1]Processer - data'!J244,"")*IF($C244&lt;&gt;"",IF($F244="Halm",Landbrug!E$16*Landbrug!E$17,IF(LEFT($D244,5)="Areal", IF($G244="Ton",Landbrug!E$18,1),1)),1)*IF($F244="Grøntsager",IF($A244="Grøntsager i drivhus",Landbrug!E$51,1-Landbrug!E$51),1)*IF($A244="Tømmerproduktion",VLOOKUP($F244,Skovbrug!$A$59:$D$60,MATCH(J$2,Skovbrug!$A$58:$D$58,0),FALSE)/'[1]Processer - data'!J244,1)</f>
        <v>5667.7079820341396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input'!$A$3:$A$230,$A$1)),IF(VLOOKUP($A245,[1]!Table1[#All],2,FALSE)="Resultat",SUMIF($F$1:$F244,$D245,H$1:H244)+SUMIF($F246:$F$512,$D245,H246:H$512),0))*'[1]Processer - data'!H245,"")*IF($C245&lt;&gt;"",IF($F245="Halm",Landbrug!C$16*Landbrug!C$17,IF(LEFT($D245,5)="Areal", IF($G245="Ton",Landbrug!C$18,1),1)),1)*IF($F245="Grøntsager",IF($A245="Grøntsager i drivhus",Landbrug!C$51,1-Landbrug!C$51),1)*IF($A245="Tømmerproduktion",VLOOKUP($F245,Skovbrug!$A$59:$D$60,MATCH(H$2,Skovbrug!$A$58:$D$58,0),FALSE)/'[1]Processer - data'!H245,1)</f>
        <v>259.48458090593903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input'!$A$3:$A$230,$A$1)),IF(VLOOKUP($A245,[1]!Table1[#All],2,FALSE)="Resultat",SUMIF($F$1:$F244,$D245,I$1:I244)+SUMIF($F246:$F$512,$D245,I246:I$512),0))*'[1]Processer - data'!I245,"")*IF($C245&lt;&gt;"",IF($F245="Halm",Landbrug!D$16*Landbrug!D$17,IF(LEFT($D245,5)="Areal", IF($G245="Ton",Landbrug!D$18,1),1)),1)*IF($F245="Grøntsager",IF($A245="Grøntsager i drivhus",Landbrug!D$51,1-Landbrug!D$51),1)*IF($A245="Tømmerproduktion",VLOOKUP($F245,Skovbrug!$A$59:$D$60,MATCH(I$2,Skovbrug!$A$58:$D$58,0),FALSE)/'[1]Processer - data'!I245,1)</f>
        <v>299.49360215843939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input'!$A$3:$A$230,$A$1)),IF(VLOOKUP($A245,[1]!Table1[#All],2,FALSE)="Resultat",SUMIF($F$1:$F244,$D245,J$1:J244)+SUMIF($F246:$F$512,$D245,J246:J$512),0))*'[1]Processer - data'!J245,"")*IF($C245&lt;&gt;"",IF($F245="Halm",Landbrug!E$16*Landbrug!E$17,IF(LEFT($D245,5)="Areal", IF($G245="Ton",Landbrug!E$18,1),1)),1)*IF($F245="Grøntsager",IF($A245="Grøntsager i drivhus",Landbrug!E$51,1-Landbrug!E$51),1)*IF($A245="Tømmerproduktion",VLOOKUP($F245,Skovbrug!$A$59:$D$60,MATCH(J$2,Skovbrug!$A$58:$D$58,0),FALSE)/'[1]Processer - data'!J245,1)</f>
        <v>416.48070366491089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input'!$A$3:$A$230,$A$1)),IF(VLOOKUP($A246,[1]!Table1[#All],2,FALSE)="Resultat",SUMIF($F$1:$F245,$D246,H$1:H245)+SUMIF($F247:$F$512,$D246,H247:H$512),0))*'[1]Processer - data'!H246,"")*IF($C246&lt;&gt;"",IF($F246="Halm",Landbrug!C$16*Landbrug!C$17,IF(LEFT($D246,5)="Areal", IF($G246="Ton",Landbrug!C$18,1),1)),1)*IF($F246="Grøntsager",IF($A246="Grøntsager i drivhus",Landbrug!C$51,1-Landbrug!C$51),1)*IF($A246="Tømmerproduktion",VLOOKUP($F246,Skovbrug!$A$59:$D$60,MATCH(H$2,Skovbrug!$A$58:$D$58,0),FALSE)/'[1]Processer - data'!H246,1)</f>
        <v>77.035456343029438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input'!$A$3:$A$230,$A$1)),IF(VLOOKUP($A246,[1]!Table1[#All],2,FALSE)="Resultat",SUMIF($F$1:$F245,$D246,I$1:I245)+SUMIF($F247:$F$512,$D246,I247:I$512),0))*'[1]Processer - data'!I246,"")*IF($C246&lt;&gt;"",IF($F246="Halm",Landbrug!D$16*Landbrug!D$17,IF(LEFT($D246,5)="Areal", IF($G246="Ton",Landbrug!D$18,1),1)),1)*IF($F246="Grøntsager",IF($A246="Grøntsager i drivhus",Landbrug!D$51,1-Landbrug!D$51),1)*IF($A246="Tømmerproduktion",VLOOKUP($F246,Skovbrug!$A$59:$D$60,MATCH(I$2,Skovbrug!$A$58:$D$58,0),FALSE)/'[1]Processer - data'!I246,1)</f>
        <v>82.459319175597486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input'!$A$3:$A$230,$A$1)),IF(VLOOKUP($A246,[1]!Table1[#All],2,FALSE)="Resultat",SUMIF($F$1:$F245,$D246,J$1:J245)+SUMIF($F247:$F$512,$D246,J247:J$512),0))*'[1]Processer - data'!J246,"")*IF($C246&lt;&gt;"",IF($F246="Halm",Landbrug!E$16*Landbrug!E$17,IF(LEFT($D246,5)="Areal", IF($G246="Ton",Landbrug!E$18,1),1)),1)*IF($F246="Grøntsager",IF($A246="Grøntsager i drivhus",Landbrug!E$51,1-Landbrug!E$51),1)*IF($A246="Tømmerproduktion",VLOOKUP($F246,Skovbrug!$A$59:$D$60,MATCH(J$2,Skovbrug!$A$58:$D$58,0),FALSE)/'[1]Processer - data'!J246,1)</f>
        <v>106.89171004244116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input'!$A$3:$A$230,$A$1)),IF(VLOOKUP($A247,[1]!Table1[#All],2,FALSE)="Resultat",SUMIF($F$1:$F246,$D247,H$1:H246)+SUMIF($F248:$F$512,$D247,H248:H$512),0))*'[1]Processer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drivhus",Landbrug!C$51,1-Landbrug!C$51),1)*IF($A247="Tømmerproduktion",VLOOKUP($F247,Skovbrug!$A$59:$D$60,MATCH(H$2,Skovbrug!$A$58:$D$58,0),FALSE)/'[1]Processer - data'!H247,1)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input'!$A$3:$A$230,$A$1)),IF(VLOOKUP($A247,[1]!Table1[#All],2,FALSE)="Resultat",SUMIF($F$1:$F246,$D247,I$1:I246)+SUMIF($F248:$F$512,$D247,I248:I$512),0))*'[1]Processer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drivhus",Landbrug!D$51,1-Landbrug!D$51),1)*IF($A247="Tømmerproduktion",VLOOKUP($F247,Skovbrug!$A$59:$D$60,MATCH(I$2,Skovbrug!$A$58:$D$58,0),FALSE)/'[1]Processer - data'!I247,1)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input'!$A$3:$A$230,$A$1)),IF(VLOOKUP($A247,[1]!Table1[#All],2,FALSE)="Resultat",SUMIF($F$1:$F246,$D247,J$1:J246)+SUMIF($F248:$F$512,$D247,J248:J$512),0))*'[1]Processer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drivhus",Landbrug!E$51,1-Landbrug!E$51),1)*IF($A247="Tømmerproduktion",VLOOKUP($F247,Skovbrug!$A$59:$D$60,MATCH(J$2,Skovbrug!$A$58:$D$58,0),FALSE)/'[1]Processer - data'!J247,1)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drivhus",Landbrug!C$51,1-Landbrug!C$51),1)*IF($A248="Tømmerproduktion",VLOOKUP($F248,Skovbrug!$A$59:$D$60,MATCH(H$2,Skovbrug!$A$58:$D$58,0),FALSE)/'[1]Processer - data'!H248,1)</f>
        <v>3449.7945804716023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drivhus",Landbrug!D$51,1-Landbrug!D$51),1)*IF($A248="Tømmerproduktion",VLOOKUP($F248,Skovbrug!$A$59:$D$60,MATCH(I$2,Skovbrug!$A$58:$D$58,0),FALSE)/'[1]Processer - data'!I248,1)</f>
        <v>3714.2783190872242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drivhus",Landbrug!E$51,1-Landbrug!E$51),1)*IF($A248="Tømmerproduktion",VLOOKUP($F248,Skovbrug!$A$59:$D$60,MATCH(J$2,Skovbrug!$A$58:$D$58,0),FALSE)/'[1]Processer - data'!J248,1)</f>
        <v>4814.8052284464011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drivhus",Landbrug!C$51,1-Landbrug!C$51),1)*IF($A249="Tømmerproduktion",VLOOKUP($F249,Skovbrug!$A$59:$D$60,MATCH(H$2,Skovbrug!$A$58:$D$58,0),FALSE)/'[1]Processer - data'!H249,1)</f>
        <v>346761.79388166772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drivhus",Landbrug!D$51,1-Landbrug!D$51),1)*IF($A249="Tømmerproduktion",VLOOKUP($F249,Skovbrug!$A$59:$D$60,MATCH(I$2,Skovbrug!$A$58:$D$58,0),FALSE)/'[1]Processer - data'!I249,1)</f>
        <v>359109.12270091596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drivhus",Landbrug!E$51,1-Landbrug!E$51),1)*IF($A249="Tømmerproduktion",VLOOKUP($F249,Skovbrug!$A$59:$D$60,MATCH(J$2,Skovbrug!$A$58:$D$58,0),FALSE)/'[1]Processer - data'!J249,1)</f>
        <v>360820.9295953415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drivhus",Landbrug!C$51,1-Landbrug!C$51),1)*IF($A250="Tømmerproduktion",VLOOKUP($F250,Skovbrug!$A$59:$D$60,MATCH(H$2,Skovbrug!$A$58:$D$58,0),FALSE)/'[1]Processer - data'!H250,1)</f>
        <v>-576131.59912925877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drivhus",Landbrug!D$51,1-Landbrug!D$51),1)*IF($A250="Tømmerproduktion",VLOOKUP($F250,Skovbrug!$A$59:$D$60,MATCH(I$2,Skovbrug!$A$58:$D$58,0),FALSE)/'[1]Processer - data'!I250,1)</f>
        <v>-556572.96524411801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drivhus",Landbrug!E$51,1-Landbrug!E$51),1)*IF($A250="Tømmerproduktion",VLOOKUP($F250,Skovbrug!$A$59:$D$60,MATCH(J$2,Skovbrug!$A$58:$D$58,0),FALSE)/'[1]Processer - data'!J250,1)</f>
        <v>-521295.93141070573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drivhus",Landbrug!C$51,1-Landbrug!C$51),1)*IF($A251="Tømmerproduktion",VLOOKUP($F251,Skovbrug!$A$59:$D$60,MATCH(H$2,Skovbrug!$A$58:$D$58,0),FALSE)/'[1]Processer - data'!H251,1)</f>
        <v>9703.3123842265704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drivhus",Landbrug!D$51,1-Landbrug!D$51),1)*IF($A251="Tømmerproduktion",VLOOKUP($F251,Skovbrug!$A$59:$D$60,MATCH(I$2,Skovbrug!$A$58:$D$58,0),FALSE)/'[1]Processer - data'!I251,1)</f>
        <v>9373.9023420017202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drivhus",Landbrug!E$51,1-Landbrug!E$51),1)*IF($A251="Tømmerproduktion",VLOOKUP($F251,Skovbrug!$A$59:$D$60,MATCH(J$2,Skovbrug!$A$58:$D$58,0),FALSE)/'[1]Processer - data'!J251,1)</f>
        <v>8779.7601706785827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drivhus",Landbrug!C$51,1-Landbrug!C$51),1)*IF($A252="Tømmerproduktion",VLOOKUP($F252,Skovbrug!$A$59:$D$60,MATCH(H$2,Skovbrug!$A$58:$D$58,0),FALSE)/'[1]Processer - data'!H252,1)</f>
        <v>3621.7615488648539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drivhus",Landbrug!D$51,1-Landbrug!D$51),1)*IF($A252="Tømmerproduktion",VLOOKUP($F252,Skovbrug!$A$59:$D$60,MATCH(I$2,Skovbrug!$A$58:$D$58,0),FALSE)/'[1]Processer - data'!I252,1)</f>
        <v>3505.1298216897758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drivhus",Landbrug!E$51,1-Landbrug!E$51),1)*IF($A252="Tømmerproduktion",VLOOKUP($F252,Skovbrug!$A$59:$D$60,MATCH(J$2,Skovbrug!$A$58:$D$58,0),FALSE)/'[1]Processer - data'!J252,1)</f>
        <v>3586.2866861446109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drivhus",Landbrug!C$51,1-Landbrug!C$51),1)*IF($A253="Tømmerproduktion",VLOOKUP($F253,Skovbrug!$A$59:$D$60,MATCH(H$2,Skovbrug!$A$58:$D$58,0),FALSE)/'[1]Processer - data'!H253,1)</f>
        <v>-3900.1794783652108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drivhus",Landbrug!D$51,1-Landbrug!D$51),1)*IF($A253="Tømmerproduktion",VLOOKUP($F253,Skovbrug!$A$59:$D$60,MATCH(I$2,Skovbrug!$A$58:$D$58,0),FALSE)/'[1]Processer - data'!I253,1)</f>
        <v>-3521.0651565697949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drivhus",Landbrug!E$51,1-Landbrug!E$51),1)*IF($A253="Tømmerproduktion",VLOOKUP($F253,Skovbrug!$A$59:$D$60,MATCH(J$2,Skovbrug!$A$58:$D$58,0),FALSE)/'[1]Processer - data'!J253,1)</f>
        <v>-3358.2413343006715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drivhus",Landbrug!C$51,1-Landbrug!C$51),1)*IF($A254="Tømmerproduktion",VLOOKUP($F254,Skovbrug!$A$59:$D$60,MATCH(H$2,Skovbrug!$A$58:$D$58,0),FALSE)/'[1]Processer - data'!H254,1)</f>
        <v>594.00455425100313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drivhus",Landbrug!D$51,1-Landbrug!D$51),1)*IF($A254="Tømmerproduktion",VLOOKUP($F254,Skovbrug!$A$59:$D$60,MATCH(I$2,Skovbrug!$A$58:$D$58,0),FALSE)/'[1]Processer - data'!I254,1)</f>
        <v>536.2647412558714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drivhus",Landbrug!E$51,1-Landbrug!E$51),1)*IF($A254="Tømmerproduktion",VLOOKUP($F254,Skovbrug!$A$59:$D$60,MATCH(J$2,Skovbrug!$A$58:$D$58,0),FALSE)/'[1]Processer - data'!J254,1)</f>
        <v>511.46637171802763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drivhus",Landbrug!C$51,1-Landbrug!C$51),1)*IF($A255="Tømmerproduktion",VLOOKUP($F255,Skovbrug!$A$59:$D$60,MATCH(H$2,Skovbrug!$A$58:$D$58,0),FALSE)/'[1]Processer - data'!H255,1)</f>
        <v>1489.163191827615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drivhus",Landbrug!D$51,1-Landbrug!D$51),1)*IF($A255="Tømmerproduktion",VLOOKUP($F255,Skovbrug!$A$59:$D$60,MATCH(I$2,Skovbrug!$A$58:$D$58,0),FALSE)/'[1]Processer - data'!I255,1)</f>
        <v>1408.122599232624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drivhus",Landbrug!E$51,1-Landbrug!E$51),1)*IF($A255="Tømmerproduktion",VLOOKUP($F255,Skovbrug!$A$59:$D$60,MATCH(J$2,Skovbrug!$A$58:$D$58,0),FALSE)/'[1]Processer - data'!J255,1)</f>
        <v>1440.7259037420754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drivhus",Landbrug!C$51,1-Landbrug!C$51),1)*IF($A256="Tømmerproduktion",VLOOKUP($F256,Skovbrug!$A$59:$D$60,MATCH(H$2,Skovbrug!$A$58:$D$58,0),FALSE)/'[1]Processer - data'!H256,1)</f>
        <v>-981.82075140833501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drivhus",Landbrug!D$51,1-Landbrug!D$51),1)*IF($A256="Tømmerproduktion",VLOOKUP($F256,Skovbrug!$A$59:$D$60,MATCH(I$2,Skovbrug!$A$58:$D$58,0),FALSE)/'[1]Processer - data'!I256,1)</f>
        <v>-866.03530543493821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drivhus",Landbrug!E$51,1-Landbrug!E$51),1)*IF($A256="Tømmerproduktion",VLOOKUP($F256,Skovbrug!$A$59:$D$60,MATCH(J$2,Skovbrug!$A$58:$D$58,0),FALSE)/'[1]Processer - data'!J256,1)</f>
        <v>-825.98743003910295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drivhus",Landbrug!C$51,1-Landbrug!C$51),1)*IF($A257="Tømmerproduktion",VLOOKUP($F257,Skovbrug!$A$59:$D$60,MATCH(H$2,Skovbrug!$A$58:$D$58,0),FALSE)/'[1]Processer - data'!H257,1)</f>
        <v>536.0963111377207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drivhus",Landbrug!D$51,1-Landbrug!D$51),1)*IF($A257="Tømmerproduktion",VLOOKUP($F257,Skovbrug!$A$59:$D$60,MATCH(I$2,Skovbrug!$A$58:$D$58,0),FALSE)/'[1]Processer - data'!I257,1)</f>
        <v>472.8748418616467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drivhus",Landbrug!E$51,1-Landbrug!E$51),1)*IF($A257="Tømmerproduktion",VLOOKUP($F257,Skovbrug!$A$59:$D$60,MATCH(J$2,Skovbrug!$A$58:$D$58,0),FALSE)/'[1]Processer - data'!J257,1)</f>
        <v>451.00779715128152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drivhus",Landbrug!C$51,1-Landbrug!C$51),1)*IF($A258="Tømmerproduktion",VLOOKUP($F258,Skovbrug!$A$59:$D$60,MATCH(H$2,Skovbrug!$A$58:$D$58,0),FALSE)/'[1]Processer - data'!H258,1)</f>
        <v>25272.368195039431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drivhus",Landbrug!D$51,1-Landbrug!D$51),1)*IF($A258="Tømmerproduktion",VLOOKUP($F258,Skovbrug!$A$59:$D$60,MATCH(I$2,Skovbrug!$A$58:$D$58,0),FALSE)/'[1]Processer - data'!I258,1)</f>
        <v>31946.181493451426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drivhus",Landbrug!E$51,1-Landbrug!E$51),1)*IF($A258="Tømmerproduktion",VLOOKUP($F258,Skovbrug!$A$59:$D$60,MATCH(J$2,Skovbrug!$A$58:$D$58,0),FALSE)/'[1]Processer - data'!J258,1)</f>
        <v>43626.530578345824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drivhus",Landbrug!C$51,1-Landbrug!C$51),1)*IF($A259="Tømmerproduktion",VLOOKUP($F259,Skovbrug!$A$59:$D$60,MATCH(H$2,Skovbrug!$A$58:$D$58,0),FALSE)/'[1]Processer - data'!H259,1)</f>
        <v>-41989.083454102067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drivhus",Landbrug!D$51,1-Landbrug!D$51),1)*IF($A259="Tømmerproduktion",VLOOKUP($F259,Skovbrug!$A$59:$D$60,MATCH(I$2,Skovbrug!$A$58:$D$58,0),FALSE)/'[1]Processer - data'!I259,1)</f>
        <v>-49512.473613335118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drivhus",Landbrug!E$51,1-Landbrug!E$51),1)*IF($A259="Tømmerproduktion",VLOOKUP($F259,Skovbrug!$A$59:$D$60,MATCH(J$2,Skovbrug!$A$58:$D$58,0),FALSE)/'[1]Processer - data'!J259,1)</f>
        <v>-63029.417161476231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drivhus",Landbrug!C$51,1-Landbrug!C$51),1)*IF($A260="Tømmerproduktion",VLOOKUP($F260,Skovbrug!$A$59:$D$60,MATCH(H$2,Skovbrug!$A$58:$D$58,0),FALSE)/'[1]Processer - data'!H260,1)</f>
        <v>1240.6802150158394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drivhus",Landbrug!D$51,1-Landbrug!D$51),1)*IF($A260="Tømmerproduktion",VLOOKUP($F260,Skovbrug!$A$59:$D$60,MATCH(I$2,Skovbrug!$A$58:$D$58,0),FALSE)/'[1]Processer - data'!I260,1)</f>
        <v>1462.9789782314824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drivhus",Landbrug!E$51,1-Landbrug!E$51),1)*IF($A260="Tømmerproduktion",VLOOKUP($F260,Skovbrug!$A$59:$D$60,MATCH(J$2,Skovbrug!$A$58:$D$58,0),FALSE)/'[1]Processer - data'!J260,1)</f>
        <v>1862.373369537881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drivhus",Landbrug!C$51,1-Landbrug!C$51),1)*IF($A261="Tømmerproduktion",VLOOKUP($F261,Skovbrug!$A$59:$D$60,MATCH(H$2,Skovbrug!$A$58:$D$58,0),FALSE)/'[1]Processer - data'!H261,1)</f>
        <v>263.95783212721415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drivhus",Landbrug!D$51,1-Landbrug!D$51),1)*IF($A261="Tømmerproduktion",VLOOKUP($F261,Skovbrug!$A$59:$D$60,MATCH(I$2,Skovbrug!$A$58:$D$58,0),FALSE)/'[1]Processer - data'!I261,1)</f>
        <v>311.81472806824075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drivhus",Landbrug!E$51,1-Landbrug!E$51),1)*IF($A261="Tømmerproduktion",VLOOKUP($F261,Skovbrug!$A$59:$D$60,MATCH(J$2,Skovbrug!$A$58:$D$58,0),FALSE)/'[1]Processer - data'!J261,1)</f>
        <v>433.6146629611211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drivhus",Landbrug!C$51,1-Landbrug!C$51),1)*IF($A262="Tømmerproduktion",VLOOKUP($F262,Skovbrug!$A$59:$D$60,MATCH(H$2,Skovbrug!$A$58:$D$58,0),FALSE)/'[1]Processer - data'!H262,1)</f>
        <v>-284.2492268269275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drivhus",Landbrug!D$51,1-Landbrug!D$51),1)*IF($A262="Tømmerproduktion",VLOOKUP($F262,Skovbrug!$A$59:$D$60,MATCH(I$2,Skovbrug!$A$58:$D$58,0),FALSE)/'[1]Processer - data'!I262,1)</f>
        <v>-313.23232809022625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drivhus",Landbrug!E$51,1-Landbrug!E$51),1)*IF($A262="Tømmerproduktion",VLOOKUP($F262,Skovbrug!$A$59:$D$60,MATCH(J$2,Skovbrug!$A$58:$D$58,0),FALSE)/'[1]Processer - data'!J262,1)</f>
        <v>-406.04190678362664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drivhus",Landbrug!C$51,1-Landbrug!C$51),1)*IF($A263="Tømmerproduktion",VLOOKUP($F263,Skovbrug!$A$59:$D$60,MATCH(H$2,Skovbrug!$A$58:$D$58,0),FALSE)/'[1]Processer - data'!H263,1)</f>
        <v>75.95032179799955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drivhus",Landbrug!D$51,1-Landbrug!D$51),1)*IF($A263="Tømmerproduktion",VLOOKUP($F263,Skovbrug!$A$59:$D$60,MATCH(I$2,Skovbrug!$A$58:$D$58,0),FALSE)/'[1]Processer - data'!I263,1)</f>
        <v>83.694497190222705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drivhus",Landbrug!E$51,1-Landbrug!E$51),1)*IF($A263="Tømmerproduktion",VLOOKUP($F263,Skovbrug!$A$59:$D$60,MATCH(J$2,Skovbrug!$A$58:$D$58,0),FALSE)/'[1]Processer - data'!J263,1)</f>
        <v>108.49286672806649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drivhus",Landbrug!C$51,1-Landbrug!C$51),1)*IF($A264="Tømmerproduktion",VLOOKUP($F264,Skovbrug!$A$59:$D$60,MATCH(H$2,Skovbrug!$A$58:$D$58,0),FALSE)/'[1]Processer - data'!H264,1)</f>
        <v>108.53179661197174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drivhus",Landbrug!D$51,1-Landbrug!D$51),1)*IF($A264="Tømmerproduktion",VLOOKUP($F264,Skovbrug!$A$59:$D$60,MATCH(I$2,Skovbrug!$A$58:$D$58,0),FALSE)/'[1]Processer - data'!I264,1)</f>
        <v>125.26593527277505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drivhus",Landbrug!E$51,1-Landbrug!E$51),1)*IF($A264="Tømmerproduktion",VLOOKUP($F264,Skovbrug!$A$59:$D$60,MATCH(J$2,Skovbrug!$A$58:$D$58,0),FALSE)/'[1]Processer - data'!J264,1)</f>
        <v>174.19685927063279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drivhus",Landbrug!C$51,1-Landbrug!C$51),1)*IF($A265="Tømmerproduktion",VLOOKUP($F265,Skovbrug!$A$59:$D$60,MATCH(H$2,Skovbrug!$A$58:$D$58,0),FALSE)/'[1]Processer - data'!H265,1)</f>
        <v>-71.556140177280099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drivhus",Landbrug!D$51,1-Landbrug!D$51),1)*IF($A265="Tømmerproduktion",VLOOKUP($F265,Skovbrug!$A$59:$D$60,MATCH(I$2,Skovbrug!$A$58:$D$58,0),FALSE)/'[1]Processer - data'!I265,1)</f>
        <v>-77.042100292738141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drivhus",Landbrug!E$51,1-Landbrug!E$51),1)*IF($A265="Tømmerproduktion",VLOOKUP($F265,Skovbrug!$A$59:$D$60,MATCH(J$2,Skovbrug!$A$58:$D$58,0),FALSE)/'[1]Processer - data'!J265,1)</f>
        <v>-99.869389268364259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drivhus",Landbrug!C$51,1-Landbrug!C$51),1)*IF($A266="Tømmerproduktion",VLOOKUP($F266,Skovbrug!$A$59:$D$60,MATCH(H$2,Skovbrug!$A$58:$D$58,0),FALSE)/'[1]Processer - data'!H266,1)</f>
        <v>68.546086144021544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drivhus",Landbrug!D$51,1-Landbrug!D$51),1)*IF($A266="Tømmerproduktion",VLOOKUP($F266,Skovbrug!$A$59:$D$60,MATCH(I$2,Skovbrug!$A$58:$D$58,0),FALSE)/'[1]Processer - data'!I266,1)</f>
        <v>73.801275897482441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drivhus",Landbrug!E$51,1-Landbrug!E$51),1)*IF($A266="Tømmerproduktion",VLOOKUP($F266,Skovbrug!$A$59:$D$60,MATCH(J$2,Skovbrug!$A$58:$D$58,0),FALSE)/'[1]Processer - data'!J266,1)</f>
        <v>95.668320607847605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drivhus",Landbrug!C$51,1-Landbrug!C$51),1)*IF($A267="Tømmerproduktion",VLOOKUP($F267,Skovbrug!$A$59:$D$60,MATCH(H$2,Skovbrug!$A$58:$D$58,0),FALSE)/'[1]Processer - data'!H267,1)</f>
        <v>22799.307708789471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drivhus",Landbrug!D$51,1-Landbrug!D$51),1)*IF($A267="Tømmerproduktion",VLOOKUP($F267,Skovbrug!$A$59:$D$60,MATCH(I$2,Skovbrug!$A$58:$D$58,0),FALSE)/'[1]Processer - data'!I267,1)</f>
        <v>23611.134600040677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drivhus",Landbrug!E$51,1-Landbrug!E$51),1)*IF($A267="Tømmerproduktion",VLOOKUP($F267,Skovbrug!$A$59:$D$60,MATCH(J$2,Skovbrug!$A$58:$D$58,0),FALSE)/'[1]Processer - data'!J267,1)</f>
        <v>23723.684519935698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drivhus",Landbrug!C$51,1-Landbrug!C$51),1)*IF($A268="Tømmerproduktion",VLOOKUP($F268,Skovbrug!$A$59:$D$60,MATCH(H$2,Skovbrug!$A$58:$D$58,0),FALSE)/'[1]Processer - data'!H268,1)</f>
        <v>-375960.31557485583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drivhus",Landbrug!D$51,1-Landbrug!D$51),1)*IF($A268="Tømmerproduktion",VLOOKUP($F268,Skovbrug!$A$59:$D$60,MATCH(I$2,Skovbrug!$A$58:$D$58,0),FALSE)/'[1]Processer - data'!I268,1)</f>
        <v>-363197.13754611381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drivhus",Landbrug!E$51,1-Landbrug!E$51),1)*IF($A268="Tømmerproduktion",VLOOKUP($F268,Skovbrug!$A$59:$D$60,MATCH(J$2,Skovbrug!$A$58:$D$58,0),FALSE)/'[1]Processer - data'!J268,1)</f>
        <v>-340176.76374158839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drivhus",Landbrug!C$51,1-Landbrug!C$51),1)*IF($A269="Tømmerproduktion",VLOOKUP($F269,Skovbrug!$A$59:$D$60,MATCH(H$2,Skovbrug!$A$58:$D$58,0),FALSE)/'[1]Processer - data'!H269,1)</f>
        <v>5278.7362480253596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drivhus",Landbrug!D$51,1-Landbrug!D$51),1)*IF($A269="Tømmerproduktion",VLOOKUP($F269,Skovbrug!$A$59:$D$60,MATCH(I$2,Skovbrug!$A$58:$D$58,0),FALSE)/'[1]Processer - data'!I269,1)</f>
        <v>5099.532625437414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drivhus",Landbrug!E$51,1-Landbrug!E$51),1)*IF($A269="Tømmerproduktion",VLOOKUP($F269,Skovbrug!$A$59:$D$60,MATCH(J$2,Skovbrug!$A$58:$D$58,0),FALSE)/'[1]Processer - data'!J269,1)</f>
        <v>4776.3110602590896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drivhus",Landbrug!C$51,1-Landbrug!C$51),1)*IF($A270="Tømmerproduktion",VLOOKUP($F270,Skovbrug!$A$59:$D$60,MATCH(H$2,Skovbrug!$A$58:$D$58,0),FALSE)/'[1]Processer - data'!H270,1)</f>
        <v>832.19283099213862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drivhus",Landbrug!D$51,1-Landbrug!D$51),1)*IF($A270="Tømmerproduktion",VLOOKUP($F270,Skovbrug!$A$59:$D$60,MATCH(I$2,Skovbrug!$A$58:$D$58,0),FALSE)/'[1]Processer - data'!I270,1)</f>
        <v>805.39369308319704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drivhus",Landbrug!E$51,1-Landbrug!E$51),1)*IF($A270="Tømmerproduktion",VLOOKUP($F270,Skovbrug!$A$59:$D$60,MATCH(J$2,Skovbrug!$A$58:$D$58,0),FALSE)/'[1]Processer - data'!J270,1)</f>
        <v>824.04156922686036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drivhus",Landbrug!C$51,1-Landbrug!C$51),1)*IF($A271="Tømmerproduktion",VLOOKUP($F271,Skovbrug!$A$59:$D$60,MATCH(H$2,Skovbrug!$A$58:$D$58,0),FALSE)/'[1]Processer - data'!H271,1)</f>
        <v>-11435.708317520553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drivhus",Landbrug!D$51,1-Landbrug!D$51),1)*IF($A271="Tømmerproduktion",VLOOKUP($F271,Skovbrug!$A$59:$D$60,MATCH(I$2,Skovbrug!$A$58:$D$58,0),FALSE)/'[1]Processer - data'!I271,1)</f>
        <v>-10324.107985511157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drivhus",Landbrug!E$51,1-Landbrug!E$51),1)*IF($A271="Tømmerproduktion",VLOOKUP($F271,Skovbrug!$A$59:$D$60,MATCH(J$2,Skovbrug!$A$58:$D$58,0),FALSE)/'[1]Processer - data'!J271,1)</f>
        <v>-9846.6925873372311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drivhus",Landbrug!C$51,1-Landbrug!C$51),1)*IF($A272="Tømmerproduktion",VLOOKUP($F272,Skovbrug!$A$59:$D$60,MATCH(H$2,Skovbrug!$A$58:$D$58,0),FALSE)/'[1]Processer - data'!H272,1)</f>
        <v>870.88590683653945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drivhus",Landbrug!D$51,1-Landbrug!D$51),1)*IF($A272="Tømmerproduktion",VLOOKUP($F272,Skovbrug!$A$59:$D$60,MATCH(I$2,Skovbrug!$A$58:$D$58,0),FALSE)/'[1]Processer - data'!I272,1)</f>
        <v>786.23202827454259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drivhus",Landbrug!E$51,1-Landbrug!E$51),1)*IF($A272="Tømmerproduktion",VLOOKUP($F272,Skovbrug!$A$59:$D$60,MATCH(J$2,Skovbrug!$A$58:$D$58,0),FALSE)/'[1]Processer - data'!J272,1)</f>
        <v>749.87447783410141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drivhus",Landbrug!C$51,1-Landbrug!C$51),1)*IF($A273="Tømmerproduktion",VLOOKUP($F273,Skovbrug!$A$59:$D$60,MATCH(H$2,Skovbrug!$A$58:$D$58,0),FALSE)/'[1]Processer - data'!H273,1)</f>
        <v>554.51944988025582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drivhus",Landbrug!D$51,1-Landbrug!D$51),1)*IF($A273="Tømmerproduktion",VLOOKUP($F273,Skovbrug!$A$59:$D$60,MATCH(I$2,Skovbrug!$A$58:$D$58,0),FALSE)/'[1]Processer - data'!I273,1)</f>
        <v>524.34237790428756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drivhus",Landbrug!E$51,1-Landbrug!E$51),1)*IF($A273="Tømmerproduktion",VLOOKUP($F273,Skovbrug!$A$59:$D$60,MATCH(J$2,Skovbrug!$A$58:$D$58,0),FALSE)/'[1]Processer - data'!J273,1)</f>
        <v>536.48286497788456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drivhus",Landbrug!C$51,1-Landbrug!C$51),1)*IF($A274="Tømmerproduktion",VLOOKUP($F274,Skovbrug!$A$59:$D$60,MATCH(H$2,Skovbrug!$A$58:$D$58,0),FALSE)/'[1]Processer - data'!H274,1)</f>
        <v>-6531.4422836308104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drivhus",Landbrug!D$51,1-Landbrug!D$51),1)*IF($A274="Tømmerproduktion",VLOOKUP($F274,Skovbrug!$A$59:$D$60,MATCH(I$2,Skovbrug!$A$58:$D$58,0),FALSE)/'[1]Processer - data'!I274,1)</f>
        <v>-5761.1937870748689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drivhus",Landbrug!E$51,1-Landbrug!E$51),1)*IF($A274="Tømmerproduktion",VLOOKUP($F274,Skovbrug!$A$59:$D$60,MATCH(J$2,Skovbrug!$A$58:$D$58,0),FALSE)/'[1]Processer - data'!J274,1)</f>
        <v>-5494.7802015453954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drivhus",Landbrug!C$51,1-Landbrug!C$51),1)*IF($A275="Tømmerproduktion",VLOOKUP($F275,Skovbrug!$A$59:$D$60,MATCH(H$2,Skovbrug!$A$58:$D$58,0),FALSE)/'[1]Processer - data'!H275,1)</f>
        <v>1329.6940839065478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drivhus",Landbrug!D$51,1-Landbrug!D$51),1)*IF($A275="Tømmerproduktion",VLOOKUP($F275,Skovbrug!$A$59:$D$60,MATCH(I$2,Skovbrug!$A$58:$D$58,0),FALSE)/'[1]Processer - data'!I275,1)</f>
        <v>1172.8841750790289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drivhus",Landbrug!E$51,1-Landbrug!E$51),1)*IF($A275="Tømmerproduktion",VLOOKUP($F275,Skovbrug!$A$59:$D$60,MATCH(J$2,Skovbrug!$A$58:$D$58,0),FALSE)/'[1]Processer - data'!J275,1)</f>
        <v>1118.6467565782646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drivhus",Landbrug!C$51,1-Landbrug!C$51),1)*IF($A276="Tømmerproduktion",VLOOKUP($F276,Skovbrug!$A$59:$D$60,MATCH(H$2,Skovbrug!$A$58:$D$58,0),FALSE)/'[1]Processer - data'!H276,1)</f>
        <v>1661.6377847126773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drivhus",Landbrug!D$51,1-Landbrug!D$51),1)*IF($A276="Tømmerproduktion",VLOOKUP($F276,Skovbrug!$A$59:$D$60,MATCH(I$2,Skovbrug!$A$58:$D$58,0),FALSE)/'[1]Processer - data'!I276,1)</f>
        <v>2100.4356155758728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drivhus",Landbrug!E$51,1-Landbrug!E$51),1)*IF($A276="Tømmerproduktion",VLOOKUP($F276,Skovbrug!$A$59:$D$60,MATCH(J$2,Skovbrug!$A$58:$D$58,0),FALSE)/'[1]Processer - data'!J276,1)</f>
        <v>2868.409128319498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drivhus",Landbrug!C$51,1-Landbrug!C$51),1)*IF($A277="Tømmerproduktion",VLOOKUP($F277,Skovbrug!$A$59:$D$60,MATCH(H$2,Skovbrug!$A$58:$D$58,0),FALSE)/'[1]Processer - data'!H277,1)</f>
        <v>-27400.387498206695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drivhus",Landbrug!D$51,1-Landbrug!D$51),1)*IF($A277="Tømmerproduktion",VLOOKUP($F277,Skovbrug!$A$59:$D$60,MATCH(I$2,Skovbrug!$A$58:$D$58,0),FALSE)/'[1]Processer - data'!I277,1)</f>
        <v>-32309.849403668737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drivhus",Landbrug!E$51,1-Landbrug!E$51),1)*IF($A277="Tømmerproduktion",VLOOKUP($F277,Skovbrug!$A$59:$D$60,MATCH(J$2,Skovbrug!$A$58:$D$58,0),FALSE)/'[1]Processer - data'!J277,1)</f>
        <v>-41130.463252392052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drivhus",Landbrug!C$51,1-Landbrug!C$51),1)*IF($A278="Tømmerproduktion",VLOOKUP($F278,Skovbrug!$A$59:$D$60,MATCH(H$2,Skovbrug!$A$58:$D$58,0),FALSE)/'[1]Processer - data'!H278,1)</f>
        <v>674.94721017724225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drivhus",Landbrug!D$51,1-Landbrug!D$51),1)*IF($A278="Tømmerproduktion",VLOOKUP($F278,Skovbrug!$A$59:$D$60,MATCH(I$2,Skovbrug!$A$58:$D$58,0),FALSE)/'[1]Processer - data'!I278,1)</f>
        <v>795.8808143746254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drivhus",Landbrug!E$51,1-Landbrug!E$51),1)*IF($A278="Tømmerproduktion",VLOOKUP($F278,Skovbrug!$A$59:$D$60,MATCH(J$2,Skovbrug!$A$58:$D$58,0),FALSE)/'[1]Processer - data'!J278,1)</f>
        <v>1013.1568915701099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drivhus",Landbrug!C$51,1-Landbrug!C$51),1)*IF($A279="Tømmerproduktion",VLOOKUP($F279,Skovbrug!$A$59:$D$60,MATCH(H$2,Skovbrug!$A$58:$D$58,0),FALSE)/'[1]Processer - data'!H279,1)</f>
        <v>60.651098261657197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drivhus",Landbrug!D$51,1-Landbrug!D$51),1)*IF($A279="Tømmerproduktion",VLOOKUP($F279,Skovbrug!$A$59:$D$60,MATCH(I$2,Skovbrug!$A$58:$D$58,0),FALSE)/'[1]Processer - data'!I279,1)</f>
        <v>71.647450500291356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drivhus",Landbrug!E$51,1-Landbrug!E$51),1)*IF($A279="Tømmerproduktion",VLOOKUP($F279,Skovbrug!$A$59:$D$60,MATCH(J$2,Skovbrug!$A$58:$D$58,0),FALSE)/'[1]Processer - data'!J279,1)</f>
        <v>99.63411700652037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drivhus",Landbrug!C$51,1-Landbrug!C$51),1)*IF($A280="Tømmerproduktion",VLOOKUP($F280,Skovbrug!$A$59:$D$60,MATCH(H$2,Skovbrug!$A$58:$D$58,0),FALSE)/'[1]Processer - data'!H280,1)</f>
        <v>-833.44657995995362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drivhus",Landbrug!D$51,1-Landbrug!D$51),1)*IF($A280="Tømmerproduktion",VLOOKUP($F280,Skovbrug!$A$59:$D$60,MATCH(I$2,Skovbrug!$A$58:$D$58,0),FALSE)/'[1]Processer - data'!I280,1)</f>
        <v>-918.42787223709081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drivhus",Landbrug!E$51,1-Landbrug!E$51),1)*IF($A280="Tømmerproduktion",VLOOKUP($F280,Skovbrug!$A$59:$D$60,MATCH(J$2,Skovbrug!$A$58:$D$58,0),FALSE)/'[1]Processer - data'!J280,1)</f>
        <v>-1190.5546491962284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drivhus",Landbrug!C$51,1-Landbrug!C$51),1)*IF($A281="Tømmerproduktion",VLOOKUP($F281,Skovbrug!$A$59:$D$60,MATCH(H$2,Skovbrug!$A$58:$D$58,0),FALSE)/'[1]Processer - data'!H281,1)</f>
        <v>111.35279081652958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drivhus",Landbrug!D$51,1-Landbrug!D$51),1)*IF($A281="Tømmerproduktion",VLOOKUP($F281,Skovbrug!$A$59:$D$60,MATCH(I$2,Skovbrug!$A$58:$D$58,0),FALSE)/'[1]Processer - data'!I281,1)</f>
        <v>122.70673273648933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drivhus",Landbrug!E$51,1-Landbrug!E$51),1)*IF($A281="Tømmerproduktion",VLOOKUP($F281,Skovbrug!$A$59:$D$60,MATCH(J$2,Skovbrug!$A$58:$D$58,0),FALSE)/'[1]Processer - data'!J281,1)</f>
        <v>159.06428317693056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drivhus",Landbrug!C$51,1-Landbrug!C$51),1)*IF($A282="Tømmerproduktion",VLOOKUP($F282,Skovbrug!$A$59:$D$60,MATCH(H$2,Skovbrug!$A$58:$D$58,0),FALSE)/'[1]Processer - data'!H282,1)</f>
        <v>40.413967040056363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drivhus",Landbrug!D$51,1-Landbrug!D$51),1)*IF($A282="Tømmerproduktion",VLOOKUP($F282,Skovbrug!$A$59:$D$60,MATCH(I$2,Skovbrug!$A$58:$D$58,0),FALSE)/'[1]Processer - data'!I282,1)</f>
        <v>46.645255467901656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drivhus",Landbrug!E$51,1-Landbrug!E$51),1)*IF($A282="Tømmerproduktion",VLOOKUP($F282,Skovbrug!$A$59:$D$60,MATCH(J$2,Skovbrug!$A$58:$D$58,0),FALSE)/'[1]Processer - data'!J282,1)</f>
        <v>64.865655492780576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drivhus",Landbrug!C$51,1-Landbrug!C$51),1)*IF($A283="Tømmerproduktion",VLOOKUP($F283,Skovbrug!$A$59:$D$60,MATCH(H$2,Skovbrug!$A$58:$D$58,0),FALSE)/'[1]Processer - data'!H283,1)</f>
        <v>-476.0184574800515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drivhus",Landbrug!D$51,1-Landbrug!D$51),1)*IF($A283="Tømmerproduktion",VLOOKUP($F283,Skovbrug!$A$59:$D$60,MATCH(I$2,Skovbrug!$A$58:$D$58,0),FALSE)/'[1]Processer - data'!I283,1)</f>
        <v>-512.51313516232506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drivhus",Landbrug!E$51,1-Landbrug!E$51),1)*IF($A283="Tømmerproduktion",VLOOKUP($F283,Skovbrug!$A$59:$D$60,MATCH(J$2,Skovbrug!$A$58:$D$58,0),FALSE)/'[1]Processer - data'!J283,1)</f>
        <v>-664.36887891412493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drivhus",Landbrug!C$51,1-Landbrug!C$51),1)*IF($A284="Tømmerproduktion",VLOOKUP($F284,Skovbrug!$A$59:$D$60,MATCH(H$2,Skovbrug!$A$58:$D$58,0),FALSE)/'[1]Processer - data'!H284,1)</f>
        <v>170.01669910248501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drivhus",Landbrug!D$51,1-Landbrug!D$51),1)*IF($A284="Tømmerproduktion",VLOOKUP($F284,Skovbrug!$A$59:$D$60,MATCH(I$2,Skovbrug!$A$58:$D$58,0),FALSE)/'[1]Processer - data'!I284,1)</f>
        <v>183.05128744007968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drivhus",Landbrug!E$51,1-Landbrug!E$51),1)*IF($A284="Tømmerproduktion",VLOOKUP($F284,Skovbrug!$A$59:$D$60,MATCH(J$2,Skovbrug!$A$58:$D$58,0),FALSE)/'[1]Processer - data'!J284,1)</f>
        <v>237.28870594084398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drivhus",Landbrug!C$51,1-Landbrug!C$51),1)*IF($A285="Tømmerproduktion",VLOOKUP($F285,Skovbrug!$A$59:$D$60,MATCH(H$2,Skovbrug!$A$58:$D$58,0),FALSE)/'[1]Processer - data'!H285,1)</f>
        <v>1415136.4303395611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drivhus",Landbrug!D$51,1-Landbrug!D$51),1)*IF($A285="Tømmerproduktion",VLOOKUP($F285,Skovbrug!$A$59:$D$60,MATCH(I$2,Skovbrug!$A$58:$D$58,0),FALSE)/'[1]Processer - data'!I285,1)</f>
        <v>1465525.9344250732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drivhus",Landbrug!E$51,1-Landbrug!E$51),1)*IF($A285="Tømmerproduktion",VLOOKUP($F285,Skovbrug!$A$59:$D$60,MATCH(J$2,Skovbrug!$A$58:$D$58,0),FALSE)/'[1]Processer - data'!J285,1)</f>
        <v>1472511.8260104496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drivhus",Landbrug!C$51,1-Landbrug!C$51),1)*IF($A286="Tømmerproduktion",VLOOKUP($F286,Skovbrug!$A$59:$D$60,MATCH(H$2,Skovbrug!$A$58:$D$58,0),FALSE)/'[1]Processer - data'!H286,1)</f>
        <v>-6748143.454119416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drivhus",Landbrug!D$51,1-Landbrug!D$51),1)*IF($A286="Tømmerproduktion",VLOOKUP($F286,Skovbrug!$A$59:$D$60,MATCH(I$2,Skovbrug!$A$58:$D$58,0),FALSE)/'[1]Processer - data'!I286,1)</f>
        <v>-6519056.0938305408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drivhus",Landbrug!E$51,1-Landbrug!E$51),1)*IF($A286="Tømmerproduktion",VLOOKUP($F286,Skovbrug!$A$59:$D$60,MATCH(J$2,Skovbrug!$A$58:$D$58,0),FALSE)/'[1]Processer - data'!J286,1)</f>
        <v>-6105861.4603414629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drivhus",Landbrug!C$51,1-Landbrug!C$51),1)*IF($A287="Tømmerproduktion",VLOOKUP($F287,Skovbrug!$A$59:$D$60,MATCH(H$2,Skovbrug!$A$58:$D$58,0),FALSE)/'[1]Processer - data'!H287,1)</f>
        <v>107987.44231752631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drivhus",Landbrug!D$51,1-Landbrug!D$51),1)*IF($A287="Tømmerproduktion",VLOOKUP($F287,Skovbrug!$A$59:$D$60,MATCH(I$2,Skovbrug!$A$58:$D$58,0),FALSE)/'[1]Processer - data'!I287,1)</f>
        <v>104321.46244127344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drivhus",Landbrug!E$51,1-Landbrug!E$51),1)*IF($A287="Tømmerproduktion",VLOOKUP($F287,Skovbrug!$A$59:$D$60,MATCH(J$2,Skovbrug!$A$58:$D$58,0),FALSE)/'[1]Processer - data'!J287,1)</f>
        <v>97709.298376715073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drivhus",Landbrug!C$51,1-Landbrug!C$51),1)*IF($A288="Tømmerproduktion",VLOOKUP($F288,Skovbrug!$A$59:$D$60,MATCH(H$2,Skovbrug!$A$58:$D$58,0),FALSE)/'[1]Processer - data'!H288,1)</f>
        <v>51653.603137711965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drivhus",Landbrug!D$51,1-Landbrug!D$51),1)*IF($A288="Tømmerproduktion",VLOOKUP($F288,Skovbrug!$A$59:$D$60,MATCH(I$2,Skovbrug!$A$58:$D$58,0),FALSE)/'[1]Processer - data'!I288,1)</f>
        <v>49990.200158944463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drivhus",Landbrug!E$51,1-Landbrug!E$51),1)*IF($A288="Tømmerproduktion",VLOOKUP($F288,Skovbrug!$A$59:$D$60,MATCH(J$2,Skovbrug!$A$58:$D$58,0),FALSE)/'[1]Processer - data'!J288,1)</f>
        <v>51147.660254506249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drivhus",Landbrug!C$51,1-Landbrug!C$51),1)*IF($A289="Tømmerproduktion",VLOOKUP($F289,Skovbrug!$A$59:$D$60,MATCH(H$2,Skovbrug!$A$58:$D$58,0),FALSE)/'[1]Processer - data'!H289,1)</f>
        <v>-180581.0800621245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drivhus",Landbrug!D$51,1-Landbrug!D$51),1)*IF($A289="Tømmerproduktion",VLOOKUP($F289,Skovbrug!$A$59:$D$60,MATCH(I$2,Skovbrug!$A$58:$D$58,0),FALSE)/'[1]Processer - data'!I289,1)</f>
        <v>-163027.81768622686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drivhus",Landbrug!E$51,1-Landbrug!E$51),1)*IF($A289="Tømmerproduktion",VLOOKUP($F289,Skovbrug!$A$59:$D$60,MATCH(J$2,Skovbrug!$A$58:$D$58,0),FALSE)/'[1]Processer - data'!J289,1)</f>
        <v>-155488.95906489843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drivhus",Landbrug!C$51,1-Landbrug!C$51),1)*IF($A290="Tømmerproduktion",VLOOKUP($F290,Skovbrug!$A$59:$D$60,MATCH(H$2,Skovbrug!$A$58:$D$58,0),FALSE)/'[1]Processer - data'!H290,1)</f>
        <v>23102.379527231336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drivhus",Landbrug!D$51,1-Landbrug!D$51),1)*IF($A290="Tømmerproduktion",VLOOKUP($F290,Skovbrug!$A$59:$D$60,MATCH(I$2,Skovbrug!$A$58:$D$58,0),FALSE)/'[1]Processer - data'!I290,1)</f>
        <v>20856.728270690244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drivhus",Landbrug!E$51,1-Landbrug!E$51),1)*IF($A290="Tømmerproduktion",VLOOKUP($F290,Skovbrug!$A$59:$D$60,MATCH(J$2,Skovbrug!$A$58:$D$58,0),FALSE)/'[1]Processer - data'!J290,1)</f>
        <v>19892.255287074509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drivhus",Landbrug!C$51,1-Landbrug!C$51),1)*IF($A291="Tømmerproduktion",VLOOKUP($F291,Skovbrug!$A$59:$D$60,MATCH(H$2,Skovbrug!$A$58:$D$58,0),FALSE)/'[1]Processer - data'!H291,1)</f>
        <v>34418.618533530331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drivhus",Landbrug!D$51,1-Landbrug!D$51),1)*IF($A291="Tømmerproduktion",VLOOKUP($F291,Skovbrug!$A$59:$D$60,MATCH(I$2,Skovbrug!$A$58:$D$58,0),FALSE)/'[1]Processer - data'!I291,1)</f>
        <v>32545.54964654355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drivhus",Landbrug!E$51,1-Landbrug!E$51),1)*IF($A291="Tømmerproduktion",VLOOKUP($F291,Skovbrug!$A$59:$D$60,MATCH(J$2,Skovbrug!$A$58:$D$58,0),FALSE)/'[1]Processer - data'!J291,1)</f>
        <v>33299.100840262043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drivhus",Landbrug!C$51,1-Landbrug!C$51),1)*IF($A292="Tømmerproduktion",VLOOKUP($F292,Skovbrug!$A$59:$D$60,MATCH(H$2,Skovbrug!$A$58:$D$58,0),FALSE)/'[1]Processer - data'!H292,1)</f>
        <v>-89042.384060234079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drivhus",Landbrug!D$51,1-Landbrug!D$51),1)*IF($A292="Tømmerproduktion",VLOOKUP($F292,Skovbrug!$A$59:$D$60,MATCH(I$2,Skovbrug!$A$58:$D$58,0),FALSE)/'[1]Processer - data'!I292,1)</f>
        <v>-78541.676946272433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drivhus",Landbrug!E$51,1-Landbrug!E$51),1)*IF($A292="Tømmerproduktion",VLOOKUP($F292,Skovbrug!$A$59:$D$60,MATCH(J$2,Skovbrug!$A$58:$D$58,0),FALSE)/'[1]Processer - data'!J292,1)</f>
        <v>-74909.691885173132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drivhus",Landbrug!C$51,1-Landbrug!C$51),1)*IF($A293="Tømmerproduktion",VLOOKUP($F293,Skovbrug!$A$59:$D$60,MATCH(H$2,Skovbrug!$A$58:$D$58,0),FALSE)/'[1]Processer - data'!H293,1)</f>
        <v>33789.372952466074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drivhus",Landbrug!D$51,1-Landbrug!D$51),1)*IF($A293="Tømmerproduktion",VLOOKUP($F293,Skovbrug!$A$59:$D$60,MATCH(I$2,Skovbrug!$A$58:$D$58,0),FALSE)/'[1]Processer - data'!I293,1)</f>
        <v>29804.615438580942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drivhus",Landbrug!E$51,1-Landbrug!E$51),1)*IF($A293="Tømmerproduktion",VLOOKUP($F293,Skovbrug!$A$59:$D$60,MATCH(J$2,Skovbrug!$A$58:$D$58,0),FALSE)/'[1]Processer - data'!J293,1)</f>
        <v>28426.36732581419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drivhus",Landbrug!C$51,1-Landbrug!C$51),1)*IF($A294="Tømmerproduktion",VLOOKUP($F294,Skovbrug!$A$59:$D$60,MATCH(H$2,Skovbrug!$A$58:$D$58,0),FALSE)/'[1]Processer - data'!H294,1)</f>
        <v>103136.64753378094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drivhus",Landbrug!D$51,1-Landbrug!D$51),1)*IF($A294="Tømmerproduktion",VLOOKUP($F294,Skovbrug!$A$59:$D$60,MATCH(I$2,Skovbrug!$A$58:$D$58,0),FALSE)/'[1]Processer - data'!I294,1)</f>
        <v>130372.50942660045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drivhus",Landbrug!E$51,1-Landbrug!E$51),1)*IF($A294="Tømmerproduktion",VLOOKUP($F294,Skovbrug!$A$59:$D$60,MATCH(J$2,Skovbrug!$A$58:$D$58,0),FALSE)/'[1]Processer - data'!J294,1)</f>
        <v>178040.06623580892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drivhus",Landbrug!C$51,1-Landbrug!C$51),1)*IF($A295="Tømmerproduktion",VLOOKUP($F295,Skovbrug!$A$59:$D$60,MATCH(H$2,Skovbrug!$A$58:$D$58,0),FALSE)/'[1]Processer - data'!H295,1)</f>
        <v>-491811.86916932458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drivhus",Landbrug!D$51,1-Landbrug!D$51),1)*IF($A295="Tømmerproduktion",VLOOKUP($F295,Skovbrug!$A$59:$D$60,MATCH(I$2,Skovbrug!$A$58:$D$58,0),FALSE)/'[1]Processer - data'!I295,1)</f>
        <v>-579932.2155147515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drivhus",Landbrug!E$51,1-Landbrug!E$51),1)*IF($A295="Tømmerproduktion",VLOOKUP($F295,Skovbrug!$A$59:$D$60,MATCH(J$2,Skovbrug!$A$58:$D$58,0),FALSE)/'[1]Processer - data'!J295,1)</f>
        <v>-738254.15838674048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drivhus",Landbrug!C$51,1-Landbrug!C$51),1)*IF($A296="Tømmerproduktion",VLOOKUP($F296,Skovbrug!$A$59:$D$60,MATCH(H$2,Skovbrug!$A$58:$D$58,0),FALSE)/'[1]Processer - data'!H296,1)</f>
        <v>13807.437898352086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drivhus",Landbrug!D$51,1-Landbrug!D$51),1)*IF($A296="Tømmerproduktion",VLOOKUP($F296,Skovbrug!$A$59:$D$60,MATCH(I$2,Skovbrug!$A$58:$D$58,0),FALSE)/'[1]Processer - data'!I296,1)</f>
        <v>16281.384311643833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drivhus",Landbrug!E$51,1-Landbrug!E$51),1)*IF($A296="Tømmerproduktion",VLOOKUP($F296,Skovbrug!$A$59:$D$60,MATCH(J$2,Skovbrug!$A$58:$D$58,0),FALSE)/'[1]Processer - data'!J296,1)</f>
        <v>20726.214807181987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drivhus",Landbrug!C$51,1-Landbrug!C$51),1)*IF($A297="Tømmerproduktion",VLOOKUP($F297,Skovbrug!$A$59:$D$60,MATCH(H$2,Skovbrug!$A$58:$D$58,0),FALSE)/'[1]Processer - data'!H297,1)</f>
        <v>3764.5695117789446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drivhus",Landbrug!D$51,1-Landbrug!D$51),1)*IF($A297="Tømmerproduktion",VLOOKUP($F297,Skovbrug!$A$59:$D$60,MATCH(I$2,Skovbrug!$A$58:$D$58,0),FALSE)/'[1]Processer - data'!I297,1)</f>
        <v>4447.105089284134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drivhus",Landbrug!E$51,1-Landbrug!E$51),1)*IF($A297="Tømmerproduktion",VLOOKUP($F297,Skovbrug!$A$59:$D$60,MATCH(J$2,Skovbrug!$A$58:$D$58,0),FALSE)/'[1]Processer - data'!J297,1)</f>
        <v>6184.2171034993917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drivhus",Landbrug!C$51,1-Landbrug!C$51),1)*IF($A298="Tømmerproduktion",VLOOKUP($F298,Skovbrug!$A$59:$D$60,MATCH(H$2,Skovbrug!$A$58:$D$58,0),FALSE)/'[1]Processer - data'!H298,1)</f>
        <v>-13160.941098214729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drivhus",Landbrug!D$51,1-Landbrug!D$51),1)*IF($A298="Tømmerproduktion",VLOOKUP($F298,Skovbrug!$A$59:$D$60,MATCH(I$2,Skovbrug!$A$58:$D$58,0),FALSE)/'[1]Processer - data'!I298,1)</f>
        <v>-14502.87927278053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drivhus",Landbrug!E$51,1-Landbrug!E$51),1)*IF($A298="Tømmerproduktion",VLOOKUP($F298,Skovbrug!$A$59:$D$60,MATCH(J$2,Skovbrug!$A$58:$D$58,0),FALSE)/'[1]Processer - data'!J298,1)</f>
        <v>-18800.028686937723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drivhus",Landbrug!C$51,1-Landbrug!C$51),1)*IF($A299="Tømmerproduktion",VLOOKUP($F299,Skovbrug!$A$59:$D$60,MATCH(H$2,Skovbrug!$A$58:$D$58,0),FALSE)/'[1]Processer - data'!H299,1)</f>
        <v>2953.9052299105738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drivhus",Landbrug!D$51,1-Landbrug!D$51),1)*IF($A299="Tømmerproduktion",VLOOKUP($F299,Skovbrug!$A$59:$D$60,MATCH(I$2,Skovbrug!$A$58:$D$58,0),FALSE)/'[1]Processer - data'!I299,1)</f>
        <v>3255.0963197031019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drivhus",Landbrug!E$51,1-Landbrug!E$51),1)*IF($A299="Tømmerproduktion",VLOOKUP($F299,Skovbrug!$A$59:$D$60,MATCH(J$2,Skovbrug!$A$58:$D$58,0),FALSE)/'[1]Processer - data'!J299,1)</f>
        <v>4219.5693033188363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drivhus",Landbrug!C$51,1-Landbrug!C$51),1)*IF($A300="Tømmerproduktion",VLOOKUP($F300,Skovbrug!$A$59:$D$60,MATCH(H$2,Skovbrug!$A$58:$D$58,0),FALSE)/'[1]Processer - data'!H300,1)</f>
        <v>2508.4655105943393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drivhus",Landbrug!D$51,1-Landbrug!D$51),1)*IF($A300="Tømmerproduktion",VLOOKUP($F300,Skovbrug!$A$59:$D$60,MATCH(I$2,Skovbrug!$A$58:$D$58,0),FALSE)/'[1]Processer - data'!I300,1)</f>
        <v>2895.23704659136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drivhus",Landbrug!E$51,1-Landbrug!E$51),1)*IF($A300="Tømmerproduktion",VLOOKUP($F300,Skovbrug!$A$59:$D$60,MATCH(J$2,Skovbrug!$A$58:$D$58,0),FALSE)/'[1]Processer - data'!J300,1)</f>
        <v>4026.1640106862287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drivhus",Landbrug!C$51,1-Landbrug!C$51),1)*IF($A301="Tømmerproduktion",VLOOKUP($F301,Skovbrug!$A$59:$D$60,MATCH(H$2,Skovbrug!$A$58:$D$58,0),FALSE)/'[1]Processer - data'!H301,1)</f>
        <v>-6489.5036149866719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drivhus",Landbrug!D$51,1-Landbrug!D$51),1)*IF($A301="Tømmerproduktion",VLOOKUP($F301,Skovbrug!$A$59:$D$60,MATCH(I$2,Skovbrug!$A$58:$D$58,0),FALSE)/'[1]Processer - data'!I301,1)</f>
        <v>-6987.0312612897851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drivhus",Landbrug!E$51,1-Landbrug!E$51),1)*IF($A301="Tømmerproduktion",VLOOKUP($F301,Skovbrug!$A$59:$D$60,MATCH(J$2,Skovbrug!$A$58:$D$58,0),FALSE)/'[1]Processer - data'!J301,1)</f>
        <v>-9057.2627461163866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drivhus",Landbrug!C$51,1-Landbrug!C$51),1)*IF($A302="Tømmerproduktion",VLOOKUP($F302,Skovbrug!$A$59:$D$60,MATCH(H$2,Skovbrug!$A$58:$D$58,0),FALSE)/'[1]Processer - data'!H302,1)</f>
        <v>4320.3603924019699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drivhus",Landbrug!D$51,1-Landbrug!D$51),1)*IF($A302="Tømmerproduktion",VLOOKUP($F302,Skovbrug!$A$59:$D$60,MATCH(I$2,Skovbrug!$A$58:$D$58,0),FALSE)/'[1]Processer - data'!I302,1)</f>
        <v>4651.5873805877773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drivhus",Landbrug!E$51,1-Landbrug!E$51),1)*IF($A302="Tømmerproduktion",VLOOKUP($F302,Skovbrug!$A$59:$D$60,MATCH(J$2,Skovbrug!$A$58:$D$58,0),FALSE)/'[1]Processer - data'!J302,1)</f>
        <v>6029.8354933545252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drivhus",Landbrug!C$51,1-Landbrug!C$51),1)*IF($A303="Tømmerproduktion",VLOOKUP($F303,Skovbrug!$A$59:$D$60,MATCH(H$2,Skovbrug!$A$58:$D$58,0),FALSE)/'[1]Processer - data'!H303,1)</f>
        <v>6504856.0144051285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drivhus",Landbrug!D$51,1-Landbrug!D$51),1)*IF($A303="Tømmerproduktion",VLOOKUP($F303,Skovbrug!$A$59:$D$60,MATCH(I$2,Skovbrug!$A$58:$D$58,0),FALSE)/'[1]Processer - data'!I303,1)</f>
        <v>6736477.8295787275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drivhus",Landbrug!E$51,1-Landbrug!E$51),1)*IF($A303="Tømmerproduktion",VLOOKUP($F303,Skovbrug!$A$59:$D$60,MATCH(J$2,Skovbrug!$A$58:$D$58,0),FALSE)/'[1]Processer - data'!J303,1)</f>
        <v>6768589.3758020224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drivhus",Landbrug!C$51,1-Landbrug!C$51),1)*IF($A304="Tømmerproduktion",VLOOKUP($F304,Skovbrug!$A$59:$D$60,MATCH(H$2,Skovbrug!$A$58:$D$58,0),FALSE)/'[1]Processer - data'!H304,1)</f>
        <v>-23382991.73904337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drivhus",Landbrug!D$51,1-Landbrug!D$51),1)*IF($A304="Tømmerproduktion",VLOOKUP($F304,Skovbrug!$A$59:$D$60,MATCH(I$2,Skovbrug!$A$58:$D$58,0),FALSE)/'[1]Processer - data'!I304,1)</f>
        <v>-22589181.131789017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drivhus",Landbrug!E$51,1-Landbrug!E$51),1)*IF($A304="Tømmerproduktion",VLOOKUP($F304,Skovbrug!$A$59:$D$60,MATCH(J$2,Skovbrug!$A$58:$D$58,0),FALSE)/'[1]Processer - data'!J304,1)</f>
        <v>-21157420.416092593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drivhus",Landbrug!C$51,1-Landbrug!C$51),1)*IF($A305="Tømmerproduktion",VLOOKUP($F305,Skovbrug!$A$59:$D$60,MATCH(H$2,Skovbrug!$A$58:$D$58,0),FALSE)/'[1]Processer - data'!H305,1)</f>
        <v>332286.10382513731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drivhus",Landbrug!D$51,1-Landbrug!D$51),1)*IF($A305="Tømmerproduktion",VLOOKUP($F305,Skovbrug!$A$59:$D$60,MATCH(I$2,Skovbrug!$A$58:$D$58,0),FALSE)/'[1]Processer - data'!I305,1)</f>
        <v>321005.58690910961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drivhus",Landbrug!E$51,1-Landbrug!E$51),1)*IF($A305="Tømmerproduktion",VLOOKUP($F305,Skovbrug!$A$59:$D$60,MATCH(J$2,Skovbrug!$A$58:$D$58,0),FALSE)/'[1]Processer - data'!J305,1)</f>
        <v>300659.4226911976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drivhus",Landbrug!C$51,1-Landbrug!C$51),1)*IF($A306="Tømmerproduktion",VLOOKUP($F306,Skovbrug!$A$59:$D$60,MATCH(H$2,Skovbrug!$A$58:$D$58,0),FALSE)/'[1]Processer - data'!H306,1)</f>
        <v>256100.14280202685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drivhus",Landbrug!D$51,1-Landbrug!D$51),1)*IF($A306="Tømmerproduktion",VLOOKUP($F306,Skovbrug!$A$59:$D$60,MATCH(I$2,Skovbrug!$A$58:$D$58,0),FALSE)/'[1]Processer - data'!I306,1)</f>
        <v>247852.94000256414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drivhus",Landbrug!E$51,1-Landbrug!E$51),1)*IF($A306="Tømmerproduktion",VLOOKUP($F306,Skovbrug!$A$59:$D$60,MATCH(J$2,Skovbrug!$A$58:$D$58,0),FALSE)/'[1]Processer - data'!J306,1)</f>
        <v>253591.66252634884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drivhus",Landbrug!C$51,1-Landbrug!C$51),1)*IF($A307="Tømmerproduktion",VLOOKUP($F307,Skovbrug!$A$59:$D$60,MATCH(H$2,Skovbrug!$A$58:$D$58,0),FALSE)/'[1]Processer - data'!H307,1)</f>
        <v>-623324.69415606023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drivhus",Landbrug!D$51,1-Landbrug!D$51),1)*IF($A307="Tømmerproduktion",VLOOKUP($F307,Skovbrug!$A$59:$D$60,MATCH(I$2,Skovbrug!$A$58:$D$58,0),FALSE)/'[1]Processer - data'!I307,1)</f>
        <v>-562734.83669074124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drivhus",Landbrug!E$51,1-Landbrug!E$51),1)*IF($A307="Tømmerproduktion",VLOOKUP($F307,Skovbrug!$A$59:$D$60,MATCH(J$2,Skovbrug!$A$58:$D$58,0),FALSE)/'[1]Processer - data'!J307,1)</f>
        <v>-536712.41649694985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drivhus",Landbrug!C$51,1-Landbrug!C$51),1)*IF($A308="Tømmerproduktion",VLOOKUP($F308,Skovbrug!$A$59:$D$60,MATCH(H$2,Skovbrug!$A$58:$D$58,0),FALSE)/'[1]Processer - data'!H308,1)</f>
        <v>76677.061543462041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drivhus",Landbrug!D$51,1-Landbrug!D$51),1)*IF($A308="Tømmerproduktion",VLOOKUP($F308,Skovbrug!$A$59:$D$60,MATCH(I$2,Skovbrug!$A$58:$D$58,0),FALSE)/'[1]Processer - data'!I308,1)</f>
        <v>69223.719371501356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drivhus",Landbrug!E$51,1-Landbrug!E$51),1)*IF($A308="Tømmerproduktion",VLOOKUP($F308,Skovbrug!$A$59:$D$60,MATCH(J$2,Skovbrug!$A$58:$D$58,0),FALSE)/'[1]Processer - data'!J308,1)</f>
        <v>66022.622521952173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drivhus",Landbrug!C$51,1-Landbrug!C$51),1)*IF($A309="Tømmerproduktion",VLOOKUP($F309,Skovbrug!$A$59:$D$60,MATCH(H$2,Skovbrug!$A$58:$D$58,0),FALSE)/'[1]Processer - data'!H309,1)</f>
        <v>101446.37947259334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drivhus",Landbrug!D$51,1-Landbrug!D$51),1)*IF($A309="Tømmerproduktion",VLOOKUP($F309,Skovbrug!$A$59:$D$60,MATCH(I$2,Skovbrug!$A$58:$D$58,0),FALSE)/'[1]Processer - data'!I309,1)</f>
        <v>95925.644905560737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drivhus",Landbrug!E$51,1-Landbrug!E$51),1)*IF($A309="Tømmerproduktion",VLOOKUP($F309,Skovbrug!$A$59:$D$60,MATCH(J$2,Skovbrug!$A$58:$D$58,0),FALSE)/'[1]Processer - data'!J309,1)</f>
        <v>98146.682344222601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drivhus",Landbrug!C$51,1-Landbrug!C$51),1)*IF($A310="Tømmerproduktion",VLOOKUP($F310,Skovbrug!$A$59:$D$60,MATCH(H$2,Skovbrug!$A$58:$D$58,0),FALSE)/'[1]Processer - data'!H310,1)</f>
        <v>-162798.69607567054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drivhus",Landbrug!D$51,1-Landbrug!D$51),1)*IF($A310="Tømmerproduktion",VLOOKUP($F310,Skovbrug!$A$59:$D$60,MATCH(I$2,Skovbrug!$A$58:$D$58,0),FALSE)/'[1]Processer - data'!I310,1)</f>
        <v>-143599.95781110367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drivhus",Landbrug!E$51,1-Landbrug!E$51),1)*IF($A310="Tømmerproduktion",VLOOKUP($F310,Skovbrug!$A$59:$D$60,MATCH(J$2,Skovbrug!$A$58:$D$58,0),FALSE)/'[1]Processer - data'!J310,1)</f>
        <v>-136959.4973342896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drivhus",Landbrug!C$51,1-Landbrug!C$51),1)*IF($A311="Tømmerproduktion",VLOOKUP($F311,Skovbrug!$A$59:$D$60,MATCH(H$2,Skovbrug!$A$58:$D$58,0),FALSE)/'[1]Processer - data'!H311,1)</f>
        <v>66668.824451160137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drivhus",Landbrug!D$51,1-Landbrug!D$51),1)*IF($A311="Tømmerproduktion",VLOOKUP($F311,Skovbrug!$A$59:$D$60,MATCH(I$2,Skovbrug!$A$58:$D$58,0),FALSE)/'[1]Processer - data'!I311,1)</f>
        <v>58806.615834641227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drivhus",Landbrug!E$51,1-Landbrug!E$51),1)*IF($A311="Tømmerproduktion",VLOOKUP($F311,Skovbrug!$A$59:$D$60,MATCH(J$2,Skovbrug!$A$58:$D$58,0),FALSE)/'[1]Processer - data'!J311,1)</f>
        <v>56087.234755582664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drivhus",Landbrug!C$51,1-Landbrug!C$51),1)*IF($A312="Tømmerproduktion",VLOOKUP($F312,Skovbrug!$A$59:$D$60,MATCH(H$2,Skovbrug!$A$58:$D$58,0),FALSE)/'[1]Processer - data'!H312,1)</f>
        <v>690328.21436586988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drivhus",Landbrug!D$51,1-Landbrug!D$51),1)*IF($A312="Tømmerproduktion",VLOOKUP($F312,Skovbrug!$A$59:$D$60,MATCH(I$2,Skovbrug!$A$58:$D$58,0),FALSE)/'[1]Processer - data'!I312,1)</f>
        <v>872626.98358878167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drivhus",Landbrug!E$51,1-Landbrug!E$51),1)*IF($A312="Tømmerproduktion",VLOOKUP($F312,Skovbrug!$A$59:$D$60,MATCH(J$2,Skovbrug!$A$58:$D$58,0),FALSE)/'[1]Processer - data'!J312,1)</f>
        <v>1191681.9476790831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drivhus",Landbrug!C$51,1-Landbrug!C$51),1)*IF($A313="Tømmerproduktion",VLOOKUP($F313,Skovbrug!$A$59:$D$60,MATCH(H$2,Skovbrug!$A$58:$D$58,0),FALSE)/'[1]Processer - data'!H313,1)</f>
        <v>-2481521.3277586871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drivhus",Landbrug!D$51,1-Landbrug!D$51),1)*IF($A313="Tømmerproduktion",VLOOKUP($F313,Skovbrug!$A$59:$D$60,MATCH(I$2,Skovbrug!$A$58:$D$58,0),FALSE)/'[1]Processer - data'!I313,1)</f>
        <v>-2926147.6830253857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drivhus",Landbrug!E$51,1-Landbrug!E$51),1)*IF($A313="Tømmerproduktion",VLOOKUP($F313,Skovbrug!$A$59:$D$60,MATCH(J$2,Skovbrug!$A$58:$D$58,0),FALSE)/'[1]Processer - data'!J313,1)</f>
        <v>-3724988.2611363013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drivhus",Landbrug!C$51,1-Landbrug!C$51),1)*IF($A314="Tømmerproduktion",VLOOKUP($F314,Skovbrug!$A$59:$D$60,MATCH(H$2,Skovbrug!$A$58:$D$58,0),FALSE)/'[1]Processer - data'!H314,1)</f>
        <v>42486.604410541935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drivhus",Landbrug!D$51,1-Landbrug!D$51),1)*IF($A314="Tømmerproduktion",VLOOKUP($F314,Skovbrug!$A$59:$D$60,MATCH(I$2,Skovbrug!$A$58:$D$58,0),FALSE)/'[1]Processer - data'!I314,1)</f>
        <v>50099.13784130611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drivhus",Landbrug!E$51,1-Landbrug!E$51),1)*IF($A314="Tømmerproduktion",VLOOKUP($F314,Skovbrug!$A$59:$D$60,MATCH(J$2,Skovbrug!$A$58:$D$58,0),FALSE)/'[1]Processer - data'!J314,1)</f>
        <v>63776.241176920703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drivhus",Landbrug!C$51,1-Landbrug!C$51),1)*IF($A315="Tømmerproduktion",VLOOKUP($F315,Skovbrug!$A$59:$D$60,MATCH(H$2,Skovbrug!$A$58:$D$58,0),FALSE)/'[1]Processer - data'!H315,1)</f>
        <v>27178.642215577976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drivhus",Landbrug!D$51,1-Landbrug!D$51),1)*IF($A315="Tømmerproduktion",VLOOKUP($F315,Skovbrug!$A$59:$D$60,MATCH(I$2,Skovbrug!$A$58:$D$58,0),FALSE)/'[1]Processer - data'!I315,1)</f>
        <v>32106.26812403158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drivhus",Landbrug!E$51,1-Landbrug!E$51),1)*IF($A315="Tømmerproduktion",VLOOKUP($F315,Skovbrug!$A$59:$D$60,MATCH(J$2,Skovbrug!$A$58:$D$58,0),FALSE)/'[1]Processer - data'!J315,1)</f>
        <v>44647.501796305645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drivhus",Landbrug!C$51,1-Landbrug!C$51),1)*IF($A316="Tømmerproduktion",VLOOKUP($F316,Skovbrug!$A$59:$D$60,MATCH(H$2,Skovbrug!$A$58:$D$58,0),FALSE)/'[1]Processer - data'!H316,1)</f>
        <v>-66150.368606776319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drivhus",Landbrug!D$51,1-Landbrug!D$51),1)*IF($A316="Tømmerproduktion",VLOOKUP($F316,Skovbrug!$A$59:$D$60,MATCH(I$2,Skovbrug!$A$58:$D$58,0),FALSE)/'[1]Processer - data'!I316,1)</f>
        <v>-72895.30456785846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drivhus",Landbrug!E$51,1-Landbrug!E$51),1)*IF($A316="Tømmerproduktion",VLOOKUP($F316,Skovbrug!$A$59:$D$60,MATCH(J$2,Skovbrug!$A$58:$D$58,0),FALSE)/'[1]Processer - data'!J316,1)</f>
        <v>-94493.913328705385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drivhus",Landbrug!C$51,1-Landbrug!C$51),1)*IF($A317="Tømmerproduktion",VLOOKUP($F317,Skovbrug!$A$59:$D$60,MATCH(H$2,Skovbrug!$A$58:$D$58,0),FALSE)/'[1]Processer - data'!H317,1)</f>
        <v>9804.0451997782384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drivhus",Landbrug!D$51,1-Landbrug!D$51),1)*IF($A317="Tømmerproduktion",VLOOKUP($F317,Skovbrug!$A$59:$D$60,MATCH(I$2,Skovbrug!$A$58:$D$58,0),FALSE)/'[1]Processer - data'!I317,1)</f>
        <v>10803.701867228539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drivhus",Landbrug!E$51,1-Landbrug!E$51),1)*IF($A317="Tømmerproduktion",VLOOKUP($F317,Skovbrug!$A$59:$D$60,MATCH(J$2,Skovbrug!$A$58:$D$58,0),FALSE)/'[1]Processer - data'!J317,1)</f>
        <v>14004.798716777732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drivhus",Landbrug!C$51,1-Landbrug!C$51),1)*IF($A318="Tømmerproduktion",VLOOKUP($F318,Skovbrug!$A$59:$D$60,MATCH(H$2,Skovbrug!$A$58:$D$58,0),FALSE)/'[1]Processer - data'!H318,1)</f>
        <v>10766.002789318034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drivhus",Landbrug!D$51,1-Landbrug!D$51),1)*IF($A318="Tømmerproduktion",VLOOKUP($F318,Skovbrug!$A$59:$D$60,MATCH(I$2,Skovbrug!$A$58:$D$58,0),FALSE)/'[1]Processer - data'!I318,1)</f>
        <v>12425.97515799778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drivhus",Landbrug!E$51,1-Landbrug!E$51),1)*IF($A318="Tømmerproduktion",VLOOKUP($F318,Skovbrug!$A$59:$D$60,MATCH(J$2,Skovbrug!$A$58:$D$58,0),FALSE)/'[1]Processer - data'!J318,1)</f>
        <v>17279.764376361614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drivhus",Landbrug!C$51,1-Landbrug!C$51),1)*IF($A319="Tømmerproduktion",VLOOKUP($F319,Skovbrug!$A$59:$D$60,MATCH(H$2,Skovbrug!$A$58:$D$58,0),FALSE)/'[1]Processer - data'!H319,1)</f>
        <v>-17277.020877038922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drivhus",Landbrug!D$51,1-Landbrug!D$51),1)*IF($A319="Tømmerproduktion",VLOOKUP($F319,Skovbrug!$A$59:$D$60,MATCH(I$2,Skovbrug!$A$58:$D$58,0),FALSE)/'[1]Processer - data'!I319,1)</f>
        <v>-18601.589910675335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drivhus",Landbrug!E$51,1-Landbrug!E$51),1)*IF($A319="Tømmerproduktion",VLOOKUP($F319,Skovbrug!$A$59:$D$60,MATCH(J$2,Skovbrug!$A$58:$D$58,0),FALSE)/'[1]Processer - data'!J319,1)</f>
        <v>-24113.17210643099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drivhus",Landbrug!C$51,1-Landbrug!C$51),1)*IF($A320="Tømmerproduktion",VLOOKUP($F320,Skovbrug!$A$59:$D$60,MATCH(H$2,Skovbrug!$A$58:$D$58,0),FALSE)/'[1]Processer - data'!H320,1)</f>
        <v>8524.3768498453428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drivhus",Landbrug!D$51,1-Landbrug!D$51),1)*IF($A320="Tømmerproduktion",VLOOKUP($F320,Skovbrug!$A$59:$D$60,MATCH(I$2,Skovbrug!$A$58:$D$58,0),FALSE)/'[1]Processer - data'!I320,1)</f>
        <v>9177.9111418226184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drivhus",Landbrug!E$51,1-Landbrug!E$51),1)*IF($A320="Tømmerproduktion",VLOOKUP($F320,Skovbrug!$A$59:$D$60,MATCH(J$2,Skovbrug!$A$58:$D$58,0),FALSE)/'[1]Processer - data'!J320,1)</f>
        <v>11897.292220881171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drivhus",Landbrug!C$51,1-Landbrug!C$51),1)*IF($A321="Tømmerproduktion",VLOOKUP($F321,Skovbrug!$A$59:$D$60,MATCH(H$2,Skovbrug!$A$58:$D$58,0),FALSE)/'[1]Processer - data'!H321,1)</f>
        <v>437619.52462483628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drivhus",Landbrug!D$51,1-Landbrug!D$51),1)*IF($A321="Tømmerproduktion",VLOOKUP($F321,Skovbrug!$A$59:$D$60,MATCH(I$2,Skovbrug!$A$58:$D$58,0),FALSE)/'[1]Processer - data'!I321,1)</f>
        <v>453202.07225149294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drivhus",Landbrug!E$51,1-Landbrug!E$51),1)*IF($A321="Tømmerproduktion",VLOOKUP($F321,Skovbrug!$A$59:$D$60,MATCH(J$2,Skovbrug!$A$58:$D$58,0),FALSE)/'[1]Processer - data'!J321,1)</f>
        <v>455362.4028663577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drivhus",Landbrug!C$51,1-Landbrug!C$51),1)*IF($A322="Tømmerproduktion",VLOOKUP($F322,Skovbrug!$A$59:$D$60,MATCH(H$2,Skovbrug!$A$58:$D$58,0),FALSE)/'[1]Processer - data'!H322,1)</f>
        <v>233734.77619974819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drivhus",Landbrug!D$51,1-Landbrug!D$51),1)*IF($A322="Tømmerproduktion",VLOOKUP($F322,Skovbrug!$A$59:$D$60,MATCH(I$2,Skovbrug!$A$58:$D$58,0),FALSE)/'[1]Processer - data'!I322,1)</f>
        <v>224487.22049024503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drivhus",Landbrug!E$51,1-Landbrug!E$51),1)*IF($A322="Tømmerproduktion",VLOOKUP($F322,Skovbrug!$A$59:$D$60,MATCH(J$2,Skovbrug!$A$58:$D$58,0),FALSE)/'[1]Processer - data'!J322,1)</f>
        <v>210258.63993220514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drivhus",Landbrug!C$51,1-Landbrug!C$51),1)*IF($A323="Tømmerproduktion",VLOOKUP($F323,Skovbrug!$A$59:$D$60,MATCH(H$2,Skovbrug!$A$58:$D$58,0),FALSE)/'[1]Processer - data'!H323,1)</f>
        <v>-17405322.002124168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drivhus",Landbrug!D$51,1-Landbrug!D$51),1)*IF($A323="Tømmerproduktion",VLOOKUP($F323,Skovbrug!$A$59:$D$60,MATCH(I$2,Skovbrug!$A$58:$D$58,0),FALSE)/'[1]Processer - data'!I323,1)</f>
        <v>-16814442.555124499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drivhus",Landbrug!E$51,1-Landbrug!E$51),1)*IF($A323="Tømmerproduktion",VLOOKUP($F323,Skovbrug!$A$59:$D$60,MATCH(J$2,Skovbrug!$A$58:$D$58,0),FALSE)/'[1]Processer - data'!J323,1)</f>
        <v>-15748699.703876009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drivhus",Landbrug!C$51,1-Landbrug!C$51),1)*IF($A324="Tømmerproduktion",VLOOKUP($F324,Skovbrug!$A$59:$D$60,MATCH(H$2,Skovbrug!$A$58:$D$58,0),FALSE)/'[1]Processer - data'!H324,1)</f>
        <v>226139.32914571706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drivhus",Landbrug!D$51,1-Landbrug!D$51),1)*IF($A324="Tømmerproduktion",VLOOKUP($F324,Skovbrug!$A$59:$D$60,MATCH(I$2,Skovbrug!$A$58:$D$58,0),FALSE)/'[1]Processer - data'!I324,1)</f>
        <v>218462.30474282522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drivhus",Landbrug!E$51,1-Landbrug!E$51),1)*IF($A324="Tømmerproduktion",VLOOKUP($F324,Skovbrug!$A$59:$D$60,MATCH(J$2,Skovbrug!$A$58:$D$58,0),FALSE)/'[1]Processer - data'!J324,1)</f>
        <v>204615.59892527328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drivhus",Landbrug!C$51,1-Landbrug!C$51),1)*IF($A325="Tømmerproduktion",VLOOKUP($F325,Skovbrug!$A$59:$D$60,MATCH(H$2,Skovbrug!$A$58:$D$58,0),FALSE)/'[1]Processer - data'!H325,1)</f>
        <v>10970.76631747676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drivhus",Landbrug!D$51,1-Landbrug!D$51),1)*IF($A325="Tømmerproduktion",VLOOKUP($F325,Skovbrug!$A$59:$D$60,MATCH(I$2,Skovbrug!$A$58:$D$58,0),FALSE)/'[1]Processer - data'!I325,1)</f>
        <v>10617.474305626194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drivhus",Landbrug!E$51,1-Landbrug!E$51),1)*IF($A325="Tømmerproduktion",VLOOKUP($F325,Skovbrug!$A$59:$D$60,MATCH(J$2,Skovbrug!$A$58:$D$58,0),FALSE)/'[1]Processer - data'!J325,1)</f>
        <v>10863.308544843896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drivhus",Landbrug!C$51,1-Landbrug!C$51),1)*IF($A326="Tømmerproduktion",VLOOKUP($F326,Skovbrug!$A$59:$D$60,MATCH(H$2,Skovbrug!$A$58:$D$58,0),FALSE)/'[1]Processer - data'!H326,1)</f>
        <v>5859.5411439959262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drivhus",Landbrug!D$51,1-Landbrug!D$51),1)*IF($A326="Tømmerproduktion",VLOOKUP($F326,Skovbrug!$A$59:$D$60,MATCH(I$2,Skovbrug!$A$58:$D$58,0),FALSE)/'[1]Processer - data'!I326,1)</f>
        <v>5259.2153510144653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drivhus",Landbrug!E$51,1-Landbrug!E$51),1)*IF($A326="Tømmerproduktion",VLOOKUP($F326,Skovbrug!$A$59:$D$60,MATCH(J$2,Skovbrug!$A$58:$D$58,0),FALSE)/'[1]Processer - data'!J326,1)</f>
        <v>5016.0146411409642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drivhus",Landbrug!C$51,1-Landbrug!C$51),1)*IF($A327="Tømmerproduktion",VLOOKUP($F327,Skovbrug!$A$59:$D$60,MATCH(H$2,Skovbrug!$A$58:$D$58,0),FALSE)/'[1]Processer - data'!H327,1)</f>
        <v>-301280.51440040348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drivhus",Landbrug!D$51,1-Landbrug!D$51),1)*IF($A327="Tømmerproduktion",VLOOKUP($F327,Skovbrug!$A$59:$D$60,MATCH(I$2,Skovbrug!$A$58:$D$58,0),FALSE)/'[1]Processer - data'!I327,1)</f>
        <v>-271994.74472732184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drivhus",Landbrug!E$51,1-Landbrug!E$51),1)*IF($A327="Tømmerproduktion",VLOOKUP($F327,Skovbrug!$A$59:$D$60,MATCH(J$2,Skovbrug!$A$58:$D$58,0),FALSE)/'[1]Processer - data'!J327,1)</f>
        <v>-259416.95306363062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drivhus",Landbrug!C$51,1-Landbrug!C$51),1)*IF($A328="Tømmerproduktion",VLOOKUP($F328,Skovbrug!$A$59:$D$60,MATCH(H$2,Skovbrug!$A$58:$D$58,0),FALSE)/'[1]Processer - data'!H328,1)</f>
        <v>33227.489001172784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drivhus",Landbrug!D$51,1-Landbrug!D$51),1)*IF($A328="Tømmerproduktion",VLOOKUP($F328,Skovbrug!$A$59:$D$60,MATCH(I$2,Skovbrug!$A$58:$D$58,0),FALSE)/'[1]Processer - data'!I328,1)</f>
        <v>29997.63329132109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drivhus",Landbrug!E$51,1-Landbrug!E$51),1)*IF($A328="Tømmerproduktion",VLOOKUP($F328,Skovbrug!$A$59:$D$60,MATCH(J$2,Skovbrug!$A$58:$D$58,0),FALSE)/'[1]Processer - data'!J328,1)</f>
        <v>28610.459497502768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drivhus",Landbrug!C$51,1-Landbrug!C$51),1)*IF($A329="Tømmerproduktion",VLOOKUP($F329,Skovbrug!$A$59:$D$60,MATCH(H$2,Skovbrug!$A$58:$D$58,0),FALSE)/'[1]Processer - data'!H329,1)</f>
        <v>5255.5335283396789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drivhus",Landbrug!D$51,1-Landbrug!D$51),1)*IF($A329="Tømmerproduktion",VLOOKUP($F329,Skovbrug!$A$59:$D$60,MATCH(I$2,Skovbrug!$A$58:$D$58,0),FALSE)/'[1]Processer - data'!I329,1)</f>
        <v>4969.5262231115803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drivhus",Landbrug!E$51,1-Landbrug!E$51),1)*IF($A329="Tømmerproduktion",VLOOKUP($F329,Skovbrug!$A$59:$D$60,MATCH(J$2,Skovbrug!$A$58:$D$58,0),FALSE)/'[1]Processer - data'!J329,1)</f>
        <v>5084.5893410589151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drivhus",Landbrug!C$51,1-Landbrug!C$51),1)*IF($A330="Tømmerproduktion",VLOOKUP($F330,Skovbrug!$A$59:$D$60,MATCH(H$2,Skovbrug!$A$58:$D$58,0),FALSE)/'[1]Processer - data'!H330,1)</f>
        <v>2807.0067351538642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drivhus",Landbrug!D$51,1-Landbrug!D$51),1)*IF($A330="Tømmerproduktion",VLOOKUP($F330,Skovbrug!$A$59:$D$60,MATCH(I$2,Skovbrug!$A$58:$D$58,0),FALSE)/'[1]Processer - data'!I330,1)</f>
        <v>2461.5843511867993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drivhus",Landbrug!E$51,1-Landbrug!E$51),1)*IF($A330="Tømmerproduktion",VLOOKUP($F330,Skovbrug!$A$59:$D$60,MATCH(J$2,Skovbrug!$A$58:$D$58,0),FALSE)/'[1]Processer - data'!J330,1)</f>
        <v>2347.7538609585076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drivhus",Landbrug!C$51,1-Landbrug!C$51),1)*IF($A331="Tømmerproduktion",VLOOKUP($F331,Skovbrug!$A$59:$D$60,MATCH(H$2,Skovbrug!$A$58:$D$58,0),FALSE)/'[1]Processer - data'!H331,1)</f>
        <v>-98114.66814270505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drivhus",Landbrug!D$51,1-Landbrug!D$51),1)*IF($A331="Tømmerproduktion",VLOOKUP($F331,Skovbrug!$A$59:$D$60,MATCH(I$2,Skovbrug!$A$58:$D$58,0),FALSE)/'[1]Processer - data'!I331,1)</f>
        <v>-86544.072806295982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drivhus",Landbrug!E$51,1-Landbrug!E$51),1)*IF($A331="Tømmerproduktion",VLOOKUP($F331,Skovbrug!$A$59:$D$60,MATCH(J$2,Skovbrug!$A$58:$D$58,0),FALSE)/'[1]Processer - data'!J331,1)</f>
        <v>-82542.034757449932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drivhus",Landbrug!C$51,1-Landbrug!C$51),1)*IF($A332="Tømmerproduktion",VLOOKUP($F332,Skovbrug!$A$59:$D$60,MATCH(H$2,Skovbrug!$A$58:$D$58,0),FALSE)/'[1]Processer - data'!H332,1)</f>
        <v>34938.799154324508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drivhus",Landbrug!D$51,1-Landbrug!D$51),1)*IF($A332="Tømmerproduktion",VLOOKUP($F332,Skovbrug!$A$59:$D$60,MATCH(I$2,Skovbrug!$A$58:$D$58,0),FALSE)/'[1]Processer - data'!I332,1)</f>
        <v>30818.490598963846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drivhus",Landbrug!E$51,1-Landbrug!E$51),1)*IF($A332="Tømmerproduktion",VLOOKUP($F332,Skovbrug!$A$59:$D$60,MATCH(J$2,Skovbrug!$A$58:$D$58,0),FALSE)/'[1]Processer - data'!J332,1)</f>
        <v>29393.358085716962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drivhus",Landbrug!C$51,1-Landbrug!C$51),1)*IF($A333="Tømmerproduktion",VLOOKUP($F333,Skovbrug!$A$59:$D$60,MATCH(H$2,Skovbrug!$A$58:$D$58,0),FALSE)/'[1]Processer - data'!H333,1)</f>
        <v>30775.08230427558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drivhus",Landbrug!D$51,1-Landbrug!D$51),1)*IF($A333="Tømmerproduktion",VLOOKUP($F333,Skovbrug!$A$59:$D$60,MATCH(I$2,Skovbrug!$A$58:$D$58,0),FALSE)/'[1]Processer - data'!I333,1)</f>
        <v>38902.027589217752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drivhus",Landbrug!E$51,1-Landbrug!E$51),1)*IF($A333="Tømmerproduktion",VLOOKUP($F333,Skovbrug!$A$59:$D$60,MATCH(J$2,Skovbrug!$A$58:$D$58,0),FALSE)/'[1]Processer - data'!J333,1)</f>
        <v>53125.613667741745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drivhus",Landbrug!C$51,1-Landbrug!C$51),1)*IF($A334="Tømmerproduktion",VLOOKUP($F334,Skovbrug!$A$59:$D$60,MATCH(H$2,Skovbrug!$A$58:$D$58,0),FALSE)/'[1]Processer - data'!H334,1)</f>
        <v>16437.125334125107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drivhus",Landbrug!D$51,1-Landbrug!D$51),1)*IF($A334="Tømmerproduktion",VLOOKUP($F334,Skovbrug!$A$59:$D$60,MATCH(I$2,Skovbrug!$A$58:$D$58,0),FALSE)/'[1]Processer - data'!I334,1)</f>
        <v>19269.567770405429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drivhus",Landbrug!E$51,1-Landbrug!E$51),1)*IF($A334="Tømmerproduktion",VLOOKUP($F334,Skovbrug!$A$59:$D$60,MATCH(J$2,Skovbrug!$A$58:$D$58,0),FALSE)/'[1]Processer - data'!J334,1)</f>
        <v>24530.174658757271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drivhus",Landbrug!C$51,1-Landbrug!C$51),1)*IF($A335="Tømmerproduktion",VLOOKUP($F335,Skovbrug!$A$59:$D$60,MATCH(H$2,Skovbrug!$A$58:$D$58,0),FALSE)/'[1]Processer - data'!H335,1)</f>
        <v>-1224008.9552836879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drivhus",Landbrug!D$51,1-Landbrug!D$51),1)*IF($A335="Tømmerproduktion",VLOOKUP($F335,Skovbrug!$A$59:$D$60,MATCH(I$2,Skovbrug!$A$58:$D$58,0),FALSE)/'[1]Processer - data'!I335,1)</f>
        <v>-1443320.647072826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drivhus",Landbrug!E$51,1-Landbrug!E$51),1)*IF($A335="Tømmerproduktion",VLOOKUP($F335,Skovbrug!$A$59:$D$60,MATCH(J$2,Skovbrug!$A$58:$D$58,0),FALSE)/'[1]Processer - data'!J335,1)</f>
        <v>-1837348.2987855349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drivhus",Landbrug!C$51,1-Landbrug!C$51),1)*IF($A336="Tømmerproduktion",VLOOKUP($F336,Skovbrug!$A$59:$D$60,MATCH(H$2,Skovbrug!$A$58:$D$58,0),FALSE)/'[1]Processer - data'!H336,1)</f>
        <v>28914.517063691259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drivhus",Landbrug!D$51,1-Landbrug!D$51),1)*IF($A336="Tømmerproduktion",VLOOKUP($F336,Skovbrug!$A$59:$D$60,MATCH(I$2,Skovbrug!$A$58:$D$58,0),FALSE)/'[1]Processer - data'!I336,1)</f>
        <v>34095.272994544983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drivhus",Landbrug!E$51,1-Landbrug!E$51),1)*IF($A336="Tømmerproduktion",VLOOKUP($F336,Skovbrug!$A$59:$D$60,MATCH(J$2,Skovbrug!$A$58:$D$58,0),FALSE)/'[1]Processer - data'!J336,1)</f>
        <v>43403.308862936763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drivhus",Landbrug!C$51,1-Landbrug!C$51),1)*IF($A337="Tømmerproduktion",VLOOKUP($F337,Skovbrug!$A$59:$D$60,MATCH(H$2,Skovbrug!$A$58:$D$58,0),FALSE)/'[1]Processer - data'!H337,1)</f>
        <v>771.50633681338331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drivhus",Landbrug!D$51,1-Landbrug!D$51),1)*IF($A337="Tømmerproduktion",VLOOKUP($F337,Skovbrug!$A$59:$D$60,MATCH(I$2,Skovbrug!$A$58:$D$58,0),FALSE)/'[1]Processer - data'!I337,1)</f>
        <v>911.38435513612126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drivhus",Landbrug!E$51,1-Landbrug!E$51),1)*IF($A337="Tømmerproduktion",VLOOKUP($F337,Skovbrug!$A$59:$D$60,MATCH(J$2,Skovbrug!$A$58:$D$58,0),FALSE)/'[1]Processer - data'!J337,1)</f>
        <v>1267.385996898455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drivhus",Landbrug!C$51,1-Landbrug!C$51),1)*IF($A338="Tømmerproduktion",VLOOKUP($F338,Skovbrug!$A$59:$D$60,MATCH(H$2,Skovbrug!$A$58:$D$58,0),FALSE)/'[1]Processer - data'!H338,1)</f>
        <v>412.06539202371204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drivhus",Landbrug!D$51,1-Landbrug!D$51),1)*IF($A338="Tømmerproduktion",VLOOKUP($F338,Skovbrug!$A$59:$D$60,MATCH(I$2,Skovbrug!$A$58:$D$58,0),FALSE)/'[1]Processer - data'!I338,1)</f>
        <v>451.44131770268683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drivhus",Landbrug!E$51,1-Landbrug!E$51),1)*IF($A338="Tømmerproduktion",VLOOKUP($F338,Skovbrug!$A$59:$D$60,MATCH(J$2,Skovbrug!$A$58:$D$58,0),FALSE)/'[1]Processer - data'!J338,1)</f>
        <v>585.20170813311256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drivhus",Landbrug!C$51,1-Landbrug!C$51),1)*IF($A339="Tømmerproduktion",VLOOKUP($F339,Skovbrug!$A$59:$D$60,MATCH(H$2,Skovbrug!$A$58:$D$58,0),FALSE)/'[1]Processer - data'!H339,1)</f>
        <v>-21187.200537488741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drivhus",Landbrug!D$51,1-Landbrug!D$51),1)*IF($A339="Tømmerproduktion",VLOOKUP($F339,Skovbrug!$A$59:$D$60,MATCH(I$2,Skovbrug!$A$58:$D$58,0),FALSE)/'[1]Processer - data'!I339,1)</f>
        <v>-23347.525775726757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drivhus",Landbrug!E$51,1-Landbrug!E$51),1)*IF($A339="Tømmerproduktion",VLOOKUP($F339,Skovbrug!$A$59:$D$60,MATCH(J$2,Skovbrug!$A$58:$D$58,0),FALSE)/'[1]Processer - data'!J339,1)</f>
        <v>-30265.311190756907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drivhus",Landbrug!C$51,1-Landbrug!C$51),1)*IF($A340="Tømmerproduktion",VLOOKUP($F340,Skovbrug!$A$59:$D$60,MATCH(H$2,Skovbrug!$A$58:$D$58,0),FALSE)/'[1]Processer - data'!H340,1)</f>
        <v>4248.5170595378513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drivhus",Landbrug!D$51,1-Landbrug!D$51),1)*IF($A340="Tømmerproduktion",VLOOKUP($F340,Skovbrug!$A$59:$D$60,MATCH(I$2,Skovbrug!$A$58:$D$58,0),FALSE)/'[1]Processer - data'!I340,1)</f>
        <v>4681.7115541368175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drivhus",Landbrug!E$51,1-Landbrug!E$51),1)*IF($A340="Tømmerproduktion",VLOOKUP($F340,Skovbrug!$A$59:$D$60,MATCH(J$2,Skovbrug!$A$58:$D$58,0),FALSE)/'[1]Processer - data'!J340,1)</f>
        <v>6068.8853479551335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drivhus",Landbrug!C$51,1-Landbrug!C$51),1)*IF($A341="Tømmerproduktion",VLOOKUP($F341,Skovbrug!$A$59:$D$60,MATCH(H$2,Skovbrug!$A$58:$D$58,0),FALSE)/'[1]Processer - data'!H341,1)</f>
        <v>369.58926141650096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drivhus",Landbrug!D$51,1-Landbrug!D$51),1)*IF($A341="Tømmerproduktion",VLOOKUP($F341,Skovbrug!$A$59:$D$60,MATCH(I$2,Skovbrug!$A$58:$D$58,0),FALSE)/'[1]Processer - data'!I341,1)</f>
        <v>426.57493880466461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drivhus",Landbrug!E$51,1-Landbrug!E$51),1)*IF($A341="Tømmerproduktion",VLOOKUP($F341,Skovbrug!$A$59:$D$60,MATCH(J$2,Skovbrug!$A$58:$D$58,0),FALSE)/'[1]Processer - data'!J341,1)</f>
        <v>593.20208979020674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drivhus",Landbrug!C$51,1-Landbrug!C$51),1)*IF($A342="Tømmerproduktion",VLOOKUP($F342,Skovbrug!$A$59:$D$60,MATCH(H$2,Skovbrug!$A$58:$D$58,0),FALSE)/'[1]Processer - data'!H342,1)</f>
        <v>197.39947246886021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drivhus",Landbrug!D$51,1-Landbrug!D$51),1)*IF($A342="Tømmerproduktion",VLOOKUP($F342,Skovbrug!$A$59:$D$60,MATCH(I$2,Skovbrug!$A$58:$D$58,0),FALSE)/'[1]Processer - data'!I342,1)</f>
        <v>211.29784748626571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drivhus",Landbrug!E$51,1-Landbrug!E$51),1)*IF($A342="Tømmerproduktion",VLOOKUP($F342,Skovbrug!$A$59:$D$60,MATCH(J$2,Skovbrug!$A$58:$D$58,0),FALSE)/'[1]Processer - data'!J342,1)</f>
        <v>273.90461711182587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drivhus",Landbrug!C$51,1-Landbrug!C$51),1)*IF($A343="Tømmerproduktion",VLOOKUP($F343,Skovbrug!$A$59:$D$60,MATCH(H$2,Skovbrug!$A$58:$D$58,0),FALSE)/'[1]Processer - data'!H343,1)</f>
        <v>-6899.7995231976638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drivhus",Landbrug!D$51,1-Landbrug!D$51),1)*IF($A343="Tømmerproduktion",VLOOKUP($F343,Skovbrug!$A$59:$D$60,MATCH(I$2,Skovbrug!$A$58:$D$58,0),FALSE)/'[1]Processer - data'!I343,1)</f>
        <v>-7428.7831281704948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drivhus",Landbrug!E$51,1-Landbrug!E$51),1)*IF($A343="Tømmerproduktion",VLOOKUP($F343,Skovbrug!$A$59:$D$60,MATCH(J$2,Skovbrug!$A$58:$D$58,0),FALSE)/'[1]Processer - data'!J343,1)</f>
        <v>-9629.9040550358241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drivhus",Landbrug!C$51,1-Landbrug!C$51),1)*IF($A344="Tømmerproduktion",VLOOKUP($F344,Skovbrug!$A$59:$D$60,MATCH(H$2,Skovbrug!$A$58:$D$58,0),FALSE)/'[1]Processer - data'!H344,1)</f>
        <v>4467.3277671290516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drivhus",Landbrug!D$51,1-Landbrug!D$51),1)*IF($A344="Tømmerproduktion",VLOOKUP($F344,Skovbrug!$A$59:$D$60,MATCH(I$2,Skovbrug!$A$58:$D$58,0),FALSE)/'[1]Processer - data'!I344,1)</f>
        <v>4809.8222322082302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drivhus",Landbrug!E$51,1-Landbrug!E$51),1)*IF($A344="Tømmerproduktion",VLOOKUP($F344,Skovbrug!$A$59:$D$60,MATCH(J$2,Skovbrug!$A$58:$D$58,0),FALSE)/'[1]Processer - data'!J344,1)</f>
        <v>6234.9547454551121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drivhus",Landbrug!C$51,1-Landbrug!C$51),1)*IF($A345="Tømmerproduktion",VLOOKUP($F345,Skovbrug!$A$59:$D$60,MATCH(H$2,Skovbrug!$A$58:$D$58,0),FALSE)/'[1]Processer - data'!H345,1)</f>
        <v>713868.47629670356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drivhus",Landbrug!D$51,1-Landbrug!D$51),1)*IF($A345="Tømmerproduktion",VLOOKUP($F345,Skovbrug!$A$59:$D$60,MATCH(I$2,Skovbrug!$A$58:$D$58,0),FALSE)/'[1]Processer - data'!I345,1)</f>
        <v>739287.56503731327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drivhus",Landbrug!E$51,1-Landbrug!E$51),1)*IF($A345="Tømmerproduktion",VLOOKUP($F345,Skovbrug!$A$59:$D$60,MATCH(J$2,Skovbrug!$A$58:$D$58,0),FALSE)/'[1]Processer - data'!J345,1)</f>
        <v>742811.6123833562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drivhus",Landbrug!C$51,1-Landbrug!C$51),1)*IF($A346="Tømmerproduktion",VLOOKUP($F346,Skovbrug!$A$59:$D$60,MATCH(H$2,Skovbrug!$A$58:$D$58,0),FALSE)/'[1]Processer - data'!H346,1)</f>
        <v>118594.54840773206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drivhus",Landbrug!D$51,1-Landbrug!D$51),1)*IF($A346="Tømmerproduktion",VLOOKUP($F346,Skovbrug!$A$59:$D$60,MATCH(I$2,Skovbrug!$A$58:$D$58,0),FALSE)/'[1]Processer - data'!I346,1)</f>
        <v>113902.43664295714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drivhus",Landbrug!E$51,1-Landbrug!E$51),1)*IF($A346="Tømmerproduktion",VLOOKUP($F346,Skovbrug!$A$59:$D$60,MATCH(J$2,Skovbrug!$A$58:$D$58,0),FALSE)/'[1]Processer - data'!J346,1)</f>
        <v>106683.0056571217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drivhus",Landbrug!C$51,1-Landbrug!C$51),1)*IF($A347="Tømmerproduktion",VLOOKUP($F347,Skovbrug!$A$59:$D$60,MATCH(H$2,Skovbrug!$A$58:$D$58,0),FALSE)/'[1]Processer - data'!H347,1)</f>
        <v>-7493968.4308534022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drivhus",Landbrug!D$51,1-Landbrug!D$51),1)*IF($A347="Tømmerproduktion",VLOOKUP($F347,Skovbrug!$A$59:$D$60,MATCH(I$2,Skovbrug!$A$58:$D$58,0),FALSE)/'[1]Processer - data'!I347,1)</f>
        <v>-7239561.6510354122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drivhus",Landbrug!E$51,1-Landbrug!E$51),1)*IF($A347="Tømmerproduktion",VLOOKUP($F347,Skovbrug!$A$59:$D$60,MATCH(J$2,Skovbrug!$A$58:$D$58,0),FALSE)/'[1]Processer - data'!J347,1)</f>
        <v>-6780699.512105193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drivhus",Landbrug!C$51,1-Landbrug!C$51),1)*IF($A348="Tømmerproduktion",VLOOKUP($F348,Skovbrug!$A$59:$D$60,MATCH(H$2,Skovbrug!$A$58:$D$58,0),FALSE)/'[1]Processer - data'!H348,1)</f>
        <v>113593.29207563492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drivhus",Landbrug!D$51,1-Landbrug!D$51),1)*IF($A348="Tømmerproduktion",VLOOKUP($F348,Skovbrug!$A$59:$D$60,MATCH(I$2,Skovbrug!$A$58:$D$58,0),FALSE)/'[1]Processer - data'!I348,1)</f>
        <v>109737.00366015306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drivhus",Landbrug!E$51,1-Landbrug!E$51),1)*IF($A348="Tømmerproduktion",VLOOKUP($F348,Skovbrug!$A$59:$D$60,MATCH(J$2,Skovbrug!$A$58:$D$58,0),FALSE)/'[1]Processer - data'!J348,1)</f>
        <v>102781.58858856659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drivhus",Landbrug!C$51,1-Landbrug!C$51),1)*IF($A349="Tømmerproduktion",VLOOKUP($F349,Skovbrug!$A$59:$D$60,MATCH(H$2,Skovbrug!$A$58:$D$58,0),FALSE)/'[1]Processer - data'!H349,1)</f>
        <v>61141.787199729049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drivhus",Landbrug!D$51,1-Landbrug!D$51),1)*IF($A349="Tømmerproduktion",VLOOKUP($F349,Skovbrug!$A$59:$D$60,MATCH(I$2,Skovbrug!$A$58:$D$58,0),FALSE)/'[1]Processer - data'!I349,1)</f>
        <v>59172.835862800064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drivhus",Landbrug!E$51,1-Landbrug!E$51),1)*IF($A349="Tømmerproduktion",VLOOKUP($F349,Skovbrug!$A$59:$D$60,MATCH(J$2,Skovbrug!$A$58:$D$58,0),FALSE)/'[1]Processer - data'!J349,1)</f>
        <v>60542.90831769428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drivhus",Landbrug!C$51,1-Landbrug!C$51),1)*IF($A350="Tømmerproduktion",VLOOKUP($F350,Skovbrug!$A$59:$D$60,MATCH(H$2,Skovbrug!$A$58:$D$58,0),FALSE)/'[1]Processer - data'!H350,1)</f>
        <v>10157.449001543764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drivhus",Landbrug!D$51,1-Landbrug!D$51),1)*IF($A350="Tømmerproduktion",VLOOKUP($F350,Skovbrug!$A$59:$D$60,MATCH(I$2,Skovbrug!$A$58:$D$58,0),FALSE)/'[1]Processer - data'!I350,1)</f>
        <v>9116.79095739492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drivhus",Landbrug!E$51,1-Landbrug!E$51),1)*IF($A350="Tømmerproduktion",VLOOKUP($F350,Skovbrug!$A$59:$D$60,MATCH(J$2,Skovbrug!$A$58:$D$58,0),FALSE)/'[1]Processer - data'!J350,1)</f>
        <v>8695.2052483824373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drivhus",Landbrug!C$51,1-Landbrug!C$51),1)*IF($A351="Tømmerproduktion",VLOOKUP($F351,Skovbrug!$A$59:$D$60,MATCH(H$2,Skovbrug!$A$58:$D$58,0),FALSE)/'[1]Processer - data'!H351,1)</f>
        <v>-481385.54750765581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drivhus",Landbrug!D$51,1-Landbrug!D$51),1)*IF($A351="Tømmerproduktion",VLOOKUP($F351,Skovbrug!$A$59:$D$60,MATCH(I$2,Skovbrug!$A$58:$D$58,0),FALSE)/'[1]Processer - data'!I351,1)</f>
        <v>-434592.78928259684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drivhus",Landbrug!E$51,1-Landbrug!E$51),1)*IF($A351="Tømmerproduktion",VLOOKUP($F351,Skovbrug!$A$59:$D$60,MATCH(J$2,Skovbrug!$A$58:$D$58,0),FALSE)/'[1]Processer - data'!J351,1)</f>
        <v>-414496.01289958658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drivhus",Landbrug!C$51,1-Landbrug!C$51),1)*IF($A352="Tømmerproduktion",VLOOKUP($F352,Skovbrug!$A$59:$D$60,MATCH(H$2,Skovbrug!$A$58:$D$58,0),FALSE)/'[1]Processer - data'!H352,1)</f>
        <v>57023.485545682102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drivhus",Landbrug!D$51,1-Landbrug!D$51),1)*IF($A352="Tømmerproduktion",VLOOKUP($F352,Skovbrug!$A$59:$D$60,MATCH(I$2,Skovbrug!$A$58:$D$58,0),FALSE)/'[1]Processer - data'!I352,1)</f>
        <v>51480.556003854072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drivhus",Landbrug!E$51,1-Landbrug!E$51),1)*IF($A352="Tømmerproduktion",VLOOKUP($F352,Skovbrug!$A$59:$D$60,MATCH(J$2,Skovbrug!$A$58:$D$58,0),FALSE)/'[1]Processer - data'!J352,1)</f>
        <v>49099.952258011108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drivhus",Landbrug!C$51,1-Landbrug!C$51),1)*IF($A353="Tømmerproduktion",VLOOKUP($F353,Skovbrug!$A$59:$D$60,MATCH(H$2,Skovbrug!$A$58:$D$58,0),FALSE)/'[1]Processer - data'!H353,1)</f>
        <v>52515.612858242159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drivhus",Landbrug!D$51,1-Landbrug!D$51),1)*IF($A353="Tømmerproduktion",VLOOKUP($F353,Skovbrug!$A$59:$D$60,MATCH(I$2,Skovbrug!$A$58:$D$58,0),FALSE)/'[1]Processer - data'!I353,1)</f>
        <v>49657.701509185827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drivhus",Landbrug!E$51,1-Landbrug!E$51),1)*IF($A353="Tømmerproduktion",VLOOKUP($F353,Skovbrug!$A$59:$D$60,MATCH(J$2,Skovbrug!$A$58:$D$58,0),FALSE)/'[1]Processer - data'!J353,1)</f>
        <v>50807.463017470509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drivhus",Landbrug!C$51,1-Landbrug!C$51),1)*IF($A354="Tømmerproduktion",VLOOKUP($F354,Skovbrug!$A$59:$D$60,MATCH(H$2,Skovbrug!$A$58:$D$58,0),FALSE)/'[1]Processer - data'!H354,1)</f>
        <v>8724.3877521914255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drivhus",Landbrug!D$51,1-Landbrug!D$51),1)*IF($A354="Tømmerproduktion",VLOOKUP($F354,Skovbrug!$A$59:$D$60,MATCH(I$2,Skovbrug!$A$58:$D$58,0),FALSE)/'[1]Processer - data'!I354,1)</f>
        <v>7650.7890399853277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drivhus",Landbrug!E$51,1-Landbrug!E$51),1)*IF($A354="Tømmerproduktion",VLOOKUP($F354,Skovbrug!$A$59:$D$60,MATCH(J$2,Skovbrug!$A$58:$D$58,0),FALSE)/'[1]Processer - data'!J354,1)</f>
        <v>7296.995327153636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drivhus",Landbrug!C$51,1-Landbrug!C$51),1)*IF($A355="Tømmerproduktion",VLOOKUP($F355,Skovbrug!$A$59:$D$60,MATCH(H$2,Skovbrug!$A$58:$D$58,0),FALSE)/'[1]Processer - data'!H355,1)</f>
        <v>-315024.29205221619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drivhus",Landbrug!D$51,1-Landbrug!D$51),1)*IF($A355="Tømmerproduktion",VLOOKUP($F355,Skovbrug!$A$59:$D$60,MATCH(I$2,Skovbrug!$A$58:$D$58,0),FALSE)/'[1]Processer - data'!I355,1)</f>
        <v>-277873.69394619839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drivhus",Landbrug!E$51,1-Landbrug!E$51),1)*IF($A355="Tømmerproduktion",VLOOKUP($F355,Skovbrug!$A$59:$D$60,MATCH(J$2,Skovbrug!$A$58:$D$58,0),FALSE)/'[1]Processer - data'!J355,1)</f>
        <v>-265024.04335909092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drivhus",Landbrug!C$51,1-Landbrug!C$51),1)*IF($A356="Tømmerproduktion",VLOOKUP($F356,Skovbrug!$A$59:$D$60,MATCH(H$2,Skovbrug!$A$58:$D$58,0),FALSE)/'[1]Processer - data'!H356,1)</f>
        <v>107506.48772046529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drivhus",Landbrug!D$51,1-Landbrug!D$51),1)*IF($A356="Tømmerproduktion",VLOOKUP($F356,Skovbrug!$A$59:$D$60,MATCH(I$2,Skovbrug!$A$58:$D$58,0),FALSE)/'[1]Processer - data'!I356,1)</f>
        <v>94828.321560407567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drivhus",Landbrug!E$51,1-Landbrug!E$51),1)*IF($A356="Tømmerproduktion",VLOOKUP($F356,Skovbrug!$A$59:$D$60,MATCH(J$2,Skovbrug!$A$58:$D$58,0),FALSE)/'[1]Processer - data'!J356,1)</f>
        <v>90443.196863972538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drivhus",Landbrug!C$51,1-Landbrug!C$51),1)*IF($A357="Tømmerproduktion",VLOOKUP($F357,Skovbrug!$A$59:$D$60,MATCH(H$2,Skovbrug!$A$58:$D$58,0),FALSE)/'[1]Processer - data'!H357,1)</f>
        <v>52027.493495891315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drivhus",Landbrug!D$51,1-Landbrug!D$51),1)*IF($A357="Tømmerproduktion",VLOOKUP($F357,Skovbrug!$A$59:$D$60,MATCH(I$2,Skovbrug!$A$58:$D$58,0),FALSE)/'[1]Processer - data'!I357,1)</f>
        <v>65766.679918637281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drivhus",Landbrug!E$51,1-Landbrug!E$51),1)*IF($A357="Tømmerproduktion",VLOOKUP($F357,Skovbrug!$A$59:$D$60,MATCH(J$2,Skovbrug!$A$58:$D$58,0),FALSE)/'[1]Processer - data'!J357,1)</f>
        <v>89812.676769987607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drivhus",Landbrug!C$51,1-Landbrug!C$51),1)*IF($A358="Tømmerproduktion",VLOOKUP($F358,Skovbrug!$A$59:$D$60,MATCH(H$2,Skovbrug!$A$58:$D$58,0),FALSE)/'[1]Processer - data'!H358,1)</f>
        <v>8643.2967707723092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drivhus",Landbrug!D$51,1-Landbrug!D$51),1)*IF($A358="Tømmerproduktion",VLOOKUP($F358,Skovbrug!$A$59:$D$60,MATCH(I$2,Skovbrug!$A$58:$D$58,0),FALSE)/'[1]Processer - data'!I358,1)</f>
        <v>10132.708092110464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drivhus",Landbrug!E$51,1-Landbrug!E$51),1)*IF($A358="Tømmerproduktion",VLOOKUP($F358,Skovbrug!$A$59:$D$60,MATCH(J$2,Skovbrug!$A$58:$D$58,0),FALSE)/'[1]Processer - data'!J358,1)</f>
        <v>12898.945229451987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drivhus",Landbrug!C$51,1-Landbrug!C$51),1)*IF($A359="Tømmerproduktion",VLOOKUP($F359,Skovbrug!$A$59:$D$60,MATCH(H$2,Skovbrug!$A$58:$D$58,0),FALSE)/'[1]Processer - data'!H359,1)</f>
        <v>-546168.3863913751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drivhus",Landbrug!D$51,1-Landbrug!D$51),1)*IF($A359="Tømmerproduktion",VLOOKUP($F359,Skovbrug!$A$59:$D$60,MATCH(I$2,Skovbrug!$A$58:$D$58,0),FALSE)/'[1]Processer - data'!I359,1)</f>
        <v>-644028.05670193618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drivhus",Landbrug!E$51,1-Landbrug!E$51),1)*IF($A359="Tømmerproduktion",VLOOKUP($F359,Skovbrug!$A$59:$D$60,MATCH(J$2,Skovbrug!$A$58:$D$58,0),FALSE)/'[1]Processer - data'!J359,1)</f>
        <v>-819848.21373635507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drivhus",Landbrug!C$51,1-Landbrug!C$51),1)*IF($A360="Tømmerproduktion",VLOOKUP($F360,Skovbrug!$A$59:$D$60,MATCH(H$2,Skovbrug!$A$58:$D$58,0),FALSE)/'[1]Processer - data'!H360,1)</f>
        <v>14524.210337271257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drivhus",Landbrug!D$51,1-Landbrug!D$51),1)*IF($A360="Tømmerproduktion",VLOOKUP($F360,Skovbrug!$A$59:$D$60,MATCH(I$2,Skovbrug!$A$58:$D$58,0),FALSE)/'[1]Processer - data'!I360,1)</f>
        <v>17126.584386266662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drivhus",Landbrug!E$51,1-Landbrug!E$51),1)*IF($A360="Tømmerproduktion",VLOOKUP($F360,Skovbrug!$A$59:$D$60,MATCH(J$2,Skovbrug!$A$58:$D$58,0),FALSE)/'[1]Processer - data'!J360,1)</f>
        <v>21802.155155150489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drivhus",Landbrug!C$51,1-Landbrug!C$51),1)*IF($A361="Tømmerproduktion",VLOOKUP($F361,Skovbrug!$A$59:$D$60,MATCH(H$2,Skovbrug!$A$58:$D$58,0),FALSE)/'[1]Processer - data'!H361,1)</f>
        <v>4456.0784535034427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drivhus",Landbrug!D$51,1-Landbrug!D$51),1)*IF($A361="Tømmerproduktion",VLOOKUP($F361,Skovbrug!$A$59:$D$60,MATCH(I$2,Skovbrug!$A$58:$D$58,0),FALSE)/'[1]Processer - data'!I361,1)</f>
        <v>5263.9881151936006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drivhus",Landbrug!E$51,1-Landbrug!E$51),1)*IF($A361="Tømmerproduktion",VLOOKUP($F361,Skovbrug!$A$59:$D$60,MATCH(J$2,Skovbrug!$A$58:$D$58,0),FALSE)/'[1]Processer - data'!J361,1)</f>
        <v>7320.1880056848522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drivhus",Landbrug!C$51,1-Landbrug!C$51),1)*IF($A362="Tømmerproduktion",VLOOKUP($F362,Skovbrug!$A$59:$D$60,MATCH(H$2,Skovbrug!$A$58:$D$58,0),FALSE)/'[1]Processer - data'!H362,1)</f>
        <v>740.28568204070768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drivhus",Landbrug!D$51,1-Landbrug!D$51),1)*IF($A362="Tømmerproduktion",VLOOKUP($F362,Skovbrug!$A$59:$D$60,MATCH(I$2,Skovbrug!$A$58:$D$58,0),FALSE)/'[1]Processer - data'!I362,1)</f>
        <v>811.02550771276185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drivhus",Landbrug!E$51,1-Landbrug!E$51),1)*IF($A362="Tømmerproduktion",VLOOKUP($F362,Skovbrug!$A$59:$D$60,MATCH(J$2,Skovbrug!$A$58:$D$58,0),FALSE)/'[1]Processer - data'!J362,1)</f>
        <v>1051.3293618498765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drivhus",Landbrug!C$51,1-Landbrug!C$51),1)*IF($A363="Tømmerproduktion",VLOOKUP($F363,Skovbrug!$A$59:$D$60,MATCH(H$2,Skovbrug!$A$58:$D$58,0),FALSE)/'[1]Processer - data'!H363,1)</f>
        <v>-35083.890483435673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drivhus",Landbrug!D$51,1-Landbrug!D$51),1)*IF($A363="Tømmerproduktion",VLOOKUP($F363,Skovbrug!$A$59:$D$60,MATCH(I$2,Skovbrug!$A$58:$D$58,0),FALSE)/'[1]Processer - data'!I363,1)</f>
        <v>-38661.173566815982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drivhus",Landbrug!E$51,1-Landbrug!E$51),1)*IF($A363="Tømmerproduktion",VLOOKUP($F363,Skovbrug!$A$59:$D$60,MATCH(J$2,Skovbrug!$A$58:$D$58,0),FALSE)/'[1]Processer - data'!J363,1)</f>
        <v>-50116.336105131821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drivhus",Landbrug!C$51,1-Landbrug!C$51),1)*IF($A364="Tømmerproduktion",VLOOKUP($F364,Skovbrug!$A$59:$D$60,MATCH(H$2,Skovbrug!$A$58:$D$58,0),FALSE)/'[1]Processer - data'!H364,1)</f>
        <v>7291.109211610591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drivhus",Landbrug!D$51,1-Landbrug!D$51),1)*IF($A364="Tømmerproduktion",VLOOKUP($F364,Skovbrug!$A$59:$D$60,MATCH(I$2,Skovbrug!$A$58:$D$58,0),FALSE)/'[1]Processer - data'!I364,1)</f>
        <v>8034.5376422199997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drivhus",Landbrug!E$51,1-Landbrug!E$51),1)*IF($A364="Tømmerproduktion",VLOOKUP($F364,Skovbrug!$A$59:$D$60,MATCH(J$2,Skovbrug!$A$58:$D$58,0),FALSE)/'[1]Processer - data'!J364,1)</f>
        <v>10415.141388062961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drivhus",Landbrug!C$51,1-Landbrug!C$51),1)*IF($A365="Tømmerproduktion",VLOOKUP($F365,Skovbrug!$A$59:$D$60,MATCH(H$2,Skovbrug!$A$58:$D$58,0),FALSE)/'[1]Processer - data'!H365,1)</f>
        <v>3827.3936966497154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drivhus",Landbrug!D$51,1-Landbrug!D$51),1)*IF($A365="Tømmerproduktion",VLOOKUP($F365,Skovbrug!$A$59:$D$60,MATCH(I$2,Skovbrug!$A$58:$D$58,0),FALSE)/'[1]Processer - data'!I365,1)</f>
        <v>4417.526163158208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drivhus",Landbrug!E$51,1-Landbrug!E$51),1)*IF($A365="Tømmerproduktion",VLOOKUP($F365,Skovbrug!$A$59:$D$60,MATCH(J$2,Skovbrug!$A$58:$D$58,0),FALSE)/'[1]Processer - data'!J365,1)</f>
        <v>6143.0841648396154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drivhus",Landbrug!C$51,1-Landbrug!C$51),1)*IF($A366="Tømmerproduktion",VLOOKUP($F366,Skovbrug!$A$59:$D$60,MATCH(H$2,Skovbrug!$A$58:$D$58,0),FALSE)/'[1]Processer - data'!H366,1)</f>
        <v>635.84265464065186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drivhus",Landbrug!D$51,1-Landbrug!D$51),1)*IF($A366="Tømmerproduktion",VLOOKUP($F366,Skovbrug!$A$59:$D$60,MATCH(I$2,Skovbrug!$A$58:$D$58,0),FALSE)/'[1]Processer - data'!I366,1)</f>
        <v>680.61065505996646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drivhus",Landbrug!E$51,1-Landbrug!E$51),1)*IF($A366="Tømmerproduktion",VLOOKUP($F366,Skovbrug!$A$59:$D$60,MATCH(J$2,Skovbrug!$A$58:$D$58,0),FALSE)/'[1]Processer - data'!J366,1)</f>
        <v>882.27307137403056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drivhus",Landbrug!C$51,1-Landbrug!C$51),1)*IF($A367="Tømmerproduktion",VLOOKUP($F367,Skovbrug!$A$59:$D$60,MATCH(H$2,Skovbrug!$A$58:$D$58,0),FALSE)/'[1]Processer - data'!H367,1)</f>
        <v>-22959.305320245483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drivhus",Landbrug!D$51,1-Landbrug!D$51),1)*IF($A367="Tømmerproduktion",VLOOKUP($F367,Skovbrug!$A$59:$D$60,MATCH(I$2,Skovbrug!$A$58:$D$58,0),FALSE)/'[1]Processer - data'!I367,1)</f>
        <v>-24719.515316947934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drivhus",Landbrug!E$51,1-Landbrug!E$51),1)*IF($A367="Tømmerproduktion",VLOOKUP($F367,Skovbrug!$A$59:$D$60,MATCH(J$2,Skovbrug!$A$58:$D$58,0),FALSE)/'[1]Processer - data'!J367,1)</f>
        <v>-32043.816151599171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drivhus",Landbrug!C$51,1-Landbrug!C$51),1)*IF($A368="Tømmerproduktion",VLOOKUP($F368,Skovbrug!$A$59:$D$60,MATCH(H$2,Skovbrug!$A$58:$D$58,0),FALSE)/'[1]Processer - data'!H368,1)</f>
        <v>13745.942315270115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drivhus",Landbrug!D$51,1-Landbrug!D$51),1)*IF($A368="Tømmerproduktion",VLOOKUP($F368,Skovbrug!$A$59:$D$60,MATCH(I$2,Skovbrug!$A$58:$D$58,0),FALSE)/'[1]Processer - data'!I368,1)</f>
        <v>14799.795850468234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drivhus",Landbrug!E$51,1-Landbrug!E$51),1)*IF($A368="Tømmerproduktion",VLOOKUP($F368,Skovbrug!$A$59:$D$60,MATCH(J$2,Skovbrug!$A$58:$D$58,0),FALSE)/'[1]Processer - data'!J368,1)</f>
        <v>19184.920546903264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drivhus",Landbrug!C$51,1-Landbrug!C$51),1)*IF($A369="Tømmerproduktion",VLOOKUP($F369,Skovbrug!$A$59:$D$60,MATCH(H$2,Skovbrug!$A$58:$D$58,0),FALSE)/'[1]Processer - data'!H369,1)</f>
        <v>673444.82878693647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drivhus",Landbrug!D$51,1-Landbrug!D$51),1)*IF($A369="Tømmerproduktion",VLOOKUP($F369,Skovbrug!$A$59:$D$60,MATCH(I$2,Skovbrug!$A$58:$D$58,0),FALSE)/'[1]Processer - data'!I369,1)</f>
        <v>697424.53153784631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drivhus",Landbrug!E$51,1-Landbrug!E$51),1)*IF($A369="Tømmerproduktion",VLOOKUP($F369,Skovbrug!$A$59:$D$60,MATCH(J$2,Skovbrug!$A$58:$D$58,0),FALSE)/'[1]Processer - data'!J369,1)</f>
        <v>700749.02553134004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drivhus",Landbrug!C$51,1-Landbrug!C$51),1)*IF($A370="Tømmerproduktion",VLOOKUP($F370,Skovbrug!$A$59:$D$60,MATCH(H$2,Skovbrug!$A$58:$D$58,0),FALSE)/'[1]Processer - data'!H370,1)</f>
        <v>-1481578.6233312604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drivhus",Landbrug!D$51,1-Landbrug!D$51),1)*IF($A370="Tømmerproduktion",VLOOKUP($F370,Skovbrug!$A$59:$D$60,MATCH(I$2,Skovbrug!$A$58:$D$58,0),FALSE)/'[1]Processer - data'!I370,1)</f>
        <v>-1431281.6878575203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drivhus",Landbrug!E$51,1-Landbrug!E$51),1)*IF($A370="Tømmerproduktion",VLOOKUP($F370,Skovbrug!$A$59:$D$60,MATCH(J$2,Skovbrug!$A$58:$D$58,0),FALSE)/'[1]Processer - data'!J370,1)</f>
        <v>-1340563.3531903897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drivhus",Landbrug!C$51,1-Landbrug!C$51),1)*IF($A371="Tømmerproduktion",VLOOKUP($F371,Skovbrug!$A$59:$D$60,MATCH(H$2,Skovbrug!$A$58:$D$58,0),FALSE)/'[1]Processer - data'!H371,1)</f>
        <v>26475.734135173829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drivhus",Landbrug!D$51,1-Landbrug!D$51),1)*IF($A371="Tømmerproduktion",VLOOKUP($F371,Skovbrug!$A$59:$D$60,MATCH(I$2,Skovbrug!$A$58:$D$58,0),FALSE)/'[1]Processer - data'!I371,1)</f>
        <v>25576.930473696462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drivhus",Landbrug!E$51,1-Landbrug!E$51),1)*IF($A371="Tømmerproduktion",VLOOKUP($F371,Skovbrug!$A$59:$D$60,MATCH(J$2,Skovbrug!$A$58:$D$58,0),FALSE)/'[1]Processer - data'!J371,1)</f>
        <v>23955.798478397919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drivhus",Landbrug!C$51,1-Landbrug!C$51),1)*IF($A372="Tømmerproduktion",VLOOKUP($F372,Skovbrug!$A$59:$D$60,MATCH(H$2,Skovbrug!$A$58:$D$58,0),FALSE)/'[1]Processer - data'!H372,1)</f>
        <v>24581.270876446844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drivhus",Landbrug!D$51,1-Landbrug!D$51),1)*IF($A372="Tømmerproduktion",VLOOKUP($F372,Skovbrug!$A$59:$D$60,MATCH(I$2,Skovbrug!$A$58:$D$58,0),FALSE)/'[1]Processer - data'!I372,1)</f>
        <v>23789.679260102854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drivhus",Landbrug!E$51,1-Landbrug!E$51),1)*IF($A372="Tømmerproduktion",VLOOKUP($F372,Skovbrug!$A$59:$D$60,MATCH(J$2,Skovbrug!$A$58:$D$58,0),FALSE)/'[1]Processer - data'!J372,1)</f>
        <v>24340.499307676837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drivhus",Landbrug!C$51,1-Landbrug!C$51),1)*IF($A373="Tømmerproduktion",VLOOKUP($F373,Skovbrug!$A$59:$D$60,MATCH(H$2,Skovbrug!$A$58:$D$58,0),FALSE)/'[1]Processer - data'!H373,1)</f>
        <v>-40968.78479407807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drivhus",Landbrug!D$51,1-Landbrug!D$51),1)*IF($A373="Tømmerproduktion",VLOOKUP($F373,Skovbrug!$A$59:$D$60,MATCH(I$2,Skovbrug!$A$58:$D$58,0),FALSE)/'[1]Processer - data'!I373,1)</f>
        <v>-36986.441635732044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drivhus",Landbrug!E$51,1-Landbrug!E$51),1)*IF($A373="Tømmerproduktion",VLOOKUP($F373,Skovbrug!$A$59:$D$60,MATCH(J$2,Skovbrug!$A$58:$D$58,0),FALSE)/'[1]Processer - data'!J373,1)</f>
        <v>-35276.085953154841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drivhus",Landbrug!C$51,1-Landbrug!C$51),1)*IF($A374="Tømmerproduktion",VLOOKUP($F374,Skovbrug!$A$59:$D$60,MATCH(H$2,Skovbrug!$A$58:$D$58,0),FALSE)/'[1]Processer - data'!H374,1)</f>
        <v>4367.9666208174622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drivhus",Landbrug!D$51,1-Landbrug!D$51),1)*IF($A374="Tømmerproduktion",VLOOKUP($F374,Skovbrug!$A$59:$D$60,MATCH(I$2,Skovbrug!$A$58:$D$58,0),FALSE)/'[1]Processer - data'!I374,1)</f>
        <v>3943.3813646101412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drivhus",Landbrug!E$51,1-Landbrug!E$51),1)*IF($A374="Tømmerproduktion",VLOOKUP($F374,Skovbrug!$A$59:$D$60,MATCH(J$2,Skovbrug!$A$58:$D$58,0),FALSE)/'[1]Processer - data'!J374,1)</f>
        <v>3761.0284691368397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drivhus",Landbrug!C$51,1-Landbrug!C$51),1)*IF($A375="Tømmerproduktion",VLOOKUP($F375,Skovbrug!$A$59:$D$60,MATCH(H$2,Skovbrug!$A$58:$D$58,0),FALSE)/'[1]Processer - data'!H375,1)</f>
        <v>16379.368213872083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drivhus",Landbrug!D$51,1-Landbrug!D$51),1)*IF($A375="Tømmerproduktion",VLOOKUP($F375,Skovbrug!$A$59:$D$60,MATCH(I$2,Skovbrug!$A$58:$D$58,0),FALSE)/'[1]Processer - data'!I375,1)</f>
        <v>15487.999347337936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drivhus",Landbrug!E$51,1-Landbrug!E$51),1)*IF($A375="Tømmerproduktion",VLOOKUP($F375,Skovbrug!$A$59:$D$60,MATCH(J$2,Skovbrug!$A$58:$D$58,0),FALSE)/'[1]Processer - data'!J375,1)</f>
        <v>15846.604456892053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drivhus",Landbrug!C$51,1-Landbrug!C$51),1)*IF($A376="Tømmerproduktion",VLOOKUP($F376,Skovbrug!$A$59:$D$60,MATCH(H$2,Skovbrug!$A$58:$D$58,0),FALSE)/'[1]Processer - data'!H376,1)</f>
        <v>-21059.187703549822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drivhus",Landbrug!D$51,1-Landbrug!D$51),1)*IF($A376="Tømmerproduktion",VLOOKUP($F376,Skovbrug!$A$59:$D$60,MATCH(I$2,Skovbrug!$A$58:$D$58,0),FALSE)/'[1]Processer - data'!I376,1)</f>
        <v>-18575.692180975668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drivhus",Landbrug!E$51,1-Landbrug!E$51),1)*IF($A376="Tømmerproduktion",VLOOKUP($F376,Skovbrug!$A$59:$D$60,MATCH(J$2,Skovbrug!$A$58:$D$58,0),FALSE)/'[1]Processer - data'!J376,1)</f>
        <v>-17716.700635034598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drivhus",Landbrug!C$51,1-Landbrug!C$51),1)*IF($A377="Tømmerproduktion",VLOOKUP($F377,Skovbrug!$A$59:$D$60,MATCH(H$2,Skovbrug!$A$58:$D$58,0),FALSE)/'[1]Processer - data'!H377,1)</f>
        <v>6669.1392394898348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drivhus",Landbrug!D$51,1-Landbrug!D$51),1)*IF($A377="Tømmerproduktion",VLOOKUP($F377,Skovbrug!$A$59:$D$60,MATCH(I$2,Skovbrug!$A$58:$D$58,0),FALSE)/'[1]Processer - data'!I377,1)</f>
        <v>5882.6522356295336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drivhus",Landbrug!E$51,1-Landbrug!E$51),1)*IF($A377="Tømmerproduktion",VLOOKUP($F377,Skovbrug!$A$59:$D$60,MATCH(J$2,Skovbrug!$A$58:$D$58,0),FALSE)/'[1]Processer - data'!J377,1)</f>
        <v>5610.6220744443526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drivhus",Landbrug!C$51,1-Landbrug!C$51),1)*IF($A378="Tømmerproduktion",VLOOKUP($F378,Skovbrug!$A$59:$D$60,MATCH(H$2,Skovbrug!$A$58:$D$58,0),FALSE)/'[1]Processer - data'!H378,1)</f>
        <v>49081.375089311769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drivhus",Landbrug!D$51,1-Landbrug!D$51),1)*IF($A378="Tømmerproduktion",VLOOKUP($F378,Skovbrug!$A$59:$D$60,MATCH(I$2,Skovbrug!$A$58:$D$58,0),FALSE)/'[1]Processer - data'!I378,1)</f>
        <v>62042.563817152914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drivhus",Landbrug!E$51,1-Landbrug!E$51),1)*IF($A378="Tømmerproduktion",VLOOKUP($F378,Skovbrug!$A$59:$D$60,MATCH(J$2,Skovbrug!$A$58:$D$58,0),FALSE)/'[1]Processer - data'!J378,1)</f>
        <v>84726.92763242565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drivhus",Landbrug!C$51,1-Landbrug!C$51),1)*IF($A379="Tømmerproduktion",VLOOKUP($F379,Skovbrug!$A$59:$D$60,MATCH(H$2,Skovbrug!$A$58:$D$58,0),FALSE)/'[1]Processer - data'!H379,1)</f>
        <v>-107979.02519648591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drivhus",Landbrug!D$51,1-Landbrug!D$51),1)*IF($A379="Tømmerproduktion",VLOOKUP($F379,Skovbrug!$A$59:$D$60,MATCH(I$2,Skovbrug!$A$58:$D$58,0),FALSE)/'[1]Processer - data'!I379,1)</f>
        <v>-127326.15708744069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drivhus",Landbrug!E$51,1-Landbrug!E$51),1)*IF($A379="Tømmerproduktion",VLOOKUP($F379,Skovbrug!$A$59:$D$60,MATCH(J$2,Skovbrug!$A$58:$D$58,0),FALSE)/'[1]Processer - data'!J379,1)</f>
        <v>-162086.29634029255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drivhus",Landbrug!C$51,1-Landbrug!C$51),1)*IF($A380="Tømmerproduktion",VLOOKUP($F380,Skovbrug!$A$59:$D$60,MATCH(H$2,Skovbrug!$A$58:$D$58,0),FALSE)/'[1]Processer - data'!H380,1)</f>
        <v>3385.2274582982932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drivhus",Landbrug!D$51,1-Landbrug!D$51),1)*IF($A380="Tømmerproduktion",VLOOKUP($F380,Skovbrug!$A$59:$D$60,MATCH(I$2,Skovbrug!$A$58:$D$58,0),FALSE)/'[1]Processer - data'!I380,1)</f>
        <v>3991.7752762416449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drivhus",Landbrug!E$51,1-Landbrug!E$51),1)*IF($A380="Tømmerproduktion",VLOOKUP($F380,Skovbrug!$A$59:$D$60,MATCH(J$2,Skovbrug!$A$58:$D$58,0),FALSE)/'[1]Processer - data'!J380,1)</f>
        <v>5081.5330105692556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drivhus",Landbrug!C$51,1-Landbrug!C$51),1)*IF($A381="Tømmerproduktion",VLOOKUP($F381,Skovbrug!$A$59:$D$60,MATCH(H$2,Skovbrug!$A$58:$D$58,0),FALSE)/'[1]Processer - data'!H381,1)</f>
        <v>1791.5091548510034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drivhus",Landbrug!D$51,1-Landbrug!D$51),1)*IF($A381="Tømmerproduktion",VLOOKUP($F381,Skovbrug!$A$59:$D$60,MATCH(I$2,Skovbrug!$A$58:$D$58,0),FALSE)/'[1]Processer - data'!I381,1)</f>
        <v>2116.3188659709995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drivhus",Landbrug!E$51,1-Landbrug!E$51),1)*IF($A381="Tømmerproduktion",VLOOKUP($F381,Skovbrug!$A$59:$D$60,MATCH(J$2,Skovbrug!$A$58:$D$58,0),FALSE)/'[1]Processer - data'!J381,1)</f>
        <v>2942.9876435645629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drivhus",Landbrug!C$51,1-Landbrug!C$51),1)*IF($A382="Tømmerproduktion",VLOOKUP($F382,Skovbrug!$A$59:$D$60,MATCH(H$2,Skovbrug!$A$58:$D$58,0),FALSE)/'[1]Processer - data'!H382,1)</f>
        <v>-2985.8485914183389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drivhus",Landbrug!D$51,1-Landbrug!D$51),1)*IF($A382="Tømmerproduktion",VLOOKUP($F382,Skovbrug!$A$59:$D$60,MATCH(I$2,Skovbrug!$A$58:$D$58,0),FALSE)/'[1]Processer - data'!I382,1)</f>
        <v>-3290.2967443578973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drivhus",Landbrug!E$51,1-Landbrug!E$51),1)*IF($A382="Tømmerproduktion",VLOOKUP($F382,Skovbrug!$A$59:$D$60,MATCH(J$2,Skovbrug!$A$58:$D$58,0),FALSE)/'[1]Processer - data'!J382,1)</f>
        <v>-4265.1994834269026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drivhus",Landbrug!C$51,1-Landbrug!C$51),1)*IF($A383="Tømmerproduktion",VLOOKUP($F383,Skovbrug!$A$59:$D$60,MATCH(H$2,Skovbrug!$A$58:$D$58,0),FALSE)/'[1]Processer - data'!H383,1)</f>
        <v>558.49482647875982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drivhus",Landbrug!D$51,1-Landbrug!D$51),1)*IF($A383="Tømmerproduktion",VLOOKUP($F383,Skovbrug!$A$59:$D$60,MATCH(I$2,Skovbrug!$A$58:$D$58,0),FALSE)/'[1]Processer - data'!I383,1)</f>
        <v>615.44102222239212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drivhus",Landbrug!E$51,1-Landbrug!E$51),1)*IF($A383="Tømmerproduktion",VLOOKUP($F383,Skovbrug!$A$59:$D$60,MATCH(J$2,Skovbrug!$A$58:$D$58,0),FALSE)/'[1]Processer - data'!J383,1)</f>
        <v>797.79391769569327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drivhus",Landbrug!C$51,1-Landbrug!C$51),1)*IF($A384="Tømmerproduktion",VLOOKUP($F384,Skovbrug!$A$59:$D$60,MATCH(H$2,Skovbrug!$A$58:$D$58,0),FALSE)/'[1]Processer - data'!H384,1)</f>
        <v>1193.7457690173312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drivhus",Landbrug!D$51,1-Landbrug!D$51),1)*IF($A384="Tømmerproduktion",VLOOKUP($F384,Skovbrug!$A$59:$D$60,MATCH(I$2,Skovbrug!$A$58:$D$58,0),FALSE)/'[1]Processer - data'!I384,1)</f>
        <v>1377.8052598585596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drivhus",Landbrug!E$51,1-Landbrug!E$51),1)*IF($A384="Tømmerproduktion",VLOOKUP($F384,Skovbrug!$A$59:$D$60,MATCH(J$2,Skovbrug!$A$58:$D$58,0),FALSE)/'[1]Processer - data'!J384,1)</f>
        <v>1915.9985388787666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drivhus",Landbrug!C$51,1-Landbrug!C$51),1)*IF($A385="Tømmerproduktion",VLOOKUP($F385,Skovbrug!$A$59:$D$60,MATCH(H$2,Skovbrug!$A$58:$D$58,0),FALSE)/'[1]Processer - data'!H385,1)</f>
        <v>-1534.8159887365687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drivhus",Landbrug!D$51,1-Landbrug!D$51),1)*IF($A385="Tømmerproduktion",VLOOKUP($F385,Skovbrug!$A$59:$D$60,MATCH(I$2,Skovbrug!$A$58:$D$58,0),FALSE)/'[1]Processer - data'!I385,1)</f>
        <v>-1652.4849865041358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drivhus",Landbrug!E$51,1-Landbrug!E$51),1)*IF($A385="Tømmerproduktion",VLOOKUP($F385,Skovbrug!$A$59:$D$60,MATCH(J$2,Skovbrug!$A$58:$D$58,0),FALSE)/'[1]Processer - data'!J385,1)</f>
        <v>-2142.1101676905464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drivhus",Landbrug!C$51,1-Landbrug!C$51),1)*IF($A386="Tømmerproduktion",VLOOKUP($F386,Skovbrug!$A$59:$D$60,MATCH(H$2,Skovbrug!$A$58:$D$58,0),FALSE)/'[1]Processer - data'!H386,1)</f>
        <v>852.72624213059839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drivhus",Landbrug!D$51,1-Landbrug!D$51),1)*IF($A386="Tømmerproduktion",VLOOKUP($F386,Skovbrug!$A$59:$D$60,MATCH(I$2,Skovbrug!$A$58:$D$58,0),FALSE)/'[1]Processer - data'!I386,1)</f>
        <v>918.10179399998492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drivhus",Landbrug!E$51,1-Landbrug!E$51),1)*IF($A386="Tømmerproduktion",VLOOKUP($F386,Skovbrug!$A$59:$D$60,MATCH(J$2,Skovbrug!$A$58:$D$58,0),FALSE)/'[1]Processer - data'!J386,1)</f>
        <v>1190.1319551851657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drivhus",Landbrug!C$51,1-Landbrug!C$51),1)*IF($A387="Tømmerproduktion",VLOOKUP($F387,Skovbrug!$A$59:$D$60,MATCH(H$2,Skovbrug!$A$58:$D$58,0),FALSE)/'[1]Processer - data'!H387,1)</f>
        <v>120836.39776565302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drivhus",Landbrug!D$51,1-Landbrug!D$51),1)*IF($A387="Tømmerproduktion",VLOOKUP($F387,Skovbrug!$A$59:$D$60,MATCH(I$2,Skovbrug!$A$58:$D$58,0),FALSE)/'[1]Processer - data'!I387,1)</f>
        <v>125139.08267175067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drivhus",Landbrug!E$51,1-Landbrug!E$51),1)*IF($A387="Tømmerproduktion",VLOOKUP($F387,Skovbrug!$A$59:$D$60,MATCH(J$2,Skovbrug!$A$58:$D$58,0),FALSE)/'[1]Processer - data'!J387,1)</f>
        <v>125735.59757749423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drivhus",Landbrug!C$51,1-Landbrug!C$51),1)*IF($A388="Tømmerproduktion",VLOOKUP($F388,Skovbrug!$A$59:$D$60,MATCH(H$2,Skovbrug!$A$58:$D$58,0),FALSE)/'[1]Processer - data'!H388,1)</f>
        <v>-594515.07700701291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drivhus",Landbrug!D$51,1-Landbrug!D$51),1)*IF($A388="Tømmerproduktion",VLOOKUP($F388,Skovbrug!$A$59:$D$60,MATCH(I$2,Skovbrug!$A$58:$D$58,0),FALSE)/'[1]Processer - data'!I388,1)</f>
        <v>-574332.35703825869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drivhus",Landbrug!E$51,1-Landbrug!E$51),1)*IF($A388="Tømmerproduktion",VLOOKUP($F388,Skovbrug!$A$59:$D$60,MATCH(J$2,Skovbrug!$A$58:$D$58,0),FALSE)/'[1]Processer - data'!J388,1)</f>
        <v>-537929.68702719279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drivhus",Landbrug!C$51,1-Landbrug!C$51),1)*IF($A389="Tømmerproduktion",VLOOKUP($F389,Skovbrug!$A$59:$D$60,MATCH(H$2,Skovbrug!$A$58:$D$58,0),FALSE)/'[1]Processer - data'!H389,1)</f>
        <v>9738.6244854822507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drivhus",Landbrug!D$51,1-Landbrug!D$51),1)*IF($A389="Tømmerproduktion",VLOOKUP($F389,Skovbrug!$A$59:$D$60,MATCH(I$2,Skovbrug!$A$58:$D$58,0),FALSE)/'[1]Processer - data'!I389,1)</f>
        <v>9408.0156607896133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drivhus",Landbrug!E$51,1-Landbrug!E$51),1)*IF($A389="Tømmerproduktion",VLOOKUP($F389,Skovbrug!$A$59:$D$60,MATCH(J$2,Skovbrug!$A$58:$D$58,0),FALSE)/'[1]Processer - data'!J389,1)</f>
        <v>8811.7112991047452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drivhus",Landbrug!C$51,1-Landbrug!C$51),1)*IF($A390="Tømmerproduktion",VLOOKUP($F390,Skovbrug!$A$59:$D$60,MATCH(H$2,Skovbrug!$A$58:$D$58,0),FALSE)/'[1]Processer - data'!H390,1)</f>
        <v>19693.41996083039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drivhus",Landbrug!D$51,1-Landbrug!D$51),1)*IF($A390="Tømmerproduktion",VLOOKUP($F390,Skovbrug!$A$59:$D$60,MATCH(I$2,Skovbrug!$A$58:$D$58,0),FALSE)/'[1]Processer - data'!I390,1)</f>
        <v>19059.23199648588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drivhus",Landbrug!E$51,1-Landbrug!E$51),1)*IF($A390="Tømmerproduktion",VLOOKUP($F390,Skovbrug!$A$59:$D$60,MATCH(J$2,Skovbrug!$A$58:$D$58,0),FALSE)/'[1]Processer - data'!J390,1)</f>
        <v>19500.524498173127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drivhus",Landbrug!C$51,1-Landbrug!C$51),1)*IF($A391="Tømmerproduktion",VLOOKUP($F391,Skovbrug!$A$59:$D$60,MATCH(H$2,Skovbrug!$A$58:$D$58,0),FALSE)/'[1]Processer - data'!H391,1)</f>
        <v>-80743.02183940461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drivhus",Landbrug!D$51,1-Landbrug!D$51),1)*IF($A391="Tømmerproduktion",VLOOKUP($F391,Skovbrug!$A$59:$D$60,MATCH(I$2,Skovbrug!$A$58:$D$58,0),FALSE)/'[1]Processer - data'!I391,1)</f>
        <v>-72894.450732828453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drivhus",Landbrug!E$51,1-Landbrug!E$51),1)*IF($A391="Tømmerproduktion",VLOOKUP($F391,Skovbrug!$A$59:$D$60,MATCH(J$2,Skovbrug!$A$58:$D$58,0),FALSE)/'[1]Processer - data'!J391,1)</f>
        <v>-69523.609080443333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drivhus",Landbrug!C$51,1-Landbrug!C$51),1)*IF($A392="Tømmerproduktion",VLOOKUP($F392,Skovbrug!$A$59:$D$60,MATCH(H$2,Skovbrug!$A$58:$D$58,0),FALSE)/'[1]Processer - data'!H392,1)</f>
        <v>7173.811842991131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drivhus",Landbrug!D$51,1-Landbrug!D$51),1)*IF($A392="Tømmerproduktion",VLOOKUP($F392,Skovbrug!$A$59:$D$60,MATCH(I$2,Skovbrug!$A$58:$D$58,0),FALSE)/'[1]Processer - data'!I392,1)</f>
        <v>6476.4862899928639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drivhus",Landbrug!E$51,1-Landbrug!E$51),1)*IF($A392="Tømmerproduktion",VLOOKUP($F392,Skovbrug!$A$59:$D$60,MATCH(J$2,Skovbrug!$A$58:$D$58,0),FALSE)/'[1]Processer - data'!J392,1)</f>
        <v>6176.9955945018646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drivhus",Landbrug!C$51,1-Landbrug!C$51),1)*IF($A393="Tømmerproduktion",VLOOKUP($F393,Skovbrug!$A$59:$D$60,MATCH(H$2,Skovbrug!$A$58:$D$58,0),FALSE)/'[1]Processer - data'!H393,1)</f>
        <v>18860.433776221762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drivhus",Landbrug!D$51,1-Landbrug!D$51),1)*IF($A393="Tømmerproduktion",VLOOKUP($F393,Skovbrug!$A$59:$D$60,MATCH(I$2,Skovbrug!$A$58:$D$58,0),FALSE)/'[1]Processer - data'!I393,1)</f>
        <v>17834.044769152795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drivhus",Landbrug!E$51,1-Landbrug!E$51),1)*IF($A393="Tømmerproduktion",VLOOKUP($F393,Skovbrug!$A$59:$D$60,MATCH(J$2,Skovbrug!$A$58:$D$58,0),FALSE)/'[1]Processer - data'!J393,1)</f>
        <v>18246.969604362992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drivhus",Landbrug!C$51,1-Landbrug!C$51),1)*IF($A394="Tømmerproduktion",VLOOKUP($F394,Skovbrug!$A$59:$D$60,MATCH(H$2,Skovbrug!$A$58:$D$58,0),FALSE)/'[1]Processer - data'!H394,1)</f>
        <v>-66280.952985007927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drivhus",Landbrug!D$51,1-Landbrug!D$51),1)*IF($A394="Tømmerproduktion",VLOOKUP($F394,Skovbrug!$A$59:$D$60,MATCH(I$2,Skovbrug!$A$58:$D$58,0),FALSE)/'[1]Processer - data'!I394,1)</f>
        <v>-58464.485783736513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drivhus",Landbrug!E$51,1-Landbrug!E$51),1)*IF($A394="Tømmerproduktion",VLOOKUP($F394,Skovbrug!$A$59:$D$60,MATCH(J$2,Skovbrug!$A$58:$D$58,0),FALSE)/'[1]Processer - data'!J394,1)</f>
        <v>-55760.925747494366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drivhus",Landbrug!C$51,1-Landbrug!C$51),1)*IF($A395="Tømmerproduktion",VLOOKUP($F395,Skovbrug!$A$59:$D$60,MATCH(H$2,Skovbrug!$A$58:$D$58,0),FALSE)/'[1]Processer - data'!H395,1)</f>
        <v>15742.662203036411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drivhus",Landbrug!D$51,1-Landbrug!D$51),1)*IF($A395="Tømmerproduktion",VLOOKUP($F395,Skovbrug!$A$59:$D$60,MATCH(I$2,Skovbrug!$A$58:$D$58,0),FALSE)/'[1]Processer - data'!I395,1)</f>
        <v>13886.140876335476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drivhus",Landbrug!E$51,1-Landbrug!E$51),1)*IF($A395="Tømmerproduktion",VLOOKUP($F395,Skovbrug!$A$59:$D$60,MATCH(J$2,Skovbrug!$A$58:$D$58,0),FALSE)/'[1]Processer - data'!J395,1)</f>
        <v>13244.007194192796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drivhus",Landbrug!C$51,1-Landbrug!C$51),1)*IF($A396="Tømmerproduktion",VLOOKUP($F396,Skovbrug!$A$59:$D$60,MATCH(H$2,Skovbrug!$A$58:$D$58,0),FALSE)/'[1]Processer - data'!H396,1)</f>
        <v>8806.6851353812599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drivhus",Landbrug!D$51,1-Landbrug!D$51),1)*IF($A396="Tømmerproduktion",VLOOKUP($F396,Skovbrug!$A$59:$D$60,MATCH(I$2,Skovbrug!$A$58:$D$58,0),FALSE)/'[1]Processer - data'!I396,1)</f>
        <v>11132.314926695046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drivhus",Landbrug!E$51,1-Landbrug!E$51),1)*IF($A396="Tømmerproduktion",VLOOKUP($F396,Skovbrug!$A$59:$D$60,MATCH(J$2,Skovbrug!$A$58:$D$58,0),FALSE)/'[1]Processer - data'!J396,1)</f>
        <v>15202.576798006121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drivhus",Landbrug!C$51,1-Landbrug!C$51),1)*IF($A397="Tømmerproduktion",VLOOKUP($F397,Skovbrug!$A$59:$D$60,MATCH(H$2,Skovbrug!$A$58:$D$58,0),FALSE)/'[1]Processer - data'!H397,1)</f>
        <v>-43328.890866075802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drivhus",Landbrug!D$51,1-Landbrug!D$51),1)*IF($A397="Tømmerproduktion",VLOOKUP($F397,Skovbrug!$A$59:$D$60,MATCH(I$2,Skovbrug!$A$58:$D$58,0),FALSE)/'[1]Processer - data'!I397,1)</f>
        <v>-51092.340894906367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drivhus",Landbrug!E$51,1-Landbrug!E$51),1)*IF($A397="Tømmerproduktion",VLOOKUP($F397,Skovbrug!$A$59:$D$60,MATCH(J$2,Skovbrug!$A$58:$D$58,0),FALSE)/'[1]Processer - data'!J397,1)</f>
        <v>-65040.589431469671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drivhus",Landbrug!C$51,1-Landbrug!C$51),1)*IF($A398="Tømmerproduktion",VLOOKUP($F398,Skovbrug!$A$59:$D$60,MATCH(H$2,Skovbrug!$A$58:$D$58,0),FALSE)/'[1]Processer - data'!H398,1)</f>
        <v>1245.1952737549332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drivhus",Landbrug!D$51,1-Landbrug!D$51),1)*IF($A398="Tømmerproduktion",VLOOKUP($F398,Skovbrug!$A$59:$D$60,MATCH(I$2,Skovbrug!$A$58:$D$58,0),FALSE)/'[1]Processer - data'!I398,1)</f>
        <v>1468.3030222041596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drivhus",Landbrug!E$51,1-Landbrug!E$51),1)*IF($A398="Tømmerproduktion",VLOOKUP($F398,Skovbrug!$A$59:$D$60,MATCH(J$2,Skovbrug!$A$58:$D$58,0),FALSE)/'[1]Processer - data'!J398,1)</f>
        <v>1869.1508816282796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drivhus",Landbrug!C$51,1-Landbrug!C$51),1)*IF($A399="Tømmerproduktion",VLOOKUP($F399,Skovbrug!$A$59:$D$60,MATCH(H$2,Skovbrug!$A$58:$D$58,0),FALSE)/'[1]Processer - data'!H399,1)</f>
        <v>1435.277383642456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drivhus",Landbrug!D$51,1-Landbrug!D$51),1)*IF($A399="Tømmerproduktion",VLOOKUP($F399,Skovbrug!$A$59:$D$60,MATCH(I$2,Skovbrug!$A$58:$D$58,0),FALSE)/'[1]Processer - data'!I399,1)</f>
        <v>1695.5004648896979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drivhus",Landbrug!E$51,1-Landbrug!E$51),1)*IF($A399="Tømmerproduktion",VLOOKUP($F399,Skovbrug!$A$59:$D$60,MATCH(J$2,Skovbrug!$A$58:$D$58,0),FALSE)/'[1]Processer - data'!J399,1)</f>
        <v>2357.7906893245686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drivhus",Landbrug!C$51,1-Landbrug!C$51),1)*IF($A400="Tømmerproduktion",VLOOKUP($F400,Skovbrug!$A$59:$D$60,MATCH(H$2,Skovbrug!$A$58:$D$58,0),FALSE)/'[1]Processer - data'!H400,1)</f>
        <v>-5884.6372729340701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drivhus",Landbrug!D$51,1-Landbrug!D$51),1)*IF($A400="Tømmerproduktion",VLOOKUP($F400,Skovbrug!$A$59:$D$60,MATCH(I$2,Skovbrug!$A$58:$D$58,0),FALSE)/'[1]Processer - data'!I400,1)</f>
        <v>-6484.656628775896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drivhus",Landbrug!E$51,1-Landbrug!E$51),1)*IF($A400="Tømmerproduktion",VLOOKUP($F400,Skovbrug!$A$59:$D$60,MATCH(J$2,Skovbrug!$A$58:$D$58,0),FALSE)/'[1]Processer - data'!J400,1)</f>
        <v>-8406.0363706354201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drivhus",Landbrug!C$51,1-Landbrug!C$51),1)*IF($A401="Tømmerproduktion",VLOOKUP($F401,Skovbrug!$A$59:$D$60,MATCH(H$2,Skovbrug!$A$58:$D$58,0),FALSE)/'[1]Processer - data'!H401,1)</f>
        <v>917.25444543181561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drivhus",Landbrug!D$51,1-Landbrug!D$51),1)*IF($A401="Tømmerproduktion",VLOOKUP($F401,Skovbrug!$A$59:$D$60,MATCH(I$2,Skovbrug!$A$58:$D$58,0),FALSE)/'[1]Processer - data'!I401,1)</f>
        <v>1010.7810972821235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drivhus",Landbrug!E$51,1-Landbrug!E$51),1)*IF($A401="Tømmerproduktion",VLOOKUP($F401,Skovbrug!$A$59:$D$60,MATCH(J$2,Skovbrug!$A$58:$D$58,0),FALSE)/'[1]Processer - data'!J401,1)</f>
        <v>1310.2717927731228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drivhus",Landbrug!C$51,1-Landbrug!C$51),1)*IF($A402="Tømmerproduktion",VLOOKUP($F402,Skovbrug!$A$59:$D$60,MATCH(H$2,Skovbrug!$A$58:$D$58,0),FALSE)/'[1]Processer - data'!H402,1)</f>
        <v>1374.5684649257814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drivhus",Landbrug!D$51,1-Landbrug!D$51),1)*IF($A402="Tømmerproduktion",VLOOKUP($F402,Skovbrug!$A$59:$D$60,MATCH(I$2,Skovbrug!$A$58:$D$58,0),FALSE)/'[1]Processer - data'!I402,1)</f>
        <v>1586.5083757067139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drivhus",Landbrug!E$51,1-Landbrug!E$51),1)*IF($A402="Tømmerproduktion",VLOOKUP($F402,Skovbrug!$A$59:$D$60,MATCH(J$2,Skovbrug!$A$58:$D$58,0),FALSE)/'[1]Processer - data'!J402,1)</f>
        <v>2206.2245067093427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drivhus",Landbrug!C$51,1-Landbrug!C$51),1)*IF($A403="Tømmerproduktion",VLOOKUP($F403,Skovbrug!$A$59:$D$60,MATCH(H$2,Skovbrug!$A$58:$D$58,0),FALSE)/'[1]Processer - data'!H403,1)</f>
        <v>-4830.6263195963184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drivhus",Landbrug!D$51,1-Landbrug!D$51),1)*IF($A403="Tømmerproduktion",VLOOKUP($F403,Skovbrug!$A$59:$D$60,MATCH(I$2,Skovbrug!$A$58:$D$58,0),FALSE)/'[1]Processer - data'!I403,1)</f>
        <v>-5200.9736197208385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drivhus",Landbrug!E$51,1-Landbrug!E$51),1)*IF($A403="Tømmerproduktion",VLOOKUP($F403,Skovbrug!$A$59:$D$60,MATCH(J$2,Skovbrug!$A$58:$D$58,0),FALSE)/'[1]Processer - data'!J403,1)</f>
        <v>-6742.0028403788629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drivhus",Landbrug!C$51,1-Landbrug!C$51),1)*IF($A404="Tømmerproduktion",VLOOKUP($F404,Skovbrug!$A$59:$D$60,MATCH(H$2,Skovbrug!$A$58:$D$58,0),FALSE)/'[1]Processer - data'!H404,1)</f>
        <v>2012.8806281383841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drivhus",Landbrug!D$51,1-Landbrug!D$51),1)*IF($A404="Tømmerproduktion",VLOOKUP($F404,Skovbrug!$A$59:$D$60,MATCH(I$2,Skovbrug!$A$58:$D$58,0),FALSE)/'[1]Processer - data'!I404,1)</f>
        <v>2167.2011772315486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drivhus",Landbrug!E$51,1-Landbrug!E$51),1)*IF($A404="Tømmerproduktion",VLOOKUP($F404,Skovbrug!$A$59:$D$60,MATCH(J$2,Skovbrug!$A$58:$D$58,0),FALSE)/'[1]Processer - data'!J404,1)</f>
        <v>2809.3348593742294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drivhus",Landbrug!C$51,1-Landbrug!C$51),1)*IF($A405="Tømmerproduktion",VLOOKUP($F405,Skovbrug!$A$59:$D$60,MATCH(H$2,Skovbrug!$A$58:$D$58,0),FALSE)/'[1]Processer - data'!H405,1)</f>
        <v>1646745.8486558588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drivhus",Landbrug!D$51,1-Landbrug!D$51),1)*IF($A405="Tømmerproduktion",VLOOKUP($F405,Skovbrug!$A$59:$D$60,MATCH(I$2,Skovbrug!$A$58:$D$58,0),FALSE)/'[1]Processer - data'!I405,1)</f>
        <v>1705382.3906101447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drivhus",Landbrug!E$51,1-Landbrug!E$51),1)*IF($A405="Tømmerproduktion",VLOOKUP($F405,Skovbrug!$A$59:$D$60,MATCH(J$2,Skovbrug!$A$58:$D$58,0),FALSE)/'[1]Processer - data'!J405,1)</f>
        <v>1713511.6336433543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drivhus",Landbrug!C$51,1-Landbrug!C$51),1)*IF($A406="Tømmerproduktion",VLOOKUP($F406,Skovbrug!$A$59:$D$60,MATCH(H$2,Skovbrug!$A$58:$D$58,0),FALSE)/'[1]Processer - data'!H406,1)</f>
        <v>-5970797.1307319021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drivhus",Landbrug!D$51,1-Landbrug!D$51),1)*IF($A406="Tømmerproduktion",VLOOKUP($F406,Skovbrug!$A$59:$D$60,MATCH(I$2,Skovbrug!$A$58:$D$58,0),FALSE)/'[1]Processer - data'!I406,1)</f>
        <v>-5768099.2831239393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drivhus",Landbrug!E$51,1-Landbrug!E$51),1)*IF($A406="Tømmerproduktion",VLOOKUP($F406,Skovbrug!$A$59:$D$60,MATCH(J$2,Skovbrug!$A$58:$D$58,0),FALSE)/'[1]Processer - data'!J406,1)</f>
        <v>-5402502.2342698062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drivhus",Landbrug!C$51,1-Landbrug!C$51),1)*IF($A407="Tømmerproduktion",VLOOKUP($F407,Skovbrug!$A$59:$D$60,MATCH(H$2,Skovbrug!$A$58:$D$58,0),FALSE)/'[1]Processer - data'!H407,1)</f>
        <v>234735.24578556098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drivhus",Landbrug!D$51,1-Landbrug!D$51),1)*IF($A407="Tømmerproduktion",VLOOKUP($F407,Skovbrug!$A$59:$D$60,MATCH(I$2,Skovbrug!$A$58:$D$58,0),FALSE)/'[1]Processer - data'!I407,1)</f>
        <v>226766.40543867301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drivhus",Landbrug!E$51,1-Landbrug!E$51),1)*IF($A407="Tømmerproduktion",VLOOKUP($F407,Skovbrug!$A$59:$D$60,MATCH(J$2,Skovbrug!$A$58:$D$58,0),FALSE)/'[1]Processer - data'!J407,1)</f>
        <v>212393.36424463548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drivhus",Landbrug!C$51,1-Landbrug!C$51),1)*IF($A408="Tømmerproduktion",VLOOKUP($F408,Skovbrug!$A$59:$D$60,MATCH(H$2,Skovbrug!$A$58:$D$58,0),FALSE)/'[1]Processer - data'!H408,1)</f>
        <v>314716.31243677461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drivhus",Landbrug!D$51,1-Landbrug!D$51),1)*IF($A408="Tømmerproduktion",VLOOKUP($F408,Skovbrug!$A$59:$D$60,MATCH(I$2,Skovbrug!$A$58:$D$58,0),FALSE)/'[1]Processer - data'!I408,1)</f>
        <v>304581.49086046818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drivhus",Landbrug!E$51,1-Landbrug!E$51),1)*IF($A408="Tømmerproduktion",VLOOKUP($F408,Skovbrug!$A$59:$D$60,MATCH(J$2,Skovbrug!$A$58:$D$58,0),FALSE)/'[1]Processer - data'!J408,1)</f>
        <v>311633.69149972947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drivhus",Landbrug!C$51,1-Landbrug!C$51),1)*IF($A409="Tømmerproduktion",VLOOKUP($F409,Skovbrug!$A$59:$D$60,MATCH(H$2,Skovbrug!$A$58:$D$58,0),FALSE)/'[1]Processer - data'!H409,1)</f>
        <v>-950919.48403666483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drivhus",Landbrug!D$51,1-Landbrug!D$51),1)*IF($A409="Tømmerproduktion",VLOOKUP($F409,Skovbrug!$A$59:$D$60,MATCH(I$2,Skovbrug!$A$58:$D$58,0),FALSE)/'[1]Processer - data'!I409,1)</f>
        <v>-858485.99545687344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drivhus",Landbrug!E$51,1-Landbrug!E$51),1)*IF($A409="Tømmerproduktion",VLOOKUP($F409,Skovbrug!$A$59:$D$60,MATCH(J$2,Skovbrug!$A$58:$D$58,0),FALSE)/'[1]Processer - data'!J409,1)</f>
        <v>-818787.22110048623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drivhus",Landbrug!C$51,1-Landbrug!C$51),1)*IF($A410="Tømmerproduktion",VLOOKUP($F410,Skovbrug!$A$59:$D$60,MATCH(H$2,Skovbrug!$A$58:$D$58,0),FALSE)/'[1]Processer - data'!H410,1)</f>
        <v>202768.25813771781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drivhus",Landbrug!D$51,1-Landbrug!D$51),1)*IF($A410="Tømmerproduktion",VLOOKUP($F410,Skovbrug!$A$59:$D$60,MATCH(I$2,Skovbrug!$A$58:$D$58,0),FALSE)/'[1]Processer - data'!I410,1)</f>
        <v>183058.30604655392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drivhus",Landbrug!E$51,1-Landbrug!E$51),1)*IF($A410="Tømmerproduktion",VLOOKUP($F410,Skovbrug!$A$59:$D$60,MATCH(J$2,Skovbrug!$A$58:$D$58,0),FALSE)/'[1]Processer - data'!J410,1)</f>
        <v>174593.18206752255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drivhus",Landbrug!C$51,1-Landbrug!C$51),1)*IF($A411="Tømmerproduktion",VLOOKUP($F411,Skovbrug!$A$59:$D$60,MATCH(H$2,Skovbrug!$A$58:$D$58,0),FALSE)/'[1]Processer - data'!H411,1)</f>
        <v>394392.38835482521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drivhus",Landbrug!D$51,1-Landbrug!D$51),1)*IF($A411="Tømmerproduktion",VLOOKUP($F411,Skovbrug!$A$59:$D$60,MATCH(I$2,Skovbrug!$A$58:$D$58,0),FALSE)/'[1]Processer - data'!I411,1)</f>
        <v>372929.46673372143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drivhus",Landbrug!E$51,1-Landbrug!E$51),1)*IF($A411="Tømmerproduktion",VLOOKUP($F411,Skovbrug!$A$59:$D$60,MATCH(J$2,Skovbrug!$A$58:$D$58,0),FALSE)/'[1]Processer - data'!J411,1)</f>
        <v>381564.17863387341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drivhus",Landbrug!C$51,1-Landbrug!C$51),1)*IF($A412="Tømmerproduktion",VLOOKUP($F412,Skovbrug!$A$59:$D$60,MATCH(H$2,Skovbrug!$A$58:$D$58,0),FALSE)/'[1]Processer - data'!H412,1)</f>
        <v>-1021424.3974796053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drivhus",Landbrug!D$51,1-Landbrug!D$51),1)*IF($A412="Tømmerproduktion",VLOOKUP($F412,Skovbrug!$A$59:$D$60,MATCH(I$2,Skovbrug!$A$58:$D$58,0),FALSE)/'[1]Processer - data'!I412,1)</f>
        <v>-900968.5207621475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drivhus",Landbrug!E$51,1-Landbrug!E$51),1)*IF($A412="Tømmerproduktion",VLOOKUP($F412,Skovbrug!$A$59:$D$60,MATCH(J$2,Skovbrug!$A$58:$D$58,0),FALSE)/'[1]Processer - data'!J412,1)</f>
        <v>-859305.23656505393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drivhus",Landbrug!C$51,1-Landbrug!C$51),1)*IF($A413="Tømmerproduktion",VLOOKUP($F413,Skovbrug!$A$59:$D$60,MATCH(H$2,Skovbrug!$A$58:$D$58,0),FALSE)/'[1]Processer - data'!H413,1)</f>
        <v>582246.51992913405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drivhus",Landbrug!D$51,1-Landbrug!D$51),1)*IF($A413="Tømmerproduktion",VLOOKUP($F413,Skovbrug!$A$59:$D$60,MATCH(I$2,Skovbrug!$A$58:$D$58,0),FALSE)/'[1]Processer - data'!I413,1)</f>
        <v>513582.58826976421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drivhus",Landbrug!E$51,1-Landbrug!E$51),1)*IF($A413="Tømmerproduktion",VLOOKUP($F413,Skovbrug!$A$59:$D$60,MATCH(J$2,Skovbrug!$A$58:$D$58,0),FALSE)/'[1]Processer - data'!J413,1)</f>
        <v>489833.10441913927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drivhus",Landbrug!C$51,1-Landbrug!C$51),1)*IF($A414="Tømmerproduktion",VLOOKUP($F414,Skovbrug!$A$59:$D$60,MATCH(H$2,Skovbrug!$A$58:$D$58,0),FALSE)/'[1]Processer - data'!H414,1)</f>
        <v>210555.41784967913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drivhus",Landbrug!D$51,1-Landbrug!D$51),1)*IF($A414="Tømmerproduktion",VLOOKUP($F414,Skovbrug!$A$59:$D$60,MATCH(I$2,Skovbrug!$A$58:$D$58,0),FALSE)/'[1]Processer - data'!I414,1)</f>
        <v>266157.94535534055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drivhus",Landbrug!E$51,1-Landbrug!E$51),1)*IF($A414="Tømmerproduktion",VLOOKUP($F414,Skovbrug!$A$59:$D$60,MATCH(J$2,Skovbrug!$A$58:$D$58,0),FALSE)/'[1]Processer - data'!J414,1)</f>
        <v>363472.16471222666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drivhus",Landbrug!C$51,1-Landbrug!C$51),1)*IF($A415="Tømmerproduktion",VLOOKUP($F415,Skovbrug!$A$59:$D$60,MATCH(H$2,Skovbrug!$A$58:$D$58,0),FALSE)/'[1]Processer - data'!H415,1)</f>
        <v>-763435.1626166756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drivhus",Landbrug!D$51,1-Landbrug!D$51),1)*IF($A415="Tømmerproduktion",VLOOKUP($F415,Skovbrug!$A$59:$D$60,MATCH(I$2,Skovbrug!$A$58:$D$58,0),FALSE)/'[1]Processer - data'!I415,1)</f>
        <v>-900223.58753957448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drivhus",Landbrug!E$51,1-Landbrug!E$51),1)*IF($A415="Tømmerproduktion",VLOOKUP($F415,Skovbrug!$A$59:$D$60,MATCH(J$2,Skovbrug!$A$58:$D$58,0),FALSE)/'[1]Processer - data'!J415,1)</f>
        <v>-1145985.3224208679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drivhus",Landbrug!C$51,1-Landbrug!C$51),1)*IF($A416="Tømmerproduktion",VLOOKUP($F416,Skovbrug!$A$59:$D$60,MATCH(H$2,Skovbrug!$A$58:$D$58,0),FALSE)/'[1]Processer - data'!H416,1)</f>
        <v>30013.603981918917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drivhus",Landbrug!D$51,1-Landbrug!D$51),1)*IF($A416="Tømmerproduktion",VLOOKUP($F416,Skovbrug!$A$59:$D$60,MATCH(I$2,Skovbrug!$A$58:$D$58,0),FALSE)/'[1]Processer - data'!I416,1)</f>
        <v>35391.288710081921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drivhus",Landbrug!E$51,1-Landbrug!E$51),1)*IF($A416="Tømmerproduktion",VLOOKUP($F416,Skovbrug!$A$59:$D$60,MATCH(J$2,Skovbrug!$A$58:$D$58,0),FALSE)/'[1]Processer - data'!J416,1)</f>
        <v>45053.137870074192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drivhus",Landbrug!C$51,1-Landbrug!C$51),1)*IF($A417="Tømmerproduktion",VLOOKUP($F417,Skovbrug!$A$59:$D$60,MATCH(H$2,Skovbrug!$A$58:$D$58,0),FALSE)/'[1]Processer - data'!H417,1)</f>
        <v>40240.104277975639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drivhus",Landbrug!D$51,1-Landbrug!D$51),1)*IF($A417="Tømmerproduktion",VLOOKUP($F417,Skovbrug!$A$59:$D$60,MATCH(I$2,Skovbrug!$A$58:$D$58,0),FALSE)/'[1]Processer - data'!I417,1)</f>
        <v>47535.839614061515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drivhus",Landbrug!E$51,1-Landbrug!E$51),1)*IF($A417="Tømmerproduktion",VLOOKUP($F417,Skovbrug!$A$59:$D$60,MATCH(J$2,Skovbrug!$A$58:$D$58,0),FALSE)/'[1]Processer - data'!J417,1)</f>
        <v>66104.116378730483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drivhus",Landbrug!C$51,1-Landbrug!C$51),1)*IF($A418="Tømmerproduktion",VLOOKUP($F418,Skovbrug!$A$59:$D$60,MATCH(H$2,Skovbrug!$A$58:$D$58,0),FALSE)/'[1]Processer - data'!H418,1)</f>
        <v>-121586.00519088602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drivhus",Landbrug!D$51,1-Landbrug!D$51),1)*IF($A418="Tømmerproduktion",VLOOKUP($F418,Skovbrug!$A$59:$D$60,MATCH(I$2,Skovbrug!$A$58:$D$58,0),FALSE)/'[1]Processer - data'!I418,1)</f>
        <v>-133983.36345280687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drivhus",Landbrug!E$51,1-Landbrug!E$51),1)*IF($A418="Tømmerproduktion",VLOOKUP($F418,Skovbrug!$A$59:$D$60,MATCH(J$2,Skovbrug!$A$58:$D$58,0),FALSE)/'[1]Processer - data'!J418,1)</f>
        <v>-173682.13780919404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drivhus",Landbrug!C$51,1-Landbrug!C$51),1)*IF($A419="Tømmerproduktion",VLOOKUP($F419,Skovbrug!$A$59:$D$60,MATCH(H$2,Skovbrug!$A$58:$D$58,0),FALSE)/'[1]Processer - data'!H419,1)</f>
        <v>25926.25653417455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drivhus",Landbrug!D$51,1-Landbrug!D$51),1)*IF($A419="Tømmerproduktion",VLOOKUP($F419,Skovbrug!$A$59:$D$60,MATCH(I$2,Skovbrug!$A$58:$D$58,0),FALSE)/'[1]Processer - data'!I419,1)</f>
        <v>28569.793429230966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drivhus",Landbrug!E$51,1-Landbrug!E$51),1)*IF($A419="Tømmerproduktion",VLOOKUP($F419,Skovbrug!$A$59:$D$60,MATCH(J$2,Skovbrug!$A$58:$D$58,0),FALSE)/'[1]Processer - data'!J419,1)</f>
        <v>37034.917408262358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drivhus",Landbrug!C$51,1-Landbrug!C$51),1)*IF($A420="Tømmerproduktion",VLOOKUP($F420,Skovbrug!$A$59:$D$60,MATCH(H$2,Skovbrug!$A$58:$D$58,0),FALSE)/'[1]Processer - data'!H420,1)</f>
        <v>50427.60799704762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drivhus",Landbrug!D$51,1-Landbrug!D$51),1)*IF($A420="Tømmerproduktion",VLOOKUP($F420,Skovbrug!$A$59:$D$60,MATCH(I$2,Skovbrug!$A$58:$D$58,0),FALSE)/'[1]Processer - data'!I420,1)</f>
        <v>58202.864750349589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drivhus",Landbrug!E$51,1-Landbrug!E$51),1)*IF($A420="Tømmerproduktion",VLOOKUP($F420,Skovbrug!$A$59:$D$60,MATCH(J$2,Skovbrug!$A$58:$D$58,0),FALSE)/'[1]Processer - data'!J420,1)</f>
        <v>80937.856073851945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drivhus",Landbrug!C$51,1-Landbrug!C$51),1)*IF($A421="Tømmerproduktion",VLOOKUP($F421,Skovbrug!$A$59:$D$60,MATCH(H$2,Skovbrug!$A$58:$D$58,0),FALSE)/'[1]Processer - data'!H421,1)</f>
        <v>-130600.87018814778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drivhus",Landbrug!D$51,1-Landbrug!D$51),1)*IF($A421="Tømmerproduktion",VLOOKUP($F421,Skovbrug!$A$59:$D$60,MATCH(I$2,Skovbrug!$A$58:$D$58,0),FALSE)/'[1]Processer - data'!I421,1)</f>
        <v>-140613.58416519064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drivhus",Landbrug!E$51,1-Landbrug!E$51),1)*IF($A421="Tømmerproduktion",VLOOKUP($F421,Skovbrug!$A$59:$D$60,MATCH(J$2,Skovbrug!$A$58:$D$58,0),FALSE)/'[1]Processer - data'!J421,1)</f>
        <v>-182276.86836228418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drivhus",Landbrug!C$51,1-Landbrug!C$51),1)*IF($A422="Tømmerproduktion",VLOOKUP($F422,Skovbrug!$A$59:$D$60,MATCH(H$2,Skovbrug!$A$58:$D$58,0),FALSE)/'[1]Processer - data'!H422,1)</f>
        <v>74446.921724604632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drivhus",Landbrug!D$51,1-Landbrug!D$51),1)*IF($A422="Tømmerproduktion",VLOOKUP($F422,Skovbrug!$A$59:$D$60,MATCH(I$2,Skovbrug!$A$58:$D$58,0),FALSE)/'[1]Processer - data'!I422,1)</f>
        <v>80154.507995859152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drivhus",Landbrug!E$51,1-Landbrug!E$51),1)*IF($A422="Tømmerproduktion",VLOOKUP($F422,Skovbrug!$A$59:$D$60,MATCH(J$2,Skovbrug!$A$58:$D$58,0),FALSE)/'[1]Processer - data'!J422,1)</f>
        <v>103903.99184648409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drivhus",Landbrug!C$51,1-Landbrug!C$51),1)*IF($A423="Tømmerproduktion",VLOOKUP($F423,Skovbrug!$A$59:$D$60,MATCH(H$2,Skovbrug!$A$58:$D$58,0),FALSE)/'[1]Processer - data'!H423,1)</f>
        <v>640291.52551137318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drivhus",Landbrug!D$51,1-Landbrug!D$51),1)*IF($A423="Tømmerproduktion",VLOOKUP($F423,Skovbrug!$A$59:$D$60,MATCH(I$2,Skovbrug!$A$58:$D$58,0),FALSE)/'[1]Processer - data'!I423,1)</f>
        <v>605942.81758342392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drivhus",Landbrug!E$51,1-Landbrug!E$51),1)*IF($A423="Tømmerproduktion",VLOOKUP($F423,Skovbrug!$A$59:$D$60,MATCH(J$2,Skovbrug!$A$58:$D$58,0),FALSE)/'[1]Processer - data'!J423,1)</f>
        <v>551632.61779012682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drivhus",Landbrug!C$51,1-Landbrug!C$51),1)*IF($A424="Tømmerproduktion",VLOOKUP($F424,Skovbrug!$A$59:$D$60,MATCH(H$2,Skovbrug!$A$58:$D$58,0),FALSE)/'[1]Processer - data'!H424,1)</f>
        <v>693649.15263732092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drivhus",Landbrug!D$51,1-Landbrug!D$51),1)*IF($A424="Tømmerproduktion",VLOOKUP($F424,Skovbrug!$A$59:$D$60,MATCH(I$2,Skovbrug!$A$58:$D$58,0),FALSE)/'[1]Processer - data'!I424,1)</f>
        <v>656438.05238204252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drivhus",Landbrug!E$51,1-Landbrug!E$51),1)*IF($A424="Tømmerproduktion",VLOOKUP($F424,Skovbrug!$A$59:$D$60,MATCH(J$2,Skovbrug!$A$58:$D$58,0),FALSE)/'[1]Processer - data'!J424,1)</f>
        <v>597602.00260597083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>SUMIFS(H3:H424,$F$3:$F$424,$D$425)*H423/SUM(H423:H424)</f>
        <v>-469132.82551179174</v>
      </c>
      <c r="I425" s="338">
        <f t="shared" ref="I425:J425" ca="1" si="0">SUMIFS(I3:I424,$F$3:$F$424,$D$425)*I423/SUM(I423:I424)</f>
        <v>-443965.99796390499</v>
      </c>
      <c r="J425" s="339">
        <f t="shared" ca="1" si="0"/>
        <v>-420246.69324787147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drivhus",Landbrug!C$51,1-Landbrug!C$51),1)*IF($A426="Tømmerproduktion",VLOOKUP($F426,Skovbrug!$A$59:$D$60,MATCH(H$2,Skovbrug!$A$58:$D$58,0),FALSE)/'[1]Processer - data'!H426,1)</f>
        <v>3160794.2116654618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drivhus",Landbrug!D$51,1-Landbrug!D$51),1)*IF($A426="Tømmerproduktion",VLOOKUP($F426,Skovbrug!$A$59:$D$60,MATCH(I$2,Skovbrug!$A$58:$D$58,0),FALSE)/'[1]Processer - data'!I426,1)</f>
        <v>3753212.2579404083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drivhus",Landbrug!E$51,1-Landbrug!E$51),1)*IF($A426="Tømmerproduktion",VLOOKUP($F426,Skovbrug!$A$59:$D$60,MATCH(J$2,Skovbrug!$A$58:$D$58,0),FALSE)/'[1]Processer - data'!J426,1)</f>
        <v>3683495.3348211222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input'!$A$3:$A$230,$A$1)),IF(VLOOKUP($A427,[1]!Table1[#All],2,FALSE)="Resultat",SUMIF($F$1:$F426,$D427,H$1:H426)+SUMIF($F428:$F$512,$D427,H428:H$512),0))*'[1]Processer - data'!H427,"")*IF($C427&lt;&gt;"",IF($F427="Halm",Landbrug!C$16*Landbrug!C$17,IF(LEFT($D427,5)="Areal", IF($G427="Ton",Landbrug!C$18,1),1)),1)*IF($F427="Grøntsager",IF($A427="Grøntsager i drivhus",Landbrug!C$51,1-Landbrug!C$51),1)*IF($A427="Tømmerproduktion",VLOOKUP($F427,Skovbrug!$A$59:$D$60,MATCH(H$2,Skovbrug!$A$58:$D$58,0),FALSE)/'[1]Processer - data'!H427,1)</f>
        <v>123050.04950946826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input'!$A$3:$A$230,$A$1)),IF(VLOOKUP($A427,[1]!Table1[#All],2,FALSE)="Resultat",SUMIF($F$1:$F426,$D427,I$1:I426)+SUMIF($F428:$F$512,$D427,I428:I$512),0))*'[1]Processer - data'!I427,"")*IF($C427&lt;&gt;"",IF($F427="Halm",Landbrug!D$16*Landbrug!D$17,IF(LEFT($D427,5)="Areal", IF($G427="Ton",Landbrug!D$18,1),1)),1)*IF($F427="Grøntsager",IF($A427="Grøntsager i drivhus",Landbrug!D$51,1-Landbrug!D$51),1)*IF($A427="Tømmerproduktion",VLOOKUP($F427,Skovbrug!$A$59:$D$60,MATCH(I$2,Skovbrug!$A$58:$D$58,0),FALSE)/'[1]Processer - data'!I427,1)</f>
        <v>146112.946061036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input'!$A$3:$A$230,$A$1)),IF(VLOOKUP($A427,[1]!Table1[#All],2,FALSE)="Resultat",SUMIF($F$1:$F426,$D427,J$1:J426)+SUMIF($F428:$F$512,$D427,J428:J$512),0))*'[1]Processer - data'!J427,"")*IF($C427&lt;&gt;"",IF($F427="Halm",Landbrug!E$16*Landbrug!E$17,IF(LEFT($D427,5)="Areal", IF($G427="Ton",Landbrug!E$18,1),1)),1)*IF($F427="Grøntsager",IF($A427="Grøntsager i drivhus",Landbrug!E$51,1-Landbrug!E$51),1)*IF($A427="Tømmerproduktion",VLOOKUP($F427,Skovbrug!$A$59:$D$60,MATCH(J$2,Skovbrug!$A$58:$D$58,0),FALSE)/'[1]Processer - data'!J427,1)</f>
        <v>143398.85894653329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input'!$A$3:$A$230,$A$1)),IF(VLOOKUP($A428,[1]!Table1[#All],2,FALSE)="Resultat",SUMIF($F$1:$F427,$D428,H$1:H427)+SUMIF($F429:$F$512,$D428,H429:H$512),0))*'[1]Processer - data'!H428,"")*IF($C428&lt;&gt;"",IF($F428="Halm",Landbrug!C$16*Landbrug!C$17,IF(LEFT($D428,5)="Areal", IF($G428="Ton",Landbrug!C$18,1),1)),1)*IF($F428="Grøntsager",IF($A428="Grøntsager i drivhus",Landbrug!C$51,1-Landbrug!C$51),1)*IF($A428="Tømmerproduktion",VLOOKUP($F428,Skovbrug!$A$59:$D$60,MATCH(H$2,Skovbrug!$A$58:$D$58,0),FALSE)/'[1]Processer - data'!H428,1)</f>
        <v>16168.776505544129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input'!$A$3:$A$230,$A$1)),IF(VLOOKUP($A428,[1]!Table1[#All],2,FALSE)="Resultat",SUMIF($F$1:$F427,$D428,I$1:I427)+SUMIF($F429:$F$512,$D428,I429:I$512),0))*'[1]Processer - data'!I428,"")*IF($C428&lt;&gt;"",IF($F428="Halm",Landbrug!D$16*Landbrug!D$17,IF(LEFT($D428,5)="Areal", IF($G428="Ton",Landbrug!D$18,1),1)),1)*IF($F428="Grøntsager",IF($A428="Grøntsager i drivhus",Landbrug!D$51,1-Landbrug!D$51),1)*IF($A428="Tømmerproduktion",VLOOKUP($F428,Skovbrug!$A$59:$D$60,MATCH(I$2,Skovbrug!$A$58:$D$58,0),FALSE)/'[1]Processer - data'!I428,1)</f>
        <v>19199.241112420132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input'!$A$3:$A$230,$A$1)),IF(VLOOKUP($A428,[1]!Table1[#All],2,FALSE)="Resultat",SUMIF($F$1:$F427,$D428,J$1:J427)+SUMIF($F429:$F$512,$D428,J429:J$512),0))*'[1]Processer - data'!J428,"")*IF($C428&lt;&gt;"",IF($F428="Halm",Landbrug!E$16*Landbrug!E$17,IF(LEFT($D428,5)="Areal", IF($G428="Ton",Landbrug!E$18,1),1)),1)*IF($F428="Grøntsager",IF($A428="Grøntsager i drivhus",Landbrug!E$51,1-Landbrug!E$51),1)*IF($A428="Tømmerproduktion",VLOOKUP($F428,Skovbrug!$A$59:$D$60,MATCH(J$2,Skovbrug!$A$58:$D$58,0),FALSE)/'[1]Processer - data'!J428,1)</f>
        <v>18842.610065574474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input'!$A$3:$A$230,$A$1)),IF(VLOOKUP($A429,[1]!Table1[#All],2,FALSE)="Resultat",SUMIF($F$1:$F428,$D429,H$1:H428)+SUMIF($F430:$F$512,$D429,H430:H$512),0))*'[1]Processer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drivhus",Landbrug!C$51,1-Landbrug!C$51),1)*IF($A429="Tømmerproduktion",VLOOKUP($F429,Skovbrug!$A$59:$D$60,MATCH(H$2,Skovbrug!$A$58:$D$58,0),FALSE)/'[1]Processer - data'!H429,1)</f>
        <v>1638157.7192038004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input'!$A$3:$A$230,$A$1)),IF(VLOOKUP($A429,[1]!Table1[#All],2,FALSE)="Resultat",SUMIF($F$1:$F428,$D429,I$1:I428)+SUMIF($F430:$F$512,$D429,I430:I$512),0))*'[1]Processer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drivhus",Landbrug!D$51,1-Landbrug!D$51),1)*IF($A429="Tømmerproduktion",VLOOKUP($F429,Skovbrug!$A$59:$D$60,MATCH(I$2,Skovbrug!$A$58:$D$58,0),FALSE)/'[1]Processer - data'!I429,1)</f>
        <v>1945192.6384399957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input'!$A$3:$A$230,$A$1)),IF(VLOOKUP($A429,[1]!Table1[#All],2,FALSE)="Resultat",SUMIF($F$1:$F428,$D429,J$1:J428)+SUMIF($F430:$F$512,$D429,J430:J$512),0))*'[1]Processer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drivhus",Landbrug!E$51,1-Landbrug!E$51),1)*IF($A429="Tømmerproduktion",VLOOKUP($F429,Skovbrug!$A$59:$D$60,MATCH(J$2,Skovbrug!$A$58:$D$58,0),FALSE)/'[1]Processer - data'!J429,1)</f>
        <v>1909060.1640936765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drivhus",Landbrug!C$51,1-Landbrug!C$51),1)*IF($A430="Tømmerproduktion",VLOOKUP($F430,Skovbrug!$A$59:$D$60,MATCH(H$2,Skovbrug!$A$58:$D$58,0),FALSE)/'[1]Processer - data'!H430,1)</f>
        <v>1394376.9846055224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drivhus",Landbrug!D$51,1-Landbrug!D$51),1)*IF($A430="Tømmerproduktion",VLOOKUP($F430,Skovbrug!$A$59:$D$60,MATCH(I$2,Skovbrug!$A$58:$D$58,0),FALSE)/'[1]Processer - data'!I430,1)</f>
        <v>1653615.6309381565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drivhus",Landbrug!E$51,1-Landbrug!E$51),1)*IF($A430="Tømmerproduktion",VLOOKUP($F430,Skovbrug!$A$59:$D$60,MATCH(J$2,Skovbrug!$A$58:$D$58,0),FALSE)/'[1]Processer - data'!J430,1)</f>
        <v>1608181.0498602674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drivhus",Landbrug!C$51,1-Landbrug!C$51),1)*IF($A431="Tømmerproduktion",VLOOKUP($F431,Skovbrug!$A$59:$D$60,MATCH(H$2,Skovbrug!$A$58:$D$58,0),FALSE)/'[1]Processer - data'!H431,1)</f>
        <v>19793.458911774498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drivhus",Landbrug!D$51,1-Landbrug!D$51),1)*IF($A431="Tømmerproduktion",VLOOKUP($F431,Skovbrug!$A$59:$D$60,MATCH(I$2,Skovbrug!$A$58:$D$58,0),FALSE)/'[1]Processer - data'!I431,1)</f>
        <v>31680.679018030081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drivhus",Landbrug!E$51,1-Landbrug!E$51),1)*IF($A431="Tømmerproduktion",VLOOKUP($F431,Skovbrug!$A$59:$D$60,MATCH(J$2,Skovbrug!$A$58:$D$58,0),FALSE)/'[1]Processer - data'!J431,1)</f>
        <v>30810.223784953552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drivhus",Landbrug!C$51,1-Landbrug!C$51),1)*IF($A432="Tømmerproduktion",VLOOKUP($F432,Skovbrug!$A$59:$D$60,MATCH(H$2,Skovbrug!$A$58:$D$58,0),FALSE)/'[1]Processer - data'!H432,1)</f>
        <v>124355.90277843094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drivhus",Landbrug!D$51,1-Landbrug!D$51),1)*IF($A432="Tømmerproduktion",VLOOKUP($F432,Skovbrug!$A$59:$D$60,MATCH(I$2,Skovbrug!$A$58:$D$58,0),FALSE)/'[1]Processer - data'!I432,1)</f>
        <v>147475.80238640774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drivhus",Landbrug!E$51,1-Landbrug!E$51),1)*IF($A432="Tømmerproduktion",VLOOKUP($F432,Skovbrug!$A$59:$D$60,MATCH(J$2,Skovbrug!$A$58:$D$58,0),FALSE)/'[1]Processer - data'!J432,1)</f>
        <v>143423.77168762282</v>
      </c>
    </row>
    <row r="433" spans="1:15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drivhus",Landbrug!C$51,1-Landbrug!C$51),1)*IF($A433="Tømmerproduktion",VLOOKUP($F433,Skovbrug!$A$59:$D$60,MATCH(H$2,Skovbrug!$A$58:$D$58,0),FALSE)/'[1]Processer - data'!H433,1)</f>
        <v>122702.02440075704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drivhus",Landbrug!D$51,1-Landbrug!D$51),1)*IF($A433="Tømmerproduktion",VLOOKUP($F433,Skovbrug!$A$59:$D$60,MATCH(I$2,Skovbrug!$A$58:$D$58,0),FALSE)/'[1]Processer - data'!I433,1)</f>
        <v>145514.43959342825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drivhus",Landbrug!E$51,1-Landbrug!E$51),1)*IF($A433="Tømmerproduktion",VLOOKUP($F433,Skovbrug!$A$59:$D$60,MATCH(J$2,Skovbrug!$A$58:$D$58,0),FALSE)/'[1]Processer - data'!J433,1)</f>
        <v>141516.29910659679</v>
      </c>
    </row>
    <row r="434" spans="1:15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drivhus",Landbrug!C$51,1-Landbrug!C$51),1)*IF($A434="Tømmerproduktion",VLOOKUP($F434,Skovbrug!$A$59:$D$60,MATCH(H$2,Skovbrug!$A$58:$D$58,0),FALSE)/'[1]Processer - data'!H434,1)</f>
        <v>108094.85577035608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drivhus",Landbrug!D$51,1-Landbrug!D$51),1)*IF($A434="Tømmerproduktion",VLOOKUP($F434,Skovbrug!$A$59:$D$60,MATCH(I$2,Skovbrug!$A$58:$D$58,0),FALSE)/'[1]Processer - data'!I434,1)</f>
        <v>127401.76624978184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drivhus",Landbrug!E$51,1-Landbrug!E$51),1)*IF($A434="Tømmerproduktion",VLOOKUP($F434,Skovbrug!$A$59:$D$60,MATCH(J$2,Skovbrug!$A$58:$D$58,0),FALSE)/'[1]Processer - data'!J434,1)</f>
        <v>123345.7388852182</v>
      </c>
    </row>
    <row r="435" spans="1:15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drivhus",Landbrug!C$51,1-Landbrug!C$51),1)*IF($A435="Tømmerproduktion",VLOOKUP($F435,Skovbrug!$A$59:$D$60,MATCH(H$2,Skovbrug!$A$58:$D$58,0),FALSE)/'[1]Processer - data'!H435,1)</f>
        <v>46730.877781272859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drivhus",Landbrug!D$51,1-Landbrug!D$51),1)*IF($A435="Tømmerproduktion",VLOOKUP($F435,Skovbrug!$A$59:$D$60,MATCH(I$2,Skovbrug!$A$58:$D$58,0),FALSE)/'[1]Processer - data'!I435,1)</f>
        <v>61790.889060368267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drivhus",Landbrug!E$51,1-Landbrug!E$51),1)*IF($A435="Tømmerproduktion",VLOOKUP($F435,Skovbrug!$A$59:$D$60,MATCH(J$2,Skovbrug!$A$58:$D$58,0),FALSE)/'[1]Processer - data'!J435,1)</f>
        <v>59823.682919613537</v>
      </c>
    </row>
    <row r="436" spans="1:15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drivhus",Landbrug!C$51,1-Landbrug!C$51),1)*IF($A436="Tømmerproduktion",VLOOKUP($F436,Skovbrug!$A$59:$D$60,MATCH(H$2,Skovbrug!$A$58:$D$58,0),FALSE)/'[1]Processer - data'!H436,1)</f>
        <v>6920.1731003712566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drivhus",Landbrug!D$51,1-Landbrug!D$51),1)*IF($A436="Tømmerproduktion",VLOOKUP($F436,Skovbrug!$A$59:$D$60,MATCH(I$2,Skovbrug!$A$58:$D$58,0),FALSE)/'[1]Processer - data'!I436,1)</f>
        <v>8156.190870123798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drivhus",Landbrug!E$51,1-Landbrug!E$51),1)*IF($A436="Tømmerproduktion",VLOOKUP($F436,Skovbrug!$A$59:$D$60,MATCH(J$2,Skovbrug!$A$58:$D$58,0),FALSE)/'[1]Processer - data'!J436,1)</f>
        <v>7896.5262333324472</v>
      </c>
    </row>
    <row r="437" spans="1:15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drivhus",Landbrug!C$51,1-Landbrug!C$51),1)*IF($A437="Tømmerproduktion",VLOOKUP($F437,Skovbrug!$A$59:$D$60,MATCH(H$2,Skovbrug!$A$58:$D$58,0),FALSE)/'[1]Processer - data'!H437,1)</f>
        <v>71128.867816474158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drivhus",Landbrug!D$51,1-Landbrug!D$51),1)*IF($A437="Tømmerproduktion",VLOOKUP($F437,Skovbrug!$A$59:$D$60,MATCH(I$2,Skovbrug!$A$58:$D$58,0),FALSE)/'[1]Processer - data'!I437,1)</f>
        <v>83833.252994183829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drivhus",Landbrug!E$51,1-Landbrug!E$51),1)*IF($A437="Tømmerproduktion",VLOOKUP($F437,Skovbrug!$A$59:$D$60,MATCH(J$2,Skovbrug!$A$58:$D$58,0),FALSE)/'[1]Processer - data'!J437,1)</f>
        <v>81164.294955265126</v>
      </c>
    </row>
    <row r="438" spans="1:15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drivhus",Landbrug!C$51,1-Landbrug!C$51),1)*IF($A438="Tømmerproduktion",VLOOKUP($F438,Skovbrug!$A$59:$D$60,MATCH(H$2,Skovbrug!$A$58:$D$58,0),FALSE)/'[1]Processer - data'!H438,1)</f>
        <v>185576.29959415729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drivhus",Landbrug!D$51,1-Landbrug!D$51),1)*IF($A438="Tømmerproduktion",VLOOKUP($F438,Skovbrug!$A$59:$D$60,MATCH(I$2,Skovbrug!$A$58:$D$58,0),FALSE)/'[1]Processer - data'!I438,1)</f>
        <v>217954.6674762161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drivhus",Landbrug!E$51,1-Landbrug!E$51),1)*IF($A438="Tømmerproduktion",VLOOKUP($F438,Skovbrug!$A$59:$D$60,MATCH(J$2,Skovbrug!$A$58:$D$58,0),FALSE)/'[1]Processer - data'!J438,1)</f>
        <v>208390.50149991471</v>
      </c>
    </row>
    <row r="439" spans="1:15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drivhus",Landbrug!C$51,1-Landbrug!C$51),1)*IF($A439="Tømmerproduktion",VLOOKUP($F439,Skovbrug!$A$59:$D$60,MATCH(H$2,Skovbrug!$A$58:$D$58,0),FALSE)/'[1]Processer - data'!H439,1)</f>
        <v>507.16810392744208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drivhus",Landbrug!D$51,1-Landbrug!D$51),1)*IF($A439="Tømmerproduktion",VLOOKUP($F439,Skovbrug!$A$59:$D$60,MATCH(I$2,Skovbrug!$A$58:$D$58,0),FALSE)/'[1]Processer - data'!I439,1)</f>
        <v>803.922197366418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drivhus",Landbrug!E$51,1-Landbrug!E$51),1)*IF($A439="Tømmerproduktion",VLOOKUP($F439,Skovbrug!$A$59:$D$60,MATCH(J$2,Skovbrug!$A$58:$D$58,0),FALSE)/'[1]Processer - data'!J439,1)</f>
        <v>768.64492885605512</v>
      </c>
    </row>
    <row r="440" spans="1:15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5290666613.2844982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6348799935.9413967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6348799935.9413967</v>
      </c>
      <c r="N440" s="168"/>
      <c r="O440" s="168"/>
    </row>
    <row r="441" spans="1:15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146913194.13793731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176295832.96552476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176295832.96552476</v>
      </c>
      <c r="M441" s="168"/>
      <c r="N441" s="168"/>
      <c r="O441" s="168"/>
    </row>
    <row r="442" spans="1:15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  <c r="M442" s="168"/>
      <c r="N442" s="168"/>
      <c r="O442" s="168"/>
    </row>
    <row r="443" spans="1:15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69873348.431457981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83848018.117749572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83848018.117749572</v>
      </c>
      <c r="M443" s="168"/>
      <c r="N443" s="168"/>
      <c r="O443" s="168"/>
    </row>
    <row r="444" spans="1:15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128101138.7910063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153721366.54920757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153721366.54920757</v>
      </c>
      <c r="M444" s="168"/>
      <c r="N444" s="168"/>
      <c r="O444" s="168"/>
    </row>
    <row r="445" spans="1:15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1498693742.6388359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1798432491.1666028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1798432491.1666028</v>
      </c>
      <c r="M445" s="168"/>
      <c r="N445" s="168"/>
      <c r="O445" s="168"/>
    </row>
    <row r="446" spans="1:15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215890730.41001761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259068876.49202111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259068876.49202111</v>
      </c>
      <c r="M446" s="168"/>
      <c r="N446" s="168"/>
      <c r="O446" s="168"/>
    </row>
    <row r="447" spans="1:15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  <c r="M447" s="168"/>
      <c r="N447" s="168"/>
      <c r="O447" s="168"/>
    </row>
    <row r="448" spans="1:15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  <c r="M448" s="168"/>
      <c r="N448" s="168"/>
      <c r="O448" s="168"/>
    </row>
    <row r="449" spans="1:15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2035285226.1060581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2442342271.3272696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2442342271.3272696</v>
      </c>
      <c r="M449" s="168"/>
      <c r="N449" s="168"/>
      <c r="O449" s="168"/>
    </row>
    <row r="450" spans="1:15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146017381.97855964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175220858.37427154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175220858.37427154</v>
      </c>
      <c r="M450" s="168"/>
      <c r="N450" s="168"/>
      <c r="O450" s="168"/>
    </row>
    <row r="451" spans="1:15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  <c r="M451" s="168"/>
      <c r="N451" s="168"/>
      <c r="O451" s="168"/>
    </row>
    <row r="452" spans="1:15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  <c r="M452" s="168"/>
      <c r="N452" s="168"/>
      <c r="O452" s="168"/>
    </row>
    <row r="453" spans="1:15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108393271.28469765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130071925.54163715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130071925.54163715</v>
      </c>
      <c r="M453" s="168"/>
      <c r="N453" s="168"/>
      <c r="O453" s="168"/>
    </row>
    <row r="454" spans="1:15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3588623510.4669328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4306348212.560318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4306348212.560318</v>
      </c>
      <c r="M454" s="168"/>
      <c r="N454" s="168"/>
      <c r="O454" s="168"/>
    </row>
    <row r="455" spans="1:15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8543101.6798546687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8368041.0288272547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8317680.6241248297</v>
      </c>
      <c r="L455" s="129"/>
      <c r="M455" s="123"/>
    </row>
    <row r="456" spans="1:15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271259.74236183573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270827.7836134762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270263.65983297006</v>
      </c>
      <c r="L456" s="124"/>
      <c r="M456" s="123"/>
    </row>
    <row r="457" spans="1:15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3864207.3728631018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3859706.2780138706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3856243.1993456278</v>
      </c>
      <c r="L457" s="124"/>
      <c r="M457" s="123"/>
    </row>
    <row r="458" spans="1:15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30413304.875726663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115051126.79832435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110147250.7701672</v>
      </c>
      <c r="L458" s="124"/>
      <c r="M458" s="123"/>
    </row>
    <row r="459" spans="1:15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-32257.365042424757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-122027.06055262838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-116825.84615618468</v>
      </c>
      <c r="L459" s="124"/>
      <c r="M459" s="123"/>
    </row>
    <row r="460" spans="1:15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57342790.956111364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166957380.91040912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163767139.29758871</v>
      </c>
      <c r="L460" s="124"/>
      <c r="M460" s="123"/>
    </row>
    <row r="461" spans="1:15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-119673.00061953654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-348435.96581163915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-341778.0096825115</v>
      </c>
      <c r="L461" s="124"/>
      <c r="M461" s="123"/>
    </row>
    <row r="462" spans="1:15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53759.86093242302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65573.827425387499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67718.079338711832</v>
      </c>
      <c r="L462" s="124"/>
      <c r="M462" s="123"/>
    </row>
    <row r="463" spans="1:15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40271680.293017551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95505329.464518473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100007198.1967887</v>
      </c>
      <c r="L463" s="124"/>
      <c r="M463" s="123"/>
    </row>
    <row r="464" spans="1:15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31487494.627501383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31478200.911940057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31466148.085110582</v>
      </c>
      <c r="L464" s="125"/>
      <c r="M464" s="123"/>
    </row>
    <row r="465" spans="1:14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313132.77855375624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311731.2069853631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309417.12444767234</v>
      </c>
      <c r="L465" s="124"/>
      <c r="M465" s="123"/>
    </row>
    <row r="466" spans="1:14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37347291.841013692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18513304.683122173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18741253.763228893</v>
      </c>
      <c r="L466" s="124"/>
      <c r="M466" s="123"/>
    </row>
    <row r="467" spans="1:14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73468664.440101922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54882762.13450513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54539564.607033253</v>
      </c>
      <c r="L467" s="124"/>
      <c r="M467" s="123"/>
    </row>
    <row r="468" spans="1:14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  <c r="L468" s="124"/>
      <c r="M468" s="123"/>
    </row>
    <row r="469" spans="1:14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  <c r="L469" s="124"/>
      <c r="M469" s="123"/>
    </row>
    <row r="470" spans="1:14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1991.3211030641837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1977.3250193561946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1970.3722276763394</v>
      </c>
      <c r="L470" s="124"/>
      <c r="M470" s="123"/>
    </row>
    <row r="471" spans="1:14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  <c r="L471" s="125"/>
      <c r="M471" s="123"/>
    </row>
    <row r="472" spans="1:14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48345002.496000007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48345002.496000007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48345002.496000007</v>
      </c>
      <c r="L472" s="124"/>
      <c r="M472" s="123"/>
    </row>
    <row r="473" spans="1:14" ht="15.75" thickBot="1" x14ac:dyDescent="0.3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20296537.965774857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21077079.852451507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21854472.70743411</v>
      </c>
      <c r="L473" s="139"/>
      <c r="M473" s="123"/>
    </row>
    <row r="474" spans="1:14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9570947.4163383078</v>
      </c>
      <c r="I474" s="282">
        <f ca="1">SUMIFS('Forbrug af biomasse'!$E$1:$E$425,'Forbrug af biomasse'!$A$1:$A$425,"Biogas",'Forbrug af biomasse'!$B$1:$B$425,$A$1,'Forbrug af biomasse'!$D$1:$D$425,I$2)*'[1]Processer - data'!I474</f>
        <v>23750174.923061628</v>
      </c>
      <c r="J474" s="283">
        <f ca="1">SUMIFS('Forbrug af biomasse'!$E$1:$E$425,'Forbrug af biomasse'!$A$1:$A$425,"Biogas",'Forbrug af biomasse'!$B$1:$B$425,$A$1,'Forbrug af biomasse'!$D$1:$D$425,J$2)*'[1]Processer - data'!J474</f>
        <v>23285676.758825652</v>
      </c>
    </row>
    <row r="475" spans="1:14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Vestdanmark'!H$3:H$504,'Resultater - Vestdanmark'!$F$3:$F$504,$D475)*'[1]Processer - data'!H475</f>
        <v>67935911.099748671</v>
      </c>
      <c r="I475" s="282">
        <f>(1-IF(VLOOKUP($D475,Biogasanlæg!$A$3:$D$7,MATCH(I$2,Biogasanlæg!$A$2:$D$2,0),FALSE)&gt;1,1,VLOOKUP($D475,Biogasanlæg!$A$3:$D$7,MATCH(I$2,Biogasanlæg!$A$2:$D$2,0),FALSE)))*SUMIFS('Resultater - Vestdanmark'!I$3:I$504,'Resultater - Vestdanmark'!$F$3:$F$504,$D475)*'[1]Processer - data'!I475</f>
        <v>45061691.329343691</v>
      </c>
      <c r="J475" s="283">
        <f>(1-IF(VLOOKUP($D475,Biogasanlæg!$A$3:$D$7,MATCH(J$2,Biogasanlæg!$A$2:$D$2,0),FALSE)&gt;1,1,VLOOKUP($D475,Biogasanlæg!$A$3:$D$7,MATCH(J$2,Biogasanlæg!$A$2:$D$2,0),FALSE)))*SUMIFS('Resultater - Vestdanmark'!J$3:J$504,'Resultater - Vestdanmark'!$F$3:$F$504,$D475)*'[1]Processer - data'!J475</f>
        <v>43141006.551648811</v>
      </c>
    </row>
    <row r="476" spans="1:14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Vestdanmark'!H$3:H$504,'Resultater - Vestdanmark'!$F$3:$F$504,$D476)*'[1]Processer - data'!H476</f>
        <v>72464409.391633257</v>
      </c>
      <c r="I476" s="282">
        <f>(1-IF(VLOOKUP($D476,Biogasanlæg!$A$3:$D$7,MATCH(I$2,Biogasanlæg!$A$2:$D$2,0),FALSE)&gt;1,1,VLOOKUP($D476,Biogasanlæg!$A$3:$D$7,MATCH(I$2,Biogasanlæg!$A$2:$D$2,0),FALSE)))*SUMIFS('Resultater - Vestdanmark'!I$3:I$504,'Resultater - Vestdanmark'!$F$3:$F$504,$D476)*'[1]Processer - data'!I476</f>
        <v>29913976.422917645</v>
      </c>
      <c r="J476" s="283">
        <f>(1-IF(VLOOKUP($D476,Biogasanlæg!$A$3:$D$7,MATCH(J$2,Biogasanlæg!$A$2:$D$2,0),FALSE)&gt;1,1,VLOOKUP($D476,Biogasanlæg!$A$3:$D$7,MATCH(J$2,Biogasanlæg!$A$2:$D$2,0),FALSE)))*SUMIFS('Resultater - Vestdanmark'!J$3:J$504,'Resultater - Vestdanmark'!$F$3:$F$504,$D476)*'[1]Processer - data'!J476</f>
        <v>29342376.581874795</v>
      </c>
      <c r="M476" s="168"/>
      <c r="N476" s="168"/>
    </row>
    <row r="477" spans="1:14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Vestdanmark'!H$3:H$504,'Resultater - Vestdanmark'!$F$3:$F$504,$D477)*'[1]Processer - data'!H477</f>
        <v>28726.643246332915</v>
      </c>
      <c r="I477" s="282">
        <f>(1-IF(VLOOKUP($D477,Biogasanlæg!$A$3:$D$7,MATCH(I$2,Biogasanlæg!$A$2:$D$2,0),FALSE)&gt;1,1,VLOOKUP($D477,Biogasanlæg!$A$3:$D$7,MATCH(I$2,Biogasanlæg!$A$2:$D$2,0),FALSE)))*SUMIFS('Resultater - Vestdanmark'!I$3:I$504,'Resultater - Vestdanmark'!$F$3:$F$504,$D477)*'[1]Processer - data'!I477</f>
        <v>35039.44976929103</v>
      </c>
      <c r="J477" s="283">
        <f>(1-IF(VLOOKUP($D477,Biogasanlæg!$A$3:$D$7,MATCH(J$2,Biogasanlæg!$A$2:$D$2,0),FALSE)&gt;1,1,VLOOKUP($D477,Biogasanlæg!$A$3:$D$7,MATCH(J$2,Biogasanlæg!$A$2:$D$2,0),FALSE)))*SUMIFS('Resultater - Vestdanmark'!J$3:J$504,'Resultater - Vestdanmark'!$F$3:$F$504,$D477)*'[1]Processer - data'!J477</f>
        <v>36185.233234426174</v>
      </c>
    </row>
    <row r="478" spans="1:14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Vestdanmark'!H$3:H$504,'Resultater - Vestdanmark'!$F$3:$F$504,$D478)*'[1]Processer - data'!H$475</f>
        <v>10224311.649011683</v>
      </c>
      <c r="I478" s="282">
        <f>(1-IF(VLOOKUP($D478,Biogasanlæg!$A$3:$D$7,MATCH(I$2,Biogasanlæg!$A$2:$D$2,0),FALSE)&gt;1,1,VLOOKUP($D478,Biogasanlæg!$A$3:$D$7,MATCH(I$2,Biogasanlæg!$A$2:$D$2,0),FALSE)))*SUMIFS('Resultater - Vestdanmark'!I$3:I$504,'Resultater - Vestdanmark'!$F$3:$F$504,$D478)*'[1]Processer - data'!I$475</f>
        <v>8436304.1026991308</v>
      </c>
      <c r="J478" s="283">
        <f>(1-IF(VLOOKUP($D478,Biogasanlæg!$A$3:$D$7,MATCH(J$2,Biogasanlæg!$A$2:$D$2,0),FALSE)&gt;1,1,VLOOKUP($D478,Biogasanlæg!$A$3:$D$7,MATCH(J$2,Biogasanlæg!$A$2:$D$2,0),FALSE)))*SUMIFS('Resultater - Vestdanmark'!J$3:J$504,'Resultater - Vestdanmark'!$F$3:$F$504,$D478)*'[1]Processer - data'!J$475</f>
        <v>8833969.174049668</v>
      </c>
    </row>
    <row r="479" spans="1:14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49011407.308287665</v>
      </c>
      <c r="I479" s="282">
        <f ca="1">I474*'[1]Processer - data'!I$479*Biogasanlæg!AB$3</f>
        <v>148744732.22750518</v>
      </c>
      <c r="J479" s="283">
        <f ca="1">J474*'[1]Processer - data'!J$479*Biogasanlæg!AC$3</f>
        <v>144714687.91254354</v>
      </c>
    </row>
    <row r="480" spans="1:14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Vestdanmark'!H$3:H$504,'Resultater - Vestdanmark'!$F$3:$F$504,"Gødning",'Resultater - Vestdanmark'!$A$3:$A$504,"&lt;&gt;Gødning")-SUM(H475:H479)</f>
        <v>91199509.604784429</v>
      </c>
      <c r="I480" s="282">
        <f ca="1">-SUMIFS('Resultater - Vestdanmark'!I$3:I$504,'Resultater - Vestdanmark'!$F$3:$F$504,"Gødning",'Resultater - Vestdanmark'!$A$3:$A$504,"&lt;&gt;Gødning")-SUM(I475:I479)</f>
        <v>52702985.924513191</v>
      </c>
      <c r="J480" s="283">
        <f ca="1">-SUMIFS('Resultater - Vestdanmark'!J$3:J$504,'Resultater - Vestdanmark'!$F$3:$F$504,"Gødning",'Resultater - Vestdanmark'!$A$3:$A$504,"&lt;&gt;Gødning")-SUM(J475:J479)</f>
        <v>50256135.908566207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12.018877995102612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8.1830002652248162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7.3609777064868958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2.8290779018212735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5.7011254682299599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5.8945208280749375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3.146524797754445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3.2466189709661259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3.3717941796028947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33.750841721162331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31.9402636353806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29.003356837261759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9.4691817325671721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9.4026271924825835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9.3695650972414288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12.632071606880629</v>
      </c>
      <c r="I489" s="282">
        <f ca="1">SUM(I455:I473)*'[1]Processer - data'!$H$489</f>
        <v>20.255411182125012</v>
      </c>
      <c r="J489" s="283">
        <f ca="1">SUM(J455:J473)*'[1]Processer - data'!$H$489</f>
        <v>20.148254616653208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x14ac:dyDescent="0.25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297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242881.00118657912</v>
      </c>
      <c r="I493" s="298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254514.52983169464</v>
      </c>
      <c r="J493" s="299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263148.25125334546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155443.84075941064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162889.29909228458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168414.8808021411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autoFilter ref="A2:U497" xr:uid="{909A89E6-B9A6-46D5-83F7-24899AA46FB2}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BF15A3-622E-4BC7-B85B-59DB51A8F146}">
  <sheetPr codeName="Sheet17">
    <tabColor rgb="FFFF0000"/>
  </sheetPr>
  <dimension ref="A1:U502"/>
  <sheetViews>
    <sheetView topLeftCell="A401" zoomScale="80" zoomScaleNormal="80" workbookViewId="0">
      <selection activeCell="H425" sqref="H425:J425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16.42578125" bestFit="1" customWidth="1"/>
    <col min="7" max="7" width="16" bestFit="1" customWidth="1"/>
    <col min="8" max="8" width="35.140625" bestFit="1" customWidth="1"/>
    <col min="9" max="10" width="14.42578125" bestFit="1" customWidth="1"/>
    <col min="11" max="11" width="4.42578125" bestFit="1" customWidth="1"/>
    <col min="12" max="12" width="10.7109375" bestFit="1" customWidth="1"/>
  </cols>
  <sheetData>
    <row r="1" spans="1:21" x14ac:dyDescent="0.25">
      <c r="A1" t="s">
        <v>24</v>
      </c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U1" t="str">
        <f>IF('[1]Processer - data'!$A$1&lt;&gt;"",'[1]Processer - data'!$A$1,"")</f>
        <v/>
      </c>
    </row>
    <row r="2" spans="1:21" ht="15.75" thickBot="1" x14ac:dyDescent="0.3">
      <c r="A2" t="str">
        <f>IF('[1]Processer - data'!A2&lt;&gt;"",'[1]Processer - data'!A2,"")</f>
        <v>Processer</v>
      </c>
      <c r="B2" t="str">
        <f>IF('[1]Processer - data'!B2&lt;&gt;"",'[1]Processer - data'!B2,"")</f>
        <v>Konventionel/økologisk</v>
      </c>
      <c r="C2" t="str">
        <f>IF('[1]Processer - data'!C2&lt;&gt;"",'[1]Processer - data'!C2,"")</f>
        <v>Jordbundstype</v>
      </c>
      <c r="D2" t="str">
        <f>IF('[1]Processer - data'!D2&lt;&gt;"",'[1]Processer - data'!D2,"")</f>
        <v>Input</v>
      </c>
      <c r="E2" t="str">
        <f>IF('[1]Processer - data'!E2&lt;&gt;"",'[1]Processer - data'!E2,"")</f>
        <v>Enhed</v>
      </c>
      <c r="F2" t="str">
        <f>IF('[1]Processer - data'!F2&lt;&gt;"",'[1]Processer - data'!F2,"")</f>
        <v>Output</v>
      </c>
      <c r="G2" t="str">
        <f>IF('[1]Processer - data'!G2&lt;&gt;"",'[1]Processer - data'!G2,"")</f>
        <v>Enhed</v>
      </c>
      <c r="H2">
        <f>IF('[1]Processer - data'!H2&lt;&gt;"",'[1]Processer - data'!H2,"")</f>
        <v>2019</v>
      </c>
      <c r="I2">
        <f>IF('[1]Processer - data'!I2&lt;&gt;"",'[1]Processer - data'!I2,"")</f>
        <v>2030</v>
      </c>
      <c r="J2">
        <f>IF('[1]Processer - data'!J2&lt;&gt;"",'[1]Processer - data'!J2,"")</f>
        <v>2050</v>
      </c>
      <c r="K2" t="str">
        <f>IF('[1]Processer - data'!K2&lt;&gt;"",'[1]Processer - data'!K2,"")</f>
        <v>Kilde</v>
      </c>
      <c r="M2" s="168"/>
      <c r="N2" s="168"/>
      <c r="O2" s="168"/>
      <c r="U2" t="str">
        <f>IF('[1]Processer - data'!$A$1&lt;&gt;"",'[1]Processer - data'!$A$1,"")</f>
        <v/>
      </c>
    </row>
    <row r="3" spans="1:21" x14ac:dyDescent="0.25">
      <c r="A3" t="str">
        <f>IF('[1]Processer - data'!A3&lt;&gt;"",'[1]Processer - data'!A3,"")</f>
        <v>Spildevandsproduktion</v>
      </c>
      <c r="B3" t="str">
        <f>IF('[1]Processer - data'!B3&lt;&gt;"",'[1]Processer - data'!B3,"")</f>
        <v/>
      </c>
      <c r="C3" t="str">
        <f>IF('[1]Processer - data'!C3&lt;&gt;"",'[1]Processer - data'!C3,"")</f>
        <v/>
      </c>
      <c r="D3" t="str">
        <f>IF('[1]Processer - data'!D3&lt;&gt;"",'[1]Processer - data'!D3,"")</f>
        <v>Befolkning</v>
      </c>
      <c r="E3" t="str">
        <f>IF('[1]Processer - data'!E3&lt;&gt;"",'[1]Processer - data'!E3,"")</f>
        <v>Antal</v>
      </c>
      <c r="F3" t="str">
        <f>IF('[1]Processer - data'!F3&lt;&gt;"",'[1]Processer - data'!F3,"")</f>
        <v>Spildevandsslam</v>
      </c>
      <c r="G3" t="str">
        <f>IF('[1]Processer - data'!G3&lt;&gt;"",'[1]Processer - data'!G3,"")</f>
        <v>Ton</v>
      </c>
      <c r="H3" s="300">
        <f>IF($A3&lt;&gt;"",IF(VLOOKUP($A3,[1]!Table1[#All],2,FALSE)="Direkte input",IF($A3&lt;&gt;"Grøntsager i drivhus",SUMIFS('Direkte input'!G$3:G$230,'Direkte input'!$F$3:$F$230,$D3,'Direkte input'!$C$3:$C$230,$B3,'Direkte input'!$D$3:$D$230,$C3,'Direkte input'!$A$3:$A$230,$A$1),SUMIFS('Direkte input'!G$3:G$230,'Direkte input'!$F$3:$F$230,$D3,'Direkte input'!$C$3:$C$230,$B3,'Direkte input'!$A$3:$A$230,$A$1)),IF(VLOOKUP($A3,[1]!Table1[#All],2,FALSE)="Resultat",SUMIF($F$1:$F2,$D3,H$1:H2)+SUMIF($F4:$F$512,$D3,H4:H$512),0))*'[1]Processer - data'!H3,"")*IF($C3&lt;&gt;"",IF($F3="Halm",Landbrug!C$16*Landbrug!C$17,IF(LEFT($D3,5)="Areal", IF($G3="Ton",Landbrug!C$18,1),1)),1)*IF($F3="Grøntsager",IF($A3="Grøntsager i drivhus",Landbrug!C$51,1-Landbrug!C$51),1)</f>
        <v>3178286.4109467091</v>
      </c>
      <c r="I3" s="301">
        <f>IF($A3&lt;&gt;"",IF(VLOOKUP($A3,[1]!Table1[#All],2,FALSE)="Direkte input",IF($A3&lt;&gt;"Grøntsager i drivhus",SUMIFS('Direkte input'!H$3:H$230,'Direkte input'!$F$3:$F$230,$D3,'Direkte input'!$C$3:$C$230,$B3,'Direkte input'!$D$3:$D$230,$C3,'Direkte input'!$A$3:$A$230,$A$1),SUMIFS('Direkte input'!H$3:H$230,'Direkte input'!$F$3:$F$230,$D3,'Direkte input'!$C$3:$C$230,$B3,'Direkte input'!$A$3:$A$230,$A$1)),IF(VLOOKUP($A3,[1]!Table1[#All],2,FALSE)="Resultat",SUMIF($F$1:$F2,$D3,I$1:I2)+SUMIF($F4:$F$512,$D3,I4:I$512),0))*'[1]Processer - data'!I3,"")*IF($C3&lt;&gt;"",IF($F3="Halm",Landbrug!D$16*Landbrug!D$17,IF(LEFT($D3,5)="Areal", IF($G3="Ton",Landbrug!D$18,1),1)),1)*IF($F3="Grøntsager",IF($A3="Grøntsager i drivhus",Landbrug!D$51,1-Landbrug!D$51),1)</f>
        <v>3335400.0632957984</v>
      </c>
      <c r="J3" s="302">
        <f>IF($A3&lt;&gt;"",IF(VLOOKUP($A3,[1]!Table1[#All],2,FALSE)="Direkte input",IF($A3&lt;&gt;"Grøntsager i drivhus",SUMIFS('Direkte input'!I$3:I$230,'Direkte input'!$F$3:$F$230,$D3,'Direkte input'!$C$3:$C$230,$B3,'Direkte input'!$D$3:$D$230,$C3,'Direkte input'!$A$3:$A$230,$A$1),SUMIFS('Direkte input'!I$3:I$230,'Direkte input'!$F$3:$F$230,$D3,'Direkte input'!$C$3:$C$230,$B3,'Direkte input'!$A$3:$A$230,$A$1)),IF(VLOOKUP($A3,[1]!Table1[#All],2,FALSE)="Resultat",SUMIF($F$1:$F2,$D3,J$1:J2)+SUMIF($F4:$F$512,$D3,J4:J$512),0))*'[1]Processer - data'!J3,"")*IF($C3&lt;&gt;"",IF($F3="Halm",Landbrug!E$16*Landbrug!E$17,IF(LEFT($D3,5)="Areal", IF($G3="Ton",Landbrug!E$18,1),1)),1)*IF($F3="Grøntsager",IF($A3="Grøntsager i drivhus",Landbrug!E$51,1-Landbrug!E$51),1)</f>
        <v>3491788.2152479719</v>
      </c>
      <c r="M3" s="168">
        <f>SUMIF($F$3:$F$494,"Roer",H3:H494)</f>
        <v>2233316.4654569654</v>
      </c>
      <c r="N3" s="168">
        <f>SUMIF($F$3:$F$494,"Roer",I3:I494)</f>
        <v>2357380.2059099637</v>
      </c>
      <c r="O3" s="168">
        <f>SUMIF($F$3:$F$494,"Roer",J3:J494)</f>
        <v>2460019.4054890401</v>
      </c>
    </row>
    <row r="4" spans="1:21" x14ac:dyDescent="0.25">
      <c r="A4" t="str">
        <f>IF('[1]Processer - data'!A4&lt;&gt;"",'[1]Processer - data'!A4,"")</f>
        <v>Bioaffaldsproduktion</v>
      </c>
      <c r="B4" t="str">
        <f>IF('[1]Processer - data'!B4&lt;&gt;"",'[1]Processer - data'!B4,"")</f>
        <v/>
      </c>
      <c r="C4" t="str">
        <f>IF('[1]Processer - data'!C4&lt;&gt;"",'[1]Processer - data'!C4,"")</f>
        <v/>
      </c>
      <c r="D4" t="str">
        <f>IF('[1]Processer - data'!D4&lt;&gt;"",'[1]Processer - data'!D4,"")</f>
        <v>Befolkning</v>
      </c>
      <c r="E4" t="str">
        <f>IF('[1]Processer - data'!E4&lt;&gt;"",'[1]Processer - data'!E4,"")</f>
        <v>Antal</v>
      </c>
      <c r="F4" t="str">
        <f>IF('[1]Processer - data'!F4&lt;&gt;"",'[1]Processer - data'!F4,"")</f>
        <v>Bioaffald</v>
      </c>
      <c r="G4" t="str">
        <f>IF('[1]Processer - data'!G4&lt;&gt;"",'[1]Processer - data'!G4,"")</f>
        <v>Ton</v>
      </c>
      <c r="H4" s="297">
        <f ca="1">IF($A4&lt;&gt;"",IF(VLOOKUP($A4,[1]!Table1[#All],2,FALSE)="Direkte input",IF($A4&lt;&gt;"Grøntsager i drivhus",SUMIFS('Direkte input'!G$3:G$230,'Direkte input'!$F$3:$F$230,$D4,'Direkte input'!$C$3:$C$230,$B4,'Direkte input'!$D$3:$D$230,$C4,'Direkte input'!$A$3:$A$230,$A$1),SUMIFS('Direkte input'!G$3:G$230,'Direkte input'!$F$3:$F$230,$D4,'Direkte input'!$C$3:$C$230,$B4,'Direkte input'!$A$3:$A$230,$A$1)),IF(VLOOKUP($A4,[1]!Table1[#All],2,FALSE)="Resultat",SUMIF($F$1:$F3,$D4,H$1:H3)+SUMIF($F5:$F$512,$D4,H5:H$512),0))*'[1]Processer - data'!H4,"")*IF($C4&lt;&gt;"",IF($F4="Halm",Landbrug!C$16*Landbrug!C$17,IF(LEFT($D4,5)="Areal", IF($G4="Ton",Landbrug!C$18,1),1)),1)*IF($F4="Grøntsager",IF($A4="Grøntsager i drivhus",Landbrug!C$51,1-Landbrug!C$51),1)</f>
        <v>165083.0224523381</v>
      </c>
      <c r="I4" s="298">
        <f ca="1">IF($A4&lt;&gt;"",IF(VLOOKUP($A4,[1]!Table1[#All],2,FALSE)="Direkte input",IF($A4&lt;&gt;"Grøntsager i drivhus",SUMIFS('Direkte input'!H$3:H$230,'Direkte input'!$F$3:$F$230,$D4,'Direkte input'!$C$3:$C$230,$B4,'Direkte input'!$D$3:$D$230,$C4,'Direkte input'!$A$3:$A$230,$A$1),SUMIFS('Direkte input'!H$3:H$230,'Direkte input'!$F$3:$F$230,$D4,'Direkte input'!$C$3:$C$230,$B4,'Direkte input'!$A$3:$A$230,$A$1)),IF(VLOOKUP($A4,[1]!Table1[#All],2,FALSE)="Resultat",SUMIF($F$1:$F3,$D4,I$1:I3)+SUMIF($F5:$F$512,$D4,I5:I$512),0))*'[1]Processer - data'!I4,"")*IF($C4&lt;&gt;"",IF($F4="Halm",Landbrug!D$16*Landbrug!D$17,IF(LEFT($D4,5)="Areal", IF($G4="Ton",Landbrug!D$18,1),1)),1)*IF($F4="Grøntsager",IF($A4="Grøntsager i drivhus",Landbrug!D$51,1-Landbrug!D$51),1)</f>
        <v>168912.745758362</v>
      </c>
      <c r="J4" s="299">
        <f ca="1">IF($A4&lt;&gt;"",IF(VLOOKUP($A4,[1]!Table1[#All],2,FALSE)="Direkte input",IF($A4&lt;&gt;"Grøntsager i drivhus",SUMIFS('Direkte input'!I$3:I$230,'Direkte input'!$F$3:$F$230,$D4,'Direkte input'!$C$3:$C$230,$B4,'Direkte input'!$D$3:$D$230,$C4,'Direkte input'!$A$3:$A$230,$A$1),SUMIFS('Direkte input'!I$3:I$230,'Direkte input'!$F$3:$F$230,$D4,'Direkte input'!$C$3:$C$230,$B4,'Direkte input'!$A$3:$A$230,$A$1)),IF(VLOOKUP($A4,[1]!Table1[#All],2,FALSE)="Resultat",SUMIF($F$1:$F3,$D4,J$1:J3)+SUMIF($F5:$F$512,$D4,J5:J$512),0))*'[1]Processer - data'!J4,"")*IF($C4&lt;&gt;"",IF($F4="Halm",Landbrug!E$16*Landbrug!E$17,IF(LEFT($D4,5)="Areal", IF($G4="Ton",Landbrug!E$18,1),1)),1)*IF($F4="Grøntsager",IF($A4="Grøntsager i drivhus",Landbrug!E$51,1-Landbrug!E$51),1)</f>
        <v>172292.68030975034</v>
      </c>
      <c r="M4" s="168">
        <f ca="1">SUMIF($F$3:$F$494,"Bioaffald",H3:H494)</f>
        <v>165083.0224523381</v>
      </c>
      <c r="N4" s="168">
        <f ca="1">SUMIF($F$3:$F$494,"Bioaffald",I3:I494)</f>
        <v>168912.745758362</v>
      </c>
      <c r="O4" s="168">
        <f ca="1">SUMIF($F$3:$F$494,"Bioaffald",J3:J494)</f>
        <v>172292.68030975034</v>
      </c>
    </row>
    <row r="5" spans="1:21" x14ac:dyDescent="0.25">
      <c r="A5" t="str">
        <f>IF('[1]Processer - data'!A5&lt;&gt;"",'[1]Processer - data'!A5,"")</f>
        <v>Bioaffaldsproduktion</v>
      </c>
      <c r="B5" t="str">
        <f>IF('[1]Processer - data'!B5&lt;&gt;"",'[1]Processer - data'!B5,"")</f>
        <v/>
      </c>
      <c r="C5" t="str">
        <f>IF('[1]Processer - data'!C5&lt;&gt;"",'[1]Processer - data'!C5,"")</f>
        <v/>
      </c>
      <c r="D5" t="str">
        <f>IF('[1]Processer - data'!D5&lt;&gt;"",'[1]Processer - data'!D5,"")</f>
        <v>Befolkning</v>
      </c>
      <c r="E5" t="str">
        <f>IF('[1]Processer - data'!E5&lt;&gt;"",'[1]Processer - data'!E5,"")</f>
        <v>Antal</v>
      </c>
      <c r="F5" t="str">
        <f>IF('[1]Processer - data'!F5&lt;&gt;"",'[1]Processer - data'!F5,"")</f>
        <v>Have/parkaffald</v>
      </c>
      <c r="G5" t="str">
        <f>IF('[1]Processer - data'!G5&lt;&gt;"",'[1]Processer - data'!G5,"")</f>
        <v>Ton</v>
      </c>
      <c r="H5" s="297">
        <f>IF($A5&lt;&gt;"",IF(VLOOKUP($A5,[1]!Table1[#All],2,FALSE)="Direkte input",IF($A5&lt;&gt;"Grøntsager i drivhus",SUMIFS('Direkte input'!G$3:G$230,'Direkte input'!$F$3:$F$230,$D5,'Direkte input'!$C$3:$C$230,$B5,'Direkte input'!$D$3:$D$230,$C5,'Direkte input'!$A$3:$A$230,$A$1),SUMIFS('Direkte input'!G$3:G$230,'Direkte input'!$F$3:$F$230,$D5,'Direkte input'!$C$3:$C$230,$B5,'Direkte input'!$A$3:$A$230,$A$1)),IF(VLOOKUP($A5,[1]!Table1[#All],2,FALSE)="Resultat",SUMIF($F$1:$F4,$D5,H$1:H4)+SUMIF($F7:$F$512,$D5,H7:H$512),0))*'[1]Processer - data'!H5,"")*IF($C5&lt;&gt;"",IF($F5="Halm",Landbrug!C$16*Landbrug!C$17,IF(LEFT($D5,5)="Areal", IF($G5="Ton",Landbrug!C$18,1),1)),1)*IF($F5="Grøntsager",IF($A5="Grøntsager i drivhus",Landbrug!C$51,1-Landbrug!C$51),1)</f>
        <v>452346.51233766804</v>
      </c>
      <c r="I5" s="298">
        <f>IF($A5&lt;&gt;"",IF(VLOOKUP($A5,[1]!Table1[#All],2,FALSE)="Direkte input",IF($A5&lt;&gt;"Grøntsager i drivhus",SUMIFS('Direkte input'!H$3:H$230,'Direkte input'!$F$3:$F$230,$D5,'Direkte input'!$C$3:$C$230,$B5,'Direkte input'!$D$3:$D$230,$C5,'Direkte input'!$A$3:$A$230,$A$1),SUMIFS('Direkte input'!H$3:H$230,'Direkte input'!$F$3:$F$230,$D5,'Direkte input'!$C$3:$C$230,$B5,'Direkte input'!$A$3:$A$230,$A$1)),IF(VLOOKUP($A5,[1]!Table1[#All],2,FALSE)="Resultat",SUMIF($F$1:$F4,$D5,I$1:I4)+SUMIF($F7:$F$512,$D5,I7:I$512),0))*'[1]Processer - data'!I5,"")*IF($C5&lt;&gt;"",IF($F5="Halm",Landbrug!D$16*Landbrug!D$17,IF(LEFT($D5,5)="Areal", IF($G5="Ton",Landbrug!D$18,1),1)),1)*IF($F5="Grøntsager",IF($A5="Grøntsager i drivhus",Landbrug!D$51,1-Landbrug!D$51),1)</f>
        <v>456074.89013160887</v>
      </c>
      <c r="J5" s="299">
        <f>IF($A5&lt;&gt;"",IF(VLOOKUP($A5,[1]!Table1[#All],2,FALSE)="Direkte input",IF($A5&lt;&gt;"Grøntsager i drivhus",SUMIFS('Direkte input'!I$3:I$230,'Direkte input'!$F$3:$F$230,$D5,'Direkte input'!$C$3:$C$230,$B5,'Direkte input'!$D$3:$D$230,$C5,'Direkte input'!$A$3:$A$230,$A$1),SUMIFS('Direkte input'!I$3:I$230,'Direkte input'!$F$3:$F$230,$D5,'Direkte input'!$C$3:$C$230,$B5,'Direkte input'!$A$3:$A$230,$A$1)),IF(VLOOKUP($A5,[1]!Table1[#All],2,FALSE)="Resultat",SUMIF($F$1:$F4,$D5,J$1:J4)+SUMIF($F7:$F$512,$D5,J7:J$512),0))*'[1]Processer - data'!J5,"")*IF($C5&lt;&gt;"",IF($F5="Halm",Landbrug!E$16*Landbrug!E$17,IF(LEFT($D5,5)="Areal", IF($G5="Ton",Landbrug!E$18,1),1)),1)*IF($F5="Grøntsager",IF($A5="Grøntsager i drivhus",Landbrug!E$51,1-Landbrug!E$51),1)</f>
        <v>457927.02496060182</v>
      </c>
    </row>
    <row r="6" spans="1:21" s="168" customFormat="1" x14ac:dyDescent="0.25">
      <c r="A6" s="168" t="str">
        <f>IF('[1]Processer - data'!A6&lt;&gt;"",'[1]Processer - data'!A6,"")</f>
        <v>Bioaffaldsproduktion</v>
      </c>
      <c r="B6" s="168" t="str">
        <f>IF('[1]Processer - data'!B6&lt;&gt;"",'[1]Processer - data'!B6,"")</f>
        <v/>
      </c>
      <c r="C6" s="168" t="str">
        <f>IF('[1]Processer - data'!C6&lt;&gt;"",'[1]Processer - data'!C6,"")</f>
        <v/>
      </c>
      <c r="D6" s="168" t="str">
        <f>IF('[1]Processer - data'!D6&lt;&gt;"",'[1]Processer - data'!D6,"")</f>
        <v>Befolkning</v>
      </c>
      <c r="E6" s="168" t="str">
        <f>IF('[1]Processer - data'!E6&lt;&gt;"",'[1]Processer - data'!E6,"")</f>
        <v>Antal</v>
      </c>
      <c r="F6" s="168" t="str">
        <f>IF('[1]Processer - data'!F6&lt;&gt;"",'[1]Processer - data'!F6,"")</f>
        <v>Industriaffald</v>
      </c>
      <c r="G6" s="168" t="str">
        <f>IF('[1]Processer - data'!G6&lt;&gt;"",'[1]Processer - data'!G6,"")</f>
        <v>Ton</v>
      </c>
      <c r="H6" s="297">
        <f>IF($A6&lt;&gt;"",IF(VLOOKUP($A6,[1]!Table1[#All],2,FALSE)="Direkte input",IF($A6&lt;&gt;"Grøntsager i drivhus",SUMIFS('Direkte input'!G$3:G$230,'Direkte input'!$F$3:$F$230,$D6,'Direkte input'!$C$3:$C$230,$B6,'Direkte input'!$D$3:$D$230,$C6,'Direkte input'!$A$3:$A$230,$A$1),SUMIFS('Direkte input'!G$3:G$230,'Direkte input'!$F$3:$F$230,$D6,'Direkte input'!$C$3:$C$230,$B6,'Direkte input'!$A$3:$A$230,$A$1)),IF(VLOOKUP($A6,[1]!Table1[#All],2,FALSE)="Resultat",SUMIF($F$1:$F5,$D6,H$1:H5)+SUMIF($F8:$F$512,$D6,H8:H$512),0))*'[1]Processer - data'!H6,"")*IF($C6&lt;&gt;"",IF($F6="Halm",Landbrug!C$16*Landbrug!C$17,IF(LEFT($D6,5)="Areal", IF($G6="Ton",Landbrug!C$18,1),1)),1)*IF($F6="Grøntsager",IF($A6="Grøntsager i drivhus",Landbrug!C$51,1-Landbrug!C$51),1)</f>
        <v>163400.16637728616</v>
      </c>
      <c r="I6" s="298">
        <f>IF($A6&lt;&gt;"",IF(VLOOKUP($A6,[1]!Table1[#All],2,FALSE)="Direkte input",IF($A6&lt;&gt;"Grøntsager i drivhus",SUMIFS('Direkte input'!H$3:H$230,'Direkte input'!$F$3:$F$230,$D6,'Direkte input'!$C$3:$C$230,$B6,'Direkte input'!$D$3:$D$230,$C6,'Direkte input'!$A$3:$A$230,$A$1),SUMIFS('Direkte input'!H$3:H$230,'Direkte input'!$F$3:$F$230,$D6,'Direkte input'!$C$3:$C$230,$B6,'Direkte input'!$A$3:$A$230,$A$1)),IF(VLOOKUP($A6,[1]!Table1[#All],2,FALSE)="Resultat",SUMIF($F$1:$F5,$D6,I$1:I5)+SUMIF($F8:$F$512,$D6,I8:I$512),0))*'[1]Processer - data'!I6,"")*IF($C6&lt;&gt;"",IF($F6="Halm",Landbrug!D$16*Landbrug!D$17,IF(LEFT($D6,5)="Areal", IF($G6="Ton",Landbrug!D$18,1),1)),1)*IF($F6="Grøntsager",IF($A6="Grøntsager i drivhus",Landbrug!D$51,1-Landbrug!D$51),1)</f>
        <v>164746.96033994757</v>
      </c>
      <c r="J6" s="299">
        <f>IF($A6&lt;&gt;"",IF(VLOOKUP($A6,[1]!Table1[#All],2,FALSE)="Direkte input",IF($A6&lt;&gt;"Grøntsager i drivhus",SUMIFS('Direkte input'!I$3:I$230,'Direkte input'!$F$3:$F$230,$D6,'Direkte input'!$C$3:$C$230,$B6,'Direkte input'!$D$3:$D$230,$C6,'Direkte input'!$A$3:$A$230,$A$1),SUMIFS('Direkte input'!I$3:I$230,'Direkte input'!$F$3:$F$230,$D6,'Direkte input'!$C$3:$C$230,$B6,'Direkte input'!$A$3:$A$230,$A$1)),IF(VLOOKUP($A6,[1]!Table1[#All],2,FALSE)="Resultat",SUMIF($F$1:$F5,$D6,J$1:J5)+SUMIF($F8:$F$512,$D6,J8:J$512),0))*'[1]Processer - data'!J6,"")*IF($C6&lt;&gt;"",IF($F6="Halm",Landbrug!E$16*Landbrug!E$17,IF(LEFT($D6,5)="Areal", IF($G6="Ton",Landbrug!E$18,1),1)),1)*IF($F6="Grøntsager",IF($A6="Grøntsager i drivhus",Landbrug!E$51,1-Landbrug!E$51),1)</f>
        <v>165416.00305599862</v>
      </c>
      <c r="L6"/>
      <c r="M6"/>
      <c r="N6"/>
      <c r="O6"/>
    </row>
    <row r="7" spans="1:21" x14ac:dyDescent="0.25">
      <c r="A7" t="str">
        <f>IF('[1]Processer - data'!A7&lt;&gt;"",'[1]Processer - data'!A7,"")</f>
        <v>Muslingefarm</v>
      </c>
      <c r="B7" t="str">
        <f>IF('[1]Processer - data'!B7&lt;&gt;"",'[1]Processer - data'!B7,"")</f>
        <v/>
      </c>
      <c r="C7" t="str">
        <f>IF('[1]Processer - data'!C7&lt;&gt;"",'[1]Processer - data'!C7,"")</f>
        <v/>
      </c>
      <c r="D7" t="str">
        <f>IF('[1]Processer - data'!D7&lt;&gt;"",'[1]Processer - data'!D7,"")</f>
        <v>Muslingeareal</v>
      </c>
      <c r="E7" t="str">
        <f>IF('[1]Processer - data'!E7&lt;&gt;"",'[1]Processer - data'!E7,"")</f>
        <v>Hektar</v>
      </c>
      <c r="F7" t="str">
        <f>IF('[1]Processer - data'!F7&lt;&gt;"",'[1]Processer - data'!F7,"")</f>
        <v>Muslinger</v>
      </c>
      <c r="G7" t="str">
        <f>IF('[1]Processer - data'!G7&lt;&gt;"",'[1]Processer - data'!G7,"")</f>
        <v>Ton</v>
      </c>
      <c r="H7" s="297">
        <f>IF($A7&lt;&gt;"",IF(VLOOKUP($A7,[1]!Table1[#All],2,FALSE)="Direkte input",IF($A7&lt;&gt;"Grøntsager i drivhus",SUMIFS('Direkte input'!G$3:G$230,'Direkte input'!$F$3:$F$230,$D7,'Direkte input'!$C$3:$C$230,$B7,'Direkte input'!$D$3:$D$230,$C7,'Direkte input'!$A$3:$A$230,$A$1),SUMIFS('Direkte input'!G$3:G$230,'Direkte input'!$F$3:$F$230,$D7,'Direkte input'!$C$3:$C$230,$B7,'Direkte input'!$A$3:$A$230,$A$1)),IF(VLOOKUP($A7,[1]!Table1[#All],2,FALSE)="Resultat",SUMIF($F$1:$F5,$D7,H$1:H5)+SUMIF($F8:$F$512,$D7,H8:H$512),0))*'[1]Processer - data'!H7,"")*IF($C7&lt;&gt;"",IF($F7="Halm",Landbrug!C$16*Landbrug!C$17,IF(LEFT($D7,5)="Areal", IF($G7="Ton",Landbrug!C$18,1),1)),1)*IF($F7="Grøntsager",IF($A7="Grøntsager i drivhus",Landbrug!C$51,1-Landbrug!C$51),1)</f>
        <v>1.1976865502381491</v>
      </c>
      <c r="I7" s="298">
        <f>IF($A7&lt;&gt;"",IF(VLOOKUP($A7,[1]!Table1[#All],2,FALSE)="Direkte input",IF($A7&lt;&gt;"Grøntsager i drivhus",SUMIFS('Direkte input'!H$3:H$230,'Direkte input'!$F$3:$F$230,$D7,'Direkte input'!$C$3:$C$230,$B7,'Direkte input'!$D$3:$D$230,$C7,'Direkte input'!$A$3:$A$230,$A$1),SUMIFS('Direkte input'!H$3:H$230,'Direkte input'!$F$3:$F$230,$D7,'Direkte input'!$C$3:$C$230,$B7,'Direkte input'!$A$3:$A$230,$A$1)),IF(VLOOKUP($A7,[1]!Table1[#All],2,FALSE)="Resultat",SUMIF($F$1:$F5,$D7,I$1:I5)+SUMIF($F8:$F$512,$D7,I8:I$512),0))*'[1]Processer - data'!I7,"")*IF($C7&lt;&gt;"",IF($F7="Halm",Landbrug!D$16*Landbrug!D$17,IF(LEFT($D7,5)="Areal", IF($G7="Ton",Landbrug!D$18,1),1)),1)*IF($F7="Grøntsager",IF($A7="Grøntsager i drivhus",Landbrug!D$51,1-Landbrug!D$51),1)</f>
        <v>69865.048763892031</v>
      </c>
      <c r="J7" s="299">
        <f>IF($A7&lt;&gt;"",IF(VLOOKUP($A7,[1]!Table1[#All],2,FALSE)="Direkte input",IF($A7&lt;&gt;"Grøntsager i drivhus",SUMIFS('Direkte input'!I$3:I$230,'Direkte input'!$F$3:$F$230,$D7,'Direkte input'!$C$3:$C$230,$B7,'Direkte input'!$D$3:$D$230,$C7,'Direkte input'!$A$3:$A$230,$A$1),SUMIFS('Direkte input'!I$3:I$230,'Direkte input'!$F$3:$F$230,$D7,'Direkte input'!$C$3:$C$230,$B7,'Direkte input'!$A$3:$A$230,$A$1)),IF(VLOOKUP($A7,[1]!Table1[#All],2,FALSE)="Resultat",SUMIF($F$1:$F5,$D7,J$1:J5)+SUMIF($F8:$F$512,$D7,J8:J$512),0))*'[1]Processer - data'!J7,"")*IF($C7&lt;&gt;"",IF($F7="Halm",Landbrug!E$16*Landbrug!E$17,IF(LEFT($D7,5)="Areal", IF($G7="Ton",Landbrug!E$18,1),1)),1)*IF($F7="Grøntsager",IF($A7="Grøntsager i drivhus",Landbrug!E$51,1-Landbrug!E$51),1)</f>
        <v>69865.048763892031</v>
      </c>
    </row>
    <row r="8" spans="1:21" x14ac:dyDescent="0.25">
      <c r="A8" t="str">
        <f>IF('[1]Processer - data'!A8&lt;&gt;"",'[1]Processer - data'!A8,"")</f>
        <v>Muslingefarm</v>
      </c>
      <c r="B8" t="str">
        <f>IF('[1]Processer - data'!B8&lt;&gt;"",'[1]Processer - data'!B8,"")</f>
        <v/>
      </c>
      <c r="C8" t="str">
        <f>IF('[1]Processer - data'!C8&lt;&gt;"",'[1]Processer - data'!C8,"")</f>
        <v/>
      </c>
      <c r="D8" t="str">
        <f>IF('[1]Processer - data'!D8&lt;&gt;"",'[1]Processer - data'!D8,"")</f>
        <v>Muslingeareal</v>
      </c>
      <c r="E8" t="str">
        <f>IF('[1]Processer - data'!E8&lt;&gt;"",'[1]Processer - data'!E8,"")</f>
        <v>Hektar</v>
      </c>
      <c r="F8" t="str">
        <f>IF('[1]Processer - data'!F8&lt;&gt;"",'[1]Processer - data'!F8,"")</f>
        <v>CO2 - atmosfære</v>
      </c>
      <c r="G8" t="str">
        <f>IF('[1]Processer - data'!G8&lt;&gt;"",'[1]Processer - data'!G8,"")</f>
        <v>t CO2-ækvivalenter</v>
      </c>
      <c r="H8" s="297">
        <f>IF($A8&lt;&gt;"",IF(VLOOKUP($A8,[1]!Table1[#All],2,FALSE)="Direkte input",IF($A8&lt;&gt;"Grøntsager i drivhus",SUMIFS('Direkte input'!G$3:G$230,'Direkte input'!$F$3:$F$230,$D8,'Direkte input'!$C$3:$C$230,$B8,'Direkte input'!$D$3:$D$230,$C8,'Direkte input'!$A$3:$A$230,$A$1),SUMIFS('Direkte input'!G$3:G$230,'Direkte input'!$F$3:$F$230,$D8,'Direkte input'!$C$3:$C$230,$B8,'Direkte input'!$A$3:$A$230,$A$1)),IF(VLOOKUP($A8,[1]!Table1[#All],2,FALSE)="Resultat",SUMIF($F$1:$F7,$D8,H$1:H7)+SUMIF($F9:$F$512,$D8,H9:H$512),0))*'[1]Processer - data'!H8,"")*IF($C8&lt;&gt;"",IF($F8="Halm",Landbrug!C$16*Landbrug!C$17,IF(LEFT($D8,5)="Areal", IF($G8="Ton",Landbrug!C$18,1),1)),1)*IF($F8="Grøntsager",IF($A8="Grøntsager i drivhus",Landbrug!C$51,1-Landbrug!C$51),1)</f>
        <v>-0.19402522113858015</v>
      </c>
      <c r="I8" s="298">
        <f>IF($A8&lt;&gt;"",IF(VLOOKUP($A8,[1]!Table1[#All],2,FALSE)="Direkte input",IF($A8&lt;&gt;"Grøntsager i drivhus",SUMIFS('Direkte input'!H$3:H$230,'Direkte input'!$F$3:$F$230,$D8,'Direkte input'!$C$3:$C$230,$B8,'Direkte input'!$D$3:$D$230,$C8,'Direkte input'!$A$3:$A$230,$A$1),SUMIFS('Direkte input'!H$3:H$230,'Direkte input'!$F$3:$F$230,$D8,'Direkte input'!$C$3:$C$230,$B8,'Direkte input'!$A$3:$A$230,$A$1)),IF(VLOOKUP($A8,[1]!Table1[#All],2,FALSE)="Resultat",SUMIF($F$1:$F7,$D8,I$1:I7)+SUMIF($F9:$F$512,$D8,I9:I$512),0))*'[1]Processer - data'!I8,"")*IF($C8&lt;&gt;"",IF($F8="Halm",Landbrug!D$16*Landbrug!D$17,IF(LEFT($D8,5)="Areal", IF($G8="Ton",Landbrug!D$18,1),1)),1)*IF($F8="Grøntsager",IF($A8="Grøntsager i drivhus",Landbrug!D$51,1-Landbrug!D$51),1)</f>
        <v>-11318.137899750509</v>
      </c>
      <c r="J8" s="299">
        <f>IF($A8&lt;&gt;"",IF(VLOOKUP($A8,[1]!Table1[#All],2,FALSE)="Direkte input",IF($A8&lt;&gt;"Grøntsager i drivhus",SUMIFS('Direkte input'!I$3:I$230,'Direkte input'!$F$3:$F$230,$D8,'Direkte input'!$C$3:$C$230,$B8,'Direkte input'!$D$3:$D$230,$C8,'Direkte input'!$A$3:$A$230,$A$1),SUMIFS('Direkte input'!I$3:I$230,'Direkte input'!$F$3:$F$230,$D8,'Direkte input'!$C$3:$C$230,$B8,'Direkte input'!$A$3:$A$230,$A$1)),IF(VLOOKUP($A8,[1]!Table1[#All],2,FALSE)="Resultat",SUMIF($F$1:$F7,$D8,J$1:J7)+SUMIF($F9:$F$512,$D8,J9:J$512),0))*'[1]Processer - data'!J8,"")*IF($C8&lt;&gt;"",IF($F8="Halm",Landbrug!E$16*Landbrug!E$17,IF(LEFT($D8,5)="Areal", IF($G8="Ton",Landbrug!E$18,1),1)),1)*IF($F8="Grøntsager",IF($A8="Grøntsager i drivhus",Landbrug!E$51,1-Landbrug!E$51),1)</f>
        <v>-11318.137899750509</v>
      </c>
    </row>
    <row r="9" spans="1:21" x14ac:dyDescent="0.25">
      <c r="A9" t="str">
        <f>IF('[1]Processer - data'!A9&lt;&gt;"",'[1]Processer - data'!A9,"")</f>
        <v>Tangfarm</v>
      </c>
      <c r="B9" t="str">
        <f>IF('[1]Processer - data'!B9&lt;&gt;"",'[1]Processer - data'!B9,"")</f>
        <v/>
      </c>
      <c r="C9" t="str">
        <f>IF('[1]Processer - data'!C9&lt;&gt;"",'[1]Processer - data'!C9,"")</f>
        <v/>
      </c>
      <c r="D9" t="str">
        <f>IF('[1]Processer - data'!D9&lt;&gt;"",'[1]Processer - data'!D9,"")</f>
        <v>Tangfarmareal</v>
      </c>
      <c r="E9" t="str">
        <f>IF('[1]Processer - data'!E9&lt;&gt;"",'[1]Processer - data'!E9,"")</f>
        <v>Hektar</v>
      </c>
      <c r="F9" t="str">
        <f>IF('[1]Processer - data'!F9&lt;&gt;"",'[1]Processer - data'!F9,"")</f>
        <v>Tang</v>
      </c>
      <c r="G9" t="str">
        <f>IF('[1]Processer - data'!G9&lt;&gt;"",'[1]Processer - data'!G9,"")</f>
        <v>Ton</v>
      </c>
      <c r="H9" s="297">
        <f>IF($A9&lt;&gt;"",IF(VLOOKUP($A9,[1]!Table1[#All],2,FALSE)="Direkte input",IF($A9&lt;&gt;"Grøntsager i drivhus",SUMIFS('Direkte input'!G$3:G$230,'Direkte input'!$F$3:$F$230,$D9,'Direkte input'!$C$3:$C$230,$B9,'Direkte input'!$D$3:$D$230,$C9,'Direkte input'!$A$3:$A$230,$A$1),SUMIFS('Direkte input'!G$3:G$230,'Direkte input'!$F$3:$F$230,$D9,'Direkte input'!$C$3:$C$230,$B9,'Direkte input'!$A$3:$A$230,$A$1)),IF(VLOOKUP($A9,[1]!Table1[#All],2,FALSE)="Resultat",SUMIF($F$1:$F8,$D9,H$1:H8)+SUMIF($F10:$F$512,$D9,H10:H$512),0))*'[1]Processer - data'!H9,"")*IF($C9&lt;&gt;"",IF($F9="Halm",Landbrug!C$16*Landbrug!C$17,IF(LEFT($D9,5)="Areal", IF($G9="Ton",Landbrug!C$18,1),1)),1)*IF($F9="Grøntsager",IF($A9="Grøntsager i drivhus",Landbrug!C$51,1-Landbrug!C$51),1)</f>
        <v>0</v>
      </c>
      <c r="I9" s="298">
        <f>IF($A9&lt;&gt;"",IF(VLOOKUP($A9,[1]!Table1[#All],2,FALSE)="Direkte input",IF($A9&lt;&gt;"Grøntsager i drivhus",SUMIFS('Direkte input'!H$3:H$230,'Direkte input'!$F$3:$F$230,$D9,'Direkte input'!$C$3:$C$230,$B9,'Direkte input'!$D$3:$D$230,$C9,'Direkte input'!$A$3:$A$230,$A$1),SUMIFS('Direkte input'!H$3:H$230,'Direkte input'!$F$3:$F$230,$D9,'Direkte input'!$C$3:$C$230,$B9,'Direkte input'!$A$3:$A$230,$A$1)),IF(VLOOKUP($A9,[1]!Table1[#All],2,FALSE)="Resultat",SUMIF($F$1:$F8,$D9,I$1:I8)+SUMIF($F10:$F$512,$D9,I10:I$512),0))*'[1]Processer - data'!I9,"")*IF($C9&lt;&gt;"",IF($F9="Halm",Landbrug!D$16*Landbrug!D$17,IF(LEFT($D9,5)="Areal", IF($G9="Ton",Landbrug!D$18,1),1)),1)*IF($F9="Grøntsager",IF($A9="Grøntsager i drivhus",Landbrug!D$51,1-Landbrug!D$51),1)</f>
        <v>36000</v>
      </c>
      <c r="J9" s="299">
        <f>IF($A9&lt;&gt;"",IF(VLOOKUP($A9,[1]!Table1[#All],2,FALSE)="Direkte input",IF($A9&lt;&gt;"Grøntsager i drivhus",SUMIFS('Direkte input'!I$3:I$230,'Direkte input'!$F$3:$F$230,$D9,'Direkte input'!$C$3:$C$230,$B9,'Direkte input'!$D$3:$D$230,$C9,'Direkte input'!$A$3:$A$230,$A$1),SUMIFS('Direkte input'!I$3:I$230,'Direkte input'!$F$3:$F$230,$D9,'Direkte input'!$C$3:$C$230,$B9,'Direkte input'!$A$3:$A$230,$A$1)),IF(VLOOKUP($A9,[1]!Table1[#All],2,FALSE)="Resultat",SUMIF($F$1:$F8,$D9,J$1:J8)+SUMIF($F10:$F$512,$D9,J10:J$512),0))*'[1]Processer - data'!J9,"")*IF($C9&lt;&gt;"",IF($F9="Halm",Landbrug!E$16*Landbrug!E$17,IF(LEFT($D9,5)="Areal", IF($G9="Ton",Landbrug!E$18,1),1)),1)*IF($F9="Grøntsager",IF($A9="Grøntsager i drivhus",Landbrug!E$51,1-Landbrug!E$51),1)</f>
        <v>36000</v>
      </c>
    </row>
    <row r="10" spans="1:21" x14ac:dyDescent="0.25">
      <c r="A10" t="str">
        <f>IF('[1]Processer - data'!A10&lt;&gt;"",'[1]Processer - data'!A10,"")</f>
        <v>Tangfarm</v>
      </c>
      <c r="B10" t="str">
        <f>IF('[1]Processer - data'!B10&lt;&gt;"",'[1]Processer - data'!B10,"")</f>
        <v/>
      </c>
      <c r="C10" t="str">
        <f>IF('[1]Processer - data'!C10&lt;&gt;"",'[1]Processer - data'!C10,"")</f>
        <v/>
      </c>
      <c r="D10" t="str">
        <f>IF('[1]Processer - data'!D10&lt;&gt;"",'[1]Processer - data'!D10,"")</f>
        <v>Tangfarmareal</v>
      </c>
      <c r="E10" t="str">
        <f>IF('[1]Processer - data'!E10&lt;&gt;"",'[1]Processer - data'!E10,"")</f>
        <v>Hektar</v>
      </c>
      <c r="F10" t="str">
        <f>IF('[1]Processer - data'!F10&lt;&gt;"",'[1]Processer - data'!F10,"")</f>
        <v>CO2 - atmosfære</v>
      </c>
      <c r="G10" t="str">
        <f>IF('[1]Processer - data'!G10&lt;&gt;"",'[1]Processer - data'!G10,"")</f>
        <v>t CO2-ækvivalenter</v>
      </c>
      <c r="H10" s="297">
        <f>IF($A10&lt;&gt;"",IF(VLOOKUP($A10,[1]!Table1[#All],2,FALSE)="Direkte input",IF($A10&lt;&gt;"Grøntsager i drivhus",SUMIFS('Direkte input'!G$3:G$230,'Direkte input'!$F$3:$F$230,$D10,'Direkte input'!$C$3:$C$230,$B10,'Direkte input'!$D$3:$D$230,$C10,'Direkte input'!$A$3:$A$230,$A$1),SUMIFS('Direkte input'!G$3:G$230,'Direkte input'!$F$3:$F$230,$D10,'Direkte input'!$C$3:$C$230,$B10,'Direkte input'!$A$3:$A$230,$A$1)),IF(VLOOKUP($A10,[1]!Table1[#All],2,FALSE)="Resultat",SUMIF($F$1:$F9,$D10,H$1:H9)+SUMIF($F11:$F$512,$D10,H11:H$512),0))*'[1]Processer - data'!H10,"")*IF($C10&lt;&gt;"",IF($F10="Halm",Landbrug!C$16*Landbrug!C$17,IF(LEFT($D10,5)="Areal", IF($G10="Ton",Landbrug!C$18,1),1)),1)*IF($F10="Grøntsager",IF($A10="Grøntsager i drivhus",Landbrug!C$51,1-Landbrug!C$51),1)</f>
        <v>0</v>
      </c>
      <c r="I10" s="298">
        <f>IF($A10&lt;&gt;"",IF(VLOOKUP($A10,[1]!Table1[#All],2,FALSE)="Direkte input",IF($A10&lt;&gt;"Grøntsager i drivhus",SUMIFS('Direkte input'!H$3:H$230,'Direkte input'!$F$3:$F$230,$D10,'Direkte input'!$C$3:$C$230,$B10,'Direkte input'!$D$3:$D$230,$C10,'Direkte input'!$A$3:$A$230,$A$1),SUMIFS('Direkte input'!H$3:H$230,'Direkte input'!$F$3:$F$230,$D10,'Direkte input'!$C$3:$C$230,$B10,'Direkte input'!$A$3:$A$230,$A$1)),IF(VLOOKUP($A10,[1]!Table1[#All],2,FALSE)="Resultat",SUMIF($F$1:$F9,$D10,I$1:I9)+SUMIF($F11:$F$512,$D10,I11:I$512),0))*'[1]Processer - data'!I10,"")*IF($C10&lt;&gt;"",IF($F10="Halm",Landbrug!D$16*Landbrug!D$17,IF(LEFT($D10,5)="Areal", IF($G10="Ton",Landbrug!D$18,1),1)),1)*IF($F10="Grøntsager",IF($A10="Grøntsager i drivhus",Landbrug!D$51,1-Landbrug!D$51),1)</f>
        <v>-1492.8000000000002</v>
      </c>
      <c r="J10" s="299">
        <f>IF($A10&lt;&gt;"",IF(VLOOKUP($A10,[1]!Table1[#All],2,FALSE)="Direkte input",IF($A10&lt;&gt;"Grøntsager i drivhus",SUMIFS('Direkte input'!I$3:I$230,'Direkte input'!$F$3:$F$230,$D10,'Direkte input'!$C$3:$C$230,$B10,'Direkte input'!$D$3:$D$230,$C10,'Direkte input'!$A$3:$A$230,$A$1),SUMIFS('Direkte input'!I$3:I$230,'Direkte input'!$F$3:$F$230,$D10,'Direkte input'!$C$3:$C$230,$B10,'Direkte input'!$A$3:$A$230,$A$1)),IF(VLOOKUP($A10,[1]!Table1[#All],2,FALSE)="Resultat",SUMIF($F$1:$F9,$D10,J$1:J9)+SUMIF($F11:$F$512,$D10,J11:J$512),0))*'[1]Processer - data'!J10,"")*IF($C10&lt;&gt;"",IF($F10="Halm",Landbrug!E$16*Landbrug!E$17,IF(LEFT($D10,5)="Areal", IF($G10="Ton",Landbrug!E$18,1),1)),1)*IF($F10="Grøntsager",IF($A10="Grøntsager i drivhus",Landbrug!E$51,1-Landbrug!E$51),1)</f>
        <v>-1492.8000000000002</v>
      </c>
    </row>
    <row r="11" spans="1:21" x14ac:dyDescent="0.25">
      <c r="A11" t="str">
        <f>IF('[1]Processer - data'!A11&lt;&gt;"",'[1]Processer - data'!A11,"")</f>
        <v>Skovproduktion</v>
      </c>
      <c r="B11" t="str">
        <f>IF('[1]Processer - data'!B11&lt;&gt;"",'[1]Processer - data'!B11,"")</f>
        <v/>
      </c>
      <c r="C11" t="str">
        <f>IF('[1]Processer - data'!C11&lt;&gt;"",'[1]Processer - data'!C11,"")</f>
        <v>Basisskov</v>
      </c>
      <c r="D11" t="str">
        <f>IF('[1]Processer - data'!D11&lt;&gt;"",'[1]Processer - data'!D11,"")</f>
        <v>Areal-basisskov</v>
      </c>
      <c r="E11" t="str">
        <f>IF('[1]Processer - data'!E11&lt;&gt;"",'[1]Processer - data'!E11,"")</f>
        <v>Hektar</v>
      </c>
      <c r="F11" t="str">
        <f>IF('[1]Processer - data'!F11&lt;&gt;"",'[1]Processer - data'!F11,"")</f>
        <v>Træer</v>
      </c>
      <c r="G11" t="str">
        <f>IF('[1]Processer - data'!G11&lt;&gt;"",'[1]Processer - data'!G11,"")</f>
        <v>m3</v>
      </c>
      <c r="H11" s="297">
        <f>IF($A11&lt;&gt;"",IF(VLOOKUP($A11,[1]!Table1[#All],2,FALSE)="Direkte input",IF($A11&lt;&gt;"Grøntsager i drivhus",SUMIFS('Direkte input'!G$3:G$230,'Direkte input'!$F$3:$F$230,$D11,'Direkte input'!$C$3:$C$230,$B11,'Direkte input'!$D$3:$D$230,$C11,'Direkte input'!$A$3:$A$230,$A$1),SUMIFS('Direkte input'!G$3:G$230,'Direkte input'!$F$3:$F$230,$D11,'Direkte input'!$C$3:$C$230,$B11,'Direkte input'!$A$3:$A$230,$A$1)),IF(VLOOKUP($A11,[1]!Table1[#All],2,FALSE)="Resultat",SUMIF($F$1:$F10,$D11,H$1:H10)+SUMIF($F12:$F$512,$D11,H12:H$512),0))*'[1]Processer - data'!H11,"")*IF($C11&lt;&gt;"",IF($F11="Halm",Landbrug!C$16*Landbrug!C$17,IF(LEFT($D11,5)="Areal", IF($G11="Ton",Landbrug!C$18,1),1)),1)*IF($F11="Grøntsager",IF($A11="Grøntsager i drivhus",Landbrug!C$51,1-Landbrug!C$51),1)</f>
        <v>390450.85347702471</v>
      </c>
      <c r="I11" s="298">
        <f>IF($A11&lt;&gt;"",IF(VLOOKUP($A11,[1]!Table1[#All],2,FALSE)="Direkte input",IF($A11&lt;&gt;"Grøntsager i drivhus",SUMIFS('Direkte input'!H$3:H$230,'Direkte input'!$F$3:$F$230,$D11,'Direkte input'!$C$3:$C$230,$B11,'Direkte input'!$D$3:$D$230,$C11,'Direkte input'!$A$3:$A$230,$A$1),SUMIFS('Direkte input'!H$3:H$230,'Direkte input'!$F$3:$F$230,$D11,'Direkte input'!$C$3:$C$230,$B11,'Direkte input'!$A$3:$A$230,$A$1)),IF(VLOOKUP($A11,[1]!Table1[#All],2,FALSE)="Resultat",SUMIF($F$1:$F10,$D11,I$1:I10)+SUMIF($F12:$F$512,$D11,I12:I$512),0))*'[1]Processer - data'!I11,"")*IF($C11&lt;&gt;"",IF($F11="Halm",Landbrug!D$16*Landbrug!D$17,IF(LEFT($D11,5)="Areal", IF($G11="Ton",Landbrug!D$18,1),1)),1)*IF($F11="Grøntsager",IF($A11="Grøntsager i drivhus",Landbrug!D$51,1-Landbrug!D$51),1)</f>
        <v>369504.95338004996</v>
      </c>
      <c r="J11" s="299">
        <f>IF($A11&lt;&gt;"",IF(VLOOKUP($A11,[1]!Table1[#All],2,FALSE)="Direkte input",IF($A11&lt;&gt;"Grøntsager i drivhus",SUMIFS('Direkte input'!I$3:I$230,'Direkte input'!$F$3:$F$230,$D11,'Direkte input'!$C$3:$C$230,$B11,'Direkte input'!$D$3:$D$230,$C11,'Direkte input'!$A$3:$A$230,$A$1),SUMIFS('Direkte input'!I$3:I$230,'Direkte input'!$F$3:$F$230,$D11,'Direkte input'!$C$3:$C$230,$B11,'Direkte input'!$A$3:$A$230,$A$1)),IF(VLOOKUP($A11,[1]!Table1[#All],2,FALSE)="Resultat",SUMIF($F$1:$F10,$D11,J$1:J10)+SUMIF($F12:$F$512,$D11,J12:J$512),0))*'[1]Processer - data'!J11,"")*IF($C11&lt;&gt;"",IF($F11="Halm",Landbrug!E$16*Landbrug!E$17,IF(LEFT($D11,5)="Areal", IF($G11="Ton",Landbrug!E$18,1),1)),1)*IF($F11="Grøntsager",IF($A11="Grøntsager i drivhus",Landbrug!E$51,1-Landbrug!E$51),1)</f>
        <v>334258.05334097723</v>
      </c>
    </row>
    <row r="12" spans="1:21" x14ac:dyDescent="0.25">
      <c r="A12" t="str">
        <f>IF('[1]Processer - data'!A12&lt;&gt;"",'[1]Processer - data'!A12,"")</f>
        <v>Skovproduktion</v>
      </c>
      <c r="B12" t="str">
        <f>IF('[1]Processer - data'!B12&lt;&gt;"",'[1]Processer - data'!B12,"")</f>
        <v/>
      </c>
      <c r="C12" t="str">
        <f>IF('[1]Processer - data'!C12&lt;&gt;"",'[1]Processer - data'!C12,"")</f>
        <v>Basisskov</v>
      </c>
      <c r="D12" t="str">
        <f>IF('[1]Processer - data'!D12&lt;&gt;"",'[1]Processer - data'!D12,"")</f>
        <v>Areal-basisskov</v>
      </c>
      <c r="E12" t="str">
        <f>IF('[1]Processer - data'!E12&lt;&gt;"",'[1]Processer - data'!E12,"")</f>
        <v>Hektar</v>
      </c>
      <c r="F12" t="str">
        <f>IF('[1]Processer - data'!F12&lt;&gt;"",'[1]Processer - data'!F12,"")</f>
        <v>Træ til energi</v>
      </c>
      <c r="G12" t="str">
        <f>IF('[1]Processer - data'!G12&lt;&gt;"",'[1]Processer - data'!G12,"")</f>
        <v>m3</v>
      </c>
      <c r="H12" s="297">
        <f>IF($A12&lt;&gt;"",IF(VLOOKUP($A12,[1]!Table1[#All],2,FALSE)="Direkte input",IF($A12&lt;&gt;"Grøntsager i drivhus",SUMIFS('Direkte input'!G$3:G$230,'Direkte input'!$F$3:$F$230,$D12,'Direkte input'!$C$3:$C$230,$B12,'Direkte input'!$D$3:$D$230,$C12,'Direkte input'!$A$3:$A$230,$A$1),SUMIFS('Direkte input'!G$3:G$230,'Direkte input'!$F$3:$F$230,$D12,'Direkte input'!$C$3:$C$230,$B12,'Direkte input'!$A$3:$A$230,$A$1)),IF(VLOOKUP($A12,[1]!Table1[#All],2,FALSE)="Resultat",SUMIF($F$1:$F11,$D12,H$1:H11)+SUMIF($F13:$F$512,$D12,H13:H$512),0))*'[1]Processer - data'!H12,"")*IF($C12&lt;&gt;"",IF($F12="Halm",Landbrug!C$16*Landbrug!C$17,IF(LEFT($D12,5)="Areal", IF($G12="Ton",Landbrug!C$18,1),1)),1)*IF($F12="Grøntsager",IF($A12="Grøntsager i drivhus",Landbrug!C$51,1-Landbrug!C$51),1)</f>
        <v>478580.5400093607</v>
      </c>
      <c r="I12" s="298">
        <f>IF($A12&lt;&gt;"",IF(VLOOKUP($A12,[1]!Table1[#All],2,FALSE)="Direkte input",IF($A12&lt;&gt;"Grøntsager i drivhus",SUMIFS('Direkte input'!H$3:H$230,'Direkte input'!$F$3:$F$230,$D12,'Direkte input'!$C$3:$C$230,$B12,'Direkte input'!$D$3:$D$230,$C12,'Direkte input'!$A$3:$A$230,$A$1),SUMIFS('Direkte input'!H$3:H$230,'Direkte input'!$F$3:$F$230,$D12,'Direkte input'!$C$3:$C$230,$B12,'Direkte input'!$A$3:$A$230,$A$1)),IF(VLOOKUP($A12,[1]!Table1[#All],2,FALSE)="Resultat",SUMIF($F$1:$F11,$D12,I$1:I11)+SUMIF($F13:$F$512,$D12,I13:I$512),0))*'[1]Processer - data'!I12,"")*IF($C12&lt;&gt;"",IF($F12="Halm",Landbrug!D$16*Landbrug!D$17,IF(LEFT($D12,5)="Areal", IF($G12="Ton",Landbrug!D$18,1),1)),1)*IF($F12="Grøntsager",IF($A12="Grøntsager i drivhus",Landbrug!D$51,1-Landbrug!D$51),1)</f>
        <v>452906.88584744919</v>
      </c>
      <c r="J12" s="299">
        <f>IF($A12&lt;&gt;"",IF(VLOOKUP($A12,[1]!Table1[#All],2,FALSE)="Direkte input",IF($A12&lt;&gt;"Grøntsager i drivhus",SUMIFS('Direkte input'!I$3:I$230,'Direkte input'!$F$3:$F$230,$D12,'Direkte input'!$C$3:$C$230,$B12,'Direkte input'!$D$3:$D$230,$C12,'Direkte input'!$A$3:$A$230,$A$1),SUMIFS('Direkte input'!I$3:I$230,'Direkte input'!$F$3:$F$230,$D12,'Direkte input'!$C$3:$C$230,$B12,'Direkte input'!$A$3:$A$230,$A$1)),IF(VLOOKUP($A12,[1]!Table1[#All],2,FALSE)="Resultat",SUMIF($F$1:$F11,$D12,J$1:J11)+SUMIF($F13:$F$512,$D12,J13:J$512),0))*'[1]Processer - data'!J12,"")*IF($C12&lt;&gt;"",IF($F12="Halm",Landbrug!E$16*Landbrug!E$17,IF(LEFT($D12,5)="Areal", IF($G12="Ton",Landbrug!E$18,1),1)),1)*IF($F12="Grøntsager",IF($A12="Grøntsager i drivhus",Landbrug!E$51,1-Landbrug!E$51),1)</f>
        <v>409704.31552614254</v>
      </c>
    </row>
    <row r="13" spans="1:21" x14ac:dyDescent="0.25">
      <c r="A13" t="str">
        <f>IF('[1]Processer - data'!A13&lt;&gt;"",'[1]Processer - data'!A13,"")</f>
        <v>Skovproduktion</v>
      </c>
      <c r="B13" t="str">
        <f>IF('[1]Processer - data'!B13&lt;&gt;"",'[1]Processer - data'!B13,"")</f>
        <v/>
      </c>
      <c r="C13" t="str">
        <f>IF('[1]Processer - data'!C13&lt;&gt;"",'[1]Processer - data'!C13,"")</f>
        <v>Basisskov</v>
      </c>
      <c r="D13" t="str">
        <f>IF('[1]Processer - data'!D13&lt;&gt;"",'[1]Processer - data'!D13,"")</f>
        <v>Areal-basisskov</v>
      </c>
      <c r="E13" t="str">
        <f>IF('[1]Processer - data'!E13&lt;&gt;"",'[1]Processer - data'!E13,"")</f>
        <v>Hektar</v>
      </c>
      <c r="F13" t="str">
        <f>IF('[1]Processer - data'!F13&lt;&gt;"",'[1]Processer - data'!F13,"")</f>
        <v>CO2 - atmosfære</v>
      </c>
      <c r="G13" t="str">
        <f>IF('[1]Processer - data'!G13&lt;&gt;"",'[1]Processer - data'!G13,"")</f>
        <v>t CO2-ækvivalenter</v>
      </c>
      <c r="H13" s="297">
        <f>IF($A13&lt;&gt;"",IF(VLOOKUP($A13,[1]!Table1[#All],2,FALSE)="Direkte input",IF($A13&lt;&gt;"Grøntsager i drivhus",SUMIFS('Direkte input'!G$3:G$230,'Direkte input'!$F$3:$F$230,$D13,'Direkte input'!$C$3:$C$230,$B13,'Direkte input'!$D$3:$D$230,$C13,'Direkte input'!$A$3:$A$230,$A$1),SUMIFS('Direkte input'!G$3:G$230,'Direkte input'!$F$3:$F$230,$D13,'Direkte input'!$C$3:$C$230,$B13,'Direkte input'!$A$3:$A$230,$A$1)),IF(VLOOKUP($A13,[1]!Table1[#All],2,FALSE)="Resultat",SUMIF($F$1:$F12,$D13,H$1:H12)+SUMIF($F15:$F$512,$D13,H15:H$512),0))*'[1]Processer - data'!H13,"")*IF($C13&lt;&gt;"",IF($F13="Halm",Landbrug!C$16*Landbrug!C$17,IF(LEFT($D13,5)="Areal", IF($G13="Ton",Landbrug!C$18,1),1)),1)*IF($F13="Grøntsager",IF($A13="Grøntsager i drivhus",Landbrug!C$51,1-Landbrug!C$51),1)</f>
        <v>-127345.4783769354</v>
      </c>
      <c r="I13" s="298">
        <f>IF($A13&lt;&gt;"",IF(VLOOKUP($A13,[1]!Table1[#All],2,FALSE)="Direkte input",IF($A13&lt;&gt;"Grøntsager i drivhus",SUMIFS('Direkte input'!H$3:H$230,'Direkte input'!$F$3:$F$230,$D13,'Direkte input'!$C$3:$C$230,$B13,'Direkte input'!$D$3:$D$230,$C13,'Direkte input'!$A$3:$A$230,$A$1),SUMIFS('Direkte input'!H$3:H$230,'Direkte input'!$F$3:$F$230,$D13,'Direkte input'!$C$3:$C$230,$B13,'Direkte input'!$A$3:$A$230,$A$1)),IF(VLOOKUP($A13,[1]!Table1[#All],2,FALSE)="Resultat",SUMIF($F$1:$F12,$D13,I$1:I12)+SUMIF($F15:$F$512,$D13,I15:I$512),0))*'[1]Processer - data'!I13,"")*IF($C13&lt;&gt;"",IF($F13="Halm",Landbrug!D$16*Landbrug!D$17,IF(LEFT($D13,5)="Areal", IF($G13="Ton",Landbrug!D$18,1),1)),1)*IF($F13="Grøntsager",IF($A13="Grøntsager i drivhus",Landbrug!D$51,1-Landbrug!D$51),1)</f>
        <v>-120513.97668054659</v>
      </c>
      <c r="J13" s="299">
        <f>IF($A13&lt;&gt;"",IF(VLOOKUP($A13,[1]!Table1[#All],2,FALSE)="Direkte input",IF($A13&lt;&gt;"Grøntsager i drivhus",SUMIFS('Direkte input'!I$3:I$230,'Direkte input'!$F$3:$F$230,$D13,'Direkte input'!$C$3:$C$230,$B13,'Direkte input'!$D$3:$D$230,$C13,'Direkte input'!$A$3:$A$230,$A$1),SUMIFS('Direkte input'!I$3:I$230,'Direkte input'!$F$3:$F$230,$D13,'Direkte input'!$C$3:$C$230,$B13,'Direkte input'!$A$3:$A$230,$A$1)),IF(VLOOKUP($A13,[1]!Table1[#All],2,FALSE)="Resultat",SUMIF($F$1:$F12,$D13,J$1:J12)+SUMIF($F15:$F$512,$D13,J15:J$512),0))*'[1]Processer - data'!J13,"")*IF($C13&lt;&gt;"",IF($F13="Halm",Landbrug!E$16*Landbrug!E$17,IF(LEFT($D13,5)="Areal", IF($G13="Ton",Landbrug!E$18,1),1)),1)*IF($F13="Grøntsager",IF($A13="Grøntsager i drivhus",Landbrug!E$51,1-Landbrug!E$51),1)</f>
        <v>-109018.20632479334</v>
      </c>
    </row>
    <row r="14" spans="1:21" s="168" customFormat="1" x14ac:dyDescent="0.25">
      <c r="A14" s="168" t="str">
        <f>IF('[1]Processer - data'!A14&lt;&gt;"",'[1]Processer - data'!A14,"")</f>
        <v>Skovproduktion</v>
      </c>
      <c r="B14" s="168" t="str">
        <f>IF('[1]Processer - data'!B14&lt;&gt;"",'[1]Processer - data'!B14,"")</f>
        <v/>
      </c>
      <c r="C14" s="168" t="str">
        <f>IF('[1]Processer - data'!C14&lt;&gt;"",'[1]Processer - data'!C14,"")</f>
        <v>Basisskov</v>
      </c>
      <c r="D14" s="168" t="str">
        <f>IF('[1]Processer - data'!D14&lt;&gt;"",'[1]Processer - data'!D14,"")</f>
        <v>Areal-basisskov</v>
      </c>
      <c r="E14" s="168" t="str">
        <f>IF('[1]Processer - data'!E14&lt;&gt;"",'[1]Processer - data'!E14,"")</f>
        <v>Hektar</v>
      </c>
      <c r="F14" s="168" t="str">
        <f>IF('[1]Processer - data'!F14&lt;&gt;"",'[1]Processer - data'!F14,"")</f>
        <v>CO2 - HWP</v>
      </c>
      <c r="G14" s="168" t="str">
        <f>IF('[1]Processer - data'!G14&lt;&gt;"",'[1]Processer - data'!G14,"")</f>
        <v>t CO2-ækvivalenter</v>
      </c>
      <c r="H14" s="297">
        <f>IF($A14&lt;&gt;"",IF(VLOOKUP($A14,[1]!Table1[#All],2,FALSE)="Direkte input",IF($A14&lt;&gt;"Grøntsager i drivhus",SUMIFS('Direkte input'!G$3:G$230,'Direkte input'!$F$3:$F$230,$D14,'Direkte input'!$C$3:$C$230,$B14,'Direkte input'!$D$3:$D$230,$C14,'Direkte input'!$A$3:$A$230,$A$1),SUMIFS('Direkte input'!G$3:G$230,'Direkte input'!$F$3:$F$230,$D14,'Direkte input'!$C$3:$C$230,$B14,'Direkte input'!$A$3:$A$230,$A$1)),IF(VLOOKUP($A14,[1]!Table1[#All],2,FALSE)="Resultat",SUMIF($F$1:$F13,$D14,H$1:H13)+SUMIF($F16:$F$512,$D14,H16:H$512),0))*'[1]Processer - data'!H14,"")*IF($C14&lt;&gt;"",IF($F14="Halm",Landbrug!C$16*Landbrug!C$17,IF(LEFT($D14,5)="Areal", IF($G14="Ton",Landbrug!C$18,1),1)),1)*IF($F14="Grøntsager",IF($A14="Grøntsager i drivhus",Landbrug!C$51,1-Landbrug!C$51),1)</f>
        <v>-286077.98919230519</v>
      </c>
      <c r="I14" s="298">
        <f>IF($A14&lt;&gt;"",IF(VLOOKUP($A14,[1]!Table1[#All],2,FALSE)="Direkte input",IF($A14&lt;&gt;"Grøntsager i drivhus",SUMIFS('Direkte input'!H$3:H$230,'Direkte input'!$F$3:$F$230,$D14,'Direkte input'!$C$3:$C$230,$B14,'Direkte input'!$D$3:$D$230,$C14,'Direkte input'!$A$3:$A$230,$A$1),SUMIFS('Direkte input'!H$3:H$230,'Direkte input'!$F$3:$F$230,$D14,'Direkte input'!$C$3:$C$230,$B14,'Direkte input'!$A$3:$A$230,$A$1)),IF(VLOOKUP($A14,[1]!Table1[#All],2,FALSE)="Resultat",SUMIF($F$1:$F13,$D14,I$1:I13)+SUMIF($F16:$F$512,$D14,I16:I$512),0))*'[1]Processer - data'!I14,"")*IF($C14&lt;&gt;"",IF($F14="Halm",Landbrug!D$16*Landbrug!D$17,IF(LEFT($D14,5)="Areal", IF($G14="Ton",Landbrug!D$18,1),1)),1)*IF($F14="Grøntsager",IF($A14="Grøntsager i drivhus",Landbrug!D$51,1-Landbrug!D$51),1)</f>
        <v>-270731.21525595867</v>
      </c>
      <c r="J14" s="299">
        <f>IF($A14&lt;&gt;"",IF(VLOOKUP($A14,[1]!Table1[#All],2,FALSE)="Direkte input",IF($A14&lt;&gt;"Grøntsager i drivhus",SUMIFS('Direkte input'!I$3:I$230,'Direkte input'!$F$3:$F$230,$D14,'Direkte input'!$C$3:$C$230,$B14,'Direkte input'!$D$3:$D$230,$C14,'Direkte input'!$A$3:$A$230,$A$1),SUMIFS('Direkte input'!I$3:I$230,'Direkte input'!$F$3:$F$230,$D14,'Direkte input'!$C$3:$C$230,$B14,'Direkte input'!$A$3:$A$230,$A$1)),IF(VLOOKUP($A14,[1]!Table1[#All],2,FALSE)="Resultat",SUMIF($F$1:$F13,$D14,J$1:J13)+SUMIF($F16:$F$512,$D14,J16:J$512),0))*'[1]Processer - data'!J14,"")*IF($C14&lt;&gt;"",IF($F14="Halm",Landbrug!E$16*Landbrug!E$17,IF(LEFT($D14,5)="Areal", IF($G14="Ton",Landbrug!E$18,1),1)),1)*IF($F14="Grøntsager",IF($A14="Grøntsager i drivhus",Landbrug!E$51,1-Landbrug!E$51),1)</f>
        <v>-244906.29465802372</v>
      </c>
    </row>
    <row r="15" spans="1:21" x14ac:dyDescent="0.25">
      <c r="A15" s="168" t="str">
        <f>IF('[1]Processer - data'!A15&lt;&gt;"",'[1]Processer - data'!A15,"")</f>
        <v>Skovproduktion</v>
      </c>
      <c r="B15" s="168" t="str">
        <f>IF('[1]Processer - data'!B15&lt;&gt;"",'[1]Processer - data'!B15,"")</f>
        <v/>
      </c>
      <c r="C15" s="168" t="str">
        <f>IF('[1]Processer - data'!C15&lt;&gt;"",'[1]Processer - data'!C15,"")</f>
        <v>Skovtype1</v>
      </c>
      <c r="D15" s="168" t="str">
        <f>IF('[1]Processer - data'!D15&lt;&gt;"",'[1]Processer - data'!D15,"")</f>
        <v>Areal-skovtype1-10</v>
      </c>
      <c r="E15" s="168" t="str">
        <f>IF('[1]Processer - data'!E15&lt;&gt;"",'[1]Processer - data'!E15,"")</f>
        <v>Hektar</v>
      </c>
      <c r="F15" s="168" t="str">
        <f>IF('[1]Processer - data'!F15&lt;&gt;"",'[1]Processer - data'!F15,"")</f>
        <v>Træer</v>
      </c>
      <c r="G15" s="168" t="str">
        <f>IF('[1]Processer - data'!G15&lt;&gt;"",'[1]Processer - data'!G15,"")</f>
        <v>m3</v>
      </c>
      <c r="H15" s="297">
        <f ca="1">IF($A15&lt;&gt;"",IF(VLOOKUP($A15,[1]!Table1[#All],2,FALSE)="Direkte input",IF($A15&lt;&gt;"Grøntsager i drivhus",SUMIFS('Direkte input'!G$3:G$230,'Direkte input'!$F$3:$F$230,$D15,'Direkte input'!$C$3:$C$230,$B15,'Direkte input'!$D$3:$D$230,$C15,'Direkte input'!$A$3:$A$230,$A$1),SUMIFS('Direkte input'!G$3:G$230,'Direkte input'!$F$3:$F$230,$D15,'Direkte input'!$C$3:$C$230,$B15,'Direkte input'!$A$3:$A$230,$A$1)),IF(VLOOKUP($A15,[1]!Table1[#All],2,FALSE)="Resultat",SUMIF($F$1:$F14,$D15,H$1:H14)+SUMIF($F17:$F$512,$D15,H17:H$512),0))*'[1]Processer - data'!H15,"")*IF($C15&lt;&gt;"",IF($F15="Halm",Landbrug!C$16*Landbrug!C$17,IF(LEFT($D15,5)="Areal", IF($G15="Ton",Landbrug!C$18,1),1)),1)*IF($F15="Grøntsager",IF($A15="Grøntsager i drivhus",Landbrug!C$51,1-Landbrug!C$51),1)</f>
        <v>0</v>
      </c>
      <c r="I15" s="298">
        <f ca="1">IF($A15&lt;&gt;"",IF(VLOOKUP($A15,[1]!Table1[#All],2,FALSE)="Direkte input",IF($A15&lt;&gt;"Grøntsager i drivhus",SUMIFS('Direkte input'!H$3:H$230,'Direkte input'!$F$3:$F$230,$D15,'Direkte input'!$C$3:$C$230,$B15,'Direkte input'!$D$3:$D$230,$C15,'Direkte input'!$A$3:$A$230,$A$1),SUMIFS('Direkte input'!H$3:H$230,'Direkte input'!$F$3:$F$230,$D15,'Direkte input'!$C$3:$C$230,$B15,'Direkte input'!$A$3:$A$230,$A$1)),IF(VLOOKUP($A15,[1]!Table1[#All],2,FALSE)="Resultat",SUMIF($F$1:$F14,$D15,I$1:I14)+SUMIF($F17:$F$512,$D15,I17:I$512),0))*'[1]Processer - data'!I15,"")*IF($C15&lt;&gt;"",IF($F15="Halm",Landbrug!D$16*Landbrug!D$17,IF(LEFT($D15,5)="Areal", IF($G15="Ton",Landbrug!D$18,1),1)),1)*IF($F15="Grøntsager",IF($A15="Grøntsager i drivhus",Landbrug!D$51,1-Landbrug!D$51),1)</f>
        <v>0</v>
      </c>
      <c r="J15" s="299">
        <f ca="1">IF($A15&lt;&gt;"",IF(VLOOKUP($A15,[1]!Table1[#All],2,FALSE)="Direkte input",IF($A15&lt;&gt;"Grøntsager i drivhus",SUMIFS('Direkte input'!I$3:I$230,'Direkte input'!$F$3:$F$230,$D15,'Direkte input'!$C$3:$C$230,$B15,'Direkte input'!$D$3:$D$230,$C15,'Direkte input'!$A$3:$A$230,$A$1),SUMIFS('Direkte input'!I$3:I$230,'Direkte input'!$F$3:$F$230,$D15,'Direkte input'!$C$3:$C$230,$B15,'Direkte input'!$A$3:$A$230,$A$1)),IF(VLOOKUP($A15,[1]!Table1[#All],2,FALSE)="Resultat",SUMIF($F$1:$F14,$D15,J$1:J14)+SUMIF($F17:$F$512,$D15,J17:J$512),0))*'[1]Processer - data'!J15,"")*IF($C15&lt;&gt;"",IF($F15="Halm",Landbrug!E$16*Landbrug!E$17,IF(LEFT($D15,5)="Areal", IF($G15="Ton",Landbrug!E$18,1),1)),1)*IF($F15="Grøntsager",IF($A15="Grøntsager i drivhus",Landbrug!E$51,1-Landbrug!E$51),1)</f>
        <v>0</v>
      </c>
    </row>
    <row r="16" spans="1:21" x14ac:dyDescent="0.25">
      <c r="A16" s="168" t="str">
        <f>IF('[1]Processer - data'!A16&lt;&gt;"",'[1]Processer - data'!A16,"")</f>
        <v>Skovproduktion</v>
      </c>
      <c r="B16" s="168" t="str">
        <f>IF('[1]Processer - data'!B16&lt;&gt;"",'[1]Processer - data'!B16,"")</f>
        <v/>
      </c>
      <c r="C16" s="168" t="str">
        <f>IF('[1]Processer - data'!C16&lt;&gt;"",'[1]Processer - data'!C16,"")</f>
        <v>Skovtype1</v>
      </c>
      <c r="D16" s="168" t="str">
        <f>IF('[1]Processer - data'!D16&lt;&gt;"",'[1]Processer - data'!D16,"")</f>
        <v>Areal-skovtype1-10</v>
      </c>
      <c r="E16" s="168" t="str">
        <f>IF('[1]Processer - data'!E16&lt;&gt;"",'[1]Processer - data'!E16,"")</f>
        <v>Hektar</v>
      </c>
      <c r="F16" s="168" t="str">
        <f>IF('[1]Processer - data'!F16&lt;&gt;"",'[1]Processer - data'!F16,"")</f>
        <v>Træ til energi</v>
      </c>
      <c r="G16" s="168" t="str">
        <f>IF('[1]Processer - data'!G16&lt;&gt;"",'[1]Processer - data'!G16,"")</f>
        <v>m3</v>
      </c>
      <c r="H16" s="297">
        <f ca="1">IF($A16&lt;&gt;"",IF(VLOOKUP($A16,[1]!Table1[#All],2,FALSE)="Direkte input",IF($A16&lt;&gt;"Grøntsager i drivhus",SUMIFS('Direkte input'!G$3:G$230,'Direkte input'!$F$3:$F$230,$D16,'Direkte input'!$C$3:$C$230,$B16,'Direkte input'!$D$3:$D$230,$C16,'Direkte input'!$A$3:$A$230,$A$1),SUMIFS('Direkte input'!G$3:G$230,'Direkte input'!$F$3:$F$230,$D16,'Direkte input'!$C$3:$C$230,$B16,'Direkte input'!$A$3:$A$230,$A$1)),IF(VLOOKUP($A16,[1]!Table1[#All],2,FALSE)="Resultat",SUMIF($F$1:$F15,$D16,H$1:H15)+SUMIF($F18:$F$512,$D16,H18:H$512),0))*'[1]Processer - data'!H16,"")*IF($C16&lt;&gt;"",IF($F16="Halm",Landbrug!C$16*Landbrug!C$17,IF(LEFT($D16,5)="Areal", IF($G16="Ton",Landbrug!C$18,1),1)),1)*IF($F16="Grøntsager",IF($A16="Grøntsager i drivhus",Landbrug!C$51,1-Landbrug!C$51),1)</f>
        <v>0</v>
      </c>
      <c r="I16" s="298">
        <f ca="1">IF($A16&lt;&gt;"",IF(VLOOKUP($A16,[1]!Table1[#All],2,FALSE)="Direkte input",IF($A16&lt;&gt;"Grøntsager i drivhus",SUMIFS('Direkte input'!H$3:H$230,'Direkte input'!$F$3:$F$230,$D16,'Direkte input'!$C$3:$C$230,$B16,'Direkte input'!$D$3:$D$230,$C16,'Direkte input'!$A$3:$A$230,$A$1),SUMIFS('Direkte input'!H$3:H$230,'Direkte input'!$F$3:$F$230,$D16,'Direkte input'!$C$3:$C$230,$B16,'Direkte input'!$A$3:$A$230,$A$1)),IF(VLOOKUP($A16,[1]!Table1[#All],2,FALSE)="Resultat",SUMIF($F$1:$F15,$D16,I$1:I15)+SUMIF($F18:$F$512,$D16,I18:I$512),0))*'[1]Processer - data'!I16,"")*IF($C16&lt;&gt;"",IF($F16="Halm",Landbrug!D$16*Landbrug!D$17,IF(LEFT($D16,5)="Areal", IF($G16="Ton",Landbrug!D$18,1),1)),1)*IF($F16="Grøntsager",IF($A16="Grøntsager i drivhus",Landbrug!D$51,1-Landbrug!D$51),1)</f>
        <v>0</v>
      </c>
      <c r="J16" s="299">
        <f ca="1">IF($A16&lt;&gt;"",IF(VLOOKUP($A16,[1]!Table1[#All],2,FALSE)="Direkte input",IF($A16&lt;&gt;"Grøntsager i drivhus",SUMIFS('Direkte input'!I$3:I$230,'Direkte input'!$F$3:$F$230,$D16,'Direkte input'!$C$3:$C$230,$B16,'Direkte input'!$D$3:$D$230,$C16,'Direkte input'!$A$3:$A$230,$A$1),SUMIFS('Direkte input'!I$3:I$230,'Direkte input'!$F$3:$F$230,$D16,'Direkte input'!$C$3:$C$230,$B16,'Direkte input'!$A$3:$A$230,$A$1)),IF(VLOOKUP($A16,[1]!Table1[#All],2,FALSE)="Resultat",SUMIF($F$1:$F15,$D16,J$1:J15)+SUMIF($F18:$F$512,$D16,J18:J$512),0))*'[1]Processer - data'!J16,"")*IF($C16&lt;&gt;"",IF($F16="Halm",Landbrug!E$16*Landbrug!E$17,IF(LEFT($D16,5)="Areal", IF($G16="Ton",Landbrug!E$18,1),1)),1)*IF($F16="Grøntsager",IF($A16="Grøntsager i drivhus",Landbrug!E$51,1-Landbrug!E$51),1)</f>
        <v>0</v>
      </c>
    </row>
    <row r="17" spans="1:10" x14ac:dyDescent="0.25">
      <c r="A17" s="168" t="str">
        <f>IF('[1]Processer - data'!A17&lt;&gt;"",'[1]Processer - data'!A17,"")</f>
        <v>Skovproduktion</v>
      </c>
      <c r="B17" s="168" t="str">
        <f>IF('[1]Processer - data'!B17&lt;&gt;"",'[1]Processer - data'!B17,"")</f>
        <v/>
      </c>
      <c r="C17" s="168" t="str">
        <f>IF('[1]Processer - data'!C17&lt;&gt;"",'[1]Processer - data'!C17,"")</f>
        <v>Skovtype1</v>
      </c>
      <c r="D17" s="168" t="str">
        <f>IF('[1]Processer - data'!D17&lt;&gt;"",'[1]Processer - data'!D17,"")</f>
        <v>Areal-skovtype1-10</v>
      </c>
      <c r="E17" s="168" t="str">
        <f>IF('[1]Processer - data'!E17&lt;&gt;"",'[1]Processer - data'!E17,"")</f>
        <v>Hektar</v>
      </c>
      <c r="F17" s="168" t="str">
        <f>IF('[1]Processer - data'!F17&lt;&gt;"",'[1]Processer - data'!F17,"")</f>
        <v>CO2 - atmosfære</v>
      </c>
      <c r="G17" s="168" t="str">
        <f>IF('[1]Processer - data'!G17&lt;&gt;"",'[1]Processer - data'!G17,"")</f>
        <v>t CO2-ækvivalenter</v>
      </c>
      <c r="H17" s="297">
        <f ca="1">IF($A17&lt;&gt;"",IF(VLOOKUP($A17,[1]!Table1[#All],2,FALSE)="Direkte input",IF($A17&lt;&gt;"Grøntsager i drivhus",SUMIFS('Direkte input'!G$3:G$230,'Direkte input'!$F$3:$F$230,$D17,'Direkte input'!$C$3:$C$230,$B17,'Direkte input'!$D$3:$D$230,$C17,'Direkte input'!$A$3:$A$230,$A$1),SUMIFS('Direkte input'!G$3:G$230,'Direkte input'!$F$3:$F$230,$D17,'Direkte input'!$C$3:$C$230,$B17,'Direkte input'!$A$3:$A$230,$A$1)),IF(VLOOKUP($A17,[1]!Table1[#All],2,FALSE)="Resultat",SUMIF($F$1:$F16,$D17,H$1:H16)+SUMIF($F19:$F$512,$D17,H19:H$512),0))*'[1]Processer - data'!H17,"")*IF($C17&lt;&gt;"",IF($F17="Halm",Landbrug!C$16*Landbrug!C$17,IF(LEFT($D17,5)="Areal", IF($G17="Ton",Landbrug!C$18,1),1)),1)*IF($F17="Grøntsager",IF($A17="Grøntsager i drivhus",Landbrug!C$51,1-Landbrug!C$51),1)</f>
        <v>0</v>
      </c>
      <c r="I17" s="298">
        <f ca="1">IF($A17&lt;&gt;"",IF(VLOOKUP($A17,[1]!Table1[#All],2,FALSE)="Direkte input",IF($A17&lt;&gt;"Grøntsager i drivhus",SUMIFS('Direkte input'!H$3:H$230,'Direkte input'!$F$3:$F$230,$D17,'Direkte input'!$C$3:$C$230,$B17,'Direkte input'!$D$3:$D$230,$C17,'Direkte input'!$A$3:$A$230,$A$1),SUMIFS('Direkte input'!H$3:H$230,'Direkte input'!$F$3:$F$230,$D17,'Direkte input'!$C$3:$C$230,$B17,'Direkte input'!$A$3:$A$230,$A$1)),IF(VLOOKUP($A17,[1]!Table1[#All],2,FALSE)="Resultat",SUMIF($F$1:$F16,$D17,I$1:I16)+SUMIF($F19:$F$512,$D17,I19:I$512),0))*'[1]Processer - data'!I17,"")*IF($C17&lt;&gt;"",IF($F17="Halm",Landbrug!D$16*Landbrug!D$17,IF(LEFT($D17,5)="Areal", IF($G17="Ton",Landbrug!D$18,1),1)),1)*IF($F17="Grøntsager",IF($A17="Grøntsager i drivhus",Landbrug!D$51,1-Landbrug!D$51),1)</f>
        <v>-21749.898724223294</v>
      </c>
      <c r="J17" s="299">
        <f ca="1">IF($A17&lt;&gt;"",IF(VLOOKUP($A17,[1]!Table1[#All],2,FALSE)="Direkte input",IF($A17&lt;&gt;"Grøntsager i drivhus",SUMIFS('Direkte input'!I$3:I$230,'Direkte input'!$F$3:$F$230,$D17,'Direkte input'!$C$3:$C$230,$B17,'Direkte input'!$D$3:$D$230,$C17,'Direkte input'!$A$3:$A$230,$A$1),SUMIFS('Direkte input'!I$3:I$230,'Direkte input'!$F$3:$F$230,$D17,'Direkte input'!$C$3:$C$230,$B17,'Direkte input'!$A$3:$A$230,$A$1)),IF(VLOOKUP($A17,[1]!Table1[#All],2,FALSE)="Resultat",SUMIF($F$1:$F16,$D17,J$1:J16)+SUMIF($F19:$F$512,$D17,J19:J$512),0))*'[1]Processer - data'!J17,"")*IF($C17&lt;&gt;"",IF($F17="Halm",Landbrug!E$16*Landbrug!E$17,IF(LEFT($D17,5)="Areal", IF($G17="Ton",Landbrug!E$18,1),1)),1)*IF($F17="Grøntsager",IF($A17="Grøntsager i drivhus",Landbrug!E$51,1-Landbrug!E$51),1)</f>
        <v>-20279.92241930648</v>
      </c>
    </row>
    <row r="18" spans="1:10" s="168" customFormat="1" x14ac:dyDescent="0.25">
      <c r="A18" s="168" t="str">
        <f>IF('[1]Processer - data'!A18&lt;&gt;"",'[1]Processer - data'!A18,"")</f>
        <v>Skovproduktion</v>
      </c>
      <c r="B18" s="168" t="str">
        <f>IF('[1]Processer - data'!B18&lt;&gt;"",'[1]Processer - data'!B18,"")</f>
        <v/>
      </c>
      <c r="C18" s="168" t="str">
        <f>IF('[1]Processer - data'!C18&lt;&gt;"",'[1]Processer - data'!C18,"")</f>
        <v>Skovtype1</v>
      </c>
      <c r="D18" s="168" t="str">
        <f>IF('[1]Processer - data'!D18&lt;&gt;"",'[1]Processer - data'!D18,"")</f>
        <v>Areal-skovtype1-10</v>
      </c>
      <c r="E18" s="168" t="str">
        <f>IF('[1]Processer - data'!E18&lt;&gt;"",'[1]Processer - data'!E18,"")</f>
        <v>Hektar</v>
      </c>
      <c r="F18" s="168" t="str">
        <f>IF('[1]Processer - data'!F18&lt;&gt;"",'[1]Processer - data'!F18,"")</f>
        <v>CO2 - HWP</v>
      </c>
      <c r="G18" s="168" t="str">
        <f>IF('[1]Processer - data'!G18&lt;&gt;"",'[1]Processer - data'!G18,"")</f>
        <v>t CO2-ækvivalenter</v>
      </c>
      <c r="H18" s="297">
        <f ca="1">IF($A18&lt;&gt;"",IF(VLOOKUP($A18,[1]!Table1[#All],2,FALSE)="Direkte input",IF($A18&lt;&gt;"Grøntsager i drivhus",SUMIFS('Direkte input'!G$3:G$230,'Direkte input'!$F$3:$F$230,$D18,'Direkte input'!$C$3:$C$230,$B18,'Direkte input'!$D$3:$D$230,$C18,'Direkte input'!$A$3:$A$230,$A$1),SUMIFS('Direkte input'!G$3:G$230,'Direkte input'!$F$3:$F$230,$D18,'Direkte input'!$C$3:$C$230,$B18,'Direkte input'!$A$3:$A$230,$A$1)),IF(VLOOKUP($A18,[1]!Table1[#All],2,FALSE)="Resultat",SUMIF($F$1:$F17,$D18,H$1:H17)+SUMIF($F20:$F$512,$D18,H20:H$512),0))*'[1]Processer - data'!H18,"")*IF($C18&lt;&gt;"",IF($F18="Halm",Landbrug!C$16*Landbrug!C$17,IF(LEFT($D18,5)="Areal", IF($G18="Ton",Landbrug!C$18,1),1)),1)*IF($F18="Grøntsager",IF($A18="Grøntsager i drivhus",Landbrug!C$51,1-Landbrug!C$51),1)</f>
        <v>0</v>
      </c>
      <c r="I18" s="298">
        <f ca="1">IF($A18&lt;&gt;"",IF(VLOOKUP($A18,[1]!Table1[#All],2,FALSE)="Direkte input",IF($A18&lt;&gt;"Grøntsager i drivhus",SUMIFS('Direkte input'!H$3:H$230,'Direkte input'!$F$3:$F$230,$D18,'Direkte input'!$C$3:$C$230,$B18,'Direkte input'!$D$3:$D$230,$C18,'Direkte input'!$A$3:$A$230,$A$1),SUMIFS('Direkte input'!H$3:H$230,'Direkte input'!$F$3:$F$230,$D18,'Direkte input'!$C$3:$C$230,$B18,'Direkte input'!$A$3:$A$230,$A$1)),IF(VLOOKUP($A18,[1]!Table1[#All],2,FALSE)="Resultat",SUMIF($F$1:$F17,$D18,I$1:I17)+SUMIF($F20:$F$512,$D18,I20:I$512),0))*'[1]Processer - data'!I18,"")*IF($C18&lt;&gt;"",IF($F18="Halm",Landbrug!D$16*Landbrug!D$17,IF(LEFT($D18,5)="Areal", IF($G18="Ton",Landbrug!D$18,1),1)),1)*IF($F18="Grøntsager",IF($A18="Grøntsager i drivhus",Landbrug!D$51,1-Landbrug!D$51),1)</f>
        <v>0</v>
      </c>
      <c r="J18" s="299">
        <f ca="1">IF($A18&lt;&gt;"",IF(VLOOKUP($A18,[1]!Table1[#All],2,FALSE)="Direkte input",IF($A18&lt;&gt;"Grøntsager i drivhus",SUMIFS('Direkte input'!I$3:I$230,'Direkte input'!$F$3:$F$230,$D18,'Direkte input'!$C$3:$C$230,$B18,'Direkte input'!$D$3:$D$230,$C18,'Direkte input'!$A$3:$A$230,$A$1),SUMIFS('Direkte input'!I$3:I$230,'Direkte input'!$F$3:$F$230,$D18,'Direkte input'!$C$3:$C$230,$B18,'Direkte input'!$A$3:$A$230,$A$1)),IF(VLOOKUP($A18,[1]!Table1[#All],2,FALSE)="Resultat",SUMIF($F$1:$F17,$D18,J$1:J17)+SUMIF($F20:$F$512,$D18,J20:J$512),0))*'[1]Processer - data'!J18,"")*IF($C18&lt;&gt;"",IF($F18="Halm",Landbrug!E$16*Landbrug!E$17,IF(LEFT($D18,5)="Areal", IF($G18="Ton",Landbrug!E$18,1),1)),1)*IF($F18="Grøntsager",IF($A18="Grøntsager i drivhus",Landbrug!E$51,1-Landbrug!E$51),1)</f>
        <v>0</v>
      </c>
    </row>
    <row r="19" spans="1:10" x14ac:dyDescent="0.25">
      <c r="A19" s="168" t="str">
        <f>IF('[1]Processer - data'!A19&lt;&gt;"",'[1]Processer - data'!A19,"")</f>
        <v>Skovproduktion</v>
      </c>
      <c r="B19" s="168" t="str">
        <f>IF('[1]Processer - data'!B19&lt;&gt;"",'[1]Processer - data'!B19,"")</f>
        <v/>
      </c>
      <c r="C19" s="168" t="str">
        <f>IF('[1]Processer - data'!C19&lt;&gt;"",'[1]Processer - data'!C19,"")</f>
        <v>Skovtype1</v>
      </c>
      <c r="D19" s="168" t="str">
        <f>IF('[1]Processer - data'!D19&lt;&gt;"",'[1]Processer - data'!D19,"")</f>
        <v>Areal-skovtype1-20</v>
      </c>
      <c r="E19" s="168" t="str">
        <f>IF('[1]Processer - data'!E19&lt;&gt;"",'[1]Processer - data'!E19,"")</f>
        <v>Hektar</v>
      </c>
      <c r="F19" s="168" t="str">
        <f>IF('[1]Processer - data'!F19&lt;&gt;"",'[1]Processer - data'!F19,"")</f>
        <v>Træer</v>
      </c>
      <c r="G19" s="168" t="str">
        <f>IF('[1]Processer - data'!G19&lt;&gt;"",'[1]Processer - data'!G19,"")</f>
        <v>m3</v>
      </c>
      <c r="H19" s="297">
        <f ca="1">IF($A19&lt;&gt;"",IF(VLOOKUP($A19,[1]!Table1[#All],2,FALSE)="Direkte input",IF($A19&lt;&gt;"Grøntsager i drivhus",SUMIFS('Direkte input'!G$3:G$230,'Direkte input'!$F$3:$F$230,$D19,'Direkte input'!$C$3:$C$230,$B19,'Direkte input'!$D$3:$D$230,$C19,'Direkte input'!$A$3:$A$230,$A$1),SUMIFS('Direkte input'!G$3:G$230,'Direkte input'!$F$3:$F$230,$D19,'Direkte input'!$C$3:$C$230,$B19,'Direkte input'!$A$3:$A$230,$A$1)),IF(VLOOKUP($A19,[1]!Table1[#All],2,FALSE)="Resultat",SUMIF($F$1:$F18,$D19,H$1:H18)+SUMIF($F21:$F$512,$D19,H21:H$512),0))*'[1]Processer - data'!H19,"")*IF($C19&lt;&gt;"",IF($F19="Halm",Landbrug!C$16*Landbrug!C$17,IF(LEFT($D19,5)="Areal", IF($G19="Ton",Landbrug!C$18,1),1)),1)*IF($F19="Grøntsager",IF($A19="Grøntsager i drivhus",Landbrug!C$51,1-Landbrug!C$51),1)</f>
        <v>0</v>
      </c>
      <c r="I19" s="298">
        <f ca="1">IF($A19&lt;&gt;"",IF(VLOOKUP($A19,[1]!Table1[#All],2,FALSE)="Direkte input",IF($A19&lt;&gt;"Grøntsager i drivhus",SUMIFS('Direkte input'!H$3:H$230,'Direkte input'!$F$3:$F$230,$D19,'Direkte input'!$C$3:$C$230,$B19,'Direkte input'!$D$3:$D$230,$C19,'Direkte input'!$A$3:$A$230,$A$1),SUMIFS('Direkte input'!H$3:H$230,'Direkte input'!$F$3:$F$230,$D19,'Direkte input'!$C$3:$C$230,$B19,'Direkte input'!$A$3:$A$230,$A$1)),IF(VLOOKUP($A19,[1]!Table1[#All],2,FALSE)="Resultat",SUMIF($F$1:$F18,$D19,I$1:I18)+SUMIF($F21:$F$512,$D19,I21:I$512),0))*'[1]Processer - data'!I19,"")*IF($C19&lt;&gt;"",IF($F19="Halm",Landbrug!D$16*Landbrug!D$17,IF(LEFT($D19,5)="Areal", IF($G19="Ton",Landbrug!D$18,1),1)),1)*IF($F19="Grøntsager",IF($A19="Grøntsager i drivhus",Landbrug!D$51,1-Landbrug!D$51),1)</f>
        <v>0</v>
      </c>
      <c r="J19" s="299">
        <f ca="1">IF($A19&lt;&gt;"",IF(VLOOKUP($A19,[1]!Table1[#All],2,FALSE)="Direkte input",IF($A19&lt;&gt;"Grøntsager i drivhus",SUMIFS('Direkte input'!I$3:I$230,'Direkte input'!$F$3:$F$230,$D19,'Direkte input'!$C$3:$C$230,$B19,'Direkte input'!$D$3:$D$230,$C19,'Direkte input'!$A$3:$A$230,$A$1),SUMIFS('Direkte input'!I$3:I$230,'Direkte input'!$F$3:$F$230,$D19,'Direkte input'!$C$3:$C$230,$B19,'Direkte input'!$A$3:$A$230,$A$1)),IF(VLOOKUP($A19,[1]!Table1[#All],2,FALSE)="Resultat",SUMIF($F$1:$F18,$D19,J$1:J18)+SUMIF($F21:$F$512,$D19,J21:J$512),0))*'[1]Processer - data'!J19,"")*IF($C19&lt;&gt;"",IF($F19="Halm",Landbrug!E$16*Landbrug!E$17,IF(LEFT($D19,5)="Areal", IF($G19="Ton",Landbrug!E$18,1),1)),1)*IF($F19="Grøntsager",IF($A19="Grøntsager i drivhus",Landbrug!E$51,1-Landbrug!E$51),1)</f>
        <v>0</v>
      </c>
    </row>
    <row r="20" spans="1:10" x14ac:dyDescent="0.25">
      <c r="A20" s="168" t="str">
        <f>IF('[1]Processer - data'!A20&lt;&gt;"",'[1]Processer - data'!A20,"")</f>
        <v>Skovproduktion</v>
      </c>
      <c r="B20" s="168" t="str">
        <f>IF('[1]Processer - data'!B20&lt;&gt;"",'[1]Processer - data'!B20,"")</f>
        <v/>
      </c>
      <c r="C20" s="168" t="str">
        <f>IF('[1]Processer - data'!C20&lt;&gt;"",'[1]Processer - data'!C20,"")</f>
        <v>Skovtype1</v>
      </c>
      <c r="D20" s="168" t="str">
        <f>IF('[1]Processer - data'!D20&lt;&gt;"",'[1]Processer - data'!D20,"")</f>
        <v>Areal-skovtype1-20</v>
      </c>
      <c r="E20" s="168" t="str">
        <f>IF('[1]Processer - data'!E20&lt;&gt;"",'[1]Processer - data'!E20,"")</f>
        <v>Hektar</v>
      </c>
      <c r="F20" s="168" t="str">
        <f>IF('[1]Processer - data'!F20&lt;&gt;"",'[1]Processer - data'!F20,"")</f>
        <v>Træ til energi</v>
      </c>
      <c r="G20" s="168" t="str">
        <f>IF('[1]Processer - data'!G20&lt;&gt;"",'[1]Processer - data'!G20,"")</f>
        <v>m3</v>
      </c>
      <c r="H20" s="297">
        <f ca="1">IF($A20&lt;&gt;"",IF(VLOOKUP($A20,[1]!Table1[#All],2,FALSE)="Direkte input",IF($A20&lt;&gt;"Grøntsager i drivhus",SUMIFS('Direkte input'!G$3:G$230,'Direkte input'!$F$3:$F$230,$D20,'Direkte input'!$C$3:$C$230,$B20,'Direkte input'!$D$3:$D$230,$C20,'Direkte input'!$A$3:$A$230,$A$1),SUMIFS('Direkte input'!G$3:G$230,'Direkte input'!$F$3:$F$230,$D20,'Direkte input'!$C$3:$C$230,$B20,'Direkte input'!$A$3:$A$230,$A$1)),IF(VLOOKUP($A20,[1]!Table1[#All],2,FALSE)="Resultat",SUMIF($F$1:$F19,$D20,H$1:H19)+SUMIF($F22:$F$512,$D20,H22:H$512),0))*'[1]Processer - data'!H20,"")*IF($C20&lt;&gt;"",IF($F20="Halm",Landbrug!C$16*Landbrug!C$17,IF(LEFT($D20,5)="Areal", IF($G20="Ton",Landbrug!C$18,1),1)),1)*IF($F20="Grøntsager",IF($A20="Grøntsager i drivhus",Landbrug!C$51,1-Landbrug!C$51),1)</f>
        <v>0</v>
      </c>
      <c r="I20" s="298">
        <f ca="1">IF($A20&lt;&gt;"",IF(VLOOKUP($A20,[1]!Table1[#All],2,FALSE)="Direkte input",IF($A20&lt;&gt;"Grøntsager i drivhus",SUMIFS('Direkte input'!H$3:H$230,'Direkte input'!$F$3:$F$230,$D20,'Direkte input'!$C$3:$C$230,$B20,'Direkte input'!$D$3:$D$230,$C20,'Direkte input'!$A$3:$A$230,$A$1),SUMIFS('Direkte input'!H$3:H$230,'Direkte input'!$F$3:$F$230,$D20,'Direkte input'!$C$3:$C$230,$B20,'Direkte input'!$A$3:$A$230,$A$1)),IF(VLOOKUP($A20,[1]!Table1[#All],2,FALSE)="Resultat",SUMIF($F$1:$F19,$D20,I$1:I19)+SUMIF($F22:$F$512,$D20,I22:I$512),0))*'[1]Processer - data'!I20,"")*IF($C20&lt;&gt;"",IF($F20="Halm",Landbrug!D$16*Landbrug!D$17,IF(LEFT($D20,5)="Areal", IF($G20="Ton",Landbrug!D$18,1),1)),1)*IF($F20="Grøntsager",IF($A20="Grøntsager i drivhus",Landbrug!D$51,1-Landbrug!D$51),1)</f>
        <v>0</v>
      </c>
      <c r="J20" s="299">
        <f ca="1">IF($A20&lt;&gt;"",IF(VLOOKUP($A20,[1]!Table1[#All],2,FALSE)="Direkte input",IF($A20&lt;&gt;"Grøntsager i drivhus",SUMIFS('Direkte input'!I$3:I$230,'Direkte input'!$F$3:$F$230,$D20,'Direkte input'!$C$3:$C$230,$B20,'Direkte input'!$D$3:$D$230,$C20,'Direkte input'!$A$3:$A$230,$A$1),SUMIFS('Direkte input'!I$3:I$230,'Direkte input'!$F$3:$F$230,$D20,'Direkte input'!$C$3:$C$230,$B20,'Direkte input'!$A$3:$A$230,$A$1)),IF(VLOOKUP($A20,[1]!Table1[#All],2,FALSE)="Resultat",SUMIF($F$1:$F19,$D20,J$1:J19)+SUMIF($F22:$F$512,$D20,J22:J$512),0))*'[1]Processer - data'!J20,"")*IF($C20&lt;&gt;"",IF($F20="Halm",Landbrug!E$16*Landbrug!E$17,IF(LEFT($D20,5)="Areal", IF($G20="Ton",Landbrug!E$18,1),1)),1)*IF($F20="Grøntsager",IF($A20="Grøntsager i drivhus",Landbrug!E$51,1-Landbrug!E$51),1)</f>
        <v>0</v>
      </c>
    </row>
    <row r="21" spans="1:10" x14ac:dyDescent="0.25">
      <c r="A21" s="168" t="str">
        <f>IF('[1]Processer - data'!A21&lt;&gt;"",'[1]Processer - data'!A21,"")</f>
        <v>Skovproduktion</v>
      </c>
      <c r="B21" s="168" t="str">
        <f>IF('[1]Processer - data'!B21&lt;&gt;"",'[1]Processer - data'!B21,"")</f>
        <v/>
      </c>
      <c r="C21" s="168" t="str">
        <f>IF('[1]Processer - data'!C21&lt;&gt;"",'[1]Processer - data'!C21,"")</f>
        <v>Skovtype1</v>
      </c>
      <c r="D21" s="168" t="str">
        <f>IF('[1]Processer - data'!D21&lt;&gt;"",'[1]Processer - data'!D21,"")</f>
        <v>Areal-skovtype1-20</v>
      </c>
      <c r="E21" s="168" t="str">
        <f>IF('[1]Processer - data'!E21&lt;&gt;"",'[1]Processer - data'!E21,"")</f>
        <v>Hektar</v>
      </c>
      <c r="F21" s="168" t="str">
        <f>IF('[1]Processer - data'!F21&lt;&gt;"",'[1]Processer - data'!F21,"")</f>
        <v>CO2 - atmosfære</v>
      </c>
      <c r="G21" s="168" t="str">
        <f>IF('[1]Processer - data'!G21&lt;&gt;"",'[1]Processer - data'!G21,"")</f>
        <v>t CO2-ækvivalenter</v>
      </c>
      <c r="H21" s="297">
        <f ca="1">IF($A21&lt;&gt;"",IF(VLOOKUP($A21,[1]!Table1[#All],2,FALSE)="Direkte input",IF($A21&lt;&gt;"Grøntsager i drivhus",SUMIFS('Direkte input'!G$3:G$230,'Direkte input'!$F$3:$F$230,$D21,'Direkte input'!$C$3:$C$230,$B21,'Direkte input'!$D$3:$D$230,$C21,'Direkte input'!$A$3:$A$230,$A$1),SUMIFS('Direkte input'!G$3:G$230,'Direkte input'!$F$3:$F$230,$D21,'Direkte input'!$C$3:$C$230,$B21,'Direkte input'!$A$3:$A$230,$A$1)),IF(VLOOKUP($A21,[1]!Table1[#All],2,FALSE)="Resultat",SUMIF($F$1:$F20,$D21,H$1:H20)+SUMIF($F23:$F$512,$D21,H23:H$512),0))*'[1]Processer - data'!H21,"")*IF($C21&lt;&gt;"",IF($F21="Halm",Landbrug!C$16*Landbrug!C$17,IF(LEFT($D21,5)="Areal", IF($G21="Ton",Landbrug!C$18,1),1)),1)*IF($F21="Grøntsager",IF($A21="Grøntsager i drivhus",Landbrug!C$51,1-Landbrug!C$51),1)</f>
        <v>0</v>
      </c>
      <c r="I21" s="298">
        <f ca="1">IF($A21&lt;&gt;"",IF(VLOOKUP($A21,[1]!Table1[#All],2,FALSE)="Direkte input",IF($A21&lt;&gt;"Grøntsager i drivhus",SUMIFS('Direkte input'!H$3:H$230,'Direkte input'!$F$3:$F$230,$D21,'Direkte input'!$C$3:$C$230,$B21,'Direkte input'!$D$3:$D$230,$C21,'Direkte input'!$A$3:$A$230,$A$1),SUMIFS('Direkte input'!H$3:H$230,'Direkte input'!$F$3:$F$230,$D21,'Direkte input'!$C$3:$C$230,$B21,'Direkte input'!$A$3:$A$230,$A$1)),IF(VLOOKUP($A21,[1]!Table1[#All],2,FALSE)="Resultat",SUMIF($F$1:$F20,$D21,I$1:I20)+SUMIF($F23:$F$512,$D21,I23:I$512),0))*'[1]Processer - data'!I21,"")*IF($C21&lt;&gt;"",IF($F21="Halm",Landbrug!D$16*Landbrug!D$17,IF(LEFT($D21,5)="Areal", IF($G21="Ton",Landbrug!D$18,1),1)),1)*IF($F21="Grøntsager",IF($A21="Grøntsager i drivhus",Landbrug!D$51,1-Landbrug!D$51),1)</f>
        <v>-4879.8525072175762</v>
      </c>
      <c r="J21" s="299">
        <f ca="1">IF($A21&lt;&gt;"",IF(VLOOKUP($A21,[1]!Table1[#All],2,FALSE)="Direkte input",IF($A21&lt;&gt;"Grøntsager i drivhus",SUMIFS('Direkte input'!I$3:I$230,'Direkte input'!$F$3:$F$230,$D21,'Direkte input'!$C$3:$C$230,$B21,'Direkte input'!$D$3:$D$230,$C21,'Direkte input'!$A$3:$A$230,$A$1),SUMIFS('Direkte input'!I$3:I$230,'Direkte input'!$F$3:$F$230,$D21,'Direkte input'!$C$3:$C$230,$B21,'Direkte input'!$A$3:$A$230,$A$1)),IF(VLOOKUP($A21,[1]!Table1[#All],2,FALSE)="Resultat",SUMIF($F$1:$F20,$D21,J$1:J20)+SUMIF($F23:$F$512,$D21,J23:J$512),0))*'[1]Processer - data'!J21,"")*IF($C21&lt;&gt;"",IF($F21="Halm",Landbrug!E$16*Landbrug!E$17,IF(LEFT($D21,5)="Areal", IF($G21="Ton",Landbrug!E$18,1),1)),1)*IF($F21="Grøntsager",IF($A21="Grøntsager i drivhus",Landbrug!E$51,1-Landbrug!E$51),1)</f>
        <v>-46184.037801814542</v>
      </c>
    </row>
    <row r="22" spans="1:10" s="168" customFormat="1" x14ac:dyDescent="0.25">
      <c r="A22" s="168" t="str">
        <f>IF('[1]Processer - data'!A22&lt;&gt;"",'[1]Processer - data'!A22,"")</f>
        <v>Skovproduktion</v>
      </c>
      <c r="B22" s="168" t="str">
        <f>IF('[1]Processer - data'!B22&lt;&gt;"",'[1]Processer - data'!B22,"")</f>
        <v/>
      </c>
      <c r="C22" s="168" t="str">
        <f>IF('[1]Processer - data'!C22&lt;&gt;"",'[1]Processer - data'!C22,"")</f>
        <v>Skovtype1</v>
      </c>
      <c r="D22" s="168" t="str">
        <f>IF('[1]Processer - data'!D22&lt;&gt;"",'[1]Processer - data'!D22,"")</f>
        <v>Areal-skovtype1-20</v>
      </c>
      <c r="E22" s="168" t="str">
        <f>IF('[1]Processer - data'!E22&lt;&gt;"",'[1]Processer - data'!E22,"")</f>
        <v>Hektar</v>
      </c>
      <c r="F22" s="168" t="str">
        <f>IF('[1]Processer - data'!F22&lt;&gt;"",'[1]Processer - data'!F22,"")</f>
        <v>CO2 - HWP</v>
      </c>
      <c r="G22" s="168" t="str">
        <f>IF('[1]Processer - data'!G22&lt;&gt;"",'[1]Processer - data'!G22,"")</f>
        <v>t CO2-ækvivalenter</v>
      </c>
      <c r="H22" s="297">
        <f ca="1">IF($A22&lt;&gt;"",IF(VLOOKUP($A22,[1]!Table1[#All],2,FALSE)="Direkte input",IF($A22&lt;&gt;"Grøntsager i drivhus",SUMIFS('Direkte input'!G$3:G$230,'Direkte input'!$F$3:$F$230,$D22,'Direkte input'!$C$3:$C$230,$B22,'Direkte input'!$D$3:$D$230,$C22,'Direkte input'!$A$3:$A$230,$A$1),SUMIFS('Direkte input'!G$3:G$230,'Direkte input'!$F$3:$F$230,$D22,'Direkte input'!$C$3:$C$230,$B22,'Direkte input'!$A$3:$A$230,$A$1)),IF(VLOOKUP($A22,[1]!Table1[#All],2,FALSE)="Resultat",SUMIF($F$1:$F21,$D22,H$1:H21)+SUMIF($F24:$F$512,$D22,H24:H$512),0))*'[1]Processer - data'!H22,"")*IF($C22&lt;&gt;"",IF($F22="Halm",Landbrug!C$16*Landbrug!C$17,IF(LEFT($D22,5)="Areal", IF($G22="Ton",Landbrug!C$18,1),1)),1)*IF($F22="Grøntsager",IF($A22="Grøntsager i drivhus",Landbrug!C$51,1-Landbrug!C$51),1)</f>
        <v>0</v>
      </c>
      <c r="I22" s="298">
        <f ca="1">IF($A22&lt;&gt;"",IF(VLOOKUP($A22,[1]!Table1[#All],2,FALSE)="Direkte input",IF($A22&lt;&gt;"Grøntsager i drivhus",SUMIFS('Direkte input'!H$3:H$230,'Direkte input'!$F$3:$F$230,$D22,'Direkte input'!$C$3:$C$230,$B22,'Direkte input'!$D$3:$D$230,$C22,'Direkte input'!$A$3:$A$230,$A$1),SUMIFS('Direkte input'!H$3:H$230,'Direkte input'!$F$3:$F$230,$D22,'Direkte input'!$C$3:$C$230,$B22,'Direkte input'!$A$3:$A$230,$A$1)),IF(VLOOKUP($A22,[1]!Table1[#All],2,FALSE)="Resultat",SUMIF($F$1:$F21,$D22,I$1:I21)+SUMIF($F24:$F$512,$D22,I24:I$512),0))*'[1]Processer - data'!I22,"")*IF($C22&lt;&gt;"",IF($F22="Halm",Landbrug!D$16*Landbrug!D$17,IF(LEFT($D22,5)="Areal", IF($G22="Ton",Landbrug!D$18,1),1)),1)*IF($F22="Grøntsager",IF($A22="Grøntsager i drivhus",Landbrug!D$51,1-Landbrug!D$51),1)</f>
        <v>0</v>
      </c>
      <c r="J22" s="299">
        <f ca="1">IF($A22&lt;&gt;"",IF(VLOOKUP($A22,[1]!Table1[#All],2,FALSE)="Direkte input",IF($A22&lt;&gt;"Grøntsager i drivhus",SUMIFS('Direkte input'!I$3:I$230,'Direkte input'!$F$3:$F$230,$D22,'Direkte input'!$C$3:$C$230,$B22,'Direkte input'!$D$3:$D$230,$C22,'Direkte input'!$A$3:$A$230,$A$1),SUMIFS('Direkte input'!I$3:I$230,'Direkte input'!$F$3:$F$230,$D22,'Direkte input'!$C$3:$C$230,$B22,'Direkte input'!$A$3:$A$230,$A$1)),IF(VLOOKUP($A22,[1]!Table1[#All],2,FALSE)="Resultat",SUMIF($F$1:$F21,$D22,J$1:J21)+SUMIF($F24:$F$512,$D22,J24:J$512),0))*'[1]Processer - data'!J22,"")*IF($C22&lt;&gt;"",IF($F22="Halm",Landbrug!E$16*Landbrug!E$17,IF(LEFT($D22,5)="Areal", IF($G22="Ton",Landbrug!E$18,1),1)),1)*IF($F22="Grøntsager",IF($A22="Grøntsager i drivhus",Landbrug!E$51,1-Landbrug!E$51),1)</f>
        <v>0</v>
      </c>
    </row>
    <row r="23" spans="1:10" x14ac:dyDescent="0.25">
      <c r="A23" s="168" t="str">
        <f>IF('[1]Processer - data'!A23&lt;&gt;"",'[1]Processer - data'!A23,"")</f>
        <v>Skovproduktion</v>
      </c>
      <c r="B23" s="168" t="str">
        <f>IF('[1]Processer - data'!B23&lt;&gt;"",'[1]Processer - data'!B23,"")</f>
        <v/>
      </c>
      <c r="C23" s="168" t="str">
        <f>IF('[1]Processer - data'!C23&lt;&gt;"",'[1]Processer - data'!C23,"")</f>
        <v>Skovtype1</v>
      </c>
      <c r="D23" s="168" t="str">
        <f>IF('[1]Processer - data'!D23&lt;&gt;"",'[1]Processer - data'!D23,"")</f>
        <v>Areal-skovtype1-30</v>
      </c>
      <c r="E23" s="168" t="str">
        <f>IF('[1]Processer - data'!E23&lt;&gt;"",'[1]Processer - data'!E23,"")</f>
        <v>Hektar</v>
      </c>
      <c r="F23" s="168" t="str">
        <f>IF('[1]Processer - data'!F23&lt;&gt;"",'[1]Processer - data'!F23,"")</f>
        <v>Træer</v>
      </c>
      <c r="G23" s="168" t="str">
        <f>IF('[1]Processer - data'!G23&lt;&gt;"",'[1]Processer - data'!G23,"")</f>
        <v>m3</v>
      </c>
      <c r="H23" s="297">
        <f ca="1">IF($A23&lt;&gt;"",IF(VLOOKUP($A23,[1]!Table1[#All],2,FALSE)="Direkte input",IF($A23&lt;&gt;"Grøntsager i drivhus",SUMIFS('Direkte input'!G$3:G$230,'Direkte input'!$F$3:$F$230,$D23,'Direkte input'!$C$3:$C$230,$B23,'Direkte input'!$D$3:$D$230,$C23,'Direkte input'!$A$3:$A$230,$A$1),SUMIFS('Direkte input'!G$3:G$230,'Direkte input'!$F$3:$F$230,$D23,'Direkte input'!$C$3:$C$230,$B23,'Direkte input'!$A$3:$A$230,$A$1)),IF(VLOOKUP($A23,[1]!Table1[#All],2,FALSE)="Resultat",SUMIF($F$1:$F22,$D23,H$1:H22)+SUMIF($F25:$F$512,$D23,H25:H$512),0))*'[1]Processer - data'!H23,"")*IF($C23&lt;&gt;"",IF($F23="Halm",Landbrug!C$16*Landbrug!C$17,IF(LEFT($D23,5)="Areal", IF($G23="Ton",Landbrug!C$18,1),1)),1)*IF($F23="Grøntsager",IF($A23="Grøntsager i drivhus",Landbrug!C$51,1-Landbrug!C$51),1)</f>
        <v>0</v>
      </c>
      <c r="I23" s="298">
        <f ca="1">IF($A23&lt;&gt;"",IF(VLOOKUP($A23,[1]!Table1[#All],2,FALSE)="Direkte input",IF($A23&lt;&gt;"Grøntsager i drivhus",SUMIFS('Direkte input'!H$3:H$230,'Direkte input'!$F$3:$F$230,$D23,'Direkte input'!$C$3:$C$230,$B23,'Direkte input'!$D$3:$D$230,$C23,'Direkte input'!$A$3:$A$230,$A$1),SUMIFS('Direkte input'!H$3:H$230,'Direkte input'!$F$3:$F$230,$D23,'Direkte input'!$C$3:$C$230,$B23,'Direkte input'!$A$3:$A$230,$A$1)),IF(VLOOKUP($A23,[1]!Table1[#All],2,FALSE)="Resultat",SUMIF($F$1:$F22,$D23,I$1:I22)+SUMIF($F25:$F$512,$D23,I25:I$512),0))*'[1]Processer - data'!I23,"")*IF($C23&lt;&gt;"",IF($F23="Halm",Landbrug!D$16*Landbrug!D$17,IF(LEFT($D23,5)="Areal", IF($G23="Ton",Landbrug!D$18,1),1)),1)*IF($F23="Grøntsager",IF($A23="Grøntsager i drivhus",Landbrug!D$51,1-Landbrug!D$51),1)</f>
        <v>0</v>
      </c>
      <c r="J23" s="299">
        <f ca="1">IF($A23&lt;&gt;"",IF(VLOOKUP($A23,[1]!Table1[#All],2,FALSE)="Direkte input",IF($A23&lt;&gt;"Grøntsager i drivhus",SUMIFS('Direkte input'!I$3:I$230,'Direkte input'!$F$3:$F$230,$D23,'Direkte input'!$C$3:$C$230,$B23,'Direkte input'!$D$3:$D$230,$C23,'Direkte input'!$A$3:$A$230,$A$1),SUMIFS('Direkte input'!I$3:I$230,'Direkte input'!$F$3:$F$230,$D23,'Direkte input'!$C$3:$C$230,$B23,'Direkte input'!$A$3:$A$230,$A$1)),IF(VLOOKUP($A23,[1]!Table1[#All],2,FALSE)="Resultat",SUMIF($F$1:$F22,$D23,J$1:J22)+SUMIF($F25:$F$512,$D23,J25:J$512),0))*'[1]Processer - data'!J23,"")*IF($C23&lt;&gt;"",IF($F23="Halm",Landbrug!E$16*Landbrug!E$17,IF(LEFT($D23,5)="Areal", IF($G23="Ton",Landbrug!E$18,1),1)),1)*IF($F23="Grøntsager",IF($A23="Grøntsager i drivhus",Landbrug!E$51,1-Landbrug!E$51),1)</f>
        <v>0</v>
      </c>
    </row>
    <row r="24" spans="1:10" x14ac:dyDescent="0.25">
      <c r="A24" s="168" t="str">
        <f>IF('[1]Processer - data'!A24&lt;&gt;"",'[1]Processer - data'!A24,"")</f>
        <v>Skovproduktion</v>
      </c>
      <c r="B24" s="168" t="str">
        <f>IF('[1]Processer - data'!B24&lt;&gt;"",'[1]Processer - data'!B24,"")</f>
        <v/>
      </c>
      <c r="C24" s="168" t="str">
        <f>IF('[1]Processer - data'!C24&lt;&gt;"",'[1]Processer - data'!C24,"")</f>
        <v>Skovtype1</v>
      </c>
      <c r="D24" s="168" t="str">
        <f>IF('[1]Processer - data'!D24&lt;&gt;"",'[1]Processer - data'!D24,"")</f>
        <v>Areal-skovtype1-30</v>
      </c>
      <c r="E24" s="168" t="str">
        <f>IF('[1]Processer - data'!E24&lt;&gt;"",'[1]Processer - data'!E24,"")</f>
        <v>Hektar</v>
      </c>
      <c r="F24" s="168" t="str">
        <f>IF('[1]Processer - data'!F24&lt;&gt;"",'[1]Processer - data'!F24,"")</f>
        <v>Træ til energi</v>
      </c>
      <c r="G24" s="168" t="str">
        <f>IF('[1]Processer - data'!G24&lt;&gt;"",'[1]Processer - data'!G24,"")</f>
        <v>m3</v>
      </c>
      <c r="H24" s="297">
        <f ca="1">IF($A24&lt;&gt;"",IF(VLOOKUP($A24,[1]!Table1[#All],2,FALSE)="Direkte input",IF($A24&lt;&gt;"Grøntsager i drivhus",SUMIFS('Direkte input'!G$3:G$230,'Direkte input'!$F$3:$F$230,$D24,'Direkte input'!$C$3:$C$230,$B24,'Direkte input'!$D$3:$D$230,$C24,'Direkte input'!$A$3:$A$230,$A$1),SUMIFS('Direkte input'!G$3:G$230,'Direkte input'!$F$3:$F$230,$D24,'Direkte input'!$C$3:$C$230,$B24,'Direkte input'!$A$3:$A$230,$A$1)),IF(VLOOKUP($A24,[1]!Table1[#All],2,FALSE)="Resultat",SUMIF($F$1:$F23,$D24,H$1:H23)+SUMIF($F26:$F$512,$D24,H26:H$512),0))*'[1]Processer - data'!H24,"")*IF($C24&lt;&gt;"",IF($F24="Halm",Landbrug!C$16*Landbrug!C$17,IF(LEFT($D24,5)="Areal", IF($G24="Ton",Landbrug!C$18,1),1)),1)*IF($F24="Grøntsager",IF($A24="Grøntsager i drivhus",Landbrug!C$51,1-Landbrug!C$51),1)</f>
        <v>0</v>
      </c>
      <c r="I24" s="298">
        <f ca="1">IF($A24&lt;&gt;"",IF(VLOOKUP($A24,[1]!Table1[#All],2,FALSE)="Direkte input",IF($A24&lt;&gt;"Grøntsager i drivhus",SUMIFS('Direkte input'!H$3:H$230,'Direkte input'!$F$3:$F$230,$D24,'Direkte input'!$C$3:$C$230,$B24,'Direkte input'!$D$3:$D$230,$C24,'Direkte input'!$A$3:$A$230,$A$1),SUMIFS('Direkte input'!H$3:H$230,'Direkte input'!$F$3:$F$230,$D24,'Direkte input'!$C$3:$C$230,$B24,'Direkte input'!$A$3:$A$230,$A$1)),IF(VLOOKUP($A24,[1]!Table1[#All],2,FALSE)="Resultat",SUMIF($F$1:$F23,$D24,I$1:I23)+SUMIF($F26:$F$512,$D24,I26:I$512),0))*'[1]Processer - data'!I24,"")*IF($C24&lt;&gt;"",IF($F24="Halm",Landbrug!D$16*Landbrug!D$17,IF(LEFT($D24,5)="Areal", IF($G24="Ton",Landbrug!D$18,1),1)),1)*IF($F24="Grøntsager",IF($A24="Grøntsager i drivhus",Landbrug!D$51,1-Landbrug!D$51),1)</f>
        <v>0</v>
      </c>
      <c r="J24" s="299">
        <f ca="1">IF($A24&lt;&gt;"",IF(VLOOKUP($A24,[1]!Table1[#All],2,FALSE)="Direkte input",IF($A24&lt;&gt;"Grøntsager i drivhus",SUMIFS('Direkte input'!I$3:I$230,'Direkte input'!$F$3:$F$230,$D24,'Direkte input'!$C$3:$C$230,$B24,'Direkte input'!$D$3:$D$230,$C24,'Direkte input'!$A$3:$A$230,$A$1),SUMIFS('Direkte input'!I$3:I$230,'Direkte input'!$F$3:$F$230,$D24,'Direkte input'!$C$3:$C$230,$B24,'Direkte input'!$A$3:$A$230,$A$1)),IF(VLOOKUP($A24,[1]!Table1[#All],2,FALSE)="Resultat",SUMIF($F$1:$F23,$D24,J$1:J23)+SUMIF($F26:$F$512,$D24,J26:J$512),0))*'[1]Processer - data'!J24,"")*IF($C24&lt;&gt;"",IF($F24="Halm",Landbrug!E$16*Landbrug!E$17,IF(LEFT($D24,5)="Areal", IF($G24="Ton",Landbrug!E$18,1),1)),1)*IF($F24="Grøntsager",IF($A24="Grøntsager i drivhus",Landbrug!E$51,1-Landbrug!E$51),1)</f>
        <v>0</v>
      </c>
    </row>
    <row r="25" spans="1:10" x14ac:dyDescent="0.25">
      <c r="A25" s="168" t="str">
        <f>IF('[1]Processer - data'!A25&lt;&gt;"",'[1]Processer - data'!A25,"")</f>
        <v>Skovproduktion</v>
      </c>
      <c r="B25" s="168" t="str">
        <f>IF('[1]Processer - data'!B25&lt;&gt;"",'[1]Processer - data'!B25,"")</f>
        <v/>
      </c>
      <c r="C25" s="168" t="str">
        <f>IF('[1]Processer - data'!C25&lt;&gt;"",'[1]Processer - data'!C25,"")</f>
        <v>Skovtype1</v>
      </c>
      <c r="D25" s="168" t="str">
        <f>IF('[1]Processer - data'!D25&lt;&gt;"",'[1]Processer - data'!D25,"")</f>
        <v>Areal-skovtype1-30</v>
      </c>
      <c r="E25" s="168" t="str">
        <f>IF('[1]Processer - data'!E25&lt;&gt;"",'[1]Processer - data'!E25,"")</f>
        <v>Hektar</v>
      </c>
      <c r="F25" s="168" t="str">
        <f>IF('[1]Processer - data'!F25&lt;&gt;"",'[1]Processer - data'!F25,"")</f>
        <v>CO2 - atmosfære</v>
      </c>
      <c r="G25" s="168" t="str">
        <f>IF('[1]Processer - data'!G25&lt;&gt;"",'[1]Processer - data'!G25,"")</f>
        <v>t CO2-ækvivalenter</v>
      </c>
      <c r="H25" s="297">
        <f ca="1">IF($A25&lt;&gt;"",IF(VLOOKUP($A25,[1]!Table1[#All],2,FALSE)="Direkte input",IF($A25&lt;&gt;"Grøntsager i drivhus",SUMIFS('Direkte input'!G$3:G$230,'Direkte input'!$F$3:$F$230,$D25,'Direkte input'!$C$3:$C$230,$B25,'Direkte input'!$D$3:$D$230,$C25,'Direkte input'!$A$3:$A$230,$A$1),SUMIFS('Direkte input'!G$3:G$230,'Direkte input'!$F$3:$F$230,$D25,'Direkte input'!$C$3:$C$230,$B25,'Direkte input'!$A$3:$A$230,$A$1)),IF(VLOOKUP($A25,[1]!Table1[#All],2,FALSE)="Resultat",SUMIF($F$1:$F24,$D25,H$1:H24)+SUMIF($F27:$F$512,$D25,H27:H$512),0))*'[1]Processer - data'!H25,"")*IF($C25&lt;&gt;"",IF($F25="Halm",Landbrug!C$16*Landbrug!C$17,IF(LEFT($D25,5)="Areal", IF($G25="Ton",Landbrug!C$18,1),1)),1)*IF($F25="Grøntsager",IF($A25="Grøntsager i drivhus",Landbrug!C$51,1-Landbrug!C$51),1)</f>
        <v>0</v>
      </c>
      <c r="I25" s="298">
        <f ca="1">IF($A25&lt;&gt;"",IF(VLOOKUP($A25,[1]!Table1[#All],2,FALSE)="Direkte input",IF($A25&lt;&gt;"Grøntsager i drivhus",SUMIFS('Direkte input'!H$3:H$230,'Direkte input'!$F$3:$F$230,$D25,'Direkte input'!$C$3:$C$230,$B25,'Direkte input'!$D$3:$D$230,$C25,'Direkte input'!$A$3:$A$230,$A$1),SUMIFS('Direkte input'!H$3:H$230,'Direkte input'!$F$3:$F$230,$D25,'Direkte input'!$C$3:$C$230,$B25,'Direkte input'!$A$3:$A$230,$A$1)),IF(VLOOKUP($A25,[1]!Table1[#All],2,FALSE)="Resultat",SUMIF($F$1:$F24,$D25,I$1:I24)+SUMIF($F27:$F$512,$D25,I27:I$512),0))*'[1]Processer - data'!I25,"")*IF($C25&lt;&gt;"",IF($F25="Halm",Landbrug!D$16*Landbrug!D$17,IF(LEFT($D25,5)="Areal", IF($G25="Ton",Landbrug!D$18,1),1)),1)*IF($F25="Grøntsager",IF($A25="Grøntsager i drivhus",Landbrug!D$51,1-Landbrug!D$51),1)</f>
        <v>0</v>
      </c>
      <c r="J25" s="299">
        <f ca="1">IF($A25&lt;&gt;"",IF(VLOOKUP($A25,[1]!Table1[#All],2,FALSE)="Direkte input",IF($A25&lt;&gt;"Grøntsager i drivhus",SUMIFS('Direkte input'!I$3:I$230,'Direkte input'!$F$3:$F$230,$D25,'Direkte input'!$C$3:$C$230,$B25,'Direkte input'!$D$3:$D$230,$C25,'Direkte input'!$A$3:$A$230,$A$1),SUMIFS('Direkte input'!I$3:I$230,'Direkte input'!$F$3:$F$230,$D25,'Direkte input'!$C$3:$C$230,$B25,'Direkte input'!$A$3:$A$230,$A$1)),IF(VLOOKUP($A25,[1]!Table1[#All],2,FALSE)="Resultat",SUMIF($F$1:$F24,$D25,J$1:J24)+SUMIF($F27:$F$512,$D25,J27:J$512),0))*'[1]Processer - data'!J25,"")*IF($C25&lt;&gt;"",IF($F25="Halm",Landbrug!E$16*Landbrug!E$17,IF(LEFT($D25,5)="Areal", IF($G25="Ton",Landbrug!E$18,1),1)),1)*IF($F25="Grøntsager",IF($A25="Grøntsager i drivhus",Landbrug!E$51,1-Landbrug!E$51),1)</f>
        <v>-121799.43285565045</v>
      </c>
    </row>
    <row r="26" spans="1:10" s="168" customFormat="1" x14ac:dyDescent="0.25">
      <c r="A26" s="168" t="str">
        <f>IF('[1]Processer - data'!A26&lt;&gt;"",'[1]Processer - data'!A26,"")</f>
        <v>Skovproduktion</v>
      </c>
      <c r="B26" s="168" t="str">
        <f>IF('[1]Processer - data'!B26&lt;&gt;"",'[1]Processer - data'!B26,"")</f>
        <v/>
      </c>
      <c r="C26" s="168" t="str">
        <f>IF('[1]Processer - data'!C26&lt;&gt;"",'[1]Processer - data'!C26,"")</f>
        <v>Skovtype1</v>
      </c>
      <c r="D26" s="168" t="str">
        <f>IF('[1]Processer - data'!D26&lt;&gt;"",'[1]Processer - data'!D26,"")</f>
        <v>Areal-skovtype1-30</v>
      </c>
      <c r="E26" s="168" t="str">
        <f>IF('[1]Processer - data'!E26&lt;&gt;"",'[1]Processer - data'!E26,"")</f>
        <v>Hektar</v>
      </c>
      <c r="F26" s="168" t="str">
        <f>IF('[1]Processer - data'!F26&lt;&gt;"",'[1]Processer - data'!F26,"")</f>
        <v>CO2 - HWP</v>
      </c>
      <c r="G26" s="168" t="str">
        <f>IF('[1]Processer - data'!G26&lt;&gt;"",'[1]Processer - data'!G26,"")</f>
        <v>t CO2-ækvivalenter</v>
      </c>
      <c r="H26" s="297">
        <f ca="1">IF($A26&lt;&gt;"",IF(VLOOKUP($A26,[1]!Table1[#All],2,FALSE)="Direkte input",IF($A26&lt;&gt;"Grøntsager i drivhus",SUMIFS('Direkte input'!G$3:G$230,'Direkte input'!$F$3:$F$230,$D26,'Direkte input'!$C$3:$C$230,$B26,'Direkte input'!$D$3:$D$230,$C26,'Direkte input'!$A$3:$A$230,$A$1),SUMIFS('Direkte input'!G$3:G$230,'Direkte input'!$F$3:$F$230,$D26,'Direkte input'!$C$3:$C$230,$B26,'Direkte input'!$A$3:$A$230,$A$1)),IF(VLOOKUP($A26,[1]!Table1[#All],2,FALSE)="Resultat",SUMIF($F$1:$F25,$D26,H$1:H25)+SUMIF($F28:$F$512,$D26,H28:H$512),0))*'[1]Processer - data'!H26,"")*IF($C26&lt;&gt;"",IF($F26="Halm",Landbrug!C$16*Landbrug!C$17,IF(LEFT($D26,5)="Areal", IF($G26="Ton",Landbrug!C$18,1),1)),1)*IF($F26="Grøntsager",IF($A26="Grøntsager i drivhus",Landbrug!C$51,1-Landbrug!C$51),1)</f>
        <v>0</v>
      </c>
      <c r="I26" s="298">
        <f ca="1">IF($A26&lt;&gt;"",IF(VLOOKUP($A26,[1]!Table1[#All],2,FALSE)="Direkte input",IF($A26&lt;&gt;"Grøntsager i drivhus",SUMIFS('Direkte input'!H$3:H$230,'Direkte input'!$F$3:$F$230,$D26,'Direkte input'!$C$3:$C$230,$B26,'Direkte input'!$D$3:$D$230,$C26,'Direkte input'!$A$3:$A$230,$A$1),SUMIFS('Direkte input'!H$3:H$230,'Direkte input'!$F$3:$F$230,$D26,'Direkte input'!$C$3:$C$230,$B26,'Direkte input'!$A$3:$A$230,$A$1)),IF(VLOOKUP($A26,[1]!Table1[#All],2,FALSE)="Resultat",SUMIF($F$1:$F25,$D26,I$1:I25)+SUMIF($F28:$F$512,$D26,I28:I$512),0))*'[1]Processer - data'!I26,"")*IF($C26&lt;&gt;"",IF($F26="Halm",Landbrug!D$16*Landbrug!D$17,IF(LEFT($D26,5)="Areal", IF($G26="Ton",Landbrug!D$18,1),1)),1)*IF($F26="Grøntsager",IF($A26="Grøntsager i drivhus",Landbrug!D$51,1-Landbrug!D$51),1)</f>
        <v>0</v>
      </c>
      <c r="J26" s="299">
        <f ca="1">IF($A26&lt;&gt;"",IF(VLOOKUP($A26,[1]!Table1[#All],2,FALSE)="Direkte input",IF($A26&lt;&gt;"Grøntsager i drivhus",SUMIFS('Direkte input'!I$3:I$230,'Direkte input'!$F$3:$F$230,$D26,'Direkte input'!$C$3:$C$230,$B26,'Direkte input'!$D$3:$D$230,$C26,'Direkte input'!$A$3:$A$230,$A$1),SUMIFS('Direkte input'!I$3:I$230,'Direkte input'!$F$3:$F$230,$D26,'Direkte input'!$C$3:$C$230,$B26,'Direkte input'!$A$3:$A$230,$A$1)),IF(VLOOKUP($A26,[1]!Table1[#All],2,FALSE)="Resultat",SUMIF($F$1:$F25,$D26,J$1:J25)+SUMIF($F28:$F$512,$D26,J28:J$512),0))*'[1]Processer - data'!J26,"")*IF($C26&lt;&gt;"",IF($F26="Halm",Landbrug!E$16*Landbrug!E$17,IF(LEFT($D26,5)="Areal", IF($G26="Ton",Landbrug!E$18,1),1)),1)*IF($F26="Grøntsager",IF($A26="Grøntsager i drivhus",Landbrug!E$51,1-Landbrug!E$51),1)</f>
        <v>0</v>
      </c>
    </row>
    <row r="27" spans="1:10" x14ac:dyDescent="0.25">
      <c r="A27" s="168" t="str">
        <f>IF('[1]Processer - data'!A27&lt;&gt;"",'[1]Processer - data'!A27,"")</f>
        <v>Skovproduktion</v>
      </c>
      <c r="B27" s="168" t="str">
        <f>IF('[1]Processer - data'!B27&lt;&gt;"",'[1]Processer - data'!B27,"")</f>
        <v/>
      </c>
      <c r="C27" s="168" t="str">
        <f>IF('[1]Processer - data'!C27&lt;&gt;"",'[1]Processer - data'!C27,"")</f>
        <v>Skovtype1</v>
      </c>
      <c r="D27" s="168" t="str">
        <f>IF('[1]Processer - data'!D27&lt;&gt;"",'[1]Processer - data'!D27,"")</f>
        <v>Areal-skovtype1-40</v>
      </c>
      <c r="E27" s="168" t="str">
        <f>IF('[1]Processer - data'!E27&lt;&gt;"",'[1]Processer - data'!E27,"")</f>
        <v>Hektar</v>
      </c>
      <c r="F27" s="168" t="str">
        <f>IF('[1]Processer - data'!F27&lt;&gt;"",'[1]Processer - data'!F27,"")</f>
        <v>Træer</v>
      </c>
      <c r="G27" s="168" t="str">
        <f>IF('[1]Processer - data'!G27&lt;&gt;"",'[1]Processer - data'!G27,"")</f>
        <v>m3</v>
      </c>
      <c r="H27" s="297">
        <f ca="1">IF($A27&lt;&gt;"",IF(VLOOKUP($A27,[1]!Table1[#All],2,FALSE)="Direkte input",IF($A27&lt;&gt;"Grøntsager i drivhus",SUMIFS('Direkte input'!G$3:G$230,'Direkte input'!$F$3:$F$230,$D27,'Direkte input'!$C$3:$C$230,$B27,'Direkte input'!$D$3:$D$230,$C27,'Direkte input'!$A$3:$A$230,$A$1),SUMIFS('Direkte input'!G$3:G$230,'Direkte input'!$F$3:$F$230,$D27,'Direkte input'!$C$3:$C$230,$B27,'Direkte input'!$A$3:$A$230,$A$1)),IF(VLOOKUP($A27,[1]!Table1[#All],2,FALSE)="Resultat",SUMIF($F$1:$F26,$D27,H$1:H26)+SUMIF($F29:$F$512,$D27,H29:H$512),0))*'[1]Processer - data'!H27,"")*IF($C27&lt;&gt;"",IF($F27="Halm",Landbrug!C$16*Landbrug!C$17,IF(LEFT($D27,5)="Areal", IF($G27="Ton",Landbrug!C$18,1),1)),1)*IF($F27="Grøntsager",IF($A27="Grøntsager i drivhus",Landbrug!C$51,1-Landbrug!C$51),1)</f>
        <v>0</v>
      </c>
      <c r="I27" s="298">
        <f ca="1">IF($A27&lt;&gt;"",IF(VLOOKUP($A27,[1]!Table1[#All],2,FALSE)="Direkte input",IF($A27&lt;&gt;"Grøntsager i drivhus",SUMIFS('Direkte input'!H$3:H$230,'Direkte input'!$F$3:$F$230,$D27,'Direkte input'!$C$3:$C$230,$B27,'Direkte input'!$D$3:$D$230,$C27,'Direkte input'!$A$3:$A$230,$A$1),SUMIFS('Direkte input'!H$3:H$230,'Direkte input'!$F$3:$F$230,$D27,'Direkte input'!$C$3:$C$230,$B27,'Direkte input'!$A$3:$A$230,$A$1)),IF(VLOOKUP($A27,[1]!Table1[#All],2,FALSE)="Resultat",SUMIF($F$1:$F26,$D27,I$1:I26)+SUMIF($F29:$F$512,$D27,I29:I$512),0))*'[1]Processer - data'!I27,"")*IF($C27&lt;&gt;"",IF($F27="Halm",Landbrug!D$16*Landbrug!D$17,IF(LEFT($D27,5)="Areal", IF($G27="Ton",Landbrug!D$18,1),1)),1)*IF($F27="Grøntsager",IF($A27="Grøntsager i drivhus",Landbrug!D$51,1-Landbrug!D$51),1)</f>
        <v>0</v>
      </c>
      <c r="J27" s="299">
        <f ca="1">IF($A27&lt;&gt;"",IF(VLOOKUP($A27,[1]!Table1[#All],2,FALSE)="Direkte input",IF($A27&lt;&gt;"Grøntsager i drivhus",SUMIFS('Direkte input'!I$3:I$230,'Direkte input'!$F$3:$F$230,$D27,'Direkte input'!$C$3:$C$230,$B27,'Direkte input'!$D$3:$D$230,$C27,'Direkte input'!$A$3:$A$230,$A$1),SUMIFS('Direkte input'!I$3:I$230,'Direkte input'!$F$3:$F$230,$D27,'Direkte input'!$C$3:$C$230,$B27,'Direkte input'!$A$3:$A$230,$A$1)),IF(VLOOKUP($A27,[1]!Table1[#All],2,FALSE)="Resultat",SUMIF($F$1:$F26,$D27,J$1:J26)+SUMIF($F29:$F$512,$D27,J29:J$512),0))*'[1]Processer - data'!J27,"")*IF($C27&lt;&gt;"",IF($F27="Halm",Landbrug!E$16*Landbrug!E$17,IF(LEFT($D27,5)="Areal", IF($G27="Ton",Landbrug!E$18,1),1)),1)*IF($F27="Grøntsager",IF($A27="Grøntsager i drivhus",Landbrug!E$51,1-Landbrug!E$51),1)</f>
        <v>1686.8174943707857</v>
      </c>
    </row>
    <row r="28" spans="1:10" x14ac:dyDescent="0.25">
      <c r="A28" s="168" t="str">
        <f>IF('[1]Processer - data'!A28&lt;&gt;"",'[1]Processer - data'!A28,"")</f>
        <v>Skovproduktion</v>
      </c>
      <c r="B28" s="168" t="str">
        <f>IF('[1]Processer - data'!B28&lt;&gt;"",'[1]Processer - data'!B28,"")</f>
        <v/>
      </c>
      <c r="C28" s="168" t="str">
        <f>IF('[1]Processer - data'!C28&lt;&gt;"",'[1]Processer - data'!C28,"")</f>
        <v>Skovtype1</v>
      </c>
      <c r="D28" s="168" t="str">
        <f>IF('[1]Processer - data'!D28&lt;&gt;"",'[1]Processer - data'!D28,"")</f>
        <v>Areal-skovtype1-40</v>
      </c>
      <c r="E28" s="168" t="str">
        <f>IF('[1]Processer - data'!E28&lt;&gt;"",'[1]Processer - data'!E28,"")</f>
        <v>Hektar</v>
      </c>
      <c r="F28" s="168" t="str">
        <f>IF('[1]Processer - data'!F28&lt;&gt;"",'[1]Processer - data'!F28,"")</f>
        <v>Træ til energi</v>
      </c>
      <c r="G28" s="168" t="str">
        <f>IF('[1]Processer - data'!G28&lt;&gt;"",'[1]Processer - data'!G28,"")</f>
        <v>m3</v>
      </c>
      <c r="H28" s="297">
        <f ca="1">IF($A28&lt;&gt;"",IF(VLOOKUP($A28,[1]!Table1[#All],2,FALSE)="Direkte input",IF($A28&lt;&gt;"Grøntsager i drivhus",SUMIFS('Direkte input'!G$3:G$230,'Direkte input'!$F$3:$F$230,$D28,'Direkte input'!$C$3:$C$230,$B28,'Direkte input'!$D$3:$D$230,$C28,'Direkte input'!$A$3:$A$230,$A$1),SUMIFS('Direkte input'!G$3:G$230,'Direkte input'!$F$3:$F$230,$D28,'Direkte input'!$C$3:$C$230,$B28,'Direkte input'!$A$3:$A$230,$A$1)),IF(VLOOKUP($A28,[1]!Table1[#All],2,FALSE)="Resultat",SUMIF($F$1:$F27,$D28,H$1:H27)+SUMIF($F30:$F$512,$D28,H30:H$512),0))*'[1]Processer - data'!H28,"")*IF($C28&lt;&gt;"",IF($F28="Halm",Landbrug!C$16*Landbrug!C$17,IF(LEFT($D28,5)="Areal", IF($G28="Ton",Landbrug!C$18,1),1)),1)*IF($F28="Grøntsager",IF($A28="Grøntsager i drivhus",Landbrug!C$51,1-Landbrug!C$51),1)</f>
        <v>0</v>
      </c>
      <c r="I28" s="298">
        <f ca="1">IF($A28&lt;&gt;"",IF(VLOOKUP($A28,[1]!Table1[#All],2,FALSE)="Direkte input",IF($A28&lt;&gt;"Grøntsager i drivhus",SUMIFS('Direkte input'!H$3:H$230,'Direkte input'!$F$3:$F$230,$D28,'Direkte input'!$C$3:$C$230,$B28,'Direkte input'!$D$3:$D$230,$C28,'Direkte input'!$A$3:$A$230,$A$1),SUMIFS('Direkte input'!H$3:H$230,'Direkte input'!$F$3:$F$230,$D28,'Direkte input'!$C$3:$C$230,$B28,'Direkte input'!$A$3:$A$230,$A$1)),IF(VLOOKUP($A28,[1]!Table1[#All],2,FALSE)="Resultat",SUMIF($F$1:$F27,$D28,I$1:I27)+SUMIF($F30:$F$512,$D28,I30:I$512),0))*'[1]Processer - data'!I28,"")*IF($C28&lt;&gt;"",IF($F28="Halm",Landbrug!D$16*Landbrug!D$17,IF(LEFT($D28,5)="Areal", IF($G28="Ton",Landbrug!D$18,1),1)),1)*IF($F28="Grøntsager",IF($A28="Grøntsager i drivhus",Landbrug!D$51,1-Landbrug!D$51),1)</f>
        <v>0</v>
      </c>
      <c r="J28" s="299">
        <f ca="1">IF($A28&lt;&gt;"",IF(VLOOKUP($A28,[1]!Table1[#All],2,FALSE)="Direkte input",IF($A28&lt;&gt;"Grøntsager i drivhus",SUMIFS('Direkte input'!I$3:I$230,'Direkte input'!$F$3:$F$230,$D28,'Direkte input'!$C$3:$C$230,$B28,'Direkte input'!$D$3:$D$230,$C28,'Direkte input'!$A$3:$A$230,$A$1),SUMIFS('Direkte input'!I$3:I$230,'Direkte input'!$F$3:$F$230,$D28,'Direkte input'!$C$3:$C$230,$B28,'Direkte input'!$A$3:$A$230,$A$1)),IF(VLOOKUP($A28,[1]!Table1[#All],2,FALSE)="Resultat",SUMIF($F$1:$F27,$D28,J$1:J27)+SUMIF($F30:$F$512,$D28,J30:J$512),0))*'[1]Processer - data'!J28,"")*IF($C28&lt;&gt;"",IF($F28="Halm",Landbrug!E$16*Landbrug!E$17,IF(LEFT($D28,5)="Areal", IF($G28="Ton",Landbrug!E$18,1),1)),1)*IF($F28="Grøntsager",IF($A28="Grøntsager i drivhus",Landbrug!E$51,1-Landbrug!E$51),1)</f>
        <v>881.17331795488803</v>
      </c>
    </row>
    <row r="29" spans="1:10" x14ac:dyDescent="0.25">
      <c r="A29" s="168" t="str">
        <f>IF('[1]Processer - data'!A29&lt;&gt;"",'[1]Processer - data'!A29,"")</f>
        <v>Skovproduktion</v>
      </c>
      <c r="B29" s="168" t="str">
        <f>IF('[1]Processer - data'!B29&lt;&gt;"",'[1]Processer - data'!B29,"")</f>
        <v/>
      </c>
      <c r="C29" s="168" t="str">
        <f>IF('[1]Processer - data'!C29&lt;&gt;"",'[1]Processer - data'!C29,"")</f>
        <v>Skovtype1</v>
      </c>
      <c r="D29" s="168" t="str">
        <f>IF('[1]Processer - data'!D29&lt;&gt;"",'[1]Processer - data'!D29,"")</f>
        <v>Areal-skovtype1-40</v>
      </c>
      <c r="E29" s="168" t="str">
        <f>IF('[1]Processer - data'!E29&lt;&gt;"",'[1]Processer - data'!E29,"")</f>
        <v>Hektar</v>
      </c>
      <c r="F29" s="168" t="str">
        <f>IF('[1]Processer - data'!F29&lt;&gt;"",'[1]Processer - data'!F29,"")</f>
        <v>CO2 - atmosfære</v>
      </c>
      <c r="G29" s="168" t="str">
        <f>IF('[1]Processer - data'!G29&lt;&gt;"",'[1]Processer - data'!G29,"")</f>
        <v>t CO2-ækvivalenter</v>
      </c>
      <c r="H29" s="297">
        <f ca="1">IF($A29&lt;&gt;"",IF(VLOOKUP($A29,[1]!Table1[#All],2,FALSE)="Direkte input",IF($A29&lt;&gt;"Grøntsager i drivhus",SUMIFS('Direkte input'!G$3:G$230,'Direkte input'!$F$3:$F$230,$D29,'Direkte input'!$C$3:$C$230,$B29,'Direkte input'!$D$3:$D$230,$C29,'Direkte input'!$A$3:$A$230,$A$1),SUMIFS('Direkte input'!G$3:G$230,'Direkte input'!$F$3:$F$230,$D29,'Direkte input'!$C$3:$C$230,$B29,'Direkte input'!$A$3:$A$230,$A$1)),IF(VLOOKUP($A29,[1]!Table1[#All],2,FALSE)="Resultat",SUMIF($F$1:$F28,$D29,H$1:H28)+SUMIF($F31:$F$512,$D29,H31:H$512),0))*'[1]Processer - data'!H29,"")*IF($C29&lt;&gt;"",IF($F29="Halm",Landbrug!C$16*Landbrug!C$17,IF(LEFT($D29,5)="Areal", IF($G29="Ton",Landbrug!C$18,1),1)),1)*IF($F29="Grøntsager",IF($A29="Grøntsager i drivhus",Landbrug!C$51,1-Landbrug!C$51),1)</f>
        <v>0</v>
      </c>
      <c r="I29" s="298">
        <f ca="1">IF($A29&lt;&gt;"",IF(VLOOKUP($A29,[1]!Table1[#All],2,FALSE)="Direkte input",IF($A29&lt;&gt;"Grøntsager i drivhus",SUMIFS('Direkte input'!H$3:H$230,'Direkte input'!$F$3:$F$230,$D29,'Direkte input'!$C$3:$C$230,$B29,'Direkte input'!$D$3:$D$230,$C29,'Direkte input'!$A$3:$A$230,$A$1),SUMIFS('Direkte input'!H$3:H$230,'Direkte input'!$F$3:$F$230,$D29,'Direkte input'!$C$3:$C$230,$B29,'Direkte input'!$A$3:$A$230,$A$1)),IF(VLOOKUP($A29,[1]!Table1[#All],2,FALSE)="Resultat",SUMIF($F$1:$F28,$D29,I$1:I28)+SUMIF($F31:$F$512,$D29,I31:I$512),0))*'[1]Processer - data'!I29,"")*IF($C29&lt;&gt;"",IF($F29="Halm",Landbrug!D$16*Landbrug!D$17,IF(LEFT($D29,5)="Areal", IF($G29="Ton",Landbrug!D$18,1),1)),1)*IF($F29="Grøntsager",IF($A29="Grøntsager i drivhus",Landbrug!D$51,1-Landbrug!D$51),1)</f>
        <v>0</v>
      </c>
      <c r="J29" s="299">
        <f ca="1">IF($A29&lt;&gt;"",IF(VLOOKUP($A29,[1]!Table1[#All],2,FALSE)="Direkte input",IF($A29&lt;&gt;"Grøntsager i drivhus",SUMIFS('Direkte input'!I$3:I$230,'Direkte input'!$F$3:$F$230,$D29,'Direkte input'!$C$3:$C$230,$B29,'Direkte input'!$D$3:$D$230,$C29,'Direkte input'!$A$3:$A$230,$A$1),SUMIFS('Direkte input'!I$3:I$230,'Direkte input'!$F$3:$F$230,$D29,'Direkte input'!$C$3:$C$230,$B29,'Direkte input'!$A$3:$A$230,$A$1)),IF(VLOOKUP($A29,[1]!Table1[#All],2,FALSE)="Resultat",SUMIF($F$1:$F28,$D29,J$1:J28)+SUMIF($F31:$F$512,$D29,J31:J$512),0))*'[1]Processer - data'!J29,"")*IF($C29&lt;&gt;"",IF($F29="Halm",Landbrug!E$16*Landbrug!E$17,IF(LEFT($D29,5)="Areal", IF($G29="Ton",Landbrug!E$18,1),1)),1)*IF($F29="Grøntsager",IF($A29="Grøntsager i drivhus",Landbrug!E$51,1-Landbrug!E$51),1)</f>
        <v>-12822.638356513758</v>
      </c>
    </row>
    <row r="30" spans="1:10" s="168" customFormat="1" x14ac:dyDescent="0.25">
      <c r="A30" s="168" t="str">
        <f>IF('[1]Processer - data'!A30&lt;&gt;"",'[1]Processer - data'!A30,"")</f>
        <v>Skovproduktion</v>
      </c>
      <c r="B30" s="168" t="str">
        <f>IF('[1]Processer - data'!B30&lt;&gt;"",'[1]Processer - data'!B30,"")</f>
        <v/>
      </c>
      <c r="C30" s="168" t="str">
        <f>IF('[1]Processer - data'!C30&lt;&gt;"",'[1]Processer - data'!C30,"")</f>
        <v>Skovtype1</v>
      </c>
      <c r="D30" s="168" t="str">
        <f>IF('[1]Processer - data'!D30&lt;&gt;"",'[1]Processer - data'!D30,"")</f>
        <v>Areal-skovtype1-40</v>
      </c>
      <c r="E30" s="168" t="str">
        <f>IF('[1]Processer - data'!E30&lt;&gt;"",'[1]Processer - data'!E30,"")</f>
        <v>Hektar</v>
      </c>
      <c r="F30" s="168" t="str">
        <f>IF('[1]Processer - data'!F30&lt;&gt;"",'[1]Processer - data'!F30,"")</f>
        <v>CO2 - HWP</v>
      </c>
      <c r="G30" s="168" t="str">
        <f>IF('[1]Processer - data'!G30&lt;&gt;"",'[1]Processer - data'!G30,"")</f>
        <v>t CO2-ækvivalenter</v>
      </c>
      <c r="H30" s="297">
        <f ca="1">IF($A30&lt;&gt;"",IF(VLOOKUP($A30,[1]!Table1[#All],2,FALSE)="Direkte input",IF($A30&lt;&gt;"Grøntsager i drivhus",SUMIFS('Direkte input'!G$3:G$230,'Direkte input'!$F$3:$F$230,$D30,'Direkte input'!$C$3:$C$230,$B30,'Direkte input'!$D$3:$D$230,$C30,'Direkte input'!$A$3:$A$230,$A$1),SUMIFS('Direkte input'!G$3:G$230,'Direkte input'!$F$3:$F$230,$D30,'Direkte input'!$C$3:$C$230,$B30,'Direkte input'!$A$3:$A$230,$A$1)),IF(VLOOKUP($A30,[1]!Table1[#All],2,FALSE)="Resultat",SUMIF($F$1:$F29,$D30,H$1:H29)+SUMIF($F32:$F$512,$D30,H32:H$512),0))*'[1]Processer - data'!H30,"")*IF($C30&lt;&gt;"",IF($F30="Halm",Landbrug!C$16*Landbrug!C$17,IF(LEFT($D30,5)="Areal", IF($G30="Ton",Landbrug!C$18,1),1)),1)*IF($F30="Grøntsager",IF($A30="Grøntsager i drivhus",Landbrug!C$51,1-Landbrug!C$51),1)</f>
        <v>0</v>
      </c>
      <c r="I30" s="298">
        <f ca="1">IF($A30&lt;&gt;"",IF(VLOOKUP($A30,[1]!Table1[#All],2,FALSE)="Direkte input",IF($A30&lt;&gt;"Grøntsager i drivhus",SUMIFS('Direkte input'!H$3:H$230,'Direkte input'!$F$3:$F$230,$D30,'Direkte input'!$C$3:$C$230,$B30,'Direkte input'!$D$3:$D$230,$C30,'Direkte input'!$A$3:$A$230,$A$1),SUMIFS('Direkte input'!H$3:H$230,'Direkte input'!$F$3:$F$230,$D30,'Direkte input'!$C$3:$C$230,$B30,'Direkte input'!$A$3:$A$230,$A$1)),IF(VLOOKUP($A30,[1]!Table1[#All],2,FALSE)="Resultat",SUMIF($F$1:$F29,$D30,I$1:I29)+SUMIF($F32:$F$512,$D30,I32:I$512),0))*'[1]Processer - data'!I30,"")*IF($C30&lt;&gt;"",IF($F30="Halm",Landbrug!D$16*Landbrug!D$17,IF(LEFT($D30,5)="Areal", IF($G30="Ton",Landbrug!D$18,1),1)),1)*IF($F30="Grøntsager",IF($A30="Grøntsager i drivhus",Landbrug!D$51,1-Landbrug!D$51),1)</f>
        <v>0</v>
      </c>
      <c r="J30" s="299">
        <f ca="1">IF($A30&lt;&gt;"",IF(VLOOKUP($A30,[1]!Table1[#All],2,FALSE)="Direkte input",IF($A30&lt;&gt;"Grøntsager i drivhus",SUMIFS('Direkte input'!I$3:I$230,'Direkte input'!$F$3:$F$230,$D30,'Direkte input'!$C$3:$C$230,$B30,'Direkte input'!$D$3:$D$230,$C30,'Direkte input'!$A$3:$A$230,$A$1),SUMIFS('Direkte input'!I$3:I$230,'Direkte input'!$F$3:$F$230,$D30,'Direkte input'!$C$3:$C$230,$B30,'Direkte input'!$A$3:$A$230,$A$1)),IF(VLOOKUP($A30,[1]!Table1[#All],2,FALSE)="Resultat",SUMIF($F$1:$F29,$D30,J$1:J29)+SUMIF($F32:$F$512,$D30,J32:J$512),0))*'[1]Processer - data'!J30,"")*IF($C30&lt;&gt;"",IF($F30="Halm",Landbrug!E$16*Landbrug!E$17,IF(LEFT($D30,5)="Areal", IF($G30="Ton",Landbrug!E$18,1),1)),1)*IF($F30="Grøntsager",IF($A30="Grøntsager i drivhus",Landbrug!E$51,1-Landbrug!E$51),1)</f>
        <v>-9003.5902185527648</v>
      </c>
    </row>
    <row r="31" spans="1:10" x14ac:dyDescent="0.25">
      <c r="A31" s="168" t="str">
        <f>IF('[1]Processer - data'!A31&lt;&gt;"",'[1]Processer - data'!A31,"")</f>
        <v>Skovproduktion</v>
      </c>
      <c r="B31" s="168" t="str">
        <f>IF('[1]Processer - data'!B31&lt;&gt;"",'[1]Processer - data'!B31,"")</f>
        <v/>
      </c>
      <c r="C31" s="168" t="str">
        <f>IF('[1]Processer - data'!C31&lt;&gt;"",'[1]Processer - data'!C31,"")</f>
        <v>Skovtype2</v>
      </c>
      <c r="D31" s="168" t="str">
        <f>IF('[1]Processer - data'!D31&lt;&gt;"",'[1]Processer - data'!D31,"")</f>
        <v>Areal-skovtype2-10</v>
      </c>
      <c r="E31" s="168" t="str">
        <f>IF('[1]Processer - data'!E31&lt;&gt;"",'[1]Processer - data'!E31,"")</f>
        <v>Hektar</v>
      </c>
      <c r="F31" s="168" t="str">
        <f>IF('[1]Processer - data'!F31&lt;&gt;"",'[1]Processer - data'!F31,"")</f>
        <v>Træer</v>
      </c>
      <c r="G31" s="168" t="str">
        <f>IF('[1]Processer - data'!G31&lt;&gt;"",'[1]Processer - data'!G31,"")</f>
        <v>m3</v>
      </c>
      <c r="H31" s="297">
        <f ca="1">IF($A31&lt;&gt;"",IF(VLOOKUP($A31,[1]!Table1[#All],2,FALSE)="Direkte input",IF($A31&lt;&gt;"Grøntsager i drivhus",SUMIFS('Direkte input'!G$3:G$230,'Direkte input'!$F$3:$F$230,$D31,'Direkte input'!$C$3:$C$230,$B31,'Direkte input'!$D$3:$D$230,$C31,'Direkte input'!$A$3:$A$230,$A$1),SUMIFS('Direkte input'!G$3:G$230,'Direkte input'!$F$3:$F$230,$D31,'Direkte input'!$C$3:$C$230,$B31,'Direkte input'!$A$3:$A$230,$A$1)),IF(VLOOKUP($A31,[1]!Table1[#All],2,FALSE)="Resultat",SUMIF($F$1:$F30,$D31,H$1:H30)+SUMIF($F33:$F$512,$D31,H33:H$512),0))*'[1]Processer - data'!H31,"")*IF($C31&lt;&gt;"",IF($F31="Halm",Landbrug!C$16*Landbrug!C$17,IF(LEFT($D31,5)="Areal", IF($G31="Ton",Landbrug!C$18,1),1)),1)*IF($F31="Grøntsager",IF($A31="Grøntsager i drivhus",Landbrug!C$51,1-Landbrug!C$51),1)</f>
        <v>0</v>
      </c>
      <c r="I31" s="298">
        <f ca="1">IF($A31&lt;&gt;"",IF(VLOOKUP($A31,[1]!Table1[#All],2,FALSE)="Direkte input",IF($A31&lt;&gt;"Grøntsager i drivhus",SUMIFS('Direkte input'!H$3:H$230,'Direkte input'!$F$3:$F$230,$D31,'Direkte input'!$C$3:$C$230,$B31,'Direkte input'!$D$3:$D$230,$C31,'Direkte input'!$A$3:$A$230,$A$1),SUMIFS('Direkte input'!H$3:H$230,'Direkte input'!$F$3:$F$230,$D31,'Direkte input'!$C$3:$C$230,$B31,'Direkte input'!$A$3:$A$230,$A$1)),IF(VLOOKUP($A31,[1]!Table1[#All],2,FALSE)="Resultat",SUMIF($F$1:$F30,$D31,I$1:I30)+SUMIF($F33:$F$512,$D31,I33:I$512),0))*'[1]Processer - data'!I31,"")*IF($C31&lt;&gt;"",IF($F31="Halm",Landbrug!D$16*Landbrug!D$17,IF(LEFT($D31,5)="Areal", IF($G31="Ton",Landbrug!D$18,1),1)),1)*IF($F31="Grøntsager",IF($A31="Grøntsager i drivhus",Landbrug!D$51,1-Landbrug!D$51),1)</f>
        <v>0</v>
      </c>
      <c r="J31" s="299">
        <f ca="1">IF($A31&lt;&gt;"",IF(VLOOKUP($A31,[1]!Table1[#All],2,FALSE)="Direkte input",IF($A31&lt;&gt;"Grøntsager i drivhus",SUMIFS('Direkte input'!I$3:I$230,'Direkte input'!$F$3:$F$230,$D31,'Direkte input'!$C$3:$C$230,$B31,'Direkte input'!$D$3:$D$230,$C31,'Direkte input'!$A$3:$A$230,$A$1),SUMIFS('Direkte input'!I$3:I$230,'Direkte input'!$F$3:$F$230,$D31,'Direkte input'!$C$3:$C$230,$B31,'Direkte input'!$A$3:$A$230,$A$1)),IF(VLOOKUP($A31,[1]!Table1[#All],2,FALSE)="Resultat",SUMIF($F$1:$F30,$D31,J$1:J30)+SUMIF($F33:$F$512,$D31,J33:J$512),0))*'[1]Processer - data'!J31,"")*IF($C31&lt;&gt;"",IF($F31="Halm",Landbrug!E$16*Landbrug!E$17,IF(LEFT($D31,5)="Areal", IF($G31="Ton",Landbrug!E$18,1),1)),1)*IF($F31="Grøntsager",IF($A31="Grøntsager i drivhus",Landbrug!E$51,1-Landbrug!E$51),1)</f>
        <v>0</v>
      </c>
    </row>
    <row r="32" spans="1:10" x14ac:dyDescent="0.25">
      <c r="A32" s="168" t="str">
        <f>IF('[1]Processer - data'!A32&lt;&gt;"",'[1]Processer - data'!A32,"")</f>
        <v>Skovproduktion</v>
      </c>
      <c r="B32" s="168" t="str">
        <f>IF('[1]Processer - data'!B32&lt;&gt;"",'[1]Processer - data'!B32,"")</f>
        <v/>
      </c>
      <c r="C32" s="168" t="str">
        <f>IF('[1]Processer - data'!C32&lt;&gt;"",'[1]Processer - data'!C32,"")</f>
        <v>Skovtype2</v>
      </c>
      <c r="D32" s="168" t="str">
        <f>IF('[1]Processer - data'!D32&lt;&gt;"",'[1]Processer - data'!D32,"")</f>
        <v>Areal-skovtype2-10</v>
      </c>
      <c r="E32" s="168" t="str">
        <f>IF('[1]Processer - data'!E32&lt;&gt;"",'[1]Processer - data'!E32,"")</f>
        <v>Hektar</v>
      </c>
      <c r="F32" s="168" t="str">
        <f>IF('[1]Processer - data'!F32&lt;&gt;"",'[1]Processer - data'!F32,"")</f>
        <v>Træ til energi</v>
      </c>
      <c r="G32" s="168" t="str">
        <f>IF('[1]Processer - data'!G32&lt;&gt;"",'[1]Processer - data'!G32,"")</f>
        <v>m3</v>
      </c>
      <c r="H32" s="297">
        <f ca="1">IF($A32&lt;&gt;"",IF(VLOOKUP($A32,[1]!Table1[#All],2,FALSE)="Direkte input",IF($A32&lt;&gt;"Grøntsager i drivhus",SUMIFS('Direkte input'!G$3:G$230,'Direkte input'!$F$3:$F$230,$D32,'Direkte input'!$C$3:$C$230,$B32,'Direkte input'!$D$3:$D$230,$C32,'Direkte input'!$A$3:$A$230,$A$1),SUMIFS('Direkte input'!G$3:G$230,'Direkte input'!$F$3:$F$230,$D32,'Direkte input'!$C$3:$C$230,$B32,'Direkte input'!$A$3:$A$230,$A$1)),IF(VLOOKUP($A32,[1]!Table1[#All],2,FALSE)="Resultat",SUMIF($F$1:$F31,$D32,H$1:H31)+SUMIF($F34:$F$512,$D32,H34:H$512),0))*'[1]Processer - data'!H32,"")*IF($C32&lt;&gt;"",IF($F32="Halm",Landbrug!C$16*Landbrug!C$17,IF(LEFT($D32,5)="Areal", IF($G32="Ton",Landbrug!C$18,1),1)),1)*IF($F32="Grøntsager",IF($A32="Grøntsager i drivhus",Landbrug!C$51,1-Landbrug!C$51),1)</f>
        <v>0</v>
      </c>
      <c r="I32" s="298">
        <f ca="1">IF($A32&lt;&gt;"",IF(VLOOKUP($A32,[1]!Table1[#All],2,FALSE)="Direkte input",IF($A32&lt;&gt;"Grøntsager i drivhus",SUMIFS('Direkte input'!H$3:H$230,'Direkte input'!$F$3:$F$230,$D32,'Direkte input'!$C$3:$C$230,$B32,'Direkte input'!$D$3:$D$230,$C32,'Direkte input'!$A$3:$A$230,$A$1),SUMIFS('Direkte input'!H$3:H$230,'Direkte input'!$F$3:$F$230,$D32,'Direkte input'!$C$3:$C$230,$B32,'Direkte input'!$A$3:$A$230,$A$1)),IF(VLOOKUP($A32,[1]!Table1[#All],2,FALSE)="Resultat",SUMIF($F$1:$F31,$D32,I$1:I31)+SUMIF($F34:$F$512,$D32,I34:I$512),0))*'[1]Processer - data'!I32,"")*IF($C32&lt;&gt;"",IF($F32="Halm",Landbrug!D$16*Landbrug!D$17,IF(LEFT($D32,5)="Areal", IF($G32="Ton",Landbrug!D$18,1),1)),1)*IF($F32="Grøntsager",IF($A32="Grøntsager i drivhus",Landbrug!D$51,1-Landbrug!D$51),1)</f>
        <v>0</v>
      </c>
      <c r="J32" s="299">
        <f ca="1">IF($A32&lt;&gt;"",IF(VLOOKUP($A32,[1]!Table1[#All],2,FALSE)="Direkte input",IF($A32&lt;&gt;"Grøntsager i drivhus",SUMIFS('Direkte input'!I$3:I$230,'Direkte input'!$F$3:$F$230,$D32,'Direkte input'!$C$3:$C$230,$B32,'Direkte input'!$D$3:$D$230,$C32,'Direkte input'!$A$3:$A$230,$A$1),SUMIFS('Direkte input'!I$3:I$230,'Direkte input'!$F$3:$F$230,$D32,'Direkte input'!$C$3:$C$230,$B32,'Direkte input'!$A$3:$A$230,$A$1)),IF(VLOOKUP($A32,[1]!Table1[#All],2,FALSE)="Resultat",SUMIF($F$1:$F31,$D32,J$1:J31)+SUMIF($F34:$F$512,$D32,J34:J$512),0))*'[1]Processer - data'!J32,"")*IF($C32&lt;&gt;"",IF($F32="Halm",Landbrug!E$16*Landbrug!E$17,IF(LEFT($D32,5)="Areal", IF($G32="Ton",Landbrug!E$18,1),1)),1)*IF($F32="Grøntsager",IF($A32="Grøntsager i drivhus",Landbrug!E$51,1-Landbrug!E$51),1)</f>
        <v>0</v>
      </c>
    </row>
    <row r="33" spans="1:10" x14ac:dyDescent="0.25">
      <c r="A33" s="168" t="str">
        <f>IF('[1]Processer - data'!A33&lt;&gt;"",'[1]Processer - data'!A33,"")</f>
        <v>Skovproduktion</v>
      </c>
      <c r="B33" s="168" t="str">
        <f>IF('[1]Processer - data'!B33&lt;&gt;"",'[1]Processer - data'!B33,"")</f>
        <v/>
      </c>
      <c r="C33" s="168" t="str">
        <f>IF('[1]Processer - data'!C33&lt;&gt;"",'[1]Processer - data'!C33,"")</f>
        <v>Skovtype2</v>
      </c>
      <c r="D33" s="168" t="str">
        <f>IF('[1]Processer - data'!D33&lt;&gt;"",'[1]Processer - data'!D33,"")</f>
        <v>Areal-skovtype2-10</v>
      </c>
      <c r="E33" s="168" t="str">
        <f>IF('[1]Processer - data'!E33&lt;&gt;"",'[1]Processer - data'!E33,"")</f>
        <v>Hektar</v>
      </c>
      <c r="F33" s="168" t="str">
        <f>IF('[1]Processer - data'!F33&lt;&gt;"",'[1]Processer - data'!F33,"")</f>
        <v>CO2 - atmosfære</v>
      </c>
      <c r="G33" s="168" t="str">
        <f>IF('[1]Processer - data'!G33&lt;&gt;"",'[1]Processer - data'!G33,"")</f>
        <v>t CO2-ækvivalenter</v>
      </c>
      <c r="H33" s="297">
        <f ca="1">IF($A33&lt;&gt;"",IF(VLOOKUP($A33,[1]!Table1[#All],2,FALSE)="Direkte input",IF($A33&lt;&gt;"Grøntsager i drivhus",SUMIFS('Direkte input'!G$3:G$230,'Direkte input'!$F$3:$F$230,$D33,'Direkte input'!$C$3:$C$230,$B33,'Direkte input'!$D$3:$D$230,$C33,'Direkte input'!$A$3:$A$230,$A$1),SUMIFS('Direkte input'!G$3:G$230,'Direkte input'!$F$3:$F$230,$D33,'Direkte input'!$C$3:$C$230,$B33,'Direkte input'!$A$3:$A$230,$A$1)),IF(VLOOKUP($A33,[1]!Table1[#All],2,FALSE)="Resultat",SUMIF($F$1:$F32,$D33,H$1:H32)+SUMIF($F35:$F$512,$D33,H35:H$512),0))*'[1]Processer - data'!H33,"")*IF($C33&lt;&gt;"",IF($F33="Halm",Landbrug!C$16*Landbrug!C$17,IF(LEFT($D33,5)="Areal", IF($G33="Ton",Landbrug!C$18,1),1)),1)*IF($F33="Grøntsager",IF($A33="Grøntsager i drivhus",Landbrug!C$51,1-Landbrug!C$51),1)</f>
        <v>0</v>
      </c>
      <c r="I33" s="298">
        <f ca="1">IF($A33&lt;&gt;"",IF(VLOOKUP($A33,[1]!Table1[#All],2,FALSE)="Direkte input",IF($A33&lt;&gt;"Grøntsager i drivhus",SUMIFS('Direkte input'!H$3:H$230,'Direkte input'!$F$3:$F$230,$D33,'Direkte input'!$C$3:$C$230,$B33,'Direkte input'!$D$3:$D$230,$C33,'Direkte input'!$A$3:$A$230,$A$1),SUMIFS('Direkte input'!H$3:H$230,'Direkte input'!$F$3:$F$230,$D33,'Direkte input'!$C$3:$C$230,$B33,'Direkte input'!$A$3:$A$230,$A$1)),IF(VLOOKUP($A33,[1]!Table1[#All],2,FALSE)="Resultat",SUMIF($F$1:$F32,$D33,I$1:I32)+SUMIF($F35:$F$512,$D33,I35:I$512),0))*'[1]Processer - data'!I33,"")*IF($C33&lt;&gt;"",IF($F33="Halm",Landbrug!D$16*Landbrug!D$17,IF(LEFT($D33,5)="Areal", IF($G33="Ton",Landbrug!D$18,1),1)),1)*IF($F33="Grøntsager",IF($A33="Grøntsager i drivhus",Landbrug!D$51,1-Landbrug!D$51),1)</f>
        <v>0</v>
      </c>
      <c r="J33" s="299">
        <f ca="1">IF($A33&lt;&gt;"",IF(VLOOKUP($A33,[1]!Table1[#All],2,FALSE)="Direkte input",IF($A33&lt;&gt;"Grøntsager i drivhus",SUMIFS('Direkte input'!I$3:I$230,'Direkte input'!$F$3:$F$230,$D33,'Direkte input'!$C$3:$C$230,$B33,'Direkte input'!$D$3:$D$230,$C33,'Direkte input'!$A$3:$A$230,$A$1),SUMIFS('Direkte input'!I$3:I$230,'Direkte input'!$F$3:$F$230,$D33,'Direkte input'!$C$3:$C$230,$B33,'Direkte input'!$A$3:$A$230,$A$1)),IF(VLOOKUP($A33,[1]!Table1[#All],2,FALSE)="Resultat",SUMIF($F$1:$F32,$D33,J$1:J32)+SUMIF($F35:$F$512,$D33,J35:J$512),0))*'[1]Processer - data'!J33,"")*IF($C33&lt;&gt;"",IF($F33="Halm",Landbrug!E$16*Landbrug!E$17,IF(LEFT($D33,5)="Areal", IF($G33="Ton",Landbrug!E$18,1),1)),1)*IF($F33="Grøntsager",IF($A33="Grøntsager i drivhus",Landbrug!E$51,1-Landbrug!E$51),1)</f>
        <v>0</v>
      </c>
    </row>
    <row r="34" spans="1:10" s="168" customFormat="1" x14ac:dyDescent="0.25">
      <c r="A34" s="168" t="str">
        <f>IF('[1]Processer - data'!A34&lt;&gt;"",'[1]Processer - data'!A34,"")</f>
        <v>Skovproduktion</v>
      </c>
      <c r="B34" s="168" t="str">
        <f>IF('[1]Processer - data'!B34&lt;&gt;"",'[1]Processer - data'!B34,"")</f>
        <v/>
      </c>
      <c r="C34" s="168" t="str">
        <f>IF('[1]Processer - data'!C34&lt;&gt;"",'[1]Processer - data'!C34,"")</f>
        <v>Skovtype2</v>
      </c>
      <c r="D34" s="168" t="str">
        <f>IF('[1]Processer - data'!D34&lt;&gt;"",'[1]Processer - data'!D34,"")</f>
        <v>Areal-skovtype2-10</v>
      </c>
      <c r="E34" s="168" t="str">
        <f>IF('[1]Processer - data'!E34&lt;&gt;"",'[1]Processer - data'!E34,"")</f>
        <v>Hektar</v>
      </c>
      <c r="F34" s="168" t="str">
        <f>IF('[1]Processer - data'!F34&lt;&gt;"",'[1]Processer - data'!F34,"")</f>
        <v>CO2 - HWP</v>
      </c>
      <c r="G34" s="168" t="str">
        <f>IF('[1]Processer - data'!G34&lt;&gt;"",'[1]Processer - data'!G34,"")</f>
        <v>t CO2-ækvivalenter</v>
      </c>
      <c r="H34" s="297">
        <f ca="1">IF($A34&lt;&gt;"",IF(VLOOKUP($A34,[1]!Table1[#All],2,FALSE)="Direkte input",IF($A34&lt;&gt;"Grøntsager i drivhus",SUMIFS('Direkte input'!G$3:G$230,'Direkte input'!$F$3:$F$230,$D34,'Direkte input'!$C$3:$C$230,$B34,'Direkte input'!$D$3:$D$230,$C34,'Direkte input'!$A$3:$A$230,$A$1),SUMIFS('Direkte input'!G$3:G$230,'Direkte input'!$F$3:$F$230,$D34,'Direkte input'!$C$3:$C$230,$B34,'Direkte input'!$A$3:$A$230,$A$1)),IF(VLOOKUP($A34,[1]!Table1[#All],2,FALSE)="Resultat",SUMIF($F$1:$F33,$D34,H$1:H33)+SUMIF($F36:$F$512,$D34,H36:H$512),0))*'[1]Processer - data'!H34,"")*IF($C34&lt;&gt;"",IF($F34="Halm",Landbrug!C$16*Landbrug!C$17,IF(LEFT($D34,5)="Areal", IF($G34="Ton",Landbrug!C$18,1),1)),1)*IF($F34="Grøntsager",IF($A34="Grøntsager i drivhus",Landbrug!C$51,1-Landbrug!C$51),1)</f>
        <v>0</v>
      </c>
      <c r="I34" s="298">
        <f ca="1">IF($A34&lt;&gt;"",IF(VLOOKUP($A34,[1]!Table1[#All],2,FALSE)="Direkte input",IF($A34&lt;&gt;"Grøntsager i drivhus",SUMIFS('Direkte input'!H$3:H$230,'Direkte input'!$F$3:$F$230,$D34,'Direkte input'!$C$3:$C$230,$B34,'Direkte input'!$D$3:$D$230,$C34,'Direkte input'!$A$3:$A$230,$A$1),SUMIFS('Direkte input'!H$3:H$230,'Direkte input'!$F$3:$F$230,$D34,'Direkte input'!$C$3:$C$230,$B34,'Direkte input'!$A$3:$A$230,$A$1)),IF(VLOOKUP($A34,[1]!Table1[#All],2,FALSE)="Resultat",SUMIF($F$1:$F33,$D34,I$1:I33)+SUMIF($F36:$F$512,$D34,I36:I$512),0))*'[1]Processer - data'!I34,"")*IF($C34&lt;&gt;"",IF($F34="Halm",Landbrug!D$16*Landbrug!D$17,IF(LEFT($D34,5)="Areal", IF($G34="Ton",Landbrug!D$18,1),1)),1)*IF($F34="Grøntsager",IF($A34="Grøntsager i drivhus",Landbrug!D$51,1-Landbrug!D$51),1)</f>
        <v>0</v>
      </c>
      <c r="J34" s="299">
        <f ca="1">IF($A34&lt;&gt;"",IF(VLOOKUP($A34,[1]!Table1[#All],2,FALSE)="Direkte input",IF($A34&lt;&gt;"Grøntsager i drivhus",SUMIFS('Direkte input'!I$3:I$230,'Direkte input'!$F$3:$F$230,$D34,'Direkte input'!$C$3:$C$230,$B34,'Direkte input'!$D$3:$D$230,$C34,'Direkte input'!$A$3:$A$230,$A$1),SUMIFS('Direkte input'!I$3:I$230,'Direkte input'!$F$3:$F$230,$D34,'Direkte input'!$C$3:$C$230,$B34,'Direkte input'!$A$3:$A$230,$A$1)),IF(VLOOKUP($A34,[1]!Table1[#All],2,FALSE)="Resultat",SUMIF($F$1:$F33,$D34,J$1:J33)+SUMIF($F36:$F$512,$D34,J36:J$512),0))*'[1]Processer - data'!J34,"")*IF($C34&lt;&gt;"",IF($F34="Halm",Landbrug!E$16*Landbrug!E$17,IF(LEFT($D34,5)="Areal", IF($G34="Ton",Landbrug!E$18,1),1)),1)*IF($F34="Grøntsager",IF($A34="Grøntsager i drivhus",Landbrug!E$51,1-Landbrug!E$51),1)</f>
        <v>0</v>
      </c>
    </row>
    <row r="35" spans="1:10" x14ac:dyDescent="0.25">
      <c r="A35" s="168" t="str">
        <f>IF('[1]Processer - data'!A35&lt;&gt;"",'[1]Processer - data'!A35,"")</f>
        <v>Skovproduktion</v>
      </c>
      <c r="B35" s="168" t="str">
        <f>IF('[1]Processer - data'!B35&lt;&gt;"",'[1]Processer - data'!B35,"")</f>
        <v/>
      </c>
      <c r="C35" s="168" t="str">
        <f>IF('[1]Processer - data'!C35&lt;&gt;"",'[1]Processer - data'!C35,"")</f>
        <v>Skovtype2</v>
      </c>
      <c r="D35" s="168" t="str">
        <f>IF('[1]Processer - data'!D35&lt;&gt;"",'[1]Processer - data'!D35,"")</f>
        <v>Areal-skovtype2-20</v>
      </c>
      <c r="E35" s="168" t="str">
        <f>IF('[1]Processer - data'!E35&lt;&gt;"",'[1]Processer - data'!E35,"")</f>
        <v>Hektar</v>
      </c>
      <c r="F35" s="168" t="str">
        <f>IF('[1]Processer - data'!F35&lt;&gt;"",'[1]Processer - data'!F35,"")</f>
        <v>Træer</v>
      </c>
      <c r="G35" s="168" t="str">
        <f>IF('[1]Processer - data'!G35&lt;&gt;"",'[1]Processer - data'!G35,"")</f>
        <v>m3</v>
      </c>
      <c r="H35" s="297">
        <f ca="1">IF($A35&lt;&gt;"",IF(VLOOKUP($A35,[1]!Table1[#All],2,FALSE)="Direkte input",IF($A35&lt;&gt;"Grøntsager i drivhus",SUMIFS('Direkte input'!G$3:G$230,'Direkte input'!$F$3:$F$230,$D35,'Direkte input'!$C$3:$C$230,$B35,'Direkte input'!$D$3:$D$230,$C35,'Direkte input'!$A$3:$A$230,$A$1),SUMIFS('Direkte input'!G$3:G$230,'Direkte input'!$F$3:$F$230,$D35,'Direkte input'!$C$3:$C$230,$B35,'Direkte input'!$A$3:$A$230,$A$1)),IF(VLOOKUP($A35,[1]!Table1[#All],2,FALSE)="Resultat",SUMIF($F$1:$F34,$D35,H$1:H34)+SUMIF($F37:$F$512,$D35,H37:H$512),0))*'[1]Processer - data'!H35,"")*IF($C35&lt;&gt;"",IF($F35="Halm",Landbrug!C$16*Landbrug!C$17,IF(LEFT($D35,5)="Areal", IF($G35="Ton",Landbrug!C$18,1),1)),1)*IF($F35="Grøntsager",IF($A35="Grøntsager i drivhus",Landbrug!C$51,1-Landbrug!C$51),1)</f>
        <v>0</v>
      </c>
      <c r="I35" s="298">
        <f ca="1">IF($A35&lt;&gt;"",IF(VLOOKUP($A35,[1]!Table1[#All],2,FALSE)="Direkte input",IF($A35&lt;&gt;"Grøntsager i drivhus",SUMIFS('Direkte input'!H$3:H$230,'Direkte input'!$F$3:$F$230,$D35,'Direkte input'!$C$3:$C$230,$B35,'Direkte input'!$D$3:$D$230,$C35,'Direkte input'!$A$3:$A$230,$A$1),SUMIFS('Direkte input'!H$3:H$230,'Direkte input'!$F$3:$F$230,$D35,'Direkte input'!$C$3:$C$230,$B35,'Direkte input'!$A$3:$A$230,$A$1)),IF(VLOOKUP($A35,[1]!Table1[#All],2,FALSE)="Resultat",SUMIF($F$1:$F34,$D35,I$1:I34)+SUMIF($F37:$F$512,$D35,I37:I$512),0))*'[1]Processer - data'!I35,"")*IF($C35&lt;&gt;"",IF($F35="Halm",Landbrug!D$16*Landbrug!D$17,IF(LEFT($D35,5)="Areal", IF($G35="Ton",Landbrug!D$18,1),1)),1)*IF($F35="Grøntsager",IF($A35="Grøntsager i drivhus",Landbrug!D$51,1-Landbrug!D$51),1)</f>
        <v>0</v>
      </c>
      <c r="J35" s="299">
        <f ca="1">IF($A35&lt;&gt;"",IF(VLOOKUP($A35,[1]!Table1[#All],2,FALSE)="Direkte input",IF($A35&lt;&gt;"Grøntsager i drivhus",SUMIFS('Direkte input'!I$3:I$230,'Direkte input'!$F$3:$F$230,$D35,'Direkte input'!$C$3:$C$230,$B35,'Direkte input'!$D$3:$D$230,$C35,'Direkte input'!$A$3:$A$230,$A$1),SUMIFS('Direkte input'!I$3:I$230,'Direkte input'!$F$3:$F$230,$D35,'Direkte input'!$C$3:$C$230,$B35,'Direkte input'!$A$3:$A$230,$A$1)),IF(VLOOKUP($A35,[1]!Table1[#All],2,FALSE)="Resultat",SUMIF($F$1:$F34,$D35,J$1:J34)+SUMIF($F37:$F$512,$D35,J37:J$512),0))*'[1]Processer - data'!J35,"")*IF($C35&lt;&gt;"",IF($F35="Halm",Landbrug!E$16*Landbrug!E$17,IF(LEFT($D35,5)="Areal", IF($G35="Ton",Landbrug!E$18,1),1)),1)*IF($F35="Grøntsager",IF($A35="Grøntsager i drivhus",Landbrug!E$51,1-Landbrug!E$51),1)</f>
        <v>0</v>
      </c>
    </row>
    <row r="36" spans="1:10" x14ac:dyDescent="0.25">
      <c r="A36" s="168" t="str">
        <f>IF('[1]Processer - data'!A36&lt;&gt;"",'[1]Processer - data'!A36,"")</f>
        <v>Skovproduktion</v>
      </c>
      <c r="B36" s="168" t="str">
        <f>IF('[1]Processer - data'!B36&lt;&gt;"",'[1]Processer - data'!B36,"")</f>
        <v/>
      </c>
      <c r="C36" s="168" t="str">
        <f>IF('[1]Processer - data'!C36&lt;&gt;"",'[1]Processer - data'!C36,"")</f>
        <v>Skovtype2</v>
      </c>
      <c r="D36" s="168" t="str">
        <f>IF('[1]Processer - data'!D36&lt;&gt;"",'[1]Processer - data'!D36,"")</f>
        <v>Areal-skovtype2-20</v>
      </c>
      <c r="E36" s="168" t="str">
        <f>IF('[1]Processer - data'!E36&lt;&gt;"",'[1]Processer - data'!E36,"")</f>
        <v>Hektar</v>
      </c>
      <c r="F36" s="168" t="str">
        <f>IF('[1]Processer - data'!F36&lt;&gt;"",'[1]Processer - data'!F36,"")</f>
        <v>Træ til energi</v>
      </c>
      <c r="G36" s="168" t="str">
        <f>IF('[1]Processer - data'!G36&lt;&gt;"",'[1]Processer - data'!G36,"")</f>
        <v>m3</v>
      </c>
      <c r="H36" s="297">
        <f ca="1">IF($A36&lt;&gt;"",IF(VLOOKUP($A36,[1]!Table1[#All],2,FALSE)="Direkte input",IF($A36&lt;&gt;"Grøntsager i drivhus",SUMIFS('Direkte input'!G$3:G$230,'Direkte input'!$F$3:$F$230,$D36,'Direkte input'!$C$3:$C$230,$B36,'Direkte input'!$D$3:$D$230,$C36,'Direkte input'!$A$3:$A$230,$A$1),SUMIFS('Direkte input'!G$3:G$230,'Direkte input'!$F$3:$F$230,$D36,'Direkte input'!$C$3:$C$230,$B36,'Direkte input'!$A$3:$A$230,$A$1)),IF(VLOOKUP($A36,[1]!Table1[#All],2,FALSE)="Resultat",SUMIF($F$1:$F35,$D36,H$1:H35)+SUMIF($F38:$F$512,$D36,H38:H$512),0))*'[1]Processer - data'!H36,"")*IF($C36&lt;&gt;"",IF($F36="Halm",Landbrug!C$16*Landbrug!C$17,IF(LEFT($D36,5)="Areal", IF($G36="Ton",Landbrug!C$18,1),1)),1)*IF($F36="Grøntsager",IF($A36="Grøntsager i drivhus",Landbrug!C$51,1-Landbrug!C$51),1)</f>
        <v>0</v>
      </c>
      <c r="I36" s="298">
        <f ca="1">IF($A36&lt;&gt;"",IF(VLOOKUP($A36,[1]!Table1[#All],2,FALSE)="Direkte input",IF($A36&lt;&gt;"Grøntsager i drivhus",SUMIFS('Direkte input'!H$3:H$230,'Direkte input'!$F$3:$F$230,$D36,'Direkte input'!$C$3:$C$230,$B36,'Direkte input'!$D$3:$D$230,$C36,'Direkte input'!$A$3:$A$230,$A$1),SUMIFS('Direkte input'!H$3:H$230,'Direkte input'!$F$3:$F$230,$D36,'Direkte input'!$C$3:$C$230,$B36,'Direkte input'!$A$3:$A$230,$A$1)),IF(VLOOKUP($A36,[1]!Table1[#All],2,FALSE)="Resultat",SUMIF($F$1:$F35,$D36,I$1:I35)+SUMIF($F38:$F$512,$D36,I38:I$512),0))*'[1]Processer - data'!I36,"")*IF($C36&lt;&gt;"",IF($F36="Halm",Landbrug!D$16*Landbrug!D$17,IF(LEFT($D36,5)="Areal", IF($G36="Ton",Landbrug!D$18,1),1)),1)*IF($F36="Grøntsager",IF($A36="Grøntsager i drivhus",Landbrug!D$51,1-Landbrug!D$51),1)</f>
        <v>0</v>
      </c>
      <c r="J36" s="299">
        <f ca="1">IF($A36&lt;&gt;"",IF(VLOOKUP($A36,[1]!Table1[#All],2,FALSE)="Direkte input",IF($A36&lt;&gt;"Grøntsager i drivhus",SUMIFS('Direkte input'!I$3:I$230,'Direkte input'!$F$3:$F$230,$D36,'Direkte input'!$C$3:$C$230,$B36,'Direkte input'!$D$3:$D$230,$C36,'Direkte input'!$A$3:$A$230,$A$1),SUMIFS('Direkte input'!I$3:I$230,'Direkte input'!$F$3:$F$230,$D36,'Direkte input'!$C$3:$C$230,$B36,'Direkte input'!$A$3:$A$230,$A$1)),IF(VLOOKUP($A36,[1]!Table1[#All],2,FALSE)="Resultat",SUMIF($F$1:$F35,$D36,J$1:J35)+SUMIF($F38:$F$512,$D36,J38:J$512),0))*'[1]Processer - data'!J36,"")*IF($C36&lt;&gt;"",IF($F36="Halm",Landbrug!E$16*Landbrug!E$17,IF(LEFT($D36,5)="Areal", IF($G36="Ton",Landbrug!E$18,1),1)),1)*IF($F36="Grøntsager",IF($A36="Grøntsager i drivhus",Landbrug!E$51,1-Landbrug!E$51),1)</f>
        <v>0</v>
      </c>
    </row>
    <row r="37" spans="1:10" x14ac:dyDescent="0.25">
      <c r="A37" s="168" t="str">
        <f>IF('[1]Processer - data'!A37&lt;&gt;"",'[1]Processer - data'!A37,"")</f>
        <v>Skovproduktion</v>
      </c>
      <c r="B37" s="168" t="str">
        <f>IF('[1]Processer - data'!B37&lt;&gt;"",'[1]Processer - data'!B37,"")</f>
        <v/>
      </c>
      <c r="C37" s="168" t="str">
        <f>IF('[1]Processer - data'!C37&lt;&gt;"",'[1]Processer - data'!C37,"")</f>
        <v>Skovtype2</v>
      </c>
      <c r="D37" s="168" t="str">
        <f>IF('[1]Processer - data'!D37&lt;&gt;"",'[1]Processer - data'!D37,"")</f>
        <v>Areal-skovtype2-20</v>
      </c>
      <c r="E37" s="168" t="str">
        <f>IF('[1]Processer - data'!E37&lt;&gt;"",'[1]Processer - data'!E37,"")</f>
        <v>Hektar</v>
      </c>
      <c r="F37" s="168" t="str">
        <f>IF('[1]Processer - data'!F37&lt;&gt;"",'[1]Processer - data'!F37,"")</f>
        <v>CO2 - atmosfære</v>
      </c>
      <c r="G37" s="168" t="str">
        <f>IF('[1]Processer - data'!G37&lt;&gt;"",'[1]Processer - data'!G37,"")</f>
        <v>t CO2-ækvivalenter</v>
      </c>
      <c r="H37" s="297">
        <f ca="1">IF($A37&lt;&gt;"",IF(VLOOKUP($A37,[1]!Table1[#All],2,FALSE)="Direkte input",IF($A37&lt;&gt;"Grøntsager i drivhus",SUMIFS('Direkte input'!G$3:G$230,'Direkte input'!$F$3:$F$230,$D37,'Direkte input'!$C$3:$C$230,$B37,'Direkte input'!$D$3:$D$230,$C37,'Direkte input'!$A$3:$A$230,$A$1),SUMIFS('Direkte input'!G$3:G$230,'Direkte input'!$F$3:$F$230,$D37,'Direkte input'!$C$3:$C$230,$B37,'Direkte input'!$A$3:$A$230,$A$1)),IF(VLOOKUP($A37,[1]!Table1[#All],2,FALSE)="Resultat",SUMIF($F$1:$F36,$D37,H$1:H36)+SUMIF($F39:$F$512,$D37,H39:H$512),0))*'[1]Processer - data'!H37,"")*IF($C37&lt;&gt;"",IF($F37="Halm",Landbrug!C$16*Landbrug!C$17,IF(LEFT($D37,5)="Areal", IF($G37="Ton",Landbrug!C$18,1),1)),1)*IF($F37="Grøntsager",IF($A37="Grøntsager i drivhus",Landbrug!C$51,1-Landbrug!C$51),1)</f>
        <v>0</v>
      </c>
      <c r="I37" s="298">
        <f ca="1">IF($A37&lt;&gt;"",IF(VLOOKUP($A37,[1]!Table1[#All],2,FALSE)="Direkte input",IF($A37&lt;&gt;"Grøntsager i drivhus",SUMIFS('Direkte input'!H$3:H$230,'Direkte input'!$F$3:$F$230,$D37,'Direkte input'!$C$3:$C$230,$B37,'Direkte input'!$D$3:$D$230,$C37,'Direkte input'!$A$3:$A$230,$A$1),SUMIFS('Direkte input'!H$3:H$230,'Direkte input'!$F$3:$F$230,$D37,'Direkte input'!$C$3:$C$230,$B37,'Direkte input'!$A$3:$A$230,$A$1)),IF(VLOOKUP($A37,[1]!Table1[#All],2,FALSE)="Resultat",SUMIF($F$1:$F36,$D37,I$1:I36)+SUMIF($F39:$F$512,$D37,I39:I$512),0))*'[1]Processer - data'!I37,"")*IF($C37&lt;&gt;"",IF($F37="Halm",Landbrug!D$16*Landbrug!D$17,IF(LEFT($D37,5)="Areal", IF($G37="Ton",Landbrug!D$18,1),1)),1)*IF($F37="Grøntsager",IF($A37="Grøntsager i drivhus",Landbrug!D$51,1-Landbrug!D$51),1)</f>
        <v>0</v>
      </c>
      <c r="J37" s="299">
        <f ca="1">IF($A37&lt;&gt;"",IF(VLOOKUP($A37,[1]!Table1[#All],2,FALSE)="Direkte input",IF($A37&lt;&gt;"Grøntsager i drivhus",SUMIFS('Direkte input'!I$3:I$230,'Direkte input'!$F$3:$F$230,$D37,'Direkte input'!$C$3:$C$230,$B37,'Direkte input'!$D$3:$D$230,$C37,'Direkte input'!$A$3:$A$230,$A$1),SUMIFS('Direkte input'!I$3:I$230,'Direkte input'!$F$3:$F$230,$D37,'Direkte input'!$C$3:$C$230,$B37,'Direkte input'!$A$3:$A$230,$A$1)),IF(VLOOKUP($A37,[1]!Table1[#All],2,FALSE)="Resultat",SUMIF($F$1:$F36,$D37,J$1:J36)+SUMIF($F39:$F$512,$D37,J39:J$512),0))*'[1]Processer - data'!J37,"")*IF($C37&lt;&gt;"",IF($F37="Halm",Landbrug!E$16*Landbrug!E$17,IF(LEFT($D37,5)="Areal", IF($G37="Ton",Landbrug!E$18,1),1)),1)*IF($F37="Grøntsager",IF($A37="Grøntsager i drivhus",Landbrug!E$51,1-Landbrug!E$51),1)</f>
        <v>0</v>
      </c>
    </row>
    <row r="38" spans="1:10" s="168" customFormat="1" x14ac:dyDescent="0.25">
      <c r="A38" s="168" t="str">
        <f>IF('[1]Processer - data'!A38&lt;&gt;"",'[1]Processer - data'!A38,"")</f>
        <v>Skovproduktion</v>
      </c>
      <c r="B38" s="168" t="str">
        <f>IF('[1]Processer - data'!B38&lt;&gt;"",'[1]Processer - data'!B38,"")</f>
        <v/>
      </c>
      <c r="C38" s="168" t="str">
        <f>IF('[1]Processer - data'!C38&lt;&gt;"",'[1]Processer - data'!C38,"")</f>
        <v>Skovtype2</v>
      </c>
      <c r="D38" s="168" t="str">
        <f>IF('[1]Processer - data'!D38&lt;&gt;"",'[1]Processer - data'!D38,"")</f>
        <v>Areal-skovtype2-20</v>
      </c>
      <c r="E38" s="168" t="str">
        <f>IF('[1]Processer - data'!E38&lt;&gt;"",'[1]Processer - data'!E38,"")</f>
        <v>Hektar</v>
      </c>
      <c r="F38" s="168" t="str">
        <f>IF('[1]Processer - data'!F38&lt;&gt;"",'[1]Processer - data'!F38,"")</f>
        <v>CO2 - HWP</v>
      </c>
      <c r="G38" s="168" t="str">
        <f>IF('[1]Processer - data'!G38&lt;&gt;"",'[1]Processer - data'!G38,"")</f>
        <v>t CO2-ækvivalenter</v>
      </c>
      <c r="H38" s="297">
        <f ca="1">IF($A38&lt;&gt;"",IF(VLOOKUP($A38,[1]!Table1[#All],2,FALSE)="Direkte input",IF($A38&lt;&gt;"Grøntsager i drivhus",SUMIFS('Direkte input'!G$3:G$230,'Direkte input'!$F$3:$F$230,$D38,'Direkte input'!$C$3:$C$230,$B38,'Direkte input'!$D$3:$D$230,$C38,'Direkte input'!$A$3:$A$230,$A$1),SUMIFS('Direkte input'!G$3:G$230,'Direkte input'!$F$3:$F$230,$D38,'Direkte input'!$C$3:$C$230,$B38,'Direkte input'!$A$3:$A$230,$A$1)),IF(VLOOKUP($A38,[1]!Table1[#All],2,FALSE)="Resultat",SUMIF($F$1:$F37,$D38,H$1:H37)+SUMIF($F40:$F$512,$D38,H40:H$512),0))*'[1]Processer - data'!H38,"")*IF($C38&lt;&gt;"",IF($F38="Halm",Landbrug!C$16*Landbrug!C$17,IF(LEFT($D38,5)="Areal", IF($G38="Ton",Landbrug!C$18,1),1)),1)*IF($F38="Grøntsager",IF($A38="Grøntsager i drivhus",Landbrug!C$51,1-Landbrug!C$51),1)</f>
        <v>0</v>
      </c>
      <c r="I38" s="298">
        <f ca="1">IF($A38&lt;&gt;"",IF(VLOOKUP($A38,[1]!Table1[#All],2,FALSE)="Direkte input",IF($A38&lt;&gt;"Grøntsager i drivhus",SUMIFS('Direkte input'!H$3:H$230,'Direkte input'!$F$3:$F$230,$D38,'Direkte input'!$C$3:$C$230,$B38,'Direkte input'!$D$3:$D$230,$C38,'Direkte input'!$A$3:$A$230,$A$1),SUMIFS('Direkte input'!H$3:H$230,'Direkte input'!$F$3:$F$230,$D38,'Direkte input'!$C$3:$C$230,$B38,'Direkte input'!$A$3:$A$230,$A$1)),IF(VLOOKUP($A38,[1]!Table1[#All],2,FALSE)="Resultat",SUMIF($F$1:$F37,$D38,I$1:I37)+SUMIF($F40:$F$512,$D38,I40:I$512),0))*'[1]Processer - data'!I38,"")*IF($C38&lt;&gt;"",IF($F38="Halm",Landbrug!D$16*Landbrug!D$17,IF(LEFT($D38,5)="Areal", IF($G38="Ton",Landbrug!D$18,1),1)),1)*IF($F38="Grøntsager",IF($A38="Grøntsager i drivhus",Landbrug!D$51,1-Landbrug!D$51),1)</f>
        <v>0</v>
      </c>
      <c r="J38" s="299">
        <f ca="1">IF($A38&lt;&gt;"",IF(VLOOKUP($A38,[1]!Table1[#All],2,FALSE)="Direkte input",IF($A38&lt;&gt;"Grøntsager i drivhus",SUMIFS('Direkte input'!I$3:I$230,'Direkte input'!$F$3:$F$230,$D38,'Direkte input'!$C$3:$C$230,$B38,'Direkte input'!$D$3:$D$230,$C38,'Direkte input'!$A$3:$A$230,$A$1),SUMIFS('Direkte input'!I$3:I$230,'Direkte input'!$F$3:$F$230,$D38,'Direkte input'!$C$3:$C$230,$B38,'Direkte input'!$A$3:$A$230,$A$1)),IF(VLOOKUP($A38,[1]!Table1[#All],2,FALSE)="Resultat",SUMIF($F$1:$F37,$D38,J$1:J37)+SUMIF($F40:$F$512,$D38,J40:J$512),0))*'[1]Processer - data'!J38,"")*IF($C38&lt;&gt;"",IF($F38="Halm",Landbrug!E$16*Landbrug!E$17,IF(LEFT($D38,5)="Areal", IF($G38="Ton",Landbrug!E$18,1),1)),1)*IF($F38="Grøntsager",IF($A38="Grøntsager i drivhus",Landbrug!E$51,1-Landbrug!E$51),1)</f>
        <v>0</v>
      </c>
    </row>
    <row r="39" spans="1:10" x14ac:dyDescent="0.25">
      <c r="A39" s="168" t="str">
        <f>IF('[1]Processer - data'!A39&lt;&gt;"",'[1]Processer - data'!A39,"")</f>
        <v>Skovproduktion</v>
      </c>
      <c r="B39" s="168" t="str">
        <f>IF('[1]Processer - data'!B39&lt;&gt;"",'[1]Processer - data'!B39,"")</f>
        <v/>
      </c>
      <c r="C39" s="168" t="str">
        <f>IF('[1]Processer - data'!C39&lt;&gt;"",'[1]Processer - data'!C39,"")</f>
        <v>Skovtype2</v>
      </c>
      <c r="D39" s="168" t="str">
        <f>IF('[1]Processer - data'!D39&lt;&gt;"",'[1]Processer - data'!D39,"")</f>
        <v>Areal-skovtype2-30</v>
      </c>
      <c r="E39" s="168" t="str">
        <f>IF('[1]Processer - data'!E39&lt;&gt;"",'[1]Processer - data'!E39,"")</f>
        <v>Hektar</v>
      </c>
      <c r="F39" s="168" t="str">
        <f>IF('[1]Processer - data'!F39&lt;&gt;"",'[1]Processer - data'!F39,"")</f>
        <v>Træer</v>
      </c>
      <c r="G39" s="168" t="str">
        <f>IF('[1]Processer - data'!G39&lt;&gt;"",'[1]Processer - data'!G39,"")</f>
        <v>m3</v>
      </c>
      <c r="H39" s="297">
        <f ca="1">IF($A39&lt;&gt;"",IF(VLOOKUP($A39,[1]!Table1[#All],2,FALSE)="Direkte input",IF($A39&lt;&gt;"Grøntsager i drivhus",SUMIFS('Direkte input'!G$3:G$230,'Direkte input'!$F$3:$F$230,$D39,'Direkte input'!$C$3:$C$230,$B39,'Direkte input'!$D$3:$D$230,$C39,'Direkte input'!$A$3:$A$230,$A$1),SUMIFS('Direkte input'!G$3:G$230,'Direkte input'!$F$3:$F$230,$D39,'Direkte input'!$C$3:$C$230,$B39,'Direkte input'!$A$3:$A$230,$A$1)),IF(VLOOKUP($A39,[1]!Table1[#All],2,FALSE)="Resultat",SUMIF($F$1:$F38,$D39,H$1:H38)+SUMIF($F41:$F$512,$D39,H41:H$512),0))*'[1]Processer - data'!H39,"")*IF($C39&lt;&gt;"",IF($F39="Halm",Landbrug!C$16*Landbrug!C$17,IF(LEFT($D39,5)="Areal", IF($G39="Ton",Landbrug!C$18,1),1)),1)*IF($F39="Grøntsager",IF($A39="Grøntsager i drivhus",Landbrug!C$51,1-Landbrug!C$51),1)</f>
        <v>0</v>
      </c>
      <c r="I39" s="298">
        <f ca="1">IF($A39&lt;&gt;"",IF(VLOOKUP($A39,[1]!Table1[#All],2,FALSE)="Direkte input",IF($A39&lt;&gt;"Grøntsager i drivhus",SUMIFS('Direkte input'!H$3:H$230,'Direkte input'!$F$3:$F$230,$D39,'Direkte input'!$C$3:$C$230,$B39,'Direkte input'!$D$3:$D$230,$C39,'Direkte input'!$A$3:$A$230,$A$1),SUMIFS('Direkte input'!H$3:H$230,'Direkte input'!$F$3:$F$230,$D39,'Direkte input'!$C$3:$C$230,$B39,'Direkte input'!$A$3:$A$230,$A$1)),IF(VLOOKUP($A39,[1]!Table1[#All],2,FALSE)="Resultat",SUMIF($F$1:$F38,$D39,I$1:I38)+SUMIF($F41:$F$512,$D39,I41:I$512),0))*'[1]Processer - data'!I39,"")*IF($C39&lt;&gt;"",IF($F39="Halm",Landbrug!D$16*Landbrug!D$17,IF(LEFT($D39,5)="Areal", IF($G39="Ton",Landbrug!D$18,1),1)),1)*IF($F39="Grøntsager",IF($A39="Grøntsager i drivhus",Landbrug!D$51,1-Landbrug!D$51),1)</f>
        <v>0</v>
      </c>
      <c r="J39" s="299">
        <f ca="1">IF($A39&lt;&gt;"",IF(VLOOKUP($A39,[1]!Table1[#All],2,FALSE)="Direkte input",IF($A39&lt;&gt;"Grøntsager i drivhus",SUMIFS('Direkte input'!I$3:I$230,'Direkte input'!$F$3:$F$230,$D39,'Direkte input'!$C$3:$C$230,$B39,'Direkte input'!$D$3:$D$230,$C39,'Direkte input'!$A$3:$A$230,$A$1),SUMIFS('Direkte input'!I$3:I$230,'Direkte input'!$F$3:$F$230,$D39,'Direkte input'!$C$3:$C$230,$B39,'Direkte input'!$A$3:$A$230,$A$1)),IF(VLOOKUP($A39,[1]!Table1[#All],2,FALSE)="Resultat",SUMIF($F$1:$F38,$D39,J$1:J38)+SUMIF($F41:$F$512,$D39,J41:J$512),0))*'[1]Processer - data'!J39,"")*IF($C39&lt;&gt;"",IF($F39="Halm",Landbrug!E$16*Landbrug!E$17,IF(LEFT($D39,5)="Areal", IF($G39="Ton",Landbrug!E$18,1),1)),1)*IF($F39="Grøntsager",IF($A39="Grøntsager i drivhus",Landbrug!E$51,1-Landbrug!E$51),1)</f>
        <v>0</v>
      </c>
    </row>
    <row r="40" spans="1:10" x14ac:dyDescent="0.25">
      <c r="A40" s="168" t="str">
        <f>IF('[1]Processer - data'!A40&lt;&gt;"",'[1]Processer - data'!A40,"")</f>
        <v>Skovproduktion</v>
      </c>
      <c r="B40" s="168" t="str">
        <f>IF('[1]Processer - data'!B40&lt;&gt;"",'[1]Processer - data'!B40,"")</f>
        <v/>
      </c>
      <c r="C40" s="168" t="str">
        <f>IF('[1]Processer - data'!C40&lt;&gt;"",'[1]Processer - data'!C40,"")</f>
        <v>Skovtype2</v>
      </c>
      <c r="D40" s="168" t="str">
        <f>IF('[1]Processer - data'!D40&lt;&gt;"",'[1]Processer - data'!D40,"")</f>
        <v>Areal-skovtype2-30</v>
      </c>
      <c r="E40" s="168" t="str">
        <f>IF('[1]Processer - data'!E40&lt;&gt;"",'[1]Processer - data'!E40,"")</f>
        <v>Hektar</v>
      </c>
      <c r="F40" s="168" t="str">
        <f>IF('[1]Processer - data'!F40&lt;&gt;"",'[1]Processer - data'!F40,"")</f>
        <v>Træ til energi</v>
      </c>
      <c r="G40" s="168" t="str">
        <f>IF('[1]Processer - data'!G40&lt;&gt;"",'[1]Processer - data'!G40,"")</f>
        <v>m3</v>
      </c>
      <c r="H40" s="297">
        <f ca="1">IF($A40&lt;&gt;"",IF(VLOOKUP($A40,[1]!Table1[#All],2,FALSE)="Direkte input",IF($A40&lt;&gt;"Grøntsager i drivhus",SUMIFS('Direkte input'!G$3:G$230,'Direkte input'!$F$3:$F$230,$D40,'Direkte input'!$C$3:$C$230,$B40,'Direkte input'!$D$3:$D$230,$C40,'Direkte input'!$A$3:$A$230,$A$1),SUMIFS('Direkte input'!G$3:G$230,'Direkte input'!$F$3:$F$230,$D40,'Direkte input'!$C$3:$C$230,$B40,'Direkte input'!$A$3:$A$230,$A$1)),IF(VLOOKUP($A40,[1]!Table1[#All],2,FALSE)="Resultat",SUMIF($F$1:$F39,$D40,H$1:H39)+SUMIF($F42:$F$512,$D40,H42:H$512),0))*'[1]Processer - data'!H40,"")*IF($C40&lt;&gt;"",IF($F40="Halm",Landbrug!C$16*Landbrug!C$17,IF(LEFT($D40,5)="Areal", IF($G40="Ton",Landbrug!C$18,1),1)),1)*IF($F40="Grøntsager",IF($A40="Grøntsager i drivhus",Landbrug!C$51,1-Landbrug!C$51),1)</f>
        <v>0</v>
      </c>
      <c r="I40" s="298">
        <f ca="1">IF($A40&lt;&gt;"",IF(VLOOKUP($A40,[1]!Table1[#All],2,FALSE)="Direkte input",IF($A40&lt;&gt;"Grøntsager i drivhus",SUMIFS('Direkte input'!H$3:H$230,'Direkte input'!$F$3:$F$230,$D40,'Direkte input'!$C$3:$C$230,$B40,'Direkte input'!$D$3:$D$230,$C40,'Direkte input'!$A$3:$A$230,$A$1),SUMIFS('Direkte input'!H$3:H$230,'Direkte input'!$F$3:$F$230,$D40,'Direkte input'!$C$3:$C$230,$B40,'Direkte input'!$A$3:$A$230,$A$1)),IF(VLOOKUP($A40,[1]!Table1[#All],2,FALSE)="Resultat",SUMIF($F$1:$F39,$D40,I$1:I39)+SUMIF($F42:$F$512,$D40,I42:I$512),0))*'[1]Processer - data'!I40,"")*IF($C40&lt;&gt;"",IF($F40="Halm",Landbrug!D$16*Landbrug!D$17,IF(LEFT($D40,5)="Areal", IF($G40="Ton",Landbrug!D$18,1),1)),1)*IF($F40="Grøntsager",IF($A40="Grøntsager i drivhus",Landbrug!D$51,1-Landbrug!D$51),1)</f>
        <v>0</v>
      </c>
      <c r="J40" s="299">
        <f ca="1">IF($A40&lt;&gt;"",IF(VLOOKUP($A40,[1]!Table1[#All],2,FALSE)="Direkte input",IF($A40&lt;&gt;"Grøntsager i drivhus",SUMIFS('Direkte input'!I$3:I$230,'Direkte input'!$F$3:$F$230,$D40,'Direkte input'!$C$3:$C$230,$B40,'Direkte input'!$D$3:$D$230,$C40,'Direkte input'!$A$3:$A$230,$A$1),SUMIFS('Direkte input'!I$3:I$230,'Direkte input'!$F$3:$F$230,$D40,'Direkte input'!$C$3:$C$230,$B40,'Direkte input'!$A$3:$A$230,$A$1)),IF(VLOOKUP($A40,[1]!Table1[#All],2,FALSE)="Resultat",SUMIF($F$1:$F39,$D40,J$1:J39)+SUMIF($F42:$F$512,$D40,J42:J$512),0))*'[1]Processer - data'!J40,"")*IF($C40&lt;&gt;"",IF($F40="Halm",Landbrug!E$16*Landbrug!E$17,IF(LEFT($D40,5)="Areal", IF($G40="Ton",Landbrug!E$18,1),1)),1)*IF($F40="Grøntsager",IF($A40="Grøntsager i drivhus",Landbrug!E$51,1-Landbrug!E$51),1)</f>
        <v>0</v>
      </c>
    </row>
    <row r="41" spans="1:10" x14ac:dyDescent="0.25">
      <c r="A41" s="168" t="str">
        <f>IF('[1]Processer - data'!A41&lt;&gt;"",'[1]Processer - data'!A41,"")</f>
        <v>Skovproduktion</v>
      </c>
      <c r="B41" s="168" t="str">
        <f>IF('[1]Processer - data'!B41&lt;&gt;"",'[1]Processer - data'!B41,"")</f>
        <v/>
      </c>
      <c r="C41" s="168" t="str">
        <f>IF('[1]Processer - data'!C41&lt;&gt;"",'[1]Processer - data'!C41,"")</f>
        <v>Skovtype2</v>
      </c>
      <c r="D41" s="168" t="str">
        <f>IF('[1]Processer - data'!D41&lt;&gt;"",'[1]Processer - data'!D41,"")</f>
        <v>Areal-skovtype2-30</v>
      </c>
      <c r="E41" s="168" t="str">
        <f>IF('[1]Processer - data'!E41&lt;&gt;"",'[1]Processer - data'!E41,"")</f>
        <v>Hektar</v>
      </c>
      <c r="F41" s="168" t="str">
        <f>IF('[1]Processer - data'!F41&lt;&gt;"",'[1]Processer - data'!F41,"")</f>
        <v>CO2 - atmosfære</v>
      </c>
      <c r="G41" s="168" t="str">
        <f>IF('[1]Processer - data'!G41&lt;&gt;"",'[1]Processer - data'!G41,"")</f>
        <v>t CO2-ækvivalenter</v>
      </c>
      <c r="H41" s="297">
        <f ca="1">IF($A41&lt;&gt;"",IF(VLOOKUP($A41,[1]!Table1[#All],2,FALSE)="Direkte input",IF($A41&lt;&gt;"Grøntsager i drivhus",SUMIFS('Direkte input'!G$3:G$230,'Direkte input'!$F$3:$F$230,$D41,'Direkte input'!$C$3:$C$230,$B41,'Direkte input'!$D$3:$D$230,$C41,'Direkte input'!$A$3:$A$230,$A$1),SUMIFS('Direkte input'!G$3:G$230,'Direkte input'!$F$3:$F$230,$D41,'Direkte input'!$C$3:$C$230,$B41,'Direkte input'!$A$3:$A$230,$A$1)),IF(VLOOKUP($A41,[1]!Table1[#All],2,FALSE)="Resultat",SUMIF($F$1:$F40,$D41,H$1:H40)+SUMIF($F43:$F$512,$D41,H43:H$512),0))*'[1]Processer - data'!H41,"")*IF($C41&lt;&gt;"",IF($F41="Halm",Landbrug!C$16*Landbrug!C$17,IF(LEFT($D41,5)="Areal", IF($G41="Ton",Landbrug!C$18,1),1)),1)*IF($F41="Grøntsager",IF($A41="Grøntsager i drivhus",Landbrug!C$51,1-Landbrug!C$51),1)</f>
        <v>0</v>
      </c>
      <c r="I41" s="298">
        <f ca="1">IF($A41&lt;&gt;"",IF(VLOOKUP($A41,[1]!Table1[#All],2,FALSE)="Direkte input",IF($A41&lt;&gt;"Grøntsager i drivhus",SUMIFS('Direkte input'!H$3:H$230,'Direkte input'!$F$3:$F$230,$D41,'Direkte input'!$C$3:$C$230,$B41,'Direkte input'!$D$3:$D$230,$C41,'Direkte input'!$A$3:$A$230,$A$1),SUMIFS('Direkte input'!H$3:H$230,'Direkte input'!$F$3:$F$230,$D41,'Direkte input'!$C$3:$C$230,$B41,'Direkte input'!$A$3:$A$230,$A$1)),IF(VLOOKUP($A41,[1]!Table1[#All],2,FALSE)="Resultat",SUMIF($F$1:$F40,$D41,I$1:I40)+SUMIF($F43:$F$512,$D41,I43:I$512),0))*'[1]Processer - data'!I41,"")*IF($C41&lt;&gt;"",IF($F41="Halm",Landbrug!D$16*Landbrug!D$17,IF(LEFT($D41,5)="Areal", IF($G41="Ton",Landbrug!D$18,1),1)),1)*IF($F41="Grøntsager",IF($A41="Grøntsager i drivhus",Landbrug!D$51,1-Landbrug!D$51),1)</f>
        <v>0</v>
      </c>
      <c r="J41" s="299">
        <f ca="1">IF($A41&lt;&gt;"",IF(VLOOKUP($A41,[1]!Table1[#All],2,FALSE)="Direkte input",IF($A41&lt;&gt;"Grøntsager i drivhus",SUMIFS('Direkte input'!I$3:I$230,'Direkte input'!$F$3:$F$230,$D41,'Direkte input'!$C$3:$C$230,$B41,'Direkte input'!$D$3:$D$230,$C41,'Direkte input'!$A$3:$A$230,$A$1),SUMIFS('Direkte input'!I$3:I$230,'Direkte input'!$F$3:$F$230,$D41,'Direkte input'!$C$3:$C$230,$B41,'Direkte input'!$A$3:$A$230,$A$1)),IF(VLOOKUP($A41,[1]!Table1[#All],2,FALSE)="Resultat",SUMIF($F$1:$F40,$D41,J$1:J40)+SUMIF($F43:$F$512,$D41,J43:J$512),0))*'[1]Processer - data'!J41,"")*IF($C41&lt;&gt;"",IF($F41="Halm",Landbrug!E$16*Landbrug!E$17,IF(LEFT($D41,5)="Areal", IF($G41="Ton",Landbrug!E$18,1),1)),1)*IF($F41="Grøntsager",IF($A41="Grøntsager i drivhus",Landbrug!E$51,1-Landbrug!E$51),1)</f>
        <v>0</v>
      </c>
    </row>
    <row r="42" spans="1:10" s="168" customFormat="1" x14ac:dyDescent="0.25">
      <c r="A42" s="168" t="str">
        <f>IF('[1]Processer - data'!A42&lt;&gt;"",'[1]Processer - data'!A42,"")</f>
        <v>Skovproduktion</v>
      </c>
      <c r="B42" s="168" t="str">
        <f>IF('[1]Processer - data'!B42&lt;&gt;"",'[1]Processer - data'!B42,"")</f>
        <v/>
      </c>
      <c r="C42" s="168" t="str">
        <f>IF('[1]Processer - data'!C42&lt;&gt;"",'[1]Processer - data'!C42,"")</f>
        <v>Skovtype2</v>
      </c>
      <c r="D42" s="168" t="str">
        <f>IF('[1]Processer - data'!D42&lt;&gt;"",'[1]Processer - data'!D42,"")</f>
        <v>Areal-skovtype2-30</v>
      </c>
      <c r="E42" s="168" t="str">
        <f>IF('[1]Processer - data'!E42&lt;&gt;"",'[1]Processer - data'!E42,"")</f>
        <v>Hektar</v>
      </c>
      <c r="F42" s="168" t="str">
        <f>IF('[1]Processer - data'!F42&lt;&gt;"",'[1]Processer - data'!F42,"")</f>
        <v>CO2 - HWP</v>
      </c>
      <c r="G42" s="168" t="str">
        <f>IF('[1]Processer - data'!G42&lt;&gt;"",'[1]Processer - data'!G42,"")</f>
        <v>t CO2-ækvivalenter</v>
      </c>
      <c r="H42" s="297">
        <f ca="1">IF($A42&lt;&gt;"",IF(VLOOKUP($A42,[1]!Table1[#All],2,FALSE)="Direkte input",IF($A42&lt;&gt;"Grøntsager i drivhus",SUMIFS('Direkte input'!G$3:G$230,'Direkte input'!$F$3:$F$230,$D42,'Direkte input'!$C$3:$C$230,$B42,'Direkte input'!$D$3:$D$230,$C42,'Direkte input'!$A$3:$A$230,$A$1),SUMIFS('Direkte input'!G$3:G$230,'Direkte input'!$F$3:$F$230,$D42,'Direkte input'!$C$3:$C$230,$B42,'Direkte input'!$A$3:$A$230,$A$1)),IF(VLOOKUP($A42,[1]!Table1[#All],2,FALSE)="Resultat",SUMIF($F$1:$F41,$D42,H$1:H41)+SUMIF($F44:$F$512,$D42,H44:H$512),0))*'[1]Processer - data'!H42,"")*IF($C42&lt;&gt;"",IF($F42="Halm",Landbrug!C$16*Landbrug!C$17,IF(LEFT($D42,5)="Areal", IF($G42="Ton",Landbrug!C$18,1),1)),1)*IF($F42="Grøntsager",IF($A42="Grøntsager i drivhus",Landbrug!C$51,1-Landbrug!C$51),1)</f>
        <v>0</v>
      </c>
      <c r="I42" s="298">
        <f ca="1">IF($A42&lt;&gt;"",IF(VLOOKUP($A42,[1]!Table1[#All],2,FALSE)="Direkte input",IF($A42&lt;&gt;"Grøntsager i drivhus",SUMIFS('Direkte input'!H$3:H$230,'Direkte input'!$F$3:$F$230,$D42,'Direkte input'!$C$3:$C$230,$B42,'Direkte input'!$D$3:$D$230,$C42,'Direkte input'!$A$3:$A$230,$A$1),SUMIFS('Direkte input'!H$3:H$230,'Direkte input'!$F$3:$F$230,$D42,'Direkte input'!$C$3:$C$230,$B42,'Direkte input'!$A$3:$A$230,$A$1)),IF(VLOOKUP($A42,[1]!Table1[#All],2,FALSE)="Resultat",SUMIF($F$1:$F41,$D42,I$1:I41)+SUMIF($F44:$F$512,$D42,I44:I$512),0))*'[1]Processer - data'!I42,"")*IF($C42&lt;&gt;"",IF($F42="Halm",Landbrug!D$16*Landbrug!D$17,IF(LEFT($D42,5)="Areal", IF($G42="Ton",Landbrug!D$18,1),1)),1)*IF($F42="Grøntsager",IF($A42="Grøntsager i drivhus",Landbrug!D$51,1-Landbrug!D$51),1)</f>
        <v>0</v>
      </c>
      <c r="J42" s="299">
        <f ca="1">IF($A42&lt;&gt;"",IF(VLOOKUP($A42,[1]!Table1[#All],2,FALSE)="Direkte input",IF($A42&lt;&gt;"Grøntsager i drivhus",SUMIFS('Direkte input'!I$3:I$230,'Direkte input'!$F$3:$F$230,$D42,'Direkte input'!$C$3:$C$230,$B42,'Direkte input'!$D$3:$D$230,$C42,'Direkte input'!$A$3:$A$230,$A$1),SUMIFS('Direkte input'!I$3:I$230,'Direkte input'!$F$3:$F$230,$D42,'Direkte input'!$C$3:$C$230,$B42,'Direkte input'!$A$3:$A$230,$A$1)),IF(VLOOKUP($A42,[1]!Table1[#All],2,FALSE)="Resultat",SUMIF($F$1:$F41,$D42,J$1:J41)+SUMIF($F44:$F$512,$D42,J44:J$512),0))*'[1]Processer - data'!J42,"")*IF($C42&lt;&gt;"",IF($F42="Halm",Landbrug!E$16*Landbrug!E$17,IF(LEFT($D42,5)="Areal", IF($G42="Ton",Landbrug!E$18,1),1)),1)*IF($F42="Grøntsager",IF($A42="Grøntsager i drivhus",Landbrug!E$51,1-Landbrug!E$51),1)</f>
        <v>0</v>
      </c>
    </row>
    <row r="43" spans="1:10" x14ac:dyDescent="0.25">
      <c r="A43" s="168" t="str">
        <f>IF('[1]Processer - data'!A43&lt;&gt;"",'[1]Processer - data'!A43,"")</f>
        <v>Skovproduktion</v>
      </c>
      <c r="B43" s="168" t="str">
        <f>IF('[1]Processer - data'!B43&lt;&gt;"",'[1]Processer - data'!B43,"")</f>
        <v/>
      </c>
      <c r="C43" s="168" t="str">
        <f>IF('[1]Processer - data'!C43&lt;&gt;"",'[1]Processer - data'!C43,"")</f>
        <v>Skovtype2</v>
      </c>
      <c r="D43" s="168" t="str">
        <f>IF('[1]Processer - data'!D43&lt;&gt;"",'[1]Processer - data'!D43,"")</f>
        <v>Areal-skovtype2-40</v>
      </c>
      <c r="E43" s="168" t="str">
        <f>IF('[1]Processer - data'!E43&lt;&gt;"",'[1]Processer - data'!E43,"")</f>
        <v>Hektar</v>
      </c>
      <c r="F43" s="168" t="str">
        <f>IF('[1]Processer - data'!F43&lt;&gt;"",'[1]Processer - data'!F43,"")</f>
        <v>Træer</v>
      </c>
      <c r="G43" s="168" t="str">
        <f>IF('[1]Processer - data'!G43&lt;&gt;"",'[1]Processer - data'!G43,"")</f>
        <v>m3</v>
      </c>
      <c r="H43" s="297">
        <f ca="1">IF($A43&lt;&gt;"",IF(VLOOKUP($A43,[1]!Table1[#All],2,FALSE)="Direkte input",IF($A43&lt;&gt;"Grøntsager i drivhus",SUMIFS('Direkte input'!G$3:G$230,'Direkte input'!$F$3:$F$230,$D43,'Direkte input'!$C$3:$C$230,$B43,'Direkte input'!$D$3:$D$230,$C43,'Direkte input'!$A$3:$A$230,$A$1),SUMIFS('Direkte input'!G$3:G$230,'Direkte input'!$F$3:$F$230,$D43,'Direkte input'!$C$3:$C$230,$B43,'Direkte input'!$A$3:$A$230,$A$1)),IF(VLOOKUP($A43,[1]!Table1[#All],2,FALSE)="Resultat",SUMIF($F$1:$F42,$D43,H$1:H42)+SUMIF($F45:$F$512,$D43,H45:H$512),0))*'[1]Processer - data'!H43,"")*IF($C43&lt;&gt;"",IF($F43="Halm",Landbrug!C$16*Landbrug!C$17,IF(LEFT($D43,5)="Areal", IF($G43="Ton",Landbrug!C$18,1),1)),1)*IF($F43="Grøntsager",IF($A43="Grøntsager i drivhus",Landbrug!C$51,1-Landbrug!C$51),1)</f>
        <v>0</v>
      </c>
      <c r="I43" s="298">
        <f ca="1">IF($A43&lt;&gt;"",IF(VLOOKUP($A43,[1]!Table1[#All],2,FALSE)="Direkte input",IF($A43&lt;&gt;"Grøntsager i drivhus",SUMIFS('Direkte input'!H$3:H$230,'Direkte input'!$F$3:$F$230,$D43,'Direkte input'!$C$3:$C$230,$B43,'Direkte input'!$D$3:$D$230,$C43,'Direkte input'!$A$3:$A$230,$A$1),SUMIFS('Direkte input'!H$3:H$230,'Direkte input'!$F$3:$F$230,$D43,'Direkte input'!$C$3:$C$230,$B43,'Direkte input'!$A$3:$A$230,$A$1)),IF(VLOOKUP($A43,[1]!Table1[#All],2,FALSE)="Resultat",SUMIF($F$1:$F42,$D43,I$1:I42)+SUMIF($F45:$F$512,$D43,I45:I$512),0))*'[1]Processer - data'!I43,"")*IF($C43&lt;&gt;"",IF($F43="Halm",Landbrug!D$16*Landbrug!D$17,IF(LEFT($D43,5)="Areal", IF($G43="Ton",Landbrug!D$18,1),1)),1)*IF($F43="Grøntsager",IF($A43="Grøntsager i drivhus",Landbrug!D$51,1-Landbrug!D$51),1)</f>
        <v>0</v>
      </c>
      <c r="J43" s="299">
        <f ca="1">IF($A43&lt;&gt;"",IF(VLOOKUP($A43,[1]!Table1[#All],2,FALSE)="Direkte input",IF($A43&lt;&gt;"Grøntsager i drivhus",SUMIFS('Direkte input'!I$3:I$230,'Direkte input'!$F$3:$F$230,$D43,'Direkte input'!$C$3:$C$230,$B43,'Direkte input'!$D$3:$D$230,$C43,'Direkte input'!$A$3:$A$230,$A$1),SUMIFS('Direkte input'!I$3:I$230,'Direkte input'!$F$3:$F$230,$D43,'Direkte input'!$C$3:$C$230,$B43,'Direkte input'!$A$3:$A$230,$A$1)),IF(VLOOKUP($A43,[1]!Table1[#All],2,FALSE)="Resultat",SUMIF($F$1:$F42,$D43,J$1:J42)+SUMIF($F45:$F$512,$D43,J45:J$512),0))*'[1]Processer - data'!J43,"")*IF($C43&lt;&gt;"",IF($F43="Halm",Landbrug!E$16*Landbrug!E$17,IF(LEFT($D43,5)="Areal", IF($G43="Ton",Landbrug!E$18,1),1)),1)*IF($F43="Grøntsager",IF($A43="Grøntsager i drivhus",Landbrug!E$51,1-Landbrug!E$51),1)</f>
        <v>0</v>
      </c>
    </row>
    <row r="44" spans="1:10" x14ac:dyDescent="0.25">
      <c r="A44" s="168" t="str">
        <f>IF('[1]Processer - data'!A44&lt;&gt;"",'[1]Processer - data'!A44,"")</f>
        <v>Skovproduktion</v>
      </c>
      <c r="B44" s="168" t="str">
        <f>IF('[1]Processer - data'!B44&lt;&gt;"",'[1]Processer - data'!B44,"")</f>
        <v/>
      </c>
      <c r="C44" s="168" t="str">
        <f>IF('[1]Processer - data'!C44&lt;&gt;"",'[1]Processer - data'!C44,"")</f>
        <v>Skovtype2</v>
      </c>
      <c r="D44" s="168" t="str">
        <f>IF('[1]Processer - data'!D44&lt;&gt;"",'[1]Processer - data'!D44,"")</f>
        <v>Areal-skovtype2-40</v>
      </c>
      <c r="E44" s="168" t="str">
        <f>IF('[1]Processer - data'!E44&lt;&gt;"",'[1]Processer - data'!E44,"")</f>
        <v>Hektar</v>
      </c>
      <c r="F44" s="168" t="str">
        <f>IF('[1]Processer - data'!F44&lt;&gt;"",'[1]Processer - data'!F44,"")</f>
        <v>Træ til energi</v>
      </c>
      <c r="G44" s="168" t="str">
        <f>IF('[1]Processer - data'!G44&lt;&gt;"",'[1]Processer - data'!G44,"")</f>
        <v>m3</v>
      </c>
      <c r="H44" s="297">
        <f ca="1">IF($A44&lt;&gt;"",IF(VLOOKUP($A44,[1]!Table1[#All],2,FALSE)="Direkte input",IF($A44&lt;&gt;"Grøntsager i drivhus",SUMIFS('Direkte input'!G$3:G$230,'Direkte input'!$F$3:$F$230,$D44,'Direkte input'!$C$3:$C$230,$B44,'Direkte input'!$D$3:$D$230,$C44,'Direkte input'!$A$3:$A$230,$A$1),SUMIFS('Direkte input'!G$3:G$230,'Direkte input'!$F$3:$F$230,$D44,'Direkte input'!$C$3:$C$230,$B44,'Direkte input'!$A$3:$A$230,$A$1)),IF(VLOOKUP($A44,[1]!Table1[#All],2,FALSE)="Resultat",SUMIF($F$1:$F43,$D44,H$1:H43)+SUMIF($F46:$F$512,$D44,H46:H$512),0))*'[1]Processer - data'!H44,"")*IF($C44&lt;&gt;"",IF($F44="Halm",Landbrug!C$16*Landbrug!C$17,IF(LEFT($D44,5)="Areal", IF($G44="Ton",Landbrug!C$18,1),1)),1)*IF($F44="Grøntsager",IF($A44="Grøntsager i drivhus",Landbrug!C$51,1-Landbrug!C$51),1)</f>
        <v>0</v>
      </c>
      <c r="I44" s="298">
        <f ca="1">IF($A44&lt;&gt;"",IF(VLOOKUP($A44,[1]!Table1[#All],2,FALSE)="Direkte input",IF($A44&lt;&gt;"Grøntsager i drivhus",SUMIFS('Direkte input'!H$3:H$230,'Direkte input'!$F$3:$F$230,$D44,'Direkte input'!$C$3:$C$230,$B44,'Direkte input'!$D$3:$D$230,$C44,'Direkte input'!$A$3:$A$230,$A$1),SUMIFS('Direkte input'!H$3:H$230,'Direkte input'!$F$3:$F$230,$D44,'Direkte input'!$C$3:$C$230,$B44,'Direkte input'!$A$3:$A$230,$A$1)),IF(VLOOKUP($A44,[1]!Table1[#All],2,FALSE)="Resultat",SUMIF($F$1:$F43,$D44,I$1:I43)+SUMIF($F46:$F$512,$D44,I46:I$512),0))*'[1]Processer - data'!I44,"")*IF($C44&lt;&gt;"",IF($F44="Halm",Landbrug!D$16*Landbrug!D$17,IF(LEFT($D44,5)="Areal", IF($G44="Ton",Landbrug!D$18,1),1)),1)*IF($F44="Grøntsager",IF($A44="Grøntsager i drivhus",Landbrug!D$51,1-Landbrug!D$51),1)</f>
        <v>0</v>
      </c>
      <c r="J44" s="299">
        <f ca="1">IF($A44&lt;&gt;"",IF(VLOOKUP($A44,[1]!Table1[#All],2,FALSE)="Direkte input",IF($A44&lt;&gt;"Grøntsager i drivhus",SUMIFS('Direkte input'!I$3:I$230,'Direkte input'!$F$3:$F$230,$D44,'Direkte input'!$C$3:$C$230,$B44,'Direkte input'!$D$3:$D$230,$C44,'Direkte input'!$A$3:$A$230,$A$1),SUMIFS('Direkte input'!I$3:I$230,'Direkte input'!$F$3:$F$230,$D44,'Direkte input'!$C$3:$C$230,$B44,'Direkte input'!$A$3:$A$230,$A$1)),IF(VLOOKUP($A44,[1]!Table1[#All],2,FALSE)="Resultat",SUMIF($F$1:$F43,$D44,J$1:J43)+SUMIF($F46:$F$512,$D44,J46:J$512),0))*'[1]Processer - data'!J44,"")*IF($C44&lt;&gt;"",IF($F44="Halm",Landbrug!E$16*Landbrug!E$17,IF(LEFT($D44,5)="Areal", IF($G44="Ton",Landbrug!E$18,1),1)),1)*IF($F44="Grøntsager",IF($A44="Grøntsager i drivhus",Landbrug!E$51,1-Landbrug!E$51),1)</f>
        <v>0</v>
      </c>
    </row>
    <row r="45" spans="1:10" x14ac:dyDescent="0.25">
      <c r="A45" s="168" t="str">
        <f>IF('[1]Processer - data'!A45&lt;&gt;"",'[1]Processer - data'!A45,"")</f>
        <v>Skovproduktion</v>
      </c>
      <c r="B45" s="168" t="str">
        <f>IF('[1]Processer - data'!B45&lt;&gt;"",'[1]Processer - data'!B45,"")</f>
        <v/>
      </c>
      <c r="C45" s="168" t="str">
        <f>IF('[1]Processer - data'!C45&lt;&gt;"",'[1]Processer - data'!C45,"")</f>
        <v>Skovtype2</v>
      </c>
      <c r="D45" s="168" t="str">
        <f>IF('[1]Processer - data'!D45&lt;&gt;"",'[1]Processer - data'!D45,"")</f>
        <v>Areal-skovtype2-40</v>
      </c>
      <c r="E45" s="168" t="str">
        <f>IF('[1]Processer - data'!E45&lt;&gt;"",'[1]Processer - data'!E45,"")</f>
        <v>Hektar</v>
      </c>
      <c r="F45" s="168" t="str">
        <f>IF('[1]Processer - data'!F45&lt;&gt;"",'[1]Processer - data'!F45,"")</f>
        <v>CO2 - atmosfære</v>
      </c>
      <c r="G45" s="168" t="str">
        <f>IF('[1]Processer - data'!G45&lt;&gt;"",'[1]Processer - data'!G45,"")</f>
        <v>t CO2-ækvivalenter</v>
      </c>
      <c r="H45" s="297">
        <f ca="1">IF($A45&lt;&gt;"",IF(VLOOKUP($A45,[1]!Table1[#All],2,FALSE)="Direkte input",IF($A45&lt;&gt;"Grøntsager i drivhus",SUMIFS('Direkte input'!G$3:G$230,'Direkte input'!$F$3:$F$230,$D45,'Direkte input'!$C$3:$C$230,$B45,'Direkte input'!$D$3:$D$230,$C45,'Direkte input'!$A$3:$A$230,$A$1),SUMIFS('Direkte input'!G$3:G$230,'Direkte input'!$F$3:$F$230,$D45,'Direkte input'!$C$3:$C$230,$B45,'Direkte input'!$A$3:$A$230,$A$1)),IF(VLOOKUP($A45,[1]!Table1[#All],2,FALSE)="Resultat",SUMIF($F$1:$F44,$D45,H$1:H44)+SUMIF($F47:$F$512,$D45,H47:H$512),0))*'[1]Processer - data'!H45,"")*IF($C45&lt;&gt;"",IF($F45="Halm",Landbrug!C$16*Landbrug!C$17,IF(LEFT($D45,5)="Areal", IF($G45="Ton",Landbrug!C$18,1),1)),1)*IF($F45="Grøntsager",IF($A45="Grøntsager i drivhus",Landbrug!C$51,1-Landbrug!C$51),1)</f>
        <v>0</v>
      </c>
      <c r="I45" s="298">
        <f ca="1">IF($A45&lt;&gt;"",IF(VLOOKUP($A45,[1]!Table1[#All],2,FALSE)="Direkte input",IF($A45&lt;&gt;"Grøntsager i drivhus",SUMIFS('Direkte input'!H$3:H$230,'Direkte input'!$F$3:$F$230,$D45,'Direkte input'!$C$3:$C$230,$B45,'Direkte input'!$D$3:$D$230,$C45,'Direkte input'!$A$3:$A$230,$A$1),SUMIFS('Direkte input'!H$3:H$230,'Direkte input'!$F$3:$F$230,$D45,'Direkte input'!$C$3:$C$230,$B45,'Direkte input'!$A$3:$A$230,$A$1)),IF(VLOOKUP($A45,[1]!Table1[#All],2,FALSE)="Resultat",SUMIF($F$1:$F44,$D45,I$1:I44)+SUMIF($F47:$F$512,$D45,I47:I$512),0))*'[1]Processer - data'!I45,"")*IF($C45&lt;&gt;"",IF($F45="Halm",Landbrug!D$16*Landbrug!D$17,IF(LEFT($D45,5)="Areal", IF($G45="Ton",Landbrug!D$18,1),1)),1)*IF($F45="Grøntsager",IF($A45="Grøntsager i drivhus",Landbrug!D$51,1-Landbrug!D$51),1)</f>
        <v>0</v>
      </c>
      <c r="J45" s="299">
        <f ca="1">IF($A45&lt;&gt;"",IF(VLOOKUP($A45,[1]!Table1[#All],2,FALSE)="Direkte input",IF($A45&lt;&gt;"Grøntsager i drivhus",SUMIFS('Direkte input'!I$3:I$230,'Direkte input'!$F$3:$F$230,$D45,'Direkte input'!$C$3:$C$230,$B45,'Direkte input'!$D$3:$D$230,$C45,'Direkte input'!$A$3:$A$230,$A$1),SUMIFS('Direkte input'!I$3:I$230,'Direkte input'!$F$3:$F$230,$D45,'Direkte input'!$C$3:$C$230,$B45,'Direkte input'!$A$3:$A$230,$A$1)),IF(VLOOKUP($A45,[1]!Table1[#All],2,FALSE)="Resultat",SUMIF($F$1:$F44,$D45,J$1:J44)+SUMIF($F47:$F$512,$D45,J47:J$512),0))*'[1]Processer - data'!J45,"")*IF($C45&lt;&gt;"",IF($F45="Halm",Landbrug!E$16*Landbrug!E$17,IF(LEFT($D45,5)="Areal", IF($G45="Ton",Landbrug!E$18,1),1)),1)*IF($F45="Grøntsager",IF($A45="Grøntsager i drivhus",Landbrug!E$51,1-Landbrug!E$51),1)</f>
        <v>0</v>
      </c>
    </row>
    <row r="46" spans="1:10" s="168" customFormat="1" x14ac:dyDescent="0.25">
      <c r="A46" s="168" t="str">
        <f>IF('[1]Processer - data'!A46&lt;&gt;"",'[1]Processer - data'!A46,"")</f>
        <v>Skovproduktion</v>
      </c>
      <c r="B46" s="168" t="str">
        <f>IF('[1]Processer - data'!B46&lt;&gt;"",'[1]Processer - data'!B46,"")</f>
        <v/>
      </c>
      <c r="C46" s="168" t="str">
        <f>IF('[1]Processer - data'!C46&lt;&gt;"",'[1]Processer - data'!C46,"")</f>
        <v>Skovtype2</v>
      </c>
      <c r="D46" s="168" t="str">
        <f>IF('[1]Processer - data'!D46&lt;&gt;"",'[1]Processer - data'!D46,"")</f>
        <v>Areal-skovtype2-40</v>
      </c>
      <c r="E46" s="168" t="str">
        <f>IF('[1]Processer - data'!E46&lt;&gt;"",'[1]Processer - data'!E46,"")</f>
        <v>Hektar</v>
      </c>
      <c r="F46" s="168" t="str">
        <f>IF('[1]Processer - data'!F46&lt;&gt;"",'[1]Processer - data'!F46,"")</f>
        <v>CO2 - HWP</v>
      </c>
      <c r="G46" s="168" t="str">
        <f>IF('[1]Processer - data'!G46&lt;&gt;"",'[1]Processer - data'!G46,"")</f>
        <v>t CO2-ækvivalenter</v>
      </c>
      <c r="H46" s="297">
        <f ca="1">IF($A46&lt;&gt;"",IF(VLOOKUP($A46,[1]!Table1[#All],2,FALSE)="Direkte input",IF($A46&lt;&gt;"Grøntsager i drivhus",SUMIFS('Direkte input'!G$3:G$230,'Direkte input'!$F$3:$F$230,$D46,'Direkte input'!$C$3:$C$230,$B46,'Direkte input'!$D$3:$D$230,$C46,'Direkte input'!$A$3:$A$230,$A$1),SUMIFS('Direkte input'!G$3:G$230,'Direkte input'!$F$3:$F$230,$D46,'Direkte input'!$C$3:$C$230,$B46,'Direkte input'!$A$3:$A$230,$A$1)),IF(VLOOKUP($A46,[1]!Table1[#All],2,FALSE)="Resultat",SUMIF($F$1:$F45,$D46,H$1:H45)+SUMIF($F48:$F$512,$D46,H48:H$512),0))*'[1]Processer - data'!H46,"")*IF($C46&lt;&gt;"",IF($F46="Halm",Landbrug!C$16*Landbrug!C$17,IF(LEFT($D46,5)="Areal", IF($G46="Ton",Landbrug!C$18,1),1)),1)*IF($F46="Grøntsager",IF($A46="Grøntsager i drivhus",Landbrug!C$51,1-Landbrug!C$51),1)</f>
        <v>0</v>
      </c>
      <c r="I46" s="298">
        <f ca="1">IF($A46&lt;&gt;"",IF(VLOOKUP($A46,[1]!Table1[#All],2,FALSE)="Direkte input",IF($A46&lt;&gt;"Grøntsager i drivhus",SUMIFS('Direkte input'!H$3:H$230,'Direkte input'!$F$3:$F$230,$D46,'Direkte input'!$C$3:$C$230,$B46,'Direkte input'!$D$3:$D$230,$C46,'Direkte input'!$A$3:$A$230,$A$1),SUMIFS('Direkte input'!H$3:H$230,'Direkte input'!$F$3:$F$230,$D46,'Direkte input'!$C$3:$C$230,$B46,'Direkte input'!$A$3:$A$230,$A$1)),IF(VLOOKUP($A46,[1]!Table1[#All],2,FALSE)="Resultat",SUMIF($F$1:$F45,$D46,I$1:I45)+SUMIF($F48:$F$512,$D46,I48:I$512),0))*'[1]Processer - data'!I46,"")*IF($C46&lt;&gt;"",IF($F46="Halm",Landbrug!D$16*Landbrug!D$17,IF(LEFT($D46,5)="Areal", IF($G46="Ton",Landbrug!D$18,1),1)),1)*IF($F46="Grøntsager",IF($A46="Grøntsager i drivhus",Landbrug!D$51,1-Landbrug!D$51),1)</f>
        <v>0</v>
      </c>
      <c r="J46" s="299">
        <f ca="1">IF($A46&lt;&gt;"",IF(VLOOKUP($A46,[1]!Table1[#All],2,FALSE)="Direkte input",IF($A46&lt;&gt;"Grøntsager i drivhus",SUMIFS('Direkte input'!I$3:I$230,'Direkte input'!$F$3:$F$230,$D46,'Direkte input'!$C$3:$C$230,$B46,'Direkte input'!$D$3:$D$230,$C46,'Direkte input'!$A$3:$A$230,$A$1),SUMIFS('Direkte input'!I$3:I$230,'Direkte input'!$F$3:$F$230,$D46,'Direkte input'!$C$3:$C$230,$B46,'Direkte input'!$A$3:$A$230,$A$1)),IF(VLOOKUP($A46,[1]!Table1[#All],2,FALSE)="Resultat",SUMIF($F$1:$F45,$D46,J$1:J45)+SUMIF($F48:$F$512,$D46,J48:J$512),0))*'[1]Processer - data'!J46,"")*IF($C46&lt;&gt;"",IF($F46="Halm",Landbrug!E$16*Landbrug!E$17,IF(LEFT($D46,5)="Areal", IF($G46="Ton",Landbrug!E$18,1),1)),1)*IF($F46="Grøntsager",IF($A46="Grøntsager i drivhus",Landbrug!E$51,1-Landbrug!E$51),1)</f>
        <v>0</v>
      </c>
    </row>
    <row r="47" spans="1:10" x14ac:dyDescent="0.25">
      <c r="A47" s="168" t="str">
        <f>IF('[1]Processer - data'!A47&lt;&gt;"",'[1]Processer - data'!A47,"")</f>
        <v>Skovproduktion</v>
      </c>
      <c r="B47" s="168" t="str">
        <f>IF('[1]Processer - data'!B47&lt;&gt;"",'[1]Processer - data'!B47,"")</f>
        <v/>
      </c>
      <c r="C47" s="168" t="str">
        <f>IF('[1]Processer - data'!C47&lt;&gt;"",'[1]Processer - data'!C47,"")</f>
        <v>Skovtype3</v>
      </c>
      <c r="D47" s="168" t="str">
        <f>IF('[1]Processer - data'!D47&lt;&gt;"",'[1]Processer - data'!D47,"")</f>
        <v>Areal-skovtype3-10</v>
      </c>
      <c r="E47" s="168" t="str">
        <f>IF('[1]Processer - data'!E47&lt;&gt;"",'[1]Processer - data'!E47,"")</f>
        <v>Hektar</v>
      </c>
      <c r="F47" s="168" t="str">
        <f>IF('[1]Processer - data'!F47&lt;&gt;"",'[1]Processer - data'!F47,"")</f>
        <v>Træer</v>
      </c>
      <c r="G47" s="168" t="str">
        <f>IF('[1]Processer - data'!G47&lt;&gt;"",'[1]Processer - data'!G47,"")</f>
        <v>m3</v>
      </c>
      <c r="H47" s="297">
        <f ca="1">IF($A47&lt;&gt;"",IF(VLOOKUP($A47,[1]!Table1[#All],2,FALSE)="Direkte input",IF($A47&lt;&gt;"Grøntsager i drivhus",SUMIFS('Direkte input'!G$3:G$230,'Direkte input'!$F$3:$F$230,$D47,'Direkte input'!$C$3:$C$230,$B47,'Direkte input'!$D$3:$D$230,$C47,'Direkte input'!$A$3:$A$230,$A$1),SUMIFS('Direkte input'!G$3:G$230,'Direkte input'!$F$3:$F$230,$D47,'Direkte input'!$C$3:$C$230,$B47,'Direkte input'!$A$3:$A$230,$A$1)),IF(VLOOKUP($A47,[1]!Table1[#All],2,FALSE)="Resultat",SUMIF($F$1:$F46,$D47,H$1:H46)+SUMIF($F49:$F$512,$D47,H49:H$512),0))*'[1]Processer - data'!H47,"")*IF($C47&lt;&gt;"",IF($F47="Halm",Landbrug!C$16*Landbrug!C$17,IF(LEFT($D47,5)="Areal", IF($G47="Ton",Landbrug!C$18,1),1)),1)*IF($F47="Grøntsager",IF($A47="Grøntsager i drivhus",Landbrug!C$51,1-Landbrug!C$51),1)</f>
        <v>0</v>
      </c>
      <c r="I47" s="298">
        <f ca="1">IF($A47&lt;&gt;"",IF(VLOOKUP($A47,[1]!Table1[#All],2,FALSE)="Direkte input",IF($A47&lt;&gt;"Grøntsager i drivhus",SUMIFS('Direkte input'!H$3:H$230,'Direkte input'!$F$3:$F$230,$D47,'Direkte input'!$C$3:$C$230,$B47,'Direkte input'!$D$3:$D$230,$C47,'Direkte input'!$A$3:$A$230,$A$1),SUMIFS('Direkte input'!H$3:H$230,'Direkte input'!$F$3:$F$230,$D47,'Direkte input'!$C$3:$C$230,$B47,'Direkte input'!$A$3:$A$230,$A$1)),IF(VLOOKUP($A47,[1]!Table1[#All],2,FALSE)="Resultat",SUMIF($F$1:$F46,$D47,I$1:I46)+SUMIF($F49:$F$512,$D47,I49:I$512),0))*'[1]Processer - data'!I47,"")*IF($C47&lt;&gt;"",IF($F47="Halm",Landbrug!D$16*Landbrug!D$17,IF(LEFT($D47,5)="Areal", IF($G47="Ton",Landbrug!D$18,1),1)),1)*IF($F47="Grøntsager",IF($A47="Grøntsager i drivhus",Landbrug!D$51,1-Landbrug!D$51),1)</f>
        <v>0</v>
      </c>
      <c r="J47" s="299">
        <f ca="1">IF($A47&lt;&gt;"",IF(VLOOKUP($A47,[1]!Table1[#All],2,FALSE)="Direkte input",IF($A47&lt;&gt;"Grøntsager i drivhus",SUMIFS('Direkte input'!I$3:I$230,'Direkte input'!$F$3:$F$230,$D47,'Direkte input'!$C$3:$C$230,$B47,'Direkte input'!$D$3:$D$230,$C47,'Direkte input'!$A$3:$A$230,$A$1),SUMIFS('Direkte input'!I$3:I$230,'Direkte input'!$F$3:$F$230,$D47,'Direkte input'!$C$3:$C$230,$B47,'Direkte input'!$A$3:$A$230,$A$1)),IF(VLOOKUP($A47,[1]!Table1[#All],2,FALSE)="Resultat",SUMIF($F$1:$F46,$D47,J$1:J46)+SUMIF($F49:$F$512,$D47,J49:J$512),0))*'[1]Processer - data'!J47,"")*IF($C47&lt;&gt;"",IF($F47="Halm",Landbrug!E$16*Landbrug!E$17,IF(LEFT($D47,5)="Areal", IF($G47="Ton",Landbrug!E$18,1),1)),1)*IF($F47="Grøntsager",IF($A47="Grøntsager i drivhus",Landbrug!E$51,1-Landbrug!E$51),1)</f>
        <v>0</v>
      </c>
    </row>
    <row r="48" spans="1:10" x14ac:dyDescent="0.25">
      <c r="A48" s="168" t="str">
        <f>IF('[1]Processer - data'!A48&lt;&gt;"",'[1]Processer - data'!A48,"")</f>
        <v>Skovproduktion</v>
      </c>
      <c r="B48" s="168" t="str">
        <f>IF('[1]Processer - data'!B48&lt;&gt;"",'[1]Processer - data'!B48,"")</f>
        <v/>
      </c>
      <c r="C48" s="168" t="str">
        <f>IF('[1]Processer - data'!C48&lt;&gt;"",'[1]Processer - data'!C48,"")</f>
        <v>Skovtype3</v>
      </c>
      <c r="D48" s="168" t="str">
        <f>IF('[1]Processer - data'!D48&lt;&gt;"",'[1]Processer - data'!D48,"")</f>
        <v>Areal-skovtype3-10</v>
      </c>
      <c r="E48" s="168" t="str">
        <f>IF('[1]Processer - data'!E48&lt;&gt;"",'[1]Processer - data'!E48,"")</f>
        <v>Hektar</v>
      </c>
      <c r="F48" s="168" t="str">
        <f>IF('[1]Processer - data'!F48&lt;&gt;"",'[1]Processer - data'!F48,"")</f>
        <v>Træ til energi</v>
      </c>
      <c r="G48" s="168" t="str">
        <f>IF('[1]Processer - data'!G48&lt;&gt;"",'[1]Processer - data'!G48,"")</f>
        <v>m3</v>
      </c>
      <c r="H48" s="297">
        <f ca="1">IF($A48&lt;&gt;"",IF(VLOOKUP($A48,[1]!Table1[#All],2,FALSE)="Direkte input",IF($A48&lt;&gt;"Grøntsager i drivhus",SUMIFS('Direkte input'!G$3:G$230,'Direkte input'!$F$3:$F$230,$D48,'Direkte input'!$C$3:$C$230,$B48,'Direkte input'!$D$3:$D$230,$C48,'Direkte input'!$A$3:$A$230,$A$1),SUMIFS('Direkte input'!G$3:G$230,'Direkte input'!$F$3:$F$230,$D48,'Direkte input'!$C$3:$C$230,$B48,'Direkte input'!$A$3:$A$230,$A$1)),IF(VLOOKUP($A48,[1]!Table1[#All],2,FALSE)="Resultat",SUMIF($F$1:$F47,$D48,H$1:H47)+SUMIF($F50:$F$512,$D48,H50:H$512),0))*'[1]Processer - data'!H48,"")*IF($C48&lt;&gt;"",IF($F48="Halm",Landbrug!C$16*Landbrug!C$17,IF(LEFT($D48,5)="Areal", IF($G48="Ton",Landbrug!C$18,1),1)),1)*IF($F48="Grøntsager",IF($A48="Grøntsager i drivhus",Landbrug!C$51,1-Landbrug!C$51),1)</f>
        <v>0</v>
      </c>
      <c r="I48" s="298">
        <f ca="1">IF($A48&lt;&gt;"",IF(VLOOKUP($A48,[1]!Table1[#All],2,FALSE)="Direkte input",IF($A48&lt;&gt;"Grøntsager i drivhus",SUMIFS('Direkte input'!H$3:H$230,'Direkte input'!$F$3:$F$230,$D48,'Direkte input'!$C$3:$C$230,$B48,'Direkte input'!$D$3:$D$230,$C48,'Direkte input'!$A$3:$A$230,$A$1),SUMIFS('Direkte input'!H$3:H$230,'Direkte input'!$F$3:$F$230,$D48,'Direkte input'!$C$3:$C$230,$B48,'Direkte input'!$A$3:$A$230,$A$1)),IF(VLOOKUP($A48,[1]!Table1[#All],2,FALSE)="Resultat",SUMIF($F$1:$F47,$D48,I$1:I47)+SUMIF($F50:$F$512,$D48,I50:I$512),0))*'[1]Processer - data'!I48,"")*IF($C48&lt;&gt;"",IF($F48="Halm",Landbrug!D$16*Landbrug!D$17,IF(LEFT($D48,5)="Areal", IF($G48="Ton",Landbrug!D$18,1),1)),1)*IF($F48="Grøntsager",IF($A48="Grøntsager i drivhus",Landbrug!D$51,1-Landbrug!D$51),1)</f>
        <v>0</v>
      </c>
      <c r="J48" s="299">
        <f ca="1">IF($A48&lt;&gt;"",IF(VLOOKUP($A48,[1]!Table1[#All],2,FALSE)="Direkte input",IF($A48&lt;&gt;"Grøntsager i drivhus",SUMIFS('Direkte input'!I$3:I$230,'Direkte input'!$F$3:$F$230,$D48,'Direkte input'!$C$3:$C$230,$B48,'Direkte input'!$D$3:$D$230,$C48,'Direkte input'!$A$3:$A$230,$A$1),SUMIFS('Direkte input'!I$3:I$230,'Direkte input'!$F$3:$F$230,$D48,'Direkte input'!$C$3:$C$230,$B48,'Direkte input'!$A$3:$A$230,$A$1)),IF(VLOOKUP($A48,[1]!Table1[#All],2,FALSE)="Resultat",SUMIF($F$1:$F47,$D48,J$1:J47)+SUMIF($F50:$F$512,$D48,J50:J$512),0))*'[1]Processer - data'!J48,"")*IF($C48&lt;&gt;"",IF($F48="Halm",Landbrug!E$16*Landbrug!E$17,IF(LEFT($D48,5)="Areal", IF($G48="Ton",Landbrug!E$18,1),1)),1)*IF($F48="Grøntsager",IF($A48="Grøntsager i drivhus",Landbrug!E$51,1-Landbrug!E$51),1)</f>
        <v>0</v>
      </c>
    </row>
    <row r="49" spans="1:10" x14ac:dyDescent="0.25">
      <c r="A49" s="168" t="str">
        <f>IF('[1]Processer - data'!A49&lt;&gt;"",'[1]Processer - data'!A49,"")</f>
        <v>Skovproduktion</v>
      </c>
      <c r="B49" s="168" t="str">
        <f>IF('[1]Processer - data'!B49&lt;&gt;"",'[1]Processer - data'!B49,"")</f>
        <v/>
      </c>
      <c r="C49" s="168" t="str">
        <f>IF('[1]Processer - data'!C49&lt;&gt;"",'[1]Processer - data'!C49,"")</f>
        <v>Skovtype3</v>
      </c>
      <c r="D49" s="168" t="str">
        <f>IF('[1]Processer - data'!D49&lt;&gt;"",'[1]Processer - data'!D49,"")</f>
        <v>Areal-skovtype3-10</v>
      </c>
      <c r="E49" s="168" t="str">
        <f>IF('[1]Processer - data'!E49&lt;&gt;"",'[1]Processer - data'!E49,"")</f>
        <v>Hektar</v>
      </c>
      <c r="F49" s="168" t="str">
        <f>IF('[1]Processer - data'!F49&lt;&gt;"",'[1]Processer - data'!F49,"")</f>
        <v>CO2 - atmosfære</v>
      </c>
      <c r="G49" s="168" t="str">
        <f>IF('[1]Processer - data'!G49&lt;&gt;"",'[1]Processer - data'!G49,"")</f>
        <v>t CO2-ækvivalenter</v>
      </c>
      <c r="H49" s="297">
        <f ca="1">IF($A49&lt;&gt;"",IF(VLOOKUP($A49,[1]!Table1[#All],2,FALSE)="Direkte input",IF($A49&lt;&gt;"Grøntsager i drivhus",SUMIFS('Direkte input'!G$3:G$230,'Direkte input'!$F$3:$F$230,$D49,'Direkte input'!$C$3:$C$230,$B49,'Direkte input'!$D$3:$D$230,$C49,'Direkte input'!$A$3:$A$230,$A$1),SUMIFS('Direkte input'!G$3:G$230,'Direkte input'!$F$3:$F$230,$D49,'Direkte input'!$C$3:$C$230,$B49,'Direkte input'!$A$3:$A$230,$A$1)),IF(VLOOKUP($A49,[1]!Table1[#All],2,FALSE)="Resultat",SUMIF($F$1:$F48,$D49,H$1:H48)+SUMIF($F51:$F$512,$D49,H51:H$512),0))*'[1]Processer - data'!H49,"")*IF($C49&lt;&gt;"",IF($F49="Halm",Landbrug!C$16*Landbrug!C$17,IF(LEFT($D49,5)="Areal", IF($G49="Ton",Landbrug!C$18,1),1)),1)*IF($F49="Grøntsager",IF($A49="Grøntsager i drivhus",Landbrug!C$51,1-Landbrug!C$51),1)</f>
        <v>0</v>
      </c>
      <c r="I49" s="298">
        <f ca="1">IF($A49&lt;&gt;"",IF(VLOOKUP($A49,[1]!Table1[#All],2,FALSE)="Direkte input",IF($A49&lt;&gt;"Grøntsager i drivhus",SUMIFS('Direkte input'!H$3:H$230,'Direkte input'!$F$3:$F$230,$D49,'Direkte input'!$C$3:$C$230,$B49,'Direkte input'!$D$3:$D$230,$C49,'Direkte input'!$A$3:$A$230,$A$1),SUMIFS('Direkte input'!H$3:H$230,'Direkte input'!$F$3:$F$230,$D49,'Direkte input'!$C$3:$C$230,$B49,'Direkte input'!$A$3:$A$230,$A$1)),IF(VLOOKUP($A49,[1]!Table1[#All],2,FALSE)="Resultat",SUMIF($F$1:$F48,$D49,I$1:I48)+SUMIF($F51:$F$512,$D49,I51:I$512),0))*'[1]Processer - data'!I49,"")*IF($C49&lt;&gt;"",IF($F49="Halm",Landbrug!D$16*Landbrug!D$17,IF(LEFT($D49,5)="Areal", IF($G49="Ton",Landbrug!D$18,1),1)),1)*IF($F49="Grøntsager",IF($A49="Grøntsager i drivhus",Landbrug!D$51,1-Landbrug!D$51),1)</f>
        <v>0</v>
      </c>
      <c r="J49" s="299">
        <f ca="1">IF($A49&lt;&gt;"",IF(VLOOKUP($A49,[1]!Table1[#All],2,FALSE)="Direkte input",IF($A49&lt;&gt;"Grøntsager i drivhus",SUMIFS('Direkte input'!I$3:I$230,'Direkte input'!$F$3:$F$230,$D49,'Direkte input'!$C$3:$C$230,$B49,'Direkte input'!$D$3:$D$230,$C49,'Direkte input'!$A$3:$A$230,$A$1),SUMIFS('Direkte input'!I$3:I$230,'Direkte input'!$F$3:$F$230,$D49,'Direkte input'!$C$3:$C$230,$B49,'Direkte input'!$A$3:$A$230,$A$1)),IF(VLOOKUP($A49,[1]!Table1[#All],2,FALSE)="Resultat",SUMIF($F$1:$F48,$D49,J$1:J48)+SUMIF($F51:$F$512,$D49,J51:J$512),0))*'[1]Processer - data'!J49,"")*IF($C49&lt;&gt;"",IF($F49="Halm",Landbrug!E$16*Landbrug!E$17,IF(LEFT($D49,5)="Areal", IF($G49="Ton",Landbrug!E$18,1),1)),1)*IF($F49="Grøntsager",IF($A49="Grøntsager i drivhus",Landbrug!E$51,1-Landbrug!E$51),1)</f>
        <v>0</v>
      </c>
    </row>
    <row r="50" spans="1:10" s="168" customFormat="1" x14ac:dyDescent="0.25">
      <c r="A50" s="168" t="str">
        <f>IF('[1]Processer - data'!A50&lt;&gt;"",'[1]Processer - data'!A50,"")</f>
        <v>Skovproduktion</v>
      </c>
      <c r="B50" s="168" t="str">
        <f>IF('[1]Processer - data'!B50&lt;&gt;"",'[1]Processer - data'!B50,"")</f>
        <v/>
      </c>
      <c r="C50" s="168" t="str">
        <f>IF('[1]Processer - data'!C50&lt;&gt;"",'[1]Processer - data'!C50,"")</f>
        <v>Skovtype3</v>
      </c>
      <c r="D50" s="168" t="str">
        <f>IF('[1]Processer - data'!D50&lt;&gt;"",'[1]Processer - data'!D50,"")</f>
        <v>Areal-skovtype3-10</v>
      </c>
      <c r="E50" s="168" t="str">
        <f>IF('[1]Processer - data'!E50&lt;&gt;"",'[1]Processer - data'!E50,"")</f>
        <v>Hektar</v>
      </c>
      <c r="F50" s="168" t="str">
        <f>IF('[1]Processer - data'!F50&lt;&gt;"",'[1]Processer - data'!F50,"")</f>
        <v>CO2 - HWP</v>
      </c>
      <c r="G50" s="168" t="str">
        <f>IF('[1]Processer - data'!G50&lt;&gt;"",'[1]Processer - data'!G50,"")</f>
        <v>t CO2-ækvivalenter</v>
      </c>
      <c r="H50" s="297">
        <f ca="1">IF($A50&lt;&gt;"",IF(VLOOKUP($A50,[1]!Table1[#All],2,FALSE)="Direkte input",IF($A50&lt;&gt;"Grøntsager i drivhus",SUMIFS('Direkte input'!G$3:G$230,'Direkte input'!$F$3:$F$230,$D50,'Direkte input'!$C$3:$C$230,$B50,'Direkte input'!$D$3:$D$230,$C50,'Direkte input'!$A$3:$A$230,$A$1),SUMIFS('Direkte input'!G$3:G$230,'Direkte input'!$F$3:$F$230,$D50,'Direkte input'!$C$3:$C$230,$B50,'Direkte input'!$A$3:$A$230,$A$1)),IF(VLOOKUP($A50,[1]!Table1[#All],2,FALSE)="Resultat",SUMIF($F$1:$F49,$D50,H$1:H49)+SUMIF($F52:$F$512,$D50,H52:H$512),0))*'[1]Processer - data'!H50,"")*IF($C50&lt;&gt;"",IF($F50="Halm",Landbrug!C$16*Landbrug!C$17,IF(LEFT($D50,5)="Areal", IF($G50="Ton",Landbrug!C$18,1),1)),1)*IF($F50="Grøntsager",IF($A50="Grøntsager i drivhus",Landbrug!C$51,1-Landbrug!C$51),1)</f>
        <v>0</v>
      </c>
      <c r="I50" s="298">
        <f ca="1">IF($A50&lt;&gt;"",IF(VLOOKUP($A50,[1]!Table1[#All],2,FALSE)="Direkte input",IF($A50&lt;&gt;"Grøntsager i drivhus",SUMIFS('Direkte input'!H$3:H$230,'Direkte input'!$F$3:$F$230,$D50,'Direkte input'!$C$3:$C$230,$B50,'Direkte input'!$D$3:$D$230,$C50,'Direkte input'!$A$3:$A$230,$A$1),SUMIFS('Direkte input'!H$3:H$230,'Direkte input'!$F$3:$F$230,$D50,'Direkte input'!$C$3:$C$230,$B50,'Direkte input'!$A$3:$A$230,$A$1)),IF(VLOOKUP($A50,[1]!Table1[#All],2,FALSE)="Resultat",SUMIF($F$1:$F49,$D50,I$1:I49)+SUMIF($F52:$F$512,$D50,I52:I$512),0))*'[1]Processer - data'!I50,"")*IF($C50&lt;&gt;"",IF($F50="Halm",Landbrug!D$16*Landbrug!D$17,IF(LEFT($D50,5)="Areal", IF($G50="Ton",Landbrug!D$18,1),1)),1)*IF($F50="Grøntsager",IF($A50="Grøntsager i drivhus",Landbrug!D$51,1-Landbrug!D$51),1)</f>
        <v>0</v>
      </c>
      <c r="J50" s="299">
        <f ca="1">IF($A50&lt;&gt;"",IF(VLOOKUP($A50,[1]!Table1[#All],2,FALSE)="Direkte input",IF($A50&lt;&gt;"Grøntsager i drivhus",SUMIFS('Direkte input'!I$3:I$230,'Direkte input'!$F$3:$F$230,$D50,'Direkte input'!$C$3:$C$230,$B50,'Direkte input'!$D$3:$D$230,$C50,'Direkte input'!$A$3:$A$230,$A$1),SUMIFS('Direkte input'!I$3:I$230,'Direkte input'!$F$3:$F$230,$D50,'Direkte input'!$C$3:$C$230,$B50,'Direkte input'!$A$3:$A$230,$A$1)),IF(VLOOKUP($A50,[1]!Table1[#All],2,FALSE)="Resultat",SUMIF($F$1:$F49,$D50,J$1:J49)+SUMIF($F52:$F$512,$D50,J52:J$512),0))*'[1]Processer - data'!J50,"")*IF($C50&lt;&gt;"",IF($F50="Halm",Landbrug!E$16*Landbrug!E$17,IF(LEFT($D50,5)="Areal", IF($G50="Ton",Landbrug!E$18,1),1)),1)*IF($F50="Grøntsager",IF($A50="Grøntsager i drivhus",Landbrug!E$51,1-Landbrug!E$51),1)</f>
        <v>0</v>
      </c>
    </row>
    <row r="51" spans="1:10" x14ac:dyDescent="0.25">
      <c r="A51" s="168" t="str">
        <f>IF('[1]Processer - data'!A51&lt;&gt;"",'[1]Processer - data'!A51,"")</f>
        <v>Skovproduktion</v>
      </c>
      <c r="B51" s="168" t="str">
        <f>IF('[1]Processer - data'!B51&lt;&gt;"",'[1]Processer - data'!B51,"")</f>
        <v/>
      </c>
      <c r="C51" s="168" t="str">
        <f>IF('[1]Processer - data'!C51&lt;&gt;"",'[1]Processer - data'!C51,"")</f>
        <v>Skovtype3</v>
      </c>
      <c r="D51" s="168" t="str">
        <f>IF('[1]Processer - data'!D51&lt;&gt;"",'[1]Processer - data'!D51,"")</f>
        <v>Areal-skovtype3-20</v>
      </c>
      <c r="E51" s="168" t="str">
        <f>IF('[1]Processer - data'!E51&lt;&gt;"",'[1]Processer - data'!E51,"")</f>
        <v>Hektar</v>
      </c>
      <c r="F51" s="168" t="str">
        <f>IF('[1]Processer - data'!F51&lt;&gt;"",'[1]Processer - data'!F51,"")</f>
        <v>Træer</v>
      </c>
      <c r="G51" s="168" t="str">
        <f>IF('[1]Processer - data'!G51&lt;&gt;"",'[1]Processer - data'!G51,"")</f>
        <v>m3</v>
      </c>
      <c r="H51" s="297">
        <f ca="1">IF($A51&lt;&gt;"",IF(VLOOKUP($A51,[1]!Table1[#All],2,FALSE)="Direkte input",IF($A51&lt;&gt;"Grøntsager i drivhus",SUMIFS('Direkte input'!G$3:G$230,'Direkte input'!$F$3:$F$230,$D51,'Direkte input'!$C$3:$C$230,$B51,'Direkte input'!$D$3:$D$230,$C51,'Direkte input'!$A$3:$A$230,$A$1),SUMIFS('Direkte input'!G$3:G$230,'Direkte input'!$F$3:$F$230,$D51,'Direkte input'!$C$3:$C$230,$B51,'Direkte input'!$A$3:$A$230,$A$1)),IF(VLOOKUP($A51,[1]!Table1[#All],2,FALSE)="Resultat",SUMIF($F$1:$F50,$D51,H$1:H50)+SUMIF($F53:$F$512,$D51,H53:H$512),0))*'[1]Processer - data'!H51,"")*IF($C51&lt;&gt;"",IF($F51="Halm",Landbrug!C$16*Landbrug!C$17,IF(LEFT($D51,5)="Areal", IF($G51="Ton",Landbrug!C$18,1),1)),1)*IF($F51="Grøntsager",IF($A51="Grøntsager i drivhus",Landbrug!C$51,1-Landbrug!C$51),1)</f>
        <v>0</v>
      </c>
      <c r="I51" s="298">
        <f ca="1">IF($A51&lt;&gt;"",IF(VLOOKUP($A51,[1]!Table1[#All],2,FALSE)="Direkte input",IF($A51&lt;&gt;"Grøntsager i drivhus",SUMIFS('Direkte input'!H$3:H$230,'Direkte input'!$F$3:$F$230,$D51,'Direkte input'!$C$3:$C$230,$B51,'Direkte input'!$D$3:$D$230,$C51,'Direkte input'!$A$3:$A$230,$A$1),SUMIFS('Direkte input'!H$3:H$230,'Direkte input'!$F$3:$F$230,$D51,'Direkte input'!$C$3:$C$230,$B51,'Direkte input'!$A$3:$A$230,$A$1)),IF(VLOOKUP($A51,[1]!Table1[#All],2,FALSE)="Resultat",SUMIF($F$1:$F50,$D51,I$1:I50)+SUMIF($F53:$F$512,$D51,I53:I$512),0))*'[1]Processer - data'!I51,"")*IF($C51&lt;&gt;"",IF($F51="Halm",Landbrug!D$16*Landbrug!D$17,IF(LEFT($D51,5)="Areal", IF($G51="Ton",Landbrug!D$18,1),1)),1)*IF($F51="Grøntsager",IF($A51="Grøntsager i drivhus",Landbrug!D$51,1-Landbrug!D$51),1)</f>
        <v>0</v>
      </c>
      <c r="J51" s="299">
        <f ca="1">IF($A51&lt;&gt;"",IF(VLOOKUP($A51,[1]!Table1[#All],2,FALSE)="Direkte input",IF($A51&lt;&gt;"Grøntsager i drivhus",SUMIFS('Direkte input'!I$3:I$230,'Direkte input'!$F$3:$F$230,$D51,'Direkte input'!$C$3:$C$230,$B51,'Direkte input'!$D$3:$D$230,$C51,'Direkte input'!$A$3:$A$230,$A$1),SUMIFS('Direkte input'!I$3:I$230,'Direkte input'!$F$3:$F$230,$D51,'Direkte input'!$C$3:$C$230,$B51,'Direkte input'!$A$3:$A$230,$A$1)),IF(VLOOKUP($A51,[1]!Table1[#All],2,FALSE)="Resultat",SUMIF($F$1:$F50,$D51,J$1:J50)+SUMIF($F53:$F$512,$D51,J53:J$512),0))*'[1]Processer - data'!J51,"")*IF($C51&lt;&gt;"",IF($F51="Halm",Landbrug!E$16*Landbrug!E$17,IF(LEFT($D51,5)="Areal", IF($G51="Ton",Landbrug!E$18,1),1)),1)*IF($F51="Grøntsager",IF($A51="Grøntsager i drivhus",Landbrug!E$51,1-Landbrug!E$51),1)</f>
        <v>0</v>
      </c>
    </row>
    <row r="52" spans="1:10" x14ac:dyDescent="0.25">
      <c r="A52" s="168" t="str">
        <f>IF('[1]Processer - data'!A52&lt;&gt;"",'[1]Processer - data'!A52,"")</f>
        <v>Skovproduktion</v>
      </c>
      <c r="B52" s="168" t="str">
        <f>IF('[1]Processer - data'!B52&lt;&gt;"",'[1]Processer - data'!B52,"")</f>
        <v/>
      </c>
      <c r="C52" s="168" t="str">
        <f>IF('[1]Processer - data'!C52&lt;&gt;"",'[1]Processer - data'!C52,"")</f>
        <v>Skovtype3</v>
      </c>
      <c r="D52" s="168" t="str">
        <f>IF('[1]Processer - data'!D52&lt;&gt;"",'[1]Processer - data'!D52,"")</f>
        <v>Areal-skovtype3-20</v>
      </c>
      <c r="E52" s="168" t="str">
        <f>IF('[1]Processer - data'!E52&lt;&gt;"",'[1]Processer - data'!E52,"")</f>
        <v>Hektar</v>
      </c>
      <c r="F52" s="168" t="str">
        <f>IF('[1]Processer - data'!F52&lt;&gt;"",'[1]Processer - data'!F52,"")</f>
        <v>Træ til energi</v>
      </c>
      <c r="G52" s="168" t="str">
        <f>IF('[1]Processer - data'!G52&lt;&gt;"",'[1]Processer - data'!G52,"")</f>
        <v>m3</v>
      </c>
      <c r="H52" s="297">
        <f ca="1">IF($A52&lt;&gt;"",IF(VLOOKUP($A52,[1]!Table1[#All],2,FALSE)="Direkte input",IF($A52&lt;&gt;"Grøntsager i drivhus",SUMIFS('Direkte input'!G$3:G$230,'Direkte input'!$F$3:$F$230,$D52,'Direkte input'!$C$3:$C$230,$B52,'Direkte input'!$D$3:$D$230,$C52,'Direkte input'!$A$3:$A$230,$A$1),SUMIFS('Direkte input'!G$3:G$230,'Direkte input'!$F$3:$F$230,$D52,'Direkte input'!$C$3:$C$230,$B52,'Direkte input'!$A$3:$A$230,$A$1)),IF(VLOOKUP($A52,[1]!Table1[#All],2,FALSE)="Resultat",SUMIF($F$1:$F51,$D52,H$1:H51)+SUMIF($F54:$F$512,$D52,H54:H$512),0))*'[1]Processer - data'!H52,"")*IF($C52&lt;&gt;"",IF($F52="Halm",Landbrug!C$16*Landbrug!C$17,IF(LEFT($D52,5)="Areal", IF($G52="Ton",Landbrug!C$18,1),1)),1)*IF($F52="Grøntsager",IF($A52="Grøntsager i drivhus",Landbrug!C$51,1-Landbrug!C$51),1)</f>
        <v>0</v>
      </c>
      <c r="I52" s="298">
        <f ca="1">IF($A52&lt;&gt;"",IF(VLOOKUP($A52,[1]!Table1[#All],2,FALSE)="Direkte input",IF($A52&lt;&gt;"Grøntsager i drivhus",SUMIFS('Direkte input'!H$3:H$230,'Direkte input'!$F$3:$F$230,$D52,'Direkte input'!$C$3:$C$230,$B52,'Direkte input'!$D$3:$D$230,$C52,'Direkte input'!$A$3:$A$230,$A$1),SUMIFS('Direkte input'!H$3:H$230,'Direkte input'!$F$3:$F$230,$D52,'Direkte input'!$C$3:$C$230,$B52,'Direkte input'!$A$3:$A$230,$A$1)),IF(VLOOKUP($A52,[1]!Table1[#All],2,FALSE)="Resultat",SUMIF($F$1:$F51,$D52,I$1:I51)+SUMIF($F54:$F$512,$D52,I54:I$512),0))*'[1]Processer - data'!I52,"")*IF($C52&lt;&gt;"",IF($F52="Halm",Landbrug!D$16*Landbrug!D$17,IF(LEFT($D52,5)="Areal", IF($G52="Ton",Landbrug!D$18,1),1)),1)*IF($F52="Grøntsager",IF($A52="Grøntsager i drivhus",Landbrug!D$51,1-Landbrug!D$51),1)</f>
        <v>0</v>
      </c>
      <c r="J52" s="299">
        <f ca="1">IF($A52&lt;&gt;"",IF(VLOOKUP($A52,[1]!Table1[#All],2,FALSE)="Direkte input",IF($A52&lt;&gt;"Grøntsager i drivhus",SUMIFS('Direkte input'!I$3:I$230,'Direkte input'!$F$3:$F$230,$D52,'Direkte input'!$C$3:$C$230,$B52,'Direkte input'!$D$3:$D$230,$C52,'Direkte input'!$A$3:$A$230,$A$1),SUMIFS('Direkte input'!I$3:I$230,'Direkte input'!$F$3:$F$230,$D52,'Direkte input'!$C$3:$C$230,$B52,'Direkte input'!$A$3:$A$230,$A$1)),IF(VLOOKUP($A52,[1]!Table1[#All],2,FALSE)="Resultat",SUMIF($F$1:$F51,$D52,J$1:J51)+SUMIF($F54:$F$512,$D52,J54:J$512),0))*'[1]Processer - data'!J52,"")*IF($C52&lt;&gt;"",IF($F52="Halm",Landbrug!E$16*Landbrug!E$17,IF(LEFT($D52,5)="Areal", IF($G52="Ton",Landbrug!E$18,1),1)),1)*IF($F52="Grøntsager",IF($A52="Grøntsager i drivhus",Landbrug!E$51,1-Landbrug!E$51),1)</f>
        <v>0</v>
      </c>
    </row>
    <row r="53" spans="1:10" x14ac:dyDescent="0.25">
      <c r="A53" s="168" t="str">
        <f>IF('[1]Processer - data'!A53&lt;&gt;"",'[1]Processer - data'!A53,"")</f>
        <v>Skovproduktion</v>
      </c>
      <c r="B53" s="168" t="str">
        <f>IF('[1]Processer - data'!B53&lt;&gt;"",'[1]Processer - data'!B53,"")</f>
        <v/>
      </c>
      <c r="C53" s="168" t="str">
        <f>IF('[1]Processer - data'!C53&lt;&gt;"",'[1]Processer - data'!C53,"")</f>
        <v>Skovtype3</v>
      </c>
      <c r="D53" s="168" t="str">
        <f>IF('[1]Processer - data'!D53&lt;&gt;"",'[1]Processer - data'!D53,"")</f>
        <v>Areal-skovtype3-20</v>
      </c>
      <c r="E53" s="168" t="str">
        <f>IF('[1]Processer - data'!E53&lt;&gt;"",'[1]Processer - data'!E53,"")</f>
        <v>Hektar</v>
      </c>
      <c r="F53" s="168" t="str">
        <f>IF('[1]Processer - data'!F53&lt;&gt;"",'[1]Processer - data'!F53,"")</f>
        <v>CO2 - atmosfære</v>
      </c>
      <c r="G53" s="168" t="str">
        <f>IF('[1]Processer - data'!G53&lt;&gt;"",'[1]Processer - data'!G53,"")</f>
        <v>t CO2-ækvivalenter</v>
      </c>
      <c r="H53" s="297">
        <f ca="1">IF($A53&lt;&gt;"",IF(VLOOKUP($A53,[1]!Table1[#All],2,FALSE)="Direkte input",IF($A53&lt;&gt;"Grøntsager i drivhus",SUMIFS('Direkte input'!G$3:G$230,'Direkte input'!$F$3:$F$230,$D53,'Direkte input'!$C$3:$C$230,$B53,'Direkte input'!$D$3:$D$230,$C53,'Direkte input'!$A$3:$A$230,$A$1),SUMIFS('Direkte input'!G$3:G$230,'Direkte input'!$F$3:$F$230,$D53,'Direkte input'!$C$3:$C$230,$B53,'Direkte input'!$A$3:$A$230,$A$1)),IF(VLOOKUP($A53,[1]!Table1[#All],2,FALSE)="Resultat",SUMIF($F$1:$F52,$D53,H$1:H52)+SUMIF($F55:$F$512,$D53,H55:H$512),0))*'[1]Processer - data'!H53,"")*IF($C53&lt;&gt;"",IF($F53="Halm",Landbrug!C$16*Landbrug!C$17,IF(LEFT($D53,5)="Areal", IF($G53="Ton",Landbrug!C$18,1),1)),1)*IF($F53="Grøntsager",IF($A53="Grøntsager i drivhus",Landbrug!C$51,1-Landbrug!C$51),1)</f>
        <v>0</v>
      </c>
      <c r="I53" s="298">
        <f ca="1">IF($A53&lt;&gt;"",IF(VLOOKUP($A53,[1]!Table1[#All],2,FALSE)="Direkte input",IF($A53&lt;&gt;"Grøntsager i drivhus",SUMIFS('Direkte input'!H$3:H$230,'Direkte input'!$F$3:$F$230,$D53,'Direkte input'!$C$3:$C$230,$B53,'Direkte input'!$D$3:$D$230,$C53,'Direkte input'!$A$3:$A$230,$A$1),SUMIFS('Direkte input'!H$3:H$230,'Direkte input'!$F$3:$F$230,$D53,'Direkte input'!$C$3:$C$230,$B53,'Direkte input'!$A$3:$A$230,$A$1)),IF(VLOOKUP($A53,[1]!Table1[#All],2,FALSE)="Resultat",SUMIF($F$1:$F52,$D53,I$1:I52)+SUMIF($F55:$F$512,$D53,I55:I$512),0))*'[1]Processer - data'!I53,"")*IF($C53&lt;&gt;"",IF($F53="Halm",Landbrug!D$16*Landbrug!D$17,IF(LEFT($D53,5)="Areal", IF($G53="Ton",Landbrug!D$18,1),1)),1)*IF($F53="Grøntsager",IF($A53="Grøntsager i drivhus",Landbrug!D$51,1-Landbrug!D$51),1)</f>
        <v>0</v>
      </c>
      <c r="J53" s="299">
        <f ca="1">IF($A53&lt;&gt;"",IF(VLOOKUP($A53,[1]!Table1[#All],2,FALSE)="Direkte input",IF($A53&lt;&gt;"Grøntsager i drivhus",SUMIFS('Direkte input'!I$3:I$230,'Direkte input'!$F$3:$F$230,$D53,'Direkte input'!$C$3:$C$230,$B53,'Direkte input'!$D$3:$D$230,$C53,'Direkte input'!$A$3:$A$230,$A$1),SUMIFS('Direkte input'!I$3:I$230,'Direkte input'!$F$3:$F$230,$D53,'Direkte input'!$C$3:$C$230,$B53,'Direkte input'!$A$3:$A$230,$A$1)),IF(VLOOKUP($A53,[1]!Table1[#All],2,FALSE)="Resultat",SUMIF($F$1:$F52,$D53,J$1:J52)+SUMIF($F55:$F$512,$D53,J55:J$512),0))*'[1]Processer - data'!J53,"")*IF($C53&lt;&gt;"",IF($F53="Halm",Landbrug!E$16*Landbrug!E$17,IF(LEFT($D53,5)="Areal", IF($G53="Ton",Landbrug!E$18,1),1)),1)*IF($F53="Grøntsager",IF($A53="Grøntsager i drivhus",Landbrug!E$51,1-Landbrug!E$51),1)</f>
        <v>0</v>
      </c>
    </row>
    <row r="54" spans="1:10" s="168" customFormat="1" x14ac:dyDescent="0.25">
      <c r="A54" s="168" t="str">
        <f>IF('[1]Processer - data'!A54&lt;&gt;"",'[1]Processer - data'!A54,"")</f>
        <v>Skovproduktion</v>
      </c>
      <c r="B54" s="168" t="str">
        <f>IF('[1]Processer - data'!B54&lt;&gt;"",'[1]Processer - data'!B54,"")</f>
        <v/>
      </c>
      <c r="C54" s="168" t="str">
        <f>IF('[1]Processer - data'!C54&lt;&gt;"",'[1]Processer - data'!C54,"")</f>
        <v>Skovtype3</v>
      </c>
      <c r="D54" s="168" t="str">
        <f>IF('[1]Processer - data'!D54&lt;&gt;"",'[1]Processer - data'!D54,"")</f>
        <v>Areal-skovtype3-20</v>
      </c>
      <c r="E54" s="168" t="str">
        <f>IF('[1]Processer - data'!E54&lt;&gt;"",'[1]Processer - data'!E54,"")</f>
        <v>Hektar</v>
      </c>
      <c r="F54" s="168" t="str">
        <f>IF('[1]Processer - data'!F54&lt;&gt;"",'[1]Processer - data'!F54,"")</f>
        <v>CO2 - HWP</v>
      </c>
      <c r="G54" s="168" t="str">
        <f>IF('[1]Processer - data'!G54&lt;&gt;"",'[1]Processer - data'!G54,"")</f>
        <v>t CO2-ækvivalenter</v>
      </c>
      <c r="H54" s="297">
        <f ca="1">IF($A54&lt;&gt;"",IF(VLOOKUP($A54,[1]!Table1[#All],2,FALSE)="Direkte input",IF($A54&lt;&gt;"Grøntsager i drivhus",SUMIFS('Direkte input'!G$3:G$230,'Direkte input'!$F$3:$F$230,$D54,'Direkte input'!$C$3:$C$230,$B54,'Direkte input'!$D$3:$D$230,$C54,'Direkte input'!$A$3:$A$230,$A$1),SUMIFS('Direkte input'!G$3:G$230,'Direkte input'!$F$3:$F$230,$D54,'Direkte input'!$C$3:$C$230,$B54,'Direkte input'!$A$3:$A$230,$A$1)),IF(VLOOKUP($A54,[1]!Table1[#All],2,FALSE)="Resultat",SUMIF($F$1:$F53,$D54,H$1:H53)+SUMIF($F56:$F$512,$D54,H56:H$512),0))*'[1]Processer - data'!H54,"")*IF($C54&lt;&gt;"",IF($F54="Halm",Landbrug!C$16*Landbrug!C$17,IF(LEFT($D54,5)="Areal", IF($G54="Ton",Landbrug!C$18,1),1)),1)*IF($F54="Grøntsager",IF($A54="Grøntsager i drivhus",Landbrug!C$51,1-Landbrug!C$51),1)</f>
        <v>0</v>
      </c>
      <c r="I54" s="298">
        <f ca="1">IF($A54&lt;&gt;"",IF(VLOOKUP($A54,[1]!Table1[#All],2,FALSE)="Direkte input",IF($A54&lt;&gt;"Grøntsager i drivhus",SUMIFS('Direkte input'!H$3:H$230,'Direkte input'!$F$3:$F$230,$D54,'Direkte input'!$C$3:$C$230,$B54,'Direkte input'!$D$3:$D$230,$C54,'Direkte input'!$A$3:$A$230,$A$1),SUMIFS('Direkte input'!H$3:H$230,'Direkte input'!$F$3:$F$230,$D54,'Direkte input'!$C$3:$C$230,$B54,'Direkte input'!$A$3:$A$230,$A$1)),IF(VLOOKUP($A54,[1]!Table1[#All],2,FALSE)="Resultat",SUMIF($F$1:$F53,$D54,I$1:I53)+SUMIF($F56:$F$512,$D54,I56:I$512),0))*'[1]Processer - data'!I54,"")*IF($C54&lt;&gt;"",IF($F54="Halm",Landbrug!D$16*Landbrug!D$17,IF(LEFT($D54,5)="Areal", IF($G54="Ton",Landbrug!D$18,1),1)),1)*IF($F54="Grøntsager",IF($A54="Grøntsager i drivhus",Landbrug!D$51,1-Landbrug!D$51),1)</f>
        <v>0</v>
      </c>
      <c r="J54" s="299">
        <f ca="1">IF($A54&lt;&gt;"",IF(VLOOKUP($A54,[1]!Table1[#All],2,FALSE)="Direkte input",IF($A54&lt;&gt;"Grøntsager i drivhus",SUMIFS('Direkte input'!I$3:I$230,'Direkte input'!$F$3:$F$230,$D54,'Direkte input'!$C$3:$C$230,$B54,'Direkte input'!$D$3:$D$230,$C54,'Direkte input'!$A$3:$A$230,$A$1),SUMIFS('Direkte input'!I$3:I$230,'Direkte input'!$F$3:$F$230,$D54,'Direkte input'!$C$3:$C$230,$B54,'Direkte input'!$A$3:$A$230,$A$1)),IF(VLOOKUP($A54,[1]!Table1[#All],2,FALSE)="Resultat",SUMIF($F$1:$F53,$D54,J$1:J53)+SUMIF($F56:$F$512,$D54,J56:J$512),0))*'[1]Processer - data'!J54,"")*IF($C54&lt;&gt;"",IF($F54="Halm",Landbrug!E$16*Landbrug!E$17,IF(LEFT($D54,5)="Areal", IF($G54="Ton",Landbrug!E$18,1),1)),1)*IF($F54="Grøntsager",IF($A54="Grøntsager i drivhus",Landbrug!E$51,1-Landbrug!E$51),1)</f>
        <v>0</v>
      </c>
    </row>
    <row r="55" spans="1:10" x14ac:dyDescent="0.25">
      <c r="A55" s="168" t="str">
        <f>IF('[1]Processer - data'!A55&lt;&gt;"",'[1]Processer - data'!A55,"")</f>
        <v>Skovproduktion</v>
      </c>
      <c r="B55" s="168" t="str">
        <f>IF('[1]Processer - data'!B55&lt;&gt;"",'[1]Processer - data'!B55,"")</f>
        <v/>
      </c>
      <c r="C55" s="168" t="str">
        <f>IF('[1]Processer - data'!C55&lt;&gt;"",'[1]Processer - data'!C55,"")</f>
        <v>Skovtype3</v>
      </c>
      <c r="D55" s="168" t="str">
        <f>IF('[1]Processer - data'!D55&lt;&gt;"",'[1]Processer - data'!D55,"")</f>
        <v>Areal-skovtype3-30</v>
      </c>
      <c r="E55" s="168" t="str">
        <f>IF('[1]Processer - data'!E55&lt;&gt;"",'[1]Processer - data'!E55,"")</f>
        <v>Hektar</v>
      </c>
      <c r="F55" s="168" t="str">
        <f>IF('[1]Processer - data'!F55&lt;&gt;"",'[1]Processer - data'!F55,"")</f>
        <v>Træer</v>
      </c>
      <c r="G55" s="168" t="str">
        <f>IF('[1]Processer - data'!G55&lt;&gt;"",'[1]Processer - data'!G55,"")</f>
        <v>m3</v>
      </c>
      <c r="H55" s="297">
        <f ca="1">IF($A55&lt;&gt;"",IF(VLOOKUP($A55,[1]!Table1[#All],2,FALSE)="Direkte input",IF($A55&lt;&gt;"Grøntsager i drivhus",SUMIFS('Direkte input'!G$3:G$230,'Direkte input'!$F$3:$F$230,$D55,'Direkte input'!$C$3:$C$230,$B55,'Direkte input'!$D$3:$D$230,$C55,'Direkte input'!$A$3:$A$230,$A$1),SUMIFS('Direkte input'!G$3:G$230,'Direkte input'!$F$3:$F$230,$D55,'Direkte input'!$C$3:$C$230,$B55,'Direkte input'!$A$3:$A$230,$A$1)),IF(VLOOKUP($A55,[1]!Table1[#All],2,FALSE)="Resultat",SUMIF($F$1:$F54,$D55,H$1:H54)+SUMIF($F57:$F$512,$D55,H57:H$512),0))*'[1]Processer - data'!H55,"")*IF($C55&lt;&gt;"",IF($F55="Halm",Landbrug!C$16*Landbrug!C$17,IF(LEFT($D55,5)="Areal", IF($G55="Ton",Landbrug!C$18,1),1)),1)*IF($F55="Grøntsager",IF($A55="Grøntsager i drivhus",Landbrug!C$51,1-Landbrug!C$51),1)</f>
        <v>0</v>
      </c>
      <c r="I55" s="298">
        <f ca="1">IF($A55&lt;&gt;"",IF(VLOOKUP($A55,[1]!Table1[#All],2,FALSE)="Direkte input",IF($A55&lt;&gt;"Grøntsager i drivhus",SUMIFS('Direkte input'!H$3:H$230,'Direkte input'!$F$3:$F$230,$D55,'Direkte input'!$C$3:$C$230,$B55,'Direkte input'!$D$3:$D$230,$C55,'Direkte input'!$A$3:$A$230,$A$1),SUMIFS('Direkte input'!H$3:H$230,'Direkte input'!$F$3:$F$230,$D55,'Direkte input'!$C$3:$C$230,$B55,'Direkte input'!$A$3:$A$230,$A$1)),IF(VLOOKUP($A55,[1]!Table1[#All],2,FALSE)="Resultat",SUMIF($F$1:$F54,$D55,I$1:I54)+SUMIF($F57:$F$512,$D55,I57:I$512),0))*'[1]Processer - data'!I55,"")*IF($C55&lt;&gt;"",IF($F55="Halm",Landbrug!D$16*Landbrug!D$17,IF(LEFT($D55,5)="Areal", IF($G55="Ton",Landbrug!D$18,1),1)),1)*IF($F55="Grøntsager",IF($A55="Grøntsager i drivhus",Landbrug!D$51,1-Landbrug!D$51),1)</f>
        <v>0</v>
      </c>
      <c r="J55" s="299">
        <f ca="1">IF($A55&lt;&gt;"",IF(VLOOKUP($A55,[1]!Table1[#All],2,FALSE)="Direkte input",IF($A55&lt;&gt;"Grøntsager i drivhus",SUMIFS('Direkte input'!I$3:I$230,'Direkte input'!$F$3:$F$230,$D55,'Direkte input'!$C$3:$C$230,$B55,'Direkte input'!$D$3:$D$230,$C55,'Direkte input'!$A$3:$A$230,$A$1),SUMIFS('Direkte input'!I$3:I$230,'Direkte input'!$F$3:$F$230,$D55,'Direkte input'!$C$3:$C$230,$B55,'Direkte input'!$A$3:$A$230,$A$1)),IF(VLOOKUP($A55,[1]!Table1[#All],2,FALSE)="Resultat",SUMIF($F$1:$F54,$D55,J$1:J54)+SUMIF($F57:$F$512,$D55,J57:J$512),0))*'[1]Processer - data'!J55,"")*IF($C55&lt;&gt;"",IF($F55="Halm",Landbrug!E$16*Landbrug!E$17,IF(LEFT($D55,5)="Areal", IF($G55="Ton",Landbrug!E$18,1),1)),1)*IF($F55="Grøntsager",IF($A55="Grøntsager i drivhus",Landbrug!E$51,1-Landbrug!E$51),1)</f>
        <v>0</v>
      </c>
    </row>
    <row r="56" spans="1:10" x14ac:dyDescent="0.25">
      <c r="A56" s="168" t="str">
        <f>IF('[1]Processer - data'!A56&lt;&gt;"",'[1]Processer - data'!A56,"")</f>
        <v>Skovproduktion</v>
      </c>
      <c r="B56" s="168" t="str">
        <f>IF('[1]Processer - data'!B56&lt;&gt;"",'[1]Processer - data'!B56,"")</f>
        <v/>
      </c>
      <c r="C56" s="168" t="str">
        <f>IF('[1]Processer - data'!C56&lt;&gt;"",'[1]Processer - data'!C56,"")</f>
        <v>Skovtype3</v>
      </c>
      <c r="D56" s="168" t="str">
        <f>IF('[1]Processer - data'!D56&lt;&gt;"",'[1]Processer - data'!D56,"")</f>
        <v>Areal-skovtype3-30</v>
      </c>
      <c r="E56" s="168" t="str">
        <f>IF('[1]Processer - data'!E56&lt;&gt;"",'[1]Processer - data'!E56,"")</f>
        <v>Hektar</v>
      </c>
      <c r="F56" s="168" t="str">
        <f>IF('[1]Processer - data'!F56&lt;&gt;"",'[1]Processer - data'!F56,"")</f>
        <v>Træ til energi</v>
      </c>
      <c r="G56" s="168" t="str">
        <f>IF('[1]Processer - data'!G56&lt;&gt;"",'[1]Processer - data'!G56,"")</f>
        <v>m3</v>
      </c>
      <c r="H56" s="297">
        <f ca="1">IF($A56&lt;&gt;"",IF(VLOOKUP($A56,[1]!Table1[#All],2,FALSE)="Direkte input",IF($A56&lt;&gt;"Grøntsager i drivhus",SUMIFS('Direkte input'!G$3:G$230,'Direkte input'!$F$3:$F$230,$D56,'Direkte input'!$C$3:$C$230,$B56,'Direkte input'!$D$3:$D$230,$C56,'Direkte input'!$A$3:$A$230,$A$1),SUMIFS('Direkte input'!G$3:G$230,'Direkte input'!$F$3:$F$230,$D56,'Direkte input'!$C$3:$C$230,$B56,'Direkte input'!$A$3:$A$230,$A$1)),IF(VLOOKUP($A56,[1]!Table1[#All],2,FALSE)="Resultat",SUMIF($F$1:$F55,$D56,H$1:H55)+SUMIF($F58:$F$512,$D56,H58:H$512),0))*'[1]Processer - data'!H56,"")*IF($C56&lt;&gt;"",IF($F56="Halm",Landbrug!C$16*Landbrug!C$17,IF(LEFT($D56,5)="Areal", IF($G56="Ton",Landbrug!C$18,1),1)),1)*IF($F56="Grøntsager",IF($A56="Grøntsager i drivhus",Landbrug!C$51,1-Landbrug!C$51),1)</f>
        <v>0</v>
      </c>
      <c r="I56" s="298">
        <f ca="1">IF($A56&lt;&gt;"",IF(VLOOKUP($A56,[1]!Table1[#All],2,FALSE)="Direkte input",IF($A56&lt;&gt;"Grøntsager i drivhus",SUMIFS('Direkte input'!H$3:H$230,'Direkte input'!$F$3:$F$230,$D56,'Direkte input'!$C$3:$C$230,$B56,'Direkte input'!$D$3:$D$230,$C56,'Direkte input'!$A$3:$A$230,$A$1),SUMIFS('Direkte input'!H$3:H$230,'Direkte input'!$F$3:$F$230,$D56,'Direkte input'!$C$3:$C$230,$B56,'Direkte input'!$A$3:$A$230,$A$1)),IF(VLOOKUP($A56,[1]!Table1[#All],2,FALSE)="Resultat",SUMIF($F$1:$F55,$D56,I$1:I55)+SUMIF($F58:$F$512,$D56,I58:I$512),0))*'[1]Processer - data'!I56,"")*IF($C56&lt;&gt;"",IF($F56="Halm",Landbrug!D$16*Landbrug!D$17,IF(LEFT($D56,5)="Areal", IF($G56="Ton",Landbrug!D$18,1),1)),1)*IF($F56="Grøntsager",IF($A56="Grøntsager i drivhus",Landbrug!D$51,1-Landbrug!D$51),1)</f>
        <v>0</v>
      </c>
      <c r="J56" s="299">
        <f ca="1">IF($A56&lt;&gt;"",IF(VLOOKUP($A56,[1]!Table1[#All],2,FALSE)="Direkte input",IF($A56&lt;&gt;"Grøntsager i drivhus",SUMIFS('Direkte input'!I$3:I$230,'Direkte input'!$F$3:$F$230,$D56,'Direkte input'!$C$3:$C$230,$B56,'Direkte input'!$D$3:$D$230,$C56,'Direkte input'!$A$3:$A$230,$A$1),SUMIFS('Direkte input'!I$3:I$230,'Direkte input'!$F$3:$F$230,$D56,'Direkte input'!$C$3:$C$230,$B56,'Direkte input'!$A$3:$A$230,$A$1)),IF(VLOOKUP($A56,[1]!Table1[#All],2,FALSE)="Resultat",SUMIF($F$1:$F55,$D56,J$1:J55)+SUMIF($F58:$F$512,$D56,J58:J$512),0))*'[1]Processer - data'!J56,"")*IF($C56&lt;&gt;"",IF($F56="Halm",Landbrug!E$16*Landbrug!E$17,IF(LEFT($D56,5)="Areal", IF($G56="Ton",Landbrug!E$18,1),1)),1)*IF($F56="Grøntsager",IF($A56="Grøntsager i drivhus",Landbrug!E$51,1-Landbrug!E$51),1)</f>
        <v>0</v>
      </c>
    </row>
    <row r="57" spans="1:10" x14ac:dyDescent="0.25">
      <c r="A57" s="168" t="str">
        <f>IF('[1]Processer - data'!A57&lt;&gt;"",'[1]Processer - data'!A57,"")</f>
        <v>Skovproduktion</v>
      </c>
      <c r="B57" s="168" t="str">
        <f>IF('[1]Processer - data'!B57&lt;&gt;"",'[1]Processer - data'!B57,"")</f>
        <v/>
      </c>
      <c r="C57" s="168" t="str">
        <f>IF('[1]Processer - data'!C57&lt;&gt;"",'[1]Processer - data'!C57,"")</f>
        <v>Skovtype3</v>
      </c>
      <c r="D57" s="168" t="str">
        <f>IF('[1]Processer - data'!D57&lt;&gt;"",'[1]Processer - data'!D57,"")</f>
        <v>Areal-skovtype3-30</v>
      </c>
      <c r="E57" s="168" t="str">
        <f>IF('[1]Processer - data'!E57&lt;&gt;"",'[1]Processer - data'!E57,"")</f>
        <v>Hektar</v>
      </c>
      <c r="F57" s="168" t="str">
        <f>IF('[1]Processer - data'!F57&lt;&gt;"",'[1]Processer - data'!F57,"")</f>
        <v>CO2 - atmosfære</v>
      </c>
      <c r="G57" s="168" t="str">
        <f>IF('[1]Processer - data'!G57&lt;&gt;"",'[1]Processer - data'!G57,"")</f>
        <v>t CO2-ækvivalenter</v>
      </c>
      <c r="H57" s="297">
        <f ca="1">IF($A57&lt;&gt;"",IF(VLOOKUP($A57,[1]!Table1[#All],2,FALSE)="Direkte input",IF($A57&lt;&gt;"Grøntsager i drivhus",SUMIFS('Direkte input'!G$3:G$230,'Direkte input'!$F$3:$F$230,$D57,'Direkte input'!$C$3:$C$230,$B57,'Direkte input'!$D$3:$D$230,$C57,'Direkte input'!$A$3:$A$230,$A$1),SUMIFS('Direkte input'!G$3:G$230,'Direkte input'!$F$3:$F$230,$D57,'Direkte input'!$C$3:$C$230,$B57,'Direkte input'!$A$3:$A$230,$A$1)),IF(VLOOKUP($A57,[1]!Table1[#All],2,FALSE)="Resultat",SUMIF($F$1:$F56,$D57,H$1:H56)+SUMIF($F59:$F$512,$D57,H59:H$512),0))*'[1]Processer - data'!H57,"")*IF($C57&lt;&gt;"",IF($F57="Halm",Landbrug!C$16*Landbrug!C$17,IF(LEFT($D57,5)="Areal", IF($G57="Ton",Landbrug!C$18,1),1)),1)*IF($F57="Grøntsager",IF($A57="Grøntsager i drivhus",Landbrug!C$51,1-Landbrug!C$51),1)</f>
        <v>0</v>
      </c>
      <c r="I57" s="298">
        <f ca="1">IF($A57&lt;&gt;"",IF(VLOOKUP($A57,[1]!Table1[#All],2,FALSE)="Direkte input",IF($A57&lt;&gt;"Grøntsager i drivhus",SUMIFS('Direkte input'!H$3:H$230,'Direkte input'!$F$3:$F$230,$D57,'Direkte input'!$C$3:$C$230,$B57,'Direkte input'!$D$3:$D$230,$C57,'Direkte input'!$A$3:$A$230,$A$1),SUMIFS('Direkte input'!H$3:H$230,'Direkte input'!$F$3:$F$230,$D57,'Direkte input'!$C$3:$C$230,$B57,'Direkte input'!$A$3:$A$230,$A$1)),IF(VLOOKUP($A57,[1]!Table1[#All],2,FALSE)="Resultat",SUMIF($F$1:$F56,$D57,I$1:I56)+SUMIF($F59:$F$512,$D57,I59:I$512),0))*'[1]Processer - data'!I57,"")*IF($C57&lt;&gt;"",IF($F57="Halm",Landbrug!D$16*Landbrug!D$17,IF(LEFT($D57,5)="Areal", IF($G57="Ton",Landbrug!D$18,1),1)),1)*IF($F57="Grøntsager",IF($A57="Grøntsager i drivhus",Landbrug!D$51,1-Landbrug!D$51),1)</f>
        <v>0</v>
      </c>
      <c r="J57" s="299">
        <f ca="1">IF($A57&lt;&gt;"",IF(VLOOKUP($A57,[1]!Table1[#All],2,FALSE)="Direkte input",IF($A57&lt;&gt;"Grøntsager i drivhus",SUMIFS('Direkte input'!I$3:I$230,'Direkte input'!$F$3:$F$230,$D57,'Direkte input'!$C$3:$C$230,$B57,'Direkte input'!$D$3:$D$230,$C57,'Direkte input'!$A$3:$A$230,$A$1),SUMIFS('Direkte input'!I$3:I$230,'Direkte input'!$F$3:$F$230,$D57,'Direkte input'!$C$3:$C$230,$B57,'Direkte input'!$A$3:$A$230,$A$1)),IF(VLOOKUP($A57,[1]!Table1[#All],2,FALSE)="Resultat",SUMIF($F$1:$F56,$D57,J$1:J56)+SUMIF($F59:$F$512,$D57,J59:J$512),0))*'[1]Processer - data'!J57,"")*IF($C57&lt;&gt;"",IF($F57="Halm",Landbrug!E$16*Landbrug!E$17,IF(LEFT($D57,5)="Areal", IF($G57="Ton",Landbrug!E$18,1),1)),1)*IF($F57="Grøntsager",IF($A57="Grøntsager i drivhus",Landbrug!E$51,1-Landbrug!E$51),1)</f>
        <v>0</v>
      </c>
    </row>
    <row r="58" spans="1:10" s="168" customFormat="1" x14ac:dyDescent="0.25">
      <c r="A58" s="168" t="str">
        <f>IF('[1]Processer - data'!A58&lt;&gt;"",'[1]Processer - data'!A58,"")</f>
        <v>Skovproduktion</v>
      </c>
      <c r="B58" s="168" t="str">
        <f>IF('[1]Processer - data'!B58&lt;&gt;"",'[1]Processer - data'!B58,"")</f>
        <v/>
      </c>
      <c r="C58" s="168" t="str">
        <f>IF('[1]Processer - data'!C58&lt;&gt;"",'[1]Processer - data'!C58,"")</f>
        <v>Skovtype3</v>
      </c>
      <c r="D58" s="168" t="str">
        <f>IF('[1]Processer - data'!D58&lt;&gt;"",'[1]Processer - data'!D58,"")</f>
        <v>Areal-skovtype3-30</v>
      </c>
      <c r="E58" s="168" t="str">
        <f>IF('[1]Processer - data'!E58&lt;&gt;"",'[1]Processer - data'!E58,"")</f>
        <v>Hektar</v>
      </c>
      <c r="F58" s="168" t="str">
        <f>IF('[1]Processer - data'!F58&lt;&gt;"",'[1]Processer - data'!F58,"")</f>
        <v>CO2 - HWP</v>
      </c>
      <c r="G58" s="168" t="str">
        <f>IF('[1]Processer - data'!G58&lt;&gt;"",'[1]Processer - data'!G58,"")</f>
        <v>t CO2-ækvivalenter</v>
      </c>
      <c r="H58" s="297">
        <f ca="1">IF($A58&lt;&gt;"",IF(VLOOKUP($A58,[1]!Table1[#All],2,FALSE)="Direkte input",IF($A58&lt;&gt;"Grøntsager i drivhus",SUMIFS('Direkte input'!G$3:G$230,'Direkte input'!$F$3:$F$230,$D58,'Direkte input'!$C$3:$C$230,$B58,'Direkte input'!$D$3:$D$230,$C58,'Direkte input'!$A$3:$A$230,$A$1),SUMIFS('Direkte input'!G$3:G$230,'Direkte input'!$F$3:$F$230,$D58,'Direkte input'!$C$3:$C$230,$B58,'Direkte input'!$A$3:$A$230,$A$1)),IF(VLOOKUP($A58,[1]!Table1[#All],2,FALSE)="Resultat",SUMIF($F$1:$F57,$D58,H$1:H57)+SUMIF($F60:$F$512,$D58,H60:H$512),0))*'[1]Processer - data'!H58,"")*IF($C58&lt;&gt;"",IF($F58="Halm",Landbrug!C$16*Landbrug!C$17,IF(LEFT($D58,5)="Areal", IF($G58="Ton",Landbrug!C$18,1),1)),1)*IF($F58="Grøntsager",IF($A58="Grøntsager i drivhus",Landbrug!C$51,1-Landbrug!C$51),1)</f>
        <v>0</v>
      </c>
      <c r="I58" s="298">
        <f ca="1">IF($A58&lt;&gt;"",IF(VLOOKUP($A58,[1]!Table1[#All],2,FALSE)="Direkte input",IF($A58&lt;&gt;"Grøntsager i drivhus",SUMIFS('Direkte input'!H$3:H$230,'Direkte input'!$F$3:$F$230,$D58,'Direkte input'!$C$3:$C$230,$B58,'Direkte input'!$D$3:$D$230,$C58,'Direkte input'!$A$3:$A$230,$A$1),SUMIFS('Direkte input'!H$3:H$230,'Direkte input'!$F$3:$F$230,$D58,'Direkte input'!$C$3:$C$230,$B58,'Direkte input'!$A$3:$A$230,$A$1)),IF(VLOOKUP($A58,[1]!Table1[#All],2,FALSE)="Resultat",SUMIF($F$1:$F57,$D58,I$1:I57)+SUMIF($F60:$F$512,$D58,I60:I$512),0))*'[1]Processer - data'!I58,"")*IF($C58&lt;&gt;"",IF($F58="Halm",Landbrug!D$16*Landbrug!D$17,IF(LEFT($D58,5)="Areal", IF($G58="Ton",Landbrug!D$18,1),1)),1)*IF($F58="Grøntsager",IF($A58="Grøntsager i drivhus",Landbrug!D$51,1-Landbrug!D$51),1)</f>
        <v>0</v>
      </c>
      <c r="J58" s="299">
        <f ca="1">IF($A58&lt;&gt;"",IF(VLOOKUP($A58,[1]!Table1[#All],2,FALSE)="Direkte input",IF($A58&lt;&gt;"Grøntsager i drivhus",SUMIFS('Direkte input'!I$3:I$230,'Direkte input'!$F$3:$F$230,$D58,'Direkte input'!$C$3:$C$230,$B58,'Direkte input'!$D$3:$D$230,$C58,'Direkte input'!$A$3:$A$230,$A$1),SUMIFS('Direkte input'!I$3:I$230,'Direkte input'!$F$3:$F$230,$D58,'Direkte input'!$C$3:$C$230,$B58,'Direkte input'!$A$3:$A$230,$A$1)),IF(VLOOKUP($A58,[1]!Table1[#All],2,FALSE)="Resultat",SUMIF($F$1:$F57,$D58,J$1:J57)+SUMIF($F60:$F$512,$D58,J60:J$512),0))*'[1]Processer - data'!J58,"")*IF($C58&lt;&gt;"",IF($F58="Halm",Landbrug!E$16*Landbrug!E$17,IF(LEFT($D58,5)="Areal", IF($G58="Ton",Landbrug!E$18,1),1)),1)*IF($F58="Grøntsager",IF($A58="Grøntsager i drivhus",Landbrug!E$51,1-Landbrug!E$51),1)</f>
        <v>0</v>
      </c>
    </row>
    <row r="59" spans="1:10" x14ac:dyDescent="0.25">
      <c r="A59" s="168" t="str">
        <f>IF('[1]Processer - data'!A59&lt;&gt;"",'[1]Processer - data'!A59,"")</f>
        <v>Skovproduktion</v>
      </c>
      <c r="B59" s="168" t="str">
        <f>IF('[1]Processer - data'!B59&lt;&gt;"",'[1]Processer - data'!B59,"")</f>
        <v/>
      </c>
      <c r="C59" s="168" t="str">
        <f>IF('[1]Processer - data'!C59&lt;&gt;"",'[1]Processer - data'!C59,"")</f>
        <v>Skovtype3</v>
      </c>
      <c r="D59" s="168" t="str">
        <f>IF('[1]Processer - data'!D59&lt;&gt;"",'[1]Processer - data'!D59,"")</f>
        <v>Areal-skovtype3-40</v>
      </c>
      <c r="E59" s="168" t="str">
        <f>IF('[1]Processer - data'!E59&lt;&gt;"",'[1]Processer - data'!E59,"")</f>
        <v>Hektar</v>
      </c>
      <c r="F59" s="168" t="str">
        <f>IF('[1]Processer - data'!F59&lt;&gt;"",'[1]Processer - data'!F59,"")</f>
        <v>Træer</v>
      </c>
      <c r="G59" s="168" t="str">
        <f>IF('[1]Processer - data'!G59&lt;&gt;"",'[1]Processer - data'!G59,"")</f>
        <v>m3</v>
      </c>
      <c r="H59" s="297">
        <f ca="1">IF($A59&lt;&gt;"",IF(VLOOKUP($A59,[1]!Table1[#All],2,FALSE)="Direkte input",IF($A59&lt;&gt;"Grøntsager i drivhus",SUMIFS('Direkte input'!G$3:G$230,'Direkte input'!$F$3:$F$230,$D59,'Direkte input'!$C$3:$C$230,$B59,'Direkte input'!$D$3:$D$230,$C59,'Direkte input'!$A$3:$A$230,$A$1),SUMIFS('Direkte input'!G$3:G$230,'Direkte input'!$F$3:$F$230,$D59,'Direkte input'!$C$3:$C$230,$B59,'Direkte input'!$A$3:$A$230,$A$1)),IF(VLOOKUP($A59,[1]!Table1[#All],2,FALSE)="Resultat",SUMIF($F$1:$F58,$D59,H$1:H58)+SUMIF($F61:$F$512,$D59,H61:H$512),0))*'[1]Processer - data'!H59,"")*IF($C59&lt;&gt;"",IF($F59="Halm",Landbrug!C$16*Landbrug!C$17,IF(LEFT($D59,5)="Areal", IF($G59="Ton",Landbrug!C$18,1),1)),1)*IF($F59="Grøntsager",IF($A59="Grøntsager i drivhus",Landbrug!C$51,1-Landbrug!C$51),1)</f>
        <v>0</v>
      </c>
      <c r="I59" s="298">
        <f ca="1">IF($A59&lt;&gt;"",IF(VLOOKUP($A59,[1]!Table1[#All],2,FALSE)="Direkte input",IF($A59&lt;&gt;"Grøntsager i drivhus",SUMIFS('Direkte input'!H$3:H$230,'Direkte input'!$F$3:$F$230,$D59,'Direkte input'!$C$3:$C$230,$B59,'Direkte input'!$D$3:$D$230,$C59,'Direkte input'!$A$3:$A$230,$A$1),SUMIFS('Direkte input'!H$3:H$230,'Direkte input'!$F$3:$F$230,$D59,'Direkte input'!$C$3:$C$230,$B59,'Direkte input'!$A$3:$A$230,$A$1)),IF(VLOOKUP($A59,[1]!Table1[#All],2,FALSE)="Resultat",SUMIF($F$1:$F58,$D59,I$1:I58)+SUMIF($F61:$F$512,$D59,I61:I$512),0))*'[1]Processer - data'!I59,"")*IF($C59&lt;&gt;"",IF($F59="Halm",Landbrug!D$16*Landbrug!D$17,IF(LEFT($D59,5)="Areal", IF($G59="Ton",Landbrug!D$18,1),1)),1)*IF($F59="Grøntsager",IF($A59="Grøntsager i drivhus",Landbrug!D$51,1-Landbrug!D$51),1)</f>
        <v>0</v>
      </c>
      <c r="J59" s="299">
        <f ca="1">IF($A59&lt;&gt;"",IF(VLOOKUP($A59,[1]!Table1[#All],2,FALSE)="Direkte input",IF($A59&lt;&gt;"Grøntsager i drivhus",SUMIFS('Direkte input'!I$3:I$230,'Direkte input'!$F$3:$F$230,$D59,'Direkte input'!$C$3:$C$230,$B59,'Direkte input'!$D$3:$D$230,$C59,'Direkte input'!$A$3:$A$230,$A$1),SUMIFS('Direkte input'!I$3:I$230,'Direkte input'!$F$3:$F$230,$D59,'Direkte input'!$C$3:$C$230,$B59,'Direkte input'!$A$3:$A$230,$A$1)),IF(VLOOKUP($A59,[1]!Table1[#All],2,FALSE)="Resultat",SUMIF($F$1:$F58,$D59,J$1:J58)+SUMIF($F61:$F$512,$D59,J61:J$512),0))*'[1]Processer - data'!J59,"")*IF($C59&lt;&gt;"",IF($F59="Halm",Landbrug!E$16*Landbrug!E$17,IF(LEFT($D59,5)="Areal", IF($G59="Ton",Landbrug!E$18,1),1)),1)*IF($F59="Grøntsager",IF($A59="Grøntsager i drivhus",Landbrug!E$51,1-Landbrug!E$51),1)</f>
        <v>0</v>
      </c>
    </row>
    <row r="60" spans="1:10" x14ac:dyDescent="0.25">
      <c r="A60" s="168" t="str">
        <f>IF('[1]Processer - data'!A60&lt;&gt;"",'[1]Processer - data'!A60,"")</f>
        <v>Skovproduktion</v>
      </c>
      <c r="B60" s="168" t="str">
        <f>IF('[1]Processer - data'!B60&lt;&gt;"",'[1]Processer - data'!B60,"")</f>
        <v/>
      </c>
      <c r="C60" s="168" t="str">
        <f>IF('[1]Processer - data'!C60&lt;&gt;"",'[1]Processer - data'!C60,"")</f>
        <v>Skovtype3</v>
      </c>
      <c r="D60" s="168" t="str">
        <f>IF('[1]Processer - data'!D60&lt;&gt;"",'[1]Processer - data'!D60,"")</f>
        <v>Areal-skovtype3-40</v>
      </c>
      <c r="E60" s="168" t="str">
        <f>IF('[1]Processer - data'!E60&lt;&gt;"",'[1]Processer - data'!E60,"")</f>
        <v>Hektar</v>
      </c>
      <c r="F60" s="168" t="str">
        <f>IF('[1]Processer - data'!F60&lt;&gt;"",'[1]Processer - data'!F60,"")</f>
        <v>Træ til energi</v>
      </c>
      <c r="G60" s="168" t="str">
        <f>IF('[1]Processer - data'!G60&lt;&gt;"",'[1]Processer - data'!G60,"")</f>
        <v>m3</v>
      </c>
      <c r="H60" s="297">
        <f ca="1">IF($A60&lt;&gt;"",IF(VLOOKUP($A60,[1]!Table1[#All],2,FALSE)="Direkte input",IF($A60&lt;&gt;"Grøntsager i drivhus",SUMIFS('Direkte input'!G$3:G$230,'Direkte input'!$F$3:$F$230,$D60,'Direkte input'!$C$3:$C$230,$B60,'Direkte input'!$D$3:$D$230,$C60,'Direkte input'!$A$3:$A$230,$A$1),SUMIFS('Direkte input'!G$3:G$230,'Direkte input'!$F$3:$F$230,$D60,'Direkte input'!$C$3:$C$230,$B60,'Direkte input'!$A$3:$A$230,$A$1)),IF(VLOOKUP($A60,[1]!Table1[#All],2,FALSE)="Resultat",SUMIF($F$1:$F59,$D60,H$1:H59)+SUMIF($F62:$F$512,$D60,H62:H$512),0))*'[1]Processer - data'!H60,"")*IF($C60&lt;&gt;"",IF($F60="Halm",Landbrug!C$16*Landbrug!C$17,IF(LEFT($D60,5)="Areal", IF($G60="Ton",Landbrug!C$18,1),1)),1)*IF($F60="Grøntsager",IF($A60="Grøntsager i drivhus",Landbrug!C$51,1-Landbrug!C$51),1)</f>
        <v>0</v>
      </c>
      <c r="I60" s="298">
        <f ca="1">IF($A60&lt;&gt;"",IF(VLOOKUP($A60,[1]!Table1[#All],2,FALSE)="Direkte input",IF($A60&lt;&gt;"Grøntsager i drivhus",SUMIFS('Direkte input'!H$3:H$230,'Direkte input'!$F$3:$F$230,$D60,'Direkte input'!$C$3:$C$230,$B60,'Direkte input'!$D$3:$D$230,$C60,'Direkte input'!$A$3:$A$230,$A$1),SUMIFS('Direkte input'!H$3:H$230,'Direkte input'!$F$3:$F$230,$D60,'Direkte input'!$C$3:$C$230,$B60,'Direkte input'!$A$3:$A$230,$A$1)),IF(VLOOKUP($A60,[1]!Table1[#All],2,FALSE)="Resultat",SUMIF($F$1:$F59,$D60,I$1:I59)+SUMIF($F62:$F$512,$D60,I62:I$512),0))*'[1]Processer - data'!I60,"")*IF($C60&lt;&gt;"",IF($F60="Halm",Landbrug!D$16*Landbrug!D$17,IF(LEFT($D60,5)="Areal", IF($G60="Ton",Landbrug!D$18,1),1)),1)*IF($F60="Grøntsager",IF($A60="Grøntsager i drivhus",Landbrug!D$51,1-Landbrug!D$51),1)</f>
        <v>0</v>
      </c>
      <c r="J60" s="299">
        <f ca="1">IF($A60&lt;&gt;"",IF(VLOOKUP($A60,[1]!Table1[#All],2,FALSE)="Direkte input",IF($A60&lt;&gt;"Grøntsager i drivhus",SUMIFS('Direkte input'!I$3:I$230,'Direkte input'!$F$3:$F$230,$D60,'Direkte input'!$C$3:$C$230,$B60,'Direkte input'!$D$3:$D$230,$C60,'Direkte input'!$A$3:$A$230,$A$1),SUMIFS('Direkte input'!I$3:I$230,'Direkte input'!$F$3:$F$230,$D60,'Direkte input'!$C$3:$C$230,$B60,'Direkte input'!$A$3:$A$230,$A$1)),IF(VLOOKUP($A60,[1]!Table1[#All],2,FALSE)="Resultat",SUMIF($F$1:$F59,$D60,J$1:J59)+SUMIF($F62:$F$512,$D60,J62:J$512),0))*'[1]Processer - data'!J60,"")*IF($C60&lt;&gt;"",IF($F60="Halm",Landbrug!E$16*Landbrug!E$17,IF(LEFT($D60,5)="Areal", IF($G60="Ton",Landbrug!E$18,1),1)),1)*IF($F60="Grøntsager",IF($A60="Grøntsager i drivhus",Landbrug!E$51,1-Landbrug!E$51),1)</f>
        <v>0</v>
      </c>
    </row>
    <row r="61" spans="1:10" x14ac:dyDescent="0.25">
      <c r="A61" s="168" t="str">
        <f>IF('[1]Processer - data'!A61&lt;&gt;"",'[1]Processer - data'!A61,"")</f>
        <v>Skovproduktion</v>
      </c>
      <c r="B61" s="168" t="str">
        <f>IF('[1]Processer - data'!B61&lt;&gt;"",'[1]Processer - data'!B61,"")</f>
        <v/>
      </c>
      <c r="C61" s="168" t="str">
        <f>IF('[1]Processer - data'!C61&lt;&gt;"",'[1]Processer - data'!C61,"")</f>
        <v>Skovtype3</v>
      </c>
      <c r="D61" s="168" t="str">
        <f>IF('[1]Processer - data'!D61&lt;&gt;"",'[1]Processer - data'!D61,"")</f>
        <v>Areal-skovtype3-40</v>
      </c>
      <c r="E61" s="168" t="str">
        <f>IF('[1]Processer - data'!E61&lt;&gt;"",'[1]Processer - data'!E61,"")</f>
        <v>Hektar</v>
      </c>
      <c r="F61" s="168" t="str">
        <f>IF('[1]Processer - data'!F61&lt;&gt;"",'[1]Processer - data'!F61,"")</f>
        <v>CO2 - atmosfære</v>
      </c>
      <c r="G61" s="168" t="str">
        <f>IF('[1]Processer - data'!G61&lt;&gt;"",'[1]Processer - data'!G61,"")</f>
        <v>t CO2-ækvivalenter</v>
      </c>
      <c r="H61" s="297">
        <f ca="1">IF($A61&lt;&gt;"",IF(VLOOKUP($A61,[1]!Table1[#All],2,FALSE)="Direkte input",IF($A61&lt;&gt;"Grøntsager i drivhus",SUMIFS('Direkte input'!G$3:G$230,'Direkte input'!$F$3:$F$230,$D61,'Direkte input'!$C$3:$C$230,$B61,'Direkte input'!$D$3:$D$230,$C61,'Direkte input'!$A$3:$A$230,$A$1),SUMIFS('Direkte input'!G$3:G$230,'Direkte input'!$F$3:$F$230,$D61,'Direkte input'!$C$3:$C$230,$B61,'Direkte input'!$A$3:$A$230,$A$1)),IF(VLOOKUP($A61,[1]!Table1[#All],2,FALSE)="Resultat",SUMIF($F$1:$F60,$D61,H$1:H60)+SUMIF($F63:$F$512,$D61,H63:H$512),0))*'[1]Processer - data'!H61,"")*IF($C61&lt;&gt;"",IF($F61="Halm",Landbrug!C$16*Landbrug!C$17,IF(LEFT($D61,5)="Areal", IF($G61="Ton",Landbrug!C$18,1),1)),1)*IF($F61="Grøntsager",IF($A61="Grøntsager i drivhus",Landbrug!C$51,1-Landbrug!C$51),1)</f>
        <v>0</v>
      </c>
      <c r="I61" s="298">
        <f ca="1">IF($A61&lt;&gt;"",IF(VLOOKUP($A61,[1]!Table1[#All],2,FALSE)="Direkte input",IF($A61&lt;&gt;"Grøntsager i drivhus",SUMIFS('Direkte input'!H$3:H$230,'Direkte input'!$F$3:$F$230,$D61,'Direkte input'!$C$3:$C$230,$B61,'Direkte input'!$D$3:$D$230,$C61,'Direkte input'!$A$3:$A$230,$A$1),SUMIFS('Direkte input'!H$3:H$230,'Direkte input'!$F$3:$F$230,$D61,'Direkte input'!$C$3:$C$230,$B61,'Direkte input'!$A$3:$A$230,$A$1)),IF(VLOOKUP($A61,[1]!Table1[#All],2,FALSE)="Resultat",SUMIF($F$1:$F60,$D61,I$1:I60)+SUMIF($F63:$F$512,$D61,I63:I$512),0))*'[1]Processer - data'!I61,"")*IF($C61&lt;&gt;"",IF($F61="Halm",Landbrug!D$16*Landbrug!D$17,IF(LEFT($D61,5)="Areal", IF($G61="Ton",Landbrug!D$18,1),1)),1)*IF($F61="Grøntsager",IF($A61="Grøntsager i drivhus",Landbrug!D$51,1-Landbrug!D$51),1)</f>
        <v>0</v>
      </c>
      <c r="J61" s="299">
        <f ca="1">IF($A61&lt;&gt;"",IF(VLOOKUP($A61,[1]!Table1[#All],2,FALSE)="Direkte input",IF($A61&lt;&gt;"Grøntsager i drivhus",SUMIFS('Direkte input'!I$3:I$230,'Direkte input'!$F$3:$F$230,$D61,'Direkte input'!$C$3:$C$230,$B61,'Direkte input'!$D$3:$D$230,$C61,'Direkte input'!$A$3:$A$230,$A$1),SUMIFS('Direkte input'!I$3:I$230,'Direkte input'!$F$3:$F$230,$D61,'Direkte input'!$C$3:$C$230,$B61,'Direkte input'!$A$3:$A$230,$A$1)),IF(VLOOKUP($A61,[1]!Table1[#All],2,FALSE)="Resultat",SUMIF($F$1:$F60,$D61,J$1:J60)+SUMIF($F63:$F$512,$D61,J63:J$512),0))*'[1]Processer - data'!J61,"")*IF($C61&lt;&gt;"",IF($F61="Halm",Landbrug!E$16*Landbrug!E$17,IF(LEFT($D61,5)="Areal", IF($G61="Ton",Landbrug!E$18,1),1)),1)*IF($F61="Grøntsager",IF($A61="Grøntsager i drivhus",Landbrug!E$51,1-Landbrug!E$51),1)</f>
        <v>0</v>
      </c>
    </row>
    <row r="62" spans="1:10" s="168" customFormat="1" x14ac:dyDescent="0.25">
      <c r="A62" s="168" t="str">
        <f>IF('[1]Processer - data'!A62&lt;&gt;"",'[1]Processer - data'!A62,"")</f>
        <v>Skovproduktion</v>
      </c>
      <c r="B62" s="168" t="str">
        <f>IF('[1]Processer - data'!B62&lt;&gt;"",'[1]Processer - data'!B62,"")</f>
        <v/>
      </c>
      <c r="C62" s="168" t="str">
        <f>IF('[1]Processer - data'!C62&lt;&gt;"",'[1]Processer - data'!C62,"")</f>
        <v>Skovtype3</v>
      </c>
      <c r="D62" s="168" t="str">
        <f>IF('[1]Processer - data'!D62&lt;&gt;"",'[1]Processer - data'!D62,"")</f>
        <v>Areal-skovtype3-40</v>
      </c>
      <c r="E62" s="168" t="str">
        <f>IF('[1]Processer - data'!E62&lt;&gt;"",'[1]Processer - data'!E62,"")</f>
        <v>Hektar</v>
      </c>
      <c r="F62" s="168" t="str">
        <f>IF('[1]Processer - data'!F62&lt;&gt;"",'[1]Processer - data'!F62,"")</f>
        <v>CO2 - HWP</v>
      </c>
      <c r="G62" s="168" t="str">
        <f>IF('[1]Processer - data'!G62&lt;&gt;"",'[1]Processer - data'!G62,"")</f>
        <v>t CO2-ækvivalenter</v>
      </c>
      <c r="H62" s="297">
        <f ca="1">IF($A62&lt;&gt;"",IF(VLOOKUP($A62,[1]!Table1[#All],2,FALSE)="Direkte input",IF($A62&lt;&gt;"Grøntsager i drivhus",SUMIFS('Direkte input'!G$3:G$230,'Direkte input'!$F$3:$F$230,$D62,'Direkte input'!$C$3:$C$230,$B62,'Direkte input'!$D$3:$D$230,$C62,'Direkte input'!$A$3:$A$230,$A$1),SUMIFS('Direkte input'!G$3:G$230,'Direkte input'!$F$3:$F$230,$D62,'Direkte input'!$C$3:$C$230,$B62,'Direkte input'!$A$3:$A$230,$A$1)),IF(VLOOKUP($A62,[1]!Table1[#All],2,FALSE)="Resultat",SUMIF($F$1:$F61,$D62,H$1:H61)+SUMIF($F64:$F$512,$D62,H64:H$512),0))*'[1]Processer - data'!H62,"")*IF($C62&lt;&gt;"",IF($F62="Halm",Landbrug!C$16*Landbrug!C$17,IF(LEFT($D62,5)="Areal", IF($G62="Ton",Landbrug!C$18,1),1)),1)*IF($F62="Grøntsager",IF($A62="Grøntsager i drivhus",Landbrug!C$51,1-Landbrug!C$51),1)</f>
        <v>0</v>
      </c>
      <c r="I62" s="298">
        <f ca="1">IF($A62&lt;&gt;"",IF(VLOOKUP($A62,[1]!Table1[#All],2,FALSE)="Direkte input",IF($A62&lt;&gt;"Grøntsager i drivhus",SUMIFS('Direkte input'!H$3:H$230,'Direkte input'!$F$3:$F$230,$D62,'Direkte input'!$C$3:$C$230,$B62,'Direkte input'!$D$3:$D$230,$C62,'Direkte input'!$A$3:$A$230,$A$1),SUMIFS('Direkte input'!H$3:H$230,'Direkte input'!$F$3:$F$230,$D62,'Direkte input'!$C$3:$C$230,$B62,'Direkte input'!$A$3:$A$230,$A$1)),IF(VLOOKUP($A62,[1]!Table1[#All],2,FALSE)="Resultat",SUMIF($F$1:$F61,$D62,I$1:I61)+SUMIF($F64:$F$512,$D62,I64:I$512),0))*'[1]Processer - data'!I62,"")*IF($C62&lt;&gt;"",IF($F62="Halm",Landbrug!D$16*Landbrug!D$17,IF(LEFT($D62,5)="Areal", IF($G62="Ton",Landbrug!D$18,1),1)),1)*IF($F62="Grøntsager",IF($A62="Grøntsager i drivhus",Landbrug!D$51,1-Landbrug!D$51),1)</f>
        <v>0</v>
      </c>
      <c r="J62" s="299">
        <f ca="1">IF($A62&lt;&gt;"",IF(VLOOKUP($A62,[1]!Table1[#All],2,FALSE)="Direkte input",IF($A62&lt;&gt;"Grøntsager i drivhus",SUMIFS('Direkte input'!I$3:I$230,'Direkte input'!$F$3:$F$230,$D62,'Direkte input'!$C$3:$C$230,$B62,'Direkte input'!$D$3:$D$230,$C62,'Direkte input'!$A$3:$A$230,$A$1),SUMIFS('Direkte input'!I$3:I$230,'Direkte input'!$F$3:$F$230,$D62,'Direkte input'!$C$3:$C$230,$B62,'Direkte input'!$A$3:$A$230,$A$1)),IF(VLOOKUP($A62,[1]!Table1[#All],2,FALSE)="Resultat",SUMIF($F$1:$F61,$D62,J$1:J61)+SUMIF($F64:$F$512,$D62,J64:J$512),0))*'[1]Processer - data'!J62,"")*IF($C62&lt;&gt;"",IF($F62="Halm",Landbrug!E$16*Landbrug!E$17,IF(LEFT($D62,5)="Areal", IF($G62="Ton",Landbrug!E$18,1),1)),1)*IF($F62="Grøntsager",IF($A62="Grøntsager i drivhus",Landbrug!E$51,1-Landbrug!E$51),1)</f>
        <v>0</v>
      </c>
    </row>
    <row r="63" spans="1:10" x14ac:dyDescent="0.25">
      <c r="A63" s="168" t="str">
        <f>IF('[1]Processer - data'!A63&lt;&gt;"",'[1]Processer - data'!A63,"")</f>
        <v>Skovproduktion</v>
      </c>
      <c r="B63" s="168" t="str">
        <f>IF('[1]Processer - data'!B63&lt;&gt;"",'[1]Processer - data'!B63,"")</f>
        <v/>
      </c>
      <c r="C63" s="168" t="str">
        <f>IF('[1]Processer - data'!C63&lt;&gt;"",'[1]Processer - data'!C63,"")</f>
        <v>Skovtype4</v>
      </c>
      <c r="D63" s="168" t="str">
        <f>IF('[1]Processer - data'!D63&lt;&gt;"",'[1]Processer - data'!D63,"")</f>
        <v>Areal-skovtype4-10</v>
      </c>
      <c r="E63" s="168" t="str">
        <f>IF('[1]Processer - data'!E63&lt;&gt;"",'[1]Processer - data'!E63,"")</f>
        <v>Hektar</v>
      </c>
      <c r="F63" s="168" t="str">
        <f>IF('[1]Processer - data'!F63&lt;&gt;"",'[1]Processer - data'!F63,"")</f>
        <v>Træer</v>
      </c>
      <c r="G63" s="168" t="str">
        <f>IF('[1]Processer - data'!G63&lt;&gt;"",'[1]Processer - data'!G63,"")</f>
        <v>m3</v>
      </c>
      <c r="H63" s="297">
        <f ca="1">IF($A63&lt;&gt;"",IF(VLOOKUP($A63,[1]!Table1[#All],2,FALSE)="Direkte input",IF($A63&lt;&gt;"Grøntsager i drivhus",SUMIFS('Direkte input'!G$3:G$230,'Direkte input'!$F$3:$F$230,$D63,'Direkte input'!$C$3:$C$230,$B63,'Direkte input'!$D$3:$D$230,$C63,'Direkte input'!$A$3:$A$230,$A$1),SUMIFS('Direkte input'!G$3:G$230,'Direkte input'!$F$3:$F$230,$D63,'Direkte input'!$C$3:$C$230,$B63,'Direkte input'!$A$3:$A$230,$A$1)),IF(VLOOKUP($A63,[1]!Table1[#All],2,FALSE)="Resultat",SUMIF($F$1:$F62,$D63,H$1:H62)+SUMIF($F65:$F$512,$D63,H65:H$512),0))*'[1]Processer - data'!H63,"")*IF($C63&lt;&gt;"",IF($F63="Halm",Landbrug!C$16*Landbrug!C$17,IF(LEFT($D63,5)="Areal", IF($G63="Ton",Landbrug!C$18,1),1)),1)*IF($F63="Grøntsager",IF($A63="Grøntsager i drivhus",Landbrug!C$51,1-Landbrug!C$51),1)</f>
        <v>0</v>
      </c>
      <c r="I63" s="298">
        <f ca="1">IF($A63&lt;&gt;"",IF(VLOOKUP($A63,[1]!Table1[#All],2,FALSE)="Direkte input",IF($A63&lt;&gt;"Grøntsager i drivhus",SUMIFS('Direkte input'!H$3:H$230,'Direkte input'!$F$3:$F$230,$D63,'Direkte input'!$C$3:$C$230,$B63,'Direkte input'!$D$3:$D$230,$C63,'Direkte input'!$A$3:$A$230,$A$1),SUMIFS('Direkte input'!H$3:H$230,'Direkte input'!$F$3:$F$230,$D63,'Direkte input'!$C$3:$C$230,$B63,'Direkte input'!$A$3:$A$230,$A$1)),IF(VLOOKUP($A63,[1]!Table1[#All],2,FALSE)="Resultat",SUMIF($F$1:$F62,$D63,I$1:I62)+SUMIF($F65:$F$512,$D63,I65:I$512),0))*'[1]Processer - data'!I63,"")*IF($C63&lt;&gt;"",IF($F63="Halm",Landbrug!D$16*Landbrug!D$17,IF(LEFT($D63,5)="Areal", IF($G63="Ton",Landbrug!D$18,1),1)),1)*IF($F63="Grøntsager",IF($A63="Grøntsager i drivhus",Landbrug!D$51,1-Landbrug!D$51),1)</f>
        <v>0</v>
      </c>
      <c r="J63" s="299">
        <f ca="1">IF($A63&lt;&gt;"",IF(VLOOKUP($A63,[1]!Table1[#All],2,FALSE)="Direkte input",IF($A63&lt;&gt;"Grøntsager i drivhus",SUMIFS('Direkte input'!I$3:I$230,'Direkte input'!$F$3:$F$230,$D63,'Direkte input'!$C$3:$C$230,$B63,'Direkte input'!$D$3:$D$230,$C63,'Direkte input'!$A$3:$A$230,$A$1),SUMIFS('Direkte input'!I$3:I$230,'Direkte input'!$F$3:$F$230,$D63,'Direkte input'!$C$3:$C$230,$B63,'Direkte input'!$A$3:$A$230,$A$1)),IF(VLOOKUP($A63,[1]!Table1[#All],2,FALSE)="Resultat",SUMIF($F$1:$F62,$D63,J$1:J62)+SUMIF($F65:$F$512,$D63,J65:J$512),0))*'[1]Processer - data'!J63,"")*IF($C63&lt;&gt;"",IF($F63="Halm",Landbrug!E$16*Landbrug!E$17,IF(LEFT($D63,5)="Areal", IF($G63="Ton",Landbrug!E$18,1),1)),1)*IF($F63="Grøntsager",IF($A63="Grøntsager i drivhus",Landbrug!E$51,1-Landbrug!E$51),1)</f>
        <v>0</v>
      </c>
    </row>
    <row r="64" spans="1:10" x14ac:dyDescent="0.25">
      <c r="A64" s="168" t="str">
        <f>IF('[1]Processer - data'!A64&lt;&gt;"",'[1]Processer - data'!A64,"")</f>
        <v>Skovproduktion</v>
      </c>
      <c r="B64" s="168" t="str">
        <f>IF('[1]Processer - data'!B64&lt;&gt;"",'[1]Processer - data'!B64,"")</f>
        <v/>
      </c>
      <c r="C64" s="168" t="str">
        <f>IF('[1]Processer - data'!C64&lt;&gt;"",'[1]Processer - data'!C64,"")</f>
        <v>Skovtype4</v>
      </c>
      <c r="D64" s="168" t="str">
        <f>IF('[1]Processer - data'!D64&lt;&gt;"",'[1]Processer - data'!D64,"")</f>
        <v>Areal-skovtype4-10</v>
      </c>
      <c r="E64" s="168" t="str">
        <f>IF('[1]Processer - data'!E64&lt;&gt;"",'[1]Processer - data'!E64,"")</f>
        <v>Hektar</v>
      </c>
      <c r="F64" s="168" t="str">
        <f>IF('[1]Processer - data'!F64&lt;&gt;"",'[1]Processer - data'!F64,"")</f>
        <v>Træ til energi</v>
      </c>
      <c r="G64" s="168" t="str">
        <f>IF('[1]Processer - data'!G64&lt;&gt;"",'[1]Processer - data'!G64,"")</f>
        <v>m3</v>
      </c>
      <c r="H64" s="297">
        <f ca="1">IF($A64&lt;&gt;"",IF(VLOOKUP($A64,[1]!Table1[#All],2,FALSE)="Direkte input",IF($A64&lt;&gt;"Grøntsager i drivhus",SUMIFS('Direkte input'!G$3:G$230,'Direkte input'!$F$3:$F$230,$D64,'Direkte input'!$C$3:$C$230,$B64,'Direkte input'!$D$3:$D$230,$C64,'Direkte input'!$A$3:$A$230,$A$1),SUMIFS('Direkte input'!G$3:G$230,'Direkte input'!$F$3:$F$230,$D64,'Direkte input'!$C$3:$C$230,$B64,'Direkte input'!$A$3:$A$230,$A$1)),IF(VLOOKUP($A64,[1]!Table1[#All],2,FALSE)="Resultat",SUMIF($F$1:$F63,$D64,H$1:H63)+SUMIF($F66:$F$512,$D64,H66:H$512),0))*'[1]Processer - data'!H64,"")*IF($C64&lt;&gt;"",IF($F64="Halm",Landbrug!C$16*Landbrug!C$17,IF(LEFT($D64,5)="Areal", IF($G64="Ton",Landbrug!C$18,1),1)),1)*IF($F64="Grøntsager",IF($A64="Grøntsager i drivhus",Landbrug!C$51,1-Landbrug!C$51),1)</f>
        <v>0</v>
      </c>
      <c r="I64" s="298">
        <f ca="1">IF($A64&lt;&gt;"",IF(VLOOKUP($A64,[1]!Table1[#All],2,FALSE)="Direkte input",IF($A64&lt;&gt;"Grøntsager i drivhus",SUMIFS('Direkte input'!H$3:H$230,'Direkte input'!$F$3:$F$230,$D64,'Direkte input'!$C$3:$C$230,$B64,'Direkte input'!$D$3:$D$230,$C64,'Direkte input'!$A$3:$A$230,$A$1),SUMIFS('Direkte input'!H$3:H$230,'Direkte input'!$F$3:$F$230,$D64,'Direkte input'!$C$3:$C$230,$B64,'Direkte input'!$A$3:$A$230,$A$1)),IF(VLOOKUP($A64,[1]!Table1[#All],2,FALSE)="Resultat",SUMIF($F$1:$F63,$D64,I$1:I63)+SUMIF($F66:$F$512,$D64,I66:I$512),0))*'[1]Processer - data'!I64,"")*IF($C64&lt;&gt;"",IF($F64="Halm",Landbrug!D$16*Landbrug!D$17,IF(LEFT($D64,5)="Areal", IF($G64="Ton",Landbrug!D$18,1),1)),1)*IF($F64="Grøntsager",IF($A64="Grøntsager i drivhus",Landbrug!D$51,1-Landbrug!D$51),1)</f>
        <v>0</v>
      </c>
      <c r="J64" s="299">
        <f ca="1">IF($A64&lt;&gt;"",IF(VLOOKUP($A64,[1]!Table1[#All],2,FALSE)="Direkte input",IF($A64&lt;&gt;"Grøntsager i drivhus",SUMIFS('Direkte input'!I$3:I$230,'Direkte input'!$F$3:$F$230,$D64,'Direkte input'!$C$3:$C$230,$B64,'Direkte input'!$D$3:$D$230,$C64,'Direkte input'!$A$3:$A$230,$A$1),SUMIFS('Direkte input'!I$3:I$230,'Direkte input'!$F$3:$F$230,$D64,'Direkte input'!$C$3:$C$230,$B64,'Direkte input'!$A$3:$A$230,$A$1)),IF(VLOOKUP($A64,[1]!Table1[#All],2,FALSE)="Resultat",SUMIF($F$1:$F63,$D64,J$1:J63)+SUMIF($F66:$F$512,$D64,J66:J$512),0))*'[1]Processer - data'!J64,"")*IF($C64&lt;&gt;"",IF($F64="Halm",Landbrug!E$16*Landbrug!E$17,IF(LEFT($D64,5)="Areal", IF($G64="Ton",Landbrug!E$18,1),1)),1)*IF($F64="Grøntsager",IF($A64="Grøntsager i drivhus",Landbrug!E$51,1-Landbrug!E$51),1)</f>
        <v>0</v>
      </c>
    </row>
    <row r="65" spans="1:10" x14ac:dyDescent="0.25">
      <c r="A65" s="168" t="str">
        <f>IF('[1]Processer - data'!A65&lt;&gt;"",'[1]Processer - data'!A65,"")</f>
        <v>Skovproduktion</v>
      </c>
      <c r="B65" s="168" t="str">
        <f>IF('[1]Processer - data'!B65&lt;&gt;"",'[1]Processer - data'!B65,"")</f>
        <v/>
      </c>
      <c r="C65" s="168" t="str">
        <f>IF('[1]Processer - data'!C65&lt;&gt;"",'[1]Processer - data'!C65,"")</f>
        <v>Skovtype4</v>
      </c>
      <c r="D65" s="168" t="str">
        <f>IF('[1]Processer - data'!D65&lt;&gt;"",'[1]Processer - data'!D65,"")</f>
        <v>Areal-skovtype4-10</v>
      </c>
      <c r="E65" s="168" t="str">
        <f>IF('[1]Processer - data'!E65&lt;&gt;"",'[1]Processer - data'!E65,"")</f>
        <v>Hektar</v>
      </c>
      <c r="F65" s="168" t="str">
        <f>IF('[1]Processer - data'!F65&lt;&gt;"",'[1]Processer - data'!F65,"")</f>
        <v>CO2 - atmosfære</v>
      </c>
      <c r="G65" s="168" t="str">
        <f>IF('[1]Processer - data'!G65&lt;&gt;"",'[1]Processer - data'!G65,"")</f>
        <v>t CO2-ækvivalenter</v>
      </c>
      <c r="H65" s="297">
        <f ca="1">IF($A65&lt;&gt;"",IF(VLOOKUP($A65,[1]!Table1[#All],2,FALSE)="Direkte input",IF($A65&lt;&gt;"Grøntsager i drivhus",SUMIFS('Direkte input'!G$3:G$230,'Direkte input'!$F$3:$F$230,$D65,'Direkte input'!$C$3:$C$230,$B65,'Direkte input'!$D$3:$D$230,$C65,'Direkte input'!$A$3:$A$230,$A$1),SUMIFS('Direkte input'!G$3:G$230,'Direkte input'!$F$3:$F$230,$D65,'Direkte input'!$C$3:$C$230,$B65,'Direkte input'!$A$3:$A$230,$A$1)),IF(VLOOKUP($A65,[1]!Table1[#All],2,FALSE)="Resultat",SUMIF($F$1:$F64,$D65,H$1:H64)+SUMIF($F67:$F$512,$D65,H67:H$512),0))*'[1]Processer - data'!H65,"")*IF($C65&lt;&gt;"",IF($F65="Halm",Landbrug!C$16*Landbrug!C$17,IF(LEFT($D65,5)="Areal", IF($G65="Ton",Landbrug!C$18,1),1)),1)*IF($F65="Grøntsager",IF($A65="Grøntsager i drivhus",Landbrug!C$51,1-Landbrug!C$51),1)</f>
        <v>0</v>
      </c>
      <c r="I65" s="298">
        <f ca="1">IF($A65&lt;&gt;"",IF(VLOOKUP($A65,[1]!Table1[#All],2,FALSE)="Direkte input",IF($A65&lt;&gt;"Grøntsager i drivhus",SUMIFS('Direkte input'!H$3:H$230,'Direkte input'!$F$3:$F$230,$D65,'Direkte input'!$C$3:$C$230,$B65,'Direkte input'!$D$3:$D$230,$C65,'Direkte input'!$A$3:$A$230,$A$1),SUMIFS('Direkte input'!H$3:H$230,'Direkte input'!$F$3:$F$230,$D65,'Direkte input'!$C$3:$C$230,$B65,'Direkte input'!$A$3:$A$230,$A$1)),IF(VLOOKUP($A65,[1]!Table1[#All],2,FALSE)="Resultat",SUMIF($F$1:$F64,$D65,I$1:I64)+SUMIF($F67:$F$512,$D65,I67:I$512),0))*'[1]Processer - data'!I65,"")*IF($C65&lt;&gt;"",IF($F65="Halm",Landbrug!D$16*Landbrug!D$17,IF(LEFT($D65,5)="Areal", IF($G65="Ton",Landbrug!D$18,1),1)),1)*IF($F65="Grøntsager",IF($A65="Grøntsager i drivhus",Landbrug!D$51,1-Landbrug!D$51),1)</f>
        <v>0</v>
      </c>
      <c r="J65" s="299">
        <f ca="1">IF($A65&lt;&gt;"",IF(VLOOKUP($A65,[1]!Table1[#All],2,FALSE)="Direkte input",IF($A65&lt;&gt;"Grøntsager i drivhus",SUMIFS('Direkte input'!I$3:I$230,'Direkte input'!$F$3:$F$230,$D65,'Direkte input'!$C$3:$C$230,$B65,'Direkte input'!$D$3:$D$230,$C65,'Direkte input'!$A$3:$A$230,$A$1),SUMIFS('Direkte input'!I$3:I$230,'Direkte input'!$F$3:$F$230,$D65,'Direkte input'!$C$3:$C$230,$B65,'Direkte input'!$A$3:$A$230,$A$1)),IF(VLOOKUP($A65,[1]!Table1[#All],2,FALSE)="Resultat",SUMIF($F$1:$F64,$D65,J$1:J64)+SUMIF($F67:$F$512,$D65,J67:J$512),0))*'[1]Processer - data'!J65,"")*IF($C65&lt;&gt;"",IF($F65="Halm",Landbrug!E$16*Landbrug!E$17,IF(LEFT($D65,5)="Areal", IF($G65="Ton",Landbrug!E$18,1),1)),1)*IF($F65="Grøntsager",IF($A65="Grøntsager i drivhus",Landbrug!E$51,1-Landbrug!E$51),1)</f>
        <v>0</v>
      </c>
    </row>
    <row r="66" spans="1:10" s="168" customFormat="1" x14ac:dyDescent="0.25">
      <c r="A66" s="168" t="str">
        <f>IF('[1]Processer - data'!A66&lt;&gt;"",'[1]Processer - data'!A66,"")</f>
        <v>Skovproduktion</v>
      </c>
      <c r="B66" s="168" t="str">
        <f>IF('[1]Processer - data'!B66&lt;&gt;"",'[1]Processer - data'!B66,"")</f>
        <v/>
      </c>
      <c r="C66" s="168" t="str">
        <f>IF('[1]Processer - data'!C66&lt;&gt;"",'[1]Processer - data'!C66,"")</f>
        <v>Skovtype4</v>
      </c>
      <c r="D66" s="168" t="str">
        <f>IF('[1]Processer - data'!D66&lt;&gt;"",'[1]Processer - data'!D66,"")</f>
        <v>Areal-skovtype4-10</v>
      </c>
      <c r="E66" s="168" t="str">
        <f>IF('[1]Processer - data'!E66&lt;&gt;"",'[1]Processer - data'!E66,"")</f>
        <v>Hektar</v>
      </c>
      <c r="F66" s="168" t="str">
        <f>IF('[1]Processer - data'!F66&lt;&gt;"",'[1]Processer - data'!F66,"")</f>
        <v>CO2 - HWP</v>
      </c>
      <c r="G66" s="168" t="str">
        <f>IF('[1]Processer - data'!G66&lt;&gt;"",'[1]Processer - data'!G66,"")</f>
        <v>t CO2-ækvivalenter</v>
      </c>
      <c r="H66" s="297">
        <f ca="1">IF($A66&lt;&gt;"",IF(VLOOKUP($A66,[1]!Table1[#All],2,FALSE)="Direkte input",IF($A66&lt;&gt;"Grøntsager i drivhus",SUMIFS('Direkte input'!G$3:G$230,'Direkte input'!$F$3:$F$230,$D66,'Direkte input'!$C$3:$C$230,$B66,'Direkte input'!$D$3:$D$230,$C66,'Direkte input'!$A$3:$A$230,$A$1),SUMIFS('Direkte input'!G$3:G$230,'Direkte input'!$F$3:$F$230,$D66,'Direkte input'!$C$3:$C$230,$B66,'Direkte input'!$A$3:$A$230,$A$1)),IF(VLOOKUP($A66,[1]!Table1[#All],2,FALSE)="Resultat",SUMIF($F$1:$F65,$D66,H$1:H65)+SUMIF($F68:$F$512,$D66,H68:H$512),0))*'[1]Processer - data'!H66,"")*IF($C66&lt;&gt;"",IF($F66="Halm",Landbrug!C$16*Landbrug!C$17,IF(LEFT($D66,5)="Areal", IF($G66="Ton",Landbrug!C$18,1),1)),1)*IF($F66="Grøntsager",IF($A66="Grøntsager i drivhus",Landbrug!C$51,1-Landbrug!C$51),1)</f>
        <v>0</v>
      </c>
      <c r="I66" s="298">
        <f ca="1">IF($A66&lt;&gt;"",IF(VLOOKUP($A66,[1]!Table1[#All],2,FALSE)="Direkte input",IF($A66&lt;&gt;"Grøntsager i drivhus",SUMIFS('Direkte input'!H$3:H$230,'Direkte input'!$F$3:$F$230,$D66,'Direkte input'!$C$3:$C$230,$B66,'Direkte input'!$D$3:$D$230,$C66,'Direkte input'!$A$3:$A$230,$A$1),SUMIFS('Direkte input'!H$3:H$230,'Direkte input'!$F$3:$F$230,$D66,'Direkte input'!$C$3:$C$230,$B66,'Direkte input'!$A$3:$A$230,$A$1)),IF(VLOOKUP($A66,[1]!Table1[#All],2,FALSE)="Resultat",SUMIF($F$1:$F65,$D66,I$1:I65)+SUMIF($F68:$F$512,$D66,I68:I$512),0))*'[1]Processer - data'!I66,"")*IF($C66&lt;&gt;"",IF($F66="Halm",Landbrug!D$16*Landbrug!D$17,IF(LEFT($D66,5)="Areal", IF($G66="Ton",Landbrug!D$18,1),1)),1)*IF($F66="Grøntsager",IF($A66="Grøntsager i drivhus",Landbrug!D$51,1-Landbrug!D$51),1)</f>
        <v>0</v>
      </c>
      <c r="J66" s="299">
        <f ca="1">IF($A66&lt;&gt;"",IF(VLOOKUP($A66,[1]!Table1[#All],2,FALSE)="Direkte input",IF($A66&lt;&gt;"Grøntsager i drivhus",SUMIFS('Direkte input'!I$3:I$230,'Direkte input'!$F$3:$F$230,$D66,'Direkte input'!$C$3:$C$230,$B66,'Direkte input'!$D$3:$D$230,$C66,'Direkte input'!$A$3:$A$230,$A$1),SUMIFS('Direkte input'!I$3:I$230,'Direkte input'!$F$3:$F$230,$D66,'Direkte input'!$C$3:$C$230,$B66,'Direkte input'!$A$3:$A$230,$A$1)),IF(VLOOKUP($A66,[1]!Table1[#All],2,FALSE)="Resultat",SUMIF($F$1:$F65,$D66,J$1:J65)+SUMIF($F68:$F$512,$D66,J68:J$512),0))*'[1]Processer - data'!J66,"")*IF($C66&lt;&gt;"",IF($F66="Halm",Landbrug!E$16*Landbrug!E$17,IF(LEFT($D66,5)="Areal", IF($G66="Ton",Landbrug!E$18,1),1)),1)*IF($F66="Grøntsager",IF($A66="Grøntsager i drivhus",Landbrug!E$51,1-Landbrug!E$51),1)</f>
        <v>0</v>
      </c>
    </row>
    <row r="67" spans="1:10" x14ac:dyDescent="0.25">
      <c r="A67" s="168" t="str">
        <f>IF('[1]Processer - data'!A67&lt;&gt;"",'[1]Processer - data'!A67,"")</f>
        <v>Skovproduktion</v>
      </c>
      <c r="B67" s="168" t="str">
        <f>IF('[1]Processer - data'!B67&lt;&gt;"",'[1]Processer - data'!B67,"")</f>
        <v/>
      </c>
      <c r="C67" s="168" t="str">
        <f>IF('[1]Processer - data'!C67&lt;&gt;"",'[1]Processer - data'!C67,"")</f>
        <v>Skovtype4</v>
      </c>
      <c r="D67" s="168" t="str">
        <f>IF('[1]Processer - data'!D67&lt;&gt;"",'[1]Processer - data'!D67,"")</f>
        <v>Areal-skovtype4-20</v>
      </c>
      <c r="E67" s="168" t="str">
        <f>IF('[1]Processer - data'!E67&lt;&gt;"",'[1]Processer - data'!E67,"")</f>
        <v>Hektar</v>
      </c>
      <c r="F67" s="168" t="str">
        <f>IF('[1]Processer - data'!F67&lt;&gt;"",'[1]Processer - data'!F67,"")</f>
        <v>Træer</v>
      </c>
      <c r="G67" s="168" t="str">
        <f>IF('[1]Processer - data'!G67&lt;&gt;"",'[1]Processer - data'!G67,"")</f>
        <v>m3</v>
      </c>
      <c r="H67" s="297">
        <f ca="1">IF($A67&lt;&gt;"",IF(VLOOKUP($A67,[1]!Table1[#All],2,FALSE)="Direkte input",IF($A67&lt;&gt;"Grøntsager i drivhus",SUMIFS('Direkte input'!G$3:G$230,'Direkte input'!$F$3:$F$230,$D67,'Direkte input'!$C$3:$C$230,$B67,'Direkte input'!$D$3:$D$230,$C67,'Direkte input'!$A$3:$A$230,$A$1),SUMIFS('Direkte input'!G$3:G$230,'Direkte input'!$F$3:$F$230,$D67,'Direkte input'!$C$3:$C$230,$B67,'Direkte input'!$A$3:$A$230,$A$1)),IF(VLOOKUP($A67,[1]!Table1[#All],2,FALSE)="Resultat",SUMIF($F$1:$F66,$D67,H$1:H66)+SUMIF($F69:$F$512,$D67,H69:H$512),0))*'[1]Processer - data'!H67,"")*IF($C67&lt;&gt;"",IF($F67="Halm",Landbrug!C$16*Landbrug!C$17,IF(LEFT($D67,5)="Areal", IF($G67="Ton",Landbrug!C$18,1),1)),1)*IF($F67="Grøntsager",IF($A67="Grøntsager i drivhus",Landbrug!C$51,1-Landbrug!C$51),1)</f>
        <v>0</v>
      </c>
      <c r="I67" s="298">
        <f ca="1">IF($A67&lt;&gt;"",IF(VLOOKUP($A67,[1]!Table1[#All],2,FALSE)="Direkte input",IF($A67&lt;&gt;"Grøntsager i drivhus",SUMIFS('Direkte input'!H$3:H$230,'Direkte input'!$F$3:$F$230,$D67,'Direkte input'!$C$3:$C$230,$B67,'Direkte input'!$D$3:$D$230,$C67,'Direkte input'!$A$3:$A$230,$A$1),SUMIFS('Direkte input'!H$3:H$230,'Direkte input'!$F$3:$F$230,$D67,'Direkte input'!$C$3:$C$230,$B67,'Direkte input'!$A$3:$A$230,$A$1)),IF(VLOOKUP($A67,[1]!Table1[#All],2,FALSE)="Resultat",SUMIF($F$1:$F66,$D67,I$1:I66)+SUMIF($F69:$F$512,$D67,I69:I$512),0))*'[1]Processer - data'!I67,"")*IF($C67&lt;&gt;"",IF($F67="Halm",Landbrug!D$16*Landbrug!D$17,IF(LEFT($D67,5)="Areal", IF($G67="Ton",Landbrug!D$18,1),1)),1)*IF($F67="Grøntsager",IF($A67="Grøntsager i drivhus",Landbrug!D$51,1-Landbrug!D$51),1)</f>
        <v>0</v>
      </c>
      <c r="J67" s="299">
        <f ca="1">IF($A67&lt;&gt;"",IF(VLOOKUP($A67,[1]!Table1[#All],2,FALSE)="Direkte input",IF($A67&lt;&gt;"Grøntsager i drivhus",SUMIFS('Direkte input'!I$3:I$230,'Direkte input'!$F$3:$F$230,$D67,'Direkte input'!$C$3:$C$230,$B67,'Direkte input'!$D$3:$D$230,$C67,'Direkte input'!$A$3:$A$230,$A$1),SUMIFS('Direkte input'!I$3:I$230,'Direkte input'!$F$3:$F$230,$D67,'Direkte input'!$C$3:$C$230,$B67,'Direkte input'!$A$3:$A$230,$A$1)),IF(VLOOKUP($A67,[1]!Table1[#All],2,FALSE)="Resultat",SUMIF($F$1:$F66,$D67,J$1:J66)+SUMIF($F69:$F$512,$D67,J69:J$512),0))*'[1]Processer - data'!J67,"")*IF($C67&lt;&gt;"",IF($F67="Halm",Landbrug!E$16*Landbrug!E$17,IF(LEFT($D67,5)="Areal", IF($G67="Ton",Landbrug!E$18,1),1)),1)*IF($F67="Grøntsager",IF($A67="Grøntsager i drivhus",Landbrug!E$51,1-Landbrug!E$51),1)</f>
        <v>0</v>
      </c>
    </row>
    <row r="68" spans="1:10" x14ac:dyDescent="0.25">
      <c r="A68" s="168" t="str">
        <f>IF('[1]Processer - data'!A68&lt;&gt;"",'[1]Processer - data'!A68,"")</f>
        <v>Skovproduktion</v>
      </c>
      <c r="B68" s="168" t="str">
        <f>IF('[1]Processer - data'!B68&lt;&gt;"",'[1]Processer - data'!B68,"")</f>
        <v/>
      </c>
      <c r="C68" s="168" t="str">
        <f>IF('[1]Processer - data'!C68&lt;&gt;"",'[1]Processer - data'!C68,"")</f>
        <v>Skovtype4</v>
      </c>
      <c r="D68" s="168" t="str">
        <f>IF('[1]Processer - data'!D68&lt;&gt;"",'[1]Processer - data'!D68,"")</f>
        <v>Areal-skovtype4-20</v>
      </c>
      <c r="E68" s="168" t="str">
        <f>IF('[1]Processer - data'!E68&lt;&gt;"",'[1]Processer - data'!E68,"")</f>
        <v>Hektar</v>
      </c>
      <c r="F68" s="168" t="str">
        <f>IF('[1]Processer - data'!F68&lt;&gt;"",'[1]Processer - data'!F68,"")</f>
        <v>Træ til energi</v>
      </c>
      <c r="G68" s="168" t="str">
        <f>IF('[1]Processer - data'!G68&lt;&gt;"",'[1]Processer - data'!G68,"")</f>
        <v>m3</v>
      </c>
      <c r="H68" s="297">
        <f ca="1">IF($A68&lt;&gt;"",IF(VLOOKUP($A68,[1]!Table1[#All],2,FALSE)="Direkte input",IF($A68&lt;&gt;"Grøntsager i drivhus",SUMIFS('Direkte input'!G$3:G$230,'Direkte input'!$F$3:$F$230,$D68,'Direkte input'!$C$3:$C$230,$B68,'Direkte input'!$D$3:$D$230,$C68,'Direkte input'!$A$3:$A$230,$A$1),SUMIFS('Direkte input'!G$3:G$230,'Direkte input'!$F$3:$F$230,$D68,'Direkte input'!$C$3:$C$230,$B68,'Direkte input'!$A$3:$A$230,$A$1)),IF(VLOOKUP($A68,[1]!Table1[#All],2,FALSE)="Resultat",SUMIF($F$1:$F67,$D68,H$1:H67)+SUMIF($F70:$F$512,$D68,H70:H$512),0))*'[1]Processer - data'!H68,"")*IF($C68&lt;&gt;"",IF($F68="Halm",Landbrug!C$16*Landbrug!C$17,IF(LEFT($D68,5)="Areal", IF($G68="Ton",Landbrug!C$18,1),1)),1)*IF($F68="Grøntsager",IF($A68="Grøntsager i drivhus",Landbrug!C$51,1-Landbrug!C$51),1)</f>
        <v>0</v>
      </c>
      <c r="I68" s="298">
        <f ca="1">IF($A68&lt;&gt;"",IF(VLOOKUP($A68,[1]!Table1[#All],2,FALSE)="Direkte input",IF($A68&lt;&gt;"Grøntsager i drivhus",SUMIFS('Direkte input'!H$3:H$230,'Direkte input'!$F$3:$F$230,$D68,'Direkte input'!$C$3:$C$230,$B68,'Direkte input'!$D$3:$D$230,$C68,'Direkte input'!$A$3:$A$230,$A$1),SUMIFS('Direkte input'!H$3:H$230,'Direkte input'!$F$3:$F$230,$D68,'Direkte input'!$C$3:$C$230,$B68,'Direkte input'!$A$3:$A$230,$A$1)),IF(VLOOKUP($A68,[1]!Table1[#All],2,FALSE)="Resultat",SUMIF($F$1:$F67,$D68,I$1:I67)+SUMIF($F70:$F$512,$D68,I70:I$512),0))*'[1]Processer - data'!I68,"")*IF($C68&lt;&gt;"",IF($F68="Halm",Landbrug!D$16*Landbrug!D$17,IF(LEFT($D68,5)="Areal", IF($G68="Ton",Landbrug!D$18,1),1)),1)*IF($F68="Grøntsager",IF($A68="Grøntsager i drivhus",Landbrug!D$51,1-Landbrug!D$51),1)</f>
        <v>0</v>
      </c>
      <c r="J68" s="299">
        <f ca="1">IF($A68&lt;&gt;"",IF(VLOOKUP($A68,[1]!Table1[#All],2,FALSE)="Direkte input",IF($A68&lt;&gt;"Grøntsager i drivhus",SUMIFS('Direkte input'!I$3:I$230,'Direkte input'!$F$3:$F$230,$D68,'Direkte input'!$C$3:$C$230,$B68,'Direkte input'!$D$3:$D$230,$C68,'Direkte input'!$A$3:$A$230,$A$1),SUMIFS('Direkte input'!I$3:I$230,'Direkte input'!$F$3:$F$230,$D68,'Direkte input'!$C$3:$C$230,$B68,'Direkte input'!$A$3:$A$230,$A$1)),IF(VLOOKUP($A68,[1]!Table1[#All],2,FALSE)="Resultat",SUMIF($F$1:$F67,$D68,J$1:J67)+SUMIF($F70:$F$512,$D68,J70:J$512),0))*'[1]Processer - data'!J68,"")*IF($C68&lt;&gt;"",IF($F68="Halm",Landbrug!E$16*Landbrug!E$17,IF(LEFT($D68,5)="Areal", IF($G68="Ton",Landbrug!E$18,1),1)),1)*IF($F68="Grøntsager",IF($A68="Grøntsager i drivhus",Landbrug!E$51,1-Landbrug!E$51),1)</f>
        <v>0</v>
      </c>
    </row>
    <row r="69" spans="1:10" x14ac:dyDescent="0.25">
      <c r="A69" s="168" t="str">
        <f>IF('[1]Processer - data'!A69&lt;&gt;"",'[1]Processer - data'!A69,"")</f>
        <v>Skovproduktion</v>
      </c>
      <c r="B69" s="168" t="str">
        <f>IF('[1]Processer - data'!B69&lt;&gt;"",'[1]Processer - data'!B69,"")</f>
        <v/>
      </c>
      <c r="C69" s="168" t="str">
        <f>IF('[1]Processer - data'!C69&lt;&gt;"",'[1]Processer - data'!C69,"")</f>
        <v>Skovtype4</v>
      </c>
      <c r="D69" s="168" t="str">
        <f>IF('[1]Processer - data'!D69&lt;&gt;"",'[1]Processer - data'!D69,"")</f>
        <v>Areal-skovtype4-20</v>
      </c>
      <c r="E69" s="168" t="str">
        <f>IF('[1]Processer - data'!E69&lt;&gt;"",'[1]Processer - data'!E69,"")</f>
        <v>Hektar</v>
      </c>
      <c r="F69" s="168" t="str">
        <f>IF('[1]Processer - data'!F69&lt;&gt;"",'[1]Processer - data'!F69,"")</f>
        <v>CO2 - atmosfære</v>
      </c>
      <c r="G69" s="168" t="str">
        <f>IF('[1]Processer - data'!G69&lt;&gt;"",'[1]Processer - data'!G69,"")</f>
        <v>t CO2-ækvivalenter</v>
      </c>
      <c r="H69" s="297">
        <f ca="1">IF($A69&lt;&gt;"",IF(VLOOKUP($A69,[1]!Table1[#All],2,FALSE)="Direkte input",IF($A69&lt;&gt;"Grøntsager i drivhus",SUMIFS('Direkte input'!G$3:G$230,'Direkte input'!$F$3:$F$230,$D69,'Direkte input'!$C$3:$C$230,$B69,'Direkte input'!$D$3:$D$230,$C69,'Direkte input'!$A$3:$A$230,$A$1),SUMIFS('Direkte input'!G$3:G$230,'Direkte input'!$F$3:$F$230,$D69,'Direkte input'!$C$3:$C$230,$B69,'Direkte input'!$A$3:$A$230,$A$1)),IF(VLOOKUP($A69,[1]!Table1[#All],2,FALSE)="Resultat",SUMIF($F$1:$F68,$D69,H$1:H68)+SUMIF($F71:$F$512,$D69,H71:H$512),0))*'[1]Processer - data'!H69,"")*IF($C69&lt;&gt;"",IF($F69="Halm",Landbrug!C$16*Landbrug!C$17,IF(LEFT($D69,5)="Areal", IF($G69="Ton",Landbrug!C$18,1),1)),1)*IF($F69="Grøntsager",IF($A69="Grøntsager i drivhus",Landbrug!C$51,1-Landbrug!C$51),1)</f>
        <v>0</v>
      </c>
      <c r="I69" s="298">
        <f ca="1">IF($A69&lt;&gt;"",IF(VLOOKUP($A69,[1]!Table1[#All],2,FALSE)="Direkte input",IF($A69&lt;&gt;"Grøntsager i drivhus",SUMIFS('Direkte input'!H$3:H$230,'Direkte input'!$F$3:$F$230,$D69,'Direkte input'!$C$3:$C$230,$B69,'Direkte input'!$D$3:$D$230,$C69,'Direkte input'!$A$3:$A$230,$A$1),SUMIFS('Direkte input'!H$3:H$230,'Direkte input'!$F$3:$F$230,$D69,'Direkte input'!$C$3:$C$230,$B69,'Direkte input'!$A$3:$A$230,$A$1)),IF(VLOOKUP($A69,[1]!Table1[#All],2,FALSE)="Resultat",SUMIF($F$1:$F68,$D69,I$1:I68)+SUMIF($F71:$F$512,$D69,I71:I$512),0))*'[1]Processer - data'!I69,"")*IF($C69&lt;&gt;"",IF($F69="Halm",Landbrug!D$16*Landbrug!D$17,IF(LEFT($D69,5)="Areal", IF($G69="Ton",Landbrug!D$18,1),1)),1)*IF($F69="Grøntsager",IF($A69="Grøntsager i drivhus",Landbrug!D$51,1-Landbrug!D$51),1)</f>
        <v>0</v>
      </c>
      <c r="J69" s="299">
        <f ca="1">IF($A69&lt;&gt;"",IF(VLOOKUP($A69,[1]!Table1[#All],2,FALSE)="Direkte input",IF($A69&lt;&gt;"Grøntsager i drivhus",SUMIFS('Direkte input'!I$3:I$230,'Direkte input'!$F$3:$F$230,$D69,'Direkte input'!$C$3:$C$230,$B69,'Direkte input'!$D$3:$D$230,$C69,'Direkte input'!$A$3:$A$230,$A$1),SUMIFS('Direkte input'!I$3:I$230,'Direkte input'!$F$3:$F$230,$D69,'Direkte input'!$C$3:$C$230,$B69,'Direkte input'!$A$3:$A$230,$A$1)),IF(VLOOKUP($A69,[1]!Table1[#All],2,FALSE)="Resultat",SUMIF($F$1:$F68,$D69,J$1:J68)+SUMIF($F71:$F$512,$D69,J71:J$512),0))*'[1]Processer - data'!J69,"")*IF($C69&lt;&gt;"",IF($F69="Halm",Landbrug!E$16*Landbrug!E$17,IF(LEFT($D69,5)="Areal", IF($G69="Ton",Landbrug!E$18,1),1)),1)*IF($F69="Grøntsager",IF($A69="Grøntsager i drivhus",Landbrug!E$51,1-Landbrug!E$51),1)</f>
        <v>0</v>
      </c>
    </row>
    <row r="70" spans="1:10" s="168" customFormat="1" x14ac:dyDescent="0.25">
      <c r="A70" s="168" t="str">
        <f>IF('[1]Processer - data'!A70&lt;&gt;"",'[1]Processer - data'!A70,"")</f>
        <v>Skovproduktion</v>
      </c>
      <c r="B70" s="168" t="str">
        <f>IF('[1]Processer - data'!B70&lt;&gt;"",'[1]Processer - data'!B70,"")</f>
        <v/>
      </c>
      <c r="C70" s="168" t="str">
        <f>IF('[1]Processer - data'!C70&lt;&gt;"",'[1]Processer - data'!C70,"")</f>
        <v>Skovtype4</v>
      </c>
      <c r="D70" s="168" t="str">
        <f>IF('[1]Processer - data'!D70&lt;&gt;"",'[1]Processer - data'!D70,"")</f>
        <v>Areal-skovtype4-20</v>
      </c>
      <c r="E70" s="168" t="str">
        <f>IF('[1]Processer - data'!E70&lt;&gt;"",'[1]Processer - data'!E70,"")</f>
        <v>Hektar</v>
      </c>
      <c r="F70" s="168" t="str">
        <f>IF('[1]Processer - data'!F70&lt;&gt;"",'[1]Processer - data'!F70,"")</f>
        <v>CO2 - HWP</v>
      </c>
      <c r="G70" s="168" t="str">
        <f>IF('[1]Processer - data'!G70&lt;&gt;"",'[1]Processer - data'!G70,"")</f>
        <v>t CO2-ækvivalenter</v>
      </c>
      <c r="H70" s="297">
        <f ca="1">IF($A70&lt;&gt;"",IF(VLOOKUP($A70,[1]!Table1[#All],2,FALSE)="Direkte input",IF($A70&lt;&gt;"Grøntsager i drivhus",SUMIFS('Direkte input'!G$3:G$230,'Direkte input'!$F$3:$F$230,$D70,'Direkte input'!$C$3:$C$230,$B70,'Direkte input'!$D$3:$D$230,$C70,'Direkte input'!$A$3:$A$230,$A$1),SUMIFS('Direkte input'!G$3:G$230,'Direkte input'!$F$3:$F$230,$D70,'Direkte input'!$C$3:$C$230,$B70,'Direkte input'!$A$3:$A$230,$A$1)),IF(VLOOKUP($A70,[1]!Table1[#All],2,FALSE)="Resultat",SUMIF($F$1:$F69,$D70,H$1:H69)+SUMIF($F72:$F$512,$D70,H72:H$512),0))*'[1]Processer - data'!H70,"")*IF($C70&lt;&gt;"",IF($F70="Halm",Landbrug!C$16*Landbrug!C$17,IF(LEFT($D70,5)="Areal", IF($G70="Ton",Landbrug!C$18,1),1)),1)*IF($F70="Grøntsager",IF($A70="Grøntsager i drivhus",Landbrug!C$51,1-Landbrug!C$51),1)</f>
        <v>0</v>
      </c>
      <c r="I70" s="298">
        <f ca="1">IF($A70&lt;&gt;"",IF(VLOOKUP($A70,[1]!Table1[#All],2,FALSE)="Direkte input",IF($A70&lt;&gt;"Grøntsager i drivhus",SUMIFS('Direkte input'!H$3:H$230,'Direkte input'!$F$3:$F$230,$D70,'Direkte input'!$C$3:$C$230,$B70,'Direkte input'!$D$3:$D$230,$C70,'Direkte input'!$A$3:$A$230,$A$1),SUMIFS('Direkte input'!H$3:H$230,'Direkte input'!$F$3:$F$230,$D70,'Direkte input'!$C$3:$C$230,$B70,'Direkte input'!$A$3:$A$230,$A$1)),IF(VLOOKUP($A70,[1]!Table1[#All],2,FALSE)="Resultat",SUMIF($F$1:$F69,$D70,I$1:I69)+SUMIF($F72:$F$512,$D70,I72:I$512),0))*'[1]Processer - data'!I70,"")*IF($C70&lt;&gt;"",IF($F70="Halm",Landbrug!D$16*Landbrug!D$17,IF(LEFT($D70,5)="Areal", IF($G70="Ton",Landbrug!D$18,1),1)),1)*IF($F70="Grøntsager",IF($A70="Grøntsager i drivhus",Landbrug!D$51,1-Landbrug!D$51),1)</f>
        <v>0</v>
      </c>
      <c r="J70" s="299">
        <f ca="1">IF($A70&lt;&gt;"",IF(VLOOKUP($A70,[1]!Table1[#All],2,FALSE)="Direkte input",IF($A70&lt;&gt;"Grøntsager i drivhus",SUMIFS('Direkte input'!I$3:I$230,'Direkte input'!$F$3:$F$230,$D70,'Direkte input'!$C$3:$C$230,$B70,'Direkte input'!$D$3:$D$230,$C70,'Direkte input'!$A$3:$A$230,$A$1),SUMIFS('Direkte input'!I$3:I$230,'Direkte input'!$F$3:$F$230,$D70,'Direkte input'!$C$3:$C$230,$B70,'Direkte input'!$A$3:$A$230,$A$1)),IF(VLOOKUP($A70,[1]!Table1[#All],2,FALSE)="Resultat",SUMIF($F$1:$F69,$D70,J$1:J69)+SUMIF($F72:$F$512,$D70,J72:J$512),0))*'[1]Processer - data'!J70,"")*IF($C70&lt;&gt;"",IF($F70="Halm",Landbrug!E$16*Landbrug!E$17,IF(LEFT($D70,5)="Areal", IF($G70="Ton",Landbrug!E$18,1),1)),1)*IF($F70="Grøntsager",IF($A70="Grøntsager i drivhus",Landbrug!E$51,1-Landbrug!E$51),1)</f>
        <v>0</v>
      </c>
    </row>
    <row r="71" spans="1:10" x14ac:dyDescent="0.25">
      <c r="A71" s="168" t="str">
        <f>IF('[1]Processer - data'!A71&lt;&gt;"",'[1]Processer - data'!A71,"")</f>
        <v>Skovproduktion</v>
      </c>
      <c r="B71" s="168" t="str">
        <f>IF('[1]Processer - data'!B71&lt;&gt;"",'[1]Processer - data'!B71,"")</f>
        <v/>
      </c>
      <c r="C71" s="168" t="str">
        <f>IF('[1]Processer - data'!C71&lt;&gt;"",'[1]Processer - data'!C71,"")</f>
        <v>Skovtype4</v>
      </c>
      <c r="D71" s="168" t="str">
        <f>IF('[1]Processer - data'!D71&lt;&gt;"",'[1]Processer - data'!D71,"")</f>
        <v>Areal-skovtype4-30</v>
      </c>
      <c r="E71" s="168" t="str">
        <f>IF('[1]Processer - data'!E71&lt;&gt;"",'[1]Processer - data'!E71,"")</f>
        <v>Hektar</v>
      </c>
      <c r="F71" s="168" t="str">
        <f>IF('[1]Processer - data'!F71&lt;&gt;"",'[1]Processer - data'!F71,"")</f>
        <v>Træer</v>
      </c>
      <c r="G71" s="168" t="str">
        <f>IF('[1]Processer - data'!G71&lt;&gt;"",'[1]Processer - data'!G71,"")</f>
        <v>m3</v>
      </c>
      <c r="H71" s="297">
        <f ca="1">IF($A71&lt;&gt;"",IF(VLOOKUP($A71,[1]!Table1[#All],2,FALSE)="Direkte input",IF($A71&lt;&gt;"Grøntsager i drivhus",SUMIFS('Direkte input'!G$3:G$230,'Direkte input'!$F$3:$F$230,$D71,'Direkte input'!$C$3:$C$230,$B71,'Direkte input'!$D$3:$D$230,$C71,'Direkte input'!$A$3:$A$230,$A$1),SUMIFS('Direkte input'!G$3:G$230,'Direkte input'!$F$3:$F$230,$D71,'Direkte input'!$C$3:$C$230,$B71,'Direkte input'!$A$3:$A$230,$A$1)),IF(VLOOKUP($A71,[1]!Table1[#All],2,FALSE)="Resultat",SUMIF($F$1:$F70,$D71,H$1:H70)+SUMIF($F73:$F$512,$D71,H73:H$512),0))*'[1]Processer - data'!H71,"")*IF($C71&lt;&gt;"",IF($F71="Halm",Landbrug!C$16*Landbrug!C$17,IF(LEFT($D71,5)="Areal", IF($G71="Ton",Landbrug!C$18,1),1)),1)*IF($F71="Grøntsager",IF($A71="Grøntsager i drivhus",Landbrug!C$51,1-Landbrug!C$51),1)</f>
        <v>0</v>
      </c>
      <c r="I71" s="298">
        <f ca="1">IF($A71&lt;&gt;"",IF(VLOOKUP($A71,[1]!Table1[#All],2,FALSE)="Direkte input",IF($A71&lt;&gt;"Grøntsager i drivhus",SUMIFS('Direkte input'!H$3:H$230,'Direkte input'!$F$3:$F$230,$D71,'Direkte input'!$C$3:$C$230,$B71,'Direkte input'!$D$3:$D$230,$C71,'Direkte input'!$A$3:$A$230,$A$1),SUMIFS('Direkte input'!H$3:H$230,'Direkte input'!$F$3:$F$230,$D71,'Direkte input'!$C$3:$C$230,$B71,'Direkte input'!$A$3:$A$230,$A$1)),IF(VLOOKUP($A71,[1]!Table1[#All],2,FALSE)="Resultat",SUMIF($F$1:$F70,$D71,I$1:I70)+SUMIF($F73:$F$512,$D71,I73:I$512),0))*'[1]Processer - data'!I71,"")*IF($C71&lt;&gt;"",IF($F71="Halm",Landbrug!D$16*Landbrug!D$17,IF(LEFT($D71,5)="Areal", IF($G71="Ton",Landbrug!D$18,1),1)),1)*IF($F71="Grøntsager",IF($A71="Grøntsager i drivhus",Landbrug!D$51,1-Landbrug!D$51),1)</f>
        <v>0</v>
      </c>
      <c r="J71" s="299">
        <f ca="1">IF($A71&lt;&gt;"",IF(VLOOKUP($A71,[1]!Table1[#All],2,FALSE)="Direkte input",IF($A71&lt;&gt;"Grøntsager i drivhus",SUMIFS('Direkte input'!I$3:I$230,'Direkte input'!$F$3:$F$230,$D71,'Direkte input'!$C$3:$C$230,$B71,'Direkte input'!$D$3:$D$230,$C71,'Direkte input'!$A$3:$A$230,$A$1),SUMIFS('Direkte input'!I$3:I$230,'Direkte input'!$F$3:$F$230,$D71,'Direkte input'!$C$3:$C$230,$B71,'Direkte input'!$A$3:$A$230,$A$1)),IF(VLOOKUP($A71,[1]!Table1[#All],2,FALSE)="Resultat",SUMIF($F$1:$F70,$D71,J$1:J70)+SUMIF($F73:$F$512,$D71,J73:J$512),0))*'[1]Processer - data'!J71,"")*IF($C71&lt;&gt;"",IF($F71="Halm",Landbrug!E$16*Landbrug!E$17,IF(LEFT($D71,5)="Areal", IF($G71="Ton",Landbrug!E$18,1),1)),1)*IF($F71="Grøntsager",IF($A71="Grøntsager i drivhus",Landbrug!E$51,1-Landbrug!E$51),1)</f>
        <v>0</v>
      </c>
    </row>
    <row r="72" spans="1:10" x14ac:dyDescent="0.25">
      <c r="A72" s="168" t="str">
        <f>IF('[1]Processer - data'!A72&lt;&gt;"",'[1]Processer - data'!A72,"")</f>
        <v>Skovproduktion</v>
      </c>
      <c r="B72" s="168" t="str">
        <f>IF('[1]Processer - data'!B72&lt;&gt;"",'[1]Processer - data'!B72,"")</f>
        <v/>
      </c>
      <c r="C72" s="168" t="str">
        <f>IF('[1]Processer - data'!C72&lt;&gt;"",'[1]Processer - data'!C72,"")</f>
        <v>Skovtype4</v>
      </c>
      <c r="D72" s="168" t="str">
        <f>IF('[1]Processer - data'!D72&lt;&gt;"",'[1]Processer - data'!D72,"")</f>
        <v>Areal-skovtype4-30</v>
      </c>
      <c r="E72" s="168" t="str">
        <f>IF('[1]Processer - data'!E72&lt;&gt;"",'[1]Processer - data'!E72,"")</f>
        <v>Hektar</v>
      </c>
      <c r="F72" s="168" t="str">
        <f>IF('[1]Processer - data'!F72&lt;&gt;"",'[1]Processer - data'!F72,"")</f>
        <v>Træ til energi</v>
      </c>
      <c r="G72" s="168" t="str">
        <f>IF('[1]Processer - data'!G72&lt;&gt;"",'[1]Processer - data'!G72,"")</f>
        <v>m3</v>
      </c>
      <c r="H72" s="297">
        <f ca="1">IF($A72&lt;&gt;"",IF(VLOOKUP($A72,[1]!Table1[#All],2,FALSE)="Direkte input",IF($A72&lt;&gt;"Grøntsager i drivhus",SUMIFS('Direkte input'!G$3:G$230,'Direkte input'!$F$3:$F$230,$D72,'Direkte input'!$C$3:$C$230,$B72,'Direkte input'!$D$3:$D$230,$C72,'Direkte input'!$A$3:$A$230,$A$1),SUMIFS('Direkte input'!G$3:G$230,'Direkte input'!$F$3:$F$230,$D72,'Direkte input'!$C$3:$C$230,$B72,'Direkte input'!$A$3:$A$230,$A$1)),IF(VLOOKUP($A72,[1]!Table1[#All],2,FALSE)="Resultat",SUMIF($F$1:$F71,$D72,H$1:H71)+SUMIF($F74:$F$512,$D72,H74:H$512),0))*'[1]Processer - data'!H72,"")*IF($C72&lt;&gt;"",IF($F72="Halm",Landbrug!C$16*Landbrug!C$17,IF(LEFT($D72,5)="Areal", IF($G72="Ton",Landbrug!C$18,1),1)),1)*IF($F72="Grøntsager",IF($A72="Grøntsager i drivhus",Landbrug!C$51,1-Landbrug!C$51),1)</f>
        <v>0</v>
      </c>
      <c r="I72" s="298">
        <f ca="1">IF($A72&lt;&gt;"",IF(VLOOKUP($A72,[1]!Table1[#All],2,FALSE)="Direkte input",IF($A72&lt;&gt;"Grøntsager i drivhus",SUMIFS('Direkte input'!H$3:H$230,'Direkte input'!$F$3:$F$230,$D72,'Direkte input'!$C$3:$C$230,$B72,'Direkte input'!$D$3:$D$230,$C72,'Direkte input'!$A$3:$A$230,$A$1),SUMIFS('Direkte input'!H$3:H$230,'Direkte input'!$F$3:$F$230,$D72,'Direkte input'!$C$3:$C$230,$B72,'Direkte input'!$A$3:$A$230,$A$1)),IF(VLOOKUP($A72,[1]!Table1[#All],2,FALSE)="Resultat",SUMIF($F$1:$F71,$D72,I$1:I71)+SUMIF($F74:$F$512,$D72,I74:I$512),0))*'[1]Processer - data'!I72,"")*IF($C72&lt;&gt;"",IF($F72="Halm",Landbrug!D$16*Landbrug!D$17,IF(LEFT($D72,5)="Areal", IF($G72="Ton",Landbrug!D$18,1),1)),1)*IF($F72="Grøntsager",IF($A72="Grøntsager i drivhus",Landbrug!D$51,1-Landbrug!D$51),1)</f>
        <v>0</v>
      </c>
      <c r="J72" s="299">
        <f ca="1">IF($A72&lt;&gt;"",IF(VLOOKUP($A72,[1]!Table1[#All],2,FALSE)="Direkte input",IF($A72&lt;&gt;"Grøntsager i drivhus",SUMIFS('Direkte input'!I$3:I$230,'Direkte input'!$F$3:$F$230,$D72,'Direkte input'!$C$3:$C$230,$B72,'Direkte input'!$D$3:$D$230,$C72,'Direkte input'!$A$3:$A$230,$A$1),SUMIFS('Direkte input'!I$3:I$230,'Direkte input'!$F$3:$F$230,$D72,'Direkte input'!$C$3:$C$230,$B72,'Direkte input'!$A$3:$A$230,$A$1)),IF(VLOOKUP($A72,[1]!Table1[#All],2,FALSE)="Resultat",SUMIF($F$1:$F71,$D72,J$1:J71)+SUMIF($F74:$F$512,$D72,J74:J$512),0))*'[1]Processer - data'!J72,"")*IF($C72&lt;&gt;"",IF($F72="Halm",Landbrug!E$16*Landbrug!E$17,IF(LEFT($D72,5)="Areal", IF($G72="Ton",Landbrug!E$18,1),1)),1)*IF($F72="Grøntsager",IF($A72="Grøntsager i drivhus",Landbrug!E$51,1-Landbrug!E$51),1)</f>
        <v>0</v>
      </c>
    </row>
    <row r="73" spans="1:10" x14ac:dyDescent="0.25">
      <c r="A73" s="168" t="str">
        <f>IF('[1]Processer - data'!A73&lt;&gt;"",'[1]Processer - data'!A73,"")</f>
        <v>Skovproduktion</v>
      </c>
      <c r="B73" s="168" t="str">
        <f>IF('[1]Processer - data'!B73&lt;&gt;"",'[1]Processer - data'!B73,"")</f>
        <v/>
      </c>
      <c r="C73" s="168" t="str">
        <f>IF('[1]Processer - data'!C73&lt;&gt;"",'[1]Processer - data'!C73,"")</f>
        <v>Skovtype4</v>
      </c>
      <c r="D73" s="168" t="str">
        <f>IF('[1]Processer - data'!D73&lt;&gt;"",'[1]Processer - data'!D73,"")</f>
        <v>Areal-skovtype4-30</v>
      </c>
      <c r="E73" s="168" t="str">
        <f>IF('[1]Processer - data'!E73&lt;&gt;"",'[1]Processer - data'!E73,"")</f>
        <v>Hektar</v>
      </c>
      <c r="F73" s="168" t="str">
        <f>IF('[1]Processer - data'!F73&lt;&gt;"",'[1]Processer - data'!F73,"")</f>
        <v>CO2 - atmosfære</v>
      </c>
      <c r="G73" s="168" t="str">
        <f>IF('[1]Processer - data'!G73&lt;&gt;"",'[1]Processer - data'!G73,"")</f>
        <v>t CO2-ækvivalenter</v>
      </c>
      <c r="H73" s="297">
        <f ca="1">IF($A73&lt;&gt;"",IF(VLOOKUP($A73,[1]!Table1[#All],2,FALSE)="Direkte input",IF($A73&lt;&gt;"Grøntsager i drivhus",SUMIFS('Direkte input'!G$3:G$230,'Direkte input'!$F$3:$F$230,$D73,'Direkte input'!$C$3:$C$230,$B73,'Direkte input'!$D$3:$D$230,$C73,'Direkte input'!$A$3:$A$230,$A$1),SUMIFS('Direkte input'!G$3:G$230,'Direkte input'!$F$3:$F$230,$D73,'Direkte input'!$C$3:$C$230,$B73,'Direkte input'!$A$3:$A$230,$A$1)),IF(VLOOKUP($A73,[1]!Table1[#All],2,FALSE)="Resultat",SUMIF($F$1:$F72,$D73,H$1:H72)+SUMIF($F75:$F$512,$D73,H75:H$512),0))*'[1]Processer - data'!H73,"")*IF($C73&lt;&gt;"",IF($F73="Halm",Landbrug!C$16*Landbrug!C$17,IF(LEFT($D73,5)="Areal", IF($G73="Ton",Landbrug!C$18,1),1)),1)*IF($F73="Grøntsager",IF($A73="Grøntsager i drivhus",Landbrug!C$51,1-Landbrug!C$51),1)</f>
        <v>0</v>
      </c>
      <c r="I73" s="298">
        <f ca="1">IF($A73&lt;&gt;"",IF(VLOOKUP($A73,[1]!Table1[#All],2,FALSE)="Direkte input",IF($A73&lt;&gt;"Grøntsager i drivhus",SUMIFS('Direkte input'!H$3:H$230,'Direkte input'!$F$3:$F$230,$D73,'Direkte input'!$C$3:$C$230,$B73,'Direkte input'!$D$3:$D$230,$C73,'Direkte input'!$A$3:$A$230,$A$1),SUMIFS('Direkte input'!H$3:H$230,'Direkte input'!$F$3:$F$230,$D73,'Direkte input'!$C$3:$C$230,$B73,'Direkte input'!$A$3:$A$230,$A$1)),IF(VLOOKUP($A73,[1]!Table1[#All],2,FALSE)="Resultat",SUMIF($F$1:$F72,$D73,I$1:I72)+SUMIF($F75:$F$512,$D73,I75:I$512),0))*'[1]Processer - data'!I73,"")*IF($C73&lt;&gt;"",IF($F73="Halm",Landbrug!D$16*Landbrug!D$17,IF(LEFT($D73,5)="Areal", IF($G73="Ton",Landbrug!D$18,1),1)),1)*IF($F73="Grøntsager",IF($A73="Grøntsager i drivhus",Landbrug!D$51,1-Landbrug!D$51),1)</f>
        <v>0</v>
      </c>
      <c r="J73" s="299">
        <f ca="1">IF($A73&lt;&gt;"",IF(VLOOKUP($A73,[1]!Table1[#All],2,FALSE)="Direkte input",IF($A73&lt;&gt;"Grøntsager i drivhus",SUMIFS('Direkte input'!I$3:I$230,'Direkte input'!$F$3:$F$230,$D73,'Direkte input'!$C$3:$C$230,$B73,'Direkte input'!$D$3:$D$230,$C73,'Direkte input'!$A$3:$A$230,$A$1),SUMIFS('Direkte input'!I$3:I$230,'Direkte input'!$F$3:$F$230,$D73,'Direkte input'!$C$3:$C$230,$B73,'Direkte input'!$A$3:$A$230,$A$1)),IF(VLOOKUP($A73,[1]!Table1[#All],2,FALSE)="Resultat",SUMIF($F$1:$F72,$D73,J$1:J72)+SUMIF($F75:$F$512,$D73,J75:J$512),0))*'[1]Processer - data'!J73,"")*IF($C73&lt;&gt;"",IF($F73="Halm",Landbrug!E$16*Landbrug!E$17,IF(LEFT($D73,5)="Areal", IF($G73="Ton",Landbrug!E$18,1),1)),1)*IF($F73="Grøntsager",IF($A73="Grøntsager i drivhus",Landbrug!E$51,1-Landbrug!E$51),1)</f>
        <v>0</v>
      </c>
    </row>
    <row r="74" spans="1:10" s="168" customFormat="1" x14ac:dyDescent="0.25">
      <c r="A74" s="168" t="str">
        <f>IF('[1]Processer - data'!A74&lt;&gt;"",'[1]Processer - data'!A74,"")</f>
        <v>Skovproduktion</v>
      </c>
      <c r="B74" s="168" t="str">
        <f>IF('[1]Processer - data'!B74&lt;&gt;"",'[1]Processer - data'!B74,"")</f>
        <v/>
      </c>
      <c r="C74" s="168" t="str">
        <f>IF('[1]Processer - data'!C74&lt;&gt;"",'[1]Processer - data'!C74,"")</f>
        <v>Skovtype4</v>
      </c>
      <c r="D74" s="168" t="str">
        <f>IF('[1]Processer - data'!D74&lt;&gt;"",'[1]Processer - data'!D74,"")</f>
        <v>Areal-skovtype4-30</v>
      </c>
      <c r="E74" s="168" t="str">
        <f>IF('[1]Processer - data'!E74&lt;&gt;"",'[1]Processer - data'!E74,"")</f>
        <v>Hektar</v>
      </c>
      <c r="F74" s="168" t="str">
        <f>IF('[1]Processer - data'!F74&lt;&gt;"",'[1]Processer - data'!F74,"")</f>
        <v>CO2 - HWP</v>
      </c>
      <c r="G74" s="168" t="str">
        <f>IF('[1]Processer - data'!G74&lt;&gt;"",'[1]Processer - data'!G74,"")</f>
        <v>t CO2-ækvivalenter</v>
      </c>
      <c r="H74" s="297">
        <f ca="1">IF($A74&lt;&gt;"",IF(VLOOKUP($A74,[1]!Table1[#All],2,FALSE)="Direkte input",IF($A74&lt;&gt;"Grøntsager i drivhus",SUMIFS('Direkte input'!G$3:G$230,'Direkte input'!$F$3:$F$230,$D74,'Direkte input'!$C$3:$C$230,$B74,'Direkte input'!$D$3:$D$230,$C74,'Direkte input'!$A$3:$A$230,$A$1),SUMIFS('Direkte input'!G$3:G$230,'Direkte input'!$F$3:$F$230,$D74,'Direkte input'!$C$3:$C$230,$B74,'Direkte input'!$A$3:$A$230,$A$1)),IF(VLOOKUP($A74,[1]!Table1[#All],2,FALSE)="Resultat",SUMIF($F$1:$F73,$D74,H$1:H73)+SUMIF($F76:$F$512,$D74,H76:H$512),0))*'[1]Processer - data'!H74,"")*IF($C74&lt;&gt;"",IF($F74="Halm",Landbrug!C$16*Landbrug!C$17,IF(LEFT($D74,5)="Areal", IF($G74="Ton",Landbrug!C$18,1),1)),1)*IF($F74="Grøntsager",IF($A74="Grøntsager i drivhus",Landbrug!C$51,1-Landbrug!C$51),1)</f>
        <v>0</v>
      </c>
      <c r="I74" s="298">
        <f ca="1">IF($A74&lt;&gt;"",IF(VLOOKUP($A74,[1]!Table1[#All],2,FALSE)="Direkte input",IF($A74&lt;&gt;"Grøntsager i drivhus",SUMIFS('Direkte input'!H$3:H$230,'Direkte input'!$F$3:$F$230,$D74,'Direkte input'!$C$3:$C$230,$B74,'Direkte input'!$D$3:$D$230,$C74,'Direkte input'!$A$3:$A$230,$A$1),SUMIFS('Direkte input'!H$3:H$230,'Direkte input'!$F$3:$F$230,$D74,'Direkte input'!$C$3:$C$230,$B74,'Direkte input'!$A$3:$A$230,$A$1)),IF(VLOOKUP($A74,[1]!Table1[#All],2,FALSE)="Resultat",SUMIF($F$1:$F73,$D74,I$1:I73)+SUMIF($F76:$F$512,$D74,I76:I$512),0))*'[1]Processer - data'!I74,"")*IF($C74&lt;&gt;"",IF($F74="Halm",Landbrug!D$16*Landbrug!D$17,IF(LEFT($D74,5)="Areal", IF($G74="Ton",Landbrug!D$18,1),1)),1)*IF($F74="Grøntsager",IF($A74="Grøntsager i drivhus",Landbrug!D$51,1-Landbrug!D$51),1)</f>
        <v>0</v>
      </c>
      <c r="J74" s="299">
        <f ca="1">IF($A74&lt;&gt;"",IF(VLOOKUP($A74,[1]!Table1[#All],2,FALSE)="Direkte input",IF($A74&lt;&gt;"Grøntsager i drivhus",SUMIFS('Direkte input'!I$3:I$230,'Direkte input'!$F$3:$F$230,$D74,'Direkte input'!$C$3:$C$230,$B74,'Direkte input'!$D$3:$D$230,$C74,'Direkte input'!$A$3:$A$230,$A$1),SUMIFS('Direkte input'!I$3:I$230,'Direkte input'!$F$3:$F$230,$D74,'Direkte input'!$C$3:$C$230,$B74,'Direkte input'!$A$3:$A$230,$A$1)),IF(VLOOKUP($A74,[1]!Table1[#All],2,FALSE)="Resultat",SUMIF($F$1:$F73,$D74,J$1:J73)+SUMIF($F76:$F$512,$D74,J76:J$512),0))*'[1]Processer - data'!J74,"")*IF($C74&lt;&gt;"",IF($F74="Halm",Landbrug!E$16*Landbrug!E$17,IF(LEFT($D74,5)="Areal", IF($G74="Ton",Landbrug!E$18,1),1)),1)*IF($F74="Grøntsager",IF($A74="Grøntsager i drivhus",Landbrug!E$51,1-Landbrug!E$51),1)</f>
        <v>0</v>
      </c>
    </row>
    <row r="75" spans="1:10" x14ac:dyDescent="0.25">
      <c r="A75" s="168" t="str">
        <f>IF('[1]Processer - data'!A75&lt;&gt;"",'[1]Processer - data'!A75,"")</f>
        <v>Skovproduktion</v>
      </c>
      <c r="B75" s="168" t="str">
        <f>IF('[1]Processer - data'!B75&lt;&gt;"",'[1]Processer - data'!B75,"")</f>
        <v/>
      </c>
      <c r="C75" s="168" t="str">
        <f>IF('[1]Processer - data'!C75&lt;&gt;"",'[1]Processer - data'!C75,"")</f>
        <v>Skovtype4</v>
      </c>
      <c r="D75" s="168" t="str">
        <f>IF('[1]Processer - data'!D75&lt;&gt;"",'[1]Processer - data'!D75,"")</f>
        <v>Areal-skovtype4-40</v>
      </c>
      <c r="E75" s="168" t="str">
        <f>IF('[1]Processer - data'!E75&lt;&gt;"",'[1]Processer - data'!E75,"")</f>
        <v>Hektar</v>
      </c>
      <c r="F75" s="168" t="str">
        <f>IF('[1]Processer - data'!F75&lt;&gt;"",'[1]Processer - data'!F75,"")</f>
        <v>Træer</v>
      </c>
      <c r="G75" s="168" t="str">
        <f>IF('[1]Processer - data'!G75&lt;&gt;"",'[1]Processer - data'!G75,"")</f>
        <v>m3</v>
      </c>
      <c r="H75" s="297">
        <f ca="1">IF($A75&lt;&gt;"",IF(VLOOKUP($A75,[1]!Table1[#All],2,FALSE)="Direkte input",IF($A75&lt;&gt;"Grøntsager i drivhus",SUMIFS('Direkte input'!G$3:G$230,'Direkte input'!$F$3:$F$230,$D75,'Direkte input'!$C$3:$C$230,$B75,'Direkte input'!$D$3:$D$230,$C75,'Direkte input'!$A$3:$A$230,$A$1),SUMIFS('Direkte input'!G$3:G$230,'Direkte input'!$F$3:$F$230,$D75,'Direkte input'!$C$3:$C$230,$B75,'Direkte input'!$A$3:$A$230,$A$1)),IF(VLOOKUP($A75,[1]!Table1[#All],2,FALSE)="Resultat",SUMIF($F$1:$F74,$D75,H$1:H74)+SUMIF($F77:$F$512,$D75,H77:H$512),0))*'[1]Processer - data'!H75,"")*IF($C75&lt;&gt;"",IF($F75="Halm",Landbrug!C$16*Landbrug!C$17,IF(LEFT($D75,5)="Areal", IF($G75="Ton",Landbrug!C$18,1),1)),1)*IF($F75="Grøntsager",IF($A75="Grøntsager i drivhus",Landbrug!C$51,1-Landbrug!C$51),1)</f>
        <v>0</v>
      </c>
      <c r="I75" s="298">
        <f ca="1">IF($A75&lt;&gt;"",IF(VLOOKUP($A75,[1]!Table1[#All],2,FALSE)="Direkte input",IF($A75&lt;&gt;"Grøntsager i drivhus",SUMIFS('Direkte input'!H$3:H$230,'Direkte input'!$F$3:$F$230,$D75,'Direkte input'!$C$3:$C$230,$B75,'Direkte input'!$D$3:$D$230,$C75,'Direkte input'!$A$3:$A$230,$A$1),SUMIFS('Direkte input'!H$3:H$230,'Direkte input'!$F$3:$F$230,$D75,'Direkte input'!$C$3:$C$230,$B75,'Direkte input'!$A$3:$A$230,$A$1)),IF(VLOOKUP($A75,[1]!Table1[#All],2,FALSE)="Resultat",SUMIF($F$1:$F74,$D75,I$1:I74)+SUMIF($F77:$F$512,$D75,I77:I$512),0))*'[1]Processer - data'!I75,"")*IF($C75&lt;&gt;"",IF($F75="Halm",Landbrug!D$16*Landbrug!D$17,IF(LEFT($D75,5)="Areal", IF($G75="Ton",Landbrug!D$18,1),1)),1)*IF($F75="Grøntsager",IF($A75="Grøntsager i drivhus",Landbrug!D$51,1-Landbrug!D$51),1)</f>
        <v>0</v>
      </c>
      <c r="J75" s="299">
        <f ca="1">IF($A75&lt;&gt;"",IF(VLOOKUP($A75,[1]!Table1[#All],2,FALSE)="Direkte input",IF($A75&lt;&gt;"Grøntsager i drivhus",SUMIFS('Direkte input'!I$3:I$230,'Direkte input'!$F$3:$F$230,$D75,'Direkte input'!$C$3:$C$230,$B75,'Direkte input'!$D$3:$D$230,$C75,'Direkte input'!$A$3:$A$230,$A$1),SUMIFS('Direkte input'!I$3:I$230,'Direkte input'!$F$3:$F$230,$D75,'Direkte input'!$C$3:$C$230,$B75,'Direkte input'!$A$3:$A$230,$A$1)),IF(VLOOKUP($A75,[1]!Table1[#All],2,FALSE)="Resultat",SUMIF($F$1:$F74,$D75,J$1:J74)+SUMIF($F77:$F$512,$D75,J77:J$512),0))*'[1]Processer - data'!J75,"")*IF($C75&lt;&gt;"",IF($F75="Halm",Landbrug!E$16*Landbrug!E$17,IF(LEFT($D75,5)="Areal", IF($G75="Ton",Landbrug!E$18,1),1)),1)*IF($F75="Grøntsager",IF($A75="Grøntsager i drivhus",Landbrug!E$51,1-Landbrug!E$51),1)</f>
        <v>0</v>
      </c>
    </row>
    <row r="76" spans="1:10" x14ac:dyDescent="0.25">
      <c r="A76" s="168" t="str">
        <f>IF('[1]Processer - data'!A76&lt;&gt;"",'[1]Processer - data'!A76,"")</f>
        <v>Skovproduktion</v>
      </c>
      <c r="B76" s="168" t="str">
        <f>IF('[1]Processer - data'!B76&lt;&gt;"",'[1]Processer - data'!B76,"")</f>
        <v/>
      </c>
      <c r="C76" s="168" t="str">
        <f>IF('[1]Processer - data'!C76&lt;&gt;"",'[1]Processer - data'!C76,"")</f>
        <v>Skovtype4</v>
      </c>
      <c r="D76" s="168" t="str">
        <f>IF('[1]Processer - data'!D76&lt;&gt;"",'[1]Processer - data'!D76,"")</f>
        <v>Areal-skovtype4-40</v>
      </c>
      <c r="E76" s="168" t="str">
        <f>IF('[1]Processer - data'!E76&lt;&gt;"",'[1]Processer - data'!E76,"")</f>
        <v>Hektar</v>
      </c>
      <c r="F76" s="168" t="str">
        <f>IF('[1]Processer - data'!F76&lt;&gt;"",'[1]Processer - data'!F76,"")</f>
        <v>Træ til energi</v>
      </c>
      <c r="G76" s="168" t="str">
        <f>IF('[1]Processer - data'!G76&lt;&gt;"",'[1]Processer - data'!G76,"")</f>
        <v>m3</v>
      </c>
      <c r="H76" s="297">
        <f ca="1">IF($A76&lt;&gt;"",IF(VLOOKUP($A76,[1]!Table1[#All],2,FALSE)="Direkte input",IF($A76&lt;&gt;"Grøntsager i drivhus",SUMIFS('Direkte input'!G$3:G$230,'Direkte input'!$F$3:$F$230,$D76,'Direkte input'!$C$3:$C$230,$B76,'Direkte input'!$D$3:$D$230,$C76,'Direkte input'!$A$3:$A$230,$A$1),SUMIFS('Direkte input'!G$3:G$230,'Direkte input'!$F$3:$F$230,$D76,'Direkte input'!$C$3:$C$230,$B76,'Direkte input'!$A$3:$A$230,$A$1)),IF(VLOOKUP($A76,[1]!Table1[#All],2,FALSE)="Resultat",SUMIF($F$1:$F75,$D76,H$1:H75)+SUMIF($F78:$F$512,$D76,H78:H$512),0))*'[1]Processer - data'!H76,"")*IF($C76&lt;&gt;"",IF($F76="Halm",Landbrug!C$16*Landbrug!C$17,IF(LEFT($D76,5)="Areal", IF($G76="Ton",Landbrug!C$18,1),1)),1)*IF($F76="Grøntsager",IF($A76="Grøntsager i drivhus",Landbrug!C$51,1-Landbrug!C$51),1)</f>
        <v>0</v>
      </c>
      <c r="I76" s="298">
        <f ca="1">IF($A76&lt;&gt;"",IF(VLOOKUP($A76,[1]!Table1[#All],2,FALSE)="Direkte input",IF($A76&lt;&gt;"Grøntsager i drivhus",SUMIFS('Direkte input'!H$3:H$230,'Direkte input'!$F$3:$F$230,$D76,'Direkte input'!$C$3:$C$230,$B76,'Direkte input'!$D$3:$D$230,$C76,'Direkte input'!$A$3:$A$230,$A$1),SUMIFS('Direkte input'!H$3:H$230,'Direkte input'!$F$3:$F$230,$D76,'Direkte input'!$C$3:$C$230,$B76,'Direkte input'!$A$3:$A$230,$A$1)),IF(VLOOKUP($A76,[1]!Table1[#All],2,FALSE)="Resultat",SUMIF($F$1:$F75,$D76,I$1:I75)+SUMIF($F78:$F$512,$D76,I78:I$512),0))*'[1]Processer - data'!I76,"")*IF($C76&lt;&gt;"",IF($F76="Halm",Landbrug!D$16*Landbrug!D$17,IF(LEFT($D76,5)="Areal", IF($G76="Ton",Landbrug!D$18,1),1)),1)*IF($F76="Grøntsager",IF($A76="Grøntsager i drivhus",Landbrug!D$51,1-Landbrug!D$51),1)</f>
        <v>0</v>
      </c>
      <c r="J76" s="299">
        <f ca="1">IF($A76&lt;&gt;"",IF(VLOOKUP($A76,[1]!Table1[#All],2,FALSE)="Direkte input",IF($A76&lt;&gt;"Grøntsager i drivhus",SUMIFS('Direkte input'!I$3:I$230,'Direkte input'!$F$3:$F$230,$D76,'Direkte input'!$C$3:$C$230,$B76,'Direkte input'!$D$3:$D$230,$C76,'Direkte input'!$A$3:$A$230,$A$1),SUMIFS('Direkte input'!I$3:I$230,'Direkte input'!$F$3:$F$230,$D76,'Direkte input'!$C$3:$C$230,$B76,'Direkte input'!$A$3:$A$230,$A$1)),IF(VLOOKUP($A76,[1]!Table1[#All],2,FALSE)="Resultat",SUMIF($F$1:$F75,$D76,J$1:J75)+SUMIF($F78:$F$512,$D76,J78:J$512),0))*'[1]Processer - data'!J76,"")*IF($C76&lt;&gt;"",IF($F76="Halm",Landbrug!E$16*Landbrug!E$17,IF(LEFT($D76,5)="Areal", IF($G76="Ton",Landbrug!E$18,1),1)),1)*IF($F76="Grøntsager",IF($A76="Grøntsager i drivhus",Landbrug!E$51,1-Landbrug!E$51),1)</f>
        <v>0</v>
      </c>
    </row>
    <row r="77" spans="1:10" x14ac:dyDescent="0.25">
      <c r="A77" s="168" t="str">
        <f>IF('[1]Processer - data'!A77&lt;&gt;"",'[1]Processer - data'!A77,"")</f>
        <v>Skovproduktion</v>
      </c>
      <c r="B77" s="168" t="str">
        <f>IF('[1]Processer - data'!B77&lt;&gt;"",'[1]Processer - data'!B77,"")</f>
        <v/>
      </c>
      <c r="C77" s="168" t="str">
        <f>IF('[1]Processer - data'!C77&lt;&gt;"",'[1]Processer - data'!C77,"")</f>
        <v>Skovtype4</v>
      </c>
      <c r="D77" s="168" t="str">
        <f>IF('[1]Processer - data'!D77&lt;&gt;"",'[1]Processer - data'!D77,"")</f>
        <v>Areal-skovtype4-40</v>
      </c>
      <c r="E77" s="168" t="str">
        <f>IF('[1]Processer - data'!E77&lt;&gt;"",'[1]Processer - data'!E77,"")</f>
        <v>Hektar</v>
      </c>
      <c r="F77" s="168" t="str">
        <f>IF('[1]Processer - data'!F77&lt;&gt;"",'[1]Processer - data'!F77,"")</f>
        <v>CO2 - atmosfære</v>
      </c>
      <c r="G77" s="168" t="str">
        <f>IF('[1]Processer - data'!G77&lt;&gt;"",'[1]Processer - data'!G77,"")</f>
        <v>t CO2-ækvivalenter</v>
      </c>
      <c r="H77" s="297">
        <f ca="1">IF($A77&lt;&gt;"",IF(VLOOKUP($A77,[1]!Table1[#All],2,FALSE)="Direkte input",IF($A77&lt;&gt;"Grøntsager i drivhus",SUMIFS('Direkte input'!G$3:G$230,'Direkte input'!$F$3:$F$230,$D77,'Direkte input'!$C$3:$C$230,$B77,'Direkte input'!$D$3:$D$230,$C77,'Direkte input'!$A$3:$A$230,$A$1),SUMIFS('Direkte input'!G$3:G$230,'Direkte input'!$F$3:$F$230,$D77,'Direkte input'!$C$3:$C$230,$B77,'Direkte input'!$A$3:$A$230,$A$1)),IF(VLOOKUP($A77,[1]!Table1[#All],2,FALSE)="Resultat",SUMIF($F$1:$F76,$D77,H$1:H76)+SUMIF($F79:$F$512,$D77,H79:H$512),0))*'[1]Processer - data'!H77,"")*IF($C77&lt;&gt;"",IF($F77="Halm",Landbrug!C$16*Landbrug!C$17,IF(LEFT($D77,5)="Areal", IF($G77="Ton",Landbrug!C$18,1),1)),1)*IF($F77="Grøntsager",IF($A77="Grøntsager i drivhus",Landbrug!C$51,1-Landbrug!C$51),1)</f>
        <v>0</v>
      </c>
      <c r="I77" s="298">
        <f ca="1">IF($A77&lt;&gt;"",IF(VLOOKUP($A77,[1]!Table1[#All],2,FALSE)="Direkte input",IF($A77&lt;&gt;"Grøntsager i drivhus",SUMIFS('Direkte input'!H$3:H$230,'Direkte input'!$F$3:$F$230,$D77,'Direkte input'!$C$3:$C$230,$B77,'Direkte input'!$D$3:$D$230,$C77,'Direkte input'!$A$3:$A$230,$A$1),SUMIFS('Direkte input'!H$3:H$230,'Direkte input'!$F$3:$F$230,$D77,'Direkte input'!$C$3:$C$230,$B77,'Direkte input'!$A$3:$A$230,$A$1)),IF(VLOOKUP($A77,[1]!Table1[#All],2,FALSE)="Resultat",SUMIF($F$1:$F76,$D77,I$1:I76)+SUMIF($F79:$F$512,$D77,I79:I$512),0))*'[1]Processer - data'!I77,"")*IF($C77&lt;&gt;"",IF($F77="Halm",Landbrug!D$16*Landbrug!D$17,IF(LEFT($D77,5)="Areal", IF($G77="Ton",Landbrug!D$18,1),1)),1)*IF($F77="Grøntsager",IF($A77="Grøntsager i drivhus",Landbrug!D$51,1-Landbrug!D$51),1)</f>
        <v>0</v>
      </c>
      <c r="J77" s="299">
        <f ca="1">IF($A77&lt;&gt;"",IF(VLOOKUP($A77,[1]!Table1[#All],2,FALSE)="Direkte input",IF($A77&lt;&gt;"Grøntsager i drivhus",SUMIFS('Direkte input'!I$3:I$230,'Direkte input'!$F$3:$F$230,$D77,'Direkte input'!$C$3:$C$230,$B77,'Direkte input'!$D$3:$D$230,$C77,'Direkte input'!$A$3:$A$230,$A$1),SUMIFS('Direkte input'!I$3:I$230,'Direkte input'!$F$3:$F$230,$D77,'Direkte input'!$C$3:$C$230,$B77,'Direkte input'!$A$3:$A$230,$A$1)),IF(VLOOKUP($A77,[1]!Table1[#All],2,FALSE)="Resultat",SUMIF($F$1:$F76,$D77,J$1:J76)+SUMIF($F79:$F$512,$D77,J79:J$512),0))*'[1]Processer - data'!J77,"")*IF($C77&lt;&gt;"",IF($F77="Halm",Landbrug!E$16*Landbrug!E$17,IF(LEFT($D77,5)="Areal", IF($G77="Ton",Landbrug!E$18,1),1)),1)*IF($F77="Grøntsager",IF($A77="Grøntsager i drivhus",Landbrug!E$51,1-Landbrug!E$51),1)</f>
        <v>0</v>
      </c>
    </row>
    <row r="78" spans="1:10" s="168" customFormat="1" x14ac:dyDescent="0.25">
      <c r="A78" s="168" t="str">
        <f>IF('[1]Processer - data'!A78&lt;&gt;"",'[1]Processer - data'!A78,"")</f>
        <v>Skovproduktion</v>
      </c>
      <c r="B78" s="168" t="str">
        <f>IF('[1]Processer - data'!B78&lt;&gt;"",'[1]Processer - data'!B78,"")</f>
        <v/>
      </c>
      <c r="C78" s="168" t="str">
        <f>IF('[1]Processer - data'!C78&lt;&gt;"",'[1]Processer - data'!C78,"")</f>
        <v>Skovtype4</v>
      </c>
      <c r="D78" s="168" t="str">
        <f>IF('[1]Processer - data'!D78&lt;&gt;"",'[1]Processer - data'!D78,"")</f>
        <v>Areal-skovtype4-40</v>
      </c>
      <c r="E78" s="168" t="str">
        <f>IF('[1]Processer - data'!E78&lt;&gt;"",'[1]Processer - data'!E78,"")</f>
        <v>Hektar</v>
      </c>
      <c r="F78" s="168" t="str">
        <f>IF('[1]Processer - data'!F78&lt;&gt;"",'[1]Processer - data'!F78,"")</f>
        <v>CO2 - HWP</v>
      </c>
      <c r="G78" s="168" t="str">
        <f>IF('[1]Processer - data'!G78&lt;&gt;"",'[1]Processer - data'!G78,"")</f>
        <v>t CO2-ækvivalenter</v>
      </c>
      <c r="H78" s="297">
        <f ca="1">IF($A78&lt;&gt;"",IF(VLOOKUP($A78,[1]!Table1[#All],2,FALSE)="Direkte input",IF($A78&lt;&gt;"Grøntsager i drivhus",SUMIFS('Direkte input'!G$3:G$230,'Direkte input'!$F$3:$F$230,$D78,'Direkte input'!$C$3:$C$230,$B78,'Direkte input'!$D$3:$D$230,$C78,'Direkte input'!$A$3:$A$230,$A$1),SUMIFS('Direkte input'!G$3:G$230,'Direkte input'!$F$3:$F$230,$D78,'Direkte input'!$C$3:$C$230,$B78,'Direkte input'!$A$3:$A$230,$A$1)),IF(VLOOKUP($A78,[1]!Table1[#All],2,FALSE)="Resultat",SUMIF($F$1:$F77,$D78,H$1:H77)+SUMIF($F80:$F$512,$D78,H80:H$512),0))*'[1]Processer - data'!H78,"")*IF($C78&lt;&gt;"",IF($F78="Halm",Landbrug!C$16*Landbrug!C$17,IF(LEFT($D78,5)="Areal", IF($G78="Ton",Landbrug!C$18,1),1)),1)*IF($F78="Grøntsager",IF($A78="Grøntsager i drivhus",Landbrug!C$51,1-Landbrug!C$51),1)</f>
        <v>0</v>
      </c>
      <c r="I78" s="298">
        <f ca="1">IF($A78&lt;&gt;"",IF(VLOOKUP($A78,[1]!Table1[#All],2,FALSE)="Direkte input",IF($A78&lt;&gt;"Grøntsager i drivhus",SUMIFS('Direkte input'!H$3:H$230,'Direkte input'!$F$3:$F$230,$D78,'Direkte input'!$C$3:$C$230,$B78,'Direkte input'!$D$3:$D$230,$C78,'Direkte input'!$A$3:$A$230,$A$1),SUMIFS('Direkte input'!H$3:H$230,'Direkte input'!$F$3:$F$230,$D78,'Direkte input'!$C$3:$C$230,$B78,'Direkte input'!$A$3:$A$230,$A$1)),IF(VLOOKUP($A78,[1]!Table1[#All],2,FALSE)="Resultat",SUMIF($F$1:$F77,$D78,I$1:I77)+SUMIF($F80:$F$512,$D78,I80:I$512),0))*'[1]Processer - data'!I78,"")*IF($C78&lt;&gt;"",IF($F78="Halm",Landbrug!D$16*Landbrug!D$17,IF(LEFT($D78,5)="Areal", IF($G78="Ton",Landbrug!D$18,1),1)),1)*IF($F78="Grøntsager",IF($A78="Grøntsager i drivhus",Landbrug!D$51,1-Landbrug!D$51),1)</f>
        <v>0</v>
      </c>
      <c r="J78" s="299">
        <f ca="1">IF($A78&lt;&gt;"",IF(VLOOKUP($A78,[1]!Table1[#All],2,FALSE)="Direkte input",IF($A78&lt;&gt;"Grøntsager i drivhus",SUMIFS('Direkte input'!I$3:I$230,'Direkte input'!$F$3:$F$230,$D78,'Direkte input'!$C$3:$C$230,$B78,'Direkte input'!$D$3:$D$230,$C78,'Direkte input'!$A$3:$A$230,$A$1),SUMIFS('Direkte input'!I$3:I$230,'Direkte input'!$F$3:$F$230,$D78,'Direkte input'!$C$3:$C$230,$B78,'Direkte input'!$A$3:$A$230,$A$1)),IF(VLOOKUP($A78,[1]!Table1[#All],2,FALSE)="Resultat",SUMIF($F$1:$F77,$D78,J$1:J77)+SUMIF($F80:$F$512,$D78,J80:J$512),0))*'[1]Processer - data'!J78,"")*IF($C78&lt;&gt;"",IF($F78="Halm",Landbrug!E$16*Landbrug!E$17,IF(LEFT($D78,5)="Areal", IF($G78="Ton",Landbrug!E$18,1),1)),1)*IF($F78="Grøntsager",IF($A78="Grøntsager i drivhus",Landbrug!E$51,1-Landbrug!E$51),1)</f>
        <v>0</v>
      </c>
    </row>
    <row r="79" spans="1:10" x14ac:dyDescent="0.25">
      <c r="A79" s="168" t="str">
        <f>IF('[1]Processer - data'!A79&lt;&gt;"",'[1]Processer - data'!A79,"")</f>
        <v>Skovproduktion</v>
      </c>
      <c r="B79" s="168" t="str">
        <f>IF('[1]Processer - data'!B79&lt;&gt;"",'[1]Processer - data'!B79,"")</f>
        <v/>
      </c>
      <c r="C79" s="168" t="str">
        <f>IF('[1]Processer - data'!C79&lt;&gt;"",'[1]Processer - data'!C79,"")</f>
        <v>Skovtype5</v>
      </c>
      <c r="D79" s="168" t="str">
        <f>IF('[1]Processer - data'!D79&lt;&gt;"",'[1]Processer - data'!D79,"")</f>
        <v>Areal-skovtype5-10</v>
      </c>
      <c r="E79" s="168" t="str">
        <f>IF('[1]Processer - data'!E79&lt;&gt;"",'[1]Processer - data'!E79,"")</f>
        <v>Hektar</v>
      </c>
      <c r="F79" s="168" t="str">
        <f>IF('[1]Processer - data'!F79&lt;&gt;"",'[1]Processer - data'!F79,"")</f>
        <v>Træer</v>
      </c>
      <c r="G79" s="168" t="str">
        <f>IF('[1]Processer - data'!G79&lt;&gt;"",'[1]Processer - data'!G79,"")</f>
        <v>m3</v>
      </c>
      <c r="H79" s="297">
        <f ca="1">IF($A79&lt;&gt;"",IF(VLOOKUP($A79,[1]!Table1[#All],2,FALSE)="Direkte input",IF($A79&lt;&gt;"Grøntsager i drivhus",SUMIFS('Direkte input'!G$3:G$230,'Direkte input'!$F$3:$F$230,$D79,'Direkte input'!$C$3:$C$230,$B79,'Direkte input'!$D$3:$D$230,$C79,'Direkte input'!$A$3:$A$230,$A$1),SUMIFS('Direkte input'!G$3:G$230,'Direkte input'!$F$3:$F$230,$D79,'Direkte input'!$C$3:$C$230,$B79,'Direkte input'!$A$3:$A$230,$A$1)),IF(VLOOKUP($A79,[1]!Table1[#All],2,FALSE)="Resultat",SUMIF($F$1:$F78,$D79,H$1:H78)+SUMIF($F81:$F$512,$D79,H81:H$512),0))*'[1]Processer - data'!H79,"")*IF($C79&lt;&gt;"",IF($F79="Halm",Landbrug!C$16*Landbrug!C$17,IF(LEFT($D79,5)="Areal", IF($G79="Ton",Landbrug!C$18,1),1)),1)*IF($F79="Grøntsager",IF($A79="Grøntsager i drivhus",Landbrug!C$51,1-Landbrug!C$51),1)</f>
        <v>0</v>
      </c>
      <c r="I79" s="298">
        <f ca="1">IF($A79&lt;&gt;"",IF(VLOOKUP($A79,[1]!Table1[#All],2,FALSE)="Direkte input",IF($A79&lt;&gt;"Grøntsager i drivhus",SUMIFS('Direkte input'!H$3:H$230,'Direkte input'!$F$3:$F$230,$D79,'Direkte input'!$C$3:$C$230,$B79,'Direkte input'!$D$3:$D$230,$C79,'Direkte input'!$A$3:$A$230,$A$1),SUMIFS('Direkte input'!H$3:H$230,'Direkte input'!$F$3:$F$230,$D79,'Direkte input'!$C$3:$C$230,$B79,'Direkte input'!$A$3:$A$230,$A$1)),IF(VLOOKUP($A79,[1]!Table1[#All],2,FALSE)="Resultat",SUMIF($F$1:$F78,$D79,I$1:I78)+SUMIF($F81:$F$512,$D79,I81:I$512),0))*'[1]Processer - data'!I79,"")*IF($C79&lt;&gt;"",IF($F79="Halm",Landbrug!D$16*Landbrug!D$17,IF(LEFT($D79,5)="Areal", IF($G79="Ton",Landbrug!D$18,1),1)),1)*IF($F79="Grøntsager",IF($A79="Grøntsager i drivhus",Landbrug!D$51,1-Landbrug!D$51),1)</f>
        <v>0</v>
      </c>
      <c r="J79" s="299">
        <f ca="1">IF($A79&lt;&gt;"",IF(VLOOKUP($A79,[1]!Table1[#All],2,FALSE)="Direkte input",IF($A79&lt;&gt;"Grøntsager i drivhus",SUMIFS('Direkte input'!I$3:I$230,'Direkte input'!$F$3:$F$230,$D79,'Direkte input'!$C$3:$C$230,$B79,'Direkte input'!$D$3:$D$230,$C79,'Direkte input'!$A$3:$A$230,$A$1),SUMIFS('Direkte input'!I$3:I$230,'Direkte input'!$F$3:$F$230,$D79,'Direkte input'!$C$3:$C$230,$B79,'Direkte input'!$A$3:$A$230,$A$1)),IF(VLOOKUP($A79,[1]!Table1[#All],2,FALSE)="Resultat",SUMIF($F$1:$F78,$D79,J$1:J78)+SUMIF($F81:$F$512,$D79,J81:J$512),0))*'[1]Processer - data'!J79,"")*IF($C79&lt;&gt;"",IF($F79="Halm",Landbrug!E$16*Landbrug!E$17,IF(LEFT($D79,5)="Areal", IF($G79="Ton",Landbrug!E$18,1),1)),1)*IF($F79="Grøntsager",IF($A79="Grøntsager i drivhus",Landbrug!E$51,1-Landbrug!E$51),1)</f>
        <v>0</v>
      </c>
    </row>
    <row r="80" spans="1:10" x14ac:dyDescent="0.25">
      <c r="A80" s="168" t="str">
        <f>IF('[1]Processer - data'!A80&lt;&gt;"",'[1]Processer - data'!A80,"")</f>
        <v>Skovproduktion</v>
      </c>
      <c r="B80" s="168" t="str">
        <f>IF('[1]Processer - data'!B80&lt;&gt;"",'[1]Processer - data'!B80,"")</f>
        <v/>
      </c>
      <c r="C80" s="168" t="str">
        <f>IF('[1]Processer - data'!C80&lt;&gt;"",'[1]Processer - data'!C80,"")</f>
        <v>Skovtype5</v>
      </c>
      <c r="D80" s="168" t="str">
        <f>IF('[1]Processer - data'!D80&lt;&gt;"",'[1]Processer - data'!D80,"")</f>
        <v>Areal-skovtype5-10</v>
      </c>
      <c r="E80" s="168" t="str">
        <f>IF('[1]Processer - data'!E80&lt;&gt;"",'[1]Processer - data'!E80,"")</f>
        <v>Hektar</v>
      </c>
      <c r="F80" s="168" t="str">
        <f>IF('[1]Processer - data'!F80&lt;&gt;"",'[1]Processer - data'!F80,"")</f>
        <v>Træ til energi</v>
      </c>
      <c r="G80" s="168" t="str">
        <f>IF('[1]Processer - data'!G80&lt;&gt;"",'[1]Processer - data'!G80,"")</f>
        <v>m3</v>
      </c>
      <c r="H80" s="297">
        <f ca="1">IF($A80&lt;&gt;"",IF(VLOOKUP($A80,[1]!Table1[#All],2,FALSE)="Direkte input",IF($A80&lt;&gt;"Grøntsager i drivhus",SUMIFS('Direkte input'!G$3:G$230,'Direkte input'!$F$3:$F$230,$D80,'Direkte input'!$C$3:$C$230,$B80,'Direkte input'!$D$3:$D$230,$C80,'Direkte input'!$A$3:$A$230,$A$1),SUMIFS('Direkte input'!G$3:G$230,'Direkte input'!$F$3:$F$230,$D80,'Direkte input'!$C$3:$C$230,$B80,'Direkte input'!$A$3:$A$230,$A$1)),IF(VLOOKUP($A80,[1]!Table1[#All],2,FALSE)="Resultat",SUMIF($F$1:$F79,$D80,H$1:H79)+SUMIF($F82:$F$512,$D80,H82:H$512),0))*'[1]Processer - data'!H80,"")*IF($C80&lt;&gt;"",IF($F80="Halm",Landbrug!C$16*Landbrug!C$17,IF(LEFT($D80,5)="Areal", IF($G80="Ton",Landbrug!C$18,1),1)),1)*IF($F80="Grøntsager",IF($A80="Grøntsager i drivhus",Landbrug!C$51,1-Landbrug!C$51),1)</f>
        <v>0</v>
      </c>
      <c r="I80" s="298">
        <f ca="1">IF($A80&lt;&gt;"",IF(VLOOKUP($A80,[1]!Table1[#All],2,FALSE)="Direkte input",IF($A80&lt;&gt;"Grøntsager i drivhus",SUMIFS('Direkte input'!H$3:H$230,'Direkte input'!$F$3:$F$230,$D80,'Direkte input'!$C$3:$C$230,$B80,'Direkte input'!$D$3:$D$230,$C80,'Direkte input'!$A$3:$A$230,$A$1),SUMIFS('Direkte input'!H$3:H$230,'Direkte input'!$F$3:$F$230,$D80,'Direkte input'!$C$3:$C$230,$B80,'Direkte input'!$A$3:$A$230,$A$1)),IF(VLOOKUP($A80,[1]!Table1[#All],2,FALSE)="Resultat",SUMIF($F$1:$F79,$D80,I$1:I79)+SUMIF($F82:$F$512,$D80,I82:I$512),0))*'[1]Processer - data'!I80,"")*IF($C80&lt;&gt;"",IF($F80="Halm",Landbrug!D$16*Landbrug!D$17,IF(LEFT($D80,5)="Areal", IF($G80="Ton",Landbrug!D$18,1),1)),1)*IF($F80="Grøntsager",IF($A80="Grøntsager i drivhus",Landbrug!D$51,1-Landbrug!D$51),1)</f>
        <v>0</v>
      </c>
      <c r="J80" s="299">
        <f ca="1">IF($A80&lt;&gt;"",IF(VLOOKUP($A80,[1]!Table1[#All],2,FALSE)="Direkte input",IF($A80&lt;&gt;"Grøntsager i drivhus",SUMIFS('Direkte input'!I$3:I$230,'Direkte input'!$F$3:$F$230,$D80,'Direkte input'!$C$3:$C$230,$B80,'Direkte input'!$D$3:$D$230,$C80,'Direkte input'!$A$3:$A$230,$A$1),SUMIFS('Direkte input'!I$3:I$230,'Direkte input'!$F$3:$F$230,$D80,'Direkte input'!$C$3:$C$230,$B80,'Direkte input'!$A$3:$A$230,$A$1)),IF(VLOOKUP($A80,[1]!Table1[#All],2,FALSE)="Resultat",SUMIF($F$1:$F79,$D80,J$1:J79)+SUMIF($F82:$F$512,$D80,J82:J$512),0))*'[1]Processer - data'!J80,"")*IF($C80&lt;&gt;"",IF($F80="Halm",Landbrug!E$16*Landbrug!E$17,IF(LEFT($D80,5)="Areal", IF($G80="Ton",Landbrug!E$18,1),1)),1)*IF($F80="Grøntsager",IF($A80="Grøntsager i drivhus",Landbrug!E$51,1-Landbrug!E$51),1)</f>
        <v>0</v>
      </c>
    </row>
    <row r="81" spans="1:10" x14ac:dyDescent="0.25">
      <c r="A81" s="168" t="str">
        <f>IF('[1]Processer - data'!A81&lt;&gt;"",'[1]Processer - data'!A81,"")</f>
        <v>Skovproduktion</v>
      </c>
      <c r="B81" s="168" t="str">
        <f>IF('[1]Processer - data'!B81&lt;&gt;"",'[1]Processer - data'!B81,"")</f>
        <v/>
      </c>
      <c r="C81" s="168" t="str">
        <f>IF('[1]Processer - data'!C81&lt;&gt;"",'[1]Processer - data'!C81,"")</f>
        <v>Skovtype5</v>
      </c>
      <c r="D81" s="168" t="str">
        <f>IF('[1]Processer - data'!D81&lt;&gt;"",'[1]Processer - data'!D81,"")</f>
        <v>Areal-skovtype5-10</v>
      </c>
      <c r="E81" s="168" t="str">
        <f>IF('[1]Processer - data'!E81&lt;&gt;"",'[1]Processer - data'!E81,"")</f>
        <v>Hektar</v>
      </c>
      <c r="F81" s="168" t="str">
        <f>IF('[1]Processer - data'!F81&lt;&gt;"",'[1]Processer - data'!F81,"")</f>
        <v>CO2 - atmosfære</v>
      </c>
      <c r="G81" s="168" t="str">
        <f>IF('[1]Processer - data'!G81&lt;&gt;"",'[1]Processer - data'!G81,"")</f>
        <v>t CO2-ækvivalenter</v>
      </c>
      <c r="H81" s="297">
        <f ca="1">IF($A81&lt;&gt;"",IF(VLOOKUP($A81,[1]!Table1[#All],2,FALSE)="Direkte input",IF($A81&lt;&gt;"Grøntsager i drivhus",SUMIFS('Direkte input'!G$3:G$230,'Direkte input'!$F$3:$F$230,$D81,'Direkte input'!$C$3:$C$230,$B81,'Direkte input'!$D$3:$D$230,$C81,'Direkte input'!$A$3:$A$230,$A$1),SUMIFS('Direkte input'!G$3:G$230,'Direkte input'!$F$3:$F$230,$D81,'Direkte input'!$C$3:$C$230,$B81,'Direkte input'!$A$3:$A$230,$A$1)),IF(VLOOKUP($A81,[1]!Table1[#All],2,FALSE)="Resultat",SUMIF($F$1:$F80,$D81,H$1:H80)+SUMIF($F83:$F$512,$D81,H83:H$512),0))*'[1]Processer - data'!H81,"")*IF($C81&lt;&gt;"",IF($F81="Halm",Landbrug!C$16*Landbrug!C$17,IF(LEFT($D81,5)="Areal", IF($G81="Ton",Landbrug!C$18,1),1)),1)*IF($F81="Grøntsager",IF($A81="Grøntsager i drivhus",Landbrug!C$51,1-Landbrug!C$51),1)</f>
        <v>0</v>
      </c>
      <c r="I81" s="298">
        <f ca="1">IF($A81&lt;&gt;"",IF(VLOOKUP($A81,[1]!Table1[#All],2,FALSE)="Direkte input",IF($A81&lt;&gt;"Grøntsager i drivhus",SUMIFS('Direkte input'!H$3:H$230,'Direkte input'!$F$3:$F$230,$D81,'Direkte input'!$C$3:$C$230,$B81,'Direkte input'!$D$3:$D$230,$C81,'Direkte input'!$A$3:$A$230,$A$1),SUMIFS('Direkte input'!H$3:H$230,'Direkte input'!$F$3:$F$230,$D81,'Direkte input'!$C$3:$C$230,$B81,'Direkte input'!$A$3:$A$230,$A$1)),IF(VLOOKUP($A81,[1]!Table1[#All],2,FALSE)="Resultat",SUMIF($F$1:$F80,$D81,I$1:I80)+SUMIF($F83:$F$512,$D81,I83:I$512),0))*'[1]Processer - data'!I81,"")*IF($C81&lt;&gt;"",IF($F81="Halm",Landbrug!D$16*Landbrug!D$17,IF(LEFT($D81,5)="Areal", IF($G81="Ton",Landbrug!D$18,1),1)),1)*IF($F81="Grøntsager",IF($A81="Grøntsager i drivhus",Landbrug!D$51,1-Landbrug!D$51),1)</f>
        <v>0</v>
      </c>
      <c r="J81" s="299">
        <f ca="1">IF($A81&lt;&gt;"",IF(VLOOKUP($A81,[1]!Table1[#All],2,FALSE)="Direkte input",IF($A81&lt;&gt;"Grøntsager i drivhus",SUMIFS('Direkte input'!I$3:I$230,'Direkte input'!$F$3:$F$230,$D81,'Direkte input'!$C$3:$C$230,$B81,'Direkte input'!$D$3:$D$230,$C81,'Direkte input'!$A$3:$A$230,$A$1),SUMIFS('Direkte input'!I$3:I$230,'Direkte input'!$F$3:$F$230,$D81,'Direkte input'!$C$3:$C$230,$B81,'Direkte input'!$A$3:$A$230,$A$1)),IF(VLOOKUP($A81,[1]!Table1[#All],2,FALSE)="Resultat",SUMIF($F$1:$F80,$D81,J$1:J80)+SUMIF($F83:$F$512,$D81,J83:J$512),0))*'[1]Processer - data'!J81,"")*IF($C81&lt;&gt;"",IF($F81="Halm",Landbrug!E$16*Landbrug!E$17,IF(LEFT($D81,5)="Areal", IF($G81="Ton",Landbrug!E$18,1),1)),1)*IF($F81="Grøntsager",IF($A81="Grøntsager i drivhus",Landbrug!E$51,1-Landbrug!E$51),1)</f>
        <v>0</v>
      </c>
    </row>
    <row r="82" spans="1:10" s="168" customFormat="1" x14ac:dyDescent="0.25">
      <c r="A82" s="168" t="str">
        <f>IF('[1]Processer - data'!A82&lt;&gt;"",'[1]Processer - data'!A82,"")</f>
        <v>Skovproduktion</v>
      </c>
      <c r="B82" s="168" t="str">
        <f>IF('[1]Processer - data'!B82&lt;&gt;"",'[1]Processer - data'!B82,"")</f>
        <v/>
      </c>
      <c r="C82" s="168" t="str">
        <f>IF('[1]Processer - data'!C82&lt;&gt;"",'[1]Processer - data'!C82,"")</f>
        <v>Skovtype5</v>
      </c>
      <c r="D82" s="168" t="str">
        <f>IF('[1]Processer - data'!D82&lt;&gt;"",'[1]Processer - data'!D82,"")</f>
        <v>Areal-skovtype5-10</v>
      </c>
      <c r="E82" s="168" t="str">
        <f>IF('[1]Processer - data'!E82&lt;&gt;"",'[1]Processer - data'!E82,"")</f>
        <v>Hektar</v>
      </c>
      <c r="F82" s="168" t="str">
        <f>IF('[1]Processer - data'!F82&lt;&gt;"",'[1]Processer - data'!F82,"")</f>
        <v>CO2 - HWP</v>
      </c>
      <c r="G82" s="168" t="str">
        <f>IF('[1]Processer - data'!G82&lt;&gt;"",'[1]Processer - data'!G82,"")</f>
        <v>t CO2-ækvivalenter</v>
      </c>
      <c r="H82" s="297">
        <f ca="1">IF($A82&lt;&gt;"",IF(VLOOKUP($A82,[1]!Table1[#All],2,FALSE)="Direkte input",IF($A82&lt;&gt;"Grøntsager i drivhus",SUMIFS('Direkte input'!G$3:G$230,'Direkte input'!$F$3:$F$230,$D82,'Direkte input'!$C$3:$C$230,$B82,'Direkte input'!$D$3:$D$230,$C82,'Direkte input'!$A$3:$A$230,$A$1),SUMIFS('Direkte input'!G$3:G$230,'Direkte input'!$F$3:$F$230,$D82,'Direkte input'!$C$3:$C$230,$B82,'Direkte input'!$A$3:$A$230,$A$1)),IF(VLOOKUP($A82,[1]!Table1[#All],2,FALSE)="Resultat",SUMIF($F$1:$F81,$D82,H$1:H81)+SUMIF($F84:$F$512,$D82,H84:H$512),0))*'[1]Processer - data'!H82,"")*IF($C82&lt;&gt;"",IF($F82="Halm",Landbrug!C$16*Landbrug!C$17,IF(LEFT($D82,5)="Areal", IF($G82="Ton",Landbrug!C$18,1),1)),1)*IF($F82="Grøntsager",IF($A82="Grøntsager i drivhus",Landbrug!C$51,1-Landbrug!C$51),1)</f>
        <v>0</v>
      </c>
      <c r="I82" s="298">
        <f ca="1">IF($A82&lt;&gt;"",IF(VLOOKUP($A82,[1]!Table1[#All],2,FALSE)="Direkte input",IF($A82&lt;&gt;"Grøntsager i drivhus",SUMIFS('Direkte input'!H$3:H$230,'Direkte input'!$F$3:$F$230,$D82,'Direkte input'!$C$3:$C$230,$B82,'Direkte input'!$D$3:$D$230,$C82,'Direkte input'!$A$3:$A$230,$A$1),SUMIFS('Direkte input'!H$3:H$230,'Direkte input'!$F$3:$F$230,$D82,'Direkte input'!$C$3:$C$230,$B82,'Direkte input'!$A$3:$A$230,$A$1)),IF(VLOOKUP($A82,[1]!Table1[#All],2,FALSE)="Resultat",SUMIF($F$1:$F81,$D82,I$1:I81)+SUMIF($F84:$F$512,$D82,I84:I$512),0))*'[1]Processer - data'!I82,"")*IF($C82&lt;&gt;"",IF($F82="Halm",Landbrug!D$16*Landbrug!D$17,IF(LEFT($D82,5)="Areal", IF($G82="Ton",Landbrug!D$18,1),1)),1)*IF($F82="Grøntsager",IF($A82="Grøntsager i drivhus",Landbrug!D$51,1-Landbrug!D$51),1)</f>
        <v>0</v>
      </c>
      <c r="J82" s="299">
        <f ca="1">IF($A82&lt;&gt;"",IF(VLOOKUP($A82,[1]!Table1[#All],2,FALSE)="Direkte input",IF($A82&lt;&gt;"Grøntsager i drivhus",SUMIFS('Direkte input'!I$3:I$230,'Direkte input'!$F$3:$F$230,$D82,'Direkte input'!$C$3:$C$230,$B82,'Direkte input'!$D$3:$D$230,$C82,'Direkte input'!$A$3:$A$230,$A$1),SUMIFS('Direkte input'!I$3:I$230,'Direkte input'!$F$3:$F$230,$D82,'Direkte input'!$C$3:$C$230,$B82,'Direkte input'!$A$3:$A$230,$A$1)),IF(VLOOKUP($A82,[1]!Table1[#All],2,FALSE)="Resultat",SUMIF($F$1:$F81,$D82,J$1:J81)+SUMIF($F84:$F$512,$D82,J84:J$512),0))*'[1]Processer - data'!J82,"")*IF($C82&lt;&gt;"",IF($F82="Halm",Landbrug!E$16*Landbrug!E$17,IF(LEFT($D82,5)="Areal", IF($G82="Ton",Landbrug!E$18,1),1)),1)*IF($F82="Grøntsager",IF($A82="Grøntsager i drivhus",Landbrug!E$51,1-Landbrug!E$51),1)</f>
        <v>0</v>
      </c>
    </row>
    <row r="83" spans="1:10" x14ac:dyDescent="0.25">
      <c r="A83" s="168" t="str">
        <f>IF('[1]Processer - data'!A83&lt;&gt;"",'[1]Processer - data'!A83,"")</f>
        <v>Skovproduktion</v>
      </c>
      <c r="B83" s="168" t="str">
        <f>IF('[1]Processer - data'!B83&lt;&gt;"",'[1]Processer - data'!B83,"")</f>
        <v/>
      </c>
      <c r="C83" s="168" t="str">
        <f>IF('[1]Processer - data'!C83&lt;&gt;"",'[1]Processer - data'!C83,"")</f>
        <v>Skovtype5</v>
      </c>
      <c r="D83" s="168" t="str">
        <f>IF('[1]Processer - data'!D83&lt;&gt;"",'[1]Processer - data'!D83,"")</f>
        <v>Areal-skovtype5-20</v>
      </c>
      <c r="E83" s="168" t="str">
        <f>IF('[1]Processer - data'!E83&lt;&gt;"",'[1]Processer - data'!E83,"")</f>
        <v>Hektar</v>
      </c>
      <c r="F83" s="168" t="str">
        <f>IF('[1]Processer - data'!F83&lt;&gt;"",'[1]Processer - data'!F83,"")</f>
        <v>Træer</v>
      </c>
      <c r="G83" s="168" t="str">
        <f>IF('[1]Processer - data'!G83&lt;&gt;"",'[1]Processer - data'!G83,"")</f>
        <v>m3</v>
      </c>
      <c r="H83" s="297">
        <f ca="1">IF($A83&lt;&gt;"",IF(VLOOKUP($A83,[1]!Table1[#All],2,FALSE)="Direkte input",IF($A83&lt;&gt;"Grøntsager i drivhus",SUMIFS('Direkte input'!G$3:G$230,'Direkte input'!$F$3:$F$230,$D83,'Direkte input'!$C$3:$C$230,$B83,'Direkte input'!$D$3:$D$230,$C83,'Direkte input'!$A$3:$A$230,$A$1),SUMIFS('Direkte input'!G$3:G$230,'Direkte input'!$F$3:$F$230,$D83,'Direkte input'!$C$3:$C$230,$B83,'Direkte input'!$A$3:$A$230,$A$1)),IF(VLOOKUP($A83,[1]!Table1[#All],2,FALSE)="Resultat",SUMIF($F$1:$F82,$D83,H$1:H82)+SUMIF($F85:$F$512,$D83,H85:H$512),0))*'[1]Processer - data'!H83,"")*IF($C83&lt;&gt;"",IF($F83="Halm",Landbrug!C$16*Landbrug!C$17,IF(LEFT($D83,5)="Areal", IF($G83="Ton",Landbrug!C$18,1),1)),1)*IF($F83="Grøntsager",IF($A83="Grøntsager i drivhus",Landbrug!C$51,1-Landbrug!C$51),1)</f>
        <v>0</v>
      </c>
      <c r="I83" s="298">
        <f ca="1">IF($A83&lt;&gt;"",IF(VLOOKUP($A83,[1]!Table1[#All],2,FALSE)="Direkte input",IF($A83&lt;&gt;"Grøntsager i drivhus",SUMIFS('Direkte input'!H$3:H$230,'Direkte input'!$F$3:$F$230,$D83,'Direkte input'!$C$3:$C$230,$B83,'Direkte input'!$D$3:$D$230,$C83,'Direkte input'!$A$3:$A$230,$A$1),SUMIFS('Direkte input'!H$3:H$230,'Direkte input'!$F$3:$F$230,$D83,'Direkte input'!$C$3:$C$230,$B83,'Direkte input'!$A$3:$A$230,$A$1)),IF(VLOOKUP($A83,[1]!Table1[#All],2,FALSE)="Resultat",SUMIF($F$1:$F82,$D83,I$1:I82)+SUMIF($F85:$F$512,$D83,I85:I$512),0))*'[1]Processer - data'!I83,"")*IF($C83&lt;&gt;"",IF($F83="Halm",Landbrug!D$16*Landbrug!D$17,IF(LEFT($D83,5)="Areal", IF($G83="Ton",Landbrug!D$18,1),1)),1)*IF($F83="Grøntsager",IF($A83="Grøntsager i drivhus",Landbrug!D$51,1-Landbrug!D$51),1)</f>
        <v>0</v>
      </c>
      <c r="J83" s="299">
        <f ca="1">IF($A83&lt;&gt;"",IF(VLOOKUP($A83,[1]!Table1[#All],2,FALSE)="Direkte input",IF($A83&lt;&gt;"Grøntsager i drivhus",SUMIFS('Direkte input'!I$3:I$230,'Direkte input'!$F$3:$F$230,$D83,'Direkte input'!$C$3:$C$230,$B83,'Direkte input'!$D$3:$D$230,$C83,'Direkte input'!$A$3:$A$230,$A$1),SUMIFS('Direkte input'!I$3:I$230,'Direkte input'!$F$3:$F$230,$D83,'Direkte input'!$C$3:$C$230,$B83,'Direkte input'!$A$3:$A$230,$A$1)),IF(VLOOKUP($A83,[1]!Table1[#All],2,FALSE)="Resultat",SUMIF($F$1:$F82,$D83,J$1:J82)+SUMIF($F85:$F$512,$D83,J85:J$512),0))*'[1]Processer - data'!J83,"")*IF($C83&lt;&gt;"",IF($F83="Halm",Landbrug!E$16*Landbrug!E$17,IF(LEFT($D83,5)="Areal", IF($G83="Ton",Landbrug!E$18,1),1)),1)*IF($F83="Grøntsager",IF($A83="Grøntsager i drivhus",Landbrug!E$51,1-Landbrug!E$51),1)</f>
        <v>0</v>
      </c>
    </row>
    <row r="84" spans="1:10" x14ac:dyDescent="0.25">
      <c r="A84" s="168" t="str">
        <f>IF('[1]Processer - data'!A84&lt;&gt;"",'[1]Processer - data'!A84,"")</f>
        <v>Skovproduktion</v>
      </c>
      <c r="B84" s="168" t="str">
        <f>IF('[1]Processer - data'!B84&lt;&gt;"",'[1]Processer - data'!B84,"")</f>
        <v/>
      </c>
      <c r="C84" s="168" t="str">
        <f>IF('[1]Processer - data'!C84&lt;&gt;"",'[1]Processer - data'!C84,"")</f>
        <v>Skovtype5</v>
      </c>
      <c r="D84" s="168" t="str">
        <f>IF('[1]Processer - data'!D84&lt;&gt;"",'[1]Processer - data'!D84,"")</f>
        <v>Areal-skovtype5-20</v>
      </c>
      <c r="E84" s="168" t="str">
        <f>IF('[1]Processer - data'!E84&lt;&gt;"",'[1]Processer - data'!E84,"")</f>
        <v>Hektar</v>
      </c>
      <c r="F84" s="168" t="str">
        <f>IF('[1]Processer - data'!F84&lt;&gt;"",'[1]Processer - data'!F84,"")</f>
        <v>Træ til energi</v>
      </c>
      <c r="G84" s="168" t="str">
        <f>IF('[1]Processer - data'!G84&lt;&gt;"",'[1]Processer - data'!G84,"")</f>
        <v>m3</v>
      </c>
      <c r="H84" s="297">
        <f ca="1">IF($A84&lt;&gt;"",IF(VLOOKUP($A84,[1]!Table1[#All],2,FALSE)="Direkte input",IF($A84&lt;&gt;"Grøntsager i drivhus",SUMIFS('Direkte input'!G$3:G$230,'Direkte input'!$F$3:$F$230,$D84,'Direkte input'!$C$3:$C$230,$B84,'Direkte input'!$D$3:$D$230,$C84,'Direkte input'!$A$3:$A$230,$A$1),SUMIFS('Direkte input'!G$3:G$230,'Direkte input'!$F$3:$F$230,$D84,'Direkte input'!$C$3:$C$230,$B84,'Direkte input'!$A$3:$A$230,$A$1)),IF(VLOOKUP($A84,[1]!Table1[#All],2,FALSE)="Resultat",SUMIF($F$1:$F83,$D84,H$1:H83)+SUMIF($F86:$F$512,$D84,H86:H$512),0))*'[1]Processer - data'!H84,"")*IF($C84&lt;&gt;"",IF($F84="Halm",Landbrug!C$16*Landbrug!C$17,IF(LEFT($D84,5)="Areal", IF($G84="Ton",Landbrug!C$18,1),1)),1)*IF($F84="Grøntsager",IF($A84="Grøntsager i drivhus",Landbrug!C$51,1-Landbrug!C$51),1)</f>
        <v>0</v>
      </c>
      <c r="I84" s="298">
        <f ca="1">IF($A84&lt;&gt;"",IF(VLOOKUP($A84,[1]!Table1[#All],2,FALSE)="Direkte input",IF($A84&lt;&gt;"Grøntsager i drivhus",SUMIFS('Direkte input'!H$3:H$230,'Direkte input'!$F$3:$F$230,$D84,'Direkte input'!$C$3:$C$230,$B84,'Direkte input'!$D$3:$D$230,$C84,'Direkte input'!$A$3:$A$230,$A$1),SUMIFS('Direkte input'!H$3:H$230,'Direkte input'!$F$3:$F$230,$D84,'Direkte input'!$C$3:$C$230,$B84,'Direkte input'!$A$3:$A$230,$A$1)),IF(VLOOKUP($A84,[1]!Table1[#All],2,FALSE)="Resultat",SUMIF($F$1:$F83,$D84,I$1:I83)+SUMIF($F86:$F$512,$D84,I86:I$512),0))*'[1]Processer - data'!I84,"")*IF($C84&lt;&gt;"",IF($F84="Halm",Landbrug!D$16*Landbrug!D$17,IF(LEFT($D84,5)="Areal", IF($G84="Ton",Landbrug!D$18,1),1)),1)*IF($F84="Grøntsager",IF($A84="Grøntsager i drivhus",Landbrug!D$51,1-Landbrug!D$51),1)</f>
        <v>0</v>
      </c>
      <c r="J84" s="299">
        <f ca="1">IF($A84&lt;&gt;"",IF(VLOOKUP($A84,[1]!Table1[#All],2,FALSE)="Direkte input",IF($A84&lt;&gt;"Grøntsager i drivhus",SUMIFS('Direkte input'!I$3:I$230,'Direkte input'!$F$3:$F$230,$D84,'Direkte input'!$C$3:$C$230,$B84,'Direkte input'!$D$3:$D$230,$C84,'Direkte input'!$A$3:$A$230,$A$1),SUMIFS('Direkte input'!I$3:I$230,'Direkte input'!$F$3:$F$230,$D84,'Direkte input'!$C$3:$C$230,$B84,'Direkte input'!$A$3:$A$230,$A$1)),IF(VLOOKUP($A84,[1]!Table1[#All],2,FALSE)="Resultat",SUMIF($F$1:$F83,$D84,J$1:J83)+SUMIF($F86:$F$512,$D84,J86:J$512),0))*'[1]Processer - data'!J84,"")*IF($C84&lt;&gt;"",IF($F84="Halm",Landbrug!E$16*Landbrug!E$17,IF(LEFT($D84,5)="Areal", IF($G84="Ton",Landbrug!E$18,1),1)),1)*IF($F84="Grøntsager",IF($A84="Grøntsager i drivhus",Landbrug!E$51,1-Landbrug!E$51),1)</f>
        <v>0</v>
      </c>
    </row>
    <row r="85" spans="1:10" x14ac:dyDescent="0.25">
      <c r="A85" s="168" t="str">
        <f>IF('[1]Processer - data'!A85&lt;&gt;"",'[1]Processer - data'!A85,"")</f>
        <v>Skovproduktion</v>
      </c>
      <c r="B85" s="168" t="str">
        <f>IF('[1]Processer - data'!B85&lt;&gt;"",'[1]Processer - data'!B85,"")</f>
        <v/>
      </c>
      <c r="C85" s="168" t="str">
        <f>IF('[1]Processer - data'!C85&lt;&gt;"",'[1]Processer - data'!C85,"")</f>
        <v>Skovtype5</v>
      </c>
      <c r="D85" s="168" t="str">
        <f>IF('[1]Processer - data'!D85&lt;&gt;"",'[1]Processer - data'!D85,"")</f>
        <v>Areal-skovtype5-20</v>
      </c>
      <c r="E85" s="168" t="str">
        <f>IF('[1]Processer - data'!E85&lt;&gt;"",'[1]Processer - data'!E85,"")</f>
        <v>Hektar</v>
      </c>
      <c r="F85" s="168" t="str">
        <f>IF('[1]Processer - data'!F85&lt;&gt;"",'[1]Processer - data'!F85,"")</f>
        <v>CO2 - atmosfære</v>
      </c>
      <c r="G85" s="168" t="str">
        <f>IF('[1]Processer - data'!G85&lt;&gt;"",'[1]Processer - data'!G85,"")</f>
        <v>t CO2-ækvivalenter</v>
      </c>
      <c r="H85" s="297">
        <f ca="1">IF($A85&lt;&gt;"",IF(VLOOKUP($A85,[1]!Table1[#All],2,FALSE)="Direkte input",IF($A85&lt;&gt;"Grøntsager i drivhus",SUMIFS('Direkte input'!G$3:G$230,'Direkte input'!$F$3:$F$230,$D85,'Direkte input'!$C$3:$C$230,$B85,'Direkte input'!$D$3:$D$230,$C85,'Direkte input'!$A$3:$A$230,$A$1),SUMIFS('Direkte input'!G$3:G$230,'Direkte input'!$F$3:$F$230,$D85,'Direkte input'!$C$3:$C$230,$B85,'Direkte input'!$A$3:$A$230,$A$1)),IF(VLOOKUP($A85,[1]!Table1[#All],2,FALSE)="Resultat",SUMIF($F$1:$F84,$D85,H$1:H84)+SUMIF($F87:$F$512,$D85,H87:H$512),0))*'[1]Processer - data'!H85,"")*IF($C85&lt;&gt;"",IF($F85="Halm",Landbrug!C$16*Landbrug!C$17,IF(LEFT($D85,5)="Areal", IF($G85="Ton",Landbrug!C$18,1),1)),1)*IF($F85="Grøntsager",IF($A85="Grøntsager i drivhus",Landbrug!C$51,1-Landbrug!C$51),1)</f>
        <v>0</v>
      </c>
      <c r="I85" s="298">
        <f ca="1">IF($A85&lt;&gt;"",IF(VLOOKUP($A85,[1]!Table1[#All],2,FALSE)="Direkte input",IF($A85&lt;&gt;"Grøntsager i drivhus",SUMIFS('Direkte input'!H$3:H$230,'Direkte input'!$F$3:$F$230,$D85,'Direkte input'!$C$3:$C$230,$B85,'Direkte input'!$D$3:$D$230,$C85,'Direkte input'!$A$3:$A$230,$A$1),SUMIFS('Direkte input'!H$3:H$230,'Direkte input'!$F$3:$F$230,$D85,'Direkte input'!$C$3:$C$230,$B85,'Direkte input'!$A$3:$A$230,$A$1)),IF(VLOOKUP($A85,[1]!Table1[#All],2,FALSE)="Resultat",SUMIF($F$1:$F84,$D85,I$1:I84)+SUMIF($F87:$F$512,$D85,I87:I$512),0))*'[1]Processer - data'!I85,"")*IF($C85&lt;&gt;"",IF($F85="Halm",Landbrug!D$16*Landbrug!D$17,IF(LEFT($D85,5)="Areal", IF($G85="Ton",Landbrug!D$18,1),1)),1)*IF($F85="Grøntsager",IF($A85="Grøntsager i drivhus",Landbrug!D$51,1-Landbrug!D$51),1)</f>
        <v>0</v>
      </c>
      <c r="J85" s="299">
        <f ca="1">IF($A85&lt;&gt;"",IF(VLOOKUP($A85,[1]!Table1[#All],2,FALSE)="Direkte input",IF($A85&lt;&gt;"Grøntsager i drivhus",SUMIFS('Direkte input'!I$3:I$230,'Direkte input'!$F$3:$F$230,$D85,'Direkte input'!$C$3:$C$230,$B85,'Direkte input'!$D$3:$D$230,$C85,'Direkte input'!$A$3:$A$230,$A$1),SUMIFS('Direkte input'!I$3:I$230,'Direkte input'!$F$3:$F$230,$D85,'Direkte input'!$C$3:$C$230,$B85,'Direkte input'!$A$3:$A$230,$A$1)),IF(VLOOKUP($A85,[1]!Table1[#All],2,FALSE)="Resultat",SUMIF($F$1:$F84,$D85,J$1:J84)+SUMIF($F87:$F$512,$D85,J87:J$512),0))*'[1]Processer - data'!J85,"")*IF($C85&lt;&gt;"",IF($F85="Halm",Landbrug!E$16*Landbrug!E$17,IF(LEFT($D85,5)="Areal", IF($G85="Ton",Landbrug!E$18,1),1)),1)*IF($F85="Grøntsager",IF($A85="Grøntsager i drivhus",Landbrug!E$51,1-Landbrug!E$51),1)</f>
        <v>0</v>
      </c>
    </row>
    <row r="86" spans="1:10" s="168" customFormat="1" x14ac:dyDescent="0.25">
      <c r="A86" s="168" t="str">
        <f>IF('[1]Processer - data'!A86&lt;&gt;"",'[1]Processer - data'!A86,"")</f>
        <v>Skovproduktion</v>
      </c>
      <c r="B86" s="168" t="str">
        <f>IF('[1]Processer - data'!B86&lt;&gt;"",'[1]Processer - data'!B86,"")</f>
        <v/>
      </c>
      <c r="C86" s="168" t="str">
        <f>IF('[1]Processer - data'!C86&lt;&gt;"",'[1]Processer - data'!C86,"")</f>
        <v>Skovtype5</v>
      </c>
      <c r="D86" s="168" t="str">
        <f>IF('[1]Processer - data'!D86&lt;&gt;"",'[1]Processer - data'!D86,"")</f>
        <v>Areal-skovtype5-20</v>
      </c>
      <c r="E86" s="168" t="str">
        <f>IF('[1]Processer - data'!E86&lt;&gt;"",'[1]Processer - data'!E86,"")</f>
        <v>Hektar</v>
      </c>
      <c r="F86" s="168" t="str">
        <f>IF('[1]Processer - data'!F86&lt;&gt;"",'[1]Processer - data'!F86,"")</f>
        <v>CO2 - HWP</v>
      </c>
      <c r="G86" s="168" t="str">
        <f>IF('[1]Processer - data'!G86&lt;&gt;"",'[1]Processer - data'!G86,"")</f>
        <v>t CO2-ækvivalenter</v>
      </c>
      <c r="H86" s="297">
        <f ca="1">IF($A86&lt;&gt;"",IF(VLOOKUP($A86,[1]!Table1[#All],2,FALSE)="Direkte input",IF($A86&lt;&gt;"Grøntsager i drivhus",SUMIFS('Direkte input'!G$3:G$230,'Direkte input'!$F$3:$F$230,$D86,'Direkte input'!$C$3:$C$230,$B86,'Direkte input'!$D$3:$D$230,$C86,'Direkte input'!$A$3:$A$230,$A$1),SUMIFS('Direkte input'!G$3:G$230,'Direkte input'!$F$3:$F$230,$D86,'Direkte input'!$C$3:$C$230,$B86,'Direkte input'!$A$3:$A$230,$A$1)),IF(VLOOKUP($A86,[1]!Table1[#All],2,FALSE)="Resultat",SUMIF($F$1:$F85,$D86,H$1:H85)+SUMIF($F88:$F$512,$D86,H88:H$512),0))*'[1]Processer - data'!H86,"")*IF($C86&lt;&gt;"",IF($F86="Halm",Landbrug!C$16*Landbrug!C$17,IF(LEFT($D86,5)="Areal", IF($G86="Ton",Landbrug!C$18,1),1)),1)*IF($F86="Grøntsager",IF($A86="Grøntsager i drivhus",Landbrug!C$51,1-Landbrug!C$51),1)</f>
        <v>0</v>
      </c>
      <c r="I86" s="298">
        <f ca="1">IF($A86&lt;&gt;"",IF(VLOOKUP($A86,[1]!Table1[#All],2,FALSE)="Direkte input",IF($A86&lt;&gt;"Grøntsager i drivhus",SUMIFS('Direkte input'!H$3:H$230,'Direkte input'!$F$3:$F$230,$D86,'Direkte input'!$C$3:$C$230,$B86,'Direkte input'!$D$3:$D$230,$C86,'Direkte input'!$A$3:$A$230,$A$1),SUMIFS('Direkte input'!H$3:H$230,'Direkte input'!$F$3:$F$230,$D86,'Direkte input'!$C$3:$C$230,$B86,'Direkte input'!$A$3:$A$230,$A$1)),IF(VLOOKUP($A86,[1]!Table1[#All],2,FALSE)="Resultat",SUMIF($F$1:$F85,$D86,I$1:I85)+SUMIF($F88:$F$512,$D86,I88:I$512),0))*'[1]Processer - data'!I86,"")*IF($C86&lt;&gt;"",IF($F86="Halm",Landbrug!D$16*Landbrug!D$17,IF(LEFT($D86,5)="Areal", IF($G86="Ton",Landbrug!D$18,1),1)),1)*IF($F86="Grøntsager",IF($A86="Grøntsager i drivhus",Landbrug!D$51,1-Landbrug!D$51),1)</f>
        <v>0</v>
      </c>
      <c r="J86" s="299">
        <f ca="1">IF($A86&lt;&gt;"",IF(VLOOKUP($A86,[1]!Table1[#All],2,FALSE)="Direkte input",IF($A86&lt;&gt;"Grøntsager i drivhus",SUMIFS('Direkte input'!I$3:I$230,'Direkte input'!$F$3:$F$230,$D86,'Direkte input'!$C$3:$C$230,$B86,'Direkte input'!$D$3:$D$230,$C86,'Direkte input'!$A$3:$A$230,$A$1),SUMIFS('Direkte input'!I$3:I$230,'Direkte input'!$F$3:$F$230,$D86,'Direkte input'!$C$3:$C$230,$B86,'Direkte input'!$A$3:$A$230,$A$1)),IF(VLOOKUP($A86,[1]!Table1[#All],2,FALSE)="Resultat",SUMIF($F$1:$F85,$D86,J$1:J85)+SUMIF($F88:$F$512,$D86,J88:J$512),0))*'[1]Processer - data'!J86,"")*IF($C86&lt;&gt;"",IF($F86="Halm",Landbrug!E$16*Landbrug!E$17,IF(LEFT($D86,5)="Areal", IF($G86="Ton",Landbrug!E$18,1),1)),1)*IF($F86="Grøntsager",IF($A86="Grøntsager i drivhus",Landbrug!E$51,1-Landbrug!E$51),1)</f>
        <v>0</v>
      </c>
    </row>
    <row r="87" spans="1:10" x14ac:dyDescent="0.25">
      <c r="A87" s="168" t="str">
        <f>IF('[1]Processer - data'!A87&lt;&gt;"",'[1]Processer - data'!A87,"")</f>
        <v>Skovproduktion</v>
      </c>
      <c r="B87" s="168" t="str">
        <f>IF('[1]Processer - data'!B87&lt;&gt;"",'[1]Processer - data'!B87,"")</f>
        <v/>
      </c>
      <c r="C87" s="168" t="str">
        <f>IF('[1]Processer - data'!C87&lt;&gt;"",'[1]Processer - data'!C87,"")</f>
        <v>Skovtype5</v>
      </c>
      <c r="D87" s="168" t="str">
        <f>IF('[1]Processer - data'!D87&lt;&gt;"",'[1]Processer - data'!D87,"")</f>
        <v>Areal-skovtype5-30</v>
      </c>
      <c r="E87" s="168" t="str">
        <f>IF('[1]Processer - data'!E87&lt;&gt;"",'[1]Processer - data'!E87,"")</f>
        <v>Hektar</v>
      </c>
      <c r="F87" s="168" t="str">
        <f>IF('[1]Processer - data'!F87&lt;&gt;"",'[1]Processer - data'!F87,"")</f>
        <v>Træer</v>
      </c>
      <c r="G87" s="168" t="str">
        <f>IF('[1]Processer - data'!G87&lt;&gt;"",'[1]Processer - data'!G87,"")</f>
        <v>m3</v>
      </c>
      <c r="H87" s="297">
        <f ca="1">IF($A87&lt;&gt;"",IF(VLOOKUP($A87,[1]!Table1[#All],2,FALSE)="Direkte input",IF($A87&lt;&gt;"Grøntsager i drivhus",SUMIFS('Direkte input'!G$3:G$230,'Direkte input'!$F$3:$F$230,$D87,'Direkte input'!$C$3:$C$230,$B87,'Direkte input'!$D$3:$D$230,$C87,'Direkte input'!$A$3:$A$230,$A$1),SUMIFS('Direkte input'!G$3:G$230,'Direkte input'!$F$3:$F$230,$D87,'Direkte input'!$C$3:$C$230,$B87,'Direkte input'!$A$3:$A$230,$A$1)),IF(VLOOKUP($A87,[1]!Table1[#All],2,FALSE)="Resultat",SUMIF($F$1:$F86,$D87,H$1:H86)+SUMIF($F89:$F$512,$D87,H89:H$512),0))*'[1]Processer - data'!H87,"")*IF($C87&lt;&gt;"",IF($F87="Halm",Landbrug!C$16*Landbrug!C$17,IF(LEFT($D87,5)="Areal", IF($G87="Ton",Landbrug!C$18,1),1)),1)*IF($F87="Grøntsager",IF($A87="Grøntsager i drivhus",Landbrug!C$51,1-Landbrug!C$51),1)</f>
        <v>0</v>
      </c>
      <c r="I87" s="298">
        <f ca="1">IF($A87&lt;&gt;"",IF(VLOOKUP($A87,[1]!Table1[#All],2,FALSE)="Direkte input",IF($A87&lt;&gt;"Grøntsager i drivhus",SUMIFS('Direkte input'!H$3:H$230,'Direkte input'!$F$3:$F$230,$D87,'Direkte input'!$C$3:$C$230,$B87,'Direkte input'!$D$3:$D$230,$C87,'Direkte input'!$A$3:$A$230,$A$1),SUMIFS('Direkte input'!H$3:H$230,'Direkte input'!$F$3:$F$230,$D87,'Direkte input'!$C$3:$C$230,$B87,'Direkte input'!$A$3:$A$230,$A$1)),IF(VLOOKUP($A87,[1]!Table1[#All],2,FALSE)="Resultat",SUMIF($F$1:$F86,$D87,I$1:I86)+SUMIF($F89:$F$512,$D87,I89:I$512),0))*'[1]Processer - data'!I87,"")*IF($C87&lt;&gt;"",IF($F87="Halm",Landbrug!D$16*Landbrug!D$17,IF(LEFT($D87,5)="Areal", IF($G87="Ton",Landbrug!D$18,1),1)),1)*IF($F87="Grøntsager",IF($A87="Grøntsager i drivhus",Landbrug!D$51,1-Landbrug!D$51),1)</f>
        <v>0</v>
      </c>
      <c r="J87" s="299">
        <f ca="1">IF($A87&lt;&gt;"",IF(VLOOKUP($A87,[1]!Table1[#All],2,FALSE)="Direkte input",IF($A87&lt;&gt;"Grøntsager i drivhus",SUMIFS('Direkte input'!I$3:I$230,'Direkte input'!$F$3:$F$230,$D87,'Direkte input'!$C$3:$C$230,$B87,'Direkte input'!$D$3:$D$230,$C87,'Direkte input'!$A$3:$A$230,$A$1),SUMIFS('Direkte input'!I$3:I$230,'Direkte input'!$F$3:$F$230,$D87,'Direkte input'!$C$3:$C$230,$B87,'Direkte input'!$A$3:$A$230,$A$1)),IF(VLOOKUP($A87,[1]!Table1[#All],2,FALSE)="Resultat",SUMIF($F$1:$F86,$D87,J$1:J86)+SUMIF($F89:$F$512,$D87,J89:J$512),0))*'[1]Processer - data'!J87,"")*IF($C87&lt;&gt;"",IF($F87="Halm",Landbrug!E$16*Landbrug!E$17,IF(LEFT($D87,5)="Areal", IF($G87="Ton",Landbrug!E$18,1),1)),1)*IF($F87="Grøntsager",IF($A87="Grøntsager i drivhus",Landbrug!E$51,1-Landbrug!E$51),1)</f>
        <v>0</v>
      </c>
    </row>
    <row r="88" spans="1:10" x14ac:dyDescent="0.25">
      <c r="A88" s="168" t="str">
        <f>IF('[1]Processer - data'!A88&lt;&gt;"",'[1]Processer - data'!A88,"")</f>
        <v>Skovproduktion</v>
      </c>
      <c r="B88" s="168" t="str">
        <f>IF('[1]Processer - data'!B88&lt;&gt;"",'[1]Processer - data'!B88,"")</f>
        <v/>
      </c>
      <c r="C88" s="168" t="str">
        <f>IF('[1]Processer - data'!C88&lt;&gt;"",'[1]Processer - data'!C88,"")</f>
        <v>Skovtype5</v>
      </c>
      <c r="D88" s="168" t="str">
        <f>IF('[1]Processer - data'!D88&lt;&gt;"",'[1]Processer - data'!D88,"")</f>
        <v>Areal-skovtype5-30</v>
      </c>
      <c r="E88" s="168" t="str">
        <f>IF('[1]Processer - data'!E88&lt;&gt;"",'[1]Processer - data'!E88,"")</f>
        <v>Hektar</v>
      </c>
      <c r="F88" s="168" t="str">
        <f>IF('[1]Processer - data'!F88&lt;&gt;"",'[1]Processer - data'!F88,"")</f>
        <v>Træ til energi</v>
      </c>
      <c r="G88" s="168" t="str">
        <f>IF('[1]Processer - data'!G88&lt;&gt;"",'[1]Processer - data'!G88,"")</f>
        <v>m3</v>
      </c>
      <c r="H88" s="297">
        <f ca="1">IF($A88&lt;&gt;"",IF(VLOOKUP($A88,[1]!Table1[#All],2,FALSE)="Direkte input",IF($A88&lt;&gt;"Grøntsager i drivhus",SUMIFS('Direkte input'!G$3:G$230,'Direkte input'!$F$3:$F$230,$D88,'Direkte input'!$C$3:$C$230,$B88,'Direkte input'!$D$3:$D$230,$C88,'Direkte input'!$A$3:$A$230,$A$1),SUMIFS('Direkte input'!G$3:G$230,'Direkte input'!$F$3:$F$230,$D88,'Direkte input'!$C$3:$C$230,$B88,'Direkte input'!$A$3:$A$230,$A$1)),IF(VLOOKUP($A88,[1]!Table1[#All],2,FALSE)="Resultat",SUMIF($F$1:$F87,$D88,H$1:H87)+SUMIF($F90:$F$512,$D88,H90:H$512),0))*'[1]Processer - data'!H88,"")*IF($C88&lt;&gt;"",IF($F88="Halm",Landbrug!C$16*Landbrug!C$17,IF(LEFT($D88,5)="Areal", IF($G88="Ton",Landbrug!C$18,1),1)),1)*IF($F88="Grøntsager",IF($A88="Grøntsager i drivhus",Landbrug!C$51,1-Landbrug!C$51),1)</f>
        <v>0</v>
      </c>
      <c r="I88" s="298">
        <f ca="1">IF($A88&lt;&gt;"",IF(VLOOKUP($A88,[1]!Table1[#All],2,FALSE)="Direkte input",IF($A88&lt;&gt;"Grøntsager i drivhus",SUMIFS('Direkte input'!H$3:H$230,'Direkte input'!$F$3:$F$230,$D88,'Direkte input'!$C$3:$C$230,$B88,'Direkte input'!$D$3:$D$230,$C88,'Direkte input'!$A$3:$A$230,$A$1),SUMIFS('Direkte input'!H$3:H$230,'Direkte input'!$F$3:$F$230,$D88,'Direkte input'!$C$3:$C$230,$B88,'Direkte input'!$A$3:$A$230,$A$1)),IF(VLOOKUP($A88,[1]!Table1[#All],2,FALSE)="Resultat",SUMIF($F$1:$F87,$D88,I$1:I87)+SUMIF($F90:$F$512,$D88,I90:I$512),0))*'[1]Processer - data'!I88,"")*IF($C88&lt;&gt;"",IF($F88="Halm",Landbrug!D$16*Landbrug!D$17,IF(LEFT($D88,5)="Areal", IF($G88="Ton",Landbrug!D$18,1),1)),1)*IF($F88="Grøntsager",IF($A88="Grøntsager i drivhus",Landbrug!D$51,1-Landbrug!D$51),1)</f>
        <v>0</v>
      </c>
      <c r="J88" s="299">
        <f ca="1">IF($A88&lt;&gt;"",IF(VLOOKUP($A88,[1]!Table1[#All],2,FALSE)="Direkte input",IF($A88&lt;&gt;"Grøntsager i drivhus",SUMIFS('Direkte input'!I$3:I$230,'Direkte input'!$F$3:$F$230,$D88,'Direkte input'!$C$3:$C$230,$B88,'Direkte input'!$D$3:$D$230,$C88,'Direkte input'!$A$3:$A$230,$A$1),SUMIFS('Direkte input'!I$3:I$230,'Direkte input'!$F$3:$F$230,$D88,'Direkte input'!$C$3:$C$230,$B88,'Direkte input'!$A$3:$A$230,$A$1)),IF(VLOOKUP($A88,[1]!Table1[#All],2,FALSE)="Resultat",SUMIF($F$1:$F87,$D88,J$1:J87)+SUMIF($F90:$F$512,$D88,J90:J$512),0))*'[1]Processer - data'!J88,"")*IF($C88&lt;&gt;"",IF($F88="Halm",Landbrug!E$16*Landbrug!E$17,IF(LEFT($D88,5)="Areal", IF($G88="Ton",Landbrug!E$18,1),1)),1)*IF($F88="Grøntsager",IF($A88="Grøntsager i drivhus",Landbrug!E$51,1-Landbrug!E$51),1)</f>
        <v>0</v>
      </c>
    </row>
    <row r="89" spans="1:10" x14ac:dyDescent="0.25">
      <c r="A89" s="168" t="str">
        <f>IF('[1]Processer - data'!A89&lt;&gt;"",'[1]Processer - data'!A89,"")</f>
        <v>Skovproduktion</v>
      </c>
      <c r="B89" s="168" t="str">
        <f>IF('[1]Processer - data'!B89&lt;&gt;"",'[1]Processer - data'!B89,"")</f>
        <v/>
      </c>
      <c r="C89" s="168" t="str">
        <f>IF('[1]Processer - data'!C89&lt;&gt;"",'[1]Processer - data'!C89,"")</f>
        <v>Skovtype5</v>
      </c>
      <c r="D89" s="168" t="str">
        <f>IF('[1]Processer - data'!D89&lt;&gt;"",'[1]Processer - data'!D89,"")</f>
        <v>Areal-skovtype5-30</v>
      </c>
      <c r="E89" s="168" t="str">
        <f>IF('[1]Processer - data'!E89&lt;&gt;"",'[1]Processer - data'!E89,"")</f>
        <v>Hektar</v>
      </c>
      <c r="F89" s="168" t="str">
        <f>IF('[1]Processer - data'!F89&lt;&gt;"",'[1]Processer - data'!F89,"")</f>
        <v>CO2 - atmosfære</v>
      </c>
      <c r="G89" s="168" t="str">
        <f>IF('[1]Processer - data'!G89&lt;&gt;"",'[1]Processer - data'!G89,"")</f>
        <v>t CO2-ækvivalenter</v>
      </c>
      <c r="H89" s="297">
        <f ca="1">IF($A89&lt;&gt;"",IF(VLOOKUP($A89,[1]!Table1[#All],2,FALSE)="Direkte input",IF($A89&lt;&gt;"Grøntsager i drivhus",SUMIFS('Direkte input'!G$3:G$230,'Direkte input'!$F$3:$F$230,$D89,'Direkte input'!$C$3:$C$230,$B89,'Direkte input'!$D$3:$D$230,$C89,'Direkte input'!$A$3:$A$230,$A$1),SUMIFS('Direkte input'!G$3:G$230,'Direkte input'!$F$3:$F$230,$D89,'Direkte input'!$C$3:$C$230,$B89,'Direkte input'!$A$3:$A$230,$A$1)),IF(VLOOKUP($A89,[1]!Table1[#All],2,FALSE)="Resultat",SUMIF($F$1:$F88,$D89,H$1:H88)+SUMIF($F91:$F$512,$D89,H91:H$512),0))*'[1]Processer - data'!H89,"")*IF($C89&lt;&gt;"",IF($F89="Halm",Landbrug!C$16*Landbrug!C$17,IF(LEFT($D89,5)="Areal", IF($G89="Ton",Landbrug!C$18,1),1)),1)*IF($F89="Grøntsager",IF($A89="Grøntsager i drivhus",Landbrug!C$51,1-Landbrug!C$51),1)</f>
        <v>0</v>
      </c>
      <c r="I89" s="298">
        <f ca="1">IF($A89&lt;&gt;"",IF(VLOOKUP($A89,[1]!Table1[#All],2,FALSE)="Direkte input",IF($A89&lt;&gt;"Grøntsager i drivhus",SUMIFS('Direkte input'!H$3:H$230,'Direkte input'!$F$3:$F$230,$D89,'Direkte input'!$C$3:$C$230,$B89,'Direkte input'!$D$3:$D$230,$C89,'Direkte input'!$A$3:$A$230,$A$1),SUMIFS('Direkte input'!H$3:H$230,'Direkte input'!$F$3:$F$230,$D89,'Direkte input'!$C$3:$C$230,$B89,'Direkte input'!$A$3:$A$230,$A$1)),IF(VLOOKUP($A89,[1]!Table1[#All],2,FALSE)="Resultat",SUMIF($F$1:$F88,$D89,I$1:I88)+SUMIF($F91:$F$512,$D89,I91:I$512),0))*'[1]Processer - data'!I89,"")*IF($C89&lt;&gt;"",IF($F89="Halm",Landbrug!D$16*Landbrug!D$17,IF(LEFT($D89,5)="Areal", IF($G89="Ton",Landbrug!D$18,1),1)),1)*IF($F89="Grøntsager",IF($A89="Grøntsager i drivhus",Landbrug!D$51,1-Landbrug!D$51),1)</f>
        <v>0</v>
      </c>
      <c r="J89" s="299">
        <f ca="1">IF($A89&lt;&gt;"",IF(VLOOKUP($A89,[1]!Table1[#All],2,FALSE)="Direkte input",IF($A89&lt;&gt;"Grøntsager i drivhus",SUMIFS('Direkte input'!I$3:I$230,'Direkte input'!$F$3:$F$230,$D89,'Direkte input'!$C$3:$C$230,$B89,'Direkte input'!$D$3:$D$230,$C89,'Direkte input'!$A$3:$A$230,$A$1),SUMIFS('Direkte input'!I$3:I$230,'Direkte input'!$F$3:$F$230,$D89,'Direkte input'!$C$3:$C$230,$B89,'Direkte input'!$A$3:$A$230,$A$1)),IF(VLOOKUP($A89,[1]!Table1[#All],2,FALSE)="Resultat",SUMIF($F$1:$F88,$D89,J$1:J88)+SUMIF($F91:$F$512,$D89,J91:J$512),0))*'[1]Processer - data'!J89,"")*IF($C89&lt;&gt;"",IF($F89="Halm",Landbrug!E$16*Landbrug!E$17,IF(LEFT($D89,5)="Areal", IF($G89="Ton",Landbrug!E$18,1),1)),1)*IF($F89="Grøntsager",IF($A89="Grøntsager i drivhus",Landbrug!E$51,1-Landbrug!E$51),1)</f>
        <v>0</v>
      </c>
    </row>
    <row r="90" spans="1:10" s="168" customFormat="1" x14ac:dyDescent="0.25">
      <c r="A90" s="168" t="str">
        <f>IF('[1]Processer - data'!A90&lt;&gt;"",'[1]Processer - data'!A90,"")</f>
        <v>Skovproduktion</v>
      </c>
      <c r="B90" s="168" t="str">
        <f>IF('[1]Processer - data'!B90&lt;&gt;"",'[1]Processer - data'!B90,"")</f>
        <v/>
      </c>
      <c r="C90" s="168" t="str">
        <f>IF('[1]Processer - data'!C90&lt;&gt;"",'[1]Processer - data'!C90,"")</f>
        <v>Skovtype5</v>
      </c>
      <c r="D90" s="168" t="str">
        <f>IF('[1]Processer - data'!D90&lt;&gt;"",'[1]Processer - data'!D90,"")</f>
        <v>Areal-skovtype5-30</v>
      </c>
      <c r="E90" s="168" t="str">
        <f>IF('[1]Processer - data'!E90&lt;&gt;"",'[1]Processer - data'!E90,"")</f>
        <v>Hektar</v>
      </c>
      <c r="F90" s="168" t="str">
        <f>IF('[1]Processer - data'!F90&lt;&gt;"",'[1]Processer - data'!F90,"")</f>
        <v>CO2 - HWP</v>
      </c>
      <c r="G90" s="168" t="str">
        <f>IF('[1]Processer - data'!G90&lt;&gt;"",'[1]Processer - data'!G90,"")</f>
        <v>t CO2-ækvivalenter</v>
      </c>
      <c r="H90" s="297">
        <f ca="1">IF($A90&lt;&gt;"",IF(VLOOKUP($A90,[1]!Table1[#All],2,FALSE)="Direkte input",IF($A90&lt;&gt;"Grøntsager i drivhus",SUMIFS('Direkte input'!G$3:G$230,'Direkte input'!$F$3:$F$230,$D90,'Direkte input'!$C$3:$C$230,$B90,'Direkte input'!$D$3:$D$230,$C90,'Direkte input'!$A$3:$A$230,$A$1),SUMIFS('Direkte input'!G$3:G$230,'Direkte input'!$F$3:$F$230,$D90,'Direkte input'!$C$3:$C$230,$B90,'Direkte input'!$A$3:$A$230,$A$1)),IF(VLOOKUP($A90,[1]!Table1[#All],2,FALSE)="Resultat",SUMIF($F$1:$F89,$D90,H$1:H89)+SUMIF($F92:$F$512,$D90,H92:H$512),0))*'[1]Processer - data'!H90,"")*IF($C90&lt;&gt;"",IF($F90="Halm",Landbrug!C$16*Landbrug!C$17,IF(LEFT($D90,5)="Areal", IF($G90="Ton",Landbrug!C$18,1),1)),1)*IF($F90="Grøntsager",IF($A90="Grøntsager i drivhus",Landbrug!C$51,1-Landbrug!C$51),1)</f>
        <v>0</v>
      </c>
      <c r="I90" s="298">
        <f ca="1">IF($A90&lt;&gt;"",IF(VLOOKUP($A90,[1]!Table1[#All],2,FALSE)="Direkte input",IF($A90&lt;&gt;"Grøntsager i drivhus",SUMIFS('Direkte input'!H$3:H$230,'Direkte input'!$F$3:$F$230,$D90,'Direkte input'!$C$3:$C$230,$B90,'Direkte input'!$D$3:$D$230,$C90,'Direkte input'!$A$3:$A$230,$A$1),SUMIFS('Direkte input'!H$3:H$230,'Direkte input'!$F$3:$F$230,$D90,'Direkte input'!$C$3:$C$230,$B90,'Direkte input'!$A$3:$A$230,$A$1)),IF(VLOOKUP($A90,[1]!Table1[#All],2,FALSE)="Resultat",SUMIF($F$1:$F89,$D90,I$1:I89)+SUMIF($F92:$F$512,$D90,I92:I$512),0))*'[1]Processer - data'!I90,"")*IF($C90&lt;&gt;"",IF($F90="Halm",Landbrug!D$16*Landbrug!D$17,IF(LEFT($D90,5)="Areal", IF($G90="Ton",Landbrug!D$18,1),1)),1)*IF($F90="Grøntsager",IF($A90="Grøntsager i drivhus",Landbrug!D$51,1-Landbrug!D$51),1)</f>
        <v>0</v>
      </c>
      <c r="J90" s="299">
        <f ca="1">IF($A90&lt;&gt;"",IF(VLOOKUP($A90,[1]!Table1[#All],2,FALSE)="Direkte input",IF($A90&lt;&gt;"Grøntsager i drivhus",SUMIFS('Direkte input'!I$3:I$230,'Direkte input'!$F$3:$F$230,$D90,'Direkte input'!$C$3:$C$230,$B90,'Direkte input'!$D$3:$D$230,$C90,'Direkte input'!$A$3:$A$230,$A$1),SUMIFS('Direkte input'!I$3:I$230,'Direkte input'!$F$3:$F$230,$D90,'Direkte input'!$C$3:$C$230,$B90,'Direkte input'!$A$3:$A$230,$A$1)),IF(VLOOKUP($A90,[1]!Table1[#All],2,FALSE)="Resultat",SUMIF($F$1:$F89,$D90,J$1:J89)+SUMIF($F92:$F$512,$D90,J92:J$512),0))*'[1]Processer - data'!J90,"")*IF($C90&lt;&gt;"",IF($F90="Halm",Landbrug!E$16*Landbrug!E$17,IF(LEFT($D90,5)="Areal", IF($G90="Ton",Landbrug!E$18,1),1)),1)*IF($F90="Grøntsager",IF($A90="Grøntsager i drivhus",Landbrug!E$51,1-Landbrug!E$51),1)</f>
        <v>0</v>
      </c>
    </row>
    <row r="91" spans="1:10" x14ac:dyDescent="0.25">
      <c r="A91" s="168" t="str">
        <f>IF('[1]Processer - data'!A91&lt;&gt;"",'[1]Processer - data'!A91,"")</f>
        <v>Skovproduktion</v>
      </c>
      <c r="B91" s="168" t="str">
        <f>IF('[1]Processer - data'!B91&lt;&gt;"",'[1]Processer - data'!B91,"")</f>
        <v/>
      </c>
      <c r="C91" s="168" t="str">
        <f>IF('[1]Processer - data'!C91&lt;&gt;"",'[1]Processer - data'!C91,"")</f>
        <v>Skovtype5</v>
      </c>
      <c r="D91" s="168" t="str">
        <f>IF('[1]Processer - data'!D91&lt;&gt;"",'[1]Processer - data'!D91,"")</f>
        <v>Areal-skovtype5-40</v>
      </c>
      <c r="E91" s="168" t="str">
        <f>IF('[1]Processer - data'!E91&lt;&gt;"",'[1]Processer - data'!E91,"")</f>
        <v>Hektar</v>
      </c>
      <c r="F91" s="168" t="str">
        <f>IF('[1]Processer - data'!F91&lt;&gt;"",'[1]Processer - data'!F91,"")</f>
        <v>Træer</v>
      </c>
      <c r="G91" s="168" t="str">
        <f>IF('[1]Processer - data'!G91&lt;&gt;"",'[1]Processer - data'!G91,"")</f>
        <v>m3</v>
      </c>
      <c r="H91" s="297">
        <f ca="1">IF($A91&lt;&gt;"",IF(VLOOKUP($A91,[1]!Table1[#All],2,FALSE)="Direkte input",IF($A91&lt;&gt;"Grøntsager i drivhus",SUMIFS('Direkte input'!G$3:G$230,'Direkte input'!$F$3:$F$230,$D91,'Direkte input'!$C$3:$C$230,$B91,'Direkte input'!$D$3:$D$230,$C91,'Direkte input'!$A$3:$A$230,$A$1),SUMIFS('Direkte input'!G$3:G$230,'Direkte input'!$F$3:$F$230,$D91,'Direkte input'!$C$3:$C$230,$B91,'Direkte input'!$A$3:$A$230,$A$1)),IF(VLOOKUP($A91,[1]!Table1[#All],2,FALSE)="Resultat",SUMIF($F$1:$F90,$D91,H$1:H90)+SUMIF($F93:$F$512,$D91,H93:H$512),0))*'[1]Processer - data'!H91,"")*IF($C91&lt;&gt;"",IF($F91="Halm",Landbrug!C$16*Landbrug!C$17,IF(LEFT($D91,5)="Areal", IF($G91="Ton",Landbrug!C$18,1),1)),1)*IF($F91="Grøntsager",IF($A91="Grøntsager i drivhus",Landbrug!C$51,1-Landbrug!C$51),1)</f>
        <v>0</v>
      </c>
      <c r="I91" s="298">
        <f ca="1">IF($A91&lt;&gt;"",IF(VLOOKUP($A91,[1]!Table1[#All],2,FALSE)="Direkte input",IF($A91&lt;&gt;"Grøntsager i drivhus",SUMIFS('Direkte input'!H$3:H$230,'Direkte input'!$F$3:$F$230,$D91,'Direkte input'!$C$3:$C$230,$B91,'Direkte input'!$D$3:$D$230,$C91,'Direkte input'!$A$3:$A$230,$A$1),SUMIFS('Direkte input'!H$3:H$230,'Direkte input'!$F$3:$F$230,$D91,'Direkte input'!$C$3:$C$230,$B91,'Direkte input'!$A$3:$A$230,$A$1)),IF(VLOOKUP($A91,[1]!Table1[#All],2,FALSE)="Resultat",SUMIF($F$1:$F90,$D91,I$1:I90)+SUMIF($F93:$F$512,$D91,I93:I$512),0))*'[1]Processer - data'!I91,"")*IF($C91&lt;&gt;"",IF($F91="Halm",Landbrug!D$16*Landbrug!D$17,IF(LEFT($D91,5)="Areal", IF($G91="Ton",Landbrug!D$18,1),1)),1)*IF($F91="Grøntsager",IF($A91="Grøntsager i drivhus",Landbrug!D$51,1-Landbrug!D$51),1)</f>
        <v>0</v>
      </c>
      <c r="J91" s="299">
        <f ca="1">IF($A91&lt;&gt;"",IF(VLOOKUP($A91,[1]!Table1[#All],2,FALSE)="Direkte input",IF($A91&lt;&gt;"Grøntsager i drivhus",SUMIFS('Direkte input'!I$3:I$230,'Direkte input'!$F$3:$F$230,$D91,'Direkte input'!$C$3:$C$230,$B91,'Direkte input'!$D$3:$D$230,$C91,'Direkte input'!$A$3:$A$230,$A$1),SUMIFS('Direkte input'!I$3:I$230,'Direkte input'!$F$3:$F$230,$D91,'Direkte input'!$C$3:$C$230,$B91,'Direkte input'!$A$3:$A$230,$A$1)),IF(VLOOKUP($A91,[1]!Table1[#All],2,FALSE)="Resultat",SUMIF($F$1:$F90,$D91,J$1:J90)+SUMIF($F93:$F$512,$D91,J93:J$512),0))*'[1]Processer - data'!J91,"")*IF($C91&lt;&gt;"",IF($F91="Halm",Landbrug!E$16*Landbrug!E$17,IF(LEFT($D91,5)="Areal", IF($G91="Ton",Landbrug!E$18,1),1)),1)*IF($F91="Grøntsager",IF($A91="Grøntsager i drivhus",Landbrug!E$51,1-Landbrug!E$51),1)</f>
        <v>0</v>
      </c>
    </row>
    <row r="92" spans="1:10" x14ac:dyDescent="0.25">
      <c r="A92" s="168" t="str">
        <f>IF('[1]Processer - data'!A92&lt;&gt;"",'[1]Processer - data'!A92,"")</f>
        <v>Skovproduktion</v>
      </c>
      <c r="B92" s="168" t="str">
        <f>IF('[1]Processer - data'!B92&lt;&gt;"",'[1]Processer - data'!B92,"")</f>
        <v/>
      </c>
      <c r="C92" s="168" t="str">
        <f>IF('[1]Processer - data'!C92&lt;&gt;"",'[1]Processer - data'!C92,"")</f>
        <v>Skovtype5</v>
      </c>
      <c r="D92" s="168" t="str">
        <f>IF('[1]Processer - data'!D92&lt;&gt;"",'[1]Processer - data'!D92,"")</f>
        <v>Areal-skovtype5-40</v>
      </c>
      <c r="E92" s="168" t="str">
        <f>IF('[1]Processer - data'!E92&lt;&gt;"",'[1]Processer - data'!E92,"")</f>
        <v>Hektar</v>
      </c>
      <c r="F92" s="168" t="str">
        <f>IF('[1]Processer - data'!F92&lt;&gt;"",'[1]Processer - data'!F92,"")</f>
        <v>Træ til energi</v>
      </c>
      <c r="G92" s="168" t="str">
        <f>IF('[1]Processer - data'!G92&lt;&gt;"",'[1]Processer - data'!G92,"")</f>
        <v>m3</v>
      </c>
      <c r="H92" s="297">
        <f ca="1">IF($A92&lt;&gt;"",IF(VLOOKUP($A92,[1]!Table1[#All],2,FALSE)="Direkte input",IF($A92&lt;&gt;"Grøntsager i drivhus",SUMIFS('Direkte input'!G$3:G$230,'Direkte input'!$F$3:$F$230,$D92,'Direkte input'!$C$3:$C$230,$B92,'Direkte input'!$D$3:$D$230,$C92,'Direkte input'!$A$3:$A$230,$A$1),SUMIFS('Direkte input'!G$3:G$230,'Direkte input'!$F$3:$F$230,$D92,'Direkte input'!$C$3:$C$230,$B92,'Direkte input'!$A$3:$A$230,$A$1)),IF(VLOOKUP($A92,[1]!Table1[#All],2,FALSE)="Resultat",SUMIF($F$1:$F91,$D92,H$1:H91)+SUMIF($F94:$F$512,$D92,H94:H$512),0))*'[1]Processer - data'!H92,"")*IF($C92&lt;&gt;"",IF($F92="Halm",Landbrug!C$16*Landbrug!C$17,IF(LEFT($D92,5)="Areal", IF($G92="Ton",Landbrug!C$18,1),1)),1)*IF($F92="Grøntsager",IF($A92="Grøntsager i drivhus",Landbrug!C$51,1-Landbrug!C$51),1)</f>
        <v>0</v>
      </c>
      <c r="I92" s="298">
        <f ca="1">IF($A92&lt;&gt;"",IF(VLOOKUP($A92,[1]!Table1[#All],2,FALSE)="Direkte input",IF($A92&lt;&gt;"Grøntsager i drivhus",SUMIFS('Direkte input'!H$3:H$230,'Direkte input'!$F$3:$F$230,$D92,'Direkte input'!$C$3:$C$230,$B92,'Direkte input'!$D$3:$D$230,$C92,'Direkte input'!$A$3:$A$230,$A$1),SUMIFS('Direkte input'!H$3:H$230,'Direkte input'!$F$3:$F$230,$D92,'Direkte input'!$C$3:$C$230,$B92,'Direkte input'!$A$3:$A$230,$A$1)),IF(VLOOKUP($A92,[1]!Table1[#All],2,FALSE)="Resultat",SUMIF($F$1:$F91,$D92,I$1:I91)+SUMIF($F94:$F$512,$D92,I94:I$512),0))*'[1]Processer - data'!I92,"")*IF($C92&lt;&gt;"",IF($F92="Halm",Landbrug!D$16*Landbrug!D$17,IF(LEFT($D92,5)="Areal", IF($G92="Ton",Landbrug!D$18,1),1)),1)*IF($F92="Grøntsager",IF($A92="Grøntsager i drivhus",Landbrug!D$51,1-Landbrug!D$51),1)</f>
        <v>0</v>
      </c>
      <c r="J92" s="299">
        <f ca="1">IF($A92&lt;&gt;"",IF(VLOOKUP($A92,[1]!Table1[#All],2,FALSE)="Direkte input",IF($A92&lt;&gt;"Grøntsager i drivhus",SUMIFS('Direkte input'!I$3:I$230,'Direkte input'!$F$3:$F$230,$D92,'Direkte input'!$C$3:$C$230,$B92,'Direkte input'!$D$3:$D$230,$C92,'Direkte input'!$A$3:$A$230,$A$1),SUMIFS('Direkte input'!I$3:I$230,'Direkte input'!$F$3:$F$230,$D92,'Direkte input'!$C$3:$C$230,$B92,'Direkte input'!$A$3:$A$230,$A$1)),IF(VLOOKUP($A92,[1]!Table1[#All],2,FALSE)="Resultat",SUMIF($F$1:$F91,$D92,J$1:J91)+SUMIF($F94:$F$512,$D92,J94:J$512),0))*'[1]Processer - data'!J92,"")*IF($C92&lt;&gt;"",IF($F92="Halm",Landbrug!E$16*Landbrug!E$17,IF(LEFT($D92,5)="Areal", IF($G92="Ton",Landbrug!E$18,1),1)),1)*IF($F92="Grøntsager",IF($A92="Grøntsager i drivhus",Landbrug!E$51,1-Landbrug!E$51),1)</f>
        <v>0</v>
      </c>
    </row>
    <row r="93" spans="1:10" x14ac:dyDescent="0.25">
      <c r="A93" s="168" t="str">
        <f>IF('[1]Processer - data'!A93&lt;&gt;"",'[1]Processer - data'!A93,"")</f>
        <v>Skovproduktion</v>
      </c>
      <c r="B93" s="168" t="str">
        <f>IF('[1]Processer - data'!B93&lt;&gt;"",'[1]Processer - data'!B93,"")</f>
        <v/>
      </c>
      <c r="C93" s="168" t="str">
        <f>IF('[1]Processer - data'!C93&lt;&gt;"",'[1]Processer - data'!C93,"")</f>
        <v>Skovtype5</v>
      </c>
      <c r="D93" s="168" t="str">
        <f>IF('[1]Processer - data'!D93&lt;&gt;"",'[1]Processer - data'!D93,"")</f>
        <v>Areal-skovtype5-40</v>
      </c>
      <c r="E93" s="168" t="str">
        <f>IF('[1]Processer - data'!E93&lt;&gt;"",'[1]Processer - data'!E93,"")</f>
        <v>Hektar</v>
      </c>
      <c r="F93" s="168" t="str">
        <f>IF('[1]Processer - data'!F93&lt;&gt;"",'[1]Processer - data'!F93,"")</f>
        <v>CO2 - atmosfære</v>
      </c>
      <c r="G93" s="168" t="str">
        <f>IF('[1]Processer - data'!G93&lt;&gt;"",'[1]Processer - data'!G93,"")</f>
        <v>t CO2-ækvivalenter</v>
      </c>
      <c r="H93" s="297">
        <f ca="1">IF($A93&lt;&gt;"",IF(VLOOKUP($A93,[1]!Table1[#All],2,FALSE)="Direkte input",IF($A93&lt;&gt;"Grøntsager i drivhus",SUMIFS('Direkte input'!G$3:G$230,'Direkte input'!$F$3:$F$230,$D93,'Direkte input'!$C$3:$C$230,$B93,'Direkte input'!$D$3:$D$230,$C93,'Direkte input'!$A$3:$A$230,$A$1),SUMIFS('Direkte input'!G$3:G$230,'Direkte input'!$F$3:$F$230,$D93,'Direkte input'!$C$3:$C$230,$B93,'Direkte input'!$A$3:$A$230,$A$1)),IF(VLOOKUP($A93,[1]!Table1[#All],2,FALSE)="Resultat",SUMIF($F$1:$F92,$D93,H$1:H92)+SUMIF($F95:$F$512,$D93,H95:H$512),0))*'[1]Processer - data'!H93,"")*IF($C93&lt;&gt;"",IF($F93="Halm",Landbrug!C$16*Landbrug!C$17,IF(LEFT($D93,5)="Areal", IF($G93="Ton",Landbrug!C$18,1),1)),1)*IF($F93="Grøntsager",IF($A93="Grøntsager i drivhus",Landbrug!C$51,1-Landbrug!C$51),1)</f>
        <v>0</v>
      </c>
      <c r="I93" s="298">
        <f ca="1">IF($A93&lt;&gt;"",IF(VLOOKUP($A93,[1]!Table1[#All],2,FALSE)="Direkte input",IF($A93&lt;&gt;"Grøntsager i drivhus",SUMIFS('Direkte input'!H$3:H$230,'Direkte input'!$F$3:$F$230,$D93,'Direkte input'!$C$3:$C$230,$B93,'Direkte input'!$D$3:$D$230,$C93,'Direkte input'!$A$3:$A$230,$A$1),SUMIFS('Direkte input'!H$3:H$230,'Direkte input'!$F$3:$F$230,$D93,'Direkte input'!$C$3:$C$230,$B93,'Direkte input'!$A$3:$A$230,$A$1)),IF(VLOOKUP($A93,[1]!Table1[#All],2,FALSE)="Resultat",SUMIF($F$1:$F92,$D93,I$1:I92)+SUMIF($F95:$F$512,$D93,I95:I$512),0))*'[1]Processer - data'!I93,"")*IF($C93&lt;&gt;"",IF($F93="Halm",Landbrug!D$16*Landbrug!D$17,IF(LEFT($D93,5)="Areal", IF($G93="Ton",Landbrug!D$18,1),1)),1)*IF($F93="Grøntsager",IF($A93="Grøntsager i drivhus",Landbrug!D$51,1-Landbrug!D$51),1)</f>
        <v>0</v>
      </c>
      <c r="J93" s="299">
        <f ca="1">IF($A93&lt;&gt;"",IF(VLOOKUP($A93,[1]!Table1[#All],2,FALSE)="Direkte input",IF($A93&lt;&gt;"Grøntsager i drivhus",SUMIFS('Direkte input'!I$3:I$230,'Direkte input'!$F$3:$F$230,$D93,'Direkte input'!$C$3:$C$230,$B93,'Direkte input'!$D$3:$D$230,$C93,'Direkte input'!$A$3:$A$230,$A$1),SUMIFS('Direkte input'!I$3:I$230,'Direkte input'!$F$3:$F$230,$D93,'Direkte input'!$C$3:$C$230,$B93,'Direkte input'!$A$3:$A$230,$A$1)),IF(VLOOKUP($A93,[1]!Table1[#All],2,FALSE)="Resultat",SUMIF($F$1:$F92,$D93,J$1:J92)+SUMIF($F95:$F$512,$D93,J95:J$512),0))*'[1]Processer - data'!J93,"")*IF($C93&lt;&gt;"",IF($F93="Halm",Landbrug!E$16*Landbrug!E$17,IF(LEFT($D93,5)="Areal", IF($G93="Ton",Landbrug!E$18,1),1)),1)*IF($F93="Grøntsager",IF($A93="Grøntsager i drivhus",Landbrug!E$51,1-Landbrug!E$51),1)</f>
        <v>0</v>
      </c>
    </row>
    <row r="94" spans="1:10" s="168" customFormat="1" x14ac:dyDescent="0.25">
      <c r="A94" s="168" t="str">
        <f>IF('[1]Processer - data'!A94&lt;&gt;"",'[1]Processer - data'!A94,"")</f>
        <v>Skovproduktion</v>
      </c>
      <c r="B94" s="168" t="str">
        <f>IF('[1]Processer - data'!B94&lt;&gt;"",'[1]Processer - data'!B94,"")</f>
        <v/>
      </c>
      <c r="C94" s="168" t="str">
        <f>IF('[1]Processer - data'!C94&lt;&gt;"",'[1]Processer - data'!C94,"")</f>
        <v>Skovtype5</v>
      </c>
      <c r="D94" s="168" t="str">
        <f>IF('[1]Processer - data'!D94&lt;&gt;"",'[1]Processer - data'!D94,"")</f>
        <v>Areal-skovtype5-40</v>
      </c>
      <c r="E94" s="168" t="str">
        <f>IF('[1]Processer - data'!E94&lt;&gt;"",'[1]Processer - data'!E94,"")</f>
        <v>Hektar</v>
      </c>
      <c r="F94" s="168" t="str">
        <f>IF('[1]Processer - data'!F94&lt;&gt;"",'[1]Processer - data'!F94,"")</f>
        <v>CO2 - HWP</v>
      </c>
      <c r="G94" s="168" t="str">
        <f>IF('[1]Processer - data'!G94&lt;&gt;"",'[1]Processer - data'!G94,"")</f>
        <v>t CO2-ækvivalenter</v>
      </c>
      <c r="H94" s="297">
        <f ca="1">IF($A94&lt;&gt;"",IF(VLOOKUP($A94,[1]!Table1[#All],2,FALSE)="Direkte input",IF($A94&lt;&gt;"Grøntsager i drivhus",SUMIFS('Direkte input'!G$3:G$230,'Direkte input'!$F$3:$F$230,$D94,'Direkte input'!$C$3:$C$230,$B94,'Direkte input'!$D$3:$D$230,$C94,'Direkte input'!$A$3:$A$230,$A$1),SUMIFS('Direkte input'!G$3:G$230,'Direkte input'!$F$3:$F$230,$D94,'Direkte input'!$C$3:$C$230,$B94,'Direkte input'!$A$3:$A$230,$A$1)),IF(VLOOKUP($A94,[1]!Table1[#All],2,FALSE)="Resultat",SUMIF($F$1:$F93,$D94,H$1:H93)+SUMIF($F96:$F$512,$D94,H96:H$512),0))*'[1]Processer - data'!H94,"")*IF($C94&lt;&gt;"",IF($F94="Halm",Landbrug!C$16*Landbrug!C$17,IF(LEFT($D94,5)="Areal", IF($G94="Ton",Landbrug!C$18,1),1)),1)*IF($F94="Grøntsager",IF($A94="Grøntsager i drivhus",Landbrug!C$51,1-Landbrug!C$51),1)</f>
        <v>0</v>
      </c>
      <c r="I94" s="298">
        <f ca="1">IF($A94&lt;&gt;"",IF(VLOOKUP($A94,[1]!Table1[#All],2,FALSE)="Direkte input",IF($A94&lt;&gt;"Grøntsager i drivhus",SUMIFS('Direkte input'!H$3:H$230,'Direkte input'!$F$3:$F$230,$D94,'Direkte input'!$C$3:$C$230,$B94,'Direkte input'!$D$3:$D$230,$C94,'Direkte input'!$A$3:$A$230,$A$1),SUMIFS('Direkte input'!H$3:H$230,'Direkte input'!$F$3:$F$230,$D94,'Direkte input'!$C$3:$C$230,$B94,'Direkte input'!$A$3:$A$230,$A$1)),IF(VLOOKUP($A94,[1]!Table1[#All],2,FALSE)="Resultat",SUMIF($F$1:$F93,$D94,I$1:I93)+SUMIF($F96:$F$512,$D94,I96:I$512),0))*'[1]Processer - data'!I94,"")*IF($C94&lt;&gt;"",IF($F94="Halm",Landbrug!D$16*Landbrug!D$17,IF(LEFT($D94,5)="Areal", IF($G94="Ton",Landbrug!D$18,1),1)),1)*IF($F94="Grøntsager",IF($A94="Grøntsager i drivhus",Landbrug!D$51,1-Landbrug!D$51),1)</f>
        <v>0</v>
      </c>
      <c r="J94" s="299">
        <f ca="1">IF($A94&lt;&gt;"",IF(VLOOKUP($A94,[1]!Table1[#All],2,FALSE)="Direkte input",IF($A94&lt;&gt;"Grøntsager i drivhus",SUMIFS('Direkte input'!I$3:I$230,'Direkte input'!$F$3:$F$230,$D94,'Direkte input'!$C$3:$C$230,$B94,'Direkte input'!$D$3:$D$230,$C94,'Direkte input'!$A$3:$A$230,$A$1),SUMIFS('Direkte input'!I$3:I$230,'Direkte input'!$F$3:$F$230,$D94,'Direkte input'!$C$3:$C$230,$B94,'Direkte input'!$A$3:$A$230,$A$1)),IF(VLOOKUP($A94,[1]!Table1[#All],2,FALSE)="Resultat",SUMIF($F$1:$F93,$D94,J$1:J93)+SUMIF($F96:$F$512,$D94,J96:J$512),0))*'[1]Processer - data'!J94,"")*IF($C94&lt;&gt;"",IF($F94="Halm",Landbrug!E$16*Landbrug!E$17,IF(LEFT($D94,5)="Areal", IF($G94="Ton",Landbrug!E$18,1),1)),1)*IF($F94="Grøntsager",IF($A94="Grøntsager i drivhus",Landbrug!E$51,1-Landbrug!E$51),1)</f>
        <v>0</v>
      </c>
    </row>
    <row r="95" spans="1:10" x14ac:dyDescent="0.25">
      <c r="A95" t="str">
        <f>IF('[1]Processer - data'!A95&lt;&gt;"",'[1]Processer - data'!A95,"")</f>
        <v>Grisestald</v>
      </c>
      <c r="B95" t="str">
        <f>IF('[1]Processer - data'!B95&lt;&gt;"",'[1]Processer - data'!B95,"")</f>
        <v>Konventionel</v>
      </c>
      <c r="C95" t="str">
        <f>IF('[1]Processer - data'!C95&lt;&gt;"",'[1]Processer - data'!C95,"")</f>
        <v/>
      </c>
      <c r="D95" t="str">
        <f>IF('[1]Processer - data'!D95&lt;&gt;"",'[1]Processer - data'!D95,"")</f>
        <v>Svin</v>
      </c>
      <c r="E95" t="str">
        <f>IF('[1]Processer - data'!E95&lt;&gt;"",'[1]Processer - data'!E95,"")</f>
        <v>Antal</v>
      </c>
      <c r="F95" t="str">
        <f>IF('[1]Processer - data'!F95&lt;&gt;"",'[1]Processer - data'!F95,"")</f>
        <v>Slagtesvin</v>
      </c>
      <c r="G95" t="str">
        <f>IF('[1]Processer - data'!G95&lt;&gt;"",'[1]Processer - data'!G95,"")</f>
        <v>Antal</v>
      </c>
      <c r="H95" s="297">
        <f>IF($A95&lt;&gt;"",IF(VLOOKUP($A95,[1]!Table1[#All],2,FALSE)="Direkte input",IF($A95&lt;&gt;"Grøntsager i drivhus",SUMIFS('Direkte input'!G$3:G$230,'Direkte input'!$F$3:$F$230,$D95,'Direkte input'!$C$3:$C$230,$B95,'Direkte input'!$D$3:$D$230,$C95,'Direkte input'!$A$3:$A$230,$A$1),SUMIFS('Direkte input'!G$3:G$230,'Direkte input'!$F$3:$F$230,$D95,'Direkte input'!$C$3:$C$230,$B95,'Direkte input'!$A$3:$A$230,$A$1)),IF(VLOOKUP($A95,[1]!Table1[#All],2,FALSE)="Resultat",SUMIF($F$1:$F33,$D95,H$1:H33)+SUMIF($F96:$F$512,$D95,H96:H$512),0))*'[1]Processer - data'!H95,"")*IF($C95&lt;&gt;"",IF($F95="Halm",Landbrug!C$16*Landbrug!C$17,IF(LEFT($D95,5)="Areal", IF($G95="Ton",Landbrug!C$18,1),1)),1)*IF($F95="Grøntsager",IF($A95="Grøntsager i drivhus",Landbrug!C$51,1-Landbrug!C$51),1)</f>
        <v>2136227.0597648998</v>
      </c>
      <c r="I95" s="298">
        <f>IF($A95&lt;&gt;"",IF(VLOOKUP($A95,[1]!Table1[#All],2,FALSE)="Direkte input",IF($A95&lt;&gt;"Grøntsager i drivhus",SUMIFS('Direkte input'!H$3:H$230,'Direkte input'!$F$3:$F$230,$D95,'Direkte input'!$C$3:$C$230,$B95,'Direkte input'!$D$3:$D$230,$C95,'Direkte input'!$A$3:$A$230,$A$1),SUMIFS('Direkte input'!H$3:H$230,'Direkte input'!$F$3:$F$230,$D95,'Direkte input'!$C$3:$C$230,$B95,'Direkte input'!$A$3:$A$230,$A$1)),IF(VLOOKUP($A95,[1]!Table1[#All],2,FALSE)="Resultat",SUMIF($F$1:$F33,$D95,I$1:I33)+SUMIF($F96:$F$512,$D95,I96:I$512),0))*'[1]Processer - data'!I95,"")*IF($C95&lt;&gt;"",IF($F95="Halm",Landbrug!D$16*Landbrug!D$17,IF(LEFT($D95,5)="Areal", IF($G95="Ton",Landbrug!D$18,1),1)),1)*IF($F95="Grøntsager",IF($A95="Grøntsager i drivhus",Landbrug!D$51,1-Landbrug!D$51),1)</f>
        <v>2429805.1937717511</v>
      </c>
      <c r="J95" s="299">
        <f>IF($A95&lt;&gt;"",IF(VLOOKUP($A95,[1]!Table1[#All],2,FALSE)="Direkte input",IF($A95&lt;&gt;"Grøntsager i drivhus",SUMIFS('Direkte input'!I$3:I$230,'Direkte input'!$F$3:$F$230,$D95,'Direkte input'!$C$3:$C$230,$B95,'Direkte input'!$D$3:$D$230,$C95,'Direkte input'!$A$3:$A$230,$A$1),SUMIFS('Direkte input'!I$3:I$230,'Direkte input'!$F$3:$F$230,$D95,'Direkte input'!$C$3:$C$230,$B95,'Direkte input'!$A$3:$A$230,$A$1)),IF(VLOOKUP($A95,[1]!Table1[#All],2,FALSE)="Resultat",SUMIF($F$1:$F33,$D95,J$1:J33)+SUMIF($F96:$F$512,$D95,J96:J$512),0))*'[1]Processer - data'!J95,"")*IF($C95&lt;&gt;"",IF($F95="Halm",Landbrug!E$16*Landbrug!E$17,IF(LEFT($D95,5)="Areal", IF($G95="Ton",Landbrug!E$18,1),1)),1)*IF($F95="Grøntsager",IF($A95="Grøntsager i drivhus",Landbrug!E$51,1-Landbrug!E$51),1)</f>
        <v>2326238.5119458893</v>
      </c>
    </row>
    <row r="96" spans="1:10" x14ac:dyDescent="0.25">
      <c r="A96" t="str">
        <f>IF('[1]Processer - data'!A96&lt;&gt;"",'[1]Processer - data'!A96,"")</f>
        <v>Grisestald</v>
      </c>
      <c r="B96" t="str">
        <f>IF('[1]Processer - data'!B96&lt;&gt;"",'[1]Processer - data'!B96,"")</f>
        <v>Konventionel</v>
      </c>
      <c r="C96" t="str">
        <f>IF('[1]Processer - data'!C96&lt;&gt;"",'[1]Processer - data'!C96,"")</f>
        <v/>
      </c>
      <c r="D96" t="str">
        <f>IF('[1]Processer - data'!D96&lt;&gt;"",'[1]Processer - data'!D96,"")</f>
        <v>Svin</v>
      </c>
      <c r="E96" t="str">
        <f>IF('[1]Processer - data'!E96&lt;&gt;"",'[1]Processer - data'!E96,"")</f>
        <v>Antal</v>
      </c>
      <c r="F96" t="str">
        <f>IF('[1]Processer - data'!F96&lt;&gt;"",'[1]Processer - data'!F96,"")</f>
        <v>Svinegylle</v>
      </c>
      <c r="G96" t="str">
        <f>IF('[1]Processer - data'!G96&lt;&gt;"",'[1]Processer - data'!G96,"")</f>
        <v>Ton</v>
      </c>
      <c r="H96" s="297">
        <f>IF($A96&lt;&gt;"",IF(VLOOKUP($A96,[1]!Table1[#All],2,FALSE)="Direkte input",IF($A96&lt;&gt;"Grøntsager i drivhus",SUMIFS('Direkte input'!G$3:G$230,'Direkte input'!$F$3:$F$230,$D96,'Direkte input'!$C$3:$C$230,$B96,'Direkte input'!$D$3:$D$230,$C96,'Direkte input'!$A$3:$A$230,$A$1),SUMIFS('Direkte input'!G$3:G$230,'Direkte input'!$F$3:$F$230,$D96,'Direkte input'!$C$3:$C$230,$B96,'Direkte input'!$A$3:$A$230,$A$1)),IF(VLOOKUP($A96,[1]!Table1[#All],2,FALSE)="Resultat",SUMIF($F$1:$F95,$D96,H$1:H95)+SUMIF($F97:$F$512,$D96,H97:H$512),0))*'[1]Processer - data'!H96,"")*IF($C96&lt;&gt;"",IF($F96="Halm",Landbrug!C$16*Landbrug!C$17,IF(LEFT($D96,5)="Areal", IF($G96="Ton",Landbrug!C$18,1),1)),1)*IF($F96="Grøntsager",IF($A96="Grøntsager i drivhus",Landbrug!C$51,1-Landbrug!C$51),1)</f>
        <v>2304461.4931079326</v>
      </c>
      <c r="I96" s="298">
        <f>IF($A96&lt;&gt;"",IF(VLOOKUP($A96,[1]!Table1[#All],2,FALSE)="Direkte input",IF($A96&lt;&gt;"Grøntsager i drivhus",SUMIFS('Direkte input'!H$3:H$230,'Direkte input'!$F$3:$F$230,$D96,'Direkte input'!$C$3:$C$230,$B96,'Direkte input'!$D$3:$D$230,$C96,'Direkte input'!$A$3:$A$230,$A$1),SUMIFS('Direkte input'!H$3:H$230,'Direkte input'!$F$3:$F$230,$D96,'Direkte input'!$C$3:$C$230,$B96,'Direkte input'!$A$3:$A$230,$A$1)),IF(VLOOKUP($A96,[1]!Table1[#All],2,FALSE)="Resultat",SUMIF($F$1:$F95,$D96,I$1:I95)+SUMIF($F97:$F$512,$D96,I97:I$512),0))*'[1]Processer - data'!I96,"")*IF($C96&lt;&gt;"",IF($F96="Halm",Landbrug!D$16*Landbrug!D$17,IF(LEFT($D96,5)="Areal", IF($G96="Ton",Landbrug!D$18,1),1)),1)*IF($F96="Grøntsager",IF($A96="Grøntsager i drivhus",Landbrug!D$51,1-Landbrug!D$51),1)</f>
        <v>2621159.8056514151</v>
      </c>
      <c r="J96" s="299">
        <f>IF($A96&lt;&gt;"",IF(VLOOKUP($A96,[1]!Table1[#All],2,FALSE)="Direkte input",IF($A96&lt;&gt;"Grøntsager i drivhus",SUMIFS('Direkte input'!I$3:I$230,'Direkte input'!$F$3:$F$230,$D96,'Direkte input'!$C$3:$C$230,$B96,'Direkte input'!$D$3:$D$230,$C96,'Direkte input'!$A$3:$A$230,$A$1),SUMIFS('Direkte input'!I$3:I$230,'Direkte input'!$F$3:$F$230,$D96,'Direkte input'!$C$3:$C$230,$B96,'Direkte input'!$A$3:$A$230,$A$1)),IF(VLOOKUP($A96,[1]!Table1[#All],2,FALSE)="Resultat",SUMIF($F$1:$F95,$D96,J$1:J95)+SUMIF($F97:$F$512,$D96,J97:J$512),0))*'[1]Processer - data'!J96,"")*IF($C96&lt;&gt;"",IF($F96="Halm",Landbrug!E$16*Landbrug!E$17,IF(LEFT($D96,5)="Areal", IF($G96="Ton",Landbrug!E$18,1),1)),1)*IF($F96="Grøntsager",IF($A96="Grøntsager i drivhus",Landbrug!E$51,1-Landbrug!E$51),1)</f>
        <v>2509436.929964724</v>
      </c>
    </row>
    <row r="97" spans="1:10" x14ac:dyDescent="0.25">
      <c r="A97" t="str">
        <f>IF('[1]Processer - data'!A97&lt;&gt;"",'[1]Processer - data'!A97,"")</f>
        <v>Grisestald</v>
      </c>
      <c r="B97" t="str">
        <f>IF('[1]Processer - data'!B97&lt;&gt;"",'[1]Processer - data'!B97,"")</f>
        <v>Konventionel</v>
      </c>
      <c r="C97" t="str">
        <f>IF('[1]Processer - data'!C97&lt;&gt;"",'[1]Processer - data'!C97,"")</f>
        <v/>
      </c>
      <c r="D97" t="str">
        <f>IF('[1]Processer - data'!D97&lt;&gt;"",'[1]Processer - data'!D97,"")</f>
        <v>Svin</v>
      </c>
      <c r="E97" t="str">
        <f>IF('[1]Processer - data'!E97&lt;&gt;"",'[1]Processer - data'!E97,"")</f>
        <v>Antal</v>
      </c>
      <c r="F97" t="str">
        <f>IF('[1]Processer - data'!F97&lt;&gt;"",'[1]Processer - data'!F97,"")</f>
        <v>Dybstrøelse</v>
      </c>
      <c r="G97" t="str">
        <f>IF('[1]Processer - data'!G97&lt;&gt;"",'[1]Processer - data'!G97,"")</f>
        <v>Ton</v>
      </c>
      <c r="H97" s="297">
        <f>IF($A97&lt;&gt;"",IF(VLOOKUP($A97,[1]!Table1[#All],2,FALSE)="Direkte input",IF($A97&lt;&gt;"Grøntsager i drivhus",SUMIFS('Direkte input'!G$3:G$230,'Direkte input'!$F$3:$F$230,$D97,'Direkte input'!$C$3:$C$230,$B97,'Direkte input'!$D$3:$D$230,$C97,'Direkte input'!$A$3:$A$230,$A$1),SUMIFS('Direkte input'!G$3:G$230,'Direkte input'!$F$3:$F$230,$D97,'Direkte input'!$C$3:$C$230,$B97,'Direkte input'!$A$3:$A$230,$A$1)),IF(VLOOKUP($A97,[1]!Table1[#All],2,FALSE)="Resultat",SUMIF($F$1:$F96,$D97,H$1:H96)+SUMIF($F98:$F$512,$D97,H98:H$512),0))*'[1]Processer - data'!H97,"")*IF($C97&lt;&gt;"",IF($F97="Halm",Landbrug!C$16*Landbrug!C$17,IF(LEFT($D97,5)="Areal", IF($G97="Ton",Landbrug!C$18,1),1)),1)*IF($F97="Grøntsager",IF($A97="Grøntsager i drivhus",Landbrug!C$51,1-Landbrug!C$51),1)</f>
        <v>295415.33610748179</v>
      </c>
      <c r="I97" s="298">
        <f>IF($A97&lt;&gt;"",IF(VLOOKUP($A97,[1]!Table1[#All],2,FALSE)="Direkte input",IF($A97&lt;&gt;"Grøntsager i drivhus",SUMIFS('Direkte input'!H$3:H$230,'Direkte input'!$F$3:$F$230,$D97,'Direkte input'!$C$3:$C$230,$B97,'Direkte input'!$D$3:$D$230,$C97,'Direkte input'!$A$3:$A$230,$A$1),SUMIFS('Direkte input'!H$3:H$230,'Direkte input'!$F$3:$F$230,$D97,'Direkte input'!$C$3:$C$230,$B97,'Direkte input'!$A$3:$A$230,$A$1)),IF(VLOOKUP($A97,[1]!Table1[#All],2,FALSE)="Resultat",SUMIF($F$1:$F96,$D97,I$1:I96)+SUMIF($F98:$F$512,$D97,I98:I$512),0))*'[1]Processer - data'!I97,"")*IF($C97&lt;&gt;"",IF($F97="Halm",Landbrug!D$16*Landbrug!D$17,IF(LEFT($D97,5)="Areal", IF($G97="Ton",Landbrug!D$18,1),1)),1)*IF($F97="Grøntsager",IF($A97="Grøntsager i drivhus",Landbrug!D$51,1-Landbrug!D$51),1)</f>
        <v>336013.77471212432</v>
      </c>
      <c r="J97" s="299">
        <f>IF($A97&lt;&gt;"",IF(VLOOKUP($A97,[1]!Table1[#All],2,FALSE)="Direkte input",IF($A97&lt;&gt;"Grøntsager i drivhus",SUMIFS('Direkte input'!I$3:I$230,'Direkte input'!$F$3:$F$230,$D97,'Direkte input'!$C$3:$C$230,$B97,'Direkte input'!$D$3:$D$230,$C97,'Direkte input'!$A$3:$A$230,$A$1),SUMIFS('Direkte input'!I$3:I$230,'Direkte input'!$F$3:$F$230,$D97,'Direkte input'!$C$3:$C$230,$B97,'Direkte input'!$A$3:$A$230,$A$1)),IF(VLOOKUP($A97,[1]!Table1[#All],2,FALSE)="Resultat",SUMIF($F$1:$F96,$D97,J$1:J96)+SUMIF($F98:$F$512,$D97,J98:J$512),0))*'[1]Processer - data'!J97,"")*IF($C97&lt;&gt;"",IF($F97="Halm",Landbrug!E$16*Landbrug!E$17,IF(LEFT($D97,5)="Areal", IF($G97="Ton",Landbrug!E$18,1),1)),1)*IF($F97="Grøntsager",IF($A97="Grøntsager i drivhus",Landbrug!E$51,1-Landbrug!E$51),1)</f>
        <v>321691.70815966208</v>
      </c>
    </row>
    <row r="98" spans="1:10" x14ac:dyDescent="0.25">
      <c r="A98" t="str">
        <f>IF('[1]Processer - data'!A98&lt;&gt;"",'[1]Processer - data'!A98,"")</f>
        <v>Grisestald</v>
      </c>
      <c r="B98" t="str">
        <f>IF('[1]Processer - data'!B98&lt;&gt;"",'[1]Processer - data'!B98,"")</f>
        <v>Konventionel</v>
      </c>
      <c r="C98" t="str">
        <f>IF('[1]Processer - data'!C98&lt;&gt;"",'[1]Processer - data'!C98,"")</f>
        <v/>
      </c>
      <c r="D98" t="str">
        <f>IF('[1]Processer - data'!D98&lt;&gt;"",'[1]Processer - data'!D98,"")</f>
        <v>Svin</v>
      </c>
      <c r="E98" t="str">
        <f>IF('[1]Processer - data'!E98&lt;&gt;"",'[1]Processer - data'!E98,"")</f>
        <v>Antal</v>
      </c>
      <c r="F98" t="str">
        <f>IF('[1]Processer - data'!F98&lt;&gt;"",'[1]Processer - data'!F98,"")</f>
        <v>Industriaffald</v>
      </c>
      <c r="G98" t="str">
        <f>IF('[1]Processer - data'!G98&lt;&gt;"",'[1]Processer - data'!G98,"")</f>
        <v>Ton</v>
      </c>
      <c r="H98" s="297">
        <f>IF($A98&lt;&gt;"",IF(VLOOKUP($A98,[1]!Table1[#All],2,FALSE)="Direkte input",IF($A98&lt;&gt;"Grøntsager i drivhus",SUMIFS('Direkte input'!G$3:G$230,'Direkte input'!$F$3:$F$230,$D98,'Direkte input'!$C$3:$C$230,$B98,'Direkte input'!$D$3:$D$230,$C98,'Direkte input'!$A$3:$A$230,$A$1),SUMIFS('Direkte input'!G$3:G$230,'Direkte input'!$F$3:$F$230,$D98,'Direkte input'!$C$3:$C$230,$B98,'Direkte input'!$A$3:$A$230,$A$1)),IF(VLOOKUP($A98,[1]!Table1[#All],2,FALSE)="Resultat",SUMIF($F$1:$F97,$D98,H$1:H97)+SUMIF($F99:$F$512,$D98,H99:H$512),0))*'[1]Processer - data'!H98,"")*IF($C98&lt;&gt;"",IF($F98="Halm",Landbrug!C$16*Landbrug!C$17,IF(LEFT($D98,5)="Areal", IF($G98="Ton",Landbrug!C$18,1),1)),1)*IF($F98="Grøntsager",IF($A98="Grøntsager i drivhus",Landbrug!C$51,1-Landbrug!C$51),1)</f>
        <v>24146.299060980604</v>
      </c>
      <c r="I98" s="298">
        <f>IF($A98&lt;&gt;"",IF(VLOOKUP($A98,[1]!Table1[#All],2,FALSE)="Direkte input",IF($A98&lt;&gt;"Grøntsager i drivhus",SUMIFS('Direkte input'!H$3:H$230,'Direkte input'!$F$3:$F$230,$D98,'Direkte input'!$C$3:$C$230,$B98,'Direkte input'!$D$3:$D$230,$C98,'Direkte input'!$A$3:$A$230,$A$1),SUMIFS('Direkte input'!H$3:H$230,'Direkte input'!$F$3:$F$230,$D98,'Direkte input'!$C$3:$C$230,$B98,'Direkte input'!$A$3:$A$230,$A$1)),IF(VLOOKUP($A98,[1]!Table1[#All],2,FALSE)="Resultat",SUMIF($F$1:$F97,$D98,I$1:I97)+SUMIF($F99:$F$512,$D98,I99:I$512),0))*'[1]Processer - data'!I98,"")*IF($C98&lt;&gt;"",IF($F98="Halm",Landbrug!D$16*Landbrug!D$17,IF(LEFT($D98,5)="Areal", IF($G98="Ton",Landbrug!D$18,1),1)),1)*IF($F98="Grøntsager",IF($A98="Grøntsager i drivhus",Landbrug!D$51,1-Landbrug!D$51),1)</f>
        <v>27464.684805178709</v>
      </c>
      <c r="J98" s="299">
        <f>IF($A98&lt;&gt;"",IF(VLOOKUP($A98,[1]!Table1[#All],2,FALSE)="Direkte input",IF($A98&lt;&gt;"Grøntsager i drivhus",SUMIFS('Direkte input'!I$3:I$230,'Direkte input'!$F$3:$F$230,$D98,'Direkte input'!$C$3:$C$230,$B98,'Direkte input'!$D$3:$D$230,$C98,'Direkte input'!$A$3:$A$230,$A$1),SUMIFS('Direkte input'!I$3:I$230,'Direkte input'!$F$3:$F$230,$D98,'Direkte input'!$C$3:$C$230,$B98,'Direkte input'!$A$3:$A$230,$A$1)),IF(VLOOKUP($A98,[1]!Table1[#All],2,FALSE)="Resultat",SUMIF($F$1:$F97,$D98,J$1:J97)+SUMIF($F99:$F$512,$D98,J99:J$512),0))*'[1]Processer - data'!J98,"")*IF($C98&lt;&gt;"",IF($F98="Halm",Landbrug!E$16*Landbrug!E$17,IF(LEFT($D98,5)="Areal", IF($G98="Ton",Landbrug!E$18,1),1)),1)*IF($F98="Grøntsager",IF($A98="Grøntsager i drivhus",Landbrug!E$51,1-Landbrug!E$51),1)</f>
        <v>26294.045167088971</v>
      </c>
    </row>
    <row r="99" spans="1:10" x14ac:dyDescent="0.25">
      <c r="A99" t="str">
        <f>IF('[1]Processer - data'!A99&lt;&gt;"",'[1]Processer - data'!A99,"")</f>
        <v>Grisestald</v>
      </c>
      <c r="B99" t="str">
        <f>IF('[1]Processer - data'!B99&lt;&gt;"",'[1]Processer - data'!B99,"")</f>
        <v>Konventionel</v>
      </c>
      <c r="C99" t="str">
        <f>IF('[1]Processer - data'!C99&lt;&gt;"",'[1]Processer - data'!C99,"")</f>
        <v/>
      </c>
      <c r="D99" t="str">
        <f>IF('[1]Processer - data'!D99&lt;&gt;"",'[1]Processer - data'!D99,"")</f>
        <v>Svin</v>
      </c>
      <c r="E99" t="str">
        <f>IF('[1]Processer - data'!E99&lt;&gt;"",'[1]Processer - data'!E99,"")</f>
        <v>Antal</v>
      </c>
      <c r="F99" t="str">
        <f>IF('[1]Processer - data'!F99&lt;&gt;"",'[1]Processer - data'!F99,"")</f>
        <v>Foder</v>
      </c>
      <c r="G99" t="str">
        <f>IF('[1]Processer - data'!G99&lt;&gt;"",'[1]Processer - data'!G99,"")</f>
        <v>FE</v>
      </c>
      <c r="H99" s="297">
        <f>IF($A99&lt;&gt;"",IF(VLOOKUP($A99,[1]!Table1[#All],2,FALSE)="Direkte input",IF($A99&lt;&gt;"Grøntsager i drivhus",SUMIFS('Direkte input'!G$3:G$230,'Direkte input'!$F$3:$F$230,$D99,'Direkte input'!$C$3:$C$230,$B99,'Direkte input'!$D$3:$D$230,$C99,'Direkte input'!$A$3:$A$230,$A$1),SUMIFS('Direkte input'!G$3:G$230,'Direkte input'!$F$3:$F$230,$D99,'Direkte input'!$C$3:$C$230,$B99,'Direkte input'!$A$3:$A$230,$A$1)),IF(VLOOKUP($A99,[1]!Table1[#All],2,FALSE)="Resultat",SUMIF($F$1:$F98,$D99,H$1:H98)+SUMIF($F100:$F$512,$D99,H100:H$512),0))*'[1]Processer - data'!H99,"")*IF($C99&lt;&gt;"",IF($F99="Halm",Landbrug!C$16*Landbrug!C$17,IF(LEFT($D99,5)="Areal", IF($G99="Ton",Landbrug!C$18,1),1)),1)*IF($F99="Grøntsager",IF($A99="Grøntsager i drivhus",Landbrug!C$51,1-Landbrug!C$51),1)</f>
        <v>-1318366527.9400001</v>
      </c>
      <c r="I99" s="298">
        <f>IF($A99&lt;&gt;"",IF(VLOOKUP($A99,[1]!Table1[#All],2,FALSE)="Direkte input",IF($A99&lt;&gt;"Grøntsager i drivhus",SUMIFS('Direkte input'!H$3:H$230,'Direkte input'!$F$3:$F$230,$D99,'Direkte input'!$C$3:$C$230,$B99,'Direkte input'!$D$3:$D$230,$C99,'Direkte input'!$A$3:$A$230,$A$1),SUMIFS('Direkte input'!H$3:H$230,'Direkte input'!$F$3:$F$230,$D99,'Direkte input'!$C$3:$C$230,$B99,'Direkte input'!$A$3:$A$230,$A$1)),IF(VLOOKUP($A99,[1]!Table1[#All],2,FALSE)="Resultat",SUMIF($F$1:$F98,$D99,I$1:I98)+SUMIF($F100:$F$512,$D99,I100:I$512),0))*'[1]Processer - data'!I99,"")*IF($C99&lt;&gt;"",IF($F99="Halm",Landbrug!D$16*Landbrug!D$17,IF(LEFT($D99,5)="Areal", IF($G99="Ton",Landbrug!D$18,1),1)),1)*IF($F99="Grøntsager",IF($A99="Grøntsager i drivhus",Landbrug!D$51,1-Landbrug!D$51),1)</f>
        <v>-1499547448.498282</v>
      </c>
      <c r="J99" s="299">
        <f>IF($A99&lt;&gt;"",IF(VLOOKUP($A99,[1]!Table1[#All],2,FALSE)="Direkte input",IF($A99&lt;&gt;"Grøntsager i drivhus",SUMIFS('Direkte input'!I$3:I$230,'Direkte input'!$F$3:$F$230,$D99,'Direkte input'!$C$3:$C$230,$B99,'Direkte input'!$D$3:$D$230,$C99,'Direkte input'!$A$3:$A$230,$A$1),SUMIFS('Direkte input'!I$3:I$230,'Direkte input'!$F$3:$F$230,$D99,'Direkte input'!$C$3:$C$230,$B99,'Direkte input'!$A$3:$A$230,$A$1)),IF(VLOOKUP($A99,[1]!Table1[#All],2,FALSE)="Resultat",SUMIF($F$1:$F98,$D99,J$1:J98)+SUMIF($F100:$F$512,$D99,J100:J$512),0))*'[1]Processer - data'!J99,"")*IF($C99&lt;&gt;"",IF($F99="Halm",Landbrug!E$16*Landbrug!E$17,IF(LEFT($D99,5)="Areal", IF($G99="Ton",Landbrug!E$18,1),1)),1)*IF($F99="Grøntsager",IF($A99="Grøntsager i drivhus",Landbrug!E$51,1-Landbrug!E$51),1)</f>
        <v>-1435631561.7928421</v>
      </c>
    </row>
    <row r="100" spans="1:10" x14ac:dyDescent="0.25">
      <c r="A100" t="str">
        <f>IF('[1]Processer - data'!A100&lt;&gt;"",'[1]Processer - data'!A100,"")</f>
        <v>Grisestald</v>
      </c>
      <c r="B100" t="str">
        <f>IF('[1]Processer - data'!B100&lt;&gt;"",'[1]Processer - data'!B100,"")</f>
        <v>Konventionel</v>
      </c>
      <c r="C100" t="str">
        <f>IF('[1]Processer - data'!C100&lt;&gt;"",'[1]Processer - data'!C100,"")</f>
        <v/>
      </c>
      <c r="D100" t="str">
        <f>IF('[1]Processer - data'!D100&lt;&gt;"",'[1]Processer - data'!D100,"")</f>
        <v>Svin</v>
      </c>
      <c r="E100" t="str">
        <f>IF('[1]Processer - data'!E100&lt;&gt;"",'[1]Processer - data'!E100,"")</f>
        <v>Antal</v>
      </c>
      <c r="F100" t="str">
        <f>IF('[1]Processer - data'!F100&lt;&gt;"",'[1]Processer - data'!F100,"")</f>
        <v>Halm</v>
      </c>
      <c r="G100" t="str">
        <f>IF('[1]Processer - data'!G100&lt;&gt;"",'[1]Processer - data'!G100,"")</f>
        <v>Ton</v>
      </c>
      <c r="H100" s="297">
        <f>IF($A100&lt;&gt;"",IF(VLOOKUP($A100,[1]!Table1[#All],2,FALSE)="Direkte input",IF($A100&lt;&gt;"Grøntsager i drivhus",SUMIFS('Direkte input'!G$3:G$230,'Direkte input'!$F$3:$F$230,$D100,'Direkte input'!$C$3:$C$230,$B100,'Direkte input'!$D$3:$D$230,$C100,'Direkte input'!$A$3:$A$230,$A$1),SUMIFS('Direkte input'!G$3:G$230,'Direkte input'!$F$3:$F$230,$D100,'Direkte input'!$C$3:$C$230,$B100,'Direkte input'!$A$3:$A$230,$A$1)),IF(VLOOKUP($A100,[1]!Table1[#All],2,FALSE)="Resultat",SUMIF($F$1:$F99,$D100,H$1:H99)+SUMIF($F101:$F$512,$D100,H101:H$512),0))*'[1]Processer - data'!H100,"")*IF($C100&lt;&gt;"",IF($F100="Halm",Landbrug!C$16*Landbrug!C$17,IF(LEFT($D100,5)="Areal", IF($G100="Ton",Landbrug!C$18,1),1)),1)*IF($F100="Grøntsager",IF($A100="Grøntsager i drivhus",Landbrug!C$51,1-Landbrug!C$51),1)</f>
        <v>-101250.40139999999</v>
      </c>
      <c r="I100" s="298">
        <f>IF($A100&lt;&gt;"",IF(VLOOKUP($A100,[1]!Table1[#All],2,FALSE)="Direkte input",IF($A100&lt;&gt;"Grøntsager i drivhus",SUMIFS('Direkte input'!H$3:H$230,'Direkte input'!$F$3:$F$230,$D100,'Direkte input'!$C$3:$C$230,$B100,'Direkte input'!$D$3:$D$230,$C100,'Direkte input'!$A$3:$A$230,$A$1),SUMIFS('Direkte input'!H$3:H$230,'Direkte input'!$F$3:$F$230,$D100,'Direkte input'!$C$3:$C$230,$B100,'Direkte input'!$A$3:$A$230,$A$1)),IF(VLOOKUP($A100,[1]!Table1[#All],2,FALSE)="Resultat",SUMIF($F$1:$F99,$D100,I$1:I99)+SUMIF($F101:$F$512,$D100,I101:I$512),0))*'[1]Processer - data'!I100,"")*IF($C100&lt;&gt;"",IF($F100="Halm",Landbrug!D$16*Landbrug!D$17,IF(LEFT($D100,5)="Areal", IF($G100="Ton",Landbrug!D$18,1),1)),1)*IF($F100="Grøntsager",IF($A100="Grøntsager i drivhus",Landbrug!D$51,1-Landbrug!D$51),1)</f>
        <v>-115165.07576693177</v>
      </c>
      <c r="J100" s="299">
        <f>IF($A100&lt;&gt;"",IF(VLOOKUP($A100,[1]!Table1[#All],2,FALSE)="Direkte input",IF($A100&lt;&gt;"Grøntsager i drivhus",SUMIFS('Direkte input'!I$3:I$230,'Direkte input'!$F$3:$F$230,$D100,'Direkte input'!$C$3:$C$230,$B100,'Direkte input'!$D$3:$D$230,$C100,'Direkte input'!$A$3:$A$230,$A$1),SUMIFS('Direkte input'!I$3:I$230,'Direkte input'!$F$3:$F$230,$D100,'Direkte input'!$C$3:$C$230,$B100,'Direkte input'!$A$3:$A$230,$A$1)),IF(VLOOKUP($A100,[1]!Table1[#All],2,FALSE)="Resultat",SUMIF($F$1:$F99,$D100,J$1:J99)+SUMIF($F101:$F$512,$D100,J101:J$512),0))*'[1]Processer - data'!J100,"")*IF($C100&lt;&gt;"",IF($F100="Halm",Landbrug!E$16*Landbrug!E$17,IF(LEFT($D100,5)="Areal", IF($G100="Ton",Landbrug!E$18,1),1)),1)*IF($F100="Grøntsager",IF($A100="Grøntsager i drivhus",Landbrug!E$51,1-Landbrug!E$51),1)</f>
        <v>-110256.34284053177</v>
      </c>
    </row>
    <row r="101" spans="1:10" x14ac:dyDescent="0.25">
      <c r="A101" t="str">
        <f>IF('[1]Processer - data'!A101&lt;&gt;"",'[1]Processer - data'!A101,"")</f>
        <v>Grisestald</v>
      </c>
      <c r="B101" t="str">
        <f>IF('[1]Processer - data'!B101&lt;&gt;"",'[1]Processer - data'!B101,"")</f>
        <v>Konventionel</v>
      </c>
      <c r="C101" t="str">
        <f>IF('[1]Processer - data'!C101&lt;&gt;"",'[1]Processer - data'!C101,"")</f>
        <v/>
      </c>
      <c r="D101" t="str">
        <f>IF('[1]Processer - data'!D101&lt;&gt;"",'[1]Processer - data'!D101,"")</f>
        <v>Svin</v>
      </c>
      <c r="E101" t="str">
        <f>IF('[1]Processer - data'!E101&lt;&gt;"",'[1]Processer - data'!E101,"")</f>
        <v>Antal</v>
      </c>
      <c r="F101" t="str">
        <f>IF('[1]Processer - data'!F101&lt;&gt;"",'[1]Processer - data'!F101,"")</f>
        <v>CO2 - atmosfære</v>
      </c>
      <c r="G101" t="str">
        <f>IF('[1]Processer - data'!G101&lt;&gt;"",'[1]Processer - data'!G101,"")</f>
        <v>t CO2-ækvivalenter</v>
      </c>
      <c r="H101" s="297">
        <f>IF($A101&lt;&gt;"",IF(VLOOKUP($A101,[1]!Table1[#All],2,FALSE)="Direkte input",IF($A101&lt;&gt;"Grøntsager i drivhus",SUMIFS('Direkte input'!G$3:G$230,'Direkte input'!$F$3:$F$230,$D101,'Direkte input'!$C$3:$C$230,$B101,'Direkte input'!$D$3:$D$230,$C101,'Direkte input'!$A$3:$A$230,$A$1),SUMIFS('Direkte input'!G$3:G$230,'Direkte input'!$F$3:$F$230,$D101,'Direkte input'!$C$3:$C$230,$B101,'Direkte input'!$A$3:$A$230,$A$1)),IF(VLOOKUP($A101,[1]!Table1[#All],2,FALSE)="Resultat",SUMIF($F$1:$F100,$D101,H$1:H100)+SUMIF($F102:$F$512,$D101,H102:H$512),0))*'[1]Processer - data'!H101,"")*IF($C101&lt;&gt;"",IF($F101="Halm",Landbrug!C$16*Landbrug!C$17,IF(LEFT($D101,5)="Areal", IF($G101="Ton",Landbrug!C$18,1),1)),1)*IF($F101="Grøntsager",IF($A101="Grøntsager i drivhus",Landbrug!C$51,1-Landbrug!C$51),1)</f>
        <v>172641.16763381023</v>
      </c>
      <c r="I101" s="298">
        <f>IF($A101&lt;&gt;"",IF(VLOOKUP($A101,[1]!Table1[#All],2,FALSE)="Direkte input",IF($A101&lt;&gt;"Grøntsager i drivhus",SUMIFS('Direkte input'!H$3:H$230,'Direkte input'!$F$3:$F$230,$D101,'Direkte input'!$C$3:$C$230,$B101,'Direkte input'!$D$3:$D$230,$C101,'Direkte input'!$A$3:$A$230,$A$1),SUMIFS('Direkte input'!H$3:H$230,'Direkte input'!$F$3:$F$230,$D101,'Direkte input'!$C$3:$C$230,$B101,'Direkte input'!$A$3:$A$230,$A$1)),IF(VLOOKUP($A101,[1]!Table1[#All],2,FALSE)="Resultat",SUMIF($F$1:$F100,$D101,I$1:I100)+SUMIF($F102:$F$512,$D101,I102:I$512),0))*'[1]Processer - data'!I101,"")*IF($C101&lt;&gt;"",IF($F101="Halm",Landbrug!D$16*Landbrug!D$17,IF(LEFT($D101,5)="Areal", IF($G101="Ton",Landbrug!D$18,1),1)),1)*IF($F101="Grøntsager",IF($A101="Grøntsager i drivhus",Landbrug!D$51,1-Landbrug!D$51),1)</f>
        <v>196366.95633919063</v>
      </c>
      <c r="J101" s="299">
        <f>IF($A101&lt;&gt;"",IF(VLOOKUP($A101,[1]!Table1[#All],2,FALSE)="Direkte input",IF($A101&lt;&gt;"Grøntsager i drivhus",SUMIFS('Direkte input'!I$3:I$230,'Direkte input'!$F$3:$F$230,$D101,'Direkte input'!$C$3:$C$230,$B101,'Direkte input'!$D$3:$D$230,$C101,'Direkte input'!$A$3:$A$230,$A$1),SUMIFS('Direkte input'!I$3:I$230,'Direkte input'!$F$3:$F$230,$D101,'Direkte input'!$C$3:$C$230,$B101,'Direkte input'!$A$3:$A$230,$A$1)),IF(VLOOKUP($A101,[1]!Table1[#All],2,FALSE)="Resultat",SUMIF($F$1:$F100,$D101,J$1:J100)+SUMIF($F102:$F$512,$D101,J102:J$512),0))*'[1]Processer - data'!J101,"")*IF($C101&lt;&gt;"",IF($F101="Halm",Landbrug!E$16*Landbrug!E$17,IF(LEFT($D101,5)="Areal", IF($G101="Ton",Landbrug!E$18,1),1)),1)*IF($F101="Grøntsager",IF($A101="Grøntsager i drivhus",Landbrug!E$51,1-Landbrug!E$51),1)</f>
        <v>187997.119061526</v>
      </c>
    </row>
    <row r="102" spans="1:10" x14ac:dyDescent="0.25">
      <c r="A102" t="str">
        <f>IF('[1]Processer - data'!A102&lt;&gt;"",'[1]Processer - data'!A102,"")</f>
        <v>Grisestald</v>
      </c>
      <c r="B102" t="str">
        <f>IF('[1]Processer - data'!B102&lt;&gt;"",'[1]Processer - data'!B102,"")</f>
        <v>Økologisk</v>
      </c>
      <c r="C102" t="str">
        <f>IF('[1]Processer - data'!C102&lt;&gt;"",'[1]Processer - data'!C102,"")</f>
        <v/>
      </c>
      <c r="D102" t="str">
        <f>IF('[1]Processer - data'!D102&lt;&gt;"",'[1]Processer - data'!D102,"")</f>
        <v>Svin</v>
      </c>
      <c r="E102" t="str">
        <f>IF('[1]Processer - data'!E102&lt;&gt;"",'[1]Processer - data'!E102,"")</f>
        <v>Antal</v>
      </c>
      <c r="F102" t="str">
        <f>IF('[1]Processer - data'!F102&lt;&gt;"",'[1]Processer - data'!F102,"")</f>
        <v>Slagtesvin</v>
      </c>
      <c r="G102" t="str">
        <f>IF('[1]Processer - data'!G102&lt;&gt;"",'[1]Processer - data'!G102,"")</f>
        <v>Antal</v>
      </c>
      <c r="H102" s="297">
        <f>IF($A102&lt;&gt;"",IF(VLOOKUP($A102,[1]!Table1[#All],2,FALSE)="Direkte input",IF($A102&lt;&gt;"Grøntsager i drivhus",SUMIFS('Direkte input'!G$3:G$230,'Direkte input'!$F$3:$F$230,$D102,'Direkte input'!$C$3:$C$230,$B102,'Direkte input'!$D$3:$D$230,$C102,'Direkte input'!$A$3:$A$230,$A$1),SUMIFS('Direkte input'!G$3:G$230,'Direkte input'!$F$3:$F$230,$D102,'Direkte input'!$C$3:$C$230,$B102,'Direkte input'!$A$3:$A$230,$A$1)),IF(VLOOKUP($A102,[1]!Table1[#All],2,FALSE)="Resultat",SUMIF($F$1:$F101,$D102,H$1:H101)+SUMIF($F103:$F$512,$D102,H103:H$512),0))*'[1]Processer - data'!H102,"")*IF($C102&lt;&gt;"",IF($F102="Halm",Landbrug!C$16*Landbrug!C$17,IF(LEFT($D102,5)="Areal", IF($G102="Ton",Landbrug!C$18,1),1)),1)*IF($F102="Grøntsager",IF($A102="Grøntsager i drivhus",Landbrug!C$51,1-Landbrug!C$51),1)</f>
        <v>7300.7971009769335</v>
      </c>
      <c r="I102" s="298">
        <f>IF($A102&lt;&gt;"",IF(VLOOKUP($A102,[1]!Table1[#All],2,FALSE)="Direkte input",IF($A102&lt;&gt;"Grøntsager i drivhus",SUMIFS('Direkte input'!H$3:H$230,'Direkte input'!$F$3:$F$230,$D102,'Direkte input'!$C$3:$C$230,$B102,'Direkte input'!$D$3:$D$230,$C102,'Direkte input'!$A$3:$A$230,$A$1),SUMIFS('Direkte input'!H$3:H$230,'Direkte input'!$F$3:$F$230,$D102,'Direkte input'!$C$3:$C$230,$B102,'Direkte input'!$A$3:$A$230,$A$1)),IF(VLOOKUP($A102,[1]!Table1[#All],2,FALSE)="Resultat",SUMIF($F$1:$F101,$D102,I$1:I101)+SUMIF($F103:$F$512,$D102,I103:I$512),0))*'[1]Processer - data'!I102,"")*IF($C102&lt;&gt;"",IF($F102="Halm",Landbrug!D$16*Landbrug!D$17,IF(LEFT($D102,5)="Areal", IF($G102="Ton",Landbrug!D$18,1),1)),1)*IF($F102="Grøntsager",IF($A102="Grøntsager i drivhus",Landbrug!D$51,1-Landbrug!D$51),1)</f>
        <v>54336.851791522888</v>
      </c>
      <c r="J102" s="299">
        <f>IF($A102&lt;&gt;"",IF(VLOOKUP($A102,[1]!Table1[#All],2,FALSE)="Direkte input",IF($A102&lt;&gt;"Grøntsager i drivhus",SUMIFS('Direkte input'!I$3:I$230,'Direkte input'!$F$3:$F$230,$D102,'Direkte input'!$C$3:$C$230,$B102,'Direkte input'!$D$3:$D$230,$C102,'Direkte input'!$A$3:$A$230,$A$1),SUMIFS('Direkte input'!I$3:I$230,'Direkte input'!$F$3:$F$230,$D102,'Direkte input'!$C$3:$C$230,$B102,'Direkte input'!$A$3:$A$230,$A$1)),IF(VLOOKUP($A102,[1]!Table1[#All],2,FALSE)="Resultat",SUMIF($F$1:$F101,$D102,J$1:J101)+SUMIF($F103:$F$512,$D102,J103:J$512),0))*'[1]Processer - data'!J102,"")*IF($C102&lt;&gt;"",IF($F102="Halm",Landbrug!E$16*Landbrug!E$17,IF(LEFT($D102,5)="Areal", IF($G102="Ton",Landbrug!E$18,1),1)),1)*IF($F102="Grøntsager",IF($A102="Grøntsager i drivhus",Landbrug!E$51,1-Landbrug!E$51),1)</f>
        <v>89649.490134435415</v>
      </c>
    </row>
    <row r="103" spans="1:10" x14ac:dyDescent="0.25">
      <c r="A103" t="str">
        <f>IF('[1]Processer - data'!A103&lt;&gt;"",'[1]Processer - data'!A103,"")</f>
        <v>Grisestald</v>
      </c>
      <c r="B103" t="str">
        <f>IF('[1]Processer - data'!B103&lt;&gt;"",'[1]Processer - data'!B103,"")</f>
        <v>Økologisk</v>
      </c>
      <c r="C103" t="str">
        <f>IF('[1]Processer - data'!C103&lt;&gt;"",'[1]Processer - data'!C103,"")</f>
        <v/>
      </c>
      <c r="D103" t="str">
        <f>IF('[1]Processer - data'!D103&lt;&gt;"",'[1]Processer - data'!D103,"")</f>
        <v>Svin</v>
      </c>
      <c r="E103" t="str">
        <f>IF('[1]Processer - data'!E103&lt;&gt;"",'[1]Processer - data'!E103,"")</f>
        <v>Antal</v>
      </c>
      <c r="F103" t="str">
        <f>IF('[1]Processer - data'!F103&lt;&gt;"",'[1]Processer - data'!F103,"")</f>
        <v>Svinegylle</v>
      </c>
      <c r="G103" t="str">
        <f>IF('[1]Processer - data'!G103&lt;&gt;"",'[1]Processer - data'!G103,"")</f>
        <v>Ton</v>
      </c>
      <c r="H103" s="297">
        <f>IF($A103&lt;&gt;"",IF(VLOOKUP($A103,[1]!Table1[#All],2,FALSE)="Direkte input",IF($A103&lt;&gt;"Grøntsager i drivhus",SUMIFS('Direkte input'!G$3:G$230,'Direkte input'!$F$3:$F$230,$D103,'Direkte input'!$C$3:$C$230,$B103,'Direkte input'!$D$3:$D$230,$C103,'Direkte input'!$A$3:$A$230,$A$1),SUMIFS('Direkte input'!G$3:G$230,'Direkte input'!$F$3:$F$230,$D103,'Direkte input'!$C$3:$C$230,$B103,'Direkte input'!$A$3:$A$230,$A$1)),IF(VLOOKUP($A103,[1]!Table1[#All],2,FALSE)="Resultat",SUMIF($F$1:$F102,$D103,H$1:H102)+SUMIF($F104:$F$512,$D103,H104:H$512),0))*'[1]Processer - data'!H103,"")*IF($C103&lt;&gt;"",IF($F103="Halm",Landbrug!C$16*Landbrug!C$17,IF(LEFT($D103,5)="Areal", IF($G103="Ton",Landbrug!C$18,1),1)),1)*IF($F103="Grøntsager",IF($A103="Grøntsager i drivhus",Landbrug!C$51,1-Landbrug!C$51),1)</f>
        <v>0</v>
      </c>
      <c r="I103" s="298">
        <f>IF($A103&lt;&gt;"",IF(VLOOKUP($A103,[1]!Table1[#All],2,FALSE)="Direkte input",IF($A103&lt;&gt;"Grøntsager i drivhus",SUMIFS('Direkte input'!H$3:H$230,'Direkte input'!$F$3:$F$230,$D103,'Direkte input'!$C$3:$C$230,$B103,'Direkte input'!$D$3:$D$230,$C103,'Direkte input'!$A$3:$A$230,$A$1),SUMIFS('Direkte input'!H$3:H$230,'Direkte input'!$F$3:$F$230,$D103,'Direkte input'!$C$3:$C$230,$B103,'Direkte input'!$A$3:$A$230,$A$1)),IF(VLOOKUP($A103,[1]!Table1[#All],2,FALSE)="Resultat",SUMIF($F$1:$F102,$D103,I$1:I102)+SUMIF($F104:$F$512,$D103,I104:I$512),0))*'[1]Processer - data'!I103,"")*IF($C103&lt;&gt;"",IF($F103="Halm",Landbrug!D$16*Landbrug!D$17,IF(LEFT($D103,5)="Areal", IF($G103="Ton",Landbrug!D$18,1),1)),1)*IF($F103="Grøntsager",IF($A103="Grøntsager i drivhus",Landbrug!D$51,1-Landbrug!D$51),1)</f>
        <v>0</v>
      </c>
      <c r="J103" s="299">
        <f>IF($A103&lt;&gt;"",IF(VLOOKUP($A103,[1]!Table1[#All],2,FALSE)="Direkte input",IF($A103&lt;&gt;"Grøntsager i drivhus",SUMIFS('Direkte input'!I$3:I$230,'Direkte input'!$F$3:$F$230,$D103,'Direkte input'!$C$3:$C$230,$B103,'Direkte input'!$D$3:$D$230,$C103,'Direkte input'!$A$3:$A$230,$A$1),SUMIFS('Direkte input'!I$3:I$230,'Direkte input'!$F$3:$F$230,$D103,'Direkte input'!$C$3:$C$230,$B103,'Direkte input'!$A$3:$A$230,$A$1)),IF(VLOOKUP($A103,[1]!Table1[#All],2,FALSE)="Resultat",SUMIF($F$1:$F102,$D103,J$1:J102)+SUMIF($F104:$F$512,$D103,J104:J$512),0))*'[1]Processer - data'!J103,"")*IF($C103&lt;&gt;"",IF($F103="Halm",Landbrug!E$16*Landbrug!E$17,IF(LEFT($D103,5)="Areal", IF($G103="Ton",Landbrug!E$18,1),1)),1)*IF($F103="Grøntsager",IF($A103="Grøntsager i drivhus",Landbrug!E$51,1-Landbrug!E$51),1)</f>
        <v>0</v>
      </c>
    </row>
    <row r="104" spans="1:10" x14ac:dyDescent="0.25">
      <c r="A104" t="str">
        <f>IF('[1]Processer - data'!A104&lt;&gt;"",'[1]Processer - data'!A104,"")</f>
        <v>Grisestald</v>
      </c>
      <c r="B104" t="str">
        <f>IF('[1]Processer - data'!B104&lt;&gt;"",'[1]Processer - data'!B104,"")</f>
        <v>Økologisk</v>
      </c>
      <c r="C104" t="str">
        <f>IF('[1]Processer - data'!C104&lt;&gt;"",'[1]Processer - data'!C104,"")</f>
        <v/>
      </c>
      <c r="D104" t="str">
        <f>IF('[1]Processer - data'!D104&lt;&gt;"",'[1]Processer - data'!D104,"")</f>
        <v>Svin</v>
      </c>
      <c r="E104" t="str">
        <f>IF('[1]Processer - data'!E104&lt;&gt;"",'[1]Processer - data'!E104,"")</f>
        <v>Antal</v>
      </c>
      <c r="F104" t="str">
        <f>IF('[1]Processer - data'!F104&lt;&gt;"",'[1]Processer - data'!F104,"")</f>
        <v>Dybstrøelse</v>
      </c>
      <c r="G104" t="str">
        <f>IF('[1]Processer - data'!G104&lt;&gt;"",'[1]Processer - data'!G104,"")</f>
        <v>Ton</v>
      </c>
      <c r="H104" s="297">
        <f>IF($A104&lt;&gt;"",IF(VLOOKUP($A104,[1]!Table1[#All],2,FALSE)="Direkte input",IF($A104&lt;&gt;"Grøntsager i drivhus",SUMIFS('Direkte input'!G$3:G$230,'Direkte input'!$F$3:$F$230,$D104,'Direkte input'!$C$3:$C$230,$B104,'Direkte input'!$D$3:$D$230,$C104,'Direkte input'!$A$3:$A$230,$A$1),SUMIFS('Direkte input'!G$3:G$230,'Direkte input'!$F$3:$F$230,$D104,'Direkte input'!$C$3:$C$230,$B104,'Direkte input'!$A$3:$A$230,$A$1)),IF(VLOOKUP($A104,[1]!Table1[#All],2,FALSE)="Resultat",SUMIF($F$1:$F103,$D104,H$1:H103)+SUMIF($F105:$F$512,$D104,H105:H$512),0))*'[1]Processer - data'!H104,"")*IF($C104&lt;&gt;"",IF($F104="Halm",Landbrug!C$16*Landbrug!C$17,IF(LEFT($D104,5)="Areal", IF($G104="Ton",Landbrug!C$18,1),1)),1)*IF($F104="Grøntsager",IF($A104="Grøntsager i drivhus",Landbrug!C$51,1-Landbrug!C$51),1)</f>
        <v>7913.4866089252109</v>
      </c>
      <c r="I104" s="298">
        <f>IF($A104&lt;&gt;"",IF(VLOOKUP($A104,[1]!Table1[#All],2,FALSE)="Direkte input",IF($A104&lt;&gt;"Grøntsager i drivhus",SUMIFS('Direkte input'!H$3:H$230,'Direkte input'!$F$3:$F$230,$D104,'Direkte input'!$C$3:$C$230,$B104,'Direkte input'!$D$3:$D$230,$C104,'Direkte input'!$A$3:$A$230,$A$1),SUMIFS('Direkte input'!H$3:H$230,'Direkte input'!$F$3:$F$230,$D104,'Direkte input'!$C$3:$C$230,$B104,'Direkte input'!$A$3:$A$230,$A$1)),IF(VLOOKUP($A104,[1]!Table1[#All],2,FALSE)="Resultat",SUMIF($F$1:$F103,$D104,I$1:I103)+SUMIF($F105:$F$512,$D104,I105:I$512),0))*'[1]Processer - data'!I104,"")*IF($C104&lt;&gt;"",IF($F104="Halm",Landbrug!D$16*Landbrug!D$17,IF(LEFT($D104,5)="Areal", IF($G104="Ton",Landbrug!D$18,1),1)),1)*IF($F104="Grøntsager",IF($A104="Grøntsager i drivhus",Landbrug!D$51,1-Landbrug!D$51),1)</f>
        <v>58896.84962835523</v>
      </c>
      <c r="J104" s="299">
        <f>IF($A104&lt;&gt;"",IF(VLOOKUP($A104,[1]!Table1[#All],2,FALSE)="Direkte input",IF($A104&lt;&gt;"Grøntsager i drivhus",SUMIFS('Direkte input'!I$3:I$230,'Direkte input'!$F$3:$F$230,$D104,'Direkte input'!$C$3:$C$230,$B104,'Direkte input'!$D$3:$D$230,$C104,'Direkte input'!$A$3:$A$230,$A$1),SUMIFS('Direkte input'!I$3:I$230,'Direkte input'!$F$3:$F$230,$D104,'Direkte input'!$C$3:$C$230,$B104,'Direkte input'!$A$3:$A$230,$A$1)),IF(VLOOKUP($A104,[1]!Table1[#All],2,FALSE)="Resultat",SUMIF($F$1:$F103,$D104,J$1:J103)+SUMIF($F105:$F$512,$D104,J105:J$512),0))*'[1]Processer - data'!J104,"")*IF($C104&lt;&gt;"",IF($F104="Halm",Landbrug!E$16*Landbrug!E$17,IF(LEFT($D104,5)="Areal", IF($G104="Ton",Landbrug!E$18,1),1)),1)*IF($F104="Grøntsager",IF($A104="Grøntsager i drivhus",Landbrug!E$51,1-Landbrug!E$51),1)</f>
        <v>97172.956577699704</v>
      </c>
    </row>
    <row r="105" spans="1:10" x14ac:dyDescent="0.25">
      <c r="A105" t="str">
        <f>IF('[1]Processer - data'!A105&lt;&gt;"",'[1]Processer - data'!A105,"")</f>
        <v>Grisestald</v>
      </c>
      <c r="B105" t="str">
        <f>IF('[1]Processer - data'!B105&lt;&gt;"",'[1]Processer - data'!B105,"")</f>
        <v>Økologisk</v>
      </c>
      <c r="C105" t="str">
        <f>IF('[1]Processer - data'!C105&lt;&gt;"",'[1]Processer - data'!C105,"")</f>
        <v/>
      </c>
      <c r="D105" t="str">
        <f>IF('[1]Processer - data'!D105&lt;&gt;"",'[1]Processer - data'!D105,"")</f>
        <v>Svin</v>
      </c>
      <c r="E105" t="str">
        <f>IF('[1]Processer - data'!E105&lt;&gt;"",'[1]Processer - data'!E105,"")</f>
        <v>Antal</v>
      </c>
      <c r="F105" t="str">
        <f>IF('[1]Processer - data'!F105&lt;&gt;"",'[1]Processer - data'!F105,"")</f>
        <v>Industriaffald</v>
      </c>
      <c r="G105" t="str">
        <f>IF('[1]Processer - data'!G105&lt;&gt;"",'[1]Processer - data'!G105,"")</f>
        <v>Ton</v>
      </c>
      <c r="H105" s="297">
        <f>IF($A105&lt;&gt;"",IF(VLOOKUP($A105,[1]!Table1[#All],2,FALSE)="Direkte input",IF($A105&lt;&gt;"Grøntsager i drivhus",SUMIFS('Direkte input'!G$3:G$230,'Direkte input'!$F$3:$F$230,$D105,'Direkte input'!$C$3:$C$230,$B105,'Direkte input'!$D$3:$D$230,$C105,'Direkte input'!$A$3:$A$230,$A$1),SUMIFS('Direkte input'!G$3:G$230,'Direkte input'!$F$3:$F$230,$D105,'Direkte input'!$C$3:$C$230,$B105,'Direkte input'!$A$3:$A$230,$A$1)),IF(VLOOKUP($A105,[1]!Table1[#All],2,FALSE)="Resultat",SUMIF($F$1:$F104,$D105,H$1:H104)+SUMIF($F106:$F$512,$D105,H106:H$512),0))*'[1]Processer - data'!H105,"")*IF($C105&lt;&gt;"",IF($F105="Halm",Landbrug!C$16*Landbrug!C$17,IF(LEFT($D105,5)="Areal", IF($G105="Ton",Landbrug!C$18,1),1)),1)*IF($F105="Grøntsager",IF($A105="Grøntsager i drivhus",Landbrug!C$51,1-Landbrug!C$51),1)</f>
        <v>242.02673255564358</v>
      </c>
      <c r="I105" s="298">
        <f>IF($A105&lt;&gt;"",IF(VLOOKUP($A105,[1]!Table1[#All],2,FALSE)="Direkte input",IF($A105&lt;&gt;"Grøntsager i drivhus",SUMIFS('Direkte input'!H$3:H$230,'Direkte input'!$F$3:$F$230,$D105,'Direkte input'!$C$3:$C$230,$B105,'Direkte input'!$D$3:$D$230,$C105,'Direkte input'!$A$3:$A$230,$A$1),SUMIFS('Direkte input'!H$3:H$230,'Direkte input'!$F$3:$F$230,$D105,'Direkte input'!$C$3:$C$230,$B105,'Direkte input'!$A$3:$A$230,$A$1)),IF(VLOOKUP($A105,[1]!Table1[#All],2,FALSE)="Resultat",SUMIF($F$1:$F104,$D105,I$1:I104)+SUMIF($F106:$F$512,$D105,I106:I$512),0))*'[1]Processer - data'!I105,"")*IF($C105&lt;&gt;"",IF($F105="Halm",Landbrug!D$16*Landbrug!D$17,IF(LEFT($D105,5)="Areal", IF($G105="Ton",Landbrug!D$18,1),1)),1)*IF($F105="Grøntsager",IF($A105="Grøntsager i drivhus",Landbrug!D$51,1-Landbrug!D$51),1)</f>
        <v>1801.3061470647906</v>
      </c>
      <c r="J105" s="299">
        <f>IF($A105&lt;&gt;"",IF(VLOOKUP($A105,[1]!Table1[#All],2,FALSE)="Direkte input",IF($A105&lt;&gt;"Grøntsager i drivhus",SUMIFS('Direkte input'!I$3:I$230,'Direkte input'!$F$3:$F$230,$D105,'Direkte input'!$C$3:$C$230,$B105,'Direkte input'!$D$3:$D$230,$C105,'Direkte input'!$A$3:$A$230,$A$1),SUMIFS('Direkte input'!I$3:I$230,'Direkte input'!$F$3:$F$230,$D105,'Direkte input'!$C$3:$C$230,$B105,'Direkte input'!$A$3:$A$230,$A$1)),IF(VLOOKUP($A105,[1]!Table1[#All],2,FALSE)="Resultat",SUMIF($F$1:$F104,$D105,J$1:J104)+SUMIF($F106:$F$512,$D105,J106:J$512),0))*'[1]Processer - data'!J105,"")*IF($C105&lt;&gt;"",IF($F105="Halm",Landbrug!E$16*Landbrug!E$17,IF(LEFT($D105,5)="Areal", IF($G105="Ton",Landbrug!E$18,1),1)),1)*IF($F105="Grøntsager",IF($A105="Grøntsager i drivhus",Landbrug!E$51,1-Landbrug!E$51),1)</f>
        <v>2971.9457851545299</v>
      </c>
    </row>
    <row r="106" spans="1:10" x14ac:dyDescent="0.25">
      <c r="A106" t="str">
        <f>IF('[1]Processer - data'!A106&lt;&gt;"",'[1]Processer - data'!A106,"")</f>
        <v>Grisestald</v>
      </c>
      <c r="B106" t="str">
        <f>IF('[1]Processer - data'!B106&lt;&gt;"",'[1]Processer - data'!B106,"")</f>
        <v>Økologisk</v>
      </c>
      <c r="C106" t="str">
        <f>IF('[1]Processer - data'!C106&lt;&gt;"",'[1]Processer - data'!C106,"")</f>
        <v/>
      </c>
      <c r="D106" t="str">
        <f>IF('[1]Processer - data'!D106&lt;&gt;"",'[1]Processer - data'!D106,"")</f>
        <v>Svin</v>
      </c>
      <c r="E106" t="str">
        <f>IF('[1]Processer - data'!E106&lt;&gt;"",'[1]Processer - data'!E106,"")</f>
        <v>Antal</v>
      </c>
      <c r="F106" t="str">
        <f>IF('[1]Processer - data'!F106&lt;&gt;"",'[1]Processer - data'!F106,"")</f>
        <v>Foder</v>
      </c>
      <c r="G106" t="str">
        <f>IF('[1]Processer - data'!G106&lt;&gt;"",'[1]Processer - data'!G106,"")</f>
        <v>FE</v>
      </c>
      <c r="H106" s="297">
        <f>IF($A106&lt;&gt;"",IF(VLOOKUP($A106,[1]!Table1[#All],2,FALSE)="Direkte input",IF($A106&lt;&gt;"Grøntsager i drivhus",SUMIFS('Direkte input'!G$3:G$230,'Direkte input'!$F$3:$F$230,$D106,'Direkte input'!$C$3:$C$230,$B106,'Direkte input'!$D$3:$D$230,$C106,'Direkte input'!$A$3:$A$230,$A$1),SUMIFS('Direkte input'!G$3:G$230,'Direkte input'!$F$3:$F$230,$D106,'Direkte input'!$C$3:$C$230,$B106,'Direkte input'!$A$3:$A$230,$A$1)),IF(VLOOKUP($A106,[1]!Table1[#All],2,FALSE)="Resultat",SUMIF($F$1:$F105,$D106,H$1:H105)+SUMIF($F107:$F$512,$D106,H107:H$512),0))*'[1]Processer - data'!H106,"")*IF($C106&lt;&gt;"",IF($F106="Halm",Landbrug!C$16*Landbrug!C$17,IF(LEFT($D106,5)="Areal", IF($G106="Ton",Landbrug!C$18,1),1)),1)*IF($F106="Grøntsager",IF($A106="Grøntsager i drivhus",Landbrug!C$51,1-Landbrug!C$51),1)</f>
        <v>-13214445.09</v>
      </c>
      <c r="I106" s="298">
        <f>IF($A106&lt;&gt;"",IF(VLOOKUP($A106,[1]!Table1[#All],2,FALSE)="Direkte input",IF($A106&lt;&gt;"Grøntsager i drivhus",SUMIFS('Direkte input'!H$3:H$230,'Direkte input'!$F$3:$F$230,$D106,'Direkte input'!$C$3:$C$230,$B106,'Direkte input'!$D$3:$D$230,$C106,'Direkte input'!$A$3:$A$230,$A$1),SUMIFS('Direkte input'!H$3:H$230,'Direkte input'!$F$3:$F$230,$D106,'Direkte input'!$C$3:$C$230,$B106,'Direkte input'!$A$3:$A$230,$A$1)),IF(VLOOKUP($A106,[1]!Table1[#All],2,FALSE)="Resultat",SUMIF($F$1:$F105,$D106,I$1:I105)+SUMIF($F107:$F$512,$D106,I107:I$512),0))*'[1]Processer - data'!I106,"")*IF($C106&lt;&gt;"",IF($F106="Halm",Landbrug!D$16*Landbrug!D$17,IF(LEFT($D106,5)="Areal", IF($G106="Ton",Landbrug!D$18,1),1)),1)*IF($F106="Grøntsager",IF($A106="Grøntsager i drivhus",Landbrug!D$51,1-Landbrug!D$51),1)</f>
        <v>-98349719.137718022</v>
      </c>
      <c r="J106" s="299">
        <f>IF($A106&lt;&gt;"",IF(VLOOKUP($A106,[1]!Table1[#All],2,FALSE)="Direkte input",IF($A106&lt;&gt;"Grøntsager i drivhus",SUMIFS('Direkte input'!I$3:I$230,'Direkte input'!$F$3:$F$230,$D106,'Direkte input'!$C$3:$C$230,$B106,'Direkte input'!$D$3:$D$230,$C106,'Direkte input'!$A$3:$A$230,$A$1),SUMIFS('Direkte input'!I$3:I$230,'Direkte input'!$F$3:$F$230,$D106,'Direkte input'!$C$3:$C$230,$B106,'Direkte input'!$A$3:$A$230,$A$1)),IF(VLOOKUP($A106,[1]!Table1[#All],2,FALSE)="Resultat",SUMIF($F$1:$F105,$D106,J$1:J105)+SUMIF($F107:$F$512,$D106,J107:J$512),0))*'[1]Processer - data'!J106,"")*IF($C106&lt;&gt;"",IF($F106="Halm",Landbrug!E$16*Landbrug!E$17,IF(LEFT($D106,5)="Areal", IF($G106="Ton",Landbrug!E$18,1),1)),1)*IF($F106="Grøntsager",IF($A106="Grøntsager i drivhus",Landbrug!E$51,1-Landbrug!E$51),1)</f>
        <v>-162265605.84315798</v>
      </c>
    </row>
    <row r="107" spans="1:10" x14ac:dyDescent="0.25">
      <c r="A107" t="str">
        <f>IF('[1]Processer - data'!A107&lt;&gt;"",'[1]Processer - data'!A107,"")</f>
        <v>Grisestald</v>
      </c>
      <c r="B107" t="str">
        <f>IF('[1]Processer - data'!B107&lt;&gt;"",'[1]Processer - data'!B107,"")</f>
        <v>Økologisk</v>
      </c>
      <c r="C107" t="str">
        <f>IF('[1]Processer - data'!C107&lt;&gt;"",'[1]Processer - data'!C107,"")</f>
        <v/>
      </c>
      <c r="D107" t="str">
        <f>IF('[1]Processer - data'!D107&lt;&gt;"",'[1]Processer - data'!D107,"")</f>
        <v>Svin</v>
      </c>
      <c r="E107" t="str">
        <f>IF('[1]Processer - data'!E107&lt;&gt;"",'[1]Processer - data'!E107,"")</f>
        <v>Antal</v>
      </c>
      <c r="F107" t="str">
        <f>IF('[1]Processer - data'!F107&lt;&gt;"",'[1]Processer - data'!F107,"")</f>
        <v>Halm</v>
      </c>
      <c r="G107" t="str">
        <f>IF('[1]Processer - data'!G107&lt;&gt;"",'[1]Processer - data'!G107,"")</f>
        <v>Ton</v>
      </c>
      <c r="H107" s="297">
        <f>IF($A107&lt;&gt;"",IF(VLOOKUP($A107,[1]!Table1[#All],2,FALSE)="Direkte input",IF($A107&lt;&gt;"Grøntsager i drivhus",SUMIFS('Direkte input'!G$3:G$230,'Direkte input'!$F$3:$F$230,$D107,'Direkte input'!$C$3:$C$230,$B107,'Direkte input'!$D$3:$D$230,$C107,'Direkte input'!$A$3:$A$230,$A$1),SUMIFS('Direkte input'!G$3:G$230,'Direkte input'!$F$3:$F$230,$D107,'Direkte input'!$C$3:$C$230,$B107,'Direkte input'!$A$3:$A$230,$A$1)),IF(VLOOKUP($A107,[1]!Table1[#All],2,FALSE)="Resultat",SUMIF($F$1:$F106,$D107,H$1:H106)+SUMIF($F108:$F$512,$D107,H108:H$512),0))*'[1]Processer - data'!H107,"")*IF($C107&lt;&gt;"",IF($F107="Halm",Landbrug!C$16*Landbrug!C$17,IF(LEFT($D107,5)="Areal", IF($G107="Ton",Landbrug!C$18,1),1)),1)*IF($F107="Grøntsager",IF($A107="Grøntsager i drivhus",Landbrug!C$51,1-Landbrug!C$51),1)</f>
        <v>-892.06425000000002</v>
      </c>
      <c r="I107" s="298">
        <f>IF($A107&lt;&gt;"",IF(VLOOKUP($A107,[1]!Table1[#All],2,FALSE)="Direkte input",IF($A107&lt;&gt;"Grøntsager i drivhus",SUMIFS('Direkte input'!H$3:H$230,'Direkte input'!$F$3:$F$230,$D107,'Direkte input'!$C$3:$C$230,$B107,'Direkte input'!$D$3:$D$230,$C107,'Direkte input'!$A$3:$A$230,$A$1),SUMIFS('Direkte input'!H$3:H$230,'Direkte input'!$F$3:$F$230,$D107,'Direkte input'!$C$3:$C$230,$B107,'Direkte input'!$A$3:$A$230,$A$1)),IF(VLOOKUP($A107,[1]!Table1[#All],2,FALSE)="Resultat",SUMIF($F$1:$F106,$D107,I$1:I106)+SUMIF($F108:$F$512,$D107,I108:I$512),0))*'[1]Processer - data'!I107,"")*IF($C107&lt;&gt;"",IF($F107="Halm",Landbrug!D$16*Landbrug!D$17,IF(LEFT($D107,5)="Areal", IF($G107="Ton",Landbrug!D$18,1),1)),1)*IF($F107="Grøntsager",IF($A107="Grøntsager i drivhus",Landbrug!D$51,1-Landbrug!D$51),1)</f>
        <v>-6639.2699687928462</v>
      </c>
      <c r="J107" s="299">
        <f>IF($A107&lt;&gt;"",IF(VLOOKUP($A107,[1]!Table1[#All],2,FALSE)="Direkte input",IF($A107&lt;&gt;"Grøntsager i drivhus",SUMIFS('Direkte input'!I$3:I$230,'Direkte input'!$F$3:$F$230,$D107,'Direkte input'!$C$3:$C$230,$B107,'Direkte input'!$D$3:$D$230,$C107,'Direkte input'!$A$3:$A$230,$A$1),SUMIFS('Direkte input'!I$3:I$230,'Direkte input'!$F$3:$F$230,$D107,'Direkte input'!$C$3:$C$230,$B107,'Direkte input'!$A$3:$A$230,$A$1)),IF(VLOOKUP($A107,[1]!Table1[#All],2,FALSE)="Resultat",SUMIF($F$1:$F106,$D107,J$1:J106)+SUMIF($F108:$F$512,$D107,J108:J$512),0))*'[1]Processer - data'!J107,"")*IF($C107&lt;&gt;"",IF($F107="Halm",Landbrug!E$16*Landbrug!E$17,IF(LEFT($D107,5)="Areal", IF($G107="Ton",Landbrug!E$18,1),1)),1)*IF($F107="Grøntsager",IF($A107="Grøntsager i drivhus",Landbrug!E$51,1-Landbrug!E$51),1)</f>
        <v>-10954.023796792844</v>
      </c>
    </row>
    <row r="108" spans="1:10" x14ac:dyDescent="0.25">
      <c r="A108" t="str">
        <f>IF('[1]Processer - data'!A108&lt;&gt;"",'[1]Processer - data'!A108,"")</f>
        <v>Grisestald</v>
      </c>
      <c r="B108" t="str">
        <f>IF('[1]Processer - data'!B108&lt;&gt;"",'[1]Processer - data'!B108,"")</f>
        <v>Økologisk</v>
      </c>
      <c r="C108" t="str">
        <f>IF('[1]Processer - data'!C108&lt;&gt;"",'[1]Processer - data'!C108,"")</f>
        <v/>
      </c>
      <c r="D108" t="str">
        <f>IF('[1]Processer - data'!D108&lt;&gt;"",'[1]Processer - data'!D108,"")</f>
        <v>Svin</v>
      </c>
      <c r="E108" t="str">
        <f>IF('[1]Processer - data'!E108&lt;&gt;"",'[1]Processer - data'!E108,"")</f>
        <v>Antal</v>
      </c>
      <c r="F108" t="str">
        <f>IF('[1]Processer - data'!F108&lt;&gt;"",'[1]Processer - data'!F108,"")</f>
        <v>CO2 - atmosfære</v>
      </c>
      <c r="G108" t="str">
        <f>IF('[1]Processer - data'!G108&lt;&gt;"",'[1]Processer - data'!G108,"")</f>
        <v>t CO2-ækvivalenter</v>
      </c>
      <c r="H108" s="297">
        <f>IF($A108&lt;&gt;"",IF(VLOOKUP($A108,[1]!Table1[#All],2,FALSE)="Direkte input",IF($A108&lt;&gt;"Grøntsager i drivhus",SUMIFS('Direkte input'!G$3:G$230,'Direkte input'!$F$3:$F$230,$D108,'Direkte input'!$C$3:$C$230,$B108,'Direkte input'!$D$3:$D$230,$C108,'Direkte input'!$A$3:$A$230,$A$1),SUMIFS('Direkte input'!G$3:G$230,'Direkte input'!$F$3:$F$230,$D108,'Direkte input'!$C$3:$C$230,$B108,'Direkte input'!$A$3:$A$230,$A$1)),IF(VLOOKUP($A108,[1]!Table1[#All],2,FALSE)="Resultat",SUMIF($F$1:$F107,$D108,H$1:H107)+SUMIF($F109:$F$512,$D108,H109:H$512),0))*'[1]Processer - data'!H108,"")*IF($C108&lt;&gt;"",IF($F108="Halm",Landbrug!C$16*Landbrug!C$17,IF(LEFT($D108,5)="Areal", IF($G108="Ton",Landbrug!C$18,1),1)),1)*IF($F108="Grøntsager",IF($A108="Grøntsager i drivhus",Landbrug!C$51,1-Landbrug!C$51),1)</f>
        <v>1903.4865492896727</v>
      </c>
      <c r="I108" s="298">
        <f>IF($A108&lt;&gt;"",IF(VLOOKUP($A108,[1]!Table1[#All],2,FALSE)="Direkte input",IF($A108&lt;&gt;"Grøntsager i drivhus",SUMIFS('Direkte input'!H$3:H$230,'Direkte input'!$F$3:$F$230,$D108,'Direkte input'!$C$3:$C$230,$B108,'Direkte input'!$D$3:$D$230,$C108,'Direkte input'!$A$3:$A$230,$A$1),SUMIFS('Direkte input'!H$3:H$230,'Direkte input'!$F$3:$F$230,$D108,'Direkte input'!$C$3:$C$230,$B108,'Direkte input'!$A$3:$A$230,$A$1)),IF(VLOOKUP($A108,[1]!Table1[#All],2,FALSE)="Resultat",SUMIF($F$1:$F107,$D108,I$1:I107)+SUMIF($F109:$F$512,$D108,I109:I$512),0))*'[1]Processer - data'!I108,"")*IF($C108&lt;&gt;"",IF($F108="Halm",Landbrug!D$16*Landbrug!D$17,IF(LEFT($D108,5)="Areal", IF($G108="Ton",Landbrug!D$18,1),1)),1)*IF($F108="Grøntsager",IF($A108="Grøntsager i drivhus",Landbrug!D$51,1-Landbrug!D$51),1)</f>
        <v>14166.873162667429</v>
      </c>
      <c r="J108" s="299">
        <f>IF($A108&lt;&gt;"",IF(VLOOKUP($A108,[1]!Table1[#All],2,FALSE)="Direkte input",IF($A108&lt;&gt;"Grøntsager i drivhus",SUMIFS('Direkte input'!I$3:I$230,'Direkte input'!$F$3:$F$230,$D108,'Direkte input'!$C$3:$C$230,$B108,'Direkte input'!$D$3:$D$230,$C108,'Direkte input'!$A$3:$A$230,$A$1),SUMIFS('Direkte input'!I$3:I$230,'Direkte input'!$F$3:$F$230,$D108,'Direkte input'!$C$3:$C$230,$B108,'Direkte input'!$A$3:$A$230,$A$1)),IF(VLOOKUP($A108,[1]!Table1[#All],2,FALSE)="Resultat",SUMIF($F$1:$F107,$D108,J$1:J107)+SUMIF($F109:$F$512,$D108,J109:J$512),0))*'[1]Processer - data'!J108,"")*IF($C108&lt;&gt;"",IF($F108="Halm",Landbrug!E$16*Landbrug!E$17,IF(LEFT($D108,5)="Areal", IF($G108="Ton",Landbrug!E$18,1),1)),1)*IF($F108="Grøntsager",IF($A108="Grøntsager i drivhus",Landbrug!E$51,1-Landbrug!E$51),1)</f>
        <v>23373.694168098507</v>
      </c>
    </row>
    <row r="109" spans="1:10" x14ac:dyDescent="0.25">
      <c r="A109" t="str">
        <f>IF('[1]Processer - data'!A109&lt;&gt;"",'[1]Processer - data'!A109,"")</f>
        <v>Kostald</v>
      </c>
      <c r="B109" t="str">
        <f>IF('[1]Processer - data'!B109&lt;&gt;"",'[1]Processer - data'!B109,"")</f>
        <v>Konventionel</v>
      </c>
      <c r="C109" t="str">
        <f>IF('[1]Processer - data'!C109&lt;&gt;"",'[1]Processer - data'!C109,"")</f>
        <v/>
      </c>
      <c r="D109" t="str">
        <f>IF('[1]Processer - data'!D109&lt;&gt;"",'[1]Processer - data'!D109,"")</f>
        <v>Køer</v>
      </c>
      <c r="E109" t="str">
        <f>IF('[1]Processer - data'!E109&lt;&gt;"",'[1]Processer - data'!E109,"")</f>
        <v>Antal</v>
      </c>
      <c r="F109" t="str">
        <f>IF('[1]Processer - data'!F109&lt;&gt;"",'[1]Processer - data'!F109,"")</f>
        <v>Slagtekøer</v>
      </c>
      <c r="G109" t="str">
        <f>IF('[1]Processer - data'!G109&lt;&gt;"",'[1]Processer - data'!G109,"")</f>
        <v>Antal</v>
      </c>
      <c r="H109" s="297">
        <f>IF($A109&lt;&gt;"",IF(VLOOKUP($A109,[1]!Table1[#All],2,FALSE)="Direkte input",IF($A109&lt;&gt;"Grøntsager i drivhus",SUMIFS('Direkte input'!G$3:G$230,'Direkte input'!$F$3:$F$230,$D109,'Direkte input'!$C$3:$C$230,$B109,'Direkte input'!$D$3:$D$230,$C109,'Direkte input'!$A$3:$A$230,$A$1),SUMIFS('Direkte input'!G$3:G$230,'Direkte input'!$F$3:$F$230,$D109,'Direkte input'!$C$3:$C$230,$B109,'Direkte input'!$A$3:$A$230,$A$1)),IF(VLOOKUP($A109,[1]!Table1[#All],2,FALSE)="Resultat",SUMIF($F$1:$F108,$D109,H$1:H108)+SUMIF($F110:$F$512,$D109,H110:H$512),0))*'[1]Processer - data'!H109,"")*IF($C109&lt;&gt;"",IF($F109="Halm",Landbrug!C$16*Landbrug!C$17,IF(LEFT($D109,5)="Areal", IF($G109="Ton",Landbrug!C$18,1),1)),1)*IF($F109="Grøntsager",IF($A109="Grøntsager i drivhus",Landbrug!C$51,1-Landbrug!C$51),1)</f>
        <v>28671.874161460488</v>
      </c>
      <c r="I109" s="298">
        <f>IF($A109&lt;&gt;"",IF(VLOOKUP($A109,[1]!Table1[#All],2,FALSE)="Direkte input",IF($A109&lt;&gt;"Grøntsager i drivhus",SUMIFS('Direkte input'!H$3:H$230,'Direkte input'!$F$3:$F$230,$D109,'Direkte input'!$C$3:$C$230,$B109,'Direkte input'!$D$3:$D$230,$C109,'Direkte input'!$A$3:$A$230,$A$1),SUMIFS('Direkte input'!H$3:H$230,'Direkte input'!$F$3:$F$230,$D109,'Direkte input'!$C$3:$C$230,$B109,'Direkte input'!$A$3:$A$230,$A$1)),IF(VLOOKUP($A109,[1]!Table1[#All],2,FALSE)="Resultat",SUMIF($F$1:$F108,$D109,I$1:I108)+SUMIF($F110:$F$512,$D109,I110:I$512),0))*'[1]Processer - data'!I109,"")*IF($C109&lt;&gt;"",IF($F109="Halm",Landbrug!D$16*Landbrug!D$17,IF(LEFT($D109,5)="Areal", IF($G109="Ton",Landbrug!D$18,1),1)),1)*IF($F109="Grøntsager",IF($A109="Grøntsager i drivhus",Landbrug!D$51,1-Landbrug!D$51),1)</f>
        <v>34191.245173914635</v>
      </c>
      <c r="J109" s="299">
        <f>IF($A109&lt;&gt;"",IF(VLOOKUP($A109,[1]!Table1[#All],2,FALSE)="Direkte input",IF($A109&lt;&gt;"Grøntsager i drivhus",SUMIFS('Direkte input'!I$3:I$230,'Direkte input'!$F$3:$F$230,$D109,'Direkte input'!$C$3:$C$230,$B109,'Direkte input'!$D$3:$D$230,$C109,'Direkte input'!$A$3:$A$230,$A$1),SUMIFS('Direkte input'!I$3:I$230,'Direkte input'!$F$3:$F$230,$D109,'Direkte input'!$C$3:$C$230,$B109,'Direkte input'!$A$3:$A$230,$A$1)),IF(VLOOKUP($A109,[1]!Table1[#All],2,FALSE)="Resultat",SUMIF($F$1:$F108,$D109,J$1:J108)+SUMIF($F110:$F$512,$D109,J110:J$512),0))*'[1]Processer - data'!J109,"")*IF($C109&lt;&gt;"",IF($F109="Halm",Landbrug!E$16*Landbrug!E$17,IF(LEFT($D109,5)="Areal", IF($G109="Ton",Landbrug!E$18,1),1)),1)*IF($F109="Grøntsager",IF($A109="Grøntsager i drivhus",Landbrug!E$51,1-Landbrug!E$51),1)</f>
        <v>32539.378021934186</v>
      </c>
    </row>
    <row r="110" spans="1:10" x14ac:dyDescent="0.25">
      <c r="A110" t="str">
        <f>IF('[1]Processer - data'!A110&lt;&gt;"",'[1]Processer - data'!A110,"")</f>
        <v>Kostald</v>
      </c>
      <c r="B110" t="str">
        <f>IF('[1]Processer - data'!B110&lt;&gt;"",'[1]Processer - data'!B110,"")</f>
        <v>Konventionel</v>
      </c>
      <c r="C110" t="str">
        <f>IF('[1]Processer - data'!C110&lt;&gt;"",'[1]Processer - data'!C110,"")</f>
        <v/>
      </c>
      <c r="D110" t="str">
        <f>IF('[1]Processer - data'!D110&lt;&gt;"",'[1]Processer - data'!D110,"")</f>
        <v>Køer</v>
      </c>
      <c r="E110" t="str">
        <f>IF('[1]Processer - data'!E110&lt;&gt;"",'[1]Processer - data'!E110,"")</f>
        <v>Antal</v>
      </c>
      <c r="F110" t="str">
        <f>IF('[1]Processer - data'!F110&lt;&gt;"",'[1]Processer - data'!F110,"")</f>
        <v>Kvæggylle</v>
      </c>
      <c r="G110" t="str">
        <f>IF('[1]Processer - data'!G110&lt;&gt;"",'[1]Processer - data'!G110,"")</f>
        <v>Ton</v>
      </c>
      <c r="H110" s="297">
        <f>IF($A110&lt;&gt;"",IF(VLOOKUP($A110,[1]!Table1[#All],2,FALSE)="Direkte input",IF($A110&lt;&gt;"Grøntsager i drivhus",SUMIFS('Direkte input'!G$3:G$230,'Direkte input'!$F$3:$F$230,$D110,'Direkte input'!$C$3:$C$230,$B110,'Direkte input'!$D$3:$D$230,$C110,'Direkte input'!$A$3:$A$230,$A$1),SUMIFS('Direkte input'!G$3:G$230,'Direkte input'!$F$3:$F$230,$D110,'Direkte input'!$C$3:$C$230,$B110,'Direkte input'!$A$3:$A$230,$A$1)),IF(VLOOKUP($A110,[1]!Table1[#All],2,FALSE)="Resultat",SUMIF($F$1:$F109,$D110,H$1:H109)+SUMIF($F111:$F$512,$D110,H111:H$512),0))*'[1]Processer - data'!H110,"")*IF($C110&lt;&gt;"",IF($F110="Halm",Landbrug!C$16*Landbrug!C$17,IF(LEFT($D110,5)="Areal", IF($G110="Ton",Landbrug!C$18,1),1)),1)*IF($F110="Grøntsager",IF($A110="Grøntsager i drivhus",Landbrug!C$51,1-Landbrug!C$51),1)</f>
        <v>832011.45504165464</v>
      </c>
      <c r="I110" s="298">
        <f>IF($A110&lt;&gt;"",IF(VLOOKUP($A110,[1]!Table1[#All],2,FALSE)="Direkte input",IF($A110&lt;&gt;"Grøntsager i drivhus",SUMIFS('Direkte input'!H$3:H$230,'Direkte input'!$F$3:$F$230,$D110,'Direkte input'!$C$3:$C$230,$B110,'Direkte input'!$D$3:$D$230,$C110,'Direkte input'!$A$3:$A$230,$A$1),SUMIFS('Direkte input'!H$3:H$230,'Direkte input'!$F$3:$F$230,$D110,'Direkte input'!$C$3:$C$230,$B110,'Direkte input'!$A$3:$A$230,$A$1)),IF(VLOOKUP($A110,[1]!Table1[#All],2,FALSE)="Resultat",SUMIF($F$1:$F109,$D110,I$1:I109)+SUMIF($F111:$F$512,$D110,I111:I$512),0))*'[1]Processer - data'!I110,"")*IF($C110&lt;&gt;"",IF($F110="Halm",Landbrug!D$16*Landbrug!D$17,IF(LEFT($D110,5)="Areal", IF($G110="Ton",Landbrug!D$18,1),1)),1)*IF($F110="Grøntsager",IF($A110="Grøntsager i drivhus",Landbrug!D$51,1-Landbrug!D$51),1)</f>
        <v>992174.68263977661</v>
      </c>
      <c r="J110" s="299">
        <f>IF($A110&lt;&gt;"",IF(VLOOKUP($A110,[1]!Table1[#All],2,FALSE)="Direkte input",IF($A110&lt;&gt;"Grøntsager i drivhus",SUMIFS('Direkte input'!I$3:I$230,'Direkte input'!$F$3:$F$230,$D110,'Direkte input'!$C$3:$C$230,$B110,'Direkte input'!$D$3:$D$230,$C110,'Direkte input'!$A$3:$A$230,$A$1),SUMIFS('Direkte input'!I$3:I$230,'Direkte input'!$F$3:$F$230,$D110,'Direkte input'!$C$3:$C$230,$B110,'Direkte input'!$A$3:$A$230,$A$1)),IF(VLOOKUP($A110,[1]!Table1[#All],2,FALSE)="Resultat",SUMIF($F$1:$F109,$D110,J$1:J109)+SUMIF($F111:$F$512,$D110,J111:J$512),0))*'[1]Processer - data'!J110,"")*IF($C110&lt;&gt;"",IF($F110="Halm",Landbrug!E$16*Landbrug!E$17,IF(LEFT($D110,5)="Areal", IF($G110="Ton",Landbrug!E$18,1),1)),1)*IF($F110="Grøntsager",IF($A110="Grøntsager i drivhus",Landbrug!E$51,1-Landbrug!E$51),1)</f>
        <v>944240.16727062978</v>
      </c>
    </row>
    <row r="111" spans="1:10" x14ac:dyDescent="0.25">
      <c r="A111" t="str">
        <f>IF('[1]Processer - data'!A111&lt;&gt;"",'[1]Processer - data'!A111,"")</f>
        <v>Kostald</v>
      </c>
      <c r="B111" t="str">
        <f>IF('[1]Processer - data'!B111&lt;&gt;"",'[1]Processer - data'!B111,"")</f>
        <v>Konventionel</v>
      </c>
      <c r="C111" t="str">
        <f>IF('[1]Processer - data'!C111&lt;&gt;"",'[1]Processer - data'!C111,"")</f>
        <v/>
      </c>
      <c r="D111" t="str">
        <f>IF('[1]Processer - data'!D111&lt;&gt;"",'[1]Processer - data'!D111,"")</f>
        <v>Køer</v>
      </c>
      <c r="E111" t="str">
        <f>IF('[1]Processer - data'!E111&lt;&gt;"",'[1]Processer - data'!E111,"")</f>
        <v>Antal</v>
      </c>
      <c r="F111" t="str">
        <f>IF('[1]Processer - data'!F111&lt;&gt;"",'[1]Processer - data'!F111,"")</f>
        <v>Dybstrøelse</v>
      </c>
      <c r="G111" t="str">
        <f>IF('[1]Processer - data'!G111&lt;&gt;"",'[1]Processer - data'!G111,"")</f>
        <v>Ton</v>
      </c>
      <c r="H111" s="297">
        <f>IF($A111&lt;&gt;"",IF(VLOOKUP($A111,[1]!Table1[#All],2,FALSE)="Direkte input",IF($A111&lt;&gt;"Grøntsager i drivhus",SUMIFS('Direkte input'!G$3:G$230,'Direkte input'!$F$3:$F$230,$D111,'Direkte input'!$C$3:$C$230,$B111,'Direkte input'!$D$3:$D$230,$C111,'Direkte input'!$A$3:$A$230,$A$1),SUMIFS('Direkte input'!G$3:G$230,'Direkte input'!$F$3:$F$230,$D111,'Direkte input'!$C$3:$C$230,$B111,'Direkte input'!$A$3:$A$230,$A$1)),IF(VLOOKUP($A111,[1]!Table1[#All],2,FALSE)="Resultat",SUMIF($F$1:$F110,$D111,H$1:H110)+SUMIF($F112:$F$512,$D111,H112:H$512),0))*'[1]Processer - data'!H111,"")*IF($C111&lt;&gt;"",IF($F111="Halm",Landbrug!C$16*Landbrug!C$17,IF(LEFT($D111,5)="Areal", IF($G111="Ton",Landbrug!C$18,1),1)),1)*IF($F111="Grøntsager",IF($A111="Grøntsager i drivhus",Landbrug!C$51,1-Landbrug!C$51),1)</f>
        <v>16305.094847697548</v>
      </c>
      <c r="I111" s="298">
        <f>IF($A111&lt;&gt;"",IF(VLOOKUP($A111,[1]!Table1[#All],2,FALSE)="Direkte input",IF($A111&lt;&gt;"Grøntsager i drivhus",SUMIFS('Direkte input'!H$3:H$230,'Direkte input'!$F$3:$F$230,$D111,'Direkte input'!$C$3:$C$230,$B111,'Direkte input'!$D$3:$D$230,$C111,'Direkte input'!$A$3:$A$230,$A$1),SUMIFS('Direkte input'!H$3:H$230,'Direkte input'!$F$3:$F$230,$D111,'Direkte input'!$C$3:$C$230,$B111,'Direkte input'!$A$3:$A$230,$A$1)),IF(VLOOKUP($A111,[1]!Table1[#All],2,FALSE)="Resultat",SUMIF($F$1:$F110,$D111,I$1:I110)+SUMIF($F112:$F$512,$D111,I112:I$512),0))*'[1]Processer - data'!I111,"")*IF($C111&lt;&gt;"",IF($F111="Halm",Landbrug!D$16*Landbrug!D$17,IF(LEFT($D111,5)="Areal", IF($G111="Ton",Landbrug!D$18,1),1)),1)*IF($F111="Grøntsager",IF($A111="Grøntsager i drivhus",Landbrug!D$51,1-Landbrug!D$51),1)</f>
        <v>19443.845644067296</v>
      </c>
      <c r="J111" s="299">
        <f>IF($A111&lt;&gt;"",IF(VLOOKUP($A111,[1]!Table1[#All],2,FALSE)="Direkte input",IF($A111&lt;&gt;"Grøntsager i drivhus",SUMIFS('Direkte input'!I$3:I$230,'Direkte input'!$F$3:$F$230,$D111,'Direkte input'!$C$3:$C$230,$B111,'Direkte input'!$D$3:$D$230,$C111,'Direkte input'!$A$3:$A$230,$A$1),SUMIFS('Direkte input'!I$3:I$230,'Direkte input'!$F$3:$F$230,$D111,'Direkte input'!$C$3:$C$230,$B111,'Direkte input'!$A$3:$A$230,$A$1)),IF(VLOOKUP($A111,[1]!Table1[#All],2,FALSE)="Resultat",SUMIF($F$1:$F110,$D111,J$1:J110)+SUMIF($F112:$F$512,$D111,J112:J$512),0))*'[1]Processer - data'!J111,"")*IF($C111&lt;&gt;"",IF($F111="Halm",Landbrug!E$16*Landbrug!E$17,IF(LEFT($D111,5)="Areal", IF($G111="Ton",Landbrug!E$18,1),1)),1)*IF($F111="Grøntsager",IF($A111="Grøntsager i drivhus",Landbrug!E$51,1-Landbrug!E$51),1)</f>
        <v>18504.463361724534</v>
      </c>
    </row>
    <row r="112" spans="1:10" x14ac:dyDescent="0.25">
      <c r="A112" t="str">
        <f>IF('[1]Processer - data'!A112&lt;&gt;"",'[1]Processer - data'!A112,"")</f>
        <v>Kostald</v>
      </c>
      <c r="B112" t="str">
        <f>IF('[1]Processer - data'!B112&lt;&gt;"",'[1]Processer - data'!B112,"")</f>
        <v>Konventionel</v>
      </c>
      <c r="C112" t="str">
        <f>IF('[1]Processer - data'!C112&lt;&gt;"",'[1]Processer - data'!C112,"")</f>
        <v/>
      </c>
      <c r="D112" t="str">
        <f>IF('[1]Processer - data'!D112&lt;&gt;"",'[1]Processer - data'!D112,"")</f>
        <v>Køer</v>
      </c>
      <c r="E112" t="str">
        <f>IF('[1]Processer - data'!E112&lt;&gt;"",'[1]Processer - data'!E112,"")</f>
        <v>Antal</v>
      </c>
      <c r="F112" t="str">
        <f>IF('[1]Processer - data'!F112&lt;&gt;"",'[1]Processer - data'!F112,"")</f>
        <v>Råmælk</v>
      </c>
      <c r="G112" t="str">
        <f>IF('[1]Processer - data'!G112&lt;&gt;"",'[1]Processer - data'!G112,"")</f>
        <v>Ton</v>
      </c>
      <c r="H112" s="297">
        <f>IF($A112&lt;&gt;"",IF(VLOOKUP($A112,[1]!Table1[#All],2,FALSE)="Direkte input",IF($A112&lt;&gt;"Grøntsager i drivhus",SUMIFS('Direkte input'!G$3:G$230,'Direkte input'!$F$3:$F$230,$D112,'Direkte input'!$C$3:$C$230,$B112,'Direkte input'!$D$3:$D$230,$C112,'Direkte input'!$A$3:$A$230,$A$1),SUMIFS('Direkte input'!G$3:G$230,'Direkte input'!$F$3:$F$230,$D112,'Direkte input'!$C$3:$C$230,$B112,'Direkte input'!$A$3:$A$230,$A$1)),IF(VLOOKUP($A112,[1]!Table1[#All],2,FALSE)="Resultat",SUMIF($F$1:$F111,$D112,H$1:H111)+SUMIF($F113:$F$512,$D112,H113:H$512),0))*'[1]Processer - data'!H112,"")*IF($C112&lt;&gt;"",IF($F112="Halm",Landbrug!C$16*Landbrug!C$17,IF(LEFT($D112,5)="Areal", IF($G112="Ton",Landbrug!C$18,1),1)),1)*IF($F112="Grøntsager",IF($A112="Grøntsager i drivhus",Landbrug!C$51,1-Landbrug!C$51),1)</f>
        <v>311447.09427315003</v>
      </c>
      <c r="I112" s="298">
        <f>IF($A112&lt;&gt;"",IF(VLOOKUP($A112,[1]!Table1[#All],2,FALSE)="Direkte input",IF($A112&lt;&gt;"Grøntsager i drivhus",SUMIFS('Direkte input'!H$3:H$230,'Direkte input'!$F$3:$F$230,$D112,'Direkte input'!$C$3:$C$230,$B112,'Direkte input'!$D$3:$D$230,$C112,'Direkte input'!$A$3:$A$230,$A$1),SUMIFS('Direkte input'!H$3:H$230,'Direkte input'!$F$3:$F$230,$D112,'Direkte input'!$C$3:$C$230,$B112,'Direkte input'!$A$3:$A$230,$A$1)),IF(VLOOKUP($A112,[1]!Table1[#All],2,FALSE)="Resultat",SUMIF($F$1:$F111,$D112,I$1:I111)+SUMIF($F113:$F$512,$D112,I113:I$512),0))*'[1]Processer - data'!I112,"")*IF($C112&lt;&gt;"",IF($F112="Halm",Landbrug!D$16*Landbrug!D$17,IF(LEFT($D112,5)="Areal", IF($G112="Ton",Landbrug!D$18,1),1)),1)*IF($F112="Grøntsager",IF($A112="Grøntsager i drivhus",Landbrug!D$51,1-Landbrug!D$51),1)</f>
        <v>371401.04267443361</v>
      </c>
      <c r="J112" s="299">
        <f>IF($A112&lt;&gt;"",IF(VLOOKUP($A112,[1]!Table1[#All],2,FALSE)="Direkte input",IF($A112&lt;&gt;"Grøntsager i drivhus",SUMIFS('Direkte input'!I$3:I$230,'Direkte input'!$F$3:$F$230,$D112,'Direkte input'!$C$3:$C$230,$B112,'Direkte input'!$D$3:$D$230,$C112,'Direkte input'!$A$3:$A$230,$A$1),SUMIFS('Direkte input'!I$3:I$230,'Direkte input'!$F$3:$F$230,$D112,'Direkte input'!$C$3:$C$230,$B112,'Direkte input'!$A$3:$A$230,$A$1)),IF(VLOOKUP($A112,[1]!Table1[#All],2,FALSE)="Resultat",SUMIF($F$1:$F111,$D112,J$1:J111)+SUMIF($F113:$F$512,$D112,J113:J$512),0))*'[1]Processer - data'!J112,"")*IF($C112&lt;&gt;"",IF($F112="Halm",Landbrug!E$16*Landbrug!E$17,IF(LEFT($D112,5)="Areal", IF($G112="Ton",Landbrug!E$18,1),1)),1)*IF($F112="Grøntsager",IF($A112="Grøntsager i drivhus",Landbrug!E$51,1-Landbrug!E$51),1)</f>
        <v>353457.70134583977</v>
      </c>
    </row>
    <row r="113" spans="1:10" x14ac:dyDescent="0.25">
      <c r="A113" t="str">
        <f>IF('[1]Processer - data'!A113&lt;&gt;"",'[1]Processer - data'!A113,"")</f>
        <v>Kostald</v>
      </c>
      <c r="B113" t="str">
        <f>IF('[1]Processer - data'!B113&lt;&gt;"",'[1]Processer - data'!B113,"")</f>
        <v>Konventionel</v>
      </c>
      <c r="C113" t="str">
        <f>IF('[1]Processer - data'!C113&lt;&gt;"",'[1]Processer - data'!C113,"")</f>
        <v/>
      </c>
      <c r="D113" t="str">
        <f>IF('[1]Processer - data'!D113&lt;&gt;"",'[1]Processer - data'!D113,"")</f>
        <v>Køer</v>
      </c>
      <c r="E113" t="str">
        <f>IF('[1]Processer - data'!E113&lt;&gt;"",'[1]Processer - data'!E113,"")</f>
        <v>Antal</v>
      </c>
      <c r="F113" t="str">
        <f>IF('[1]Processer - data'!F113&lt;&gt;"",'[1]Processer - data'!F113,"")</f>
        <v>Industriaffald</v>
      </c>
      <c r="G113" t="str">
        <f>IF('[1]Processer - data'!G113&lt;&gt;"",'[1]Processer - data'!G113,"")</f>
        <v>Ton</v>
      </c>
      <c r="H113" s="297">
        <f>IF($A113&lt;&gt;"",IF(VLOOKUP($A113,[1]!Table1[#All],2,FALSE)="Direkte input",IF($A113&lt;&gt;"Grøntsager i drivhus",SUMIFS('Direkte input'!G$3:G$230,'Direkte input'!$F$3:$F$230,$D113,'Direkte input'!$C$3:$C$230,$B113,'Direkte input'!$D$3:$D$230,$C113,'Direkte input'!$A$3:$A$230,$A$1),SUMIFS('Direkte input'!G$3:G$230,'Direkte input'!$F$3:$F$230,$D113,'Direkte input'!$C$3:$C$230,$B113,'Direkte input'!$A$3:$A$230,$A$1)),IF(VLOOKUP($A113,[1]!Table1[#All],2,FALSE)="Resultat",SUMIF($F$1:$F112,$D113,H$1:H112)+SUMIF($F114:$F$512,$D113,H114:H$512),0))*'[1]Processer - data'!H113,"")*IF($C113&lt;&gt;"",IF($F113="Halm",Landbrug!C$16*Landbrug!C$17,IF(LEFT($D113,5)="Areal", IF($G113="Ton",Landbrug!C$18,1),1)),1)*IF($F113="Grøntsager",IF($A113="Grøntsager i drivhus",Landbrug!C$51,1-Landbrug!C$51),1)</f>
        <v>3548.0077474534546</v>
      </c>
      <c r="I113" s="298">
        <f>IF($A113&lt;&gt;"",IF(VLOOKUP($A113,[1]!Table1[#All],2,FALSE)="Direkte input",IF($A113&lt;&gt;"Grøntsager i drivhus",SUMIFS('Direkte input'!H$3:H$230,'Direkte input'!$F$3:$F$230,$D113,'Direkte input'!$C$3:$C$230,$B113,'Direkte input'!$D$3:$D$230,$C113,'Direkte input'!$A$3:$A$230,$A$1),SUMIFS('Direkte input'!H$3:H$230,'Direkte input'!$F$3:$F$230,$D113,'Direkte input'!$C$3:$C$230,$B113,'Direkte input'!$A$3:$A$230,$A$1)),IF(VLOOKUP($A113,[1]!Table1[#All],2,FALSE)="Resultat",SUMIF($F$1:$F112,$D113,I$1:I112)+SUMIF($F114:$F$512,$D113,I114:I$512),0))*'[1]Processer - data'!I113,"")*IF($C113&lt;&gt;"",IF($F113="Halm",Landbrug!D$16*Landbrug!D$17,IF(LEFT($D113,5)="Areal", IF($G113="Ton",Landbrug!D$18,1),1)),1)*IF($F113="Grøntsager",IF($A113="Grøntsager i drivhus",Landbrug!D$51,1-Landbrug!D$51),1)</f>
        <v>4231.0035991714303</v>
      </c>
      <c r="J113" s="299">
        <f>IF($A113&lt;&gt;"",IF(VLOOKUP($A113,[1]!Table1[#All],2,FALSE)="Direkte input",IF($A113&lt;&gt;"Grøntsager i drivhus",SUMIFS('Direkte input'!I$3:I$230,'Direkte input'!$F$3:$F$230,$D113,'Direkte input'!$C$3:$C$230,$B113,'Direkte input'!$D$3:$D$230,$C113,'Direkte input'!$A$3:$A$230,$A$1),SUMIFS('Direkte input'!I$3:I$230,'Direkte input'!$F$3:$F$230,$D113,'Direkte input'!$C$3:$C$230,$B113,'Direkte input'!$A$3:$A$230,$A$1)),IF(VLOOKUP($A113,[1]!Table1[#All],2,FALSE)="Resultat",SUMIF($F$1:$F112,$D113,J$1:J112)+SUMIF($F114:$F$512,$D113,J114:J$512),0))*'[1]Processer - data'!J113,"")*IF($C113&lt;&gt;"",IF($F113="Halm",Landbrug!E$16*Landbrug!E$17,IF(LEFT($D113,5)="Areal", IF($G113="Ton",Landbrug!E$18,1),1)),1)*IF($F113="Grøntsager",IF($A113="Grøntsager i drivhus",Landbrug!E$51,1-Landbrug!E$51),1)</f>
        <v>4026.5929136338805</v>
      </c>
    </row>
    <row r="114" spans="1:10" x14ac:dyDescent="0.25">
      <c r="A114" t="str">
        <f>IF('[1]Processer - data'!A114&lt;&gt;"",'[1]Processer - data'!A114,"")</f>
        <v>Kostald</v>
      </c>
      <c r="B114" t="str">
        <f>IF('[1]Processer - data'!B114&lt;&gt;"",'[1]Processer - data'!B114,"")</f>
        <v>Konventionel</v>
      </c>
      <c r="C114" t="str">
        <f>IF('[1]Processer - data'!C114&lt;&gt;"",'[1]Processer - data'!C114,"")</f>
        <v/>
      </c>
      <c r="D114" t="str">
        <f>IF('[1]Processer - data'!D114&lt;&gt;"",'[1]Processer - data'!D114,"")</f>
        <v>Køer</v>
      </c>
      <c r="E114" t="str">
        <f>IF('[1]Processer - data'!E114&lt;&gt;"",'[1]Processer - data'!E114,"")</f>
        <v>Antal</v>
      </c>
      <c r="F114" t="str">
        <f>IF('[1]Processer - data'!F114&lt;&gt;"",'[1]Processer - data'!F114,"")</f>
        <v>Foder</v>
      </c>
      <c r="G114" t="str">
        <f>IF('[1]Processer - data'!G114&lt;&gt;"",'[1]Processer - data'!G114,"")</f>
        <v>FE</v>
      </c>
      <c r="H114" s="297">
        <f>IF($A114&lt;&gt;"",IF(VLOOKUP($A114,[1]!Table1[#All],2,FALSE)="Direkte input",IF($A114&lt;&gt;"Grøntsager i drivhus",SUMIFS('Direkte input'!G$3:G$230,'Direkte input'!$F$3:$F$230,$D114,'Direkte input'!$C$3:$C$230,$B114,'Direkte input'!$D$3:$D$230,$C114,'Direkte input'!$A$3:$A$230,$A$1),SUMIFS('Direkte input'!G$3:G$230,'Direkte input'!$F$3:$F$230,$D114,'Direkte input'!$C$3:$C$230,$B114,'Direkte input'!$A$3:$A$230,$A$1)),IF(VLOOKUP($A114,[1]!Table1[#All],2,FALSE)="Resultat",SUMIF($F$1:$F113,$D114,H$1:H113)+SUMIF($F115:$F$512,$D114,H115:H$512),0))*'[1]Processer - data'!H114,"")*IF($C114&lt;&gt;"",IF($F114="Halm",Landbrug!C$16*Landbrug!C$17,IF(LEFT($D114,5)="Areal", IF($G114="Ton",Landbrug!C$18,1),1)),1)*IF($F114="Grøntsager",IF($A114="Grøntsager i drivhus",Landbrug!C$51,1-Landbrug!C$51),1)</f>
        <v>-215867190</v>
      </c>
      <c r="I114" s="298">
        <f>IF($A114&lt;&gt;"",IF(VLOOKUP($A114,[1]!Table1[#All],2,FALSE)="Direkte input",IF($A114&lt;&gt;"Grøntsager i drivhus",SUMIFS('Direkte input'!H$3:H$230,'Direkte input'!$F$3:$F$230,$D114,'Direkte input'!$C$3:$C$230,$B114,'Direkte input'!$D$3:$D$230,$C114,'Direkte input'!$A$3:$A$230,$A$1),SUMIFS('Direkte input'!H$3:H$230,'Direkte input'!$F$3:$F$230,$D114,'Direkte input'!$C$3:$C$230,$B114,'Direkte input'!$A$3:$A$230,$A$1)),IF(VLOOKUP($A114,[1]!Table1[#All],2,FALSE)="Resultat",SUMIF($F$1:$F113,$D114,I$1:I113)+SUMIF($F115:$F$512,$D114,I115:I$512),0))*'[1]Processer - data'!I114,"")*IF($C114&lt;&gt;"",IF($F114="Halm",Landbrug!D$16*Landbrug!D$17,IF(LEFT($D114,5)="Areal", IF($G114="Ton",Landbrug!D$18,1),1)),1)*IF($F114="Grøntsager",IF($A114="Grøntsager i drivhus",Landbrug!D$51,1-Landbrug!D$51),1)</f>
        <v>-257421889.36553466</v>
      </c>
      <c r="J114" s="299">
        <f>IF($A114&lt;&gt;"",IF(VLOOKUP($A114,[1]!Table1[#All],2,FALSE)="Direkte input",IF($A114&lt;&gt;"Grøntsager i drivhus",SUMIFS('Direkte input'!I$3:I$230,'Direkte input'!$F$3:$F$230,$D114,'Direkte input'!$C$3:$C$230,$B114,'Direkte input'!$D$3:$D$230,$C114,'Direkte input'!$A$3:$A$230,$A$1),SUMIFS('Direkte input'!I$3:I$230,'Direkte input'!$F$3:$F$230,$D114,'Direkte input'!$C$3:$C$230,$B114,'Direkte input'!$A$3:$A$230,$A$1)),IF(VLOOKUP($A114,[1]!Table1[#All],2,FALSE)="Resultat",SUMIF($F$1:$F113,$D114,J$1:J113)+SUMIF($F115:$F$512,$D114,J115:J$512),0))*'[1]Processer - data'!J114,"")*IF($C114&lt;&gt;"",IF($F114="Halm",Landbrug!E$16*Landbrug!E$17,IF(LEFT($D114,5)="Areal", IF($G114="Ton",Landbrug!E$18,1),1)),1)*IF($F114="Grøntsager",IF($A114="Grøntsager i drivhus",Landbrug!E$51,1-Landbrug!E$51),1)</f>
        <v>-244985174.61353469</v>
      </c>
    </row>
    <row r="115" spans="1:10" x14ac:dyDescent="0.25">
      <c r="A115" t="str">
        <f>IF('[1]Processer - data'!A115&lt;&gt;"",'[1]Processer - data'!A115,"")</f>
        <v>Kostald</v>
      </c>
      <c r="B115" t="str">
        <f>IF('[1]Processer - data'!B115&lt;&gt;"",'[1]Processer - data'!B115,"")</f>
        <v>Konventionel</v>
      </c>
      <c r="C115" t="str">
        <f>IF('[1]Processer - data'!C115&lt;&gt;"",'[1]Processer - data'!C115,"")</f>
        <v/>
      </c>
      <c r="D115" t="str">
        <f>IF('[1]Processer - data'!D115&lt;&gt;"",'[1]Processer - data'!D115,"")</f>
        <v>Køer</v>
      </c>
      <c r="E115" t="str">
        <f>IF('[1]Processer - data'!E115&lt;&gt;"",'[1]Processer - data'!E115,"")</f>
        <v>Antal</v>
      </c>
      <c r="F115" t="str">
        <f>IF('[1]Processer - data'!F115&lt;&gt;"",'[1]Processer - data'!F115,"")</f>
        <v>Halm</v>
      </c>
      <c r="G115" t="str">
        <f>IF('[1]Processer - data'!G115&lt;&gt;"",'[1]Processer - data'!G115,"")</f>
        <v>Ton</v>
      </c>
      <c r="H115" s="297">
        <f>IF($A115&lt;&gt;"",IF(VLOOKUP($A115,[1]!Table1[#All],2,FALSE)="Direkte input",IF($A115&lt;&gt;"Grøntsager i drivhus",SUMIFS('Direkte input'!G$3:G$230,'Direkte input'!$F$3:$F$230,$D115,'Direkte input'!$C$3:$C$230,$B115,'Direkte input'!$D$3:$D$230,$C115,'Direkte input'!$A$3:$A$230,$A$1),SUMIFS('Direkte input'!G$3:G$230,'Direkte input'!$F$3:$F$230,$D115,'Direkte input'!$C$3:$C$230,$B115,'Direkte input'!$A$3:$A$230,$A$1)),IF(VLOOKUP($A115,[1]!Table1[#All],2,FALSE)="Resultat",SUMIF($F$1:$F114,$D115,H$1:H114)+SUMIF($F116:$F$512,$D115,H116:H$512),0))*'[1]Processer - data'!H115,"")*IF($C115&lt;&gt;"",IF($F115="Halm",Landbrug!C$16*Landbrug!C$17,IF(LEFT($D115,5)="Areal", IF($G115="Ton",Landbrug!C$18,1),1)),1)*IF($F115="Grøntsager",IF($A115="Grøntsager i drivhus",Landbrug!C$51,1-Landbrug!C$51),1)</f>
        <v>-902.88225</v>
      </c>
      <c r="I115" s="298">
        <f>IF($A115&lt;&gt;"",IF(VLOOKUP($A115,[1]!Table1[#All],2,FALSE)="Direkte input",IF($A115&lt;&gt;"Grøntsager i drivhus",SUMIFS('Direkte input'!H$3:H$230,'Direkte input'!$F$3:$F$230,$D115,'Direkte input'!$C$3:$C$230,$B115,'Direkte input'!$D$3:$D$230,$C115,'Direkte input'!$A$3:$A$230,$A$1),SUMIFS('Direkte input'!H$3:H$230,'Direkte input'!$F$3:$F$230,$D115,'Direkte input'!$C$3:$C$230,$B115,'Direkte input'!$A$3:$A$230,$A$1)),IF(VLOOKUP($A115,[1]!Table1[#All],2,FALSE)="Resultat",SUMIF($F$1:$F114,$D115,I$1:I114)+SUMIF($F116:$F$512,$D115,I116:I$512),0))*'[1]Processer - data'!I115,"")*IF($C115&lt;&gt;"",IF($F115="Halm",Landbrug!D$16*Landbrug!D$17,IF(LEFT($D115,5)="Areal", IF($G115="Ton",Landbrug!D$18,1),1)),1)*IF($F115="Grøntsager",IF($A115="Grøntsager i drivhus",Landbrug!D$51,1-Landbrug!D$51),1)</f>
        <v>-1076.6881927244478</v>
      </c>
      <c r="J115" s="299">
        <f>IF($A115&lt;&gt;"",IF(VLOOKUP($A115,[1]!Table1[#All],2,FALSE)="Direkte input",IF($A115&lt;&gt;"Grøntsager i drivhus",SUMIFS('Direkte input'!I$3:I$230,'Direkte input'!$F$3:$F$230,$D115,'Direkte input'!$C$3:$C$230,$B115,'Direkte input'!$D$3:$D$230,$C115,'Direkte input'!$A$3:$A$230,$A$1),SUMIFS('Direkte input'!I$3:I$230,'Direkte input'!$F$3:$F$230,$D115,'Direkte input'!$C$3:$C$230,$B115,'Direkte input'!$A$3:$A$230,$A$1)),IF(VLOOKUP($A115,[1]!Table1[#All],2,FALSE)="Resultat",SUMIF($F$1:$F114,$D115,J$1:J114)+SUMIF($F116:$F$512,$D115,J116:J$512),0))*'[1]Processer - data'!J115,"")*IF($C115&lt;&gt;"",IF($F115="Halm",Landbrug!E$16*Landbrug!E$17,IF(LEFT($D115,5)="Areal", IF($G115="Ton",Landbrug!E$18,1),1)),1)*IF($F115="Grøntsager",IF($A115="Grøntsager i drivhus",Landbrug!E$51,1-Landbrug!E$51),1)</f>
        <v>-1024.6706119244479</v>
      </c>
    </row>
    <row r="116" spans="1:10" x14ac:dyDescent="0.25">
      <c r="A116" t="str">
        <f>IF('[1]Processer - data'!A116&lt;&gt;"",'[1]Processer - data'!A116,"")</f>
        <v>Kostald</v>
      </c>
      <c r="B116" t="str">
        <f>IF('[1]Processer - data'!B116&lt;&gt;"",'[1]Processer - data'!B116,"")</f>
        <v>Konventionel</v>
      </c>
      <c r="C116" t="str">
        <f>IF('[1]Processer - data'!C116&lt;&gt;"",'[1]Processer - data'!C116,"")</f>
        <v/>
      </c>
      <c r="D116" t="str">
        <f>IF('[1]Processer - data'!D116&lt;&gt;"",'[1]Processer - data'!D116,"")</f>
        <v>Køer</v>
      </c>
      <c r="E116" t="str">
        <f>IF('[1]Processer - data'!E116&lt;&gt;"",'[1]Processer - data'!E116,"")</f>
        <v>Antal</v>
      </c>
      <c r="F116" t="str">
        <f>IF('[1]Processer - data'!F116&lt;&gt;"",'[1]Processer - data'!F116,"")</f>
        <v>CO2 - atmosfære</v>
      </c>
      <c r="G116" t="str">
        <f>IF('[1]Processer - data'!G116&lt;&gt;"",'[1]Processer - data'!G116,"")</f>
        <v>t CO2-ækvivalenter</v>
      </c>
      <c r="H116" s="297">
        <f>IF($A116&lt;&gt;"",IF(VLOOKUP($A116,[1]!Table1[#All],2,FALSE)="Direkte input",IF($A116&lt;&gt;"Grøntsager i drivhus",SUMIFS('Direkte input'!G$3:G$230,'Direkte input'!$F$3:$F$230,$D116,'Direkte input'!$C$3:$C$230,$B116,'Direkte input'!$D$3:$D$230,$C116,'Direkte input'!$A$3:$A$230,$A$1),SUMIFS('Direkte input'!G$3:G$230,'Direkte input'!$F$3:$F$230,$D116,'Direkte input'!$C$3:$C$230,$B116,'Direkte input'!$A$3:$A$230,$A$1)),IF(VLOOKUP($A116,[1]!Table1[#All],2,FALSE)="Resultat",SUMIF($F$1:$F115,$D116,H$1:H115)+SUMIF($F117:$F$512,$D116,H117:H$512),0))*'[1]Processer - data'!H116,"")*IF($C116&lt;&gt;"",IF($F116="Halm",Landbrug!C$16*Landbrug!C$17,IF(LEFT($D116,5)="Areal", IF($G116="Ton",Landbrug!C$18,1),1)),1)*IF($F116="Grøntsager",IF($A116="Grøntsager i drivhus",Landbrug!C$51,1-Landbrug!C$51),1)</f>
        <v>233489.30229120082</v>
      </c>
      <c r="I116" s="298">
        <f>IF($A116&lt;&gt;"",IF(VLOOKUP($A116,[1]!Table1[#All],2,FALSE)="Direkte input",IF($A116&lt;&gt;"Grøntsager i drivhus",SUMIFS('Direkte input'!H$3:H$230,'Direkte input'!$F$3:$F$230,$D116,'Direkte input'!$C$3:$C$230,$B116,'Direkte input'!$D$3:$D$230,$C116,'Direkte input'!$A$3:$A$230,$A$1),SUMIFS('Direkte input'!H$3:H$230,'Direkte input'!$F$3:$F$230,$D116,'Direkte input'!$C$3:$C$230,$B116,'Direkte input'!$A$3:$A$230,$A$1)),IF(VLOOKUP($A116,[1]!Table1[#All],2,FALSE)="Resultat",SUMIF($F$1:$F115,$D116,I$1:I115)+SUMIF($F117:$F$512,$D116,I117:I$512),0))*'[1]Processer - data'!I116,"")*IF($C116&lt;&gt;"",IF($F116="Halm",Landbrug!D$16*Landbrug!D$17,IF(LEFT($D116,5)="Areal", IF($G116="Ton",Landbrug!D$18,1),1)),1)*IF($F116="Grøntsager",IF($A116="Grøntsager i drivhus",Landbrug!D$51,1-Landbrug!D$51),1)</f>
        <v>278436.27992953156</v>
      </c>
      <c r="J116" s="299">
        <f>IF($A116&lt;&gt;"",IF(VLOOKUP($A116,[1]!Table1[#All],2,FALSE)="Direkte input",IF($A116&lt;&gt;"Grøntsager i drivhus",SUMIFS('Direkte input'!I$3:I$230,'Direkte input'!$F$3:$F$230,$D116,'Direkte input'!$C$3:$C$230,$B116,'Direkte input'!$D$3:$D$230,$C116,'Direkte input'!$A$3:$A$230,$A$1),SUMIFS('Direkte input'!I$3:I$230,'Direkte input'!$F$3:$F$230,$D116,'Direkte input'!$C$3:$C$230,$B116,'Direkte input'!$A$3:$A$230,$A$1)),IF(VLOOKUP($A116,[1]!Table1[#All],2,FALSE)="Resultat",SUMIF($F$1:$F115,$D116,J$1:J115)+SUMIF($F117:$F$512,$D116,J117:J$512),0))*'[1]Processer - data'!J116,"")*IF($C116&lt;&gt;"",IF($F116="Halm",Landbrug!E$16*Landbrug!E$17,IF(LEFT($D116,5)="Areal", IF($G116="Ton",Landbrug!E$18,1),1)),1)*IF($F116="Grøntsager",IF($A116="Grøntsager i drivhus",Landbrug!E$51,1-Landbrug!E$51),1)</f>
        <v>264984.30582341959</v>
      </c>
    </row>
    <row r="117" spans="1:10" x14ac:dyDescent="0.25">
      <c r="A117" t="str">
        <f>IF('[1]Processer - data'!A117&lt;&gt;"",'[1]Processer - data'!A117,"")</f>
        <v>Kostald</v>
      </c>
      <c r="B117" t="str">
        <f>IF('[1]Processer - data'!B117&lt;&gt;"",'[1]Processer - data'!B117,"")</f>
        <v>Økologisk</v>
      </c>
      <c r="C117" t="str">
        <f>IF('[1]Processer - data'!C117&lt;&gt;"",'[1]Processer - data'!C117,"")</f>
        <v/>
      </c>
      <c r="D117" t="str">
        <f>IF('[1]Processer - data'!D117&lt;&gt;"",'[1]Processer - data'!D117,"")</f>
        <v>Køer</v>
      </c>
      <c r="E117" t="str">
        <f>IF('[1]Processer - data'!E117&lt;&gt;"",'[1]Processer - data'!E117,"")</f>
        <v>Antal</v>
      </c>
      <c r="F117" t="str">
        <f>IF('[1]Processer - data'!F117&lt;&gt;"",'[1]Processer - data'!F117,"")</f>
        <v>Slagtekøer</v>
      </c>
      <c r="G117" t="str">
        <f>IF('[1]Processer - data'!G117&lt;&gt;"",'[1]Processer - data'!G117,"")</f>
        <v>Antal</v>
      </c>
      <c r="H117" s="297">
        <f>IF($A117&lt;&gt;"",IF(VLOOKUP($A117,[1]!Table1[#All],2,FALSE)="Direkte input",IF($A117&lt;&gt;"Grøntsager i drivhus",SUMIFS('Direkte input'!G$3:G$230,'Direkte input'!$F$3:$F$230,$D117,'Direkte input'!$C$3:$C$230,$B117,'Direkte input'!$D$3:$D$230,$C117,'Direkte input'!$A$3:$A$230,$A$1),SUMIFS('Direkte input'!G$3:G$230,'Direkte input'!$F$3:$F$230,$D117,'Direkte input'!$C$3:$C$230,$B117,'Direkte input'!$A$3:$A$230,$A$1)),IF(VLOOKUP($A117,[1]!Table1[#All],2,FALSE)="Resultat",SUMIF($F$1:$F116,$D117,H$1:H116)+SUMIF($F118:$F$512,$D117,H118:H$512),0))*'[1]Processer - data'!H117,"")*IF($C117&lt;&gt;"",IF($F117="Halm",Landbrug!C$16*Landbrug!C$17,IF(LEFT($D117,5)="Areal", IF($G117="Ton",Landbrug!C$18,1),1)),1)*IF($F117="Grøntsager",IF($A117="Grøntsager i drivhus",Landbrug!C$51,1-Landbrug!C$51),1)</f>
        <v>1722.3429671759945</v>
      </c>
      <c r="I117" s="298">
        <f>IF($A117&lt;&gt;"",IF(VLOOKUP($A117,[1]!Table1[#All],2,FALSE)="Direkte input",IF($A117&lt;&gt;"Grøntsager i drivhus",SUMIFS('Direkte input'!H$3:H$230,'Direkte input'!$F$3:$F$230,$D117,'Direkte input'!$C$3:$C$230,$B117,'Direkte input'!$D$3:$D$230,$C117,'Direkte input'!$A$3:$A$230,$A$1),SUMIFS('Direkte input'!H$3:H$230,'Direkte input'!$F$3:$F$230,$D117,'Direkte input'!$C$3:$C$230,$B117,'Direkte input'!$A$3:$A$230,$A$1)),IF(VLOOKUP($A117,[1]!Table1[#All],2,FALSE)="Resultat",SUMIF($F$1:$F116,$D117,I$1:I116)+SUMIF($F118:$F$512,$D117,I118:I$512),0))*'[1]Processer - data'!I117,"")*IF($C117&lt;&gt;"",IF($F117="Halm",Landbrug!D$16*Landbrug!D$17,IF(LEFT($D117,5)="Areal", IF($G117="Ton",Landbrug!D$18,1),1)),1)*IF($F117="Grøntsager",IF($A117="Grøntsager i drivhus",Landbrug!D$51,1-Landbrug!D$51),1)</f>
        <v>2131.3028032395187</v>
      </c>
      <c r="J117" s="299">
        <f>IF($A117&lt;&gt;"",IF(VLOOKUP($A117,[1]!Table1[#All],2,FALSE)="Direkte input",IF($A117&lt;&gt;"Grøntsager i drivhus",SUMIFS('Direkte input'!I$3:I$230,'Direkte input'!$F$3:$F$230,$D117,'Direkte input'!$C$3:$C$230,$B117,'Direkte input'!$D$3:$D$230,$C117,'Direkte input'!$A$3:$A$230,$A$1),SUMIFS('Direkte input'!I$3:I$230,'Direkte input'!$F$3:$F$230,$D117,'Direkte input'!$C$3:$C$230,$B117,'Direkte input'!$A$3:$A$230,$A$1)),IF(VLOOKUP($A117,[1]!Table1[#All],2,FALSE)="Resultat",SUMIF($F$1:$F116,$D117,J$1:J116)+SUMIF($F118:$F$512,$D117,J118:J$512),0))*'[1]Processer - data'!J117,"")*IF($C117&lt;&gt;"",IF($F117="Halm",Landbrug!E$16*Landbrug!E$17,IF(LEFT($D117,5)="Areal", IF($G117="Ton",Landbrug!E$18,1),1)),1)*IF($F117="Grøntsager",IF($A117="Grøntsager i drivhus",Landbrug!E$51,1-Landbrug!E$51),1)</f>
        <v>2626.7868619340466</v>
      </c>
    </row>
    <row r="118" spans="1:10" x14ac:dyDescent="0.25">
      <c r="A118" t="str">
        <f>IF('[1]Processer - data'!A118&lt;&gt;"",'[1]Processer - data'!A118,"")</f>
        <v>Kostald</v>
      </c>
      <c r="B118" t="str">
        <f>IF('[1]Processer - data'!B118&lt;&gt;"",'[1]Processer - data'!B118,"")</f>
        <v>Økologisk</v>
      </c>
      <c r="C118" t="str">
        <f>IF('[1]Processer - data'!C118&lt;&gt;"",'[1]Processer - data'!C118,"")</f>
        <v/>
      </c>
      <c r="D118" t="str">
        <f>IF('[1]Processer - data'!D118&lt;&gt;"",'[1]Processer - data'!D118,"")</f>
        <v>Køer</v>
      </c>
      <c r="E118" t="str">
        <f>IF('[1]Processer - data'!E118&lt;&gt;"",'[1]Processer - data'!E118,"")</f>
        <v>Antal</v>
      </c>
      <c r="F118" t="str">
        <f>IF('[1]Processer - data'!F118&lt;&gt;"",'[1]Processer - data'!F118,"")</f>
        <v>Kvæggylle</v>
      </c>
      <c r="G118" t="str">
        <f>IF('[1]Processer - data'!G118&lt;&gt;"",'[1]Processer - data'!G118,"")</f>
        <v>Ton</v>
      </c>
      <c r="H118" s="297">
        <f>IF($A118&lt;&gt;"",IF(VLOOKUP($A118,[1]!Table1[#All],2,FALSE)="Direkte input",IF($A118&lt;&gt;"Grøntsager i drivhus",SUMIFS('Direkte input'!G$3:G$230,'Direkte input'!$F$3:$F$230,$D118,'Direkte input'!$C$3:$C$230,$B118,'Direkte input'!$D$3:$D$230,$C118,'Direkte input'!$A$3:$A$230,$A$1),SUMIFS('Direkte input'!G$3:G$230,'Direkte input'!$F$3:$F$230,$D118,'Direkte input'!$C$3:$C$230,$B118,'Direkte input'!$A$3:$A$230,$A$1)),IF(VLOOKUP($A118,[1]!Table1[#All],2,FALSE)="Resultat",SUMIF($F$1:$F117,$D118,H$1:H117)+SUMIF($F119:$F$512,$D118,H119:H$512),0))*'[1]Processer - data'!H118,"")*IF($C118&lt;&gt;"",IF($F118="Halm",Landbrug!C$16*Landbrug!C$17,IF(LEFT($D118,5)="Areal", IF($G118="Ton",Landbrug!C$18,1),1)),1)*IF($F118="Grøntsager",IF($A118="Grøntsager i drivhus",Landbrug!C$51,1-Landbrug!C$51),1)</f>
        <v>93072.7641877797</v>
      </c>
      <c r="I118" s="298">
        <f>IF($A118&lt;&gt;"",IF(VLOOKUP($A118,[1]!Table1[#All],2,FALSE)="Direkte input",IF($A118&lt;&gt;"Grøntsager i drivhus",SUMIFS('Direkte input'!H$3:H$230,'Direkte input'!$F$3:$F$230,$D118,'Direkte input'!$C$3:$C$230,$B118,'Direkte input'!$D$3:$D$230,$C118,'Direkte input'!$A$3:$A$230,$A$1),SUMIFS('Direkte input'!H$3:H$230,'Direkte input'!$F$3:$F$230,$D118,'Direkte input'!$C$3:$C$230,$B118,'Direkte input'!$A$3:$A$230,$A$1)),IF(VLOOKUP($A118,[1]!Table1[#All],2,FALSE)="Resultat",SUMIF($F$1:$F117,$D118,I$1:I117)+SUMIF($F119:$F$512,$D118,I119:I$512),0))*'[1]Processer - data'!I118,"")*IF($C118&lt;&gt;"",IF($F118="Halm",Landbrug!D$16*Landbrug!D$17,IF(LEFT($D118,5)="Areal", IF($G118="Ton",Landbrug!D$18,1),1)),1)*IF($F118="Grøntsager",IF($A118="Grøntsager i drivhus",Landbrug!D$51,1-Landbrug!D$51),1)</f>
        <v>115172.32455967399</v>
      </c>
      <c r="J118" s="299">
        <f>IF($A118&lt;&gt;"",IF(VLOOKUP($A118,[1]!Table1[#All],2,FALSE)="Direkte input",IF($A118&lt;&gt;"Grøntsager i drivhus",SUMIFS('Direkte input'!I$3:I$230,'Direkte input'!$F$3:$F$230,$D118,'Direkte input'!$C$3:$C$230,$B118,'Direkte input'!$D$3:$D$230,$C118,'Direkte input'!$A$3:$A$230,$A$1),SUMIFS('Direkte input'!I$3:I$230,'Direkte input'!$F$3:$F$230,$D118,'Direkte input'!$C$3:$C$230,$B118,'Direkte input'!$A$3:$A$230,$A$1)),IF(VLOOKUP($A118,[1]!Table1[#All],2,FALSE)="Resultat",SUMIF($F$1:$F117,$D118,J$1:J117)+SUMIF($F119:$F$512,$D118,J119:J$512),0))*'[1]Processer - data'!J118,"")*IF($C118&lt;&gt;"",IF($F118="Halm",Landbrug!E$16*Landbrug!E$17,IF(LEFT($D118,5)="Areal", IF($G118="Ton",Landbrug!E$18,1),1)),1)*IF($F118="Grøntsager",IF($A118="Grøntsager i drivhus",Landbrug!E$51,1-Landbrug!E$51),1)</f>
        <v>141947.52080835906</v>
      </c>
    </row>
    <row r="119" spans="1:10" x14ac:dyDescent="0.25">
      <c r="A119" t="str">
        <f>IF('[1]Processer - data'!A119&lt;&gt;"",'[1]Processer - data'!A119,"")</f>
        <v>Kostald</v>
      </c>
      <c r="B119" t="str">
        <f>IF('[1]Processer - data'!B119&lt;&gt;"",'[1]Processer - data'!B119,"")</f>
        <v>Økologisk</v>
      </c>
      <c r="C119" t="str">
        <f>IF('[1]Processer - data'!C119&lt;&gt;"",'[1]Processer - data'!C119,"")</f>
        <v/>
      </c>
      <c r="D119" t="str">
        <f>IF('[1]Processer - data'!D119&lt;&gt;"",'[1]Processer - data'!D119,"")</f>
        <v>Køer</v>
      </c>
      <c r="E119" t="str">
        <f>IF('[1]Processer - data'!E119&lt;&gt;"",'[1]Processer - data'!E119,"")</f>
        <v>Antal</v>
      </c>
      <c r="F119" t="str">
        <f>IF('[1]Processer - data'!F119&lt;&gt;"",'[1]Processer - data'!F119,"")</f>
        <v>Dybstrøelse</v>
      </c>
      <c r="G119" t="str">
        <f>IF('[1]Processer - data'!G119&lt;&gt;"",'[1]Processer - data'!G119,"")</f>
        <v>Ton</v>
      </c>
      <c r="H119" s="297">
        <f>IF($A119&lt;&gt;"",IF(VLOOKUP($A119,[1]!Table1[#All],2,FALSE)="Direkte input",IF($A119&lt;&gt;"Grøntsager i drivhus",SUMIFS('Direkte input'!G$3:G$230,'Direkte input'!$F$3:$F$230,$D119,'Direkte input'!$C$3:$C$230,$B119,'Direkte input'!$D$3:$D$230,$C119,'Direkte input'!$A$3:$A$230,$A$1),SUMIFS('Direkte input'!G$3:G$230,'Direkte input'!$F$3:$F$230,$D119,'Direkte input'!$C$3:$C$230,$B119,'Direkte input'!$A$3:$A$230,$A$1)),IF(VLOOKUP($A119,[1]!Table1[#All],2,FALSE)="Resultat",SUMIF($F$1:$F118,$D119,H$1:H118)+SUMIF($F120:$F$512,$D119,H120:H$512),0))*'[1]Processer - data'!H119,"")*IF($C119&lt;&gt;"",IF($F119="Halm",Landbrug!C$16*Landbrug!C$17,IF(LEFT($D119,5)="Areal", IF($G119="Ton",Landbrug!C$18,1),1)),1)*IF($F119="Grøntsager",IF($A119="Grøntsager i drivhus",Landbrug!C$51,1-Landbrug!C$51),1)</f>
        <v>768.42993920159756</v>
      </c>
      <c r="I119" s="298">
        <f>IF($A119&lt;&gt;"",IF(VLOOKUP($A119,[1]!Table1[#All],2,FALSE)="Direkte input",IF($A119&lt;&gt;"Grøntsager i drivhus",SUMIFS('Direkte input'!H$3:H$230,'Direkte input'!$F$3:$F$230,$D119,'Direkte input'!$C$3:$C$230,$B119,'Direkte input'!$D$3:$D$230,$C119,'Direkte input'!$A$3:$A$230,$A$1),SUMIFS('Direkte input'!H$3:H$230,'Direkte input'!$F$3:$F$230,$D119,'Direkte input'!$C$3:$C$230,$B119,'Direkte input'!$A$3:$A$230,$A$1)),IF(VLOOKUP($A119,[1]!Table1[#All],2,FALSE)="Resultat",SUMIF($F$1:$F118,$D119,I$1:I118)+SUMIF($F120:$F$512,$D119,I120:I$512),0))*'[1]Processer - data'!I119,"")*IF($C119&lt;&gt;"",IF($F119="Halm",Landbrug!D$16*Landbrug!D$17,IF(LEFT($D119,5)="Areal", IF($G119="Ton",Landbrug!D$18,1),1)),1)*IF($F119="Grøntsager",IF($A119="Grøntsager i drivhus",Landbrug!D$51,1-Landbrug!D$51),1)</f>
        <v>950.88894298378523</v>
      </c>
      <c r="J119" s="299">
        <f>IF($A119&lt;&gt;"",IF(VLOOKUP($A119,[1]!Table1[#All],2,FALSE)="Direkte input",IF($A119&lt;&gt;"Grøntsager i drivhus",SUMIFS('Direkte input'!I$3:I$230,'Direkte input'!$F$3:$F$230,$D119,'Direkte input'!$C$3:$C$230,$B119,'Direkte input'!$D$3:$D$230,$C119,'Direkte input'!$A$3:$A$230,$A$1),SUMIFS('Direkte input'!I$3:I$230,'Direkte input'!$F$3:$F$230,$D119,'Direkte input'!$C$3:$C$230,$B119,'Direkte input'!$A$3:$A$230,$A$1)),IF(VLOOKUP($A119,[1]!Table1[#All],2,FALSE)="Resultat",SUMIF($F$1:$F118,$D119,J$1:J118)+SUMIF($F120:$F$512,$D119,J120:J$512),0))*'[1]Processer - data'!J119,"")*IF($C119&lt;&gt;"",IF($F119="Halm",Landbrug!E$16*Landbrug!E$17,IF(LEFT($D119,5)="Areal", IF($G119="Ton",Landbrug!E$18,1),1)),1)*IF($F119="Grøntsager",IF($A119="Grøntsager i drivhus",Landbrug!E$51,1-Landbrug!E$51),1)</f>
        <v>1171.9510614782669</v>
      </c>
    </row>
    <row r="120" spans="1:10" x14ac:dyDescent="0.25">
      <c r="A120" t="str">
        <f>IF('[1]Processer - data'!A120&lt;&gt;"",'[1]Processer - data'!A120,"")</f>
        <v>Kostald</v>
      </c>
      <c r="B120" t="str">
        <f>IF('[1]Processer - data'!B120&lt;&gt;"",'[1]Processer - data'!B120,"")</f>
        <v>Økologisk</v>
      </c>
      <c r="C120" t="str">
        <f>IF('[1]Processer - data'!C120&lt;&gt;"",'[1]Processer - data'!C120,"")</f>
        <v/>
      </c>
      <c r="D120" t="str">
        <f>IF('[1]Processer - data'!D120&lt;&gt;"",'[1]Processer - data'!D120,"")</f>
        <v>Køer</v>
      </c>
      <c r="E120" t="str">
        <f>IF('[1]Processer - data'!E120&lt;&gt;"",'[1]Processer - data'!E120,"")</f>
        <v>Antal</v>
      </c>
      <c r="F120" t="str">
        <f>IF('[1]Processer - data'!F120&lt;&gt;"",'[1]Processer - data'!F120,"")</f>
        <v>Råmælk</v>
      </c>
      <c r="G120" t="str">
        <f>IF('[1]Processer - data'!G120&lt;&gt;"",'[1]Processer - data'!G120,"")</f>
        <v>Ton</v>
      </c>
      <c r="H120" s="297">
        <f>IF($A120&lt;&gt;"",IF(VLOOKUP($A120,[1]!Table1[#All],2,FALSE)="Direkte input",IF($A120&lt;&gt;"Grøntsager i drivhus",SUMIFS('Direkte input'!G$3:G$230,'Direkte input'!$F$3:$F$230,$D120,'Direkte input'!$C$3:$C$230,$B120,'Direkte input'!$D$3:$D$230,$C120,'Direkte input'!$A$3:$A$230,$A$1),SUMIFS('Direkte input'!G$3:G$230,'Direkte input'!$F$3:$F$230,$D120,'Direkte input'!$C$3:$C$230,$B120,'Direkte input'!$A$3:$A$230,$A$1)),IF(VLOOKUP($A120,[1]!Table1[#All],2,FALSE)="Resultat",SUMIF($F$1:$F119,$D120,H$1:H119)+SUMIF($F121:$F$512,$D120,H121:H$512),0))*'[1]Processer - data'!H120,"")*IF($C120&lt;&gt;"",IF($F120="Halm",Landbrug!C$16*Landbrug!C$17,IF(LEFT($D120,5)="Areal", IF($G120="Ton",Landbrug!C$18,1),1)),1)*IF($F120="Grøntsager",IF($A120="Grøntsager i drivhus",Landbrug!C$51,1-Landbrug!C$51),1)</f>
        <v>35550.925348119883</v>
      </c>
      <c r="I120" s="298">
        <f>IF($A120&lt;&gt;"",IF(VLOOKUP($A120,[1]!Table1[#All],2,FALSE)="Direkte input",IF($A120&lt;&gt;"Grøntsager i drivhus",SUMIFS('Direkte input'!H$3:H$230,'Direkte input'!$F$3:$F$230,$D120,'Direkte input'!$C$3:$C$230,$B120,'Direkte input'!$D$3:$D$230,$C120,'Direkte input'!$A$3:$A$230,$A$1),SUMIFS('Direkte input'!H$3:H$230,'Direkte input'!$F$3:$F$230,$D120,'Direkte input'!$C$3:$C$230,$B120,'Direkte input'!$A$3:$A$230,$A$1)),IF(VLOOKUP($A120,[1]!Table1[#All],2,FALSE)="Resultat",SUMIF($F$1:$F119,$D120,I$1:I119)+SUMIF($F121:$F$512,$D120,I121:I$512),0))*'[1]Processer - data'!I120,"")*IF($C120&lt;&gt;"",IF($F120="Halm",Landbrug!D$16*Landbrug!D$17,IF(LEFT($D120,5)="Areal", IF($G120="Ton",Landbrug!D$18,1),1)),1)*IF($F120="Grøntsager",IF($A120="Grøntsager i drivhus",Landbrug!D$51,1-Landbrug!D$51),1)</f>
        <v>43992.275810456726</v>
      </c>
      <c r="J120" s="299">
        <f>IF($A120&lt;&gt;"",IF(VLOOKUP($A120,[1]!Table1[#All],2,FALSE)="Direkte input",IF($A120&lt;&gt;"Grøntsager i drivhus",SUMIFS('Direkte input'!I$3:I$230,'Direkte input'!$F$3:$F$230,$D120,'Direkte input'!$C$3:$C$230,$B120,'Direkte input'!$D$3:$D$230,$C120,'Direkte input'!$A$3:$A$230,$A$1),SUMIFS('Direkte input'!I$3:I$230,'Direkte input'!$F$3:$F$230,$D120,'Direkte input'!$C$3:$C$230,$B120,'Direkte input'!$A$3:$A$230,$A$1)),IF(VLOOKUP($A120,[1]!Table1[#All],2,FALSE)="Resultat",SUMIF($F$1:$F119,$D120,J$1:J119)+SUMIF($F121:$F$512,$D120,J121:J$512),0))*'[1]Processer - data'!J120,"")*IF($C120&lt;&gt;"",IF($F120="Halm",Landbrug!E$16*Landbrug!E$17,IF(LEFT($D120,5)="Areal", IF($G120="Ton",Landbrug!E$18,1),1)),1)*IF($F120="Grøntsager",IF($A120="Grøntsager i drivhus",Landbrug!E$51,1-Landbrug!E$51),1)</f>
        <v>54219.574970689922</v>
      </c>
    </row>
    <row r="121" spans="1:10" x14ac:dyDescent="0.25">
      <c r="A121" t="str">
        <f>IF('[1]Processer - data'!A121&lt;&gt;"",'[1]Processer - data'!A121,"")</f>
        <v>Kostald</v>
      </c>
      <c r="B121" t="str">
        <f>IF('[1]Processer - data'!B121&lt;&gt;"",'[1]Processer - data'!B121,"")</f>
        <v>Økologisk</v>
      </c>
      <c r="C121" t="str">
        <f>IF('[1]Processer - data'!C121&lt;&gt;"",'[1]Processer - data'!C121,"")</f>
        <v/>
      </c>
      <c r="D121" t="str">
        <f>IF('[1]Processer - data'!D121&lt;&gt;"",'[1]Processer - data'!D121,"")</f>
        <v>Køer</v>
      </c>
      <c r="E121" t="str">
        <f>IF('[1]Processer - data'!E121&lt;&gt;"",'[1]Processer - data'!E121,"")</f>
        <v>Antal</v>
      </c>
      <c r="F121" t="str">
        <f>IF('[1]Processer - data'!F121&lt;&gt;"",'[1]Processer - data'!F121,"")</f>
        <v>Industriaffald</v>
      </c>
      <c r="G121" t="str">
        <f>IF('[1]Processer - data'!G121&lt;&gt;"",'[1]Processer - data'!G121,"")</f>
        <v>Ton</v>
      </c>
      <c r="H121" s="297">
        <f>IF($A121&lt;&gt;"",IF(VLOOKUP($A121,[1]!Table1[#All],2,FALSE)="Direkte input",IF($A121&lt;&gt;"Grøntsager i drivhus",SUMIFS('Direkte input'!G$3:G$230,'Direkte input'!$F$3:$F$230,$D121,'Direkte input'!$C$3:$C$230,$B121,'Direkte input'!$D$3:$D$230,$C121,'Direkte input'!$A$3:$A$230,$A$1),SUMIFS('Direkte input'!G$3:G$230,'Direkte input'!$F$3:$F$230,$D121,'Direkte input'!$C$3:$C$230,$B121,'Direkte input'!$A$3:$A$230,$A$1)),IF(VLOOKUP($A121,[1]!Table1[#All],2,FALSE)="Resultat",SUMIF($F$1:$F120,$D121,H$1:H120)+SUMIF($F122:$F$512,$D121,H122:H$512),0))*'[1]Processer - data'!H121,"")*IF($C121&lt;&gt;"",IF($F121="Halm",Landbrug!C$16*Landbrug!C$17,IF(LEFT($D121,5)="Areal", IF($G121="Ton",Landbrug!C$18,1),1)),1)*IF($F121="Grøntsager",IF($A121="Grøntsager i drivhus",Landbrug!C$51,1-Landbrug!C$51),1)</f>
        <v>710.54820124551452</v>
      </c>
      <c r="I121" s="298">
        <f>IF($A121&lt;&gt;"",IF(VLOOKUP($A121,[1]!Table1[#All],2,FALSE)="Direkte input",IF($A121&lt;&gt;"Grøntsager i drivhus",SUMIFS('Direkte input'!H$3:H$230,'Direkte input'!$F$3:$F$230,$D121,'Direkte input'!$C$3:$C$230,$B121,'Direkte input'!$D$3:$D$230,$C121,'Direkte input'!$A$3:$A$230,$A$1),SUMIFS('Direkte input'!H$3:H$230,'Direkte input'!$F$3:$F$230,$D121,'Direkte input'!$C$3:$C$230,$B121,'Direkte input'!$A$3:$A$230,$A$1)),IF(VLOOKUP($A121,[1]!Table1[#All],2,FALSE)="Resultat",SUMIF($F$1:$F120,$D121,I$1:I120)+SUMIF($F122:$F$512,$D121,I122:I$512),0))*'[1]Processer - data'!I121,"")*IF($C121&lt;&gt;"",IF($F121="Halm",Landbrug!D$16*Landbrug!D$17,IF(LEFT($D121,5)="Areal", IF($G121="Ton",Landbrug!D$18,1),1)),1)*IF($F121="Grøntsager",IF($A121="Grøntsager i drivhus",Landbrug!D$51,1-Landbrug!D$51),1)</f>
        <v>879.26353926733168</v>
      </c>
      <c r="J121" s="299">
        <f>IF($A121&lt;&gt;"",IF(VLOOKUP($A121,[1]!Table1[#All],2,FALSE)="Direkte input",IF($A121&lt;&gt;"Grøntsager i drivhus",SUMIFS('Direkte input'!I$3:I$230,'Direkte input'!$F$3:$F$230,$D121,'Direkte input'!$C$3:$C$230,$B121,'Direkte input'!$D$3:$D$230,$C121,'Direkte input'!$A$3:$A$230,$A$1),SUMIFS('Direkte input'!I$3:I$230,'Direkte input'!$F$3:$F$230,$D121,'Direkte input'!$C$3:$C$230,$B121,'Direkte input'!$A$3:$A$230,$A$1)),IF(VLOOKUP($A121,[1]!Table1[#All],2,FALSE)="Resultat",SUMIF($F$1:$F120,$D121,J$1:J120)+SUMIF($F122:$F$512,$D121,J122:J$512),0))*'[1]Processer - data'!J121,"")*IF($C121&lt;&gt;"",IF($F121="Halm",Landbrug!E$16*Landbrug!E$17,IF(LEFT($D121,5)="Areal", IF($G121="Ton",Landbrug!E$18,1),1)),1)*IF($F121="Grøntsager",IF($A121="Grøntsager i drivhus",Landbrug!E$51,1-Landbrug!E$51),1)</f>
        <v>1083.674224804882</v>
      </c>
    </row>
    <row r="122" spans="1:10" x14ac:dyDescent="0.25">
      <c r="A122" t="str">
        <f>IF('[1]Processer - data'!A122&lt;&gt;"",'[1]Processer - data'!A122,"")</f>
        <v>Kostald</v>
      </c>
      <c r="B122" t="str">
        <f>IF('[1]Processer - data'!B122&lt;&gt;"",'[1]Processer - data'!B122,"")</f>
        <v>Økologisk</v>
      </c>
      <c r="C122" t="str">
        <f>IF('[1]Processer - data'!C122&lt;&gt;"",'[1]Processer - data'!C122,"")</f>
        <v/>
      </c>
      <c r="D122" t="str">
        <f>IF('[1]Processer - data'!D122&lt;&gt;"",'[1]Processer - data'!D122,"")</f>
        <v>Køer</v>
      </c>
      <c r="E122" t="str">
        <f>IF('[1]Processer - data'!E122&lt;&gt;"",'[1]Processer - data'!E122,"")</f>
        <v>Antal</v>
      </c>
      <c r="F122" t="str">
        <f>IF('[1]Processer - data'!F122&lt;&gt;"",'[1]Processer - data'!F122,"")</f>
        <v>Foder</v>
      </c>
      <c r="G122" t="str">
        <f>IF('[1]Processer - data'!G122&lt;&gt;"",'[1]Processer - data'!G122,"")</f>
        <v>FE</v>
      </c>
      <c r="H122" s="297">
        <f>IF($A122&lt;&gt;"",IF(VLOOKUP($A122,[1]!Table1[#All],2,FALSE)="Direkte input",IF($A122&lt;&gt;"Grøntsager i drivhus",SUMIFS('Direkte input'!G$3:G$230,'Direkte input'!$F$3:$F$230,$D122,'Direkte input'!$C$3:$C$230,$B122,'Direkte input'!$D$3:$D$230,$C122,'Direkte input'!$A$3:$A$230,$A$1),SUMIFS('Direkte input'!G$3:G$230,'Direkte input'!$F$3:$F$230,$D122,'Direkte input'!$C$3:$C$230,$B122,'Direkte input'!$A$3:$A$230,$A$1)),IF(VLOOKUP($A122,[1]!Table1[#All],2,FALSE)="Resultat",SUMIF($F$1:$F121,$D122,H$1:H121)+SUMIF($F123:$F$512,$D122,H123:H$512),0))*'[1]Processer - data'!H122,"")*IF($C122&lt;&gt;"",IF($F122="Halm",Landbrug!C$16*Landbrug!C$17,IF(LEFT($D122,5)="Areal", IF($G122="Ton",Landbrug!C$18,1),1)),1)*IF($F122="Grøntsager",IF($A122="Grøntsager i drivhus",Landbrug!C$51,1-Landbrug!C$51),1)</f>
        <v>-43231034</v>
      </c>
      <c r="I122" s="298">
        <f>IF($A122&lt;&gt;"",IF(VLOOKUP($A122,[1]!Table1[#All],2,FALSE)="Direkte input",IF($A122&lt;&gt;"Grøntsager i drivhus",SUMIFS('Direkte input'!H$3:H$230,'Direkte input'!$F$3:$F$230,$D122,'Direkte input'!$C$3:$C$230,$B122,'Direkte input'!$D$3:$D$230,$C122,'Direkte input'!$A$3:$A$230,$A$1),SUMIFS('Direkte input'!H$3:H$230,'Direkte input'!$F$3:$F$230,$D122,'Direkte input'!$C$3:$C$230,$B122,'Direkte input'!$A$3:$A$230,$A$1)),IF(VLOOKUP($A122,[1]!Table1[#All],2,FALSE)="Resultat",SUMIF($F$1:$F121,$D122,I$1:I121)+SUMIF($F123:$F$512,$D122,I123:I$512),0))*'[1]Processer - data'!I122,"")*IF($C122&lt;&gt;"",IF($F122="Halm",Landbrug!D$16*Landbrug!D$17,IF(LEFT($D122,5)="Areal", IF($G122="Ton",Landbrug!D$18,1),1)),1)*IF($F122="Grøntsager",IF($A122="Grøntsager i drivhus",Landbrug!D$51,1-Landbrug!D$51),1)</f>
        <v>-53495979.434465297</v>
      </c>
      <c r="J122" s="299">
        <f>IF($A122&lt;&gt;"",IF(VLOOKUP($A122,[1]!Table1[#All],2,FALSE)="Direkte input",IF($A122&lt;&gt;"Grøntsager i drivhus",SUMIFS('Direkte input'!I$3:I$230,'Direkte input'!$F$3:$F$230,$D122,'Direkte input'!$C$3:$C$230,$B122,'Direkte input'!$D$3:$D$230,$C122,'Direkte input'!$A$3:$A$230,$A$1),SUMIFS('Direkte input'!I$3:I$230,'Direkte input'!$F$3:$F$230,$D122,'Direkte input'!$C$3:$C$230,$B122,'Direkte input'!$A$3:$A$230,$A$1)),IF(VLOOKUP($A122,[1]!Table1[#All],2,FALSE)="Resultat",SUMIF($F$1:$F121,$D122,J$1:J121)+SUMIF($F123:$F$512,$D122,J123:J$512),0))*'[1]Processer - data'!J122,"")*IF($C122&lt;&gt;"",IF($F122="Halm",Landbrug!E$16*Landbrug!E$17,IF(LEFT($D122,5)="Areal", IF($G122="Ton",Landbrug!E$18,1),1)),1)*IF($F122="Grøntsager",IF($A122="Grøntsager i drivhus",Landbrug!E$51,1-Landbrug!E$51),1)</f>
        <v>-65932694.186465286</v>
      </c>
    </row>
    <row r="123" spans="1:10" x14ac:dyDescent="0.25">
      <c r="A123" t="str">
        <f>IF('[1]Processer - data'!A123&lt;&gt;"",'[1]Processer - data'!A123,"")</f>
        <v>Kostald</v>
      </c>
      <c r="B123" t="str">
        <f>IF('[1]Processer - data'!B123&lt;&gt;"",'[1]Processer - data'!B123,"")</f>
        <v>Økologisk</v>
      </c>
      <c r="C123" t="str">
        <f>IF('[1]Processer - data'!C123&lt;&gt;"",'[1]Processer - data'!C123,"")</f>
        <v/>
      </c>
      <c r="D123" t="str">
        <f>IF('[1]Processer - data'!D123&lt;&gt;"",'[1]Processer - data'!D123,"")</f>
        <v>Køer</v>
      </c>
      <c r="E123" t="str">
        <f>IF('[1]Processer - data'!E123&lt;&gt;"",'[1]Processer - data'!E123,"")</f>
        <v>Antal</v>
      </c>
      <c r="F123" t="str">
        <f>IF('[1]Processer - data'!F123&lt;&gt;"",'[1]Processer - data'!F123,"")</f>
        <v>Halm</v>
      </c>
      <c r="G123" t="str">
        <f>IF('[1]Processer - data'!G123&lt;&gt;"",'[1]Processer - data'!G123,"")</f>
        <v>Ton</v>
      </c>
      <c r="H123" s="297">
        <f>IF($A123&lt;&gt;"",IF(VLOOKUP($A123,[1]!Table1[#All],2,FALSE)="Direkte input",IF($A123&lt;&gt;"Grøntsager i drivhus",SUMIFS('Direkte input'!G$3:G$230,'Direkte input'!$F$3:$F$230,$D123,'Direkte input'!$C$3:$C$230,$B123,'Direkte input'!$D$3:$D$230,$C123,'Direkte input'!$A$3:$A$230,$A$1),SUMIFS('Direkte input'!G$3:G$230,'Direkte input'!$F$3:$F$230,$D123,'Direkte input'!$C$3:$C$230,$B123,'Direkte input'!$A$3:$A$230,$A$1)),IF(VLOOKUP($A123,[1]!Table1[#All],2,FALSE)="Resultat",SUMIF($F$1:$F122,$D123,H$1:H122)+SUMIF($F124:$F$512,$D123,H124:H$512),0))*'[1]Processer - data'!H123,"")*IF($C123&lt;&gt;"",IF($F123="Halm",Landbrug!C$16*Landbrug!C$17,IF(LEFT($D123,5)="Areal", IF($G123="Ton",Landbrug!C$18,1),1)),1)*IF($F123="Grøntsager",IF($A123="Grøntsager i drivhus",Landbrug!C$51,1-Landbrug!C$51),1)</f>
        <v>-217.9716</v>
      </c>
      <c r="I123" s="298">
        <f>IF($A123&lt;&gt;"",IF(VLOOKUP($A123,[1]!Table1[#All],2,FALSE)="Direkte input",IF($A123&lt;&gt;"Grøntsager i drivhus",SUMIFS('Direkte input'!H$3:H$230,'Direkte input'!$F$3:$F$230,$D123,'Direkte input'!$C$3:$C$230,$B123,'Direkte input'!$D$3:$D$230,$C123,'Direkte input'!$A$3:$A$230,$A$1),SUMIFS('Direkte input'!H$3:H$230,'Direkte input'!$F$3:$F$230,$D123,'Direkte input'!$C$3:$C$230,$B123,'Direkte input'!$A$3:$A$230,$A$1)),IF(VLOOKUP($A123,[1]!Table1[#All],2,FALSE)="Resultat",SUMIF($F$1:$F122,$D123,I$1:I122)+SUMIF($F124:$F$512,$D123,I124:I$512),0))*'[1]Processer - data'!I123,"")*IF($C123&lt;&gt;"",IF($F123="Halm",Landbrug!D$16*Landbrug!D$17,IF(LEFT($D123,5)="Areal", IF($G123="Ton",Landbrug!D$18,1),1)),1)*IF($F123="Grøntsager",IF($A123="Grøntsager i drivhus",Landbrug!D$51,1-Landbrug!D$51),1)</f>
        <v>-269.72762740066537</v>
      </c>
      <c r="J123" s="299">
        <f>IF($A123&lt;&gt;"",IF(VLOOKUP($A123,[1]!Table1[#All],2,FALSE)="Direkte input",IF($A123&lt;&gt;"Grøntsager i drivhus",SUMIFS('Direkte input'!I$3:I$230,'Direkte input'!$F$3:$F$230,$D123,'Direkte input'!$C$3:$C$230,$B123,'Direkte input'!$D$3:$D$230,$C123,'Direkte input'!$A$3:$A$230,$A$1),SUMIFS('Direkte input'!I$3:I$230,'Direkte input'!$F$3:$F$230,$D123,'Direkte input'!$C$3:$C$230,$B123,'Direkte input'!$A$3:$A$230,$A$1)),IF(VLOOKUP($A123,[1]!Table1[#All],2,FALSE)="Resultat",SUMIF($F$1:$F122,$D123,J$1:J122)+SUMIF($F124:$F$512,$D123,J124:J$512),0))*'[1]Processer - data'!J123,"")*IF($C123&lt;&gt;"",IF($F123="Halm",Landbrug!E$16*Landbrug!E$17,IF(LEFT($D123,5)="Areal", IF($G123="Ton",Landbrug!E$18,1),1)),1)*IF($F123="Grøntsager",IF($A123="Grøntsager i drivhus",Landbrug!E$51,1-Landbrug!E$51),1)</f>
        <v>-332.43375220066531</v>
      </c>
    </row>
    <row r="124" spans="1:10" x14ac:dyDescent="0.25">
      <c r="A124" t="str">
        <f>IF('[1]Processer - data'!A124&lt;&gt;"",'[1]Processer - data'!A124,"")</f>
        <v>Kostald</v>
      </c>
      <c r="B124" t="str">
        <f>IF('[1]Processer - data'!B124&lt;&gt;"",'[1]Processer - data'!B124,"")</f>
        <v>Økologisk</v>
      </c>
      <c r="C124" t="str">
        <f>IF('[1]Processer - data'!C124&lt;&gt;"",'[1]Processer - data'!C124,"")</f>
        <v/>
      </c>
      <c r="D124" t="str">
        <f>IF('[1]Processer - data'!D124&lt;&gt;"",'[1]Processer - data'!D124,"")</f>
        <v>Køer</v>
      </c>
      <c r="E124" t="str">
        <f>IF('[1]Processer - data'!E124&lt;&gt;"",'[1]Processer - data'!E124,"")</f>
        <v>Antal</v>
      </c>
      <c r="F124" t="str">
        <f>IF('[1]Processer - data'!F124&lt;&gt;"",'[1]Processer - data'!F124,"")</f>
        <v>CO2 - atmosfære</v>
      </c>
      <c r="G124" t="str">
        <f>IF('[1]Processer - data'!G124&lt;&gt;"",'[1]Processer - data'!G124,"")</f>
        <v>t CO2-ækvivalenter</v>
      </c>
      <c r="H124" s="297">
        <f>IF($A124&lt;&gt;"",IF(VLOOKUP($A124,[1]!Table1[#All],2,FALSE)="Direkte input",IF($A124&lt;&gt;"Grøntsager i drivhus",SUMIFS('Direkte input'!G$3:G$230,'Direkte input'!$F$3:$F$230,$D124,'Direkte input'!$C$3:$C$230,$B124,'Direkte input'!$D$3:$D$230,$C124,'Direkte input'!$A$3:$A$230,$A$1),SUMIFS('Direkte input'!G$3:G$230,'Direkte input'!$F$3:$F$230,$D124,'Direkte input'!$C$3:$C$230,$B124,'Direkte input'!$A$3:$A$230,$A$1)),IF(VLOOKUP($A124,[1]!Table1[#All],2,FALSE)="Resultat",SUMIF($F$1:$F123,$D124,H$1:H123)+SUMIF($F125:$F$512,$D124,H125:H$512),0))*'[1]Processer - data'!H124,"")*IF($C124&lt;&gt;"",IF($F124="Halm",Landbrug!C$16*Landbrug!C$17,IF(LEFT($D124,5)="Areal", IF($G124="Ton",Landbrug!C$18,1),1)),1)*IF($F124="Grøntsager",IF($A124="Grøntsager i drivhus",Landbrug!C$51,1-Landbrug!C$51),1)</f>
        <v>39103.117544225825</v>
      </c>
      <c r="I124" s="298">
        <f>IF($A124&lt;&gt;"",IF(VLOOKUP($A124,[1]!Table1[#All],2,FALSE)="Direkte input",IF($A124&lt;&gt;"Grøntsager i drivhus",SUMIFS('Direkte input'!H$3:H$230,'Direkte input'!$F$3:$F$230,$D124,'Direkte input'!$C$3:$C$230,$B124,'Direkte input'!$D$3:$D$230,$C124,'Direkte input'!$A$3:$A$230,$A$1),SUMIFS('Direkte input'!H$3:H$230,'Direkte input'!$F$3:$F$230,$D124,'Direkte input'!$C$3:$C$230,$B124,'Direkte input'!$A$3:$A$230,$A$1)),IF(VLOOKUP($A124,[1]!Table1[#All],2,FALSE)="Resultat",SUMIF($F$1:$F123,$D124,I$1:I123)+SUMIF($F125:$F$512,$D124,I125:I$512),0))*'[1]Processer - data'!I124,"")*IF($C124&lt;&gt;"",IF($F124="Halm",Landbrug!D$16*Landbrug!D$17,IF(LEFT($D124,5)="Areal", IF($G124="Ton",Landbrug!D$18,1),1)),1)*IF($F124="Grøntsager",IF($A124="Grøntsager i drivhus",Landbrug!D$51,1-Landbrug!D$51),1)</f>
        <v>48387.914385054581</v>
      </c>
      <c r="J124" s="299">
        <f>IF($A124&lt;&gt;"",IF(VLOOKUP($A124,[1]!Table1[#All],2,FALSE)="Direkte input",IF($A124&lt;&gt;"Grøntsager i drivhus",SUMIFS('Direkte input'!I$3:I$230,'Direkte input'!$F$3:$F$230,$D124,'Direkte input'!$C$3:$C$230,$B124,'Direkte input'!$D$3:$D$230,$C124,'Direkte input'!$A$3:$A$230,$A$1),SUMIFS('Direkte input'!I$3:I$230,'Direkte input'!$F$3:$F$230,$D124,'Direkte input'!$C$3:$C$230,$B124,'Direkte input'!$A$3:$A$230,$A$1)),IF(VLOOKUP($A124,[1]!Table1[#All],2,FALSE)="Resultat",SUMIF($F$1:$F123,$D124,J$1:J123)+SUMIF($F125:$F$512,$D124,J125:J$512),0))*'[1]Processer - data'!J124,"")*IF($C124&lt;&gt;"",IF($F124="Halm",Landbrug!E$16*Landbrug!E$17,IF(LEFT($D124,5)="Areal", IF($G124="Ton",Landbrug!E$18,1),1)),1)*IF($F124="Grøntsager",IF($A124="Grøntsager i drivhus",Landbrug!E$51,1-Landbrug!E$51),1)</f>
        <v>59637.109091141487</v>
      </c>
    </row>
    <row r="125" spans="1:10" x14ac:dyDescent="0.25">
      <c r="A125" t="str">
        <f>IF('[1]Processer - data'!A125&lt;&gt;"",'[1]Processer - data'!A125,"")</f>
        <v>Fjerkræbrug</v>
      </c>
      <c r="B125" t="str">
        <f>IF('[1]Processer - data'!B125&lt;&gt;"",'[1]Processer - data'!B125,"")</f>
        <v>Konventionel</v>
      </c>
      <c r="C125" t="str">
        <f>IF('[1]Processer - data'!C125&lt;&gt;"",'[1]Processer - data'!C125,"")</f>
        <v/>
      </c>
      <c r="D125" t="str">
        <f>IF('[1]Processer - data'!D125&lt;&gt;"",'[1]Processer - data'!D125,"")</f>
        <v>Fjerkræ</v>
      </c>
      <c r="E125" t="str">
        <f>IF('[1]Processer - data'!E125&lt;&gt;"",'[1]Processer - data'!E125,"")</f>
        <v>Antal</v>
      </c>
      <c r="F125" t="str">
        <f>IF('[1]Processer - data'!F125&lt;&gt;"",'[1]Processer - data'!F125,"")</f>
        <v>Slagtefjerkræ</v>
      </c>
      <c r="G125" t="str">
        <f>IF('[1]Processer - data'!G125&lt;&gt;"",'[1]Processer - data'!G125,"")</f>
        <v>Antal</v>
      </c>
      <c r="H125" s="297">
        <f>IF($A125&lt;&gt;"",IF(VLOOKUP($A125,[1]!Table1[#All],2,FALSE)="Direkte input",IF($A125&lt;&gt;"Grøntsager i drivhus",SUMIFS('Direkte input'!G$3:G$230,'Direkte input'!$F$3:$F$230,$D125,'Direkte input'!$C$3:$C$230,$B125,'Direkte input'!$D$3:$D$230,$C125,'Direkte input'!$A$3:$A$230,$A$1),SUMIFS('Direkte input'!G$3:G$230,'Direkte input'!$F$3:$F$230,$D125,'Direkte input'!$C$3:$C$230,$B125,'Direkte input'!$A$3:$A$230,$A$1)),IF(VLOOKUP($A125,[1]!Table1[#All],2,FALSE)="Resultat",SUMIF($F$1:$F124,$D125,H$1:H124)+SUMIF($F126:$F$512,$D125,H126:H$512),0))*'[1]Processer - data'!H125,"")*IF($C125&lt;&gt;"",IF($F125="Halm",Landbrug!C$16*Landbrug!C$17,IF(LEFT($D125,5)="Areal", IF($G125="Ton",Landbrug!C$18,1),1)),1)*IF($F125="Grøntsager",IF($A125="Grøntsager i drivhus",Landbrug!C$51,1-Landbrug!C$51),1)</f>
        <v>8381070.1225531893</v>
      </c>
      <c r="I125" s="298">
        <f>IF($A125&lt;&gt;"",IF(VLOOKUP($A125,[1]!Table1[#All],2,FALSE)="Direkte input",IF($A125&lt;&gt;"Grøntsager i drivhus",SUMIFS('Direkte input'!H$3:H$230,'Direkte input'!$F$3:$F$230,$D125,'Direkte input'!$C$3:$C$230,$B125,'Direkte input'!$D$3:$D$230,$C125,'Direkte input'!$A$3:$A$230,$A$1),SUMIFS('Direkte input'!H$3:H$230,'Direkte input'!$F$3:$F$230,$D125,'Direkte input'!$C$3:$C$230,$B125,'Direkte input'!$A$3:$A$230,$A$1)),IF(VLOOKUP($A125,[1]!Table1[#All],2,FALSE)="Resultat",SUMIF($F$1:$F124,$D125,I$1:I124)+SUMIF($F126:$F$512,$D125,I126:I$512),0))*'[1]Processer - data'!I125,"")*IF($C125&lt;&gt;"",IF($F125="Halm",Landbrug!D$16*Landbrug!D$17,IF(LEFT($D125,5)="Areal", IF($G125="Ton",Landbrug!D$18,1),1)),1)*IF($F125="Grøntsager",IF($A125="Grøntsager i drivhus",Landbrug!D$51,1-Landbrug!D$51),1)</f>
        <v>9561616.4774268474</v>
      </c>
      <c r="J125" s="299">
        <f>IF($A125&lt;&gt;"",IF(VLOOKUP($A125,[1]!Table1[#All],2,FALSE)="Direkte input",IF($A125&lt;&gt;"Grøntsager i drivhus",SUMIFS('Direkte input'!I$3:I$230,'Direkte input'!$F$3:$F$230,$D125,'Direkte input'!$C$3:$C$230,$B125,'Direkte input'!$D$3:$D$230,$C125,'Direkte input'!$A$3:$A$230,$A$1),SUMIFS('Direkte input'!I$3:I$230,'Direkte input'!$F$3:$F$230,$D125,'Direkte input'!$C$3:$C$230,$B125,'Direkte input'!$A$3:$A$230,$A$1)),IF(VLOOKUP($A125,[1]!Table1[#All],2,FALSE)="Resultat",SUMIF($F$1:$F124,$D125,J$1:J124)+SUMIF($F126:$F$512,$D125,J126:J$512),0))*'[1]Processer - data'!J125,"")*IF($C125&lt;&gt;"",IF($F125="Halm",Landbrug!E$16*Landbrug!E$17,IF(LEFT($D125,5)="Areal", IF($G125="Ton",Landbrug!E$18,1),1)),1)*IF($F125="Grøntsager",IF($A125="Grøntsager i drivhus",Landbrug!E$51,1-Landbrug!E$51),1)</f>
        <v>9104257.2288292181</v>
      </c>
    </row>
    <row r="126" spans="1:10" x14ac:dyDescent="0.25">
      <c r="A126" t="str">
        <f>IF('[1]Processer - data'!A126&lt;&gt;"",'[1]Processer - data'!A126,"")</f>
        <v>Fjerkræbrug</v>
      </c>
      <c r="B126" t="str">
        <f>IF('[1]Processer - data'!B126&lt;&gt;"",'[1]Processer - data'!B126,"")</f>
        <v>Konventionel</v>
      </c>
      <c r="C126" t="str">
        <f>IF('[1]Processer - data'!C126&lt;&gt;"",'[1]Processer - data'!C126,"")</f>
        <v/>
      </c>
      <c r="D126" t="str">
        <f>IF('[1]Processer - data'!D126&lt;&gt;"",'[1]Processer - data'!D126,"")</f>
        <v>Fjerkræ</v>
      </c>
      <c r="E126" t="str">
        <f>IF('[1]Processer - data'!E126&lt;&gt;"",'[1]Processer - data'!E126,"")</f>
        <v>Antal</v>
      </c>
      <c r="F126" t="str">
        <f>IF('[1]Processer - data'!F126&lt;&gt;"",'[1]Processer - data'!F126,"")</f>
        <v>Fjerkrægylle</v>
      </c>
      <c r="G126" t="str">
        <f>IF('[1]Processer - data'!G126&lt;&gt;"",'[1]Processer - data'!G126,"")</f>
        <v>Ton</v>
      </c>
      <c r="H126" s="297">
        <f>IF($A126&lt;&gt;"",IF(VLOOKUP($A126,[1]!Table1[#All],2,FALSE)="Direkte input",IF($A126&lt;&gt;"Grøntsager i drivhus",SUMIFS('Direkte input'!G$3:G$230,'Direkte input'!$F$3:$F$230,$D126,'Direkte input'!$C$3:$C$230,$B126,'Direkte input'!$D$3:$D$230,$C126,'Direkte input'!$A$3:$A$230,$A$1),SUMIFS('Direkte input'!G$3:G$230,'Direkte input'!$F$3:$F$230,$D126,'Direkte input'!$C$3:$C$230,$B126,'Direkte input'!$A$3:$A$230,$A$1)),IF(VLOOKUP($A126,[1]!Table1[#All],2,FALSE)="Resultat",SUMIF($F$1:$F125,$D126,H$1:H125)+SUMIF($F127:$F$512,$D126,H127:H$512),0))*'[1]Processer - data'!H126,"")*IF($C126&lt;&gt;"",IF($F126="Halm",Landbrug!C$16*Landbrug!C$17,IF(LEFT($D126,5)="Areal", IF($G126="Ton",Landbrug!C$18,1),1)),1)*IF($F126="Grøntsager",IF($A126="Grøntsager i drivhus",Landbrug!C$51,1-Landbrug!C$51),1)</f>
        <v>533.44592409892732</v>
      </c>
      <c r="I126" s="298">
        <f>IF($A126&lt;&gt;"",IF(VLOOKUP($A126,[1]!Table1[#All],2,FALSE)="Direkte input",IF($A126&lt;&gt;"Grøntsager i drivhus",SUMIFS('Direkte input'!H$3:H$230,'Direkte input'!$F$3:$F$230,$D126,'Direkte input'!$C$3:$C$230,$B126,'Direkte input'!$D$3:$D$230,$C126,'Direkte input'!$A$3:$A$230,$A$1),SUMIFS('Direkte input'!H$3:H$230,'Direkte input'!$F$3:$F$230,$D126,'Direkte input'!$C$3:$C$230,$B126,'Direkte input'!$A$3:$A$230,$A$1)),IF(VLOOKUP($A126,[1]!Table1[#All],2,FALSE)="Resultat",SUMIF($F$1:$F125,$D126,I$1:I125)+SUMIF($F127:$F$512,$D126,I127:I$512),0))*'[1]Processer - data'!I126,"")*IF($C126&lt;&gt;"",IF($F126="Halm",Landbrug!D$16*Landbrug!D$17,IF(LEFT($D126,5)="Areal", IF($G126="Ton",Landbrug!D$18,1),1)),1)*IF($F126="Grøntsager",IF($A126="Grøntsager i drivhus",Landbrug!D$51,1-Landbrug!D$51),1)</f>
        <v>608.58640520796155</v>
      </c>
      <c r="J126" s="299">
        <f>IF($A126&lt;&gt;"",IF(VLOOKUP($A126,[1]!Table1[#All],2,FALSE)="Direkte input",IF($A126&lt;&gt;"Grøntsager i drivhus",SUMIFS('Direkte input'!I$3:I$230,'Direkte input'!$F$3:$F$230,$D126,'Direkte input'!$C$3:$C$230,$B126,'Direkte input'!$D$3:$D$230,$C126,'Direkte input'!$A$3:$A$230,$A$1),SUMIFS('Direkte input'!I$3:I$230,'Direkte input'!$F$3:$F$230,$D126,'Direkte input'!$C$3:$C$230,$B126,'Direkte input'!$A$3:$A$230,$A$1)),IF(VLOOKUP($A126,[1]!Table1[#All],2,FALSE)="Resultat",SUMIF($F$1:$F125,$D126,J$1:J125)+SUMIF($F127:$F$512,$D126,J127:J$512),0))*'[1]Processer - data'!J126,"")*IF($C126&lt;&gt;"",IF($F126="Halm",Landbrug!E$16*Landbrug!E$17,IF(LEFT($D126,5)="Areal", IF($G126="Ton",Landbrug!E$18,1),1)),1)*IF($F126="Grøntsager",IF($A126="Grøntsager i drivhus",Landbrug!E$51,1-Landbrug!E$51),1)</f>
        <v>579.47599049411485</v>
      </c>
    </row>
    <row r="127" spans="1:10" x14ac:dyDescent="0.25">
      <c r="A127" t="str">
        <f>IF('[1]Processer - data'!A127&lt;&gt;"",'[1]Processer - data'!A127,"")</f>
        <v>Fjerkræbrug</v>
      </c>
      <c r="B127" t="str">
        <f>IF('[1]Processer - data'!B127&lt;&gt;"",'[1]Processer - data'!B127,"")</f>
        <v>Konventionel</v>
      </c>
      <c r="C127" t="str">
        <f>IF('[1]Processer - data'!C127&lt;&gt;"",'[1]Processer - data'!C127,"")</f>
        <v/>
      </c>
      <c r="D127" t="str">
        <f>IF('[1]Processer - data'!D127&lt;&gt;"",'[1]Processer - data'!D127,"")</f>
        <v>Fjerkræ</v>
      </c>
      <c r="E127" t="str">
        <f>IF('[1]Processer - data'!E127&lt;&gt;"",'[1]Processer - data'!E127,"")</f>
        <v>Antal</v>
      </c>
      <c r="F127" t="str">
        <f>IF('[1]Processer - data'!F127&lt;&gt;"",'[1]Processer - data'!F127,"")</f>
        <v>Dybstrøelse</v>
      </c>
      <c r="G127" t="str">
        <f>IF('[1]Processer - data'!G127&lt;&gt;"",'[1]Processer - data'!G127,"")</f>
        <v>Ton</v>
      </c>
      <c r="H127" s="297">
        <f>IF($A127&lt;&gt;"",IF(VLOOKUP($A127,[1]!Table1[#All],2,FALSE)="Direkte input",IF($A127&lt;&gt;"Grøntsager i drivhus",SUMIFS('Direkte input'!G$3:G$230,'Direkte input'!$F$3:$F$230,$D127,'Direkte input'!$C$3:$C$230,$B127,'Direkte input'!$D$3:$D$230,$C127,'Direkte input'!$A$3:$A$230,$A$1),SUMIFS('Direkte input'!G$3:G$230,'Direkte input'!$F$3:$F$230,$D127,'Direkte input'!$C$3:$C$230,$B127,'Direkte input'!$A$3:$A$230,$A$1)),IF(VLOOKUP($A127,[1]!Table1[#All],2,FALSE)="Resultat",SUMIF($F$1:$F126,$D127,H$1:H126)+SUMIF($F128:$F$512,$D127,H128:H$512),0))*'[1]Processer - data'!H127,"")*IF($C127&lt;&gt;"",IF($F127="Halm",Landbrug!C$16*Landbrug!C$17,IF(LEFT($D127,5)="Areal", IF($G127="Ton",Landbrug!C$18,1),1)),1)*IF($F127="Grøntsager",IF($A127="Grøntsager i drivhus",Landbrug!C$51,1-Landbrug!C$51),1)</f>
        <v>11823.107951660928</v>
      </c>
      <c r="I127" s="298">
        <f>IF($A127&lt;&gt;"",IF(VLOOKUP($A127,[1]!Table1[#All],2,FALSE)="Direkte input",IF($A127&lt;&gt;"Grøntsager i drivhus",SUMIFS('Direkte input'!H$3:H$230,'Direkte input'!$F$3:$F$230,$D127,'Direkte input'!$C$3:$C$230,$B127,'Direkte input'!$D$3:$D$230,$C127,'Direkte input'!$A$3:$A$230,$A$1),SUMIFS('Direkte input'!H$3:H$230,'Direkte input'!$F$3:$F$230,$D127,'Direkte input'!$C$3:$C$230,$B127,'Direkte input'!$A$3:$A$230,$A$1)),IF(VLOOKUP($A127,[1]!Table1[#All],2,FALSE)="Resultat",SUMIF($F$1:$F126,$D127,I$1:I126)+SUMIF($F128:$F$512,$D127,I128:I$512),0))*'[1]Processer - data'!I127,"")*IF($C127&lt;&gt;"",IF($F127="Halm",Landbrug!D$16*Landbrug!D$17,IF(LEFT($D127,5)="Areal", IF($G127="Ton",Landbrug!D$18,1),1)),1)*IF($F127="Grøntsager",IF($A127="Grøntsager i drivhus",Landbrug!D$51,1-Landbrug!D$51),1)</f>
        <v>13488.495162543615</v>
      </c>
      <c r="J127" s="299">
        <f>IF($A127&lt;&gt;"",IF(VLOOKUP($A127,[1]!Table1[#All],2,FALSE)="Direkte input",IF($A127&lt;&gt;"Grøntsager i drivhus",SUMIFS('Direkte input'!I$3:I$230,'Direkte input'!$F$3:$F$230,$D127,'Direkte input'!$C$3:$C$230,$B127,'Direkte input'!$D$3:$D$230,$C127,'Direkte input'!$A$3:$A$230,$A$1),SUMIFS('Direkte input'!I$3:I$230,'Direkte input'!$F$3:$F$230,$D127,'Direkte input'!$C$3:$C$230,$B127,'Direkte input'!$A$3:$A$230,$A$1)),IF(VLOOKUP($A127,[1]!Table1[#All],2,FALSE)="Resultat",SUMIF($F$1:$F126,$D127,J$1:J126)+SUMIF($F128:$F$512,$D127,J128:J$512),0))*'[1]Processer - data'!J127,"")*IF($C127&lt;&gt;"",IF($F127="Halm",Landbrug!E$16*Landbrug!E$17,IF(LEFT($D127,5)="Areal", IF($G127="Ton",Landbrug!E$18,1),1)),1)*IF($F127="Grøntsager",IF($A127="Grøntsager i drivhus",Landbrug!E$51,1-Landbrug!E$51),1)</f>
        <v>12843.302163345441</v>
      </c>
    </row>
    <row r="128" spans="1:10" x14ac:dyDescent="0.25">
      <c r="A128" t="str">
        <f>IF('[1]Processer - data'!A128&lt;&gt;"",'[1]Processer - data'!A128,"")</f>
        <v>Fjerkræbrug</v>
      </c>
      <c r="B128" t="str">
        <f>IF('[1]Processer - data'!B128&lt;&gt;"",'[1]Processer - data'!B128,"")</f>
        <v>Konventionel</v>
      </c>
      <c r="C128" t="str">
        <f>IF('[1]Processer - data'!C128&lt;&gt;"",'[1]Processer - data'!C128,"")</f>
        <v/>
      </c>
      <c r="D128" t="str">
        <f>IF('[1]Processer - data'!D128&lt;&gt;"",'[1]Processer - data'!D128,"")</f>
        <v>Fjerkræ</v>
      </c>
      <c r="E128" t="str">
        <f>IF('[1]Processer - data'!E128&lt;&gt;"",'[1]Processer - data'!E128,"")</f>
        <v>Antal</v>
      </c>
      <c r="F128" t="str">
        <f>IF('[1]Processer - data'!F128&lt;&gt;"",'[1]Processer - data'!F128,"")</f>
        <v>Æg</v>
      </c>
      <c r="G128" t="str">
        <f>IF('[1]Processer - data'!G128&lt;&gt;"",'[1]Processer - data'!G128,"")</f>
        <v>Ton</v>
      </c>
      <c r="H128" s="297">
        <f>IF($A128&lt;&gt;"",IF(VLOOKUP($A128,[1]!Table1[#All],2,FALSE)="Direkte input",IF($A128&lt;&gt;"Grøntsager i drivhus",SUMIFS('Direkte input'!G$3:G$230,'Direkte input'!$F$3:$F$230,$D128,'Direkte input'!$C$3:$C$230,$B128,'Direkte input'!$D$3:$D$230,$C128,'Direkte input'!$A$3:$A$230,$A$1),SUMIFS('Direkte input'!G$3:G$230,'Direkte input'!$F$3:$F$230,$D128,'Direkte input'!$C$3:$C$230,$B128,'Direkte input'!$A$3:$A$230,$A$1)),IF(VLOOKUP($A128,[1]!Table1[#All],2,FALSE)="Resultat",SUMIF($F$1:$F127,$D128,H$1:H127)+SUMIF($F129:$F$512,$D128,H129:H$512),0))*'[1]Processer - data'!H128,"")*IF($C128&lt;&gt;"",IF($F128="Halm",Landbrug!C$16*Landbrug!C$17,IF(LEFT($D128,5)="Areal", IF($G128="Ton",Landbrug!C$18,1),1)),1)*IF($F128="Grøntsager",IF($A128="Grøntsager i drivhus",Landbrug!C$51,1-Landbrug!C$51),1)</f>
        <v>17466.020886846287</v>
      </c>
      <c r="I128" s="298">
        <f>IF($A128&lt;&gt;"",IF(VLOOKUP($A128,[1]!Table1[#All],2,FALSE)="Direkte input",IF($A128&lt;&gt;"Grøntsager i drivhus",SUMIFS('Direkte input'!H$3:H$230,'Direkte input'!$F$3:$F$230,$D128,'Direkte input'!$C$3:$C$230,$B128,'Direkte input'!$D$3:$D$230,$C128,'Direkte input'!$A$3:$A$230,$A$1),SUMIFS('Direkte input'!H$3:H$230,'Direkte input'!$F$3:$F$230,$D128,'Direkte input'!$C$3:$C$230,$B128,'Direkte input'!$A$3:$A$230,$A$1)),IF(VLOOKUP($A128,[1]!Table1[#All],2,FALSE)="Resultat",SUMIF($F$1:$F127,$D128,I$1:I127)+SUMIF($F129:$F$512,$D128,I129:I$512),0))*'[1]Processer - data'!I128,"")*IF($C128&lt;&gt;"",IF($F128="Halm",Landbrug!D$16*Landbrug!D$17,IF(LEFT($D128,5)="Areal", IF($G128="Ton",Landbrug!D$18,1),1)),1)*IF($F128="Grøntsager",IF($A128="Grøntsager i drivhus",Landbrug!D$51,1-Landbrug!D$51),1)</f>
        <v>19926.261284624048</v>
      </c>
      <c r="J128" s="299">
        <f>IF($A128&lt;&gt;"",IF(VLOOKUP($A128,[1]!Table1[#All],2,FALSE)="Direkte input",IF($A128&lt;&gt;"Grøntsager i drivhus",SUMIFS('Direkte input'!I$3:I$230,'Direkte input'!$F$3:$F$230,$D128,'Direkte input'!$C$3:$C$230,$B128,'Direkte input'!$D$3:$D$230,$C128,'Direkte input'!$A$3:$A$230,$A$1),SUMIFS('Direkte input'!I$3:I$230,'Direkte input'!$F$3:$F$230,$D128,'Direkte input'!$C$3:$C$230,$B128,'Direkte input'!$A$3:$A$230,$A$1)),IF(VLOOKUP($A128,[1]!Table1[#All],2,FALSE)="Resultat",SUMIF($F$1:$F127,$D128,J$1:J127)+SUMIF($F129:$F$512,$D128,J129:J$512),0))*'[1]Processer - data'!J128,"")*IF($C128&lt;&gt;"",IF($F128="Halm",Landbrug!E$16*Landbrug!E$17,IF(LEFT($D128,5)="Areal", IF($G128="Ton",Landbrug!E$18,1),1)),1)*IF($F128="Grøntsager",IF($A128="Grøntsager i drivhus",Landbrug!E$51,1-Landbrug!E$51),1)</f>
        <v>18973.131663705783</v>
      </c>
    </row>
    <row r="129" spans="1:10" x14ac:dyDescent="0.25">
      <c r="A129" t="str">
        <f>IF('[1]Processer - data'!A129&lt;&gt;"",'[1]Processer - data'!A129,"")</f>
        <v>Fjerkræbrug</v>
      </c>
      <c r="B129" t="str">
        <f>IF('[1]Processer - data'!B129&lt;&gt;"",'[1]Processer - data'!B129,"")</f>
        <v>Konventionel</v>
      </c>
      <c r="C129" t="str">
        <f>IF('[1]Processer - data'!C129&lt;&gt;"",'[1]Processer - data'!C129,"")</f>
        <v/>
      </c>
      <c r="D129" t="str">
        <f>IF('[1]Processer - data'!D129&lt;&gt;"",'[1]Processer - data'!D129,"")</f>
        <v>Fjerkræ</v>
      </c>
      <c r="E129" t="str">
        <f>IF('[1]Processer - data'!E129&lt;&gt;"",'[1]Processer - data'!E129,"")</f>
        <v>Antal</v>
      </c>
      <c r="F129" t="str">
        <f>IF('[1]Processer - data'!F129&lt;&gt;"",'[1]Processer - data'!F129,"")</f>
        <v>Industriaffald</v>
      </c>
      <c r="G129" t="str">
        <f>IF('[1]Processer - data'!G129&lt;&gt;"",'[1]Processer - data'!G129,"")</f>
        <v>Ton</v>
      </c>
      <c r="H129" s="297">
        <f>IF($A129&lt;&gt;"",IF(VLOOKUP($A129,[1]!Table1[#All],2,FALSE)="Direkte input",IF($A129&lt;&gt;"Grøntsager i drivhus",SUMIFS('Direkte input'!G$3:G$230,'Direkte input'!$F$3:$F$230,$D129,'Direkte input'!$C$3:$C$230,$B129,'Direkte input'!$D$3:$D$230,$C129,'Direkte input'!$A$3:$A$230,$A$1),SUMIFS('Direkte input'!G$3:G$230,'Direkte input'!$F$3:$F$230,$D129,'Direkte input'!$C$3:$C$230,$B129,'Direkte input'!$A$3:$A$230,$A$1)),IF(VLOOKUP($A129,[1]!Table1[#All],2,FALSE)="Resultat",SUMIF($F$1:$F128,$D129,H$1:H128)+SUMIF($F130:$F$512,$D129,H130:H$512),0))*'[1]Processer - data'!H129,"")*IF($C129&lt;&gt;"",IF($F129="Halm",Landbrug!C$16*Landbrug!C$17,IF(LEFT($D129,5)="Areal", IF($G129="Ton",Landbrug!C$18,1),1)),1)*IF($F129="Grøntsager",IF($A129="Grøntsager i drivhus",Landbrug!C$51,1-Landbrug!C$51),1)</f>
        <v>737.66017754835775</v>
      </c>
      <c r="I129" s="298">
        <f>IF($A129&lt;&gt;"",IF(VLOOKUP($A129,[1]!Table1[#All],2,FALSE)="Direkte input",IF($A129&lt;&gt;"Grøntsager i drivhus",SUMIFS('Direkte input'!H$3:H$230,'Direkte input'!$F$3:$F$230,$D129,'Direkte input'!$C$3:$C$230,$B129,'Direkte input'!$D$3:$D$230,$C129,'Direkte input'!$A$3:$A$230,$A$1),SUMIFS('Direkte input'!H$3:H$230,'Direkte input'!$F$3:$F$230,$D129,'Direkte input'!$C$3:$C$230,$B129,'Direkte input'!$A$3:$A$230,$A$1)),IF(VLOOKUP($A129,[1]!Table1[#All],2,FALSE)="Resultat",SUMIF($F$1:$F128,$D129,I$1:I128)+SUMIF($F130:$F$512,$D129,I130:I$512),0))*'[1]Processer - data'!I129,"")*IF($C129&lt;&gt;"",IF($F129="Halm",Landbrug!D$16*Landbrug!D$17,IF(LEFT($D129,5)="Areal", IF($G129="Ton",Landbrug!D$18,1),1)),1)*IF($F129="Grøntsager",IF($A129="Grøntsager i drivhus",Landbrug!D$51,1-Landbrug!D$51),1)</f>
        <v>841.56600592184452</v>
      </c>
      <c r="J129" s="299">
        <f>IF($A129&lt;&gt;"",IF(VLOOKUP($A129,[1]!Table1[#All],2,FALSE)="Direkte input",IF($A129&lt;&gt;"Grøntsager i drivhus",SUMIFS('Direkte input'!I$3:I$230,'Direkte input'!$F$3:$F$230,$D129,'Direkte input'!$C$3:$C$230,$B129,'Direkte input'!$D$3:$D$230,$C129,'Direkte input'!$A$3:$A$230,$A$1),SUMIFS('Direkte input'!I$3:I$230,'Direkte input'!$F$3:$F$230,$D129,'Direkte input'!$C$3:$C$230,$B129,'Direkte input'!$A$3:$A$230,$A$1)),IF(VLOOKUP($A129,[1]!Table1[#All],2,FALSE)="Resultat",SUMIF($F$1:$F128,$D129,J$1:J128)+SUMIF($F130:$F$512,$D129,J130:J$512),0))*'[1]Processer - data'!J129,"")*IF($C129&lt;&gt;"",IF($F129="Halm",Landbrug!E$16*Landbrug!E$17,IF(LEFT($D129,5)="Areal", IF($G129="Ton",Landbrug!E$18,1),1)),1)*IF($F129="Grøntsager",IF($A129="Grøntsager i drivhus",Landbrug!E$51,1-Landbrug!E$51),1)</f>
        <v>801.3115157922316</v>
      </c>
    </row>
    <row r="130" spans="1:10" x14ac:dyDescent="0.25">
      <c r="A130" t="str">
        <f>IF('[1]Processer - data'!A130&lt;&gt;"",'[1]Processer - data'!A130,"")</f>
        <v>Fjerkræbrug</v>
      </c>
      <c r="B130" t="str">
        <f>IF('[1]Processer - data'!B130&lt;&gt;"",'[1]Processer - data'!B130,"")</f>
        <v>Konventionel</v>
      </c>
      <c r="C130" t="str">
        <f>IF('[1]Processer - data'!C130&lt;&gt;"",'[1]Processer - data'!C130,"")</f>
        <v/>
      </c>
      <c r="D130" t="str">
        <f>IF('[1]Processer - data'!D130&lt;&gt;"",'[1]Processer - data'!D130,"")</f>
        <v>Fjerkræ</v>
      </c>
      <c r="E130" t="str">
        <f>IF('[1]Processer - data'!E130&lt;&gt;"",'[1]Processer - data'!E130,"")</f>
        <v>Antal</v>
      </c>
      <c r="F130" t="str">
        <f>IF('[1]Processer - data'!F130&lt;&gt;"",'[1]Processer - data'!F130,"")</f>
        <v>Foder</v>
      </c>
      <c r="G130" t="str">
        <f>IF('[1]Processer - data'!G130&lt;&gt;"",'[1]Processer - data'!G130,"")</f>
        <v>FE</v>
      </c>
      <c r="H130" s="297">
        <f>IF($A130&lt;&gt;"",IF(VLOOKUP($A130,[1]!Table1[#All],2,FALSE)="Direkte input",IF($A130&lt;&gt;"Grøntsager i drivhus",SUMIFS('Direkte input'!G$3:G$230,'Direkte input'!$F$3:$F$230,$D130,'Direkte input'!$C$3:$C$230,$B130,'Direkte input'!$D$3:$D$230,$C130,'Direkte input'!$A$3:$A$230,$A$1),SUMIFS('Direkte input'!G$3:G$230,'Direkte input'!$F$3:$F$230,$D130,'Direkte input'!$C$3:$C$230,$B130,'Direkte input'!$A$3:$A$230,$A$1)),IF(VLOOKUP($A130,[1]!Table1[#All],2,FALSE)="Resultat",SUMIF($F$1:$F129,$D130,H$1:H129)+SUMIF($F131:$F$512,$D130,H131:H$512),0))*'[1]Processer - data'!H130,"")*IF($C130&lt;&gt;"",IF($F130="Halm",Landbrug!C$16*Landbrug!C$17,IF(LEFT($D130,5)="Areal", IF($G130="Ton",Landbrug!C$18,1),1)),1)*IF($F130="Grøntsager",IF($A130="Grøntsager i drivhus",Landbrug!C$51,1-Landbrug!C$51),1)</f>
        <v>-29023948.800000001</v>
      </c>
      <c r="I130" s="298">
        <f>IF($A130&lt;&gt;"",IF(VLOOKUP($A130,[1]!Table1[#All],2,FALSE)="Direkte input",IF($A130&lt;&gt;"Grøntsager i drivhus",SUMIFS('Direkte input'!H$3:H$230,'Direkte input'!$F$3:$F$230,$D130,'Direkte input'!$C$3:$C$230,$B130,'Direkte input'!$D$3:$D$230,$C130,'Direkte input'!$A$3:$A$230,$A$1),SUMIFS('Direkte input'!H$3:H$230,'Direkte input'!$F$3:$F$230,$D130,'Direkte input'!$C$3:$C$230,$B130,'Direkte input'!$A$3:$A$230,$A$1)),IF(VLOOKUP($A130,[1]!Table1[#All],2,FALSE)="Resultat",SUMIF($F$1:$F129,$D130,I$1:I129)+SUMIF($F131:$F$512,$D130,I131:I$512),0))*'[1]Processer - data'!I130,"")*IF($C130&lt;&gt;"",IF($F130="Halm",Landbrug!D$16*Landbrug!D$17,IF(LEFT($D130,5)="Areal", IF($G130="Ton",Landbrug!D$18,1),1)),1)*IF($F130="Grøntsager",IF($A130="Grøntsager i drivhus",Landbrug!D$51,1-Landbrug!D$51),1)</f>
        <v>-33112223.502257422</v>
      </c>
      <c r="J130" s="299">
        <f>IF($A130&lt;&gt;"",IF(VLOOKUP($A130,[1]!Table1[#All],2,FALSE)="Direkte input",IF($A130&lt;&gt;"Grøntsager i drivhus",SUMIFS('Direkte input'!I$3:I$230,'Direkte input'!$F$3:$F$230,$D130,'Direkte input'!$C$3:$C$230,$B130,'Direkte input'!$D$3:$D$230,$C130,'Direkte input'!$A$3:$A$230,$A$1),SUMIFS('Direkte input'!I$3:I$230,'Direkte input'!$F$3:$F$230,$D130,'Direkte input'!$C$3:$C$230,$B130,'Direkte input'!$A$3:$A$230,$A$1)),IF(VLOOKUP($A130,[1]!Table1[#All],2,FALSE)="Resultat",SUMIF($F$1:$F129,$D130,J$1:J129)+SUMIF($F131:$F$512,$D130,J131:J$512),0))*'[1]Processer - data'!J130,"")*IF($C130&lt;&gt;"",IF($F130="Halm",Landbrug!E$16*Landbrug!E$17,IF(LEFT($D130,5)="Areal", IF($G130="Ton",Landbrug!E$18,1),1)),1)*IF($F130="Grøntsager",IF($A130="Grøntsager i drivhus",Landbrug!E$51,1-Landbrug!E$51),1)</f>
        <v>-31528371.891377427</v>
      </c>
    </row>
    <row r="131" spans="1:10" x14ac:dyDescent="0.25">
      <c r="A131" t="str">
        <f>IF('[1]Processer - data'!A131&lt;&gt;"",'[1]Processer - data'!A131,"")</f>
        <v>Fjerkræbrug</v>
      </c>
      <c r="B131" t="str">
        <f>IF('[1]Processer - data'!B131&lt;&gt;"",'[1]Processer - data'!B131,"")</f>
        <v>Konventionel</v>
      </c>
      <c r="C131" t="str">
        <f>IF('[1]Processer - data'!C131&lt;&gt;"",'[1]Processer - data'!C131,"")</f>
        <v/>
      </c>
      <c r="D131" t="str">
        <f>IF('[1]Processer - data'!D131&lt;&gt;"",'[1]Processer - data'!D131,"")</f>
        <v>Fjerkræ</v>
      </c>
      <c r="E131" t="str">
        <f>IF('[1]Processer - data'!E131&lt;&gt;"",'[1]Processer - data'!E131,"")</f>
        <v>Antal</v>
      </c>
      <c r="F131" t="str">
        <f>IF('[1]Processer - data'!F131&lt;&gt;"",'[1]Processer - data'!F131,"")</f>
        <v>Halm</v>
      </c>
      <c r="G131" t="str">
        <f>IF('[1]Processer - data'!G131&lt;&gt;"",'[1]Processer - data'!G131,"")</f>
        <v>Ton</v>
      </c>
      <c r="H131" s="297">
        <f>IF($A131&lt;&gt;"",IF(VLOOKUP($A131,[1]!Table1[#All],2,FALSE)="Direkte input",IF($A131&lt;&gt;"Grøntsager i drivhus",SUMIFS('Direkte input'!G$3:G$230,'Direkte input'!$F$3:$F$230,$D131,'Direkte input'!$C$3:$C$230,$B131,'Direkte input'!$D$3:$D$230,$C131,'Direkte input'!$A$3:$A$230,$A$1),SUMIFS('Direkte input'!G$3:G$230,'Direkte input'!$F$3:$F$230,$D131,'Direkte input'!$C$3:$C$230,$B131,'Direkte input'!$A$3:$A$230,$A$1)),IF(VLOOKUP($A131,[1]!Table1[#All],2,FALSE)="Resultat",SUMIF($F$1:$F130,$D131,H$1:H130)+SUMIF($F132:$F$512,$D131,H132:H$512),0))*'[1]Processer - data'!H131,"")*IF($C131&lt;&gt;"",IF($F131="Halm",Landbrug!C$16*Landbrug!C$17,IF(LEFT($D131,5)="Areal", IF($G131="Ton",Landbrug!C$18,1),1)),1)*IF($F131="Grøntsager",IF($A131="Grøntsager i drivhus",Landbrug!C$51,1-Landbrug!C$51),1)</f>
        <v>-687.90527999999995</v>
      </c>
      <c r="I131" s="298">
        <f>IF($A131&lt;&gt;"",IF(VLOOKUP($A131,[1]!Table1[#All],2,FALSE)="Direkte input",IF($A131&lt;&gt;"Grøntsager i drivhus",SUMIFS('Direkte input'!H$3:H$230,'Direkte input'!$F$3:$F$230,$D131,'Direkte input'!$C$3:$C$230,$B131,'Direkte input'!$D$3:$D$230,$C131,'Direkte input'!$A$3:$A$230,$A$1),SUMIFS('Direkte input'!H$3:H$230,'Direkte input'!$F$3:$F$230,$D131,'Direkte input'!$C$3:$C$230,$B131,'Direkte input'!$A$3:$A$230,$A$1)),IF(VLOOKUP($A131,[1]!Table1[#All],2,FALSE)="Resultat",SUMIF($F$1:$F130,$D131,I$1:I130)+SUMIF($F132:$F$512,$D131,I132:I$512),0))*'[1]Processer - data'!I131,"")*IF($C131&lt;&gt;"",IF($F131="Halm",Landbrug!D$16*Landbrug!D$17,IF(LEFT($D131,5)="Areal", IF($G131="Ton",Landbrug!D$18,1),1)),1)*IF($F131="Grøntsager",IF($A131="Grøntsager i drivhus",Landbrug!D$51,1-Landbrug!D$51),1)</f>
        <v>-784.80269989116607</v>
      </c>
      <c r="J131" s="299">
        <f>IF($A131&lt;&gt;"",IF(VLOOKUP($A131,[1]!Table1[#All],2,FALSE)="Direkte input",IF($A131&lt;&gt;"Grøntsager i drivhus",SUMIFS('Direkte input'!I$3:I$230,'Direkte input'!$F$3:$F$230,$D131,'Direkte input'!$C$3:$C$230,$B131,'Direkte input'!$D$3:$D$230,$C131,'Direkte input'!$A$3:$A$230,$A$1),SUMIFS('Direkte input'!I$3:I$230,'Direkte input'!$F$3:$F$230,$D131,'Direkte input'!$C$3:$C$230,$B131,'Direkte input'!$A$3:$A$230,$A$1)),IF(VLOOKUP($A131,[1]!Table1[#All],2,FALSE)="Resultat",SUMIF($F$1:$F130,$D131,J$1:J130)+SUMIF($F132:$F$512,$D131,J132:J$512),0))*'[1]Processer - data'!J131,"")*IF($C131&lt;&gt;"",IF($F131="Halm",Landbrug!E$16*Landbrug!E$17,IF(LEFT($D131,5)="Areal", IF($G131="Ton",Landbrug!E$18,1),1)),1)*IF($F131="Grøntsager",IF($A131="Grøntsager i drivhus",Landbrug!E$51,1-Landbrug!E$51),1)</f>
        <v>-747.26335976316614</v>
      </c>
    </row>
    <row r="132" spans="1:10" x14ac:dyDescent="0.25">
      <c r="A132" t="str">
        <f>IF('[1]Processer - data'!A132&lt;&gt;"",'[1]Processer - data'!A132,"")</f>
        <v>Fjerkræbrug</v>
      </c>
      <c r="B132" t="str">
        <f>IF('[1]Processer - data'!B132&lt;&gt;"",'[1]Processer - data'!B132,"")</f>
        <v>Konventionel</v>
      </c>
      <c r="C132" t="str">
        <f>IF('[1]Processer - data'!C132&lt;&gt;"",'[1]Processer - data'!C132,"")</f>
        <v/>
      </c>
      <c r="D132" t="str">
        <f>IF('[1]Processer - data'!D132&lt;&gt;"",'[1]Processer - data'!D132,"")</f>
        <v>Fjerkræ</v>
      </c>
      <c r="E132" t="str">
        <f>IF('[1]Processer - data'!E132&lt;&gt;"",'[1]Processer - data'!E132,"")</f>
        <v>Antal</v>
      </c>
      <c r="F132" t="str">
        <f>IF('[1]Processer - data'!F132&lt;&gt;"",'[1]Processer - data'!F132,"")</f>
        <v>CO2 - atmosfære</v>
      </c>
      <c r="G132" t="str">
        <f>IF('[1]Processer - data'!G132&lt;&gt;"",'[1]Processer - data'!G132,"")</f>
        <v>t CO2-ækvivalenter</v>
      </c>
      <c r="H132" s="297">
        <f>IF($A132&lt;&gt;"",IF(VLOOKUP($A132,[1]!Table1[#All],2,FALSE)="Direkte input",IF($A132&lt;&gt;"Grøntsager i drivhus",SUMIFS('Direkte input'!G$3:G$230,'Direkte input'!$F$3:$F$230,$D132,'Direkte input'!$C$3:$C$230,$B132,'Direkte input'!$D$3:$D$230,$C132,'Direkte input'!$A$3:$A$230,$A$1),SUMIFS('Direkte input'!G$3:G$230,'Direkte input'!$F$3:$F$230,$D132,'Direkte input'!$C$3:$C$230,$B132,'Direkte input'!$A$3:$A$230,$A$1)),IF(VLOOKUP($A132,[1]!Table1[#All],2,FALSE)="Resultat",SUMIF($F$1:$F131,$D132,H$1:H131)+SUMIF($F133:$F$512,$D132,H133:H$512),0))*'[1]Processer - data'!H132,"")*IF($C132&lt;&gt;"",IF($F132="Halm",Landbrug!C$16*Landbrug!C$17,IF(LEFT($D132,5)="Areal", IF($G132="Ton",Landbrug!C$18,1),1)),1)*IF($F132="Grøntsager",IF($A132="Grøntsager i drivhus",Landbrug!C$51,1-Landbrug!C$51),1)</f>
        <v>1120.7211113095154</v>
      </c>
      <c r="I132" s="298">
        <f>IF($A132&lt;&gt;"",IF(VLOOKUP($A132,[1]!Table1[#All],2,FALSE)="Direkte input",IF($A132&lt;&gt;"Grøntsager i drivhus",SUMIFS('Direkte input'!H$3:H$230,'Direkte input'!$F$3:$F$230,$D132,'Direkte input'!$C$3:$C$230,$B132,'Direkte input'!$D$3:$D$230,$C132,'Direkte input'!$A$3:$A$230,$A$1),SUMIFS('Direkte input'!H$3:H$230,'Direkte input'!$F$3:$F$230,$D132,'Direkte input'!$C$3:$C$230,$B132,'Direkte input'!$A$3:$A$230,$A$1)),IF(VLOOKUP($A132,[1]!Table1[#All],2,FALSE)="Resultat",SUMIF($F$1:$F131,$D132,I$1:I131)+SUMIF($F133:$F$512,$D132,I133:I$512),0))*'[1]Processer - data'!I132,"")*IF($C132&lt;&gt;"",IF($F132="Halm",Landbrug!D$16*Landbrug!D$17,IF(LEFT($D132,5)="Areal", IF($G132="Ton",Landbrug!D$18,1),1)),1)*IF($F132="Grøntsager",IF($A132="Grøntsager i drivhus",Landbrug!D$51,1-Landbrug!D$51),1)</f>
        <v>1278.584391706858</v>
      </c>
      <c r="J132" s="299">
        <f>IF($A132&lt;&gt;"",IF(VLOOKUP($A132,[1]!Table1[#All],2,FALSE)="Direkte input",IF($A132&lt;&gt;"Grøntsager i drivhus",SUMIFS('Direkte input'!I$3:I$230,'Direkte input'!$F$3:$F$230,$D132,'Direkte input'!$C$3:$C$230,$B132,'Direkte input'!$D$3:$D$230,$C132,'Direkte input'!$A$3:$A$230,$A$1),SUMIFS('Direkte input'!I$3:I$230,'Direkte input'!$F$3:$F$230,$D132,'Direkte input'!$C$3:$C$230,$B132,'Direkte input'!$A$3:$A$230,$A$1)),IF(VLOOKUP($A132,[1]!Table1[#All],2,FALSE)="Resultat",SUMIF($F$1:$F131,$D132,J$1:J131)+SUMIF($F133:$F$512,$D132,J133:J$512),0))*'[1]Processer - data'!J132,"")*IF($C132&lt;&gt;"",IF($F132="Halm",Landbrug!E$16*Landbrug!E$17,IF(LEFT($D132,5)="Areal", IF($G132="Ton",Landbrug!E$18,1),1)),1)*IF($F132="Grøntsager",IF($A132="Grøntsager i drivhus",Landbrug!E$51,1-Landbrug!E$51),1)</f>
        <v>1217.426072081694</v>
      </c>
    </row>
    <row r="133" spans="1:10" x14ac:dyDescent="0.25">
      <c r="A133" t="str">
        <f>IF('[1]Processer - data'!A133&lt;&gt;"",'[1]Processer - data'!A133,"")</f>
        <v>Fjerkræbrug</v>
      </c>
      <c r="B133" t="str">
        <f>IF('[1]Processer - data'!B133&lt;&gt;"",'[1]Processer - data'!B133,"")</f>
        <v>Økologisk</v>
      </c>
      <c r="C133" t="str">
        <f>IF('[1]Processer - data'!C133&lt;&gt;"",'[1]Processer - data'!C133,"")</f>
        <v/>
      </c>
      <c r="D133" t="str">
        <f>IF('[1]Processer - data'!D133&lt;&gt;"",'[1]Processer - data'!D133,"")</f>
        <v>Fjerkræ</v>
      </c>
      <c r="E133" t="str">
        <f>IF('[1]Processer - data'!E133&lt;&gt;"",'[1]Processer - data'!E133,"")</f>
        <v>Antal</v>
      </c>
      <c r="F133" t="str">
        <f>IF('[1]Processer - data'!F133&lt;&gt;"",'[1]Processer - data'!F133,"")</f>
        <v>Slagtefjerkræ</v>
      </c>
      <c r="G133" t="str">
        <f>IF('[1]Processer - data'!G133&lt;&gt;"",'[1]Processer - data'!G133,"")</f>
        <v>Antal</v>
      </c>
      <c r="H133" s="297">
        <f>IF($A133&lt;&gt;"",IF(VLOOKUP($A133,[1]!Table1[#All],2,FALSE)="Direkte input",IF($A133&lt;&gt;"Grøntsager i drivhus",SUMIFS('Direkte input'!G$3:G$230,'Direkte input'!$F$3:$F$230,$D133,'Direkte input'!$C$3:$C$230,$B133,'Direkte input'!$D$3:$D$230,$C133,'Direkte input'!$A$3:$A$230,$A$1),SUMIFS('Direkte input'!G$3:G$230,'Direkte input'!$F$3:$F$230,$D133,'Direkte input'!$C$3:$C$230,$B133,'Direkte input'!$A$3:$A$230,$A$1)),IF(VLOOKUP($A133,[1]!Table1[#All],2,FALSE)="Resultat",SUMIF($F$1:$F132,$D133,H$1:H132)+SUMIF($F134:$F$512,$D133,H134:H$512),0))*'[1]Processer - data'!H133,"")*IF($C133&lt;&gt;"",IF($F133="Halm",Landbrug!C$16*Landbrug!C$17,IF(LEFT($D133,5)="Areal", IF($G133="Ton",Landbrug!C$18,1),1)),1)*IF($F133="Grøntsager",IF($A133="Grøntsager i drivhus",Landbrug!C$51,1-Landbrug!C$51),1)</f>
        <v>80339.647949355684</v>
      </c>
      <c r="I133" s="298">
        <f>IF($A133&lt;&gt;"",IF(VLOOKUP($A133,[1]!Table1[#All],2,FALSE)="Direkte input",IF($A133&lt;&gt;"Grøntsager i drivhus",SUMIFS('Direkte input'!H$3:H$230,'Direkte input'!$F$3:$F$230,$D133,'Direkte input'!$C$3:$C$230,$B133,'Direkte input'!$D$3:$D$230,$C133,'Direkte input'!$A$3:$A$230,$A$1),SUMIFS('Direkte input'!H$3:H$230,'Direkte input'!$F$3:$F$230,$D133,'Direkte input'!$C$3:$C$230,$B133,'Direkte input'!$A$3:$A$230,$A$1)),IF(VLOOKUP($A133,[1]!Table1[#All],2,FALSE)="Resultat",SUMIF($F$1:$F132,$D133,I$1:I132)+SUMIF($F134:$F$512,$D133,I134:I$512),0))*'[1]Processer - data'!I133,"")*IF($C133&lt;&gt;"",IF($F133="Halm",Landbrug!D$16*Landbrug!D$17,IF(LEFT($D133,5)="Areal", IF($G133="Ton",Landbrug!D$18,1),1)),1)*IF($F133="Grøntsager",IF($A133="Grøntsager i drivhus",Landbrug!D$51,1-Landbrug!D$51),1)</f>
        <v>131118.27781543761</v>
      </c>
      <c r="J133" s="299">
        <f>IF($A133&lt;&gt;"",IF(VLOOKUP($A133,[1]!Table1[#All],2,FALSE)="Direkte input",IF($A133&lt;&gt;"Grøntsager i drivhus",SUMIFS('Direkte input'!I$3:I$230,'Direkte input'!$F$3:$F$230,$D133,'Direkte input'!$C$3:$C$230,$B133,'Direkte input'!$D$3:$D$230,$C133,'Direkte input'!$A$3:$A$230,$A$1),SUMIFS('Direkte input'!I$3:I$230,'Direkte input'!$F$3:$F$230,$D133,'Direkte input'!$C$3:$C$230,$B133,'Direkte input'!$A$3:$A$230,$A$1)),IF(VLOOKUP($A133,[1]!Table1[#All],2,FALSE)="Resultat",SUMIF($F$1:$F132,$D133,J$1:J132)+SUMIF($F134:$F$512,$D133,J134:J$512),0))*'[1]Processer - data'!J133,"")*IF($C133&lt;&gt;"",IF($F133="Halm",Landbrug!E$16*Landbrug!E$17,IF(LEFT($D133,5)="Areal", IF($G133="Ton",Landbrug!E$18,1),1)),1)*IF($F133="Grøntsager",IF($A133="Grøntsager i drivhus",Landbrug!E$51,1-Landbrug!E$51),1)</f>
        <v>163146.30943640703</v>
      </c>
    </row>
    <row r="134" spans="1:10" x14ac:dyDescent="0.25">
      <c r="A134" t="str">
        <f>IF('[1]Processer - data'!A134&lt;&gt;"",'[1]Processer - data'!A134,"")</f>
        <v>Fjerkræbrug</v>
      </c>
      <c r="B134" t="str">
        <f>IF('[1]Processer - data'!B134&lt;&gt;"",'[1]Processer - data'!B134,"")</f>
        <v>Økologisk</v>
      </c>
      <c r="C134" t="str">
        <f>IF('[1]Processer - data'!C134&lt;&gt;"",'[1]Processer - data'!C134,"")</f>
        <v/>
      </c>
      <c r="D134" t="str">
        <f>IF('[1]Processer - data'!D134&lt;&gt;"",'[1]Processer - data'!D134,"")</f>
        <v>Fjerkræ</v>
      </c>
      <c r="E134" t="str">
        <f>IF('[1]Processer - data'!E134&lt;&gt;"",'[1]Processer - data'!E134,"")</f>
        <v>Antal</v>
      </c>
      <c r="F134" t="str">
        <f>IF('[1]Processer - data'!F134&lt;&gt;"",'[1]Processer - data'!F134,"")</f>
        <v>Fjerkrægylle</v>
      </c>
      <c r="G134" t="str">
        <f>IF('[1]Processer - data'!G134&lt;&gt;"",'[1]Processer - data'!G134,"")</f>
        <v>Ton</v>
      </c>
      <c r="H134" s="297">
        <f>IF($A134&lt;&gt;"",IF(VLOOKUP($A134,[1]!Table1[#All],2,FALSE)="Direkte input",IF($A134&lt;&gt;"Grøntsager i drivhus",SUMIFS('Direkte input'!G$3:G$230,'Direkte input'!$F$3:$F$230,$D134,'Direkte input'!$C$3:$C$230,$B134,'Direkte input'!$D$3:$D$230,$C134,'Direkte input'!$A$3:$A$230,$A$1),SUMIFS('Direkte input'!G$3:G$230,'Direkte input'!$F$3:$F$230,$D134,'Direkte input'!$C$3:$C$230,$B134,'Direkte input'!$A$3:$A$230,$A$1)),IF(VLOOKUP($A134,[1]!Table1[#All],2,FALSE)="Resultat",SUMIF($F$1:$F133,$D134,H$1:H133)+SUMIF($F135:$F$512,$D134,H135:H$512),0))*'[1]Processer - data'!H134,"")*IF($C134&lt;&gt;"",IF($F134="Halm",Landbrug!C$16*Landbrug!C$17,IF(LEFT($D134,5)="Areal", IF($G134="Ton",Landbrug!C$18,1),1)),1)*IF($F134="Grøntsager",IF($A134="Grøntsager i drivhus",Landbrug!C$51,1-Landbrug!C$51),1)</f>
        <v>141.94171980595465</v>
      </c>
      <c r="I134" s="298">
        <f>IF($A134&lt;&gt;"",IF(VLOOKUP($A134,[1]!Table1[#All],2,FALSE)="Direkte input",IF($A134&lt;&gt;"Grøntsager i drivhus",SUMIFS('Direkte input'!H$3:H$230,'Direkte input'!$F$3:$F$230,$D134,'Direkte input'!$C$3:$C$230,$B134,'Direkte input'!$D$3:$D$230,$C134,'Direkte input'!$A$3:$A$230,$A$1),SUMIFS('Direkte input'!H$3:H$230,'Direkte input'!$F$3:$F$230,$D134,'Direkte input'!$C$3:$C$230,$B134,'Direkte input'!$A$3:$A$230,$A$1)),IF(VLOOKUP($A134,[1]!Table1[#All],2,FALSE)="Resultat",SUMIF($F$1:$F133,$D134,I$1:I133)+SUMIF($F135:$F$512,$D134,I135:I$512),0))*'[1]Processer - data'!I134,"")*IF($C134&lt;&gt;"",IF($F134="Halm",Landbrug!D$16*Landbrug!D$17,IF(LEFT($D134,5)="Areal", IF($G134="Ton",Landbrug!D$18,1),1)),1)*IF($F134="Grøntsager",IF($A134="Grøntsager i drivhus",Landbrug!D$51,1-Landbrug!D$51),1)</f>
        <v>231.65590497546393</v>
      </c>
      <c r="J134" s="299">
        <f>IF($A134&lt;&gt;"",IF(VLOOKUP($A134,[1]!Table1[#All],2,FALSE)="Direkte input",IF($A134&lt;&gt;"Grøntsager i drivhus",SUMIFS('Direkte input'!I$3:I$230,'Direkte input'!$F$3:$F$230,$D134,'Direkte input'!$C$3:$C$230,$B134,'Direkte input'!$D$3:$D$230,$C134,'Direkte input'!$A$3:$A$230,$A$1),SUMIFS('Direkte input'!I$3:I$230,'Direkte input'!$F$3:$F$230,$D134,'Direkte input'!$C$3:$C$230,$B134,'Direkte input'!$A$3:$A$230,$A$1)),IF(VLOOKUP($A134,[1]!Table1[#All],2,FALSE)="Resultat",SUMIF($F$1:$F133,$D134,J$1:J133)+SUMIF($F135:$F$512,$D134,J135:J$512),0))*'[1]Processer - data'!J134,"")*IF($C134&lt;&gt;"",IF($F134="Halm",Landbrug!E$16*Landbrug!E$17,IF(LEFT($D134,5)="Areal", IF($G134="Ton",Landbrug!E$18,1),1)),1)*IF($F134="Grøntsager",IF($A134="Grøntsager i drivhus",Landbrug!E$51,1-Landbrug!E$51),1)</f>
        <v>288.24208634814886</v>
      </c>
    </row>
    <row r="135" spans="1:10" x14ac:dyDescent="0.25">
      <c r="A135" t="str">
        <f>IF('[1]Processer - data'!A135&lt;&gt;"",'[1]Processer - data'!A135,"")</f>
        <v>Fjerkræbrug</v>
      </c>
      <c r="B135" t="str">
        <f>IF('[1]Processer - data'!B135&lt;&gt;"",'[1]Processer - data'!B135,"")</f>
        <v>Økologisk</v>
      </c>
      <c r="C135" t="str">
        <f>IF('[1]Processer - data'!C135&lt;&gt;"",'[1]Processer - data'!C135,"")</f>
        <v/>
      </c>
      <c r="D135" t="str">
        <f>IF('[1]Processer - data'!D135&lt;&gt;"",'[1]Processer - data'!D135,"")</f>
        <v>Fjerkræ</v>
      </c>
      <c r="E135" t="str">
        <f>IF('[1]Processer - data'!E135&lt;&gt;"",'[1]Processer - data'!E135,"")</f>
        <v>Antal</v>
      </c>
      <c r="F135" t="str">
        <f>IF('[1]Processer - data'!F135&lt;&gt;"",'[1]Processer - data'!F135,"")</f>
        <v>Dybstrøelse</v>
      </c>
      <c r="G135" t="str">
        <f>IF('[1]Processer - data'!G135&lt;&gt;"",'[1]Processer - data'!G135,"")</f>
        <v>Ton</v>
      </c>
      <c r="H135" s="297">
        <f>IF($A135&lt;&gt;"",IF(VLOOKUP($A135,[1]!Table1[#All],2,FALSE)="Direkte input",IF($A135&lt;&gt;"Grøntsager i drivhus",SUMIFS('Direkte input'!G$3:G$230,'Direkte input'!$F$3:$F$230,$D135,'Direkte input'!$C$3:$C$230,$B135,'Direkte input'!$D$3:$D$230,$C135,'Direkte input'!$A$3:$A$230,$A$1),SUMIFS('Direkte input'!G$3:G$230,'Direkte input'!$F$3:$F$230,$D135,'Direkte input'!$C$3:$C$230,$B135,'Direkte input'!$A$3:$A$230,$A$1)),IF(VLOOKUP($A135,[1]!Table1[#All],2,FALSE)="Resultat",SUMIF($F$1:$F134,$D135,H$1:H134)+SUMIF($F136:$F$512,$D135,H136:H$512),0))*'[1]Processer - data'!H135,"")*IF($C135&lt;&gt;"",IF($F135="Halm",Landbrug!C$16*Landbrug!C$17,IF(LEFT($D135,5)="Areal", IF($G135="Ton",Landbrug!C$18,1),1)),1)*IF($F135="Grøntsager",IF($A135="Grøntsager i drivhus",Landbrug!C$51,1-Landbrug!C$51),1)</f>
        <v>534.46752083856347</v>
      </c>
      <c r="I135" s="298">
        <f>IF($A135&lt;&gt;"",IF(VLOOKUP($A135,[1]!Table1[#All],2,FALSE)="Direkte input",IF($A135&lt;&gt;"Grøntsager i drivhus",SUMIFS('Direkte input'!H$3:H$230,'Direkte input'!$F$3:$F$230,$D135,'Direkte input'!$C$3:$C$230,$B135,'Direkte input'!$D$3:$D$230,$C135,'Direkte input'!$A$3:$A$230,$A$1),SUMIFS('Direkte input'!H$3:H$230,'Direkte input'!$F$3:$F$230,$D135,'Direkte input'!$C$3:$C$230,$B135,'Direkte input'!$A$3:$A$230,$A$1)),IF(VLOOKUP($A135,[1]!Table1[#All],2,FALSE)="Resultat",SUMIF($F$1:$F134,$D135,I$1:I134)+SUMIF($F136:$F$512,$D135,I136:I$512),0))*'[1]Processer - data'!I135,"")*IF($C135&lt;&gt;"",IF($F135="Halm",Landbrug!D$16*Landbrug!D$17,IF(LEFT($D135,5)="Areal", IF($G135="Ton",Landbrug!D$18,1),1)),1)*IF($F135="Grøntsager",IF($A135="Grøntsager i drivhus",Landbrug!D$51,1-Landbrug!D$51),1)</f>
        <v>872.27742054352598</v>
      </c>
      <c r="J135" s="299">
        <f>IF($A135&lt;&gt;"",IF(VLOOKUP($A135,[1]!Table1[#All],2,FALSE)="Direkte input",IF($A135&lt;&gt;"Grøntsager i drivhus",SUMIFS('Direkte input'!I$3:I$230,'Direkte input'!$F$3:$F$230,$D135,'Direkte input'!$C$3:$C$230,$B135,'Direkte input'!$D$3:$D$230,$C135,'Direkte input'!$A$3:$A$230,$A$1),SUMIFS('Direkte input'!I$3:I$230,'Direkte input'!$F$3:$F$230,$D135,'Direkte input'!$C$3:$C$230,$B135,'Direkte input'!$A$3:$A$230,$A$1)),IF(VLOOKUP($A135,[1]!Table1[#All],2,FALSE)="Resultat",SUMIF($F$1:$F134,$D135,J$1:J134)+SUMIF($F136:$F$512,$D135,J136:J$512),0))*'[1]Processer - data'!J135,"")*IF($C135&lt;&gt;"",IF($F135="Halm",Landbrug!E$16*Landbrug!E$17,IF(LEFT($D135,5)="Areal", IF($G135="Ton",Landbrug!E$18,1),1)),1)*IF($F135="Grøntsager",IF($A135="Grøntsager i drivhus",Landbrug!E$51,1-Landbrug!E$51),1)</f>
        <v>1085.3470952897908</v>
      </c>
    </row>
    <row r="136" spans="1:10" x14ac:dyDescent="0.25">
      <c r="A136" t="str">
        <f>IF('[1]Processer - data'!A136&lt;&gt;"",'[1]Processer - data'!A136,"")</f>
        <v>Fjerkræbrug</v>
      </c>
      <c r="B136" t="str">
        <f>IF('[1]Processer - data'!B136&lt;&gt;"",'[1]Processer - data'!B136,"")</f>
        <v>Økologisk</v>
      </c>
      <c r="C136" t="str">
        <f>IF('[1]Processer - data'!C136&lt;&gt;"",'[1]Processer - data'!C136,"")</f>
        <v/>
      </c>
      <c r="D136" t="str">
        <f>IF('[1]Processer - data'!D136&lt;&gt;"",'[1]Processer - data'!D136,"")</f>
        <v>Fjerkræ</v>
      </c>
      <c r="E136" t="str">
        <f>IF('[1]Processer - data'!E136&lt;&gt;"",'[1]Processer - data'!E136,"")</f>
        <v>Antal</v>
      </c>
      <c r="F136" t="str">
        <f>IF('[1]Processer - data'!F136&lt;&gt;"",'[1]Processer - data'!F136,"")</f>
        <v>Æg</v>
      </c>
      <c r="G136" t="str">
        <f>IF('[1]Processer - data'!G136&lt;&gt;"",'[1]Processer - data'!G136,"")</f>
        <v>Ton</v>
      </c>
      <c r="H136" s="297">
        <f>IF($A136&lt;&gt;"",IF(VLOOKUP($A136,[1]!Table1[#All],2,FALSE)="Direkte input",IF($A136&lt;&gt;"Grøntsager i drivhus",SUMIFS('Direkte input'!G$3:G$230,'Direkte input'!$F$3:$F$230,$D136,'Direkte input'!$C$3:$C$230,$B136,'Direkte input'!$D$3:$D$230,$C136,'Direkte input'!$A$3:$A$230,$A$1),SUMIFS('Direkte input'!G$3:G$230,'Direkte input'!$F$3:$F$230,$D136,'Direkte input'!$C$3:$C$230,$B136,'Direkte input'!$A$3:$A$230,$A$1)),IF(VLOOKUP($A136,[1]!Table1[#All],2,FALSE)="Resultat",SUMIF($F$1:$F135,$D136,H$1:H135)+SUMIF($F137:$F$512,$D136,H137:H$512),0))*'[1]Processer - data'!H136,"")*IF($C136&lt;&gt;"",IF($F136="Halm",Landbrug!C$16*Landbrug!C$17,IF(LEFT($D136,5)="Areal", IF($G136="Ton",Landbrug!C$18,1),1)),1)*IF($F136="Grøntsager",IF($A136="Grøntsager i drivhus",Landbrug!C$51,1-Landbrug!C$51),1)</f>
        <v>983.98614463731735</v>
      </c>
      <c r="I136" s="298">
        <f>IF($A136&lt;&gt;"",IF(VLOOKUP($A136,[1]!Table1[#All],2,FALSE)="Direkte input",IF($A136&lt;&gt;"Grøntsager i drivhus",SUMIFS('Direkte input'!H$3:H$230,'Direkte input'!$F$3:$F$230,$D136,'Direkte input'!$C$3:$C$230,$B136,'Direkte input'!$D$3:$D$230,$C136,'Direkte input'!$A$3:$A$230,$A$1),SUMIFS('Direkte input'!H$3:H$230,'Direkte input'!$F$3:$F$230,$D136,'Direkte input'!$C$3:$C$230,$B136,'Direkte input'!$A$3:$A$230,$A$1)),IF(VLOOKUP($A136,[1]!Table1[#All],2,FALSE)="Resultat",SUMIF($F$1:$F135,$D136,I$1:I135)+SUMIF($F137:$F$512,$D136,I137:I$512),0))*'[1]Processer - data'!I136,"")*IF($C136&lt;&gt;"",IF($F136="Halm",Landbrug!D$16*Landbrug!D$17,IF(LEFT($D136,5)="Areal", IF($G136="Ton",Landbrug!D$18,1),1)),1)*IF($F136="Grøntsager",IF($A136="Grøntsager i drivhus",Landbrug!D$51,1-Landbrug!D$51),1)</f>
        <v>1605.914040853497</v>
      </c>
      <c r="J136" s="299">
        <f>IF($A136&lt;&gt;"",IF(VLOOKUP($A136,[1]!Table1[#All],2,FALSE)="Direkte input",IF($A136&lt;&gt;"Grøntsager i drivhus",SUMIFS('Direkte input'!I$3:I$230,'Direkte input'!$F$3:$F$230,$D136,'Direkte input'!$C$3:$C$230,$B136,'Direkte input'!$D$3:$D$230,$C136,'Direkte input'!$A$3:$A$230,$A$1),SUMIFS('Direkte input'!I$3:I$230,'Direkte input'!$F$3:$F$230,$D136,'Direkte input'!$C$3:$C$230,$B136,'Direkte input'!$A$3:$A$230,$A$1)),IF(VLOOKUP($A136,[1]!Table1[#All],2,FALSE)="Resultat",SUMIF($F$1:$F135,$D136,J$1:J135)+SUMIF($F137:$F$512,$D136,J137:J$512),0))*'[1]Processer - data'!J136,"")*IF($C136&lt;&gt;"",IF($F136="Halm",Landbrug!E$16*Landbrug!E$17,IF(LEFT($D136,5)="Areal", IF($G136="Ton",Landbrug!E$18,1),1)),1)*IF($F136="Grøntsager",IF($A136="Grøntsager i drivhus",Landbrug!E$51,1-Landbrug!E$51),1)</f>
        <v>1998.187845375347</v>
      </c>
    </row>
    <row r="137" spans="1:10" x14ac:dyDescent="0.25">
      <c r="A137" t="str">
        <f>IF('[1]Processer - data'!A137&lt;&gt;"",'[1]Processer - data'!A137,"")</f>
        <v>Fjerkræbrug</v>
      </c>
      <c r="B137" t="str">
        <f>IF('[1]Processer - data'!B137&lt;&gt;"",'[1]Processer - data'!B137,"")</f>
        <v>Økologisk</v>
      </c>
      <c r="C137" t="str">
        <f>IF('[1]Processer - data'!C137&lt;&gt;"",'[1]Processer - data'!C137,"")</f>
        <v/>
      </c>
      <c r="D137" t="str">
        <f>IF('[1]Processer - data'!D137&lt;&gt;"",'[1]Processer - data'!D137,"")</f>
        <v>Fjerkræ</v>
      </c>
      <c r="E137" t="str">
        <f>IF('[1]Processer - data'!E137&lt;&gt;"",'[1]Processer - data'!E137,"")</f>
        <v>Antal</v>
      </c>
      <c r="F137" t="str">
        <f>IF('[1]Processer - data'!F137&lt;&gt;"",'[1]Processer - data'!F137,"")</f>
        <v>Industriaffald</v>
      </c>
      <c r="G137" t="str">
        <f>IF('[1]Processer - data'!G137&lt;&gt;"",'[1]Processer - data'!G137,"")</f>
        <v>Ton</v>
      </c>
      <c r="H137" s="297">
        <f>IF($A137&lt;&gt;"",IF(VLOOKUP($A137,[1]!Table1[#All],2,FALSE)="Direkte input",IF($A137&lt;&gt;"Grøntsager i drivhus",SUMIFS('Direkte input'!G$3:G$230,'Direkte input'!$F$3:$F$230,$D137,'Direkte input'!$C$3:$C$230,$B137,'Direkte input'!$D$3:$D$230,$C137,'Direkte input'!$A$3:$A$230,$A$1),SUMIFS('Direkte input'!G$3:G$230,'Direkte input'!$F$3:$F$230,$D137,'Direkte input'!$C$3:$C$230,$B137,'Direkte input'!$A$3:$A$230,$A$1)),IF(VLOOKUP($A137,[1]!Table1[#All],2,FALSE)="Resultat",SUMIF($F$1:$F136,$D137,H$1:H136)+SUMIF($F138:$F$512,$D137,H138:H$512),0))*'[1]Processer - data'!H137,"")*IF($C137&lt;&gt;"",IF($F137="Halm",Landbrug!C$16*Landbrug!C$17,IF(LEFT($D137,5)="Areal", IF($G137="Ton",Landbrug!C$18,1),1)),1)*IF($F137="Grøntsager",IF($A137="Grøntsager i drivhus",Landbrug!C$51,1-Landbrug!C$51),1)</f>
        <v>100.97503348524653</v>
      </c>
      <c r="I137" s="298">
        <f>IF($A137&lt;&gt;"",IF(VLOOKUP($A137,[1]!Table1[#All],2,FALSE)="Direkte input",IF($A137&lt;&gt;"Grøntsager i drivhus",SUMIFS('Direkte input'!H$3:H$230,'Direkte input'!$F$3:$F$230,$D137,'Direkte input'!$C$3:$C$230,$B137,'Direkte input'!$D$3:$D$230,$C137,'Direkte input'!$A$3:$A$230,$A$1),SUMIFS('Direkte input'!H$3:H$230,'Direkte input'!$F$3:$F$230,$D137,'Direkte input'!$C$3:$C$230,$B137,'Direkte input'!$A$3:$A$230,$A$1)),IF(VLOOKUP($A137,[1]!Table1[#All],2,FALSE)="Resultat",SUMIF($F$1:$F136,$D137,I$1:I136)+SUMIF($F138:$F$512,$D137,I138:I$512),0))*'[1]Processer - data'!I137,"")*IF($C137&lt;&gt;"",IF($F137="Halm",Landbrug!D$16*Landbrug!D$17,IF(LEFT($D137,5)="Areal", IF($G137="Ton",Landbrug!D$18,1),1)),1)*IF($F137="Grøntsager",IF($A137="Grøntsager i drivhus",Landbrug!D$51,1-Landbrug!D$51),1)</f>
        <v>164.79624731848045</v>
      </c>
      <c r="J137" s="299">
        <f>IF($A137&lt;&gt;"",IF(VLOOKUP($A137,[1]!Table1[#All],2,FALSE)="Direkte input",IF($A137&lt;&gt;"Grøntsager i drivhus",SUMIFS('Direkte input'!I$3:I$230,'Direkte input'!$F$3:$F$230,$D137,'Direkte input'!$C$3:$C$230,$B137,'Direkte input'!$D$3:$D$230,$C137,'Direkte input'!$A$3:$A$230,$A$1),SUMIFS('Direkte input'!I$3:I$230,'Direkte input'!$F$3:$F$230,$D137,'Direkte input'!$C$3:$C$230,$B137,'Direkte input'!$A$3:$A$230,$A$1)),IF(VLOOKUP($A137,[1]!Table1[#All],2,FALSE)="Resultat",SUMIF($F$1:$F136,$D137,J$1:J136)+SUMIF($F138:$F$512,$D137,J138:J$512),0))*'[1]Processer - data'!J137,"")*IF($C137&lt;&gt;"",IF($F137="Halm",Landbrug!E$16*Landbrug!E$17,IF(LEFT($D137,5)="Areal", IF($G137="Ton",Landbrug!E$18,1),1)),1)*IF($F137="Grøntsager",IF($A137="Grøntsager i drivhus",Landbrug!E$51,1-Landbrug!E$51),1)</f>
        <v>205.05073744809346</v>
      </c>
    </row>
    <row r="138" spans="1:10" x14ac:dyDescent="0.25">
      <c r="A138" t="str">
        <f>IF('[1]Processer - data'!A138&lt;&gt;"",'[1]Processer - data'!A138,"")</f>
        <v>Fjerkræbrug</v>
      </c>
      <c r="B138" t="str">
        <f>IF('[1]Processer - data'!B138&lt;&gt;"",'[1]Processer - data'!B138,"")</f>
        <v>Økologisk</v>
      </c>
      <c r="C138" t="str">
        <f>IF('[1]Processer - data'!C138&lt;&gt;"",'[1]Processer - data'!C138,"")</f>
        <v/>
      </c>
      <c r="D138" t="str">
        <f>IF('[1]Processer - data'!D138&lt;&gt;"",'[1]Processer - data'!D138,"")</f>
        <v>Fjerkræ</v>
      </c>
      <c r="E138" t="str">
        <f>IF('[1]Processer - data'!E138&lt;&gt;"",'[1]Processer - data'!E138,"")</f>
        <v>Antal</v>
      </c>
      <c r="F138" t="str">
        <f>IF('[1]Processer - data'!F138&lt;&gt;"",'[1]Processer - data'!F138,"")</f>
        <v>Foder</v>
      </c>
      <c r="G138" t="str">
        <f>IF('[1]Processer - data'!G138&lt;&gt;"",'[1]Processer - data'!G138,"")</f>
        <v>FE</v>
      </c>
      <c r="H138" s="297">
        <f>IF($A138&lt;&gt;"",IF(VLOOKUP($A138,[1]!Table1[#All],2,FALSE)="Direkte input",IF($A138&lt;&gt;"Grøntsager i drivhus",SUMIFS('Direkte input'!G$3:G$230,'Direkte input'!$F$3:$F$230,$D138,'Direkte input'!$C$3:$C$230,$B138,'Direkte input'!$D$3:$D$230,$C138,'Direkte input'!$A$3:$A$230,$A$1),SUMIFS('Direkte input'!G$3:G$230,'Direkte input'!$F$3:$F$230,$D138,'Direkte input'!$C$3:$C$230,$B138,'Direkte input'!$A$3:$A$230,$A$1)),IF(VLOOKUP($A138,[1]!Table1[#All],2,FALSE)="Resultat",SUMIF($F$1:$F137,$D138,H$1:H137)+SUMIF($F139:$F$512,$D138,H139:H$512),0))*'[1]Processer - data'!H138,"")*IF($C138&lt;&gt;"",IF($F138="Halm",Landbrug!C$16*Landbrug!C$17,IF(LEFT($D138,5)="Areal", IF($G138="Ton",Landbrug!C$18,1),1)),1)*IF($F138="Grøntsager",IF($A138="Grøntsager i drivhus",Landbrug!C$51,1-Landbrug!C$51),1)</f>
        <v>-3972959.7600000002</v>
      </c>
      <c r="I138" s="298">
        <f>IF($A138&lt;&gt;"",IF(VLOOKUP($A138,[1]!Table1[#All],2,FALSE)="Direkte input",IF($A138&lt;&gt;"Grøntsager i drivhus",SUMIFS('Direkte input'!H$3:H$230,'Direkte input'!$F$3:$F$230,$D138,'Direkte input'!$C$3:$C$230,$B138,'Direkte input'!$D$3:$D$230,$C138,'Direkte input'!$A$3:$A$230,$A$1),SUMIFS('Direkte input'!H$3:H$230,'Direkte input'!$F$3:$F$230,$D138,'Direkte input'!$C$3:$C$230,$B138,'Direkte input'!$A$3:$A$230,$A$1)),IF(VLOOKUP($A138,[1]!Table1[#All],2,FALSE)="Resultat",SUMIF($F$1:$F137,$D138,I$1:I137)+SUMIF($F139:$F$512,$D138,I139:I$512),0))*'[1]Processer - data'!I138,"")*IF($C138&lt;&gt;"",IF($F138="Halm",Landbrug!D$16*Landbrug!D$17,IF(LEFT($D138,5)="Areal", IF($G138="Ton",Landbrug!D$18,1),1)),1)*IF($F138="Grøntsager",IF($A138="Grøntsager i drivhus",Landbrug!D$51,1-Landbrug!D$51),1)</f>
        <v>-6484066.7697425745</v>
      </c>
      <c r="J138" s="299">
        <f>IF($A138&lt;&gt;"",IF(VLOOKUP($A138,[1]!Table1[#All],2,FALSE)="Direkte input",IF($A138&lt;&gt;"Grøntsager i drivhus",SUMIFS('Direkte input'!I$3:I$230,'Direkte input'!$F$3:$F$230,$D138,'Direkte input'!$C$3:$C$230,$B138,'Direkte input'!$D$3:$D$230,$C138,'Direkte input'!$A$3:$A$230,$A$1),SUMIFS('Direkte input'!I$3:I$230,'Direkte input'!$F$3:$F$230,$D138,'Direkte input'!$C$3:$C$230,$B138,'Direkte input'!$A$3:$A$230,$A$1)),IF(VLOOKUP($A138,[1]!Table1[#All],2,FALSE)="Resultat",SUMIF($F$1:$F137,$D138,J$1:J137)+SUMIF($F139:$F$512,$D138,J139:J$512),0))*'[1]Processer - data'!J138,"")*IF($C138&lt;&gt;"",IF($F138="Halm",Landbrug!E$16*Landbrug!E$17,IF(LEFT($D138,5)="Areal", IF($G138="Ton",Landbrug!E$18,1),1)),1)*IF($F138="Grøntsager",IF($A138="Grøntsager i drivhus",Landbrug!E$51,1-Landbrug!E$51),1)</f>
        <v>-8067918.3806225751</v>
      </c>
    </row>
    <row r="139" spans="1:10" x14ac:dyDescent="0.25">
      <c r="A139" t="str">
        <f>IF('[1]Processer - data'!A139&lt;&gt;"",'[1]Processer - data'!A139,"")</f>
        <v>Fjerkræbrug</v>
      </c>
      <c r="B139" t="str">
        <f>IF('[1]Processer - data'!B139&lt;&gt;"",'[1]Processer - data'!B139,"")</f>
        <v>Økologisk</v>
      </c>
      <c r="C139" t="str">
        <f>IF('[1]Processer - data'!C139&lt;&gt;"",'[1]Processer - data'!C139,"")</f>
        <v/>
      </c>
      <c r="D139" t="str">
        <f>IF('[1]Processer - data'!D139&lt;&gt;"",'[1]Processer - data'!D139,"")</f>
        <v>Fjerkræ</v>
      </c>
      <c r="E139" t="str">
        <f>IF('[1]Processer - data'!E139&lt;&gt;"",'[1]Processer - data'!E139,"")</f>
        <v>Antal</v>
      </c>
      <c r="F139" t="str">
        <f>IF('[1]Processer - data'!F139&lt;&gt;"",'[1]Processer - data'!F139,"")</f>
        <v>Halm</v>
      </c>
      <c r="G139" t="str">
        <f>IF('[1]Processer - data'!G139&lt;&gt;"",'[1]Processer - data'!G139,"")</f>
        <v>Ton</v>
      </c>
      <c r="H139" s="297">
        <f>IF($A139&lt;&gt;"",IF(VLOOKUP($A139,[1]!Table1[#All],2,FALSE)="Direkte input",IF($A139&lt;&gt;"Grøntsager i drivhus",SUMIFS('Direkte input'!G$3:G$230,'Direkte input'!$F$3:$F$230,$D139,'Direkte input'!$C$3:$C$230,$B139,'Direkte input'!$D$3:$D$230,$C139,'Direkte input'!$A$3:$A$230,$A$1),SUMIFS('Direkte input'!G$3:G$230,'Direkte input'!$F$3:$F$230,$D139,'Direkte input'!$C$3:$C$230,$B139,'Direkte input'!$A$3:$A$230,$A$1)),IF(VLOOKUP($A139,[1]!Table1[#All],2,FALSE)="Resultat",SUMIF($F$1:$F138,$D139,H$1:H138)+SUMIF($F140:$F$512,$D139,H140:H$512),0))*'[1]Processer - data'!H139,"")*IF($C139&lt;&gt;"",IF($F139="Halm",Landbrug!C$16*Landbrug!C$17,IF(LEFT($D139,5)="Areal", IF($G139="Ton",Landbrug!C$18,1),1)),1)*IF($F139="Grøntsager",IF($A139="Grøntsager i drivhus",Landbrug!C$51,1-Landbrug!C$51),1)</f>
        <v>-177.36427499999999</v>
      </c>
      <c r="I139" s="298">
        <f>IF($A139&lt;&gt;"",IF(VLOOKUP($A139,[1]!Table1[#All],2,FALSE)="Direkte input",IF($A139&lt;&gt;"Grøntsager i drivhus",SUMIFS('Direkte input'!H$3:H$230,'Direkte input'!$F$3:$F$230,$D139,'Direkte input'!$C$3:$C$230,$B139,'Direkte input'!$D$3:$D$230,$C139,'Direkte input'!$A$3:$A$230,$A$1),SUMIFS('Direkte input'!H$3:H$230,'Direkte input'!$F$3:$F$230,$D139,'Direkte input'!$C$3:$C$230,$B139,'Direkte input'!$A$3:$A$230,$A$1)),IF(VLOOKUP($A139,[1]!Table1[#All],2,FALSE)="Resultat",SUMIF($F$1:$F138,$D139,I$1:I138)+SUMIF($F140:$F$512,$D139,I140:I$512),0))*'[1]Processer - data'!I139,"")*IF($C139&lt;&gt;"",IF($F139="Halm",Landbrug!D$16*Landbrug!D$17,IF(LEFT($D139,5)="Areal", IF($G139="Ton",Landbrug!D$18,1),1)),1)*IF($F139="Grøntsager",IF($A139="Grøntsager i drivhus",Landbrug!D$51,1-Landbrug!D$51),1)</f>
        <v>-289.46726650636492</v>
      </c>
      <c r="J139" s="299">
        <f>IF($A139&lt;&gt;"",IF(VLOOKUP($A139,[1]!Table1[#All],2,FALSE)="Direkte input",IF($A139&lt;&gt;"Grøntsager i drivhus",SUMIFS('Direkte input'!I$3:I$230,'Direkte input'!$F$3:$F$230,$D139,'Direkte input'!$C$3:$C$230,$B139,'Direkte input'!$D$3:$D$230,$C139,'Direkte input'!$A$3:$A$230,$A$1),SUMIFS('Direkte input'!I$3:I$230,'Direkte input'!$F$3:$F$230,$D139,'Direkte input'!$C$3:$C$230,$B139,'Direkte input'!$A$3:$A$230,$A$1)),IF(VLOOKUP($A139,[1]!Table1[#All],2,FALSE)="Resultat",SUMIF($F$1:$F138,$D139,J$1:J138)+SUMIF($F140:$F$512,$D139,J140:J$512),0))*'[1]Processer - data'!J139,"")*IF($C139&lt;&gt;"",IF($F139="Halm",Landbrug!E$16*Landbrug!E$17,IF(LEFT($D139,5)="Areal", IF($G139="Ton",Landbrug!E$18,1),1)),1)*IF($F139="Grøntsager",IF($A139="Grøntsager i drivhus",Landbrug!E$51,1-Landbrug!E$51),1)</f>
        <v>-360.17492770636494</v>
      </c>
    </row>
    <row r="140" spans="1:10" x14ac:dyDescent="0.25">
      <c r="A140" t="str">
        <f>IF('[1]Processer - data'!A140&lt;&gt;"",'[1]Processer - data'!A140,"")</f>
        <v>Fjerkræbrug</v>
      </c>
      <c r="B140" t="str">
        <f>IF('[1]Processer - data'!B140&lt;&gt;"",'[1]Processer - data'!B140,"")</f>
        <v>Økologisk</v>
      </c>
      <c r="C140" t="str">
        <f>IF('[1]Processer - data'!C140&lt;&gt;"",'[1]Processer - data'!C140,"")</f>
        <v/>
      </c>
      <c r="D140" t="str">
        <f>IF('[1]Processer - data'!D140&lt;&gt;"",'[1]Processer - data'!D140,"")</f>
        <v>Fjerkræ</v>
      </c>
      <c r="E140" t="str">
        <f>IF('[1]Processer - data'!E140&lt;&gt;"",'[1]Processer - data'!E140,"")</f>
        <v>Antal</v>
      </c>
      <c r="F140" t="str">
        <f>IF('[1]Processer - data'!F140&lt;&gt;"",'[1]Processer - data'!F140,"")</f>
        <v>CO2 - atmosfære</v>
      </c>
      <c r="G140" t="str">
        <f>IF('[1]Processer - data'!G140&lt;&gt;"",'[1]Processer - data'!G140,"")</f>
        <v>t CO2-ækvivalenter</v>
      </c>
      <c r="H140" s="297">
        <f>IF($A140&lt;&gt;"",IF(VLOOKUP($A140,[1]!Table1[#All],2,FALSE)="Direkte input",IF($A140&lt;&gt;"Grøntsager i drivhus",SUMIFS('Direkte input'!G$3:G$230,'Direkte input'!$F$3:$F$230,$D140,'Direkte input'!$C$3:$C$230,$B140,'Direkte input'!$D$3:$D$230,$C140,'Direkte input'!$A$3:$A$230,$A$1),SUMIFS('Direkte input'!G$3:G$230,'Direkte input'!$F$3:$F$230,$D140,'Direkte input'!$C$3:$C$230,$B140,'Direkte input'!$A$3:$A$230,$A$1)),IF(VLOOKUP($A140,[1]!Table1[#All],2,FALSE)="Resultat",SUMIF($F$1:$F139,$D140,H$1:H139)+SUMIF($F141:$F$512,$D140,H141:H$512),0))*'[1]Processer - data'!H140,"")*IF($C140&lt;&gt;"",IF($F140="Halm",Landbrug!C$16*Landbrug!C$17,IF(LEFT($D140,5)="Areal", IF($G140="Ton",Landbrug!C$18,1),1)),1)*IF($F140="Grøntsager",IF($A140="Grøntsager i drivhus",Landbrug!C$51,1-Landbrug!C$51),1)</f>
        <v>168.75160230287838</v>
      </c>
      <c r="I140" s="298">
        <f>IF($A140&lt;&gt;"",IF(VLOOKUP($A140,[1]!Table1[#All],2,FALSE)="Direkte input",IF($A140&lt;&gt;"Grøntsager i drivhus",SUMIFS('Direkte input'!H$3:H$230,'Direkte input'!$F$3:$F$230,$D140,'Direkte input'!$C$3:$C$230,$B140,'Direkte input'!$D$3:$D$230,$C140,'Direkte input'!$A$3:$A$230,$A$1),SUMIFS('Direkte input'!H$3:H$230,'Direkte input'!$F$3:$F$230,$D140,'Direkte input'!$C$3:$C$230,$B140,'Direkte input'!$A$3:$A$230,$A$1)),IF(VLOOKUP($A140,[1]!Table1[#All],2,FALSE)="Resultat",SUMIF($F$1:$F139,$D140,I$1:I139)+SUMIF($F141:$F$512,$D140,I141:I$512),0))*'[1]Processer - data'!I140,"")*IF($C140&lt;&gt;"",IF($F140="Halm",Landbrug!D$16*Landbrug!D$17,IF(LEFT($D140,5)="Areal", IF($G140="Ton",Landbrug!D$18,1),1)),1)*IF($F140="Grøntsager",IF($A140="Grøntsager i drivhus",Landbrug!D$51,1-Landbrug!D$51),1)</f>
        <v>275.4109588144704</v>
      </c>
      <c r="J140" s="299">
        <f>IF($A140&lt;&gt;"",IF(VLOOKUP($A140,[1]!Table1[#All],2,FALSE)="Direkte input",IF($A140&lt;&gt;"Grøntsager i drivhus",SUMIFS('Direkte input'!I$3:I$230,'Direkte input'!$F$3:$F$230,$D140,'Direkte input'!$C$3:$C$230,$B140,'Direkte input'!$D$3:$D$230,$C140,'Direkte input'!$A$3:$A$230,$A$1),SUMIFS('Direkte input'!I$3:I$230,'Direkte input'!$F$3:$F$230,$D140,'Direkte input'!$C$3:$C$230,$B140,'Direkte input'!$A$3:$A$230,$A$1)),IF(VLOOKUP($A140,[1]!Table1[#All],2,FALSE)="Resultat",SUMIF($F$1:$F139,$D140,J$1:J139)+SUMIF($F141:$F$512,$D140,J141:J$512),0))*'[1]Processer - data'!J140,"")*IF($C140&lt;&gt;"",IF($F140="Halm",Landbrug!E$16*Landbrug!E$17,IF(LEFT($D140,5)="Areal", IF($G140="Ton",Landbrug!E$18,1),1)),1)*IF($F140="Grøntsager",IF($A140="Grøntsager i drivhus",Landbrug!E$51,1-Landbrug!E$51),1)</f>
        <v>342.685110402151</v>
      </c>
    </row>
    <row r="141" spans="1:10" x14ac:dyDescent="0.25">
      <c r="A141" t="str">
        <f>IF('[1]Processer - data'!A141&lt;&gt;"",'[1]Processer - data'!A141,"")</f>
        <v>Kornmark</v>
      </c>
      <c r="B141" t="str">
        <f>IF('[1]Processer - data'!B141&lt;&gt;"",'[1]Processer - data'!B141,"")</f>
        <v>Konventionel</v>
      </c>
      <c r="C141" t="str">
        <f>IF('[1]Processer - data'!C141&lt;&gt;"",'[1]Processer - data'!C141,"")</f>
        <v>JB1-10</v>
      </c>
      <c r="D141" t="str">
        <f>IF('[1]Processer - data'!D141&lt;&gt;"",'[1]Processer - data'!D141,"")</f>
        <v>Areal-korn</v>
      </c>
      <c r="E141" t="str">
        <f>IF('[1]Processer - data'!E141&lt;&gt;"",'[1]Processer - data'!E141,"")</f>
        <v>Hektar</v>
      </c>
      <c r="F141" t="str">
        <f>IF('[1]Processer - data'!F141&lt;&gt;"",'[1]Processer - data'!F141,"")</f>
        <v>Korn</v>
      </c>
      <c r="G141" t="str">
        <f>IF('[1]Processer - data'!G141&lt;&gt;"",'[1]Processer - data'!G141,"")</f>
        <v>Ton</v>
      </c>
      <c r="H141" s="297">
        <f>IF($A141&lt;&gt;"",IF(VLOOKUP($A141,[1]!Table1[#All],2,FALSE)="Direkte input",IF($A141&lt;&gt;"Grøntsager i drivhus",SUMIFS('Direkte input'!G$3:G$230,'Direkte input'!$F$3:$F$230,$D141,'Direkte input'!$C$3:$C$230,$B141,'Direkte input'!$D$3:$D$230,$C141,'Direkte input'!$A$3:$A$230,$A$1),SUMIFS('Direkte input'!G$3:G$230,'Direkte input'!$F$3:$F$230,$D141,'Direkte input'!$C$3:$C$230,$B141,'Direkte input'!$A$3:$A$230,$A$1)),IF(VLOOKUP($A141,[1]!Table1[#All],2,FALSE)="Resultat",SUMIF($F$1:$F140,$D141,H$1:H140)+SUMIF($F142:$F$512,$D141,H142:H$512),0))*'[1]Processer - data'!H141,"")*IF($C141&lt;&gt;"",IF($F141="Halm",Landbrug!C$16*Landbrug!C$17,IF(LEFT($D141,5)="Areal", IF($G141="Ton",Landbrug!C$18,1),1)),1)*IF($F141="Grøntsager",IF($A141="Grøntsager i drivhus",Landbrug!C$51,1-Landbrug!C$51),1)</f>
        <v>2028164.0934439169</v>
      </c>
      <c r="I141" s="298">
        <f>IF($A141&lt;&gt;"",IF(VLOOKUP($A141,[1]!Table1[#All],2,FALSE)="Direkte input",IF($A141&lt;&gt;"Grøntsager i drivhus",SUMIFS('Direkte input'!H$3:H$230,'Direkte input'!$F$3:$F$230,$D141,'Direkte input'!$C$3:$C$230,$B141,'Direkte input'!$D$3:$D$230,$C141,'Direkte input'!$A$3:$A$230,$A$1),SUMIFS('Direkte input'!H$3:H$230,'Direkte input'!$F$3:$F$230,$D141,'Direkte input'!$C$3:$C$230,$B141,'Direkte input'!$A$3:$A$230,$A$1)),IF(VLOOKUP($A141,[1]!Table1[#All],2,FALSE)="Resultat",SUMIF($F$1:$F140,$D141,I$1:I140)+SUMIF($F142:$F$512,$D141,I142:I$512),0))*'[1]Processer - data'!I141,"")*IF($C141&lt;&gt;"",IF($F141="Halm",Landbrug!D$16*Landbrug!D$17,IF(LEFT($D141,5)="Areal", IF($G141="Ton",Landbrug!D$18,1),1)),1)*IF($F141="Grøntsager",IF($A141="Grøntsager i drivhus",Landbrug!D$51,1-Landbrug!D$51),1)</f>
        <v>2110437.6893571499</v>
      </c>
      <c r="J141" s="299">
        <f>IF($A141&lt;&gt;"",IF(VLOOKUP($A141,[1]!Table1[#All],2,FALSE)="Direkte input",IF($A141&lt;&gt;"Grøntsager i drivhus",SUMIFS('Direkte input'!I$3:I$230,'Direkte input'!$F$3:$F$230,$D141,'Direkte input'!$C$3:$C$230,$B141,'Direkte input'!$D$3:$D$230,$C141,'Direkte input'!$A$3:$A$230,$A$1),SUMIFS('Direkte input'!I$3:I$230,'Direkte input'!$F$3:$F$230,$D141,'Direkte input'!$C$3:$C$230,$B141,'Direkte input'!$A$3:$A$230,$A$1)),IF(VLOOKUP($A141,[1]!Table1[#All],2,FALSE)="Resultat",SUMIF($F$1:$F140,$D141,J$1:J140)+SUMIF($F142:$F$512,$D141,J142:J$512),0))*'[1]Processer - data'!J141,"")*IF($C141&lt;&gt;"",IF($F141="Halm",Landbrug!E$16*Landbrug!E$17,IF(LEFT($D141,5)="Areal", IF($G141="Ton",Landbrug!E$18,1),1)),1)*IF($F141="Grøntsager",IF($A141="Grøntsager i drivhus",Landbrug!E$51,1-Landbrug!E$51),1)</f>
        <v>2139389.0525819138</v>
      </c>
    </row>
    <row r="142" spans="1:10" x14ac:dyDescent="0.25">
      <c r="A142" t="str">
        <f>IF('[1]Processer - data'!A142&lt;&gt;"",'[1]Processer - data'!A142,"")</f>
        <v>Kornmark</v>
      </c>
      <c r="B142" t="str">
        <f>IF('[1]Processer - data'!B142&lt;&gt;"",'[1]Processer - data'!B142,"")</f>
        <v>Konventionel</v>
      </c>
      <c r="C142" t="str">
        <f>IF('[1]Processer - data'!C142&lt;&gt;"",'[1]Processer - data'!C142,"")</f>
        <v>JB1-10</v>
      </c>
      <c r="D142" t="str">
        <f>IF('[1]Processer - data'!D142&lt;&gt;"",'[1]Processer - data'!D142,"")</f>
        <v>Areal-korn</v>
      </c>
      <c r="E142" t="str">
        <f>IF('[1]Processer - data'!E142&lt;&gt;"",'[1]Processer - data'!E142,"")</f>
        <v>Hektar</v>
      </c>
      <c r="F142" t="str">
        <f>IF('[1]Processer - data'!F142&lt;&gt;"",'[1]Processer - data'!F142,"")</f>
        <v>Halm</v>
      </c>
      <c r="G142" t="str">
        <f>IF('[1]Processer - data'!G142&lt;&gt;"",'[1]Processer - data'!G142,"")</f>
        <v>Ton</v>
      </c>
      <c r="H142" s="297">
        <f>IF($A142&lt;&gt;"",IF(VLOOKUP($A142,[1]!Table1[#All],2,FALSE)="Direkte input",IF($A142&lt;&gt;"Grøntsager i drivhus",SUMIFS('Direkte input'!G$3:G$230,'Direkte input'!$F$3:$F$230,$D142,'Direkte input'!$C$3:$C$230,$B142,'Direkte input'!$D$3:$D$230,$C142,'Direkte input'!$A$3:$A$230,$A$1),SUMIFS('Direkte input'!G$3:G$230,'Direkte input'!$F$3:$F$230,$D142,'Direkte input'!$C$3:$C$230,$B142,'Direkte input'!$A$3:$A$230,$A$1)),IF(VLOOKUP($A142,[1]!Table1[#All],2,FALSE)="Resultat",SUMIF($F$1:$F141,$D142,H$1:H141)+SUMIF($F143:$F$512,$D142,H143:H$512),0))*'[1]Processer - data'!H142,"")*IF($C142&lt;&gt;"",IF($F142="Halm",Landbrug!C$16*Landbrug!C$17,IF(LEFT($D142,5)="Areal", IF($G142="Ton",Landbrug!C$18,1),1)),1)*IF($F142="Grøntsager",IF($A142="Grøntsager i drivhus",Landbrug!C$51,1-Landbrug!C$51),1)</f>
        <v>661987.68968986103</v>
      </c>
      <c r="I142" s="298">
        <f>IF($A142&lt;&gt;"",IF(VLOOKUP($A142,[1]!Table1[#All],2,FALSE)="Direkte input",IF($A142&lt;&gt;"Grøntsager i drivhus",SUMIFS('Direkte input'!H$3:H$230,'Direkte input'!$F$3:$F$230,$D142,'Direkte input'!$C$3:$C$230,$B142,'Direkte input'!$D$3:$D$230,$C142,'Direkte input'!$A$3:$A$230,$A$1),SUMIFS('Direkte input'!H$3:H$230,'Direkte input'!$F$3:$F$230,$D142,'Direkte input'!$C$3:$C$230,$B142,'Direkte input'!$A$3:$A$230,$A$1)),IF(VLOOKUP($A142,[1]!Table1[#All],2,FALSE)="Resultat",SUMIF($F$1:$F141,$D142,I$1:I141)+SUMIF($F143:$F$512,$D142,I143:I$512),0))*'[1]Processer - data'!I142,"")*IF($C142&lt;&gt;"",IF($F142="Halm",Landbrug!D$16*Landbrug!D$17,IF(LEFT($D142,5)="Areal", IF($G142="Ton",Landbrug!D$18,1),1)),1)*IF($F142="Grøntsager",IF($A142="Grøntsager i drivhus",Landbrug!D$51,1-Landbrug!D$51),1)</f>
        <v>638840.51324290596</v>
      </c>
      <c r="J142" s="299">
        <f>IF($A142&lt;&gt;"",IF(VLOOKUP($A142,[1]!Table1[#All],2,FALSE)="Direkte input",IF($A142&lt;&gt;"Grøntsager i drivhus",SUMIFS('Direkte input'!I$3:I$230,'Direkte input'!$F$3:$F$230,$D142,'Direkte input'!$C$3:$C$230,$B142,'Direkte input'!$D$3:$D$230,$C142,'Direkte input'!$A$3:$A$230,$A$1),SUMIFS('Direkte input'!I$3:I$230,'Direkte input'!$F$3:$F$230,$D142,'Direkte input'!$C$3:$C$230,$B142,'Direkte input'!$A$3:$A$230,$A$1)),IF(VLOOKUP($A142,[1]!Table1[#All],2,FALSE)="Resultat",SUMIF($F$1:$F141,$D142,J$1:J141)+SUMIF($F143:$F$512,$D142,J143:J$512),0))*'[1]Processer - data'!J142,"")*IF($C142&lt;&gt;"",IF($F142="Halm",Landbrug!E$16*Landbrug!E$17,IF(LEFT($D142,5)="Areal", IF($G142="Ton",Landbrug!E$18,1),1)),1)*IF($F142="Grøntsager",IF($A142="Grøntsager i drivhus",Landbrug!E$51,1-Landbrug!E$51),1)</f>
        <v>603679.78048941819</v>
      </c>
    </row>
    <row r="143" spans="1:10" x14ac:dyDescent="0.25">
      <c r="A143" t="str">
        <f>IF('[1]Processer - data'!A143&lt;&gt;"",'[1]Processer - data'!A143,"")</f>
        <v>Kornmark</v>
      </c>
      <c r="B143" t="str">
        <f>IF('[1]Processer - data'!B143&lt;&gt;"",'[1]Processer - data'!B143,"")</f>
        <v>Konventionel</v>
      </c>
      <c r="C143" t="str">
        <f>IF('[1]Processer - data'!C143&lt;&gt;"",'[1]Processer - data'!C143,"")</f>
        <v>JB1-10</v>
      </c>
      <c r="D143" t="str">
        <f>IF('[1]Processer - data'!D143&lt;&gt;"",'[1]Processer - data'!D143,"")</f>
        <v>Areal-korn</v>
      </c>
      <c r="E143" t="str">
        <f>IF('[1]Processer - data'!E143&lt;&gt;"",'[1]Processer - data'!E143,"")</f>
        <v>Hektar</v>
      </c>
      <c r="F143" t="str">
        <f>IF('[1]Processer - data'!F143&lt;&gt;"",'[1]Processer - data'!F143,"")</f>
        <v>Gødning</v>
      </c>
      <c r="G143" t="str">
        <f>IF('[1]Processer - data'!G143&lt;&gt;"",'[1]Processer - data'!G143,"")</f>
        <v>kg N</v>
      </c>
      <c r="H143" s="297">
        <f>IF($A143&lt;&gt;"",IF(VLOOKUP($A143,[1]!Table1[#All],2,FALSE)="Direkte input",IF($A143&lt;&gt;"Grøntsager i drivhus",SUMIFS('Direkte input'!G$3:G$230,'Direkte input'!$F$3:$F$230,$D143,'Direkte input'!$C$3:$C$230,$B143,'Direkte input'!$D$3:$D$230,$C143,'Direkte input'!$A$3:$A$230,$A$1),SUMIFS('Direkte input'!G$3:G$230,'Direkte input'!$F$3:$F$230,$D143,'Direkte input'!$C$3:$C$230,$B143,'Direkte input'!$A$3:$A$230,$A$1)),IF(VLOOKUP($A143,[1]!Table1[#All],2,FALSE)="Resultat",SUMIF($F$1:$F142,$D143,H$1:H142)+SUMIF($F144:$F$512,$D143,H144:H$512),0))*'[1]Processer - data'!H143,"")*IF($C143&lt;&gt;"",IF($F143="Halm",Landbrug!C$16*Landbrug!C$17,IF(LEFT($D143,5)="Areal", IF($G143="Ton",Landbrug!C$18,1),1)),1)*IF($F143="Grøntsager",IF($A143="Grøntsager i drivhus",Landbrug!C$51,1-Landbrug!C$51),1)</f>
        <v>-46291905.128534481</v>
      </c>
      <c r="I143" s="298">
        <f>IF($A143&lt;&gt;"",IF(VLOOKUP($A143,[1]!Table1[#All],2,FALSE)="Direkte input",IF($A143&lt;&gt;"Grøntsager i drivhus",SUMIFS('Direkte input'!H$3:H$230,'Direkte input'!$F$3:$F$230,$D143,'Direkte input'!$C$3:$C$230,$B143,'Direkte input'!$D$3:$D$230,$C143,'Direkte input'!$A$3:$A$230,$A$1),SUMIFS('Direkte input'!H$3:H$230,'Direkte input'!$F$3:$F$230,$D143,'Direkte input'!$C$3:$C$230,$B143,'Direkte input'!$A$3:$A$230,$A$1)),IF(VLOOKUP($A143,[1]!Table1[#All],2,FALSE)="Resultat",SUMIF($F$1:$F142,$D143,I$1:I142)+SUMIF($F144:$F$512,$D143,I144:I$512),0))*'[1]Processer - data'!I143,"")*IF($C143&lt;&gt;"",IF($F143="Halm",Landbrug!D$16*Landbrug!D$17,IF(LEFT($D143,5)="Areal", IF($G143="Ton",Landbrug!D$18,1),1)),1)*IF($F143="Grøntsager",IF($A143="Grøntsager i drivhus",Landbrug!D$51,1-Landbrug!D$51),1)</f>
        <v>-44934479.301576629</v>
      </c>
      <c r="J143" s="299">
        <f>IF($A143&lt;&gt;"",IF(VLOOKUP($A143,[1]!Table1[#All],2,FALSE)="Direkte input",IF($A143&lt;&gt;"Grøntsager i drivhus",SUMIFS('Direkte input'!I$3:I$230,'Direkte input'!$F$3:$F$230,$D143,'Direkte input'!$C$3:$C$230,$B143,'Direkte input'!$D$3:$D$230,$C143,'Direkte input'!$A$3:$A$230,$A$1),SUMIFS('Direkte input'!I$3:I$230,'Direkte input'!$F$3:$F$230,$D143,'Direkte input'!$C$3:$C$230,$B143,'Direkte input'!$A$3:$A$230,$A$1)),IF(VLOOKUP($A143,[1]!Table1[#All],2,FALSE)="Resultat",SUMIF($F$1:$F142,$D143,J$1:J142)+SUMIF($F144:$F$512,$D143,J144:J$512),0))*'[1]Processer - data'!J143,"")*IF($C143&lt;&gt;"",IF($F143="Halm",Landbrug!E$16*Landbrug!E$17,IF(LEFT($D143,5)="Areal", IF($G143="Ton",Landbrug!E$18,1),1)),1)*IF($F143="Grøntsager",IF($A143="Grøntsager i drivhus",Landbrug!E$51,1-Landbrug!E$51),1)</f>
        <v>-42461359.351622678</v>
      </c>
    </row>
    <row r="144" spans="1:10" x14ac:dyDescent="0.25">
      <c r="A144" t="str">
        <f>IF('[1]Processer - data'!A144&lt;&gt;"",'[1]Processer - data'!A144,"")</f>
        <v>Kornmark</v>
      </c>
      <c r="B144" t="str">
        <f>IF('[1]Processer - data'!B144&lt;&gt;"",'[1]Processer - data'!B144,"")</f>
        <v>Konventionel</v>
      </c>
      <c r="C144" t="str">
        <f>IF('[1]Processer - data'!C144&lt;&gt;"",'[1]Processer - data'!C144,"")</f>
        <v>JB1-10</v>
      </c>
      <c r="D144" t="str">
        <f>IF('[1]Processer - data'!D144&lt;&gt;"",'[1]Processer - data'!D144,"")</f>
        <v>Areal-korn</v>
      </c>
      <c r="E144" t="str">
        <f>IF('[1]Processer - data'!E144&lt;&gt;"",'[1]Processer - data'!E144,"")</f>
        <v>Hektar</v>
      </c>
      <c r="F144" t="str">
        <f>IF('[1]Processer - data'!F144&lt;&gt;"",'[1]Processer - data'!F144,"")</f>
        <v>CO2 - atmosfære</v>
      </c>
      <c r="G144" t="str">
        <f>IF('[1]Processer - data'!G144&lt;&gt;"",'[1]Processer - data'!G144,"")</f>
        <v>t CO2-ækvivalenter</v>
      </c>
      <c r="H144" s="297">
        <f>IF($A144&lt;&gt;"",IF(VLOOKUP($A144,[1]!Table1[#All],2,FALSE)="Direkte input",IF($A144&lt;&gt;"Grøntsager i drivhus",SUMIFS('Direkte input'!G$3:G$230,'Direkte input'!$F$3:$F$230,$D144,'Direkte input'!$C$3:$C$230,$B144,'Direkte input'!$D$3:$D$230,$C144,'Direkte input'!$A$3:$A$230,$A$1),SUMIFS('Direkte input'!G$3:G$230,'Direkte input'!$F$3:$F$230,$D144,'Direkte input'!$C$3:$C$230,$B144,'Direkte input'!$A$3:$A$230,$A$1)),IF(VLOOKUP($A144,[1]!Table1[#All],2,FALSE)="Resultat",SUMIF($F$1:$F143,$D144,H$1:H143)+SUMIF($F145:$F$512,$D144,H145:H$512),0))*'[1]Processer - data'!H144,"")*IF($C144&lt;&gt;"",IF($F144="Halm",Landbrug!C$16*Landbrug!C$17,IF(LEFT($D144,5)="Areal", IF($G144="Ton",Landbrug!C$18,1),1)),1)*IF($F144="Grøntsager",IF($A144="Grøntsager i drivhus",Landbrug!C$51,1-Landbrug!C$51),1)</f>
        <v>657835.27469325101</v>
      </c>
      <c r="I144" s="298">
        <f>IF($A144&lt;&gt;"",IF(VLOOKUP($A144,[1]!Table1[#All],2,FALSE)="Direkte input",IF($A144&lt;&gt;"Grøntsager i drivhus",SUMIFS('Direkte input'!H$3:H$230,'Direkte input'!$F$3:$F$230,$D144,'Direkte input'!$C$3:$C$230,$B144,'Direkte input'!$D$3:$D$230,$C144,'Direkte input'!$A$3:$A$230,$A$1),SUMIFS('Direkte input'!H$3:H$230,'Direkte input'!$F$3:$F$230,$D144,'Direkte input'!$C$3:$C$230,$B144,'Direkte input'!$A$3:$A$230,$A$1)),IF(VLOOKUP($A144,[1]!Table1[#All],2,FALSE)="Resultat",SUMIF($F$1:$F143,$D144,I$1:I143)+SUMIF($F145:$F$512,$D144,I145:I$512),0))*'[1]Processer - data'!I144,"")*IF($C144&lt;&gt;"",IF($F144="Halm",Landbrug!D$16*Landbrug!D$17,IF(LEFT($D144,5)="Areal", IF($G144="Ton",Landbrug!D$18,1),1)),1)*IF($F144="Grøntsager",IF($A144="Grøntsager i drivhus",Landbrug!D$51,1-Landbrug!D$51),1)</f>
        <v>638545.45308679249</v>
      </c>
      <c r="J144" s="299">
        <f>IF($A144&lt;&gt;"",IF(VLOOKUP($A144,[1]!Table1[#All],2,FALSE)="Direkte input",IF($A144&lt;&gt;"Grøntsager i drivhus",SUMIFS('Direkte input'!I$3:I$230,'Direkte input'!$F$3:$F$230,$D144,'Direkte input'!$C$3:$C$230,$B144,'Direkte input'!$D$3:$D$230,$C144,'Direkte input'!$A$3:$A$230,$A$1),SUMIFS('Direkte input'!I$3:I$230,'Direkte input'!$F$3:$F$230,$D144,'Direkte input'!$C$3:$C$230,$B144,'Direkte input'!$A$3:$A$230,$A$1)),IF(VLOOKUP($A144,[1]!Table1[#All],2,FALSE)="Resultat",SUMIF($F$1:$F143,$D144,J$1:J143)+SUMIF($F145:$F$512,$D144,J145:J$512),0))*'[1]Processer - data'!J144,"")*IF($C144&lt;&gt;"",IF($F144="Halm",Landbrug!E$16*Landbrug!E$17,IF(LEFT($D144,5)="Areal", IF($G144="Ton",Landbrug!E$18,1),1)),1)*IF($F144="Grøntsager",IF($A144="Grøntsager i drivhus",Landbrug!E$51,1-Landbrug!E$51),1)</f>
        <v>603400.95995975356</v>
      </c>
    </row>
    <row r="145" spans="1:10" x14ac:dyDescent="0.25">
      <c r="A145" t="str">
        <f>IF('[1]Processer - data'!A145&lt;&gt;"",'[1]Processer - data'!A145,"")</f>
        <v>Kornmark</v>
      </c>
      <c r="B145" t="str">
        <f>IF('[1]Processer - data'!B145&lt;&gt;"",'[1]Processer - data'!B145,"")</f>
        <v>Konventionel</v>
      </c>
      <c r="C145" t="str">
        <f>IF('[1]Processer - data'!C145&lt;&gt;"",'[1]Processer - data'!C145,"")</f>
        <v>OC6</v>
      </c>
      <c r="D145" t="str">
        <f>IF('[1]Processer - data'!D145&lt;&gt;"",'[1]Processer - data'!D145,"")</f>
        <v>Areal-korn</v>
      </c>
      <c r="E145" t="str">
        <f>IF('[1]Processer - data'!E145&lt;&gt;"",'[1]Processer - data'!E145,"")</f>
        <v>Hektar</v>
      </c>
      <c r="F145" t="str">
        <f>IF('[1]Processer - data'!F145&lt;&gt;"",'[1]Processer - data'!F145,"")</f>
        <v>Korn</v>
      </c>
      <c r="G145" t="str">
        <f>IF('[1]Processer - data'!G145&lt;&gt;"",'[1]Processer - data'!G145,"")</f>
        <v>Ton</v>
      </c>
      <c r="H145" s="297">
        <f>IF($A145&lt;&gt;"",IF(VLOOKUP($A145,[1]!Table1[#All],2,FALSE)="Direkte input",IF($A145&lt;&gt;"Grøntsager i drivhus",SUMIFS('Direkte input'!G$3:G$230,'Direkte input'!$F$3:$F$230,$D145,'Direkte input'!$C$3:$C$230,$B145,'Direkte input'!$D$3:$D$230,$C145,'Direkte input'!$A$3:$A$230,$A$1),SUMIFS('Direkte input'!G$3:G$230,'Direkte input'!$F$3:$F$230,$D145,'Direkte input'!$C$3:$C$230,$B145,'Direkte input'!$A$3:$A$230,$A$1)),IF(VLOOKUP($A145,[1]!Table1[#All],2,FALSE)="Resultat",SUMIF($F$1:$F144,$D145,H$1:H144)+SUMIF($F146:$F$512,$D145,H146:H$512),0))*'[1]Processer - data'!H145,"")*IF($C145&lt;&gt;"",IF($F145="Halm",Landbrug!C$16*Landbrug!C$17,IF(LEFT($D145,5)="Areal", IF($G145="Ton",Landbrug!C$18,1),1)),1)*IF($F145="Grøntsager",IF($A145="Grøntsager i drivhus",Landbrug!C$51,1-Landbrug!C$51),1)</f>
        <v>37866.835483442483</v>
      </c>
      <c r="I145" s="298">
        <f>IF($A145&lt;&gt;"",IF(VLOOKUP($A145,[1]!Table1[#All],2,FALSE)="Direkte input",IF($A145&lt;&gt;"Grøntsager i drivhus",SUMIFS('Direkte input'!H$3:H$230,'Direkte input'!$F$3:$F$230,$D145,'Direkte input'!$C$3:$C$230,$B145,'Direkte input'!$D$3:$D$230,$C145,'Direkte input'!$A$3:$A$230,$A$1),SUMIFS('Direkte input'!H$3:H$230,'Direkte input'!$F$3:$F$230,$D145,'Direkte input'!$C$3:$C$230,$B145,'Direkte input'!$A$3:$A$230,$A$1)),IF(VLOOKUP($A145,[1]!Table1[#All],2,FALSE)="Resultat",SUMIF($F$1:$F144,$D145,I$1:I144)+SUMIF($F146:$F$512,$D145,I146:I$512),0))*'[1]Processer - data'!I145,"")*IF($C145&lt;&gt;"",IF($F145="Halm",Landbrug!D$16*Landbrug!D$17,IF(LEFT($D145,5)="Areal", IF($G145="Ton",Landbrug!D$18,1),1)),1)*IF($F145="Grøntsager",IF($A145="Grøntsager i drivhus",Landbrug!D$51,1-Landbrug!D$51),1)</f>
        <v>36717.678150801716</v>
      </c>
      <c r="J145" s="299">
        <f>IF($A145&lt;&gt;"",IF(VLOOKUP($A145,[1]!Table1[#All],2,FALSE)="Direkte input",IF($A145&lt;&gt;"Grøntsager i drivhus",SUMIFS('Direkte input'!I$3:I$230,'Direkte input'!$F$3:$F$230,$D145,'Direkte input'!$C$3:$C$230,$B145,'Direkte input'!$D$3:$D$230,$C145,'Direkte input'!$A$3:$A$230,$A$1),SUMIFS('Direkte input'!I$3:I$230,'Direkte input'!$F$3:$F$230,$D145,'Direkte input'!$C$3:$C$230,$B145,'Direkte input'!$A$3:$A$230,$A$1)),IF(VLOOKUP($A145,[1]!Table1[#All],2,FALSE)="Resultat",SUMIF($F$1:$F144,$D145,J$1:J144)+SUMIF($F146:$F$512,$D145,J146:J$512),0))*'[1]Processer - data'!J145,"")*IF($C145&lt;&gt;"",IF($F145="Halm",Landbrug!E$16*Landbrug!E$17,IF(LEFT($D145,5)="Areal", IF($G145="Ton",Landbrug!E$18,1),1)),1)*IF($F145="Grøntsager",IF($A145="Grøntsager i drivhus",Landbrug!E$51,1-Landbrug!E$51),1)</f>
        <v>37567.829723032017</v>
      </c>
    </row>
    <row r="146" spans="1:10" x14ac:dyDescent="0.25">
      <c r="A146" t="str">
        <f>IF('[1]Processer - data'!A146&lt;&gt;"",'[1]Processer - data'!A146,"")</f>
        <v>Kornmark</v>
      </c>
      <c r="B146" t="str">
        <f>IF('[1]Processer - data'!B146&lt;&gt;"",'[1]Processer - data'!B146,"")</f>
        <v>Konventionel</v>
      </c>
      <c r="C146" t="str">
        <f>IF('[1]Processer - data'!C146&lt;&gt;"",'[1]Processer - data'!C146,"")</f>
        <v>OC6</v>
      </c>
      <c r="D146" t="str">
        <f>IF('[1]Processer - data'!D146&lt;&gt;"",'[1]Processer - data'!D146,"")</f>
        <v>Areal-korn</v>
      </c>
      <c r="E146" t="str">
        <f>IF('[1]Processer - data'!E146&lt;&gt;"",'[1]Processer - data'!E146,"")</f>
        <v>Hektar</v>
      </c>
      <c r="F146" t="str">
        <f>IF('[1]Processer - data'!F146&lt;&gt;"",'[1]Processer - data'!F146,"")</f>
        <v>Halm</v>
      </c>
      <c r="G146" t="str">
        <f>IF('[1]Processer - data'!G146&lt;&gt;"",'[1]Processer - data'!G146,"")</f>
        <v>Ton</v>
      </c>
      <c r="H146" s="297">
        <f>IF($A146&lt;&gt;"",IF(VLOOKUP($A146,[1]!Table1[#All],2,FALSE)="Direkte input",IF($A146&lt;&gt;"Grøntsager i drivhus",SUMIFS('Direkte input'!G$3:G$230,'Direkte input'!$F$3:$F$230,$D146,'Direkte input'!$C$3:$C$230,$B146,'Direkte input'!$D$3:$D$230,$C146,'Direkte input'!$A$3:$A$230,$A$1),SUMIFS('Direkte input'!G$3:G$230,'Direkte input'!$F$3:$F$230,$D146,'Direkte input'!$C$3:$C$230,$B146,'Direkte input'!$A$3:$A$230,$A$1)),IF(VLOOKUP($A146,[1]!Table1[#All],2,FALSE)="Resultat",SUMIF($F$1:$F145,$D146,H$1:H145)+SUMIF($F147:$F$512,$D146,H147:H$512),0))*'[1]Processer - data'!H146,"")*IF($C146&lt;&gt;"",IF($F146="Halm",Landbrug!C$16*Landbrug!C$17,IF(LEFT($D146,5)="Areal", IF($G146="Ton",Landbrug!C$18,1),1)),1)*IF($F146="Grøntsager",IF($A146="Grøntsager i drivhus",Landbrug!C$51,1-Landbrug!C$51),1)</f>
        <v>12359.64043470692</v>
      </c>
      <c r="I146" s="298">
        <f>IF($A146&lt;&gt;"",IF(VLOOKUP($A146,[1]!Table1[#All],2,FALSE)="Direkte input",IF($A146&lt;&gt;"Grøntsager i drivhus",SUMIFS('Direkte input'!H$3:H$230,'Direkte input'!$F$3:$F$230,$D146,'Direkte input'!$C$3:$C$230,$B146,'Direkte input'!$D$3:$D$230,$C146,'Direkte input'!$A$3:$A$230,$A$1),SUMIFS('Direkte input'!H$3:H$230,'Direkte input'!$F$3:$F$230,$D146,'Direkte input'!$C$3:$C$230,$B146,'Direkte input'!$A$3:$A$230,$A$1)),IF(VLOOKUP($A146,[1]!Table1[#All],2,FALSE)="Resultat",SUMIF($F$1:$F145,$D146,I$1:I145)+SUMIF($F147:$F$512,$D146,I147:I$512),0))*'[1]Processer - data'!I146,"")*IF($C146&lt;&gt;"",IF($F146="Halm",Landbrug!D$16*Landbrug!D$17,IF(LEFT($D146,5)="Areal", IF($G146="Ton",Landbrug!D$18,1),1)),1)*IF($F146="Grøntsager",IF($A146="Grøntsager i drivhus",Landbrug!D$51,1-Landbrug!D$51),1)</f>
        <v>11114.632985014139</v>
      </c>
      <c r="J146" s="299">
        <f>IF($A146&lt;&gt;"",IF(VLOOKUP($A146,[1]!Table1[#All],2,FALSE)="Direkte input",IF($A146&lt;&gt;"Grøntsager i drivhus",SUMIFS('Direkte input'!I$3:I$230,'Direkte input'!$F$3:$F$230,$D146,'Direkte input'!$C$3:$C$230,$B146,'Direkte input'!$D$3:$D$230,$C146,'Direkte input'!$A$3:$A$230,$A$1),SUMIFS('Direkte input'!I$3:I$230,'Direkte input'!$F$3:$F$230,$D146,'Direkte input'!$C$3:$C$230,$B146,'Direkte input'!$A$3:$A$230,$A$1)),IF(VLOOKUP($A146,[1]!Table1[#All],2,FALSE)="Resultat",SUMIF($F$1:$F145,$D146,J$1:J145)+SUMIF($F147:$F$512,$D146,J147:J$512),0))*'[1]Processer - data'!J146,"")*IF($C146&lt;&gt;"",IF($F146="Halm",Landbrug!E$16*Landbrug!E$17,IF(LEFT($D146,5)="Areal", IF($G146="Ton",Landbrug!E$18,1),1)),1)*IF($F146="Grøntsager",IF($A146="Grøntsager i drivhus",Landbrug!E$51,1-Landbrug!E$51),1)</f>
        <v>10600.661517499037</v>
      </c>
    </row>
    <row r="147" spans="1:10" x14ac:dyDescent="0.25">
      <c r="A147" t="str">
        <f>IF('[1]Processer - data'!A147&lt;&gt;"",'[1]Processer - data'!A147,"")</f>
        <v>Kornmark</v>
      </c>
      <c r="B147" t="str">
        <f>IF('[1]Processer - data'!B147&lt;&gt;"",'[1]Processer - data'!B147,"")</f>
        <v>Konventionel</v>
      </c>
      <c r="C147" t="str">
        <f>IF('[1]Processer - data'!C147&lt;&gt;"",'[1]Processer - data'!C147,"")</f>
        <v>OC6</v>
      </c>
      <c r="D147" t="str">
        <f>IF('[1]Processer - data'!D147&lt;&gt;"",'[1]Processer - data'!D147,"")</f>
        <v>Areal-korn</v>
      </c>
      <c r="E147" t="str">
        <f>IF('[1]Processer - data'!E147&lt;&gt;"",'[1]Processer - data'!E147,"")</f>
        <v>Hektar</v>
      </c>
      <c r="F147" t="str">
        <f>IF('[1]Processer - data'!F147&lt;&gt;"",'[1]Processer - data'!F147,"")</f>
        <v>Gødning</v>
      </c>
      <c r="G147" t="str">
        <f>IF('[1]Processer - data'!G147&lt;&gt;"",'[1]Processer - data'!G147,"")</f>
        <v>kg N</v>
      </c>
      <c r="H147" s="297">
        <f>IF($A147&lt;&gt;"",IF(VLOOKUP($A147,[1]!Table1[#All],2,FALSE)="Direkte input",IF($A147&lt;&gt;"Grøntsager i drivhus",SUMIFS('Direkte input'!G$3:G$230,'Direkte input'!$F$3:$F$230,$D147,'Direkte input'!$C$3:$C$230,$B147,'Direkte input'!$D$3:$D$230,$C147,'Direkte input'!$A$3:$A$230,$A$1),SUMIFS('Direkte input'!G$3:G$230,'Direkte input'!$F$3:$F$230,$D147,'Direkte input'!$C$3:$C$230,$B147,'Direkte input'!$A$3:$A$230,$A$1)),IF(VLOOKUP($A147,[1]!Table1[#All],2,FALSE)="Resultat",SUMIF($F$1:$F146,$D147,H$1:H146)+SUMIF($F148:$F$512,$D147,H148:H$512),0))*'[1]Processer - data'!H147,"")*IF($C147&lt;&gt;"",IF($F147="Halm",Landbrug!C$16*Landbrug!C$17,IF(LEFT($D147,5)="Areal", IF($G147="Ton",Landbrug!C$18,1),1)),1)*IF($F147="Grøntsager",IF($A147="Grøntsager i drivhus",Landbrug!C$51,1-Landbrug!C$51),1)</f>
        <v>-585198.3610137332</v>
      </c>
      <c r="I147" s="298">
        <f>IF($A147&lt;&gt;"",IF(VLOOKUP($A147,[1]!Table1[#All],2,FALSE)="Direkte input",IF($A147&lt;&gt;"Grøntsager i drivhus",SUMIFS('Direkte input'!H$3:H$230,'Direkte input'!$F$3:$F$230,$D147,'Direkte input'!$C$3:$C$230,$B147,'Direkte input'!$D$3:$D$230,$C147,'Direkte input'!$A$3:$A$230,$A$1),SUMIFS('Direkte input'!H$3:H$230,'Direkte input'!$F$3:$F$230,$D147,'Direkte input'!$C$3:$C$230,$B147,'Direkte input'!$A$3:$A$230,$A$1)),IF(VLOOKUP($A147,[1]!Table1[#All],2,FALSE)="Resultat",SUMIF($F$1:$F146,$D147,I$1:I146)+SUMIF($F148:$F$512,$D147,I148:I$512),0))*'[1]Processer - data'!I147,"")*IF($C147&lt;&gt;"",IF($F147="Halm",Landbrug!D$16*Landbrug!D$17,IF(LEFT($D147,5)="Areal", IF($G147="Ton",Landbrug!D$18,1),1)),1)*IF($F147="Grøntsager",IF($A147="Grøntsager i drivhus",Landbrug!D$51,1-Landbrug!D$51),1)</f>
        <v>-529327.56860360107</v>
      </c>
      <c r="J147" s="299">
        <f>IF($A147&lt;&gt;"",IF(VLOOKUP($A147,[1]!Table1[#All],2,FALSE)="Direkte input",IF($A147&lt;&gt;"Grøntsager i drivhus",SUMIFS('Direkte input'!I$3:I$230,'Direkte input'!$F$3:$F$230,$D147,'Direkte input'!$C$3:$C$230,$B147,'Direkte input'!$D$3:$D$230,$C147,'Direkte input'!$A$3:$A$230,$A$1),SUMIFS('Direkte input'!I$3:I$230,'Direkte input'!$F$3:$F$230,$D147,'Direkte input'!$C$3:$C$230,$B147,'Direkte input'!$A$3:$A$230,$A$1)),IF(VLOOKUP($A147,[1]!Table1[#All],2,FALSE)="Resultat",SUMIF($F$1:$F146,$D147,J$1:J146)+SUMIF($F148:$F$512,$D147,J148:J$512),0))*'[1]Processer - data'!J147,"")*IF($C147&lt;&gt;"",IF($F147="Halm",Landbrug!E$16*Landbrug!E$17,IF(LEFT($D147,5)="Areal", IF($G147="Ton",Landbrug!E$18,1),1)),1)*IF($F147="Grøntsager",IF($A147="Grøntsager i drivhus",Landbrug!E$51,1-Landbrug!E$51),1)</f>
        <v>-504849.99317684502</v>
      </c>
    </row>
    <row r="148" spans="1:10" x14ac:dyDescent="0.25">
      <c r="A148" t="str">
        <f>IF('[1]Processer - data'!A148&lt;&gt;"",'[1]Processer - data'!A148,"")</f>
        <v>Kornmark</v>
      </c>
      <c r="B148" t="str">
        <f>IF('[1]Processer - data'!B148&lt;&gt;"",'[1]Processer - data'!B148,"")</f>
        <v>Konventionel</v>
      </c>
      <c r="C148" t="str">
        <f>IF('[1]Processer - data'!C148&lt;&gt;"",'[1]Processer - data'!C148,"")</f>
        <v>OC6</v>
      </c>
      <c r="D148" t="str">
        <f>IF('[1]Processer - data'!D148&lt;&gt;"",'[1]Processer - data'!D148,"")</f>
        <v>Areal-korn</v>
      </c>
      <c r="E148" t="str">
        <f>IF('[1]Processer - data'!E148&lt;&gt;"",'[1]Processer - data'!E148,"")</f>
        <v>Hektar</v>
      </c>
      <c r="F148" t="str">
        <f>IF('[1]Processer - data'!F148&lt;&gt;"",'[1]Processer - data'!F148,"")</f>
        <v>CO2 - atmosfære</v>
      </c>
      <c r="G148" t="str">
        <f>IF('[1]Processer - data'!G148&lt;&gt;"",'[1]Processer - data'!G148,"")</f>
        <v>t CO2-ækvivalenter</v>
      </c>
      <c r="H148" s="297">
        <f>IF($A148&lt;&gt;"",IF(VLOOKUP($A148,[1]!Table1[#All],2,FALSE)="Direkte input",IF($A148&lt;&gt;"Grøntsager i drivhus",SUMIFS('Direkte input'!G$3:G$230,'Direkte input'!$F$3:$F$230,$D148,'Direkte input'!$C$3:$C$230,$B148,'Direkte input'!$D$3:$D$230,$C148,'Direkte input'!$A$3:$A$230,$A$1),SUMIFS('Direkte input'!G$3:G$230,'Direkte input'!$F$3:$F$230,$D148,'Direkte input'!$C$3:$C$230,$B148,'Direkte input'!$A$3:$A$230,$A$1)),IF(VLOOKUP($A148,[1]!Table1[#All],2,FALSE)="Resultat",SUMIF($F$1:$F147,$D148,H$1:H147)+SUMIF($F149:$F$512,$D148,H149:H$512),0))*'[1]Processer - data'!H148,"")*IF($C148&lt;&gt;"",IF($F148="Halm",Landbrug!C$16*Landbrug!C$17,IF(LEFT($D148,5)="Areal", IF($G148="Ton",Landbrug!C$18,1),1)),1)*IF($F148="Grøntsager",IF($A148="Grøntsager i drivhus",Landbrug!C$51,1-Landbrug!C$51),1)</f>
        <v>71987.025643731075</v>
      </c>
      <c r="I148" s="298">
        <f>IF($A148&lt;&gt;"",IF(VLOOKUP($A148,[1]!Table1[#All],2,FALSE)="Direkte input",IF($A148&lt;&gt;"Grøntsager i drivhus",SUMIFS('Direkte input'!H$3:H$230,'Direkte input'!$F$3:$F$230,$D148,'Direkte input'!$C$3:$C$230,$B148,'Direkte input'!$D$3:$D$230,$C148,'Direkte input'!$A$3:$A$230,$A$1),SUMIFS('Direkte input'!H$3:H$230,'Direkte input'!$F$3:$F$230,$D148,'Direkte input'!$C$3:$C$230,$B148,'Direkte input'!$A$3:$A$230,$A$1)),IF(VLOOKUP($A148,[1]!Table1[#All],2,FALSE)="Resultat",SUMIF($F$1:$F147,$D148,I$1:I147)+SUMIF($F149:$F$512,$D148,I149:I$512),0))*'[1]Processer - data'!I148,"")*IF($C148&lt;&gt;"",IF($F148="Halm",Landbrug!D$16*Landbrug!D$17,IF(LEFT($D148,5)="Areal", IF($G148="Ton",Landbrug!D$18,1),1)),1)*IF($F148="Grøntsager",IF($A148="Grøntsager i drivhus",Landbrug!D$51,1-Landbrug!D$51),1)</f>
        <v>65114.189979946008</v>
      </c>
      <c r="J148" s="299">
        <f>IF($A148&lt;&gt;"",IF(VLOOKUP($A148,[1]!Table1[#All],2,FALSE)="Direkte input",IF($A148&lt;&gt;"Grøntsager i drivhus",SUMIFS('Direkte input'!I$3:I$230,'Direkte input'!$F$3:$F$230,$D148,'Direkte input'!$C$3:$C$230,$B148,'Direkte input'!$D$3:$D$230,$C148,'Direkte input'!$A$3:$A$230,$A$1),SUMIFS('Direkte input'!I$3:I$230,'Direkte input'!$F$3:$F$230,$D148,'Direkte input'!$C$3:$C$230,$B148,'Direkte input'!$A$3:$A$230,$A$1)),IF(VLOOKUP($A148,[1]!Table1[#All],2,FALSE)="Resultat",SUMIF($F$1:$F147,$D148,J$1:J147)+SUMIF($F149:$F$512,$D148,J149:J$512),0))*'[1]Processer - data'!J148,"")*IF($C148&lt;&gt;"",IF($F148="Halm",Landbrug!E$16*Landbrug!E$17,IF(LEFT($D148,5)="Areal", IF($G148="Ton",Landbrug!E$18,1),1)),1)*IF($F148="Grøntsager",IF($A148="Grøntsager i drivhus",Landbrug!E$51,1-Landbrug!E$51),1)</f>
        <v>62103.129171624809</v>
      </c>
    </row>
    <row r="149" spans="1:10" x14ac:dyDescent="0.25">
      <c r="A149" t="str">
        <f>IF('[1]Processer - data'!A149&lt;&gt;"",'[1]Processer - data'!A149,"")</f>
        <v>Kornmark</v>
      </c>
      <c r="B149" t="str">
        <f>IF('[1]Processer - data'!B149&lt;&gt;"",'[1]Processer - data'!B149,"")</f>
        <v>Konventionel</v>
      </c>
      <c r="C149" t="str">
        <f>IF('[1]Processer - data'!C149&lt;&gt;"",'[1]Processer - data'!C149,"")</f>
        <v>OC12</v>
      </c>
      <c r="D149" t="str">
        <f>IF('[1]Processer - data'!D149&lt;&gt;"",'[1]Processer - data'!D149,"")</f>
        <v>Areal-korn</v>
      </c>
      <c r="E149" t="str">
        <f>IF('[1]Processer - data'!E149&lt;&gt;"",'[1]Processer - data'!E149,"")</f>
        <v>Hektar</v>
      </c>
      <c r="F149" t="str">
        <f>IF('[1]Processer - data'!F149&lt;&gt;"",'[1]Processer - data'!F149,"")</f>
        <v>Korn</v>
      </c>
      <c r="G149" t="str">
        <f>IF('[1]Processer - data'!G149&lt;&gt;"",'[1]Processer - data'!G149,"")</f>
        <v>Ton</v>
      </c>
      <c r="H149" s="297">
        <f>IF($A149&lt;&gt;"",IF(VLOOKUP($A149,[1]!Table1[#All],2,FALSE)="Direkte input",IF($A149&lt;&gt;"Grøntsager i drivhus",SUMIFS('Direkte input'!G$3:G$230,'Direkte input'!$F$3:$F$230,$D149,'Direkte input'!$C$3:$C$230,$B149,'Direkte input'!$D$3:$D$230,$C149,'Direkte input'!$A$3:$A$230,$A$1),SUMIFS('Direkte input'!G$3:G$230,'Direkte input'!$F$3:$F$230,$D149,'Direkte input'!$C$3:$C$230,$B149,'Direkte input'!$A$3:$A$230,$A$1)),IF(VLOOKUP($A149,[1]!Table1[#All],2,FALSE)="Resultat",SUMIF($F$1:$F148,$D149,H$1:H148)+SUMIF($F150:$F$512,$D149,H150:H$512),0))*'[1]Processer - data'!H149,"")*IF($C149&lt;&gt;"",IF($F149="Halm",Landbrug!C$16*Landbrug!C$17,IF(LEFT($D149,5)="Areal", IF($G149="Ton",Landbrug!C$18,1),1)),1)*IF($F149="Grøntsager",IF($A149="Grøntsager i drivhus",Landbrug!C$51,1-Landbrug!C$51),1)</f>
        <v>23606.258748513876</v>
      </c>
      <c r="I149" s="298">
        <f>IF($A149&lt;&gt;"",IF(VLOOKUP($A149,[1]!Table1[#All],2,FALSE)="Direkte input",IF($A149&lt;&gt;"Grøntsager i drivhus",SUMIFS('Direkte input'!H$3:H$230,'Direkte input'!$F$3:$F$230,$D149,'Direkte input'!$C$3:$C$230,$B149,'Direkte input'!$D$3:$D$230,$C149,'Direkte input'!$A$3:$A$230,$A$1),SUMIFS('Direkte input'!H$3:H$230,'Direkte input'!$F$3:$F$230,$D149,'Direkte input'!$C$3:$C$230,$B149,'Direkte input'!$A$3:$A$230,$A$1)),IF(VLOOKUP($A149,[1]!Table1[#All],2,FALSE)="Resultat",SUMIF($F$1:$F148,$D149,I$1:I148)+SUMIF($F150:$F$512,$D149,I150:I$512),0))*'[1]Processer - data'!I149,"")*IF($C149&lt;&gt;"",IF($F149="Halm",Landbrug!D$16*Landbrug!D$17,IF(LEFT($D149,5)="Areal", IF($G149="Ton",Landbrug!D$18,1),1)),1)*IF($F149="Grøntsager",IF($A149="Grøntsager i drivhus",Landbrug!D$51,1-Landbrug!D$51),1)</f>
        <v>23071.114882671071</v>
      </c>
      <c r="J149" s="299">
        <f>IF($A149&lt;&gt;"",IF(VLOOKUP($A149,[1]!Table1[#All],2,FALSE)="Direkte input",IF($A149&lt;&gt;"Grøntsager i drivhus",SUMIFS('Direkte input'!I$3:I$230,'Direkte input'!$F$3:$F$230,$D149,'Direkte input'!$C$3:$C$230,$B149,'Direkte input'!$D$3:$D$230,$C149,'Direkte input'!$A$3:$A$230,$A$1),SUMIFS('Direkte input'!I$3:I$230,'Direkte input'!$F$3:$F$230,$D149,'Direkte input'!$C$3:$C$230,$B149,'Direkte input'!$A$3:$A$230,$A$1)),IF(VLOOKUP($A149,[1]!Table1[#All],2,FALSE)="Resultat",SUMIF($F$1:$F148,$D149,J$1:J148)+SUMIF($F150:$F$512,$D149,J150:J$512),0))*'[1]Processer - data'!J149,"")*IF($C149&lt;&gt;"",IF($F149="Halm",Landbrug!E$16*Landbrug!E$17,IF(LEFT($D149,5)="Areal", IF($G149="Ton",Landbrug!E$18,1),1)),1)*IF($F149="Grøntsager",IF($A149="Grøntsager i drivhus",Landbrug!E$51,1-Landbrug!E$51),1)</f>
        <v>23605.297477497814</v>
      </c>
    </row>
    <row r="150" spans="1:10" x14ac:dyDescent="0.25">
      <c r="A150" t="str">
        <f>IF('[1]Processer - data'!A150&lt;&gt;"",'[1]Processer - data'!A150,"")</f>
        <v>Kornmark</v>
      </c>
      <c r="B150" t="str">
        <f>IF('[1]Processer - data'!B150&lt;&gt;"",'[1]Processer - data'!B150,"")</f>
        <v>Konventionel</v>
      </c>
      <c r="C150" t="str">
        <f>IF('[1]Processer - data'!C150&lt;&gt;"",'[1]Processer - data'!C150,"")</f>
        <v>OC12</v>
      </c>
      <c r="D150" t="str">
        <f>IF('[1]Processer - data'!D150&lt;&gt;"",'[1]Processer - data'!D150,"")</f>
        <v>Areal-korn</v>
      </c>
      <c r="E150" t="str">
        <f>IF('[1]Processer - data'!E150&lt;&gt;"",'[1]Processer - data'!E150,"")</f>
        <v>Hektar</v>
      </c>
      <c r="F150" t="str">
        <f>IF('[1]Processer - data'!F150&lt;&gt;"",'[1]Processer - data'!F150,"")</f>
        <v>Halm</v>
      </c>
      <c r="G150" t="str">
        <f>IF('[1]Processer - data'!G150&lt;&gt;"",'[1]Processer - data'!G150,"")</f>
        <v>Ton</v>
      </c>
      <c r="H150" s="297">
        <f>IF($A150&lt;&gt;"",IF(VLOOKUP($A150,[1]!Table1[#All],2,FALSE)="Direkte input",IF($A150&lt;&gt;"Grøntsager i drivhus",SUMIFS('Direkte input'!G$3:G$230,'Direkte input'!$F$3:$F$230,$D150,'Direkte input'!$C$3:$C$230,$B150,'Direkte input'!$D$3:$D$230,$C150,'Direkte input'!$A$3:$A$230,$A$1),SUMIFS('Direkte input'!G$3:G$230,'Direkte input'!$F$3:$F$230,$D150,'Direkte input'!$C$3:$C$230,$B150,'Direkte input'!$A$3:$A$230,$A$1)),IF(VLOOKUP($A150,[1]!Table1[#All],2,FALSE)="Resultat",SUMIF($F$1:$F149,$D150,H$1:H149)+SUMIF($F151:$F$512,$D150,H151:H$512),0))*'[1]Processer - data'!H150,"")*IF($C150&lt;&gt;"",IF($F150="Halm",Landbrug!C$16*Landbrug!C$17,IF(LEFT($D150,5)="Areal", IF($G150="Ton",Landbrug!C$18,1),1)),1)*IF($F150="Grøntsager",IF($A150="Grøntsager i drivhus",Landbrug!C$51,1-Landbrug!C$51),1)</f>
        <v>7705.0238398680585</v>
      </c>
      <c r="I150" s="298">
        <f>IF($A150&lt;&gt;"",IF(VLOOKUP($A150,[1]!Table1[#All],2,FALSE)="Direkte input",IF($A150&lt;&gt;"Grøntsager i drivhus",SUMIFS('Direkte input'!H$3:H$230,'Direkte input'!$F$3:$F$230,$D150,'Direkte input'!$C$3:$C$230,$B150,'Direkte input'!$D$3:$D$230,$C150,'Direkte input'!$A$3:$A$230,$A$1),SUMIFS('Direkte input'!H$3:H$230,'Direkte input'!$F$3:$F$230,$D150,'Direkte input'!$C$3:$C$230,$B150,'Direkte input'!$A$3:$A$230,$A$1)),IF(VLOOKUP($A150,[1]!Table1[#All],2,FALSE)="Resultat",SUMIF($F$1:$F149,$D150,I$1:I149)+SUMIF($F151:$F$512,$D150,I151:I$512),0))*'[1]Processer - data'!I150,"")*IF($C150&lt;&gt;"",IF($F150="Halm",Landbrug!D$16*Landbrug!D$17,IF(LEFT($D150,5)="Areal", IF($G150="Ton",Landbrug!D$18,1),1)),1)*IF($F150="Grøntsager",IF($A150="Grøntsager i drivhus",Landbrug!D$51,1-Landbrug!D$51),1)</f>
        <v>6983.7469957339208</v>
      </c>
      <c r="J150" s="299">
        <f>IF($A150&lt;&gt;"",IF(VLOOKUP($A150,[1]!Table1[#All],2,FALSE)="Direkte input",IF($A150&lt;&gt;"Grøntsager i drivhus",SUMIFS('Direkte input'!I$3:I$230,'Direkte input'!$F$3:$F$230,$D150,'Direkte input'!$C$3:$C$230,$B150,'Direkte input'!$D$3:$D$230,$C150,'Direkte input'!$A$3:$A$230,$A$1),SUMIFS('Direkte input'!I$3:I$230,'Direkte input'!$F$3:$F$230,$D150,'Direkte input'!$C$3:$C$230,$B150,'Direkte input'!$A$3:$A$230,$A$1)),IF(VLOOKUP($A150,[1]!Table1[#All],2,FALSE)="Resultat",SUMIF($F$1:$F149,$D150,J$1:J149)+SUMIF($F151:$F$512,$D150,J151:J$512),0))*'[1]Processer - data'!J150,"")*IF($C150&lt;&gt;"",IF($F150="Halm",Landbrug!E$16*Landbrug!E$17,IF(LEFT($D150,5)="Areal", IF($G150="Ton",Landbrug!E$18,1),1)),1)*IF($F150="Grøntsager",IF($A150="Grøntsager i drivhus",Landbrug!E$51,1-Landbrug!E$51),1)</f>
        <v>6660.7991577809062</v>
      </c>
    </row>
    <row r="151" spans="1:10" x14ac:dyDescent="0.25">
      <c r="A151" t="str">
        <f>IF('[1]Processer - data'!A151&lt;&gt;"",'[1]Processer - data'!A151,"")</f>
        <v>Kornmark</v>
      </c>
      <c r="B151" t="str">
        <f>IF('[1]Processer - data'!B151&lt;&gt;"",'[1]Processer - data'!B151,"")</f>
        <v>Konventionel</v>
      </c>
      <c r="C151" t="str">
        <f>IF('[1]Processer - data'!C151&lt;&gt;"",'[1]Processer - data'!C151,"")</f>
        <v>OC12</v>
      </c>
      <c r="D151" t="str">
        <f>IF('[1]Processer - data'!D151&lt;&gt;"",'[1]Processer - data'!D151,"")</f>
        <v>Areal-korn</v>
      </c>
      <c r="E151" t="str">
        <f>IF('[1]Processer - data'!E151&lt;&gt;"",'[1]Processer - data'!E151,"")</f>
        <v>Hektar</v>
      </c>
      <c r="F151" t="str">
        <f>IF('[1]Processer - data'!F151&lt;&gt;"",'[1]Processer - data'!F151,"")</f>
        <v>Gødning</v>
      </c>
      <c r="G151" t="str">
        <f>IF('[1]Processer - data'!G151&lt;&gt;"",'[1]Processer - data'!G151,"")</f>
        <v>kg N</v>
      </c>
      <c r="H151" s="297">
        <f>IF($A151&lt;&gt;"",IF(VLOOKUP($A151,[1]!Table1[#All],2,FALSE)="Direkte input",IF($A151&lt;&gt;"Grøntsager i drivhus",SUMIFS('Direkte input'!G$3:G$230,'Direkte input'!$F$3:$F$230,$D151,'Direkte input'!$C$3:$C$230,$B151,'Direkte input'!$D$3:$D$230,$C151,'Direkte input'!$A$3:$A$230,$A$1),SUMIFS('Direkte input'!G$3:G$230,'Direkte input'!$F$3:$F$230,$D151,'Direkte input'!$C$3:$C$230,$B151,'Direkte input'!$A$3:$A$230,$A$1)),IF(VLOOKUP($A151,[1]!Table1[#All],2,FALSE)="Resultat",SUMIF($F$1:$F150,$D151,H$1:H150)+SUMIF($F152:$F$512,$D151,H152:H$512),0))*'[1]Processer - data'!H151,"")*IF($C151&lt;&gt;"",IF($F151="Halm",Landbrug!C$16*Landbrug!C$17,IF(LEFT($D151,5)="Areal", IF($G151="Ton",Landbrug!C$18,1),1)),1)*IF($F151="Grøntsager",IF($A151="Grøntsager i drivhus",Landbrug!C$51,1-Landbrug!C$51),1)</f>
        <v>-240536.56764330427</v>
      </c>
      <c r="I151" s="298">
        <f>IF($A151&lt;&gt;"",IF(VLOOKUP($A151,[1]!Table1[#All],2,FALSE)="Direkte input",IF($A151&lt;&gt;"Grøntsager i drivhus",SUMIFS('Direkte input'!H$3:H$230,'Direkte input'!$F$3:$F$230,$D151,'Direkte input'!$C$3:$C$230,$B151,'Direkte input'!$D$3:$D$230,$C151,'Direkte input'!$A$3:$A$230,$A$1),SUMIFS('Direkte input'!H$3:H$230,'Direkte input'!$F$3:$F$230,$D151,'Direkte input'!$C$3:$C$230,$B151,'Direkte input'!$A$3:$A$230,$A$1)),IF(VLOOKUP($A151,[1]!Table1[#All],2,FALSE)="Resultat",SUMIF($F$1:$F150,$D151,I$1:I150)+SUMIF($F152:$F$512,$D151,I152:I$512),0))*'[1]Processer - data'!I151,"")*IF($C151&lt;&gt;"",IF($F151="Halm",Landbrug!D$16*Landbrug!D$17,IF(LEFT($D151,5)="Areal", IF($G151="Ton",Landbrug!D$18,1),1)),1)*IF($F151="Grøntsager",IF($A151="Grøntsager i drivhus",Landbrug!D$51,1-Landbrug!D$51),1)</f>
        <v>-219294.50163594229</v>
      </c>
      <c r="J151" s="299">
        <f>IF($A151&lt;&gt;"",IF(VLOOKUP($A151,[1]!Table1[#All],2,FALSE)="Direkte input",IF($A151&lt;&gt;"Grøntsager i drivhus",SUMIFS('Direkte input'!I$3:I$230,'Direkte input'!$F$3:$F$230,$D151,'Direkte input'!$C$3:$C$230,$B151,'Direkte input'!$D$3:$D$230,$C151,'Direkte input'!$A$3:$A$230,$A$1),SUMIFS('Direkte input'!I$3:I$230,'Direkte input'!$F$3:$F$230,$D151,'Direkte input'!$C$3:$C$230,$B151,'Direkte input'!$A$3:$A$230,$A$1)),IF(VLOOKUP($A151,[1]!Table1[#All],2,FALSE)="Resultat",SUMIF($F$1:$F150,$D151,J$1:J150)+SUMIF($F152:$F$512,$D151,J152:J$512),0))*'[1]Processer - data'!J151,"")*IF($C151&lt;&gt;"",IF($F151="Halm",Landbrug!E$16*Landbrug!E$17,IF(LEFT($D151,5)="Areal", IF($G151="Ton",Landbrug!E$18,1),1)),1)*IF($F151="Grøntsager",IF($A151="Grøntsager i drivhus",Landbrug!E$51,1-Landbrug!E$51),1)</f>
        <v>-209153.71543312413</v>
      </c>
    </row>
    <row r="152" spans="1:10" x14ac:dyDescent="0.25">
      <c r="A152" t="str">
        <f>IF('[1]Processer - data'!A152&lt;&gt;"",'[1]Processer - data'!A152,"")</f>
        <v>Kornmark</v>
      </c>
      <c r="B152" t="str">
        <f>IF('[1]Processer - data'!B152&lt;&gt;"",'[1]Processer - data'!B152,"")</f>
        <v>Konventionel</v>
      </c>
      <c r="C152" t="str">
        <f>IF('[1]Processer - data'!C152&lt;&gt;"",'[1]Processer - data'!C152,"")</f>
        <v>OC12</v>
      </c>
      <c r="D152" t="str">
        <f>IF('[1]Processer - data'!D152&lt;&gt;"",'[1]Processer - data'!D152,"")</f>
        <v>Areal-korn</v>
      </c>
      <c r="E152" t="str">
        <f>IF('[1]Processer - data'!E152&lt;&gt;"",'[1]Processer - data'!E152,"")</f>
        <v>Hektar</v>
      </c>
      <c r="F152" t="str">
        <f>IF('[1]Processer - data'!F152&lt;&gt;"",'[1]Processer - data'!F152,"")</f>
        <v>CO2 - atmosfære</v>
      </c>
      <c r="G152" t="str">
        <f>IF('[1]Processer - data'!G152&lt;&gt;"",'[1]Processer - data'!G152,"")</f>
        <v>t CO2-ækvivalenter</v>
      </c>
      <c r="H152" s="297">
        <f>IF($A152&lt;&gt;"",IF(VLOOKUP($A152,[1]!Table1[#All],2,FALSE)="Direkte input",IF($A152&lt;&gt;"Grøntsager i drivhus",SUMIFS('Direkte input'!G$3:G$230,'Direkte input'!$F$3:$F$230,$D152,'Direkte input'!$C$3:$C$230,$B152,'Direkte input'!$D$3:$D$230,$C152,'Direkte input'!$A$3:$A$230,$A$1),SUMIFS('Direkte input'!G$3:G$230,'Direkte input'!$F$3:$F$230,$D152,'Direkte input'!$C$3:$C$230,$B152,'Direkte input'!$A$3:$A$230,$A$1)),IF(VLOOKUP($A152,[1]!Table1[#All],2,FALSE)="Resultat",SUMIF($F$1:$F151,$D152,H$1:H151)+SUMIF($F153:$F$512,$D152,H153:H$512),0))*'[1]Processer - data'!H152,"")*IF($C152&lt;&gt;"",IF($F152="Halm",Landbrug!C$16*Landbrug!C$17,IF(LEFT($D152,5)="Areal", IF($G152="Ton",Landbrug!C$18,1),1)),1)*IF($F152="Grøntsager",IF($A152="Grøntsager i drivhus",Landbrug!C$51,1-Landbrug!C$51),1)</f>
        <v>98503.800023325864</v>
      </c>
      <c r="I152" s="298">
        <f>IF($A152&lt;&gt;"",IF(VLOOKUP($A152,[1]!Table1[#All],2,FALSE)="Direkte input",IF($A152&lt;&gt;"Grøntsager i drivhus",SUMIFS('Direkte input'!H$3:H$230,'Direkte input'!$F$3:$F$230,$D152,'Direkte input'!$C$3:$C$230,$B152,'Direkte input'!$D$3:$D$230,$C152,'Direkte input'!$A$3:$A$230,$A$1),SUMIFS('Direkte input'!H$3:H$230,'Direkte input'!$F$3:$F$230,$D152,'Direkte input'!$C$3:$C$230,$B152,'Direkte input'!$A$3:$A$230,$A$1)),IF(VLOOKUP($A152,[1]!Table1[#All],2,FALSE)="Resultat",SUMIF($F$1:$F151,$D152,I$1:I151)+SUMIF($F153:$F$512,$D152,I153:I$512),0))*'[1]Processer - data'!I152,"")*IF($C152&lt;&gt;"",IF($F152="Halm",Landbrug!D$16*Landbrug!D$17,IF(LEFT($D152,5)="Areal", IF($G152="Ton",Landbrug!D$18,1),1)),1)*IF($F152="Grøntsager",IF($A152="Grøntsager i drivhus",Landbrug!D$51,1-Landbrug!D$51),1)</f>
        <v>89804.814074651469</v>
      </c>
      <c r="J152" s="299">
        <f>IF($A152&lt;&gt;"",IF(VLOOKUP($A152,[1]!Table1[#All],2,FALSE)="Direkte input",IF($A152&lt;&gt;"Grøntsager i drivhus",SUMIFS('Direkte input'!I$3:I$230,'Direkte input'!$F$3:$F$230,$D152,'Direkte input'!$C$3:$C$230,$B152,'Direkte input'!$D$3:$D$230,$C152,'Direkte input'!$A$3:$A$230,$A$1),SUMIFS('Direkte input'!I$3:I$230,'Direkte input'!$F$3:$F$230,$D152,'Direkte input'!$C$3:$C$230,$B152,'Direkte input'!$A$3:$A$230,$A$1)),IF(VLOOKUP($A152,[1]!Table1[#All],2,FALSE)="Resultat",SUMIF($F$1:$F151,$D152,J$1:J151)+SUMIF($F153:$F$512,$D152,J153:J$512),0))*'[1]Processer - data'!J152,"")*IF($C152&lt;&gt;"",IF($F152="Halm",Landbrug!E$16*Landbrug!E$17,IF(LEFT($D152,5)="Areal", IF($G152="Ton",Landbrug!E$18,1),1)),1)*IF($F152="Grøntsager",IF($A152="Grøntsager i drivhus",Landbrug!E$51,1-Landbrug!E$51),1)</f>
        <v>85651.990302413236</v>
      </c>
    </row>
    <row r="153" spans="1:10" x14ac:dyDescent="0.25">
      <c r="A153" t="str">
        <f>IF('[1]Processer - data'!A153&lt;&gt;"",'[1]Processer - data'!A153,"")</f>
        <v>Kornmark</v>
      </c>
      <c r="B153" t="str">
        <f>IF('[1]Processer - data'!B153&lt;&gt;"",'[1]Processer - data'!B153,"")</f>
        <v>Økologisk</v>
      </c>
      <c r="C153" t="str">
        <f>IF('[1]Processer - data'!C153&lt;&gt;"",'[1]Processer - data'!C153,"")</f>
        <v>JB1-10</v>
      </c>
      <c r="D153" t="str">
        <f>IF('[1]Processer - data'!D153&lt;&gt;"",'[1]Processer - data'!D153,"")</f>
        <v>Areal-korn</v>
      </c>
      <c r="E153" t="str">
        <f>IF('[1]Processer - data'!E153&lt;&gt;"",'[1]Processer - data'!E153,"")</f>
        <v>Hektar</v>
      </c>
      <c r="F153" t="str">
        <f>IF('[1]Processer - data'!F153&lt;&gt;"",'[1]Processer - data'!F153,"")</f>
        <v>Korn</v>
      </c>
      <c r="G153" t="str">
        <f>IF('[1]Processer - data'!G153&lt;&gt;"",'[1]Processer - data'!G153,"")</f>
        <v>Ton</v>
      </c>
      <c r="H153" s="297">
        <f>IF($A153&lt;&gt;"",IF(VLOOKUP($A153,[1]!Table1[#All],2,FALSE)="Direkte input",IF($A153&lt;&gt;"Grøntsager i drivhus",SUMIFS('Direkte input'!G$3:G$230,'Direkte input'!$F$3:$F$230,$D153,'Direkte input'!$C$3:$C$230,$B153,'Direkte input'!$D$3:$D$230,$C153,'Direkte input'!$A$3:$A$230,$A$1),SUMIFS('Direkte input'!G$3:G$230,'Direkte input'!$F$3:$F$230,$D153,'Direkte input'!$C$3:$C$230,$B153,'Direkte input'!$A$3:$A$230,$A$1)),IF(VLOOKUP($A153,[1]!Table1[#All],2,FALSE)="Resultat",SUMIF($F$1:$F152,$D153,H$1:H152)+SUMIF($F154:$F$512,$D153,H154:H$512),0))*'[1]Processer - data'!H153,"")*IF($C153&lt;&gt;"",IF($F153="Halm",Landbrug!C$16*Landbrug!C$17,IF(LEFT($D153,5)="Areal", IF($G153="Ton",Landbrug!C$18,1),1)),1)*IF($F153="Grøntsager",IF($A153="Grøntsager i drivhus",Landbrug!C$51,1-Landbrug!C$51),1)</f>
        <v>173747.16857650891</v>
      </c>
      <c r="I153" s="298">
        <f>IF($A153&lt;&gt;"",IF(VLOOKUP($A153,[1]!Table1[#All],2,FALSE)="Direkte input",IF($A153&lt;&gt;"Grøntsager i drivhus",SUMIFS('Direkte input'!H$3:H$230,'Direkte input'!$F$3:$F$230,$D153,'Direkte input'!$C$3:$C$230,$B153,'Direkte input'!$D$3:$D$230,$C153,'Direkte input'!$A$3:$A$230,$A$1),SUMIFS('Direkte input'!H$3:H$230,'Direkte input'!$F$3:$F$230,$D153,'Direkte input'!$C$3:$C$230,$B153,'Direkte input'!$A$3:$A$230,$A$1)),IF(VLOOKUP($A153,[1]!Table1[#All],2,FALSE)="Resultat",SUMIF($F$1:$F152,$D153,I$1:I152)+SUMIF($F154:$F$512,$D153,I154:I$512),0))*'[1]Processer - data'!I153,"")*IF($C153&lt;&gt;"",IF($F153="Halm",Landbrug!D$16*Landbrug!D$17,IF(LEFT($D153,5)="Areal", IF($G153="Ton",Landbrug!D$18,1),1)),1)*IF($F153="Grøntsager",IF($A153="Grøntsager i drivhus",Landbrug!D$51,1-Landbrug!D$51),1)</f>
        <v>220681.0277483864</v>
      </c>
      <c r="J153" s="299">
        <f>IF($A153&lt;&gt;"",IF(VLOOKUP($A153,[1]!Table1[#All],2,FALSE)="Direkte input",IF($A153&lt;&gt;"Grøntsager i drivhus",SUMIFS('Direkte input'!I$3:I$230,'Direkte input'!$F$3:$F$230,$D153,'Direkte input'!$C$3:$C$230,$B153,'Direkte input'!$D$3:$D$230,$C153,'Direkte input'!$A$3:$A$230,$A$1),SUMIFS('Direkte input'!I$3:I$230,'Direkte input'!$F$3:$F$230,$D153,'Direkte input'!$C$3:$C$230,$B153,'Direkte input'!$A$3:$A$230,$A$1)),IF(VLOOKUP($A153,[1]!Table1[#All],2,FALSE)="Resultat",SUMIF($F$1:$F152,$D153,J$1:J152)+SUMIF($F154:$F$512,$D153,J154:J$512),0))*'[1]Processer - data'!J153,"")*IF($C153&lt;&gt;"",IF($F153="Halm",Landbrug!E$16*Landbrug!E$17,IF(LEFT($D153,5)="Areal", IF($G153="Ton",Landbrug!E$18,1),1)),1)*IF($F153="Grøntsager",IF($A153="Grøntsager i drivhus",Landbrug!E$51,1-Landbrug!E$51),1)</f>
        <v>304052.56535179319</v>
      </c>
    </row>
    <row r="154" spans="1:10" x14ac:dyDescent="0.25">
      <c r="A154" t="str">
        <f>IF('[1]Processer - data'!A154&lt;&gt;"",'[1]Processer - data'!A154,"")</f>
        <v>Kornmark</v>
      </c>
      <c r="B154" t="str">
        <f>IF('[1]Processer - data'!B154&lt;&gt;"",'[1]Processer - data'!B154,"")</f>
        <v>Økologisk</v>
      </c>
      <c r="C154" t="str">
        <f>IF('[1]Processer - data'!C154&lt;&gt;"",'[1]Processer - data'!C154,"")</f>
        <v>JB1-10</v>
      </c>
      <c r="D154" t="str">
        <f>IF('[1]Processer - data'!D154&lt;&gt;"",'[1]Processer - data'!D154,"")</f>
        <v>Areal-korn</v>
      </c>
      <c r="E154" t="str">
        <f>IF('[1]Processer - data'!E154&lt;&gt;"",'[1]Processer - data'!E154,"")</f>
        <v>Hektar</v>
      </c>
      <c r="F154" t="str">
        <f>IF('[1]Processer - data'!F154&lt;&gt;"",'[1]Processer - data'!F154,"")</f>
        <v>Halm</v>
      </c>
      <c r="G154" t="str">
        <f>IF('[1]Processer - data'!G154&lt;&gt;"",'[1]Processer - data'!G154,"")</f>
        <v>Ton</v>
      </c>
      <c r="H154" s="297">
        <f>IF($A154&lt;&gt;"",IF(VLOOKUP($A154,[1]!Table1[#All],2,FALSE)="Direkte input",IF($A154&lt;&gt;"Grøntsager i drivhus",SUMIFS('Direkte input'!G$3:G$230,'Direkte input'!$F$3:$F$230,$D154,'Direkte input'!$C$3:$C$230,$B154,'Direkte input'!$D$3:$D$230,$C154,'Direkte input'!$A$3:$A$230,$A$1),SUMIFS('Direkte input'!G$3:G$230,'Direkte input'!$F$3:$F$230,$D154,'Direkte input'!$C$3:$C$230,$B154,'Direkte input'!$A$3:$A$230,$A$1)),IF(VLOOKUP($A154,[1]!Table1[#All],2,FALSE)="Resultat",SUMIF($F$1:$F153,$D154,H$1:H153)+SUMIF($F155:$F$512,$D154,H155:H$512),0))*'[1]Processer - data'!H154,"")*IF($C154&lt;&gt;"",IF($F154="Halm",Landbrug!C$16*Landbrug!C$17,IF(LEFT($D154,5)="Areal", IF($G154="Ton",Landbrug!C$18,1),1)),1)*IF($F154="Grøntsager",IF($A154="Grøntsager i drivhus",Landbrug!C$51,1-Landbrug!C$51),1)</f>
        <v>56710.641455451077</v>
      </c>
      <c r="I154" s="298">
        <f>IF($A154&lt;&gt;"",IF(VLOOKUP($A154,[1]!Table1[#All],2,FALSE)="Direkte input",IF($A154&lt;&gt;"Grøntsager i drivhus",SUMIFS('Direkte input'!H$3:H$230,'Direkte input'!$F$3:$F$230,$D154,'Direkte input'!$C$3:$C$230,$B154,'Direkte input'!$D$3:$D$230,$C154,'Direkte input'!$A$3:$A$230,$A$1),SUMIFS('Direkte input'!H$3:H$230,'Direkte input'!$F$3:$F$230,$D154,'Direkte input'!$C$3:$C$230,$B154,'Direkte input'!$A$3:$A$230,$A$1)),IF(VLOOKUP($A154,[1]!Table1[#All],2,FALSE)="Resultat",SUMIF($F$1:$F153,$D154,I$1:I153)+SUMIF($F155:$F$512,$D154,I155:I$512),0))*'[1]Processer - data'!I154,"")*IF($C154&lt;&gt;"",IF($F154="Halm",Landbrug!D$16*Landbrug!D$17,IF(LEFT($D154,5)="Areal", IF($G154="Ton",Landbrug!D$18,1),1)),1)*IF($F154="Grøntsager",IF($A154="Grøntsager i drivhus",Landbrug!D$51,1-Landbrug!D$51),1)</f>
        <v>66801.299910775546</v>
      </c>
      <c r="J154" s="299">
        <f>IF($A154&lt;&gt;"",IF(VLOOKUP($A154,[1]!Table1[#All],2,FALSE)="Direkte input",IF($A154&lt;&gt;"Grøntsager i drivhus",SUMIFS('Direkte input'!I$3:I$230,'Direkte input'!$F$3:$F$230,$D154,'Direkte input'!$C$3:$C$230,$B154,'Direkte input'!$D$3:$D$230,$C154,'Direkte input'!$A$3:$A$230,$A$1),SUMIFS('Direkte input'!I$3:I$230,'Direkte input'!$F$3:$F$230,$D154,'Direkte input'!$C$3:$C$230,$B154,'Direkte input'!$A$3:$A$230,$A$1)),IF(VLOOKUP($A154,[1]!Table1[#All],2,FALSE)="Resultat",SUMIF($F$1:$F153,$D154,J$1:J153)+SUMIF($F155:$F$512,$D154,J155:J$512),0))*'[1]Processer - data'!J154,"")*IF($C154&lt;&gt;"",IF($F154="Halm",Landbrug!E$16*Landbrug!E$17,IF(LEFT($D154,5)="Areal", IF($G154="Ton",Landbrug!E$18,1),1)),1)*IF($F154="Grøntsager",IF($A154="Grøntsager i drivhus",Landbrug!E$51,1-Landbrug!E$51),1)</f>
        <v>85795.702136223394</v>
      </c>
    </row>
    <row r="155" spans="1:10" x14ac:dyDescent="0.25">
      <c r="A155" t="str">
        <f>IF('[1]Processer - data'!A155&lt;&gt;"",'[1]Processer - data'!A155,"")</f>
        <v>Kornmark</v>
      </c>
      <c r="B155" t="str">
        <f>IF('[1]Processer - data'!B155&lt;&gt;"",'[1]Processer - data'!B155,"")</f>
        <v>Økologisk</v>
      </c>
      <c r="C155" t="str">
        <f>IF('[1]Processer - data'!C155&lt;&gt;"",'[1]Processer - data'!C155,"")</f>
        <v>JB1-10</v>
      </c>
      <c r="D155" t="str">
        <f>IF('[1]Processer - data'!D155&lt;&gt;"",'[1]Processer - data'!D155,"")</f>
        <v>Areal-korn</v>
      </c>
      <c r="E155" t="str">
        <f>IF('[1]Processer - data'!E155&lt;&gt;"",'[1]Processer - data'!E155,"")</f>
        <v>Hektar</v>
      </c>
      <c r="F155" t="str">
        <f>IF('[1]Processer - data'!F155&lt;&gt;"",'[1]Processer - data'!F155,"")</f>
        <v>Gødning</v>
      </c>
      <c r="G155" t="str">
        <f>IF('[1]Processer - data'!G155&lt;&gt;"",'[1]Processer - data'!G155,"")</f>
        <v>kg N</v>
      </c>
      <c r="H155" s="297">
        <f>IF($A155&lt;&gt;"",IF(VLOOKUP($A155,[1]!Table1[#All],2,FALSE)="Direkte input",IF($A155&lt;&gt;"Grøntsager i drivhus",SUMIFS('Direkte input'!G$3:G$230,'Direkte input'!$F$3:$F$230,$D155,'Direkte input'!$C$3:$C$230,$B155,'Direkte input'!$D$3:$D$230,$C155,'Direkte input'!$A$3:$A$230,$A$1),SUMIFS('Direkte input'!G$3:G$230,'Direkte input'!$F$3:$F$230,$D155,'Direkte input'!$C$3:$C$230,$B155,'Direkte input'!$A$3:$A$230,$A$1)),IF(VLOOKUP($A155,[1]!Table1[#All],2,FALSE)="Resultat",SUMIF($F$1:$F154,$D155,H$1:H154)+SUMIF($F156:$F$512,$D155,H156:H$512),0))*'[1]Processer - data'!H155,"")*IF($C155&lt;&gt;"",IF($F155="Halm",Landbrug!C$16*Landbrug!C$17,IF(LEFT($D155,5)="Areal", IF($G155="Ton",Landbrug!C$18,1),1)),1)*IF($F155="Grøntsager",IF($A155="Grøntsager i drivhus",Landbrug!C$51,1-Landbrug!C$51),1)</f>
        <v>-3965698.5695066229</v>
      </c>
      <c r="I155" s="298">
        <f>IF($A155&lt;&gt;"",IF(VLOOKUP($A155,[1]!Table1[#All],2,FALSE)="Direkte input",IF($A155&lt;&gt;"Grøntsager i drivhus",SUMIFS('Direkte input'!H$3:H$230,'Direkte input'!$F$3:$F$230,$D155,'Direkte input'!$C$3:$C$230,$B155,'Direkte input'!$D$3:$D$230,$C155,'Direkte input'!$A$3:$A$230,$A$1),SUMIFS('Direkte input'!H$3:H$230,'Direkte input'!$F$3:$F$230,$D155,'Direkte input'!$C$3:$C$230,$B155,'Direkte input'!$A$3:$A$230,$A$1)),IF(VLOOKUP($A155,[1]!Table1[#All],2,FALSE)="Resultat",SUMIF($F$1:$F154,$D155,I$1:I154)+SUMIF($F156:$F$512,$D155,I156:I$512),0))*'[1]Processer - data'!I155,"")*IF($C155&lt;&gt;"",IF($F155="Halm",Landbrug!D$16*Landbrug!D$17,IF(LEFT($D155,5)="Areal", IF($G155="Ton",Landbrug!D$18,1),1)),1)*IF($F155="Grøntsager",IF($A155="Grøntsager i drivhus",Landbrug!D$51,1-Landbrug!D$51),1)</f>
        <v>-4698640.0610723784</v>
      </c>
      <c r="J155" s="299">
        <f>IF($A155&lt;&gt;"",IF(VLOOKUP($A155,[1]!Table1[#All],2,FALSE)="Direkte input",IF($A155&lt;&gt;"Grøntsager i drivhus",SUMIFS('Direkte input'!I$3:I$230,'Direkte input'!$F$3:$F$230,$D155,'Direkte input'!$C$3:$C$230,$B155,'Direkte input'!$D$3:$D$230,$C155,'Direkte input'!$A$3:$A$230,$A$1),SUMIFS('Direkte input'!I$3:I$230,'Direkte input'!$F$3:$F$230,$D155,'Direkte input'!$C$3:$C$230,$B155,'Direkte input'!$A$3:$A$230,$A$1)),IF(VLOOKUP($A155,[1]!Table1[#All],2,FALSE)="Resultat",SUMIF($F$1:$F154,$D155,J$1:J154)+SUMIF($F156:$F$512,$D155,J156:J$512),0))*'[1]Processer - data'!J155,"")*IF($C155&lt;&gt;"",IF($F155="Halm",Landbrug!E$16*Landbrug!E$17,IF(LEFT($D155,5)="Areal", IF($G155="Ton",Landbrug!E$18,1),1)),1)*IF($F155="Grøntsager",IF($A155="Grøntsager i drivhus",Landbrug!E$51,1-Landbrug!E$51),1)</f>
        <v>-6034659.8593669804</v>
      </c>
    </row>
    <row r="156" spans="1:10" x14ac:dyDescent="0.25">
      <c r="A156" t="str">
        <f>IF('[1]Processer - data'!A156&lt;&gt;"",'[1]Processer - data'!A156,"")</f>
        <v>Kornmark</v>
      </c>
      <c r="B156" t="str">
        <f>IF('[1]Processer - data'!B156&lt;&gt;"",'[1]Processer - data'!B156,"")</f>
        <v>Økologisk</v>
      </c>
      <c r="C156" t="str">
        <f>IF('[1]Processer - data'!C156&lt;&gt;"",'[1]Processer - data'!C156,"")</f>
        <v>JB1-10</v>
      </c>
      <c r="D156" t="str">
        <f>IF('[1]Processer - data'!D156&lt;&gt;"",'[1]Processer - data'!D156,"")</f>
        <v>Areal-korn</v>
      </c>
      <c r="E156" t="str">
        <f>IF('[1]Processer - data'!E156&lt;&gt;"",'[1]Processer - data'!E156,"")</f>
        <v>Hektar</v>
      </c>
      <c r="F156" t="str">
        <f>IF('[1]Processer - data'!F156&lt;&gt;"",'[1]Processer - data'!F156,"")</f>
        <v>CO2 - atmosfære</v>
      </c>
      <c r="G156" t="str">
        <f>IF('[1]Processer - data'!G156&lt;&gt;"",'[1]Processer - data'!G156,"")</f>
        <v>t CO2-ækvivalenter</v>
      </c>
      <c r="H156" s="297">
        <f>IF($A156&lt;&gt;"",IF(VLOOKUP($A156,[1]!Table1[#All],2,FALSE)="Direkte input",IF($A156&lt;&gt;"Grøntsager i drivhus",SUMIFS('Direkte input'!G$3:G$230,'Direkte input'!$F$3:$F$230,$D156,'Direkte input'!$C$3:$C$230,$B156,'Direkte input'!$D$3:$D$230,$C156,'Direkte input'!$A$3:$A$230,$A$1),SUMIFS('Direkte input'!G$3:G$230,'Direkte input'!$F$3:$F$230,$D156,'Direkte input'!$C$3:$C$230,$B156,'Direkte input'!$A$3:$A$230,$A$1)),IF(VLOOKUP($A156,[1]!Table1[#All],2,FALSE)="Resultat",SUMIF($F$1:$F155,$D156,H$1:H155)+SUMIF($F157:$F$512,$D156,H157:H$512),0))*'[1]Processer - data'!H156,"")*IF($C156&lt;&gt;"",IF($F156="Halm",Landbrug!C$16*Landbrug!C$17,IF(LEFT($D156,5)="Areal", IF($G156="Ton",Landbrug!C$18,1),1)),1)*IF($F156="Grøntsager",IF($A156="Grøntsager i drivhus",Landbrug!C$51,1-Landbrug!C$51),1)</f>
        <v>84111.814371570494</v>
      </c>
      <c r="I156" s="298">
        <f>IF($A156&lt;&gt;"",IF(VLOOKUP($A156,[1]!Table1[#All],2,FALSE)="Direkte input",IF($A156&lt;&gt;"Grøntsager i drivhus",SUMIFS('Direkte input'!H$3:H$230,'Direkte input'!$F$3:$F$230,$D156,'Direkte input'!$C$3:$C$230,$B156,'Direkte input'!$D$3:$D$230,$C156,'Direkte input'!$A$3:$A$230,$A$1),SUMIFS('Direkte input'!H$3:H$230,'Direkte input'!$F$3:$F$230,$D156,'Direkte input'!$C$3:$C$230,$B156,'Direkte input'!$A$3:$A$230,$A$1)),IF(VLOOKUP($A156,[1]!Table1[#All],2,FALSE)="Resultat",SUMIF($F$1:$F155,$D156,I$1:I155)+SUMIF($F157:$F$512,$D156,I157:I$512),0))*'[1]Processer - data'!I156,"")*IF($C156&lt;&gt;"",IF($F156="Halm",Landbrug!D$16*Landbrug!D$17,IF(LEFT($D156,5)="Areal", IF($G156="Ton",Landbrug!D$18,1),1)),1)*IF($F156="Grøntsager",IF($A156="Grøntsager i drivhus",Landbrug!D$51,1-Landbrug!D$51),1)</f>
        <v>99657.382851695962</v>
      </c>
      <c r="J156" s="299">
        <f>IF($A156&lt;&gt;"",IF(VLOOKUP($A156,[1]!Table1[#All],2,FALSE)="Direkte input",IF($A156&lt;&gt;"Grøntsager i drivhus",SUMIFS('Direkte input'!I$3:I$230,'Direkte input'!$F$3:$F$230,$D156,'Direkte input'!$C$3:$C$230,$B156,'Direkte input'!$D$3:$D$230,$C156,'Direkte input'!$A$3:$A$230,$A$1),SUMIFS('Direkte input'!I$3:I$230,'Direkte input'!$F$3:$F$230,$D156,'Direkte input'!$C$3:$C$230,$B156,'Direkte input'!$A$3:$A$230,$A$1)),IF(VLOOKUP($A156,[1]!Table1[#All],2,FALSE)="Resultat",SUMIF($F$1:$F155,$D156,J$1:J155)+SUMIF($F157:$F$512,$D156,J157:J$512),0))*'[1]Processer - data'!J156,"")*IF($C156&lt;&gt;"",IF($F156="Halm",Landbrug!E$16*Landbrug!E$17,IF(LEFT($D156,5)="Areal", IF($G156="Ton",Landbrug!E$18,1),1)),1)*IF($F156="Grøntsager",IF($A156="Grøntsager i drivhus",Landbrug!E$51,1-Landbrug!E$51),1)</f>
        <v>127994.14302176591</v>
      </c>
    </row>
    <row r="157" spans="1:10" x14ac:dyDescent="0.25">
      <c r="A157" t="str">
        <f>IF('[1]Processer - data'!A157&lt;&gt;"",'[1]Processer - data'!A157,"")</f>
        <v>Kornmark</v>
      </c>
      <c r="B157" t="str">
        <f>IF('[1]Processer - data'!B157&lt;&gt;"",'[1]Processer - data'!B157,"")</f>
        <v>Økologisk</v>
      </c>
      <c r="C157" t="str">
        <f>IF('[1]Processer - data'!C157&lt;&gt;"",'[1]Processer - data'!C157,"")</f>
        <v>OC6</v>
      </c>
      <c r="D157" t="str">
        <f>IF('[1]Processer - data'!D157&lt;&gt;"",'[1]Processer - data'!D157,"")</f>
        <v>Areal-korn</v>
      </c>
      <c r="E157" t="str">
        <f>IF('[1]Processer - data'!E157&lt;&gt;"",'[1]Processer - data'!E157,"")</f>
        <v>Hektar</v>
      </c>
      <c r="F157" t="str">
        <f>IF('[1]Processer - data'!F157&lt;&gt;"",'[1]Processer - data'!F157,"")</f>
        <v>Korn</v>
      </c>
      <c r="G157" t="str">
        <f>IF('[1]Processer - data'!G157&lt;&gt;"",'[1]Processer - data'!G157,"")</f>
        <v>Ton</v>
      </c>
      <c r="H157" s="297">
        <f>IF($A157&lt;&gt;"",IF(VLOOKUP($A157,[1]!Table1[#All],2,FALSE)="Direkte input",IF($A157&lt;&gt;"Grøntsager i drivhus",SUMIFS('Direkte input'!G$3:G$230,'Direkte input'!$F$3:$F$230,$D157,'Direkte input'!$C$3:$C$230,$B157,'Direkte input'!$D$3:$D$230,$C157,'Direkte input'!$A$3:$A$230,$A$1),SUMIFS('Direkte input'!G$3:G$230,'Direkte input'!$F$3:$F$230,$D157,'Direkte input'!$C$3:$C$230,$B157,'Direkte input'!$A$3:$A$230,$A$1)),IF(VLOOKUP($A157,[1]!Table1[#All],2,FALSE)="Resultat",SUMIF($F$1:$F156,$D157,H$1:H156)+SUMIF($F158:$F$512,$D157,H158:H$512),0))*'[1]Processer - data'!H157,"")*IF($C157&lt;&gt;"",IF($F157="Halm",Landbrug!C$16*Landbrug!C$17,IF(LEFT($D157,5)="Areal", IF($G157="Ton",Landbrug!C$18,1),1)),1)*IF($F157="Grøntsager",IF($A157="Grøntsager i drivhus",Landbrug!C$51,1-Landbrug!C$51),1)</f>
        <v>3243.946320452173</v>
      </c>
      <c r="I157" s="298">
        <f>IF($A157&lt;&gt;"",IF(VLOOKUP($A157,[1]!Table1[#All],2,FALSE)="Direkte input",IF($A157&lt;&gt;"Grøntsager i drivhus",SUMIFS('Direkte input'!H$3:H$230,'Direkte input'!$F$3:$F$230,$D157,'Direkte input'!$C$3:$C$230,$B157,'Direkte input'!$D$3:$D$230,$C157,'Direkte input'!$A$3:$A$230,$A$1),SUMIFS('Direkte input'!H$3:H$230,'Direkte input'!$F$3:$F$230,$D157,'Direkte input'!$C$3:$C$230,$B157,'Direkte input'!$A$3:$A$230,$A$1)),IF(VLOOKUP($A157,[1]!Table1[#All],2,FALSE)="Resultat",SUMIF($F$1:$F156,$D157,I$1:I156)+SUMIF($F158:$F$512,$D157,I158:I$512),0))*'[1]Processer - data'!I157,"")*IF($C157&lt;&gt;"",IF($F157="Halm",Landbrug!D$16*Landbrug!D$17,IF(LEFT($D157,5)="Areal", IF($G157="Ton",Landbrug!D$18,1),1)),1)*IF($F157="Grøntsager",IF($A157="Grøntsager i drivhus",Landbrug!D$51,1-Landbrug!D$51),1)</f>
        <v>3839.4381372716944</v>
      </c>
      <c r="J157" s="299">
        <f>IF($A157&lt;&gt;"",IF(VLOOKUP($A157,[1]!Table1[#All],2,FALSE)="Direkte input",IF($A157&lt;&gt;"Grøntsager i drivhus",SUMIFS('Direkte input'!I$3:I$230,'Direkte input'!$F$3:$F$230,$D157,'Direkte input'!$C$3:$C$230,$B157,'Direkte input'!$D$3:$D$230,$C157,'Direkte input'!$A$3:$A$230,$A$1),SUMIFS('Direkte input'!I$3:I$230,'Direkte input'!$F$3:$F$230,$D157,'Direkte input'!$C$3:$C$230,$B157,'Direkte input'!$A$3:$A$230,$A$1)),IF(VLOOKUP($A157,[1]!Table1[#All],2,FALSE)="Resultat",SUMIF($F$1:$F156,$D157,J$1:J156)+SUMIF($F158:$F$512,$D157,J158:J$512),0))*'[1]Processer - data'!J157,"")*IF($C157&lt;&gt;"",IF($F157="Halm",Landbrug!E$16*Landbrug!E$17,IF(LEFT($D157,5)="Areal", IF($G157="Ton",Landbrug!E$18,1),1)),1)*IF($F157="Grøntsager",IF($A157="Grøntsager i drivhus",Landbrug!E$51,1-Landbrug!E$51),1)</f>
        <v>5339.1854970006107</v>
      </c>
    </row>
    <row r="158" spans="1:10" x14ac:dyDescent="0.25">
      <c r="A158" t="str">
        <f>IF('[1]Processer - data'!A158&lt;&gt;"",'[1]Processer - data'!A158,"")</f>
        <v>Kornmark</v>
      </c>
      <c r="B158" t="str">
        <f>IF('[1]Processer - data'!B158&lt;&gt;"",'[1]Processer - data'!B158,"")</f>
        <v>Økologisk</v>
      </c>
      <c r="C158" t="str">
        <f>IF('[1]Processer - data'!C158&lt;&gt;"",'[1]Processer - data'!C158,"")</f>
        <v>OC6</v>
      </c>
      <c r="D158" t="str">
        <f>IF('[1]Processer - data'!D158&lt;&gt;"",'[1]Processer - data'!D158,"")</f>
        <v>Areal-korn</v>
      </c>
      <c r="E158" t="str">
        <f>IF('[1]Processer - data'!E158&lt;&gt;"",'[1]Processer - data'!E158,"")</f>
        <v>Hektar</v>
      </c>
      <c r="F158" t="str">
        <f>IF('[1]Processer - data'!F158&lt;&gt;"",'[1]Processer - data'!F158,"")</f>
        <v>Halm</v>
      </c>
      <c r="G158" t="str">
        <f>IF('[1]Processer - data'!G158&lt;&gt;"",'[1]Processer - data'!G158,"")</f>
        <v>Ton</v>
      </c>
      <c r="H158" s="297">
        <f>IF($A158&lt;&gt;"",IF(VLOOKUP($A158,[1]!Table1[#All],2,FALSE)="Direkte input",IF($A158&lt;&gt;"Grøntsager i drivhus",SUMIFS('Direkte input'!G$3:G$230,'Direkte input'!$F$3:$F$230,$D158,'Direkte input'!$C$3:$C$230,$B158,'Direkte input'!$D$3:$D$230,$C158,'Direkte input'!$A$3:$A$230,$A$1),SUMIFS('Direkte input'!G$3:G$230,'Direkte input'!$F$3:$F$230,$D158,'Direkte input'!$C$3:$C$230,$B158,'Direkte input'!$A$3:$A$230,$A$1)),IF(VLOOKUP($A158,[1]!Table1[#All],2,FALSE)="Resultat",SUMIF($F$1:$F157,$D158,H$1:H157)+SUMIF($F159:$F$512,$D158,H159:H$512),0))*'[1]Processer - data'!H158,"")*IF($C158&lt;&gt;"",IF($F158="Halm",Landbrug!C$16*Landbrug!C$17,IF(LEFT($D158,5)="Areal", IF($G158="Ton",Landbrug!C$18,1),1)),1)*IF($F158="Grøntsager",IF($A158="Grøntsager i drivhus",Landbrug!C$51,1-Landbrug!C$51),1)</f>
        <v>1058.8159691297883</v>
      </c>
      <c r="I158" s="298">
        <f>IF($A158&lt;&gt;"",IF(VLOOKUP($A158,[1]!Table1[#All],2,FALSE)="Direkte input",IF($A158&lt;&gt;"Grøntsager i drivhus",SUMIFS('Direkte input'!H$3:H$230,'Direkte input'!$F$3:$F$230,$D158,'Direkte input'!$C$3:$C$230,$B158,'Direkte input'!$D$3:$D$230,$C158,'Direkte input'!$A$3:$A$230,$A$1),SUMIFS('Direkte input'!H$3:H$230,'Direkte input'!$F$3:$F$230,$D158,'Direkte input'!$C$3:$C$230,$B158,'Direkte input'!$A$3:$A$230,$A$1)),IF(VLOOKUP($A158,[1]!Table1[#All],2,FALSE)="Resultat",SUMIF($F$1:$F157,$D158,I$1:I157)+SUMIF($F159:$F$512,$D158,I159:I$512),0))*'[1]Processer - data'!I158,"")*IF($C158&lt;&gt;"",IF($F158="Halm",Landbrug!D$16*Landbrug!D$17,IF(LEFT($D158,5)="Areal", IF($G158="Ton",Landbrug!D$18,1),1)),1)*IF($F158="Grøntsager",IF($A158="Grøntsager i drivhus",Landbrug!D$51,1-Landbrug!D$51),1)</f>
        <v>1162.2179809185307</v>
      </c>
      <c r="J158" s="299">
        <f>IF($A158&lt;&gt;"",IF(VLOOKUP($A158,[1]!Table1[#All],2,FALSE)="Direkte input",IF($A158&lt;&gt;"Grøntsager i drivhus",SUMIFS('Direkte input'!I$3:I$230,'Direkte input'!$F$3:$F$230,$D158,'Direkte input'!$C$3:$C$230,$B158,'Direkte input'!$D$3:$D$230,$C158,'Direkte input'!$A$3:$A$230,$A$1),SUMIFS('Direkte input'!I$3:I$230,'Direkte input'!$F$3:$F$230,$D158,'Direkte input'!$C$3:$C$230,$B158,'Direkte input'!$A$3:$A$230,$A$1)),IF(VLOOKUP($A158,[1]!Table1[#All],2,FALSE)="Resultat",SUMIF($F$1:$F157,$D158,J$1:J157)+SUMIF($F159:$F$512,$D158,J159:J$512),0))*'[1]Processer - data'!J158,"")*IF($C158&lt;&gt;"",IF($F158="Halm",Landbrug!E$16*Landbrug!E$17,IF(LEFT($D158,5)="Areal", IF($G158="Ton",Landbrug!E$18,1),1)),1)*IF($F158="Grøntsager",IF($A158="Grøntsager i drivhus",Landbrug!E$51,1-Landbrug!E$51),1)</f>
        <v>1506.5788641536506</v>
      </c>
    </row>
    <row r="159" spans="1:10" x14ac:dyDescent="0.25">
      <c r="A159" t="str">
        <f>IF('[1]Processer - data'!A159&lt;&gt;"",'[1]Processer - data'!A159,"")</f>
        <v>Kornmark</v>
      </c>
      <c r="B159" t="str">
        <f>IF('[1]Processer - data'!B159&lt;&gt;"",'[1]Processer - data'!B159,"")</f>
        <v>Økologisk</v>
      </c>
      <c r="C159" t="str">
        <f>IF('[1]Processer - data'!C159&lt;&gt;"",'[1]Processer - data'!C159,"")</f>
        <v>OC6</v>
      </c>
      <c r="D159" t="str">
        <f>IF('[1]Processer - data'!D159&lt;&gt;"",'[1]Processer - data'!D159,"")</f>
        <v>Areal-korn</v>
      </c>
      <c r="E159" t="str">
        <f>IF('[1]Processer - data'!E159&lt;&gt;"",'[1]Processer - data'!E159,"")</f>
        <v>Hektar</v>
      </c>
      <c r="F159" t="str">
        <f>IF('[1]Processer - data'!F159&lt;&gt;"",'[1]Processer - data'!F159,"")</f>
        <v>Gødning</v>
      </c>
      <c r="G159" t="str">
        <f>IF('[1]Processer - data'!G159&lt;&gt;"",'[1]Processer - data'!G159,"")</f>
        <v>kg N</v>
      </c>
      <c r="H159" s="297">
        <f>IF($A159&lt;&gt;"",IF(VLOOKUP($A159,[1]!Table1[#All],2,FALSE)="Direkte input",IF($A159&lt;&gt;"Grøntsager i drivhus",SUMIFS('Direkte input'!G$3:G$230,'Direkte input'!$F$3:$F$230,$D159,'Direkte input'!$C$3:$C$230,$B159,'Direkte input'!$D$3:$D$230,$C159,'Direkte input'!$A$3:$A$230,$A$1),SUMIFS('Direkte input'!G$3:G$230,'Direkte input'!$F$3:$F$230,$D159,'Direkte input'!$C$3:$C$230,$B159,'Direkte input'!$A$3:$A$230,$A$1)),IF(VLOOKUP($A159,[1]!Table1[#All],2,FALSE)="Resultat",SUMIF($F$1:$F158,$D159,H$1:H158)+SUMIF($F160:$F$512,$D159,H160:H$512),0))*'[1]Processer - data'!H159,"")*IF($C159&lt;&gt;"",IF($F159="Halm",Landbrug!C$16*Landbrug!C$17,IF(LEFT($D159,5)="Areal", IF($G159="Ton",Landbrug!C$18,1),1)),1)*IF($F159="Grøntsager",IF($A159="Grøntsager i drivhus",Landbrug!C$51,1-Landbrug!C$51),1)</f>
        <v>-50132.31355905642</v>
      </c>
      <c r="I159" s="298">
        <f>IF($A159&lt;&gt;"",IF(VLOOKUP($A159,[1]!Table1[#All],2,FALSE)="Direkte input",IF($A159&lt;&gt;"Grøntsager i drivhus",SUMIFS('Direkte input'!H$3:H$230,'Direkte input'!$F$3:$F$230,$D159,'Direkte input'!$C$3:$C$230,$B159,'Direkte input'!$D$3:$D$230,$C159,'Direkte input'!$A$3:$A$230,$A$1),SUMIFS('Direkte input'!H$3:H$230,'Direkte input'!$F$3:$F$230,$D159,'Direkte input'!$C$3:$C$230,$B159,'Direkte input'!$A$3:$A$230,$A$1)),IF(VLOOKUP($A159,[1]!Table1[#All],2,FALSE)="Resultat",SUMIF($F$1:$F158,$D159,I$1:I158)+SUMIF($F160:$F$512,$D159,I160:I$512),0))*'[1]Processer - data'!I159,"")*IF($C159&lt;&gt;"",IF($F159="Halm",Landbrug!D$16*Landbrug!D$17,IF(LEFT($D159,5)="Areal", IF($G159="Ton",Landbrug!D$18,1),1)),1)*IF($F159="Grøntsager",IF($A159="Grøntsager i drivhus",Landbrug!D$51,1-Landbrug!D$51),1)</f>
        <v>-55349.917433752278</v>
      </c>
      <c r="J159" s="299">
        <f>IF($A159&lt;&gt;"",IF(VLOOKUP($A159,[1]!Table1[#All],2,FALSE)="Direkte input",IF($A159&lt;&gt;"Grøntsager i drivhus",SUMIFS('Direkte input'!I$3:I$230,'Direkte input'!$F$3:$F$230,$D159,'Direkte input'!$C$3:$C$230,$B159,'Direkte input'!$D$3:$D$230,$C159,'Direkte input'!$A$3:$A$230,$A$1),SUMIFS('Direkte input'!I$3:I$230,'Direkte input'!$F$3:$F$230,$D159,'Direkte input'!$C$3:$C$230,$B159,'Direkte input'!$A$3:$A$230,$A$1)),IF(VLOOKUP($A159,[1]!Table1[#All],2,FALSE)="Resultat",SUMIF($F$1:$F158,$D159,J$1:J158)+SUMIF($F160:$F$512,$D159,J160:J$512),0))*'[1]Processer - data'!J159,"")*IF($C159&lt;&gt;"",IF($F159="Halm",Landbrug!E$16*Landbrug!E$17,IF(LEFT($D159,5)="Areal", IF($G159="Ton",Landbrug!E$18,1),1)),1)*IF($F159="Grøntsager",IF($A159="Grøntsager i drivhus",Landbrug!E$51,1-Landbrug!E$51),1)</f>
        <v>-71749.892969678884</v>
      </c>
    </row>
    <row r="160" spans="1:10" x14ac:dyDescent="0.25">
      <c r="A160" t="str">
        <f>IF('[1]Processer - data'!A160&lt;&gt;"",'[1]Processer - data'!A160,"")</f>
        <v>Kornmark</v>
      </c>
      <c r="B160" t="str">
        <f>IF('[1]Processer - data'!B160&lt;&gt;"",'[1]Processer - data'!B160,"")</f>
        <v>Økologisk</v>
      </c>
      <c r="C160" t="str">
        <f>IF('[1]Processer - data'!C160&lt;&gt;"",'[1]Processer - data'!C160,"")</f>
        <v>OC6</v>
      </c>
      <c r="D160" t="str">
        <f>IF('[1]Processer - data'!D160&lt;&gt;"",'[1]Processer - data'!D160,"")</f>
        <v>Areal-korn</v>
      </c>
      <c r="E160" t="str">
        <f>IF('[1]Processer - data'!E160&lt;&gt;"",'[1]Processer - data'!E160,"")</f>
        <v>Hektar</v>
      </c>
      <c r="F160" t="str">
        <f>IF('[1]Processer - data'!F160&lt;&gt;"",'[1]Processer - data'!F160,"")</f>
        <v>CO2 - atmosfære</v>
      </c>
      <c r="G160" t="str">
        <f>IF('[1]Processer - data'!G160&lt;&gt;"",'[1]Processer - data'!G160,"")</f>
        <v>t CO2-ækvivalenter</v>
      </c>
      <c r="H160" s="297">
        <f>IF($A160&lt;&gt;"",IF(VLOOKUP($A160,[1]!Table1[#All],2,FALSE)="Direkte input",IF($A160&lt;&gt;"Grøntsager i drivhus",SUMIFS('Direkte input'!G$3:G$230,'Direkte input'!$F$3:$F$230,$D160,'Direkte input'!$C$3:$C$230,$B160,'Direkte input'!$D$3:$D$230,$C160,'Direkte input'!$A$3:$A$230,$A$1),SUMIFS('Direkte input'!G$3:G$230,'Direkte input'!$F$3:$F$230,$D160,'Direkte input'!$C$3:$C$230,$B160,'Direkte input'!$A$3:$A$230,$A$1)),IF(VLOOKUP($A160,[1]!Table1[#All],2,FALSE)="Resultat",SUMIF($F$1:$F159,$D160,H$1:H159)+SUMIF($F161:$F$512,$D160,H161:H$512),0))*'[1]Processer - data'!H160,"")*IF($C160&lt;&gt;"",IF($F160="Halm",Landbrug!C$16*Landbrug!C$17,IF(LEFT($D160,5)="Areal", IF($G160="Ton",Landbrug!C$18,1),1)),1)*IF($F160="Grøntsager",IF($A160="Grøntsager i drivhus",Landbrug!C$51,1-Landbrug!C$51),1)</f>
        <v>9204.3701075933113</v>
      </c>
      <c r="I160" s="298">
        <f>IF($A160&lt;&gt;"",IF(VLOOKUP($A160,[1]!Table1[#All],2,FALSE)="Direkte input",IF($A160&lt;&gt;"Grøntsager i drivhus",SUMIFS('Direkte input'!H$3:H$230,'Direkte input'!$F$3:$F$230,$D160,'Direkte input'!$C$3:$C$230,$B160,'Direkte input'!$D$3:$D$230,$C160,'Direkte input'!$A$3:$A$230,$A$1),SUMIFS('Direkte input'!H$3:H$230,'Direkte input'!$F$3:$F$230,$D160,'Direkte input'!$C$3:$C$230,$B160,'Direkte input'!$A$3:$A$230,$A$1)),IF(VLOOKUP($A160,[1]!Table1[#All],2,FALSE)="Resultat",SUMIF($F$1:$F159,$D160,I$1:I159)+SUMIF($F161:$F$512,$D160,I161:I$512),0))*'[1]Processer - data'!I160,"")*IF($C160&lt;&gt;"",IF($F160="Halm",Landbrug!D$16*Landbrug!D$17,IF(LEFT($D160,5)="Areal", IF($G160="Ton",Landbrug!D$18,1),1)),1)*IF($F160="Grøntsager",IF($A160="Grøntsager i drivhus",Landbrug!D$51,1-Landbrug!D$51),1)</f>
        <v>10162.330228084058</v>
      </c>
      <c r="J160" s="299">
        <f>IF($A160&lt;&gt;"",IF(VLOOKUP($A160,[1]!Table1[#All],2,FALSE)="Direkte input",IF($A160&lt;&gt;"Grøntsager i drivhus",SUMIFS('Direkte input'!I$3:I$230,'Direkte input'!$F$3:$F$230,$D160,'Direkte input'!$C$3:$C$230,$B160,'Direkte input'!$D$3:$D$230,$C160,'Direkte input'!$A$3:$A$230,$A$1),SUMIFS('Direkte input'!I$3:I$230,'Direkte input'!$F$3:$F$230,$D160,'Direkte input'!$C$3:$C$230,$B160,'Direkte input'!$A$3:$A$230,$A$1)),IF(VLOOKUP($A160,[1]!Table1[#All],2,FALSE)="Resultat",SUMIF($F$1:$F159,$D160,J$1:J159)+SUMIF($F161:$F$512,$D160,J161:J$512),0))*'[1]Processer - data'!J160,"")*IF($C160&lt;&gt;"",IF($F160="Halm",Landbrug!E$16*Landbrug!E$17,IF(LEFT($D160,5)="Areal", IF($G160="Ton",Landbrug!E$18,1),1)),1)*IF($F160="Grøntsager",IF($A160="Grøntsager i drivhus",Landbrug!E$51,1-Landbrug!E$51),1)</f>
        <v>13173.391036405261</v>
      </c>
    </row>
    <row r="161" spans="1:10" x14ac:dyDescent="0.25">
      <c r="A161" t="str">
        <f>IF('[1]Processer - data'!A161&lt;&gt;"",'[1]Processer - data'!A161,"")</f>
        <v>Kornmark</v>
      </c>
      <c r="B161" t="str">
        <f>IF('[1]Processer - data'!B161&lt;&gt;"",'[1]Processer - data'!B161,"")</f>
        <v>Økologisk</v>
      </c>
      <c r="C161" t="str">
        <f>IF('[1]Processer - data'!C161&lt;&gt;"",'[1]Processer - data'!C161,"")</f>
        <v>OC12</v>
      </c>
      <c r="D161" t="str">
        <f>IF('[1]Processer - data'!D161&lt;&gt;"",'[1]Processer - data'!D161,"")</f>
        <v>Areal-korn</v>
      </c>
      <c r="E161" t="str">
        <f>IF('[1]Processer - data'!E161&lt;&gt;"",'[1]Processer - data'!E161,"")</f>
        <v>Hektar</v>
      </c>
      <c r="F161" t="str">
        <f>IF('[1]Processer - data'!F161&lt;&gt;"",'[1]Processer - data'!F161,"")</f>
        <v>Korn</v>
      </c>
      <c r="G161" t="str">
        <f>IF('[1]Processer - data'!G161&lt;&gt;"",'[1]Processer - data'!G161,"")</f>
        <v>Ton</v>
      </c>
      <c r="H161" s="297">
        <f>IF($A161&lt;&gt;"",IF(VLOOKUP($A161,[1]!Table1[#All],2,FALSE)="Direkte input",IF($A161&lt;&gt;"Grøntsager i drivhus",SUMIFS('Direkte input'!G$3:G$230,'Direkte input'!$F$3:$F$230,$D161,'Direkte input'!$C$3:$C$230,$B161,'Direkte input'!$D$3:$D$230,$C161,'Direkte input'!$A$3:$A$230,$A$1),SUMIFS('Direkte input'!G$3:G$230,'Direkte input'!$F$3:$F$230,$D161,'Direkte input'!$C$3:$C$230,$B161,'Direkte input'!$A$3:$A$230,$A$1)),IF(VLOOKUP($A161,[1]!Table1[#All],2,FALSE)="Resultat",SUMIF($F$1:$F160,$D161,H$1:H160)+SUMIF($F162:$F$512,$D161,H162:H$512),0))*'[1]Processer - data'!H161,"")*IF($C161&lt;&gt;"",IF($F161="Halm",Landbrug!C$16*Landbrug!C$17,IF(LEFT($D161,5)="Areal", IF($G161="Ton",Landbrug!C$18,1),1)),1)*IF($F161="Grøntsager",IF($A161="Grøntsager i drivhus",Landbrug!C$51,1-Landbrug!C$51),1)</f>
        <v>2022.2824334071295</v>
      </c>
      <c r="I161" s="298">
        <f>IF($A161&lt;&gt;"",IF(VLOOKUP($A161,[1]!Table1[#All],2,FALSE)="Direkte input",IF($A161&lt;&gt;"Grøntsager i drivhus",SUMIFS('Direkte input'!H$3:H$230,'Direkte input'!$F$3:$F$230,$D161,'Direkte input'!$C$3:$C$230,$B161,'Direkte input'!$D$3:$D$230,$C161,'Direkte input'!$A$3:$A$230,$A$1),SUMIFS('Direkte input'!H$3:H$230,'Direkte input'!$F$3:$F$230,$D161,'Direkte input'!$C$3:$C$230,$B161,'Direkte input'!$A$3:$A$230,$A$1)),IF(VLOOKUP($A161,[1]!Table1[#All],2,FALSE)="Resultat",SUMIF($F$1:$F160,$D161,I$1:I160)+SUMIF($F162:$F$512,$D161,I162:I$512),0))*'[1]Processer - data'!I161,"")*IF($C161&lt;&gt;"",IF($F161="Halm",Landbrug!D$16*Landbrug!D$17,IF(LEFT($D161,5)="Areal", IF($G161="Ton",Landbrug!D$18,1),1)),1)*IF($F161="Grøntsager",IF($A161="Grøntsager i drivhus",Landbrug!D$51,1-Landbrug!D$51),1)</f>
        <v>2412.46513426312</v>
      </c>
      <c r="J161" s="299">
        <f>IF($A161&lt;&gt;"",IF(VLOOKUP($A161,[1]!Table1[#All],2,FALSE)="Direkte input",IF($A161&lt;&gt;"Grøntsager i drivhus",SUMIFS('Direkte input'!I$3:I$230,'Direkte input'!$F$3:$F$230,$D161,'Direkte input'!$C$3:$C$230,$B161,'Direkte input'!$D$3:$D$230,$C161,'Direkte input'!$A$3:$A$230,$A$1),SUMIFS('Direkte input'!I$3:I$230,'Direkte input'!$F$3:$F$230,$D161,'Direkte input'!$C$3:$C$230,$B161,'Direkte input'!$A$3:$A$230,$A$1)),IF(VLOOKUP($A161,[1]!Table1[#All],2,FALSE)="Resultat",SUMIF($F$1:$F160,$D161,J$1:J160)+SUMIF($F162:$F$512,$D161,J162:J$512),0))*'[1]Processer - data'!J161,"")*IF($C161&lt;&gt;"",IF($F161="Halm",Landbrug!E$16*Landbrug!E$17,IF(LEFT($D161,5)="Areal", IF($G161="Ton",Landbrug!E$18,1),1)),1)*IF($F161="Grøntsager",IF($A161="Grøntsager i drivhus",Landbrug!E$51,1-Landbrug!E$51),1)</f>
        <v>3354.8134899837805</v>
      </c>
    </row>
    <row r="162" spans="1:10" x14ac:dyDescent="0.25">
      <c r="A162" t="str">
        <f>IF('[1]Processer - data'!A162&lt;&gt;"",'[1]Processer - data'!A162,"")</f>
        <v>Kornmark</v>
      </c>
      <c r="B162" t="str">
        <f>IF('[1]Processer - data'!B162&lt;&gt;"",'[1]Processer - data'!B162,"")</f>
        <v>Økologisk</v>
      </c>
      <c r="C162" t="str">
        <f>IF('[1]Processer - data'!C162&lt;&gt;"",'[1]Processer - data'!C162,"")</f>
        <v>OC12</v>
      </c>
      <c r="D162" t="str">
        <f>IF('[1]Processer - data'!D162&lt;&gt;"",'[1]Processer - data'!D162,"")</f>
        <v>Areal-korn</v>
      </c>
      <c r="E162" t="str">
        <f>IF('[1]Processer - data'!E162&lt;&gt;"",'[1]Processer - data'!E162,"")</f>
        <v>Hektar</v>
      </c>
      <c r="F162" t="str">
        <f>IF('[1]Processer - data'!F162&lt;&gt;"",'[1]Processer - data'!F162,"")</f>
        <v>Halm</v>
      </c>
      <c r="G162" t="str">
        <f>IF('[1]Processer - data'!G162&lt;&gt;"",'[1]Processer - data'!G162,"")</f>
        <v>Ton</v>
      </c>
      <c r="H162" s="297">
        <f>IF($A162&lt;&gt;"",IF(VLOOKUP($A162,[1]!Table1[#All],2,FALSE)="Direkte input",IF($A162&lt;&gt;"Grøntsager i drivhus",SUMIFS('Direkte input'!G$3:G$230,'Direkte input'!$F$3:$F$230,$D162,'Direkte input'!$C$3:$C$230,$B162,'Direkte input'!$D$3:$D$230,$C162,'Direkte input'!$A$3:$A$230,$A$1),SUMIFS('Direkte input'!G$3:G$230,'Direkte input'!$F$3:$F$230,$D162,'Direkte input'!$C$3:$C$230,$B162,'Direkte input'!$A$3:$A$230,$A$1)),IF(VLOOKUP($A162,[1]!Table1[#All],2,FALSE)="Resultat",SUMIF($F$1:$F161,$D162,H$1:H161)+SUMIF($F163:$F$512,$D162,H163:H$512),0))*'[1]Processer - data'!H162,"")*IF($C162&lt;&gt;"",IF($F162="Halm",Landbrug!C$16*Landbrug!C$17,IF(LEFT($D162,5)="Areal", IF($G162="Ton",Landbrug!C$18,1),1)),1)*IF($F162="Grøntsager",IF($A162="Grøntsager i drivhus",Landbrug!C$51,1-Landbrug!C$51),1)</f>
        <v>660.0679305580037</v>
      </c>
      <c r="I162" s="298">
        <f>IF($A162&lt;&gt;"",IF(VLOOKUP($A162,[1]!Table1[#All],2,FALSE)="Direkte input",IF($A162&lt;&gt;"Grøntsager i drivhus",SUMIFS('Direkte input'!H$3:H$230,'Direkte input'!$F$3:$F$230,$D162,'Direkte input'!$C$3:$C$230,$B162,'Direkte input'!$D$3:$D$230,$C162,'Direkte input'!$A$3:$A$230,$A$1),SUMIFS('Direkte input'!H$3:H$230,'Direkte input'!$F$3:$F$230,$D162,'Direkte input'!$C$3:$C$230,$B162,'Direkte input'!$A$3:$A$230,$A$1)),IF(VLOOKUP($A162,[1]!Table1[#All],2,FALSE)="Resultat",SUMIF($F$1:$F161,$D162,I$1:I161)+SUMIF($F163:$F$512,$D162,I163:I$512),0))*'[1]Processer - data'!I162,"")*IF($C162&lt;&gt;"",IF($F162="Halm",Landbrug!D$16*Landbrug!D$17,IF(LEFT($D162,5)="Areal", IF($G162="Ton",Landbrug!D$18,1),1)),1)*IF($F162="Grøntsager",IF($A162="Grøntsager i drivhus",Landbrug!D$51,1-Landbrug!D$51),1)</f>
        <v>730.26579857125216</v>
      </c>
      <c r="J162" s="299">
        <f>IF($A162&lt;&gt;"",IF(VLOOKUP($A162,[1]!Table1[#All],2,FALSE)="Direkte input",IF($A162&lt;&gt;"Grøntsager i drivhus",SUMIFS('Direkte input'!I$3:I$230,'Direkte input'!$F$3:$F$230,$D162,'Direkte input'!$C$3:$C$230,$B162,'Direkte input'!$D$3:$D$230,$C162,'Direkte input'!$A$3:$A$230,$A$1),SUMIFS('Direkte input'!I$3:I$230,'Direkte input'!$F$3:$F$230,$D162,'Direkte input'!$C$3:$C$230,$B162,'Direkte input'!$A$3:$A$230,$A$1)),IF(VLOOKUP($A162,[1]!Table1[#All],2,FALSE)="Resultat",SUMIF($F$1:$F161,$D162,J$1:J161)+SUMIF($F163:$F$512,$D162,J163:J$512),0))*'[1]Processer - data'!J162,"")*IF($C162&lt;&gt;"",IF($F162="Halm",Landbrug!E$16*Landbrug!E$17,IF(LEFT($D162,5)="Areal", IF($G162="Ton",Landbrug!E$18,1),1)),1)*IF($F162="Grøntsager",IF($A162="Grøntsager i drivhus",Landbrug!E$51,1-Landbrug!E$51),1)</f>
        <v>946.64084999977126</v>
      </c>
    </row>
    <row r="163" spans="1:10" x14ac:dyDescent="0.25">
      <c r="A163" t="str">
        <f>IF('[1]Processer - data'!A163&lt;&gt;"",'[1]Processer - data'!A163,"")</f>
        <v>Kornmark</v>
      </c>
      <c r="B163" t="str">
        <f>IF('[1]Processer - data'!B163&lt;&gt;"",'[1]Processer - data'!B163,"")</f>
        <v>Økologisk</v>
      </c>
      <c r="C163" t="str">
        <f>IF('[1]Processer - data'!C163&lt;&gt;"",'[1]Processer - data'!C163,"")</f>
        <v>OC12</v>
      </c>
      <c r="D163" t="str">
        <f>IF('[1]Processer - data'!D163&lt;&gt;"",'[1]Processer - data'!D163,"")</f>
        <v>Areal-korn</v>
      </c>
      <c r="E163" t="str">
        <f>IF('[1]Processer - data'!E163&lt;&gt;"",'[1]Processer - data'!E163,"")</f>
        <v>Hektar</v>
      </c>
      <c r="F163" t="str">
        <f>IF('[1]Processer - data'!F163&lt;&gt;"",'[1]Processer - data'!F163,"")</f>
        <v>Gødning</v>
      </c>
      <c r="G163" t="str">
        <f>IF('[1]Processer - data'!G163&lt;&gt;"",'[1]Processer - data'!G163,"")</f>
        <v>kg N</v>
      </c>
      <c r="H163" s="297">
        <f>IF($A163&lt;&gt;"",IF(VLOOKUP($A163,[1]!Table1[#All],2,FALSE)="Direkte input",IF($A163&lt;&gt;"Grøntsager i drivhus",SUMIFS('Direkte input'!G$3:G$230,'Direkte input'!$F$3:$F$230,$D163,'Direkte input'!$C$3:$C$230,$B163,'Direkte input'!$D$3:$D$230,$C163,'Direkte input'!$A$3:$A$230,$A$1),SUMIFS('Direkte input'!G$3:G$230,'Direkte input'!$F$3:$F$230,$D163,'Direkte input'!$C$3:$C$230,$B163,'Direkte input'!$A$3:$A$230,$A$1)),IF(VLOOKUP($A163,[1]!Table1[#All],2,FALSE)="Resultat",SUMIF($F$1:$F162,$D163,H$1:H162)+SUMIF($F164:$F$512,$D163,H164:H$512),0))*'[1]Processer - data'!H163,"")*IF($C163&lt;&gt;"",IF($F163="Halm",Landbrug!C$16*Landbrug!C$17,IF(LEFT($D163,5)="Areal", IF($G163="Ton",Landbrug!C$18,1),1)),1)*IF($F163="Grøntsager",IF($A163="Grøntsager i drivhus",Landbrug!C$51,1-Landbrug!C$51),1)</f>
        <v>-20606.097752263398</v>
      </c>
      <c r="I163" s="298">
        <f>IF($A163&lt;&gt;"",IF(VLOOKUP($A163,[1]!Table1[#All],2,FALSE)="Direkte input",IF($A163&lt;&gt;"Grøntsager i drivhus",SUMIFS('Direkte input'!H$3:H$230,'Direkte input'!$F$3:$F$230,$D163,'Direkte input'!$C$3:$C$230,$B163,'Direkte input'!$D$3:$D$230,$C163,'Direkte input'!$A$3:$A$230,$A$1),SUMIFS('Direkte input'!H$3:H$230,'Direkte input'!$F$3:$F$230,$D163,'Direkte input'!$C$3:$C$230,$B163,'Direkte input'!$A$3:$A$230,$A$1)),IF(VLOOKUP($A163,[1]!Table1[#All],2,FALSE)="Resultat",SUMIF($F$1:$F162,$D163,I$1:I162)+SUMIF($F164:$F$512,$D163,I164:I$512),0))*'[1]Processer - data'!I163,"")*IF($C163&lt;&gt;"",IF($F163="Halm",Landbrug!D$16*Landbrug!D$17,IF(LEFT($D163,5)="Areal", IF($G163="Ton",Landbrug!D$18,1),1)),1)*IF($F163="Grøntsager",IF($A163="Grøntsager i drivhus",Landbrug!D$51,1-Landbrug!D$51),1)</f>
        <v>-22930.852801122521</v>
      </c>
      <c r="J163" s="299">
        <f>IF($A163&lt;&gt;"",IF(VLOOKUP($A163,[1]!Table1[#All],2,FALSE)="Direkte input",IF($A163&lt;&gt;"Grøntsager i drivhus",SUMIFS('Direkte input'!I$3:I$230,'Direkte input'!$F$3:$F$230,$D163,'Direkte input'!$C$3:$C$230,$B163,'Direkte input'!$D$3:$D$230,$C163,'Direkte input'!$A$3:$A$230,$A$1),SUMIFS('Direkte input'!I$3:I$230,'Direkte input'!$F$3:$F$230,$D163,'Direkte input'!$C$3:$C$230,$B163,'Direkte input'!$A$3:$A$230,$A$1)),IF(VLOOKUP($A163,[1]!Table1[#All],2,FALSE)="Resultat",SUMIF($F$1:$F162,$D163,J$1:J162)+SUMIF($F164:$F$512,$D163,J164:J$512),0))*'[1]Processer - data'!J163,"")*IF($C163&lt;&gt;"",IF($F163="Halm",Landbrug!E$16*Landbrug!E$17,IF(LEFT($D163,5)="Areal", IF($G163="Ton",Landbrug!E$18,1),1)),1)*IF($F163="Grøntsager",IF($A163="Grøntsager i drivhus",Landbrug!E$51,1-Landbrug!E$51),1)</f>
        <v>-29725.17955701067</v>
      </c>
    </row>
    <row r="164" spans="1:10" x14ac:dyDescent="0.25">
      <c r="A164" t="str">
        <f>IF('[1]Processer - data'!A164&lt;&gt;"",'[1]Processer - data'!A164,"")</f>
        <v>Kornmark</v>
      </c>
      <c r="B164" t="str">
        <f>IF('[1]Processer - data'!B164&lt;&gt;"",'[1]Processer - data'!B164,"")</f>
        <v>Økologisk</v>
      </c>
      <c r="C164" t="str">
        <f>IF('[1]Processer - data'!C164&lt;&gt;"",'[1]Processer - data'!C164,"")</f>
        <v>OC12</v>
      </c>
      <c r="D164" t="str">
        <f>IF('[1]Processer - data'!D164&lt;&gt;"",'[1]Processer - data'!D164,"")</f>
        <v>Areal-korn</v>
      </c>
      <c r="E164" t="str">
        <f>IF('[1]Processer - data'!E164&lt;&gt;"",'[1]Processer - data'!E164,"")</f>
        <v>Hektar</v>
      </c>
      <c r="F164" t="str">
        <f>IF('[1]Processer - data'!F164&lt;&gt;"",'[1]Processer - data'!F164,"")</f>
        <v>CO2 - atmosfære</v>
      </c>
      <c r="G164" t="str">
        <f>IF('[1]Processer - data'!G164&lt;&gt;"",'[1]Processer - data'!G164,"")</f>
        <v>t CO2-ækvivalenter</v>
      </c>
      <c r="H164" s="297">
        <f>IF($A164&lt;&gt;"",IF(VLOOKUP($A164,[1]!Table1[#All],2,FALSE)="Direkte input",IF($A164&lt;&gt;"Grøntsager i drivhus",SUMIFS('Direkte input'!G$3:G$230,'Direkte input'!$F$3:$F$230,$D164,'Direkte input'!$C$3:$C$230,$B164,'Direkte input'!$D$3:$D$230,$C164,'Direkte input'!$A$3:$A$230,$A$1),SUMIFS('Direkte input'!G$3:G$230,'Direkte input'!$F$3:$F$230,$D164,'Direkte input'!$C$3:$C$230,$B164,'Direkte input'!$A$3:$A$230,$A$1)),IF(VLOOKUP($A164,[1]!Table1[#All],2,FALSE)="Resultat",SUMIF($F$1:$F163,$D164,H$1:H163)+SUMIF($F165:$F$512,$D164,H165:H$512),0))*'[1]Processer - data'!H164,"")*IF($C164&lt;&gt;"",IF($F164="Halm",Landbrug!C$16*Landbrug!C$17,IF(LEFT($D164,5)="Areal", IF($G164="Ton",Landbrug!C$18,1),1)),1)*IF($F164="Grøntsager",IF($A164="Grøntsager i drivhus",Landbrug!C$51,1-Landbrug!C$51),1)</f>
        <v>12594.845033689844</v>
      </c>
      <c r="I164" s="298">
        <f>IF($A164&lt;&gt;"",IF(VLOOKUP($A164,[1]!Table1[#All],2,FALSE)="Direkte input",IF($A164&lt;&gt;"Grøntsager i drivhus",SUMIFS('Direkte input'!H$3:H$230,'Direkte input'!$F$3:$F$230,$D164,'Direkte input'!$C$3:$C$230,$B164,'Direkte input'!$D$3:$D$230,$C164,'Direkte input'!$A$3:$A$230,$A$1),SUMIFS('Direkte input'!H$3:H$230,'Direkte input'!$F$3:$F$230,$D164,'Direkte input'!$C$3:$C$230,$B164,'Direkte input'!$A$3:$A$230,$A$1)),IF(VLOOKUP($A164,[1]!Table1[#All],2,FALSE)="Resultat",SUMIF($F$1:$F163,$D164,I$1:I163)+SUMIF($F165:$F$512,$D164,I165:I$512),0))*'[1]Processer - data'!I164,"")*IF($C164&lt;&gt;"",IF($F164="Halm",Landbrug!D$16*Landbrug!D$17,IF(LEFT($D164,5)="Areal", IF($G164="Ton",Landbrug!D$18,1),1)),1)*IF($F164="Grøntsager",IF($A164="Grøntsager i drivhus",Landbrug!D$51,1-Landbrug!D$51),1)</f>
        <v>14015.780231303987</v>
      </c>
      <c r="J164" s="299">
        <f>IF($A164&lt;&gt;"",IF(VLOOKUP($A164,[1]!Table1[#All],2,FALSE)="Direkte input",IF($A164&lt;&gt;"Grøntsager i drivhus",SUMIFS('Direkte input'!I$3:I$230,'Direkte input'!$F$3:$F$230,$D164,'Direkte input'!$C$3:$C$230,$B164,'Direkte input'!$D$3:$D$230,$C164,'Direkte input'!$A$3:$A$230,$A$1),SUMIFS('Direkte input'!I$3:I$230,'Direkte input'!$F$3:$F$230,$D164,'Direkte input'!$C$3:$C$230,$B164,'Direkte input'!$A$3:$A$230,$A$1)),IF(VLOOKUP($A164,[1]!Table1[#All],2,FALSE)="Resultat",SUMIF($F$1:$F163,$D164,J$1:J163)+SUMIF($F165:$F$512,$D164,J165:J$512),0))*'[1]Processer - data'!J164,"")*IF($C164&lt;&gt;"",IF($F164="Halm",Landbrug!E$16*Landbrug!E$17,IF(LEFT($D164,5)="Areal", IF($G164="Ton",Landbrug!E$18,1),1)),1)*IF($F164="Grøntsager",IF($A164="Grøntsager i drivhus",Landbrug!E$51,1-Landbrug!E$51),1)</f>
        <v>18168.604003542201</v>
      </c>
    </row>
    <row r="165" spans="1:10" x14ac:dyDescent="0.25">
      <c r="A165" t="str">
        <f>IF('[1]Processer - data'!A165&lt;&gt;"",'[1]Processer - data'!A165,"")</f>
        <v>Grøntsager på land</v>
      </c>
      <c r="B165" t="str">
        <f>IF('[1]Processer - data'!B165&lt;&gt;"",'[1]Processer - data'!B165,"")</f>
        <v>Konventionel</v>
      </c>
      <c r="C165" t="str">
        <f>IF('[1]Processer - data'!C165&lt;&gt;"",'[1]Processer - data'!C165,"")</f>
        <v>JB1-10</v>
      </c>
      <c r="D165" t="str">
        <f>IF('[1]Processer - data'!D165&lt;&gt;"",'[1]Processer - data'!D165,"")</f>
        <v>Areal-grøntsager</v>
      </c>
      <c r="E165" t="str">
        <f>IF('[1]Processer - data'!E165&lt;&gt;"",'[1]Processer - data'!E165,"")</f>
        <v>Hektar</v>
      </c>
      <c r="F165" t="str">
        <f>IF('[1]Processer - data'!F165&lt;&gt;"",'[1]Processer - data'!F165,"")</f>
        <v>Grøntsager</v>
      </c>
      <c r="G165" t="str">
        <f>IF('[1]Processer - data'!G165&lt;&gt;"",'[1]Processer - data'!G165,"")</f>
        <v>Ton</v>
      </c>
      <c r="H165" s="297">
        <f>IF($A165&lt;&gt;"",IF(VLOOKUP($A165,[1]!Table1[#All],2,FALSE)="Direkte input",IF($A165&lt;&gt;"Grøntsager i drivhus",SUMIFS('Direkte input'!G$3:G$230,'Direkte input'!$F$3:$F$230,$D165,'Direkte input'!$C$3:$C$230,$B165,'Direkte input'!$D$3:$D$230,$C165,'Direkte input'!$A$3:$A$230,$A$1),SUMIFS('Direkte input'!G$3:G$230,'Direkte input'!$F$3:$F$230,$D165,'Direkte input'!$C$3:$C$230,$B165,'Direkte input'!$A$3:$A$230,$A$1)),IF(VLOOKUP($A165,[1]!Table1[#All],2,FALSE)="Resultat",SUMIF($F$1:$F164,$D165,H$1:H164)+SUMIF($F166:$F$512,$D165,H166:H$512),0))*'[1]Processer - data'!H165,"")*IF($C165&lt;&gt;"",IF($F165="Halm",Landbrug!C$16*Landbrug!C$17,IF(LEFT($D165,5)="Areal", IF($G165="Ton",Landbrug!C$18,1),1)),1)*IF($F165="Grøntsager",IF($A165="Grøntsager i drivhus",Landbrug!C$51,1-Landbrug!C$51),1)</f>
        <v>78503.984158410036</v>
      </c>
      <c r="I165" s="298">
        <f>IF($A165&lt;&gt;"",IF(VLOOKUP($A165,[1]!Table1[#All],2,FALSE)="Direkte input",IF($A165&lt;&gt;"Grøntsager i drivhus",SUMIFS('Direkte input'!H$3:H$230,'Direkte input'!$F$3:$F$230,$D165,'Direkte input'!$C$3:$C$230,$B165,'Direkte input'!$D$3:$D$230,$C165,'Direkte input'!$A$3:$A$230,$A$1),SUMIFS('Direkte input'!H$3:H$230,'Direkte input'!$F$3:$F$230,$D165,'Direkte input'!$C$3:$C$230,$B165,'Direkte input'!$A$3:$A$230,$A$1)),IF(VLOOKUP($A165,[1]!Table1[#All],2,FALSE)="Resultat",SUMIF($F$1:$F164,$D165,I$1:I164)+SUMIF($F166:$F$512,$D165,I166:I$512),0))*'[1]Processer - data'!I165,"")*IF($C165&lt;&gt;"",IF($F165="Halm",Landbrug!D$16*Landbrug!D$17,IF(LEFT($D165,5)="Areal", IF($G165="Ton",Landbrug!D$18,1),1)),1)*IF($F165="Grøntsager",IF($A165="Grøntsager i drivhus",Landbrug!D$51,1-Landbrug!D$51),1)</f>
        <v>81688.541606747705</v>
      </c>
      <c r="J165" s="299">
        <f>IF($A165&lt;&gt;"",IF(VLOOKUP($A165,[1]!Table1[#All],2,FALSE)="Direkte input",IF($A165&lt;&gt;"Grøntsager i drivhus",SUMIFS('Direkte input'!I$3:I$230,'Direkte input'!$F$3:$F$230,$D165,'Direkte input'!$C$3:$C$230,$B165,'Direkte input'!$D$3:$D$230,$C165,'Direkte input'!$A$3:$A$230,$A$1),SUMIFS('Direkte input'!I$3:I$230,'Direkte input'!$F$3:$F$230,$D165,'Direkte input'!$C$3:$C$230,$B165,'Direkte input'!$A$3:$A$230,$A$1)),IF(VLOOKUP($A165,[1]!Table1[#All],2,FALSE)="Resultat",SUMIF($F$1:$F164,$D165,J$1:J164)+SUMIF($F166:$F$512,$D165,J166:J$512),0))*'[1]Processer - data'!J165,"")*IF($C165&lt;&gt;"",IF($F165="Halm",Landbrug!E$16*Landbrug!E$17,IF(LEFT($D165,5)="Areal", IF($G165="Ton",Landbrug!E$18,1),1)),1)*IF($F165="Grøntsager",IF($A165="Grøntsager i drivhus",Landbrug!E$51,1-Landbrug!E$51),1)</f>
        <v>82809.15969051524</v>
      </c>
    </row>
    <row r="166" spans="1:10" x14ac:dyDescent="0.25">
      <c r="A166" t="str">
        <f>IF('[1]Processer - data'!A166&lt;&gt;"",'[1]Processer - data'!A166,"")</f>
        <v>Grøntsager på land</v>
      </c>
      <c r="B166" t="str">
        <f>IF('[1]Processer - data'!B166&lt;&gt;"",'[1]Processer - data'!B166,"")</f>
        <v>Konventionel</v>
      </c>
      <c r="C166" t="str">
        <f>IF('[1]Processer - data'!C166&lt;&gt;"",'[1]Processer - data'!C166,"")</f>
        <v>JB1-10</v>
      </c>
      <c r="D166" t="str">
        <f>IF('[1]Processer - data'!D166&lt;&gt;"",'[1]Processer - data'!D166,"")</f>
        <v>Areal-grøntsager</v>
      </c>
      <c r="E166" t="str">
        <f>IF('[1]Processer - data'!E166&lt;&gt;"",'[1]Processer - data'!E166,"")</f>
        <v>Hektar</v>
      </c>
      <c r="F166" t="str">
        <f>IF('[1]Processer - data'!F166&lt;&gt;"",'[1]Processer - data'!F166,"")</f>
        <v>Gødning</v>
      </c>
      <c r="G166" t="str">
        <f>IF('[1]Processer - data'!G166&lt;&gt;"",'[1]Processer - data'!G166,"")</f>
        <v>kg N</v>
      </c>
      <c r="H166" s="297">
        <f>IF($A166&lt;&gt;"",IF(VLOOKUP($A166,[1]!Table1[#All],2,FALSE)="Direkte input",IF($A166&lt;&gt;"Grøntsager i drivhus",SUMIFS('Direkte input'!G$3:G$230,'Direkte input'!$F$3:$F$230,$D166,'Direkte input'!$C$3:$C$230,$B166,'Direkte input'!$D$3:$D$230,$C166,'Direkte input'!$A$3:$A$230,$A$1),SUMIFS('Direkte input'!G$3:G$230,'Direkte input'!$F$3:$F$230,$D166,'Direkte input'!$C$3:$C$230,$B166,'Direkte input'!$A$3:$A$230,$A$1)),IF(VLOOKUP($A166,[1]!Table1[#All],2,FALSE)="Resultat",SUMIF($F$1:$F165,$D166,H$1:H165)+SUMIF($F167:$F$512,$D166,H167:H$512),0))*'[1]Processer - data'!H166,"")*IF($C166&lt;&gt;"",IF($F166="Halm",Landbrug!C$16*Landbrug!C$17,IF(LEFT($D166,5)="Areal", IF($G166="Ton",Landbrug!C$18,1),1)),1)*IF($F166="Grøntsager",IF($A166="Grøntsager i drivhus",Landbrug!C$51,1-Landbrug!C$51),1)</f>
        <v>-761596.60967237991</v>
      </c>
      <c r="I166" s="298">
        <f>IF($A166&lt;&gt;"",IF(VLOOKUP($A166,[1]!Table1[#All],2,FALSE)="Direkte input",IF($A166&lt;&gt;"Grøntsager i drivhus",SUMIFS('Direkte input'!H$3:H$230,'Direkte input'!$F$3:$F$230,$D166,'Direkte input'!$C$3:$C$230,$B166,'Direkte input'!$D$3:$D$230,$C166,'Direkte input'!$A$3:$A$230,$A$1),SUMIFS('Direkte input'!H$3:H$230,'Direkte input'!$F$3:$F$230,$D166,'Direkte input'!$C$3:$C$230,$B166,'Direkte input'!$A$3:$A$230,$A$1)),IF(VLOOKUP($A166,[1]!Table1[#All],2,FALSE)="Resultat",SUMIF($F$1:$F165,$D166,I$1:I165)+SUMIF($F167:$F$512,$D166,I167:I$512),0))*'[1]Processer - data'!I166,"")*IF($C166&lt;&gt;"",IF($F166="Halm",Landbrug!D$16*Landbrug!D$17,IF(LEFT($D166,5)="Areal", IF($G166="Ton",Landbrug!D$18,1),1)),1)*IF($F166="Grøntsager",IF($A166="Grøntsager i drivhus",Landbrug!D$51,1-Landbrug!D$51),1)</f>
        <v>-739264.17585220467</v>
      </c>
      <c r="J166" s="299">
        <f>IF($A166&lt;&gt;"",IF(VLOOKUP($A166,[1]!Table1[#All],2,FALSE)="Direkte input",IF($A166&lt;&gt;"Grøntsager i drivhus",SUMIFS('Direkte input'!I$3:I$230,'Direkte input'!$F$3:$F$230,$D166,'Direkte input'!$C$3:$C$230,$B166,'Direkte input'!$D$3:$D$230,$C166,'Direkte input'!$A$3:$A$230,$A$1),SUMIFS('Direkte input'!I$3:I$230,'Direkte input'!$F$3:$F$230,$D166,'Direkte input'!$C$3:$C$230,$B166,'Direkte input'!$A$3:$A$230,$A$1)),IF(VLOOKUP($A166,[1]!Table1[#All],2,FALSE)="Resultat",SUMIF($F$1:$F165,$D166,J$1:J165)+SUMIF($F167:$F$512,$D166,J167:J$512),0))*'[1]Processer - data'!J166,"")*IF($C166&lt;&gt;"",IF($F166="Halm",Landbrug!E$16*Landbrug!E$17,IF(LEFT($D166,5)="Areal", IF($G166="Ton",Landbrug!E$18,1),1)),1)*IF($F166="Grøntsager",IF($A166="Grøntsager i drivhus",Landbrug!E$51,1-Landbrug!E$51),1)</f>
        <v>-698576.28962310555</v>
      </c>
    </row>
    <row r="167" spans="1:10" x14ac:dyDescent="0.25">
      <c r="A167" t="str">
        <f>IF('[1]Processer - data'!A167&lt;&gt;"",'[1]Processer - data'!A167,"")</f>
        <v>Grøntsager på land</v>
      </c>
      <c r="B167" t="str">
        <f>IF('[1]Processer - data'!B167&lt;&gt;"",'[1]Processer - data'!B167,"")</f>
        <v>Konventionel</v>
      </c>
      <c r="C167" t="str">
        <f>IF('[1]Processer - data'!C167&lt;&gt;"",'[1]Processer - data'!C167,"")</f>
        <v>JB1-10</v>
      </c>
      <c r="D167" t="str">
        <f>IF('[1]Processer - data'!D167&lt;&gt;"",'[1]Processer - data'!D167,"")</f>
        <v>Areal-grøntsager</v>
      </c>
      <c r="E167" t="str">
        <f>IF('[1]Processer - data'!E167&lt;&gt;"",'[1]Processer - data'!E167,"")</f>
        <v>Hektar</v>
      </c>
      <c r="F167" t="str">
        <f>IF('[1]Processer - data'!F167&lt;&gt;"",'[1]Processer - data'!F167,"")</f>
        <v>CO2 - atmosfære</v>
      </c>
      <c r="G167" t="str">
        <f>IF('[1]Processer - data'!G167&lt;&gt;"",'[1]Processer - data'!G167,"")</f>
        <v>t CO2-ækvivalenter</v>
      </c>
      <c r="H167" s="297">
        <f>IF($A167&lt;&gt;"",IF(VLOOKUP($A167,[1]!Table1[#All],2,FALSE)="Direkte input",IF($A167&lt;&gt;"Grøntsager i drivhus",SUMIFS('Direkte input'!G$3:G$230,'Direkte input'!$F$3:$F$230,$D167,'Direkte input'!$C$3:$C$230,$B167,'Direkte input'!$D$3:$D$230,$C167,'Direkte input'!$A$3:$A$230,$A$1),SUMIFS('Direkte input'!G$3:G$230,'Direkte input'!$F$3:$F$230,$D167,'Direkte input'!$C$3:$C$230,$B167,'Direkte input'!$A$3:$A$230,$A$1)),IF(VLOOKUP($A167,[1]!Table1[#All],2,FALSE)="Resultat",SUMIF($F$1:$F166,$D167,H$1:H166)+SUMIF($F168:$F$512,$D167,H168:H$512),0))*'[1]Processer - data'!H167,"")*IF($C167&lt;&gt;"",IF($F167="Halm",Landbrug!C$16*Landbrug!C$17,IF(LEFT($D167,5)="Areal", IF($G167="Ton",Landbrug!C$18,1),1)),1)*IF($F167="Grøntsager",IF($A167="Grøntsager i drivhus",Landbrug!C$51,1-Landbrug!C$51),1)</f>
        <v>8658.1896085405642</v>
      </c>
      <c r="I167" s="298">
        <f>IF($A167&lt;&gt;"",IF(VLOOKUP($A167,[1]!Table1[#All],2,FALSE)="Direkte input",IF($A167&lt;&gt;"Grøntsager i drivhus",SUMIFS('Direkte input'!H$3:H$230,'Direkte input'!$F$3:$F$230,$D167,'Direkte input'!$C$3:$C$230,$B167,'Direkte input'!$D$3:$D$230,$C167,'Direkte input'!$A$3:$A$230,$A$1),SUMIFS('Direkte input'!H$3:H$230,'Direkte input'!$F$3:$F$230,$D167,'Direkte input'!$C$3:$C$230,$B167,'Direkte input'!$A$3:$A$230,$A$1)),IF(VLOOKUP($A167,[1]!Table1[#All],2,FALSE)="Resultat",SUMIF($F$1:$F166,$D167,I$1:I166)+SUMIF($F168:$F$512,$D167,I168:I$512),0))*'[1]Processer - data'!I167,"")*IF($C167&lt;&gt;"",IF($F167="Halm",Landbrug!D$16*Landbrug!D$17,IF(LEFT($D167,5)="Areal", IF($G167="Ton",Landbrug!D$18,1),1)),1)*IF($F167="Grøntsager",IF($A167="Grøntsager i drivhus",Landbrug!D$51,1-Landbrug!D$51),1)</f>
        <v>8404.3039635946952</v>
      </c>
      <c r="J167" s="299">
        <f>IF($A167&lt;&gt;"",IF(VLOOKUP($A167,[1]!Table1[#All],2,FALSE)="Direkte input",IF($A167&lt;&gt;"Grøntsager i drivhus",SUMIFS('Direkte input'!I$3:I$230,'Direkte input'!$F$3:$F$230,$D167,'Direkte input'!$C$3:$C$230,$B167,'Direkte input'!$D$3:$D$230,$C167,'Direkte input'!$A$3:$A$230,$A$1),SUMIFS('Direkte input'!I$3:I$230,'Direkte input'!$F$3:$F$230,$D167,'Direkte input'!$C$3:$C$230,$B167,'Direkte input'!$A$3:$A$230,$A$1)),IF(VLOOKUP($A167,[1]!Table1[#All],2,FALSE)="Resultat",SUMIF($F$1:$F166,$D167,J$1:J166)+SUMIF($F168:$F$512,$D167,J168:J$512),0))*'[1]Processer - data'!J167,"")*IF($C167&lt;&gt;"",IF($F167="Halm",Landbrug!E$16*Landbrug!E$17,IF(LEFT($D167,5)="Areal", IF($G167="Ton",Landbrug!E$18,1),1)),1)*IF($F167="Grøntsager",IF($A167="Grøntsager i drivhus",Landbrug!E$51,1-Landbrug!E$51),1)</f>
        <v>7941.7448748747347</v>
      </c>
    </row>
    <row r="168" spans="1:10" x14ac:dyDescent="0.25">
      <c r="A168" t="str">
        <f>IF('[1]Processer - data'!A168&lt;&gt;"",'[1]Processer - data'!A168,"")</f>
        <v>Grøntsager på land</v>
      </c>
      <c r="B168" t="str">
        <f>IF('[1]Processer - data'!B168&lt;&gt;"",'[1]Processer - data'!B168,"")</f>
        <v>Konventionel</v>
      </c>
      <c r="C168" t="str">
        <f>IF('[1]Processer - data'!C168&lt;&gt;"",'[1]Processer - data'!C168,"")</f>
        <v>OC6</v>
      </c>
      <c r="D168" t="str">
        <f>IF('[1]Processer - data'!D168&lt;&gt;"",'[1]Processer - data'!D168,"")</f>
        <v>Areal-grøntsager</v>
      </c>
      <c r="E168" t="str">
        <f>IF('[1]Processer - data'!E168&lt;&gt;"",'[1]Processer - data'!E168,"")</f>
        <v>Hektar</v>
      </c>
      <c r="F168" t="str">
        <f>IF('[1]Processer - data'!F168&lt;&gt;"",'[1]Processer - data'!F168,"")</f>
        <v>Grøntsager</v>
      </c>
      <c r="G168" t="str">
        <f>IF('[1]Processer - data'!G168&lt;&gt;"",'[1]Processer - data'!G168,"")</f>
        <v>Ton</v>
      </c>
      <c r="H168" s="297">
        <f>IF($A168&lt;&gt;"",IF(VLOOKUP($A168,[1]!Table1[#All],2,FALSE)="Direkte input",IF($A168&lt;&gt;"Grøntsager i drivhus",SUMIFS('Direkte input'!G$3:G$230,'Direkte input'!$F$3:$F$230,$D168,'Direkte input'!$C$3:$C$230,$B168,'Direkte input'!$D$3:$D$230,$C168,'Direkte input'!$A$3:$A$230,$A$1),SUMIFS('Direkte input'!G$3:G$230,'Direkte input'!$F$3:$F$230,$D168,'Direkte input'!$C$3:$C$230,$B168,'Direkte input'!$A$3:$A$230,$A$1)),IF(VLOOKUP($A168,[1]!Table1[#All],2,FALSE)="Resultat",SUMIF($F$1:$F167,$D168,H$1:H167)+SUMIF($F169:$F$512,$D168,H169:H$512),0))*'[1]Processer - data'!H168,"")*IF($C168&lt;&gt;"",IF($F168="Halm",Landbrug!C$16*Landbrug!C$17,IF(LEFT($D168,5)="Areal", IF($G168="Ton",Landbrug!C$18,1),1)),1)*IF($F168="Grøntsager",IF($A168="Grøntsager i drivhus",Landbrug!C$51,1-Landbrug!C$51),1)</f>
        <v>677.36859691389964</v>
      </c>
      <c r="I168" s="298">
        <f>IF($A168&lt;&gt;"",IF(VLOOKUP($A168,[1]!Table1[#All],2,FALSE)="Direkte input",IF($A168&lt;&gt;"Grøntsager i drivhus",SUMIFS('Direkte input'!H$3:H$230,'Direkte input'!$F$3:$F$230,$D168,'Direkte input'!$C$3:$C$230,$B168,'Direkte input'!$D$3:$D$230,$C168,'Direkte input'!$A$3:$A$230,$A$1),SUMIFS('Direkte input'!H$3:H$230,'Direkte input'!$F$3:$F$230,$D168,'Direkte input'!$C$3:$C$230,$B168,'Direkte input'!$A$3:$A$230,$A$1)),IF(VLOOKUP($A168,[1]!Table1[#All],2,FALSE)="Resultat",SUMIF($F$1:$F167,$D168,I$1:I167)+SUMIF($F169:$F$512,$D168,I169:I$512),0))*'[1]Processer - data'!I168,"")*IF($C168&lt;&gt;"",IF($F168="Halm",Landbrug!D$16*Landbrug!D$17,IF(LEFT($D168,5)="Areal", IF($G168="Ton",Landbrug!D$18,1),1)),1)*IF($F168="Grøntsager",IF($A168="Grøntsager i drivhus",Landbrug!D$51,1-Landbrug!D$51),1)</f>
        <v>656.81226892645657</v>
      </c>
      <c r="J168" s="299">
        <f>IF($A168&lt;&gt;"",IF(VLOOKUP($A168,[1]!Table1[#All],2,FALSE)="Direkte input",IF($A168&lt;&gt;"Grøntsager i drivhus",SUMIFS('Direkte input'!I$3:I$230,'Direkte input'!$F$3:$F$230,$D168,'Direkte input'!$C$3:$C$230,$B168,'Direkte input'!$D$3:$D$230,$C168,'Direkte input'!$A$3:$A$230,$A$1),SUMIFS('Direkte input'!I$3:I$230,'Direkte input'!$F$3:$F$230,$D168,'Direkte input'!$C$3:$C$230,$B168,'Direkte input'!$A$3:$A$230,$A$1)),IF(VLOOKUP($A168,[1]!Table1[#All],2,FALSE)="Resultat",SUMIF($F$1:$F167,$D168,J$1:J167)+SUMIF($F169:$F$512,$D168,J169:J$512),0))*'[1]Processer - data'!J168,"")*IF($C168&lt;&gt;"",IF($F168="Halm",Landbrug!E$16*Landbrug!E$17,IF(LEFT($D168,5)="Areal", IF($G168="Ton",Landbrug!E$18,1),1)),1)*IF($F168="Grøntsager",IF($A168="Grøntsager i drivhus",Landbrug!E$51,1-Landbrug!E$51),1)</f>
        <v>672.01992941072331</v>
      </c>
    </row>
    <row r="169" spans="1:10" x14ac:dyDescent="0.25">
      <c r="A169" t="str">
        <f>IF('[1]Processer - data'!A169&lt;&gt;"",'[1]Processer - data'!A169,"")</f>
        <v>Grøntsager på land</v>
      </c>
      <c r="B169" t="str">
        <f>IF('[1]Processer - data'!B169&lt;&gt;"",'[1]Processer - data'!B169,"")</f>
        <v>Konventionel</v>
      </c>
      <c r="C169" t="str">
        <f>IF('[1]Processer - data'!C169&lt;&gt;"",'[1]Processer - data'!C169,"")</f>
        <v>OC6</v>
      </c>
      <c r="D169" t="str">
        <f>IF('[1]Processer - data'!D169&lt;&gt;"",'[1]Processer - data'!D169,"")</f>
        <v>Areal-grøntsager</v>
      </c>
      <c r="E169" t="str">
        <f>IF('[1]Processer - data'!E169&lt;&gt;"",'[1]Processer - data'!E169,"")</f>
        <v>Hektar</v>
      </c>
      <c r="F169" t="str">
        <f>IF('[1]Processer - data'!F169&lt;&gt;"",'[1]Processer - data'!F169,"")</f>
        <v>Gødning</v>
      </c>
      <c r="G169" t="str">
        <f>IF('[1]Processer - data'!G169&lt;&gt;"",'[1]Processer - data'!G169,"")</f>
        <v>kg N</v>
      </c>
      <c r="H169" s="297">
        <f>IF($A169&lt;&gt;"",IF(VLOOKUP($A169,[1]!Table1[#All],2,FALSE)="Direkte input",IF($A169&lt;&gt;"Grøntsager i drivhus",SUMIFS('Direkte input'!G$3:G$230,'Direkte input'!$F$3:$F$230,$D169,'Direkte input'!$C$3:$C$230,$B169,'Direkte input'!$D$3:$D$230,$C169,'Direkte input'!$A$3:$A$230,$A$1),SUMIFS('Direkte input'!G$3:G$230,'Direkte input'!$F$3:$F$230,$D169,'Direkte input'!$C$3:$C$230,$B169,'Direkte input'!$A$3:$A$230,$A$1)),IF(VLOOKUP($A169,[1]!Table1[#All],2,FALSE)="Resultat",SUMIF($F$1:$F168,$D169,H$1:H168)+SUMIF($F170:$F$512,$D169,H170:H$512),0))*'[1]Processer - data'!H169,"")*IF($C169&lt;&gt;"",IF($F169="Halm",Landbrug!C$16*Landbrug!C$17,IF(LEFT($D169,5)="Areal", IF($G169="Ton",Landbrug!C$18,1),1)),1)*IF($F169="Grøntsager",IF($A169="Grøntsager i drivhus",Landbrug!C$51,1-Landbrug!C$51),1)</f>
        <v>-5339.2681448764279</v>
      </c>
      <c r="I169" s="298">
        <f>IF($A169&lt;&gt;"",IF(VLOOKUP($A169,[1]!Table1[#All],2,FALSE)="Direkte input",IF($A169&lt;&gt;"Grøntsager i drivhus",SUMIFS('Direkte input'!H$3:H$230,'Direkte input'!$F$3:$F$230,$D169,'Direkte input'!$C$3:$C$230,$B169,'Direkte input'!$D$3:$D$230,$C169,'Direkte input'!$A$3:$A$230,$A$1),SUMIFS('Direkte input'!H$3:H$230,'Direkte input'!$F$3:$F$230,$D169,'Direkte input'!$C$3:$C$230,$B169,'Direkte input'!$A$3:$A$230,$A$1)),IF(VLOOKUP($A169,[1]!Table1[#All],2,FALSE)="Resultat",SUMIF($F$1:$F168,$D169,I$1:I168)+SUMIF($F170:$F$512,$D169,I170:I$512),0))*'[1]Processer - data'!I169,"")*IF($C169&lt;&gt;"",IF($F169="Halm",Landbrug!D$16*Landbrug!D$17,IF(LEFT($D169,5)="Areal", IF($G169="Ton",Landbrug!D$18,1),1)),1)*IF($F169="Grøntsager",IF($A169="Grøntsager i drivhus",Landbrug!D$51,1-Landbrug!D$51),1)</f>
        <v>-4829.5108351880272</v>
      </c>
      <c r="J169" s="299">
        <f>IF($A169&lt;&gt;"",IF(VLOOKUP($A169,[1]!Table1[#All],2,FALSE)="Direkte input",IF($A169&lt;&gt;"Grøntsager i drivhus",SUMIFS('Direkte input'!I$3:I$230,'Direkte input'!$F$3:$F$230,$D169,'Direkte input'!$C$3:$C$230,$B169,'Direkte input'!$D$3:$D$230,$C169,'Direkte input'!$A$3:$A$230,$A$1),SUMIFS('Direkte input'!I$3:I$230,'Direkte input'!$F$3:$F$230,$D169,'Direkte input'!$C$3:$C$230,$B169,'Direkte input'!$A$3:$A$230,$A$1)),IF(VLOOKUP($A169,[1]!Table1[#All],2,FALSE)="Resultat",SUMIF($F$1:$F168,$D169,J$1:J168)+SUMIF($F170:$F$512,$D169,J170:J$512),0))*'[1]Processer - data'!J169,"")*IF($C169&lt;&gt;"",IF($F169="Halm",Landbrug!E$16*Landbrug!E$17,IF(LEFT($D169,5)="Areal", IF($G169="Ton",Landbrug!E$18,1),1)),1)*IF($F169="Grøntsager",IF($A169="Grøntsager i drivhus",Landbrug!E$51,1-Landbrug!E$51),1)</f>
        <v>-4606.1808543700827</v>
      </c>
    </row>
    <row r="170" spans="1:10" x14ac:dyDescent="0.25">
      <c r="A170" t="str">
        <f>IF('[1]Processer - data'!A170&lt;&gt;"",'[1]Processer - data'!A170,"")</f>
        <v>Grøntsager på land</v>
      </c>
      <c r="B170" t="str">
        <f>IF('[1]Processer - data'!B170&lt;&gt;"",'[1]Processer - data'!B170,"")</f>
        <v>Konventionel</v>
      </c>
      <c r="C170" t="str">
        <f>IF('[1]Processer - data'!C170&lt;&gt;"",'[1]Processer - data'!C170,"")</f>
        <v>OC6</v>
      </c>
      <c r="D170" t="str">
        <f>IF('[1]Processer - data'!D170&lt;&gt;"",'[1]Processer - data'!D170,"")</f>
        <v>Areal-grøntsager</v>
      </c>
      <c r="E170" t="str">
        <f>IF('[1]Processer - data'!E170&lt;&gt;"",'[1]Processer - data'!E170,"")</f>
        <v>Hektar</v>
      </c>
      <c r="F170" t="str">
        <f>IF('[1]Processer - data'!F170&lt;&gt;"",'[1]Processer - data'!F170,"")</f>
        <v>CO2 - atmosfære</v>
      </c>
      <c r="G170" t="str">
        <f>IF('[1]Processer - data'!G170&lt;&gt;"",'[1]Processer - data'!G170,"")</f>
        <v>t CO2-ækvivalenter</v>
      </c>
      <c r="H170" s="297">
        <f>IF($A170&lt;&gt;"",IF(VLOOKUP($A170,[1]!Table1[#All],2,FALSE)="Direkte input",IF($A170&lt;&gt;"Grøntsager i drivhus",SUMIFS('Direkte input'!G$3:G$230,'Direkte input'!$F$3:$F$230,$D170,'Direkte input'!$C$3:$C$230,$B170,'Direkte input'!$D$3:$D$230,$C170,'Direkte input'!$A$3:$A$230,$A$1),SUMIFS('Direkte input'!G$3:G$230,'Direkte input'!$F$3:$F$230,$D170,'Direkte input'!$C$3:$C$230,$B170,'Direkte input'!$A$3:$A$230,$A$1)),IF(VLOOKUP($A170,[1]!Table1[#All],2,FALSE)="Resultat",SUMIF($F$1:$F169,$D170,H$1:H169)+SUMIF($F171:$F$512,$D170,H171:H$512),0))*'[1]Processer - data'!H170,"")*IF($C170&lt;&gt;"",IF($F170="Halm",Landbrug!C$16*Landbrug!C$17,IF(LEFT($D170,5)="Areal", IF($G170="Ton",Landbrug!C$18,1),1)),1)*IF($F170="Grøntsager",IF($A170="Grøntsager i drivhus",Landbrug!C$51,1-Landbrug!C$51),1)</f>
        <v>437.86638112264058</v>
      </c>
      <c r="I170" s="298">
        <f>IF($A170&lt;&gt;"",IF(VLOOKUP($A170,[1]!Table1[#All],2,FALSE)="Direkte input",IF($A170&lt;&gt;"Grøntsager i drivhus",SUMIFS('Direkte input'!H$3:H$230,'Direkte input'!$F$3:$F$230,$D170,'Direkte input'!$C$3:$C$230,$B170,'Direkte input'!$D$3:$D$230,$C170,'Direkte input'!$A$3:$A$230,$A$1),SUMIFS('Direkte input'!H$3:H$230,'Direkte input'!$F$3:$F$230,$D170,'Direkte input'!$C$3:$C$230,$B170,'Direkte input'!$A$3:$A$230,$A$1)),IF(VLOOKUP($A170,[1]!Table1[#All],2,FALSE)="Resultat",SUMIF($F$1:$F169,$D170,I$1:I169)+SUMIF($F171:$F$512,$D170,I171:I$512),0))*'[1]Processer - data'!I170,"")*IF($C170&lt;&gt;"",IF($F170="Halm",Landbrug!D$16*Landbrug!D$17,IF(LEFT($D170,5)="Areal", IF($G170="Ton",Landbrug!D$18,1),1)),1)*IF($F170="Grøntsager",IF($A170="Grøntsager i drivhus",Landbrug!D$51,1-Landbrug!D$51),1)</f>
        <v>396.06185241428909</v>
      </c>
      <c r="J170" s="299">
        <f>IF($A170&lt;&gt;"",IF(VLOOKUP($A170,[1]!Table1[#All],2,FALSE)="Direkte input",IF($A170&lt;&gt;"Grøntsager i drivhus",SUMIFS('Direkte input'!I$3:I$230,'Direkte input'!$F$3:$F$230,$D170,'Direkte input'!$C$3:$C$230,$B170,'Direkte input'!$D$3:$D$230,$C170,'Direkte input'!$A$3:$A$230,$A$1),SUMIFS('Direkte input'!I$3:I$230,'Direkte input'!$F$3:$F$230,$D170,'Direkte input'!$C$3:$C$230,$B170,'Direkte input'!$A$3:$A$230,$A$1)),IF(VLOOKUP($A170,[1]!Table1[#All],2,FALSE)="Resultat",SUMIF($F$1:$F169,$D170,J$1:J169)+SUMIF($F171:$F$512,$D170,J171:J$512),0))*'[1]Processer - data'!J170,"")*IF($C170&lt;&gt;"",IF($F170="Halm",Landbrug!E$16*Landbrug!E$17,IF(LEFT($D170,5)="Areal", IF($G170="Ton",Landbrug!E$18,1),1)),1)*IF($F170="Grøntsager",IF($A170="Grøntsager i drivhus",Landbrug!E$51,1-Landbrug!E$51),1)</f>
        <v>377.74685345871495</v>
      </c>
    </row>
    <row r="171" spans="1:10" x14ac:dyDescent="0.25">
      <c r="A171" t="str">
        <f>IF('[1]Processer - data'!A171&lt;&gt;"",'[1]Processer - data'!A171,"")</f>
        <v>Grøntsager på land</v>
      </c>
      <c r="B171" t="str">
        <f>IF('[1]Processer - data'!B171&lt;&gt;"",'[1]Processer - data'!B171,"")</f>
        <v>Konventionel</v>
      </c>
      <c r="C171" t="str">
        <f>IF('[1]Processer - data'!C171&lt;&gt;"",'[1]Processer - data'!C171,"")</f>
        <v>OC12</v>
      </c>
      <c r="D171" t="str">
        <f>IF('[1]Processer - data'!D171&lt;&gt;"",'[1]Processer - data'!D171,"")</f>
        <v>Areal-grøntsager</v>
      </c>
      <c r="E171" t="str">
        <f>IF('[1]Processer - data'!E171&lt;&gt;"",'[1]Processer - data'!E171,"")</f>
        <v>Hektar</v>
      </c>
      <c r="F171" t="str">
        <f>IF('[1]Processer - data'!F171&lt;&gt;"",'[1]Processer - data'!F171,"")</f>
        <v>Grøntsager</v>
      </c>
      <c r="G171" t="str">
        <f>IF('[1]Processer - data'!G171&lt;&gt;"",'[1]Processer - data'!G171,"")</f>
        <v>Ton</v>
      </c>
      <c r="H171" s="297">
        <f>IF($A171&lt;&gt;"",IF(VLOOKUP($A171,[1]!Table1[#All],2,FALSE)="Direkte input",IF($A171&lt;&gt;"Grøntsager i drivhus",SUMIFS('Direkte input'!G$3:G$230,'Direkte input'!$F$3:$F$230,$D171,'Direkte input'!$C$3:$C$230,$B171,'Direkte input'!$D$3:$D$230,$C171,'Direkte input'!$A$3:$A$230,$A$1),SUMIFS('Direkte input'!G$3:G$230,'Direkte input'!$F$3:$F$230,$D171,'Direkte input'!$C$3:$C$230,$B171,'Direkte input'!$A$3:$A$230,$A$1)),IF(VLOOKUP($A171,[1]!Table1[#All],2,FALSE)="Resultat",SUMIF($F$1:$F170,$D171,H$1:H170)+SUMIF($F172:$F$512,$D171,H172:H$512),0))*'[1]Processer - data'!H171,"")*IF($C171&lt;&gt;"",IF($F171="Halm",Landbrug!C$16*Landbrug!C$17,IF(LEFT($D171,5)="Areal", IF($G171="Ton",Landbrug!C$18,1),1)),1)*IF($F171="Grøntsager",IF($A171="Grøntsager i drivhus",Landbrug!C$51,1-Landbrug!C$51),1)</f>
        <v>213.03711104071337</v>
      </c>
      <c r="I171" s="298">
        <f>IF($A171&lt;&gt;"",IF(VLOOKUP($A171,[1]!Table1[#All],2,FALSE)="Direkte input",IF($A171&lt;&gt;"Grøntsager i drivhus",SUMIFS('Direkte input'!H$3:H$230,'Direkte input'!$F$3:$F$230,$D171,'Direkte input'!$C$3:$C$230,$B171,'Direkte input'!$D$3:$D$230,$C171,'Direkte input'!$A$3:$A$230,$A$1),SUMIFS('Direkte input'!H$3:H$230,'Direkte input'!$F$3:$F$230,$D171,'Direkte input'!$C$3:$C$230,$B171,'Direkte input'!$A$3:$A$230,$A$1)),IF(VLOOKUP($A171,[1]!Table1[#All],2,FALSE)="Resultat",SUMIF($F$1:$F170,$D171,I$1:I170)+SUMIF($F172:$F$512,$D171,I172:I$512),0))*'[1]Processer - data'!I171,"")*IF($C171&lt;&gt;"",IF($F171="Halm",Landbrug!D$16*Landbrug!D$17,IF(LEFT($D171,5)="Areal", IF($G171="Ton",Landbrug!D$18,1),1)),1)*IF($F171="Grøntsager",IF($A171="Grøntsager i drivhus",Landbrug!D$51,1-Landbrug!D$51),1)</f>
        <v>208.20765015981513</v>
      </c>
      <c r="J171" s="299">
        <f>IF($A171&lt;&gt;"",IF(VLOOKUP($A171,[1]!Table1[#All],2,FALSE)="Direkte input",IF($A171&lt;&gt;"Grøntsager i drivhus",SUMIFS('Direkte input'!I$3:I$230,'Direkte input'!$F$3:$F$230,$D171,'Direkte input'!$C$3:$C$230,$B171,'Direkte input'!$D$3:$D$230,$C171,'Direkte input'!$A$3:$A$230,$A$1),SUMIFS('Direkte input'!I$3:I$230,'Direkte input'!$F$3:$F$230,$D171,'Direkte input'!$C$3:$C$230,$B171,'Direkte input'!$A$3:$A$230,$A$1)),IF(VLOOKUP($A171,[1]!Table1[#All],2,FALSE)="Resultat",SUMIF($F$1:$F170,$D171,J$1:J170)+SUMIF($F172:$F$512,$D171,J172:J$512),0))*'[1]Processer - data'!J171,"")*IF($C171&lt;&gt;"",IF($F171="Halm",Landbrug!E$16*Landbrug!E$17,IF(LEFT($D171,5)="Areal", IF($G171="Ton",Landbrug!E$18,1),1)),1)*IF($F171="Grøntsager",IF($A171="Grøntsager i drivhus",Landbrug!E$51,1-Landbrug!E$51),1)</f>
        <v>213.02843595151901</v>
      </c>
    </row>
    <row r="172" spans="1:10" x14ac:dyDescent="0.25">
      <c r="A172" t="str">
        <f>IF('[1]Processer - data'!A172&lt;&gt;"",'[1]Processer - data'!A172,"")</f>
        <v>Grøntsager på land</v>
      </c>
      <c r="B172" t="str">
        <f>IF('[1]Processer - data'!B172&lt;&gt;"",'[1]Processer - data'!B172,"")</f>
        <v>Konventionel</v>
      </c>
      <c r="C172" t="str">
        <f>IF('[1]Processer - data'!C172&lt;&gt;"",'[1]Processer - data'!C172,"")</f>
        <v>OC12</v>
      </c>
      <c r="D172" t="str">
        <f>IF('[1]Processer - data'!D172&lt;&gt;"",'[1]Processer - data'!D172,"")</f>
        <v>Areal-grøntsager</v>
      </c>
      <c r="E172" t="str">
        <f>IF('[1]Processer - data'!E172&lt;&gt;"",'[1]Processer - data'!E172,"")</f>
        <v>Hektar</v>
      </c>
      <c r="F172" t="str">
        <f>IF('[1]Processer - data'!F172&lt;&gt;"",'[1]Processer - data'!F172,"")</f>
        <v>Gødning</v>
      </c>
      <c r="G172" t="str">
        <f>IF('[1]Processer - data'!G172&lt;&gt;"",'[1]Processer - data'!G172,"")</f>
        <v>kg N</v>
      </c>
      <c r="H172" s="297">
        <f>IF($A172&lt;&gt;"",IF(VLOOKUP($A172,[1]!Table1[#All],2,FALSE)="Direkte input",IF($A172&lt;&gt;"Grøntsager i drivhus",SUMIFS('Direkte input'!G$3:G$230,'Direkte input'!$F$3:$F$230,$D172,'Direkte input'!$C$3:$C$230,$B172,'Direkte input'!$D$3:$D$230,$C172,'Direkte input'!$A$3:$A$230,$A$1),SUMIFS('Direkte input'!G$3:G$230,'Direkte input'!$F$3:$F$230,$D172,'Direkte input'!$C$3:$C$230,$B172,'Direkte input'!$A$3:$A$230,$A$1)),IF(VLOOKUP($A172,[1]!Table1[#All],2,FALSE)="Resultat",SUMIF($F$1:$F171,$D172,H$1:H171)+SUMIF($F173:$F$512,$D172,H173:H$512),0))*'[1]Processer - data'!H172,"")*IF($C172&lt;&gt;"",IF($F172="Halm",Landbrug!C$16*Landbrug!C$17,IF(LEFT($D172,5)="Areal", IF($G172="Ton",Landbrug!C$18,1),1)),1)*IF($F172="Grøntsager",IF($A172="Grøntsager i drivhus",Landbrug!C$51,1-Landbrug!C$51),1)</f>
        <v>-1402.4395074634565</v>
      </c>
      <c r="I172" s="298">
        <f>IF($A172&lt;&gt;"",IF(VLOOKUP($A172,[1]!Table1[#All],2,FALSE)="Direkte input",IF($A172&lt;&gt;"Grøntsager i drivhus",SUMIFS('Direkte input'!H$3:H$230,'Direkte input'!$F$3:$F$230,$D172,'Direkte input'!$C$3:$C$230,$B172,'Direkte input'!$D$3:$D$230,$C172,'Direkte input'!$A$3:$A$230,$A$1),SUMIFS('Direkte input'!H$3:H$230,'Direkte input'!$F$3:$F$230,$D172,'Direkte input'!$C$3:$C$230,$B172,'Direkte input'!$A$3:$A$230,$A$1)),IF(VLOOKUP($A172,[1]!Table1[#All],2,FALSE)="Resultat",SUMIF($F$1:$F171,$D172,I$1:I171)+SUMIF($F173:$F$512,$D172,I173:I$512),0))*'[1]Processer - data'!I172,"")*IF($C172&lt;&gt;"",IF($F172="Halm",Landbrug!D$16*Landbrug!D$17,IF(LEFT($D172,5)="Areal", IF($G172="Ton",Landbrug!D$18,1),1)),1)*IF($F172="Grøntsager",IF($A172="Grøntsager i drivhus",Landbrug!D$51,1-Landbrug!D$51),1)</f>
        <v>-1278.588432008484</v>
      </c>
      <c r="J172" s="299">
        <f>IF($A172&lt;&gt;"",IF(VLOOKUP($A172,[1]!Table1[#All],2,FALSE)="Direkte input",IF($A172&lt;&gt;"Grøntsager i drivhus",SUMIFS('Direkte input'!I$3:I$230,'Direkte input'!$F$3:$F$230,$D172,'Direkte input'!$C$3:$C$230,$B172,'Direkte input'!$D$3:$D$230,$C172,'Direkte input'!$A$3:$A$230,$A$1),SUMIFS('Direkte input'!I$3:I$230,'Direkte input'!$F$3:$F$230,$D172,'Direkte input'!$C$3:$C$230,$B172,'Direkte input'!$A$3:$A$230,$A$1)),IF(VLOOKUP($A172,[1]!Table1[#All],2,FALSE)="Resultat",SUMIF($F$1:$F171,$D172,J$1:J171)+SUMIF($F173:$F$512,$D172,J173:J$512),0))*'[1]Processer - data'!J172,"")*IF($C172&lt;&gt;"",IF($F172="Halm",Landbrug!E$16*Landbrug!E$17,IF(LEFT($D172,5)="Areal", IF($G172="Ton",Landbrug!E$18,1),1)),1)*IF($F172="Grøntsager",IF($A172="Grøntsager i drivhus",Landbrug!E$51,1-Landbrug!E$51),1)</f>
        <v>-1219.4629553838142</v>
      </c>
    </row>
    <row r="173" spans="1:10" x14ac:dyDescent="0.25">
      <c r="A173" t="str">
        <f>IF('[1]Processer - data'!A173&lt;&gt;"",'[1]Processer - data'!A173,"")</f>
        <v>Grøntsager på land</v>
      </c>
      <c r="B173" t="str">
        <f>IF('[1]Processer - data'!B173&lt;&gt;"",'[1]Processer - data'!B173,"")</f>
        <v>Konventionel</v>
      </c>
      <c r="C173" t="str">
        <f>IF('[1]Processer - data'!C173&lt;&gt;"",'[1]Processer - data'!C173,"")</f>
        <v>OC12</v>
      </c>
      <c r="D173" t="str">
        <f>IF('[1]Processer - data'!D173&lt;&gt;"",'[1]Processer - data'!D173,"")</f>
        <v>Areal-grøntsager</v>
      </c>
      <c r="E173" t="str">
        <f>IF('[1]Processer - data'!E173&lt;&gt;"",'[1]Processer - data'!E173,"")</f>
        <v>Hektar</v>
      </c>
      <c r="F173" t="str">
        <f>IF('[1]Processer - data'!F173&lt;&gt;"",'[1]Processer - data'!F173,"")</f>
        <v>CO2 - atmosfære</v>
      </c>
      <c r="G173" t="str">
        <f>IF('[1]Processer - data'!G173&lt;&gt;"",'[1]Processer - data'!G173,"")</f>
        <v>t CO2-ækvivalenter</v>
      </c>
      <c r="H173" s="297">
        <f>IF($A173&lt;&gt;"",IF(VLOOKUP($A173,[1]!Table1[#All],2,FALSE)="Direkte input",IF($A173&lt;&gt;"Grøntsager i drivhus",SUMIFS('Direkte input'!G$3:G$230,'Direkte input'!$F$3:$F$230,$D173,'Direkte input'!$C$3:$C$230,$B173,'Direkte input'!$D$3:$D$230,$C173,'Direkte input'!$A$3:$A$230,$A$1),SUMIFS('Direkte input'!G$3:G$230,'Direkte input'!$F$3:$F$230,$D173,'Direkte input'!$C$3:$C$230,$B173,'Direkte input'!$A$3:$A$230,$A$1)),IF(VLOOKUP($A173,[1]!Table1[#All],2,FALSE)="Resultat",SUMIF($F$1:$F172,$D173,H$1:H172)+SUMIF($F174:$F$512,$D173,H174:H$512),0))*'[1]Processer - data'!H173,"")*IF($C173&lt;&gt;"",IF($F173="Halm",Landbrug!C$16*Landbrug!C$17,IF(LEFT($D173,5)="Areal", IF($G173="Ton",Landbrug!C$18,1),1)),1)*IF($F173="Grøntsager",IF($A173="Grøntsager i drivhus",Landbrug!C$51,1-Landbrug!C$51),1)</f>
        <v>302.27512672910683</v>
      </c>
      <c r="I173" s="298">
        <f>IF($A173&lt;&gt;"",IF(VLOOKUP($A173,[1]!Table1[#All],2,FALSE)="Direkte input",IF($A173&lt;&gt;"Grøntsager i drivhus",SUMIFS('Direkte input'!H$3:H$230,'Direkte input'!$F$3:$F$230,$D173,'Direkte input'!$C$3:$C$230,$B173,'Direkte input'!$D$3:$D$230,$C173,'Direkte input'!$A$3:$A$230,$A$1),SUMIFS('Direkte input'!H$3:H$230,'Direkte input'!$F$3:$F$230,$D173,'Direkte input'!$C$3:$C$230,$B173,'Direkte input'!$A$3:$A$230,$A$1)),IF(VLOOKUP($A173,[1]!Table1[#All],2,FALSE)="Resultat",SUMIF($F$1:$F172,$D173,I$1:I172)+SUMIF($F174:$F$512,$D173,I174:I$512),0))*'[1]Processer - data'!I173,"")*IF($C173&lt;&gt;"",IF($F173="Halm",Landbrug!D$16*Landbrug!D$17,IF(LEFT($D173,5)="Areal", IF($G173="Ton",Landbrug!D$18,1),1)),1)*IF($F173="Grøntsager",IF($A173="Grøntsager i drivhus",Landbrug!D$51,1-Landbrug!D$51),1)</f>
        <v>275.58085626007312</v>
      </c>
      <c r="J173" s="299">
        <f>IF($A173&lt;&gt;"",IF(VLOOKUP($A173,[1]!Table1[#All],2,FALSE)="Direkte input",IF($A173&lt;&gt;"Grøntsager i drivhus",SUMIFS('Direkte input'!I$3:I$230,'Direkte input'!$F$3:$F$230,$D173,'Direkte input'!$C$3:$C$230,$B173,'Direkte input'!$D$3:$D$230,$C173,'Direkte input'!$A$3:$A$230,$A$1),SUMIFS('Direkte input'!I$3:I$230,'Direkte input'!$F$3:$F$230,$D173,'Direkte input'!$C$3:$C$230,$B173,'Direkte input'!$A$3:$A$230,$A$1)),IF(VLOOKUP($A173,[1]!Table1[#All],2,FALSE)="Resultat",SUMIF($F$1:$F172,$D173,J$1:J172)+SUMIF($F174:$F$512,$D173,J174:J$512),0))*'[1]Processer - data'!J173,"")*IF($C173&lt;&gt;"",IF($F173="Halm",Landbrug!E$16*Landbrug!E$17,IF(LEFT($D173,5)="Areal", IF($G173="Ton",Landbrug!E$18,1),1)),1)*IF($F173="Grøntsager",IF($A173="Grøntsager i drivhus",Landbrug!E$51,1-Landbrug!E$51),1)</f>
        <v>262.83723284920268</v>
      </c>
    </row>
    <row r="174" spans="1:10" x14ac:dyDescent="0.25">
      <c r="A174" t="str">
        <f>IF('[1]Processer - data'!A174&lt;&gt;"",'[1]Processer - data'!A174,"")</f>
        <v>Grøntsager på land</v>
      </c>
      <c r="B174" t="str">
        <f>IF('[1]Processer - data'!B174&lt;&gt;"",'[1]Processer - data'!B174,"")</f>
        <v>Økologisk</v>
      </c>
      <c r="C174" t="str">
        <f>IF('[1]Processer - data'!C174&lt;&gt;"",'[1]Processer - data'!C174,"")</f>
        <v>JB1-10</v>
      </c>
      <c r="D174" t="str">
        <f>IF('[1]Processer - data'!D174&lt;&gt;"",'[1]Processer - data'!D174,"")</f>
        <v>Areal-grøntsager</v>
      </c>
      <c r="E174" t="str">
        <f>IF('[1]Processer - data'!E174&lt;&gt;"",'[1]Processer - data'!E174,"")</f>
        <v>Hektar</v>
      </c>
      <c r="F174" t="str">
        <f>IF('[1]Processer - data'!F174&lt;&gt;"",'[1]Processer - data'!F174,"")</f>
        <v>Grøntsager</v>
      </c>
      <c r="G174" t="str">
        <f>IF('[1]Processer - data'!G174&lt;&gt;"",'[1]Processer - data'!G174,"")</f>
        <v>Ton</v>
      </c>
      <c r="H174" s="297">
        <f>IF($A174&lt;&gt;"",IF(VLOOKUP($A174,[1]!Table1[#All],2,FALSE)="Direkte input",IF($A174&lt;&gt;"Grøntsager i drivhus",SUMIFS('Direkte input'!G$3:G$230,'Direkte input'!$F$3:$F$230,$D174,'Direkte input'!$C$3:$C$230,$B174,'Direkte input'!$D$3:$D$230,$C174,'Direkte input'!$A$3:$A$230,$A$1),SUMIFS('Direkte input'!G$3:G$230,'Direkte input'!$F$3:$F$230,$D174,'Direkte input'!$C$3:$C$230,$B174,'Direkte input'!$A$3:$A$230,$A$1)),IF(VLOOKUP($A174,[1]!Table1[#All],2,FALSE)="Resultat",SUMIF($F$1:$F173,$D174,H$1:H173)+SUMIF($F175:$F$512,$D174,H175:H$512),0))*'[1]Processer - data'!H174,"")*IF($C174&lt;&gt;"",IF($F174="Halm",Landbrug!C$16*Landbrug!C$17,IF(LEFT($D174,5)="Areal", IF($G174="Ton",Landbrug!C$18,1),1)),1)*IF($F174="Grøntsager",IF($A174="Grøntsager i drivhus",Landbrug!C$51,1-Landbrug!C$51),1)</f>
        <v>5721.4538263287268</v>
      </c>
      <c r="I174" s="298">
        <f>IF($A174&lt;&gt;"",IF(VLOOKUP($A174,[1]!Table1[#All],2,FALSE)="Direkte input",IF($A174&lt;&gt;"Grøntsager i drivhus",SUMIFS('Direkte input'!H$3:H$230,'Direkte input'!$F$3:$F$230,$D174,'Direkte input'!$C$3:$C$230,$B174,'Direkte input'!$D$3:$D$230,$C174,'Direkte input'!$A$3:$A$230,$A$1),SUMIFS('Direkte input'!H$3:H$230,'Direkte input'!$F$3:$F$230,$D174,'Direkte input'!$C$3:$C$230,$B174,'Direkte input'!$A$3:$A$230,$A$1)),IF(VLOOKUP($A174,[1]!Table1[#All],2,FALSE)="Resultat",SUMIF($F$1:$F173,$D174,I$1:I173)+SUMIF($F175:$F$512,$D174,I175:I$512),0))*'[1]Processer - data'!I174,"")*IF($C174&lt;&gt;"",IF($F174="Halm",Landbrug!D$16*Landbrug!D$17,IF(LEFT($D174,5)="Areal", IF($G174="Ton",Landbrug!D$18,1),1)),1)*IF($F174="Grøntsager",IF($A174="Grøntsager i drivhus",Landbrug!D$51,1-Landbrug!D$51),1)</f>
        <v>7266.9748862881333</v>
      </c>
      <c r="J174" s="299">
        <f>IF($A174&lt;&gt;"",IF(VLOOKUP($A174,[1]!Table1[#All],2,FALSE)="Direkte input",IF($A174&lt;&gt;"Grøntsager i drivhus",SUMIFS('Direkte input'!I$3:I$230,'Direkte input'!$F$3:$F$230,$D174,'Direkte input'!$C$3:$C$230,$B174,'Direkte input'!$D$3:$D$230,$C174,'Direkte input'!$A$3:$A$230,$A$1),SUMIFS('Direkte input'!I$3:I$230,'Direkte input'!$F$3:$F$230,$D174,'Direkte input'!$C$3:$C$230,$B174,'Direkte input'!$A$3:$A$230,$A$1)),IF(VLOOKUP($A174,[1]!Table1[#All],2,FALSE)="Resultat",SUMIF($F$1:$F173,$D174,J$1:J173)+SUMIF($F175:$F$512,$D174,J175:J$512),0))*'[1]Processer - data'!J174,"")*IF($C174&lt;&gt;"",IF($F174="Halm",Landbrug!E$16*Landbrug!E$17,IF(LEFT($D174,5)="Areal", IF($G174="Ton",Landbrug!E$18,1),1)),1)*IF($F174="Grøntsager",IF($A174="Grøntsager i drivhus",Landbrug!E$51,1-Landbrug!E$51),1)</f>
        <v>10012.38021712593</v>
      </c>
    </row>
    <row r="175" spans="1:10" x14ac:dyDescent="0.25">
      <c r="A175" t="str">
        <f>IF('[1]Processer - data'!A175&lt;&gt;"",'[1]Processer - data'!A175,"")</f>
        <v>Grøntsager på land</v>
      </c>
      <c r="B175" t="str">
        <f>IF('[1]Processer - data'!B175&lt;&gt;"",'[1]Processer - data'!B175,"")</f>
        <v>Økologisk</v>
      </c>
      <c r="C175" t="str">
        <f>IF('[1]Processer - data'!C175&lt;&gt;"",'[1]Processer - data'!C175,"")</f>
        <v>JB1-10</v>
      </c>
      <c r="D175" t="str">
        <f>IF('[1]Processer - data'!D175&lt;&gt;"",'[1]Processer - data'!D175,"")</f>
        <v>Areal-grøntsager</v>
      </c>
      <c r="E175" t="str">
        <f>IF('[1]Processer - data'!E175&lt;&gt;"",'[1]Processer - data'!E175,"")</f>
        <v>Hektar</v>
      </c>
      <c r="F175" t="str">
        <f>IF('[1]Processer - data'!F175&lt;&gt;"",'[1]Processer - data'!F175,"")</f>
        <v>Gødning</v>
      </c>
      <c r="G175" t="str">
        <f>IF('[1]Processer - data'!G175&lt;&gt;"",'[1]Processer - data'!G175,"")</f>
        <v>kg N</v>
      </c>
      <c r="H175" s="297">
        <f>IF($A175&lt;&gt;"",IF(VLOOKUP($A175,[1]!Table1[#All],2,FALSE)="Direkte input",IF($A175&lt;&gt;"Grøntsager i drivhus",SUMIFS('Direkte input'!G$3:G$230,'Direkte input'!$F$3:$F$230,$D175,'Direkte input'!$C$3:$C$230,$B175,'Direkte input'!$D$3:$D$230,$C175,'Direkte input'!$A$3:$A$230,$A$1),SUMIFS('Direkte input'!G$3:G$230,'Direkte input'!$F$3:$F$230,$D175,'Direkte input'!$C$3:$C$230,$B175,'Direkte input'!$A$3:$A$230,$A$1)),IF(VLOOKUP($A175,[1]!Table1[#All],2,FALSE)="Resultat",SUMIF($F$1:$F174,$D175,H$1:H174)+SUMIF($F176:$F$512,$D175,H176:H$512),0))*'[1]Processer - data'!H175,"")*IF($C175&lt;&gt;"",IF($F175="Halm",Landbrug!C$16*Landbrug!C$17,IF(LEFT($D175,5)="Areal", IF($G175="Ton",Landbrug!C$18,1),1)),1)*IF($F175="Grøntsager",IF($A175="Grøntsager i drivhus",Landbrug!C$51,1-Landbrug!C$51),1)</f>
        <v>-55505.970598082269</v>
      </c>
      <c r="I175" s="298">
        <f>IF($A175&lt;&gt;"",IF(VLOOKUP($A175,[1]!Table1[#All],2,FALSE)="Direkte input",IF($A175&lt;&gt;"Grøntsager i drivhus",SUMIFS('Direkte input'!H$3:H$230,'Direkte input'!$F$3:$F$230,$D175,'Direkte input'!$C$3:$C$230,$B175,'Direkte input'!$D$3:$D$230,$C175,'Direkte input'!$A$3:$A$230,$A$1),SUMIFS('Direkte input'!H$3:H$230,'Direkte input'!$F$3:$F$230,$D175,'Direkte input'!$C$3:$C$230,$B175,'Direkte input'!$A$3:$A$230,$A$1)),IF(VLOOKUP($A175,[1]!Table1[#All],2,FALSE)="Resultat",SUMIF($F$1:$F174,$D175,I$1:I174)+SUMIF($F176:$F$512,$D175,I176:I$512),0))*'[1]Processer - data'!I175,"")*IF($C175&lt;&gt;"",IF($F175="Halm",Landbrug!D$16*Landbrug!D$17,IF(LEFT($D175,5)="Areal", IF($G175="Ton",Landbrug!D$18,1),1)),1)*IF($F175="Grøntsager",IF($A175="Grøntsager i drivhus",Landbrug!D$51,1-Landbrug!D$51),1)</f>
        <v>-65764.599227545827</v>
      </c>
      <c r="J175" s="299">
        <f>IF($A175&lt;&gt;"",IF(VLOOKUP($A175,[1]!Table1[#All],2,FALSE)="Direkte input",IF($A175&lt;&gt;"Grøntsager i drivhus",SUMIFS('Direkte input'!I$3:I$230,'Direkte input'!$F$3:$F$230,$D175,'Direkte input'!$C$3:$C$230,$B175,'Direkte input'!$D$3:$D$230,$C175,'Direkte input'!$A$3:$A$230,$A$1),SUMIFS('Direkte input'!I$3:I$230,'Direkte input'!$F$3:$F$230,$D175,'Direkte input'!$C$3:$C$230,$B175,'Direkte input'!$A$3:$A$230,$A$1)),IF(VLOOKUP($A175,[1]!Table1[#All],2,FALSE)="Resultat",SUMIF($F$1:$F174,$D175,J$1:J174)+SUMIF($F176:$F$512,$D175,J176:J$512),0))*'[1]Processer - data'!J175,"")*IF($C175&lt;&gt;"",IF($F175="Halm",Landbrug!E$16*Landbrug!E$17,IF(LEFT($D175,5)="Areal", IF($G175="Ton",Landbrug!E$18,1),1)),1)*IF($F175="Grøntsager",IF($A175="Grøntsager i drivhus",Landbrug!E$51,1-Landbrug!E$51),1)</f>
        <v>-84464.224108975468</v>
      </c>
    </row>
    <row r="176" spans="1:10" x14ac:dyDescent="0.25">
      <c r="A176" t="str">
        <f>IF('[1]Processer - data'!A176&lt;&gt;"",'[1]Processer - data'!A176,"")</f>
        <v>Grøntsager på land</v>
      </c>
      <c r="B176" t="str">
        <f>IF('[1]Processer - data'!B176&lt;&gt;"",'[1]Processer - data'!B176,"")</f>
        <v>Økologisk</v>
      </c>
      <c r="C176" t="str">
        <f>IF('[1]Processer - data'!C176&lt;&gt;"",'[1]Processer - data'!C176,"")</f>
        <v>JB1-10</v>
      </c>
      <c r="D176" t="str">
        <f>IF('[1]Processer - data'!D176&lt;&gt;"",'[1]Processer - data'!D176,"")</f>
        <v>Areal-grøntsager</v>
      </c>
      <c r="E176" t="str">
        <f>IF('[1]Processer - data'!E176&lt;&gt;"",'[1]Processer - data'!E176,"")</f>
        <v>Hektar</v>
      </c>
      <c r="F176" t="str">
        <f>IF('[1]Processer - data'!F176&lt;&gt;"",'[1]Processer - data'!F176,"")</f>
        <v>CO2 - atmosfære</v>
      </c>
      <c r="G176" t="str">
        <f>IF('[1]Processer - data'!G176&lt;&gt;"",'[1]Processer - data'!G176,"")</f>
        <v>t CO2-ækvivalenter</v>
      </c>
      <c r="H176" s="297">
        <f>IF($A176&lt;&gt;"",IF(VLOOKUP($A176,[1]!Table1[#All],2,FALSE)="Direkte input",IF($A176&lt;&gt;"Grøntsager i drivhus",SUMIFS('Direkte input'!G$3:G$230,'Direkte input'!$F$3:$F$230,$D176,'Direkte input'!$C$3:$C$230,$B176,'Direkte input'!$D$3:$D$230,$C176,'Direkte input'!$A$3:$A$230,$A$1),SUMIFS('Direkte input'!G$3:G$230,'Direkte input'!$F$3:$F$230,$D176,'Direkte input'!$C$3:$C$230,$B176,'Direkte input'!$A$3:$A$230,$A$1)),IF(VLOOKUP($A176,[1]!Table1[#All],2,FALSE)="Resultat",SUMIF($F$1:$F175,$D176,H$1:H175)+SUMIF($F177:$F$512,$D176,H177:H$512),0))*'[1]Processer - data'!H176,"")*IF($C176&lt;&gt;"",IF($F176="Halm",Landbrug!C$16*Landbrug!C$17,IF(LEFT($D176,5)="Areal", IF($G176="Ton",Landbrug!C$18,1),1)),1)*IF($F176="Grøntsager",IF($A176="Grøntsager i drivhus",Landbrug!C$51,1-Landbrug!C$51),1)</f>
        <v>1107.0492343041512</v>
      </c>
      <c r="I176" s="298">
        <f>IF($A176&lt;&gt;"",IF(VLOOKUP($A176,[1]!Table1[#All],2,FALSE)="Direkte input",IF($A176&lt;&gt;"Grøntsager i drivhus",SUMIFS('Direkte input'!H$3:H$230,'Direkte input'!$F$3:$F$230,$D176,'Direkte input'!$C$3:$C$230,$B176,'Direkte input'!$D$3:$D$230,$C176,'Direkte input'!$A$3:$A$230,$A$1),SUMIFS('Direkte input'!H$3:H$230,'Direkte input'!$F$3:$F$230,$D176,'Direkte input'!$C$3:$C$230,$B176,'Direkte input'!$A$3:$A$230,$A$1)),IF(VLOOKUP($A176,[1]!Table1[#All],2,FALSE)="Resultat",SUMIF($F$1:$F175,$D176,I$1:I175)+SUMIF($F177:$F$512,$D176,I177:I$512),0))*'[1]Processer - data'!I176,"")*IF($C176&lt;&gt;"",IF($F176="Halm",Landbrug!D$16*Landbrug!D$17,IF(LEFT($D176,5)="Areal", IF($G176="Ton",Landbrug!D$18,1),1)),1)*IF($F176="Grøntsager",IF($A176="Grøntsager i drivhus",Landbrug!D$51,1-Landbrug!D$51),1)</f>
        <v>1311.6543758211374</v>
      </c>
      <c r="J176" s="299">
        <f>IF($A176&lt;&gt;"",IF(VLOOKUP($A176,[1]!Table1[#All],2,FALSE)="Direkte input",IF($A176&lt;&gt;"Grøntsager i drivhus",SUMIFS('Direkte input'!I$3:I$230,'Direkte input'!$F$3:$F$230,$D176,'Direkte input'!$C$3:$C$230,$B176,'Direkte input'!$D$3:$D$230,$C176,'Direkte input'!$A$3:$A$230,$A$1),SUMIFS('Direkte input'!I$3:I$230,'Direkte input'!$F$3:$F$230,$D176,'Direkte input'!$C$3:$C$230,$B176,'Direkte input'!$A$3:$A$230,$A$1)),IF(VLOOKUP($A176,[1]!Table1[#All],2,FALSE)="Resultat",SUMIF($F$1:$F175,$D176,J$1:J175)+SUMIF($F177:$F$512,$D176,J177:J$512),0))*'[1]Processer - data'!J176,"")*IF($C176&lt;&gt;"",IF($F176="Halm",Landbrug!E$16*Landbrug!E$17,IF(LEFT($D176,5)="Areal", IF($G176="Ton",Landbrug!E$18,1),1)),1)*IF($F176="Grøntsager",IF($A176="Grøntsager i drivhus",Landbrug!E$51,1-Landbrug!E$51),1)</f>
        <v>1684.6125492158526</v>
      </c>
    </row>
    <row r="177" spans="1:10" x14ac:dyDescent="0.25">
      <c r="A177" t="str">
        <f>IF('[1]Processer - data'!A177&lt;&gt;"",'[1]Processer - data'!A177,"")</f>
        <v>Grøntsager på land</v>
      </c>
      <c r="B177" t="str">
        <f>IF('[1]Processer - data'!B177&lt;&gt;"",'[1]Processer - data'!B177,"")</f>
        <v>Økologisk</v>
      </c>
      <c r="C177" t="str">
        <f>IF('[1]Processer - data'!C177&lt;&gt;"",'[1]Processer - data'!C177,"")</f>
        <v>OC6</v>
      </c>
      <c r="D177" t="str">
        <f>IF('[1]Processer - data'!D177&lt;&gt;"",'[1]Processer - data'!D177,"")</f>
        <v>Areal-grøntsager</v>
      </c>
      <c r="E177" t="str">
        <f>IF('[1]Processer - data'!E177&lt;&gt;"",'[1]Processer - data'!E177,"")</f>
        <v>Hektar</v>
      </c>
      <c r="F177" t="str">
        <f>IF('[1]Processer - data'!F177&lt;&gt;"",'[1]Processer - data'!F177,"")</f>
        <v>Grøntsager</v>
      </c>
      <c r="G177" t="str">
        <f>IF('[1]Processer - data'!G177&lt;&gt;"",'[1]Processer - data'!G177,"")</f>
        <v>Ton</v>
      </c>
      <c r="H177" s="297">
        <f>IF($A177&lt;&gt;"",IF(VLOOKUP($A177,[1]!Table1[#All],2,FALSE)="Direkte input",IF($A177&lt;&gt;"Grøntsager i drivhus",SUMIFS('Direkte input'!G$3:G$230,'Direkte input'!$F$3:$F$230,$D177,'Direkte input'!$C$3:$C$230,$B177,'Direkte input'!$D$3:$D$230,$C177,'Direkte input'!$A$3:$A$230,$A$1),SUMIFS('Direkte input'!G$3:G$230,'Direkte input'!$F$3:$F$230,$D177,'Direkte input'!$C$3:$C$230,$B177,'Direkte input'!$A$3:$A$230,$A$1)),IF(VLOOKUP($A177,[1]!Table1[#All],2,FALSE)="Resultat",SUMIF($F$1:$F176,$D177,H$1:H176)+SUMIF($F178:$F$512,$D177,H178:H$512),0))*'[1]Processer - data'!H177,"")*IF($C177&lt;&gt;"",IF($F177="Halm",Landbrug!C$16*Landbrug!C$17,IF(LEFT($D177,5)="Areal", IF($G177="Ton",Landbrug!C$18,1),1)),1)*IF($F177="Grøntsager",IF($A177="Grøntsager i drivhus",Landbrug!C$51,1-Landbrug!C$51),1)</f>
        <v>49.367343481926596</v>
      </c>
      <c r="I177" s="298">
        <f>IF($A177&lt;&gt;"",IF(VLOOKUP($A177,[1]!Table1[#All],2,FALSE)="Direkte input",IF($A177&lt;&gt;"Grøntsager i drivhus",SUMIFS('Direkte input'!H$3:H$230,'Direkte input'!$F$3:$F$230,$D177,'Direkte input'!$C$3:$C$230,$B177,'Direkte input'!$D$3:$D$230,$C177,'Direkte input'!$A$3:$A$230,$A$1),SUMIFS('Direkte input'!H$3:H$230,'Direkte input'!$F$3:$F$230,$D177,'Direkte input'!$C$3:$C$230,$B177,'Direkte input'!$A$3:$A$230,$A$1)),IF(VLOOKUP($A177,[1]!Table1[#All],2,FALSE)="Resultat",SUMIF($F$1:$F176,$D177,I$1:I176)+SUMIF($F178:$F$512,$D177,I178:I$512),0))*'[1]Processer - data'!I177,"")*IF($C177&lt;&gt;"",IF($F177="Halm",Landbrug!D$16*Landbrug!D$17,IF(LEFT($D177,5)="Areal", IF($G177="Ton",Landbrug!D$18,1),1)),1)*IF($F177="Grøntsager",IF($A177="Grøntsager i drivhus",Landbrug!D$51,1-Landbrug!D$51),1)</f>
        <v>58.429715715480711</v>
      </c>
      <c r="J177" s="299">
        <f>IF($A177&lt;&gt;"",IF(VLOOKUP($A177,[1]!Table1[#All],2,FALSE)="Direkte input",IF($A177&lt;&gt;"Grøntsager i drivhus",SUMIFS('Direkte input'!I$3:I$230,'Direkte input'!$F$3:$F$230,$D177,'Direkte input'!$C$3:$C$230,$B177,'Direkte input'!$D$3:$D$230,$C177,'Direkte input'!$A$3:$A$230,$A$1),SUMIFS('Direkte input'!I$3:I$230,'Direkte input'!$F$3:$F$230,$D177,'Direkte input'!$C$3:$C$230,$B177,'Direkte input'!$A$3:$A$230,$A$1)),IF(VLOOKUP($A177,[1]!Table1[#All],2,FALSE)="Resultat",SUMIF($F$1:$F176,$D177,J$1:J176)+SUMIF($F178:$F$512,$D177,J178:J$512),0))*'[1]Processer - data'!J177,"")*IF($C177&lt;&gt;"",IF($F177="Halm",Landbrug!E$16*Landbrug!E$17,IF(LEFT($D177,5)="Areal", IF($G177="Ton",Landbrug!E$18,1),1)),1)*IF($F177="Grøntsager",IF($A177="Grøntsager i drivhus",Landbrug!E$51,1-Landbrug!E$51),1)</f>
        <v>81.25331873784198</v>
      </c>
    </row>
    <row r="178" spans="1:10" x14ac:dyDescent="0.25">
      <c r="A178" t="str">
        <f>IF('[1]Processer - data'!A178&lt;&gt;"",'[1]Processer - data'!A178,"")</f>
        <v>Grøntsager på land</v>
      </c>
      <c r="B178" t="str">
        <f>IF('[1]Processer - data'!B178&lt;&gt;"",'[1]Processer - data'!B178,"")</f>
        <v>Økologisk</v>
      </c>
      <c r="C178" t="str">
        <f>IF('[1]Processer - data'!C178&lt;&gt;"",'[1]Processer - data'!C178,"")</f>
        <v>OC6</v>
      </c>
      <c r="D178" t="str">
        <f>IF('[1]Processer - data'!D178&lt;&gt;"",'[1]Processer - data'!D178,"")</f>
        <v>Areal-grøntsager</v>
      </c>
      <c r="E178" t="str">
        <f>IF('[1]Processer - data'!E178&lt;&gt;"",'[1]Processer - data'!E178,"")</f>
        <v>Hektar</v>
      </c>
      <c r="F178" t="str">
        <f>IF('[1]Processer - data'!F178&lt;&gt;"",'[1]Processer - data'!F178,"")</f>
        <v>Gødning</v>
      </c>
      <c r="G178" t="str">
        <f>IF('[1]Processer - data'!G178&lt;&gt;"",'[1]Processer - data'!G178,"")</f>
        <v>kg N</v>
      </c>
      <c r="H178" s="297">
        <f>IF($A178&lt;&gt;"",IF(VLOOKUP($A178,[1]!Table1[#All],2,FALSE)="Direkte input",IF($A178&lt;&gt;"Grøntsager i drivhus",SUMIFS('Direkte input'!G$3:G$230,'Direkte input'!$F$3:$F$230,$D178,'Direkte input'!$C$3:$C$230,$B178,'Direkte input'!$D$3:$D$230,$C178,'Direkte input'!$A$3:$A$230,$A$1),SUMIFS('Direkte input'!G$3:G$230,'Direkte input'!$F$3:$F$230,$D178,'Direkte input'!$C$3:$C$230,$B178,'Direkte input'!$A$3:$A$230,$A$1)),IF(VLOOKUP($A178,[1]!Table1[#All],2,FALSE)="Resultat",SUMIF($F$1:$F177,$D178,H$1:H177)+SUMIF($F179:$F$512,$D178,H179:H$512),0))*'[1]Processer - data'!H178,"")*IF($C178&lt;&gt;"",IF($F178="Halm",Landbrug!C$16*Landbrug!C$17,IF(LEFT($D178,5)="Areal", IF($G178="Ton",Landbrug!C$18,1),1)),1)*IF($F178="Grøntsager",IF($A178="Grøntsager i drivhus",Landbrug!C$51,1-Landbrug!C$51),1)</f>
        <v>-389.13153879752116</v>
      </c>
      <c r="I178" s="298">
        <f>IF($A178&lt;&gt;"",IF(VLOOKUP($A178,[1]!Table1[#All],2,FALSE)="Direkte input",IF($A178&lt;&gt;"Grøntsager i drivhus",SUMIFS('Direkte input'!H$3:H$230,'Direkte input'!$F$3:$F$230,$D178,'Direkte input'!$C$3:$C$230,$B178,'Direkte input'!$D$3:$D$230,$C178,'Direkte input'!$A$3:$A$230,$A$1),SUMIFS('Direkte input'!H$3:H$230,'Direkte input'!$F$3:$F$230,$D178,'Direkte input'!$C$3:$C$230,$B178,'Direkte input'!$A$3:$A$230,$A$1)),IF(VLOOKUP($A178,[1]!Table1[#All],2,FALSE)="Resultat",SUMIF($F$1:$F177,$D178,I$1:I177)+SUMIF($F179:$F$512,$D178,I179:I$512),0))*'[1]Processer - data'!I178,"")*IF($C178&lt;&gt;"",IF($F178="Halm",Landbrug!D$16*Landbrug!D$17,IF(LEFT($D178,5)="Areal", IF($G178="Ton",Landbrug!D$18,1),1)),1)*IF($F178="Grøntsager",IF($A178="Grøntsager i drivhus",Landbrug!D$51,1-Landbrug!D$51),1)</f>
        <v>-429.63105059851864</v>
      </c>
      <c r="J178" s="299">
        <f>IF($A178&lt;&gt;"",IF(VLOOKUP($A178,[1]!Table1[#All],2,FALSE)="Direkte input",IF($A178&lt;&gt;"Grøntsager i drivhus",SUMIFS('Direkte input'!I$3:I$230,'Direkte input'!$F$3:$F$230,$D178,'Direkte input'!$C$3:$C$230,$B178,'Direkte input'!$D$3:$D$230,$C178,'Direkte input'!$A$3:$A$230,$A$1),SUMIFS('Direkte input'!I$3:I$230,'Direkte input'!$F$3:$F$230,$D178,'Direkte input'!$C$3:$C$230,$B178,'Direkte input'!$A$3:$A$230,$A$1)),IF(VLOOKUP($A178,[1]!Table1[#All],2,FALSE)="Resultat",SUMIF($F$1:$F177,$D178,J$1:J177)+SUMIF($F179:$F$512,$D178,J179:J$512),0))*'[1]Processer - data'!J178,"")*IF($C178&lt;&gt;"",IF($F178="Halm",Landbrug!E$16*Landbrug!E$17,IF(LEFT($D178,5)="Areal", IF($G178="Ton",Landbrug!E$18,1),1)),1)*IF($F178="Grøntsager",IF($A178="Grøntsager i drivhus",Landbrug!E$51,1-Landbrug!E$51),1)</f>
        <v>-556.92913966474634</v>
      </c>
    </row>
    <row r="179" spans="1:10" x14ac:dyDescent="0.25">
      <c r="A179" t="str">
        <f>IF('[1]Processer - data'!A179&lt;&gt;"",'[1]Processer - data'!A179,"")</f>
        <v>Grøntsager på land</v>
      </c>
      <c r="B179" t="str">
        <f>IF('[1]Processer - data'!B179&lt;&gt;"",'[1]Processer - data'!B179,"")</f>
        <v>Økologisk</v>
      </c>
      <c r="C179" t="str">
        <f>IF('[1]Processer - data'!C179&lt;&gt;"",'[1]Processer - data'!C179,"")</f>
        <v>OC6</v>
      </c>
      <c r="D179" t="str">
        <f>IF('[1]Processer - data'!D179&lt;&gt;"",'[1]Processer - data'!D179,"")</f>
        <v>Areal-grøntsager</v>
      </c>
      <c r="E179" t="str">
        <f>IF('[1]Processer - data'!E179&lt;&gt;"",'[1]Processer - data'!E179,"")</f>
        <v>Hektar</v>
      </c>
      <c r="F179" t="str">
        <f>IF('[1]Processer - data'!F179&lt;&gt;"",'[1]Processer - data'!F179,"")</f>
        <v>CO2 - atmosfære</v>
      </c>
      <c r="G179" t="str">
        <f>IF('[1]Processer - data'!G179&lt;&gt;"",'[1]Processer - data'!G179,"")</f>
        <v>t CO2-ækvivalenter</v>
      </c>
      <c r="H179" s="297">
        <f>IF($A179&lt;&gt;"",IF(VLOOKUP($A179,[1]!Table1[#All],2,FALSE)="Direkte input",IF($A179&lt;&gt;"Grøntsager i drivhus",SUMIFS('Direkte input'!G$3:G$230,'Direkte input'!$F$3:$F$230,$D179,'Direkte input'!$C$3:$C$230,$B179,'Direkte input'!$D$3:$D$230,$C179,'Direkte input'!$A$3:$A$230,$A$1),SUMIFS('Direkte input'!G$3:G$230,'Direkte input'!$F$3:$F$230,$D179,'Direkte input'!$C$3:$C$230,$B179,'Direkte input'!$A$3:$A$230,$A$1)),IF(VLOOKUP($A179,[1]!Table1[#All],2,FALSE)="Resultat",SUMIF($F$1:$F178,$D179,H$1:H178)+SUMIF($F180:$F$512,$D179,H180:H$512),0))*'[1]Processer - data'!H179,"")*IF($C179&lt;&gt;"",IF($F179="Halm",Landbrug!C$16*Landbrug!C$17,IF(LEFT($D179,5)="Areal", IF($G179="Ton",Landbrug!C$18,1),1)),1)*IF($F179="Grøntsager",IF($A179="Grøntsager i drivhus",Landbrug!C$51,1-Landbrug!C$51),1)</f>
        <v>55.98625854430292</v>
      </c>
      <c r="I179" s="298">
        <f>IF($A179&lt;&gt;"",IF(VLOOKUP($A179,[1]!Table1[#All],2,FALSE)="Direkte input",IF($A179&lt;&gt;"Grøntsager i drivhus",SUMIFS('Direkte input'!H$3:H$230,'Direkte input'!$F$3:$F$230,$D179,'Direkte input'!$C$3:$C$230,$B179,'Direkte input'!$D$3:$D$230,$C179,'Direkte input'!$A$3:$A$230,$A$1),SUMIFS('Direkte input'!H$3:H$230,'Direkte input'!$F$3:$F$230,$D179,'Direkte input'!$C$3:$C$230,$B179,'Direkte input'!$A$3:$A$230,$A$1)),IF(VLOOKUP($A179,[1]!Table1[#All],2,FALSE)="Resultat",SUMIF($F$1:$F178,$D179,I$1:I178)+SUMIF($F180:$F$512,$D179,I180:I$512),0))*'[1]Processer - data'!I179,"")*IF($C179&lt;&gt;"",IF($F179="Halm",Landbrug!D$16*Landbrug!D$17,IF(LEFT($D179,5)="Areal", IF($G179="Ton",Landbrug!D$18,1),1)),1)*IF($F179="Grøntsager",IF($A179="Grøntsager i drivhus",Landbrug!D$51,1-Landbrug!D$51),1)</f>
        <v>61.813121475062452</v>
      </c>
      <c r="J179" s="299">
        <f>IF($A179&lt;&gt;"",IF(VLOOKUP($A179,[1]!Table1[#All],2,FALSE)="Direkte input",IF($A179&lt;&gt;"Grøntsager i drivhus",SUMIFS('Direkte input'!I$3:I$230,'Direkte input'!$F$3:$F$230,$D179,'Direkte input'!$C$3:$C$230,$B179,'Direkte input'!$D$3:$D$230,$C179,'Direkte input'!$A$3:$A$230,$A$1),SUMIFS('Direkte input'!I$3:I$230,'Direkte input'!$F$3:$F$230,$D179,'Direkte input'!$C$3:$C$230,$B179,'Direkte input'!$A$3:$A$230,$A$1)),IF(VLOOKUP($A179,[1]!Table1[#All],2,FALSE)="Resultat",SUMIF($F$1:$F178,$D179,J$1:J178)+SUMIF($F180:$F$512,$D179,J180:J$512),0))*'[1]Processer - data'!J179,"")*IF($C179&lt;&gt;"",IF($F179="Halm",Landbrug!E$16*Landbrug!E$17,IF(LEFT($D179,5)="Areal", IF($G179="Ton",Landbrug!E$18,1),1)),1)*IF($F179="Grøntsager",IF($A179="Grøntsager i drivhus",Landbrug!E$51,1-Landbrug!E$51),1)</f>
        <v>80.1281204306365</v>
      </c>
    </row>
    <row r="180" spans="1:10" x14ac:dyDescent="0.25">
      <c r="A180" t="str">
        <f>IF('[1]Processer - data'!A180&lt;&gt;"",'[1]Processer - data'!A180,"")</f>
        <v>Grøntsager på land</v>
      </c>
      <c r="B180" t="str">
        <f>IF('[1]Processer - data'!B180&lt;&gt;"",'[1]Processer - data'!B180,"")</f>
        <v>Økologisk</v>
      </c>
      <c r="C180" t="str">
        <f>IF('[1]Processer - data'!C180&lt;&gt;"",'[1]Processer - data'!C180,"")</f>
        <v>OC12</v>
      </c>
      <c r="D180" t="str">
        <f>IF('[1]Processer - data'!D180&lt;&gt;"",'[1]Processer - data'!D180,"")</f>
        <v>Areal-grøntsager</v>
      </c>
      <c r="E180" t="str">
        <f>IF('[1]Processer - data'!E180&lt;&gt;"",'[1]Processer - data'!E180,"")</f>
        <v>Hektar</v>
      </c>
      <c r="F180" t="str">
        <f>IF('[1]Processer - data'!F180&lt;&gt;"",'[1]Processer - data'!F180,"")</f>
        <v>Grøntsager</v>
      </c>
      <c r="G180" t="str">
        <f>IF('[1]Processer - data'!G180&lt;&gt;"",'[1]Processer - data'!G180,"")</f>
        <v>Ton</v>
      </c>
      <c r="H180" s="297">
        <f>IF($A180&lt;&gt;"",IF(VLOOKUP($A180,[1]!Table1[#All],2,FALSE)="Direkte input",IF($A180&lt;&gt;"Grøntsager i drivhus",SUMIFS('Direkte input'!G$3:G$230,'Direkte input'!$F$3:$F$230,$D180,'Direkte input'!$C$3:$C$230,$B180,'Direkte input'!$D$3:$D$230,$C180,'Direkte input'!$A$3:$A$230,$A$1),SUMIFS('Direkte input'!G$3:G$230,'Direkte input'!$F$3:$F$230,$D180,'Direkte input'!$C$3:$C$230,$B180,'Direkte input'!$A$3:$A$230,$A$1)),IF(VLOOKUP($A180,[1]!Table1[#All],2,FALSE)="Resultat",SUMIF($F$1:$F179,$D180,H$1:H179)+SUMIF($F181:$F$512,$D180,H181:H$512),0))*'[1]Processer - data'!H180,"")*IF($C180&lt;&gt;"",IF($F180="Halm",Landbrug!C$16*Landbrug!C$17,IF(LEFT($D180,5)="Areal", IF($G180="Ton",Landbrug!C$18,1),1)),1)*IF($F180="Grøntsager",IF($A180="Grøntsager i drivhus",Landbrug!C$51,1-Landbrug!C$51),1)</f>
        <v>15.526371141296149</v>
      </c>
      <c r="I180" s="298">
        <f>IF($A180&lt;&gt;"",IF(VLOOKUP($A180,[1]!Table1[#All],2,FALSE)="Direkte input",IF($A180&lt;&gt;"Grøntsager i drivhus",SUMIFS('Direkte input'!H$3:H$230,'Direkte input'!$F$3:$F$230,$D180,'Direkte input'!$C$3:$C$230,$B180,'Direkte input'!$D$3:$D$230,$C180,'Direkte input'!$A$3:$A$230,$A$1),SUMIFS('Direkte input'!H$3:H$230,'Direkte input'!$F$3:$F$230,$D180,'Direkte input'!$C$3:$C$230,$B180,'Direkte input'!$A$3:$A$230,$A$1)),IF(VLOOKUP($A180,[1]!Table1[#All],2,FALSE)="Resultat",SUMIF($F$1:$F179,$D180,I$1:I179)+SUMIF($F181:$F$512,$D180,I181:I$512),0))*'[1]Processer - data'!I180,"")*IF($C180&lt;&gt;"",IF($F180="Halm",Landbrug!D$16*Landbrug!D$17,IF(LEFT($D180,5)="Areal", IF($G180="Ton",Landbrug!D$18,1),1)),1)*IF($F180="Grøntsager",IF($A180="Grøntsager i drivhus",Landbrug!D$51,1-Landbrug!D$51),1)</f>
        <v>18.522056277222863</v>
      </c>
      <c r="J180" s="299">
        <f>IF($A180&lt;&gt;"",IF(VLOOKUP($A180,[1]!Table1[#All],2,FALSE)="Direkte input",IF($A180&lt;&gt;"Grøntsager i drivhus",SUMIFS('Direkte input'!I$3:I$230,'Direkte input'!$F$3:$F$230,$D180,'Direkte input'!$C$3:$C$230,$B180,'Direkte input'!$D$3:$D$230,$C180,'Direkte input'!$A$3:$A$230,$A$1),SUMIFS('Direkte input'!I$3:I$230,'Direkte input'!$F$3:$F$230,$D180,'Direkte input'!$C$3:$C$230,$B180,'Direkte input'!$A$3:$A$230,$A$1)),IF(VLOOKUP($A180,[1]!Table1[#All],2,FALSE)="Resultat",SUMIF($F$1:$F179,$D180,J$1:J179)+SUMIF($F181:$F$512,$D180,J181:J$512),0))*'[1]Processer - data'!J180,"")*IF($C180&lt;&gt;"",IF($F180="Halm",Landbrug!E$16*Landbrug!E$17,IF(LEFT($D180,5)="Areal", IF($G180="Ton",Landbrug!E$18,1),1)),1)*IF($F180="Grøntsager",IF($A180="Grøntsager i drivhus",Landbrug!E$51,1-Landbrug!E$51),1)</f>
        <v>25.757074528683667</v>
      </c>
    </row>
    <row r="181" spans="1:10" x14ac:dyDescent="0.25">
      <c r="A181" t="str">
        <f>IF('[1]Processer - data'!A181&lt;&gt;"",'[1]Processer - data'!A181,"")</f>
        <v>Grøntsager på land</v>
      </c>
      <c r="B181" t="str">
        <f>IF('[1]Processer - data'!B181&lt;&gt;"",'[1]Processer - data'!B181,"")</f>
        <v>Økologisk</v>
      </c>
      <c r="C181" t="str">
        <f>IF('[1]Processer - data'!C181&lt;&gt;"",'[1]Processer - data'!C181,"")</f>
        <v>OC12</v>
      </c>
      <c r="D181" t="str">
        <f>IF('[1]Processer - data'!D181&lt;&gt;"",'[1]Processer - data'!D181,"")</f>
        <v>Areal-grøntsager</v>
      </c>
      <c r="E181" t="str">
        <f>IF('[1]Processer - data'!E181&lt;&gt;"",'[1]Processer - data'!E181,"")</f>
        <v>Hektar</v>
      </c>
      <c r="F181" t="str">
        <f>IF('[1]Processer - data'!F181&lt;&gt;"",'[1]Processer - data'!F181,"")</f>
        <v>Gødning</v>
      </c>
      <c r="G181" t="str">
        <f>IF('[1]Processer - data'!G181&lt;&gt;"",'[1]Processer - data'!G181,"")</f>
        <v>kg N</v>
      </c>
      <c r="H181" s="297">
        <f>IF($A181&lt;&gt;"",IF(VLOOKUP($A181,[1]!Table1[#All],2,FALSE)="Direkte input",IF($A181&lt;&gt;"Grøntsager i drivhus",SUMIFS('Direkte input'!G$3:G$230,'Direkte input'!$F$3:$F$230,$D181,'Direkte input'!$C$3:$C$230,$B181,'Direkte input'!$D$3:$D$230,$C181,'Direkte input'!$A$3:$A$230,$A$1),SUMIFS('Direkte input'!G$3:G$230,'Direkte input'!$F$3:$F$230,$D181,'Direkte input'!$C$3:$C$230,$B181,'Direkte input'!$A$3:$A$230,$A$1)),IF(VLOOKUP($A181,[1]!Table1[#All],2,FALSE)="Resultat",SUMIF($F$1:$F180,$D181,H$1:H180)+SUMIF($F182:$F$512,$D181,H182:H$512),0))*'[1]Processer - data'!H181,"")*IF($C181&lt;&gt;"",IF($F181="Halm",Landbrug!C$16*Landbrug!C$17,IF(LEFT($D181,5)="Areal", IF($G181="Ton",Landbrug!C$18,1),1)),1)*IF($F181="Grøntsager",IF($A181="Grøntsager i drivhus",Landbrug!C$51,1-Landbrug!C$51),1)</f>
        <v>-102.21128229594152</v>
      </c>
      <c r="I181" s="298">
        <f>IF($A181&lt;&gt;"",IF(VLOOKUP($A181,[1]!Table1[#All],2,FALSE)="Direkte input",IF($A181&lt;&gt;"Grøntsager i drivhus",SUMIFS('Direkte input'!H$3:H$230,'Direkte input'!$F$3:$F$230,$D181,'Direkte input'!$C$3:$C$230,$B181,'Direkte input'!$D$3:$D$230,$C181,'Direkte input'!$A$3:$A$230,$A$1),SUMIFS('Direkte input'!H$3:H$230,'Direkte input'!$F$3:$F$230,$D181,'Direkte input'!$C$3:$C$230,$B181,'Direkte input'!$A$3:$A$230,$A$1)),IF(VLOOKUP($A181,[1]!Table1[#All],2,FALSE)="Resultat",SUMIF($F$1:$F180,$D181,I$1:I180)+SUMIF($F182:$F$512,$D181,I182:I$512),0))*'[1]Processer - data'!I181,"")*IF($C181&lt;&gt;"",IF($F181="Halm",Landbrug!D$16*Landbrug!D$17,IF(LEFT($D181,5)="Areal", IF($G181="Ton",Landbrug!D$18,1),1)),1)*IF($F181="Grøntsager",IF($A181="Grøntsager i drivhus",Landbrug!D$51,1-Landbrug!D$51),1)</f>
        <v>-113.74263565670849</v>
      </c>
      <c r="J181" s="299">
        <f>IF($A181&lt;&gt;"",IF(VLOOKUP($A181,[1]!Table1[#All],2,FALSE)="Direkte input",IF($A181&lt;&gt;"Grøntsager i drivhus",SUMIFS('Direkte input'!I$3:I$230,'Direkte input'!$F$3:$F$230,$D181,'Direkte input'!$C$3:$C$230,$B181,'Direkte input'!$D$3:$D$230,$C181,'Direkte input'!$A$3:$A$230,$A$1),SUMIFS('Direkte input'!I$3:I$230,'Direkte input'!$F$3:$F$230,$D181,'Direkte input'!$C$3:$C$230,$B181,'Direkte input'!$A$3:$A$230,$A$1)),IF(VLOOKUP($A181,[1]!Table1[#All],2,FALSE)="Resultat",SUMIF($F$1:$F180,$D181,J$1:J180)+SUMIF($F182:$F$512,$D181,J182:J$512),0))*'[1]Processer - data'!J181,"")*IF($C181&lt;&gt;"",IF($F181="Halm",Landbrug!E$16*Landbrug!E$17,IF(LEFT($D181,5)="Areal", IF($G181="Ton",Landbrug!E$18,1),1)),1)*IF($F181="Grøntsager",IF($A181="Grøntsager i drivhus",Landbrug!E$51,1-Landbrug!E$51),1)</f>
        <v>-147.44415733277026</v>
      </c>
    </row>
    <row r="182" spans="1:10" x14ac:dyDescent="0.25">
      <c r="A182" t="str">
        <f>IF('[1]Processer - data'!A182&lt;&gt;"",'[1]Processer - data'!A182,"")</f>
        <v>Grøntsager på land</v>
      </c>
      <c r="B182" t="str">
        <f>IF('[1]Processer - data'!B182&lt;&gt;"",'[1]Processer - data'!B182,"")</f>
        <v>Økologisk</v>
      </c>
      <c r="C182" t="str">
        <f>IF('[1]Processer - data'!C182&lt;&gt;"",'[1]Processer - data'!C182,"")</f>
        <v>OC12</v>
      </c>
      <c r="D182" t="str">
        <f>IF('[1]Processer - data'!D182&lt;&gt;"",'[1]Processer - data'!D182,"")</f>
        <v>Areal-grøntsager</v>
      </c>
      <c r="E182" t="str">
        <f>IF('[1]Processer - data'!E182&lt;&gt;"",'[1]Processer - data'!E182,"")</f>
        <v>Hektar</v>
      </c>
      <c r="F182" t="str">
        <f>IF('[1]Processer - data'!F182&lt;&gt;"",'[1]Processer - data'!F182,"")</f>
        <v>CO2 - atmosfære</v>
      </c>
      <c r="G182" t="str">
        <f>IF('[1]Processer - data'!G182&lt;&gt;"",'[1]Processer - data'!G182,"")</f>
        <v>t CO2-ækvivalenter</v>
      </c>
      <c r="H182" s="297">
        <f>IF($A182&lt;&gt;"",IF(VLOOKUP($A182,[1]!Table1[#All],2,FALSE)="Direkte input",IF($A182&lt;&gt;"Grøntsager i drivhus",SUMIFS('Direkte input'!G$3:G$230,'Direkte input'!$F$3:$F$230,$D182,'Direkte input'!$C$3:$C$230,$B182,'Direkte input'!$D$3:$D$230,$C182,'Direkte input'!$A$3:$A$230,$A$1),SUMIFS('Direkte input'!G$3:G$230,'Direkte input'!$F$3:$F$230,$D182,'Direkte input'!$C$3:$C$230,$B182,'Direkte input'!$A$3:$A$230,$A$1)),IF(VLOOKUP($A182,[1]!Table1[#All],2,FALSE)="Resultat",SUMIF($F$1:$F181,$D182,H$1:H181)+SUMIF($F183:$F$512,$D182,H183:H$512),0))*'[1]Processer - data'!H182,"")*IF($C182&lt;&gt;"",IF($F182="Halm",Landbrug!C$16*Landbrug!C$17,IF(LEFT($D182,5)="Areal", IF($G182="Ton",Landbrug!C$18,1),1)),1)*IF($F182="Grøntsager",IF($A182="Grøntsager i drivhus",Landbrug!C$51,1-Landbrug!C$51),1)</f>
        <v>38.649355433907424</v>
      </c>
      <c r="I182" s="298">
        <f>IF($A182&lt;&gt;"",IF(VLOOKUP($A182,[1]!Table1[#All],2,FALSE)="Direkte input",IF($A182&lt;&gt;"Grøntsager i drivhus",SUMIFS('Direkte input'!H$3:H$230,'Direkte input'!$F$3:$F$230,$D182,'Direkte input'!$C$3:$C$230,$B182,'Direkte input'!$D$3:$D$230,$C182,'Direkte input'!$A$3:$A$230,$A$1),SUMIFS('Direkte input'!H$3:H$230,'Direkte input'!$F$3:$F$230,$D182,'Direkte input'!$C$3:$C$230,$B182,'Direkte input'!$A$3:$A$230,$A$1)),IF(VLOOKUP($A182,[1]!Table1[#All],2,FALSE)="Resultat",SUMIF($F$1:$F181,$D182,I$1:I181)+SUMIF($F183:$F$512,$D182,I183:I$512),0))*'[1]Processer - data'!I182,"")*IF($C182&lt;&gt;"",IF($F182="Halm",Landbrug!D$16*Landbrug!D$17,IF(LEFT($D182,5)="Areal", IF($G182="Ton",Landbrug!D$18,1),1)),1)*IF($F182="Grøntsager",IF($A182="Grøntsager i drivhus",Landbrug!D$51,1-Landbrug!D$51),1)</f>
        <v>43.00972901168771</v>
      </c>
      <c r="J182" s="299">
        <f>IF($A182&lt;&gt;"",IF(VLOOKUP($A182,[1]!Table1[#All],2,FALSE)="Direkte input",IF($A182&lt;&gt;"Grøntsager i drivhus",SUMIFS('Direkte input'!I$3:I$230,'Direkte input'!$F$3:$F$230,$D182,'Direkte input'!$C$3:$C$230,$B182,'Direkte input'!$D$3:$D$230,$C182,'Direkte input'!$A$3:$A$230,$A$1),SUMIFS('Direkte input'!I$3:I$230,'Direkte input'!$F$3:$F$230,$D182,'Direkte input'!$C$3:$C$230,$B182,'Direkte input'!$A$3:$A$230,$A$1)),IF(VLOOKUP($A182,[1]!Table1[#All],2,FALSE)="Resultat",SUMIF($F$1:$F181,$D182,J$1:J181)+SUMIF($F183:$F$512,$D182,J183:J$512),0))*'[1]Processer - data'!J182,"")*IF($C182&lt;&gt;"",IF($F182="Halm",Landbrug!E$16*Landbrug!E$17,IF(LEFT($D182,5)="Areal", IF($G182="Ton",Landbrug!E$18,1),1)),1)*IF($F182="Grøntsager",IF($A182="Grøntsager i drivhus",Landbrug!E$51,1-Landbrug!E$51),1)</f>
        <v>55.753352422558144</v>
      </c>
    </row>
    <row r="183" spans="1:10" x14ac:dyDescent="0.25">
      <c r="A183" t="str">
        <f>IF('[1]Processer - data'!A183&lt;&gt;"",'[1]Processer - data'!A183,"")</f>
        <v>Grøntsager i drivhus</v>
      </c>
      <c r="B183" t="str">
        <f>IF('[1]Processer - data'!B183&lt;&gt;"",'[1]Processer - data'!B183,"")</f>
        <v>Konventionel</v>
      </c>
      <c r="C183" t="str">
        <f>IF('[1]Processer - data'!C183&lt;&gt;"",'[1]Processer - data'!C183,"")</f>
        <v/>
      </c>
      <c r="D183" t="str">
        <f>IF('[1]Processer - data'!D183&lt;&gt;"",'[1]Processer - data'!D183,"")</f>
        <v>Areal-grøntsager</v>
      </c>
      <c r="E183" t="str">
        <f>IF('[1]Processer - data'!E183&lt;&gt;"",'[1]Processer - data'!E183,"")</f>
        <v>Hektar</v>
      </c>
      <c r="F183" t="str">
        <f>IF('[1]Processer - data'!F183&lt;&gt;"",'[1]Processer - data'!F183,"")</f>
        <v>Grøntsager</v>
      </c>
      <c r="G183" t="str">
        <f>IF('[1]Processer - data'!G183&lt;&gt;"",'[1]Processer - data'!G183,"")</f>
        <v>Ton</v>
      </c>
      <c r="H183" s="297">
        <f>IF($A183&lt;&gt;"",IF(VLOOKUP($A183,[1]!Table1[#All],2,FALSE)="Direkte input",IF($A183&lt;&gt;"Grøntsager i drivhus",SUMIFS('Direkte input'!G$3:G$230,'Direkte input'!$F$3:$F$230,$D183,'Direkte input'!$C$3:$C$230,$B183,'Direkte input'!$D$3:$D$230,$C183,'Direkte input'!$A$3:$A$230,$A$1),SUMIFS('Direkte input'!G$3:G$230,'Direkte input'!$F$3:$F$230,$D183,'Direkte input'!$C$3:$C$230,$B183,'Direkte input'!$A$3:$A$230,$A$1)),IF(VLOOKUP($A183,[1]!Table1[#All],2,FALSE)="Resultat",SUMIF($F$1:$F182,$D183,H$1:H182)+SUMIF($F184:$F$512,$D183,H184:H$512),0))*'[1]Processer - data'!H183,"")*IF($C183&lt;&gt;"",IF($F183="Halm",Landbrug!C$16*Landbrug!C$17,IF(LEFT($D183,5)="Areal", IF($G183="Ton",Landbrug!C$18,1),1)),1)*IF($F183="Grøntsager",IF($A183="Grøntsager i drivhus",Landbrug!C$51,1-Landbrug!C$51),1)</f>
        <v>9431.3638148448081</v>
      </c>
      <c r="I183" s="298">
        <f>IF($A183&lt;&gt;"",IF(VLOOKUP($A183,[1]!Table1[#All],2,FALSE)="Direkte input",IF($A183&lt;&gt;"Grøntsager i drivhus",SUMIFS('Direkte input'!H$3:H$230,'Direkte input'!$F$3:$F$230,$D183,'Direkte input'!$C$3:$C$230,$B183,'Direkte input'!$D$3:$D$230,$C183,'Direkte input'!$A$3:$A$230,$A$1),SUMIFS('Direkte input'!H$3:H$230,'Direkte input'!$F$3:$F$230,$D183,'Direkte input'!$C$3:$C$230,$B183,'Direkte input'!$A$3:$A$230,$A$1)),IF(VLOOKUP($A183,[1]!Table1[#All],2,FALSE)="Resultat",SUMIF($F$1:$F182,$D183,I$1:I182)+SUMIF($F184:$F$512,$D183,I184:I$512),0))*'[1]Processer - data'!I183,"")*IF($C183&lt;&gt;"",IF($F183="Halm",Landbrug!D$16*Landbrug!D$17,IF(LEFT($D183,5)="Areal", IF($G183="Ton",Landbrug!D$18,1),1)),1)*IF($F183="Grøntsager",IF($A183="Grøntsager i drivhus",Landbrug!D$51,1-Landbrug!D$51),1)</f>
        <v>9149.2922196303825</v>
      </c>
      <c r="J183" s="299">
        <f>IF($A183&lt;&gt;"",IF(VLOOKUP($A183,[1]!Table1[#All],2,FALSE)="Direkte input",IF($A183&lt;&gt;"Grøntsager i drivhus",SUMIFS('Direkte input'!I$3:I$230,'Direkte input'!$F$3:$F$230,$D183,'Direkte input'!$C$3:$C$230,$B183,'Direkte input'!$D$3:$D$230,$C183,'Direkte input'!$A$3:$A$230,$A$1),SUMIFS('Direkte input'!I$3:I$230,'Direkte input'!$F$3:$F$230,$D183,'Direkte input'!$C$3:$C$230,$B183,'Direkte input'!$A$3:$A$230,$A$1)),IF(VLOOKUP($A183,[1]!Table1[#All],2,FALSE)="Resultat",SUMIF($F$1:$F182,$D183,J$1:J182)+SUMIF($F184:$F$512,$D183,J184:J$512),0))*'[1]Processer - data'!J183,"")*IF($C183&lt;&gt;"",IF($F183="Halm",Landbrug!E$16*Landbrug!E$17,IF(LEFT($D183,5)="Areal", IF($G183="Ton",Landbrug!E$18,1),1)),1)*IF($F183="Grøntsager",IF($A183="Grøntsager i drivhus",Landbrug!E$51,1-Landbrug!E$51),1)</f>
        <v>8646.4101160167411</v>
      </c>
    </row>
    <row r="184" spans="1:10" x14ac:dyDescent="0.25">
      <c r="A184" t="str">
        <f>IF('[1]Processer - data'!A184&lt;&gt;"",'[1]Processer - data'!A184,"")</f>
        <v>Grøntsager i drivhus</v>
      </c>
      <c r="B184" t="str">
        <f>IF('[1]Processer - data'!B184&lt;&gt;"",'[1]Processer - data'!B184,"")</f>
        <v>Konventionel</v>
      </c>
      <c r="C184" t="str">
        <f>IF('[1]Processer - data'!C184&lt;&gt;"",'[1]Processer - data'!C184,"")</f>
        <v/>
      </c>
      <c r="D184" t="str">
        <f>IF('[1]Processer - data'!D184&lt;&gt;"",'[1]Processer - data'!D184,"")</f>
        <v>Areal-grøntsager</v>
      </c>
      <c r="E184" t="str">
        <f>IF('[1]Processer - data'!E184&lt;&gt;"",'[1]Processer - data'!E184,"")</f>
        <v>Hektar</v>
      </c>
      <c r="F184" t="str">
        <f>IF('[1]Processer - data'!F184&lt;&gt;"",'[1]Processer - data'!F184,"")</f>
        <v>Gødning</v>
      </c>
      <c r="G184" t="str">
        <f>IF('[1]Processer - data'!G184&lt;&gt;"",'[1]Processer - data'!G184,"")</f>
        <v>kg N</v>
      </c>
      <c r="H184" s="297">
        <f>IF($A184&lt;&gt;"",IF(VLOOKUP($A184,[1]!Table1[#All],2,FALSE)="Direkte input",IF($A184&lt;&gt;"Grøntsager i drivhus",SUMIFS('Direkte input'!G$3:G$230,'Direkte input'!$F$3:$F$230,$D184,'Direkte input'!$C$3:$C$230,$B184,'Direkte input'!$D$3:$D$230,$C184,'Direkte input'!$A$3:$A$230,$A$1),SUMIFS('Direkte input'!G$3:G$230,'Direkte input'!$F$3:$F$230,$D184,'Direkte input'!$C$3:$C$230,$B184,'Direkte input'!$A$3:$A$230,$A$1)),IF(VLOOKUP($A184,[1]!Table1[#All],2,FALSE)="Resultat",SUMIF($F$1:$F183,$D184,H$1:H183)+SUMIF($F185:$F$512,$D184,H185:H$512),0))*'[1]Processer - data'!H184,"")*IF($C184&lt;&gt;"",IF($F184="Halm",Landbrug!C$16*Landbrug!C$17,IF(LEFT($D184,5)="Areal", IF($G184="Ton",Landbrug!C$18,1),1)),1)*IF($F184="Grøntsager",IF($A184="Grøntsager i drivhus",Landbrug!C$51,1-Landbrug!C$51),1)</f>
        <v>-8069764.85953872</v>
      </c>
      <c r="I184" s="298">
        <f>IF($A184&lt;&gt;"",IF(VLOOKUP($A184,[1]!Table1[#All],2,FALSE)="Direkte input",IF($A184&lt;&gt;"Grøntsager i drivhus",SUMIFS('Direkte input'!H$3:H$230,'Direkte input'!$F$3:$F$230,$D184,'Direkte input'!$C$3:$C$230,$B184,'Direkte input'!$D$3:$D$230,$C184,'Direkte input'!$A$3:$A$230,$A$1),SUMIFS('Direkte input'!H$3:H$230,'Direkte input'!$F$3:$F$230,$D184,'Direkte input'!$C$3:$C$230,$B184,'Direkte input'!$A$3:$A$230,$A$1)),IF(VLOOKUP($A184,[1]!Table1[#All],2,FALSE)="Resultat",SUMIF($F$1:$F183,$D184,I$1:I183)+SUMIF($F185:$F$512,$D184,I185:I$512),0))*'[1]Processer - data'!I184,"")*IF($C184&lt;&gt;"",IF($F184="Halm",Landbrug!D$16*Landbrug!D$17,IF(LEFT($D184,5)="Areal", IF($G184="Ton",Landbrug!D$18,1),1)),1)*IF($F184="Grøntsager",IF($A184="Grøntsager i drivhus",Landbrug!D$51,1-Landbrug!D$51),1)</f>
        <v>-7828415.730014883</v>
      </c>
      <c r="J184" s="299">
        <f>IF($A184&lt;&gt;"",IF(VLOOKUP($A184,[1]!Table1[#All],2,FALSE)="Direkte input",IF($A184&lt;&gt;"Grøntsager i drivhus",SUMIFS('Direkte input'!I$3:I$230,'Direkte input'!$F$3:$F$230,$D184,'Direkte input'!$C$3:$C$230,$B184,'Direkte input'!$D$3:$D$230,$C184,'Direkte input'!$A$3:$A$230,$A$1),SUMIFS('Direkte input'!I$3:I$230,'Direkte input'!$F$3:$F$230,$D184,'Direkte input'!$C$3:$C$230,$B184,'Direkte input'!$A$3:$A$230,$A$1)),IF(VLOOKUP($A184,[1]!Table1[#All],2,FALSE)="Resultat",SUMIF($F$1:$F183,$D184,J$1:J183)+SUMIF($F185:$F$512,$D184,J185:J$512),0))*'[1]Processer - data'!J184,"")*IF($C184&lt;&gt;"",IF($F184="Halm",Landbrug!E$16*Landbrug!E$17,IF(LEFT($D184,5)="Areal", IF($G184="Ton",Landbrug!E$18,1),1)),1)*IF($F184="Grøntsager",IF($A184="Grøntsager i drivhus",Landbrug!E$51,1-Landbrug!E$51),1)</f>
        <v>-7398134.3403981645</v>
      </c>
    </row>
    <row r="185" spans="1:10" x14ac:dyDescent="0.25">
      <c r="A185" t="str">
        <f>IF('[1]Processer - data'!A185&lt;&gt;"",'[1]Processer - data'!A185,"")</f>
        <v>Grøntsager i drivhus</v>
      </c>
      <c r="B185" t="str">
        <f>IF('[1]Processer - data'!B185&lt;&gt;"",'[1]Processer - data'!B185,"")</f>
        <v>Konventionel</v>
      </c>
      <c r="C185" t="str">
        <f>IF('[1]Processer - data'!C185&lt;&gt;"",'[1]Processer - data'!C185,"")</f>
        <v/>
      </c>
      <c r="D185" t="str">
        <f>IF('[1]Processer - data'!D185&lt;&gt;"",'[1]Processer - data'!D185,"")</f>
        <v>Areal-grøntsager</v>
      </c>
      <c r="E185" t="str">
        <f>IF('[1]Processer - data'!E185&lt;&gt;"",'[1]Processer - data'!E185,"")</f>
        <v>Hektar</v>
      </c>
      <c r="F185" t="str">
        <f>IF('[1]Processer - data'!F185&lt;&gt;"",'[1]Processer - data'!F185,"")</f>
        <v>CO2 - atmosfære</v>
      </c>
      <c r="G185" t="str">
        <f>IF('[1]Processer - data'!G185&lt;&gt;"",'[1]Processer - data'!G185,"")</f>
        <v>t CO2-ækvivalenter</v>
      </c>
      <c r="H185" s="297">
        <f>IF($A185&lt;&gt;"",IF(VLOOKUP($A185,[1]!Table1[#All],2,FALSE)="Direkte input",IF($A185&lt;&gt;"Grøntsager i drivhus",SUMIFS('Direkte input'!G$3:G$230,'Direkte input'!$F$3:$F$230,$D185,'Direkte input'!$C$3:$C$230,$B185,'Direkte input'!$D$3:$D$230,$C185,'Direkte input'!$A$3:$A$230,$A$1),SUMIFS('Direkte input'!G$3:G$230,'Direkte input'!$F$3:$F$230,$D185,'Direkte input'!$C$3:$C$230,$B185,'Direkte input'!$A$3:$A$230,$A$1)),IF(VLOOKUP($A185,[1]!Table1[#All],2,FALSE)="Resultat",SUMIF($F$1:$F184,$D185,H$1:H184)+SUMIF($F186:$F$512,$D185,H186:H$512),0))*'[1]Processer - data'!H185,"")*IF($C185&lt;&gt;"",IF($F185="Halm",Landbrug!C$16*Landbrug!C$17,IF(LEFT($D185,5)="Areal", IF($G185="Ton",Landbrug!C$18,1),1)),1)*IF($F185="Grøntsager",IF($A185="Grøntsager i drivhus",Landbrug!C$51,1-Landbrug!C$51),1)</f>
        <v>1747.4456102919321</v>
      </c>
      <c r="I185" s="298">
        <f>IF($A185&lt;&gt;"",IF(VLOOKUP($A185,[1]!Table1[#All],2,FALSE)="Direkte input",IF($A185&lt;&gt;"Grøntsager i drivhus",SUMIFS('Direkte input'!H$3:H$230,'Direkte input'!$F$3:$F$230,$D185,'Direkte input'!$C$3:$C$230,$B185,'Direkte input'!$D$3:$D$230,$C185,'Direkte input'!$A$3:$A$230,$A$1),SUMIFS('Direkte input'!H$3:H$230,'Direkte input'!$F$3:$F$230,$D185,'Direkte input'!$C$3:$C$230,$B185,'Direkte input'!$A$3:$A$230,$A$1)),IF(VLOOKUP($A185,[1]!Table1[#All],2,FALSE)="Resultat",SUMIF($F$1:$F184,$D185,I$1:I184)+SUMIF($F186:$F$512,$D185,I186:I$512),0))*'[1]Processer - data'!I185,"")*IF($C185&lt;&gt;"",IF($F185="Halm",Landbrug!D$16*Landbrug!D$17,IF(LEFT($D185,5)="Areal", IF($G185="Ton",Landbrug!D$18,1),1)),1)*IF($F185="Grøntsager",IF($A185="Grøntsager i drivhus",Landbrug!D$51,1-Landbrug!D$51),1)</f>
        <v>1695.183309682802</v>
      </c>
      <c r="J185" s="299">
        <f>IF($A185&lt;&gt;"",IF(VLOOKUP($A185,[1]!Table1[#All],2,FALSE)="Direkte input",IF($A185&lt;&gt;"Grøntsager i drivhus",SUMIFS('Direkte input'!I$3:I$230,'Direkte input'!$F$3:$F$230,$D185,'Direkte input'!$C$3:$C$230,$B185,'Direkte input'!$D$3:$D$230,$C185,'Direkte input'!$A$3:$A$230,$A$1),SUMIFS('Direkte input'!I$3:I$230,'Direkte input'!$F$3:$F$230,$D185,'Direkte input'!$C$3:$C$230,$B185,'Direkte input'!$A$3:$A$230,$A$1)),IF(VLOOKUP($A185,[1]!Table1[#All],2,FALSE)="Resultat",SUMIF($F$1:$F184,$D185,J$1:J184)+SUMIF($F186:$F$512,$D185,J186:J$512),0))*'[1]Processer - data'!J185,"")*IF($C185&lt;&gt;"",IF($F185="Halm",Landbrug!E$16*Landbrug!E$17,IF(LEFT($D185,5)="Areal", IF($G185="Ton",Landbrug!E$18,1),1)),1)*IF($F185="Grøntsager",IF($A185="Grøntsager i drivhus",Landbrug!E$51,1-Landbrug!E$51),1)</f>
        <v>1602.0091790156257</v>
      </c>
    </row>
    <row r="186" spans="1:10" x14ac:dyDescent="0.25">
      <c r="A186" t="str">
        <f>IF('[1]Processer - data'!A186&lt;&gt;"",'[1]Processer - data'!A186,"")</f>
        <v>Grøntsager i drivhus</v>
      </c>
      <c r="B186" t="str">
        <f>IF('[1]Processer - data'!B186&lt;&gt;"",'[1]Processer - data'!B186,"")</f>
        <v>Økologisk</v>
      </c>
      <c r="C186" t="str">
        <f>IF('[1]Processer - data'!C186&lt;&gt;"",'[1]Processer - data'!C186,"")</f>
        <v/>
      </c>
      <c r="D186" t="str">
        <f>IF('[1]Processer - data'!D186&lt;&gt;"",'[1]Processer - data'!D186,"")</f>
        <v>Areal-grøntsager</v>
      </c>
      <c r="E186" t="str">
        <f>IF('[1]Processer - data'!E186&lt;&gt;"",'[1]Processer - data'!E186,"")</f>
        <v>Hektar</v>
      </c>
      <c r="F186" t="str">
        <f>IF('[1]Processer - data'!F186&lt;&gt;"",'[1]Processer - data'!F186,"")</f>
        <v>Grøntsager</v>
      </c>
      <c r="G186" t="str">
        <f>IF('[1]Processer - data'!G186&lt;&gt;"",'[1]Processer - data'!G186,"")</f>
        <v>Ton</v>
      </c>
      <c r="H186" s="297">
        <f>IF($A186&lt;&gt;"",IF(VLOOKUP($A186,[1]!Table1[#All],2,FALSE)="Direkte input",IF($A186&lt;&gt;"Grøntsager i drivhus",SUMIFS('Direkte input'!G$3:G$230,'Direkte input'!$F$3:$F$230,$D186,'Direkte input'!$C$3:$C$230,$B186,'Direkte input'!$D$3:$D$230,$C186,'Direkte input'!$A$3:$A$230,$A$1),SUMIFS('Direkte input'!G$3:G$230,'Direkte input'!$F$3:$F$230,$D186,'Direkte input'!$C$3:$C$230,$B186,'Direkte input'!$A$3:$A$230,$A$1)),IF(VLOOKUP($A186,[1]!Table1[#All],2,FALSE)="Resultat",SUMIF($F$1:$F185,$D186,H$1:H185)+SUMIF($F187:$F$512,$D186,H187:H$512),0))*'[1]Processer - data'!H186,"")*IF($C186&lt;&gt;"",IF($F186="Halm",Landbrug!C$16*Landbrug!C$17,IF(LEFT($D186,5)="Areal", IF($G186="Ton",Landbrug!C$18,1),1)),1)*IF($F186="Grøntsager",IF($A186="Grøntsager i drivhus",Landbrug!C$51,1-Landbrug!C$51),1)</f>
        <v>687.36782170260506</v>
      </c>
      <c r="I186" s="298">
        <f>IF($A186&lt;&gt;"",IF(VLOOKUP($A186,[1]!Table1[#All],2,FALSE)="Direkte input",IF($A186&lt;&gt;"Grøntsager i drivhus",SUMIFS('Direkte input'!H$3:H$230,'Direkte input'!$F$3:$F$230,$D186,'Direkte input'!$C$3:$C$230,$B186,'Direkte input'!$D$3:$D$230,$C186,'Direkte input'!$A$3:$A$230,$A$1),SUMIFS('Direkte input'!H$3:H$230,'Direkte input'!$F$3:$F$230,$D186,'Direkte input'!$C$3:$C$230,$B186,'Direkte input'!$A$3:$A$230,$A$1)),IF(VLOOKUP($A186,[1]!Table1[#All],2,FALSE)="Resultat",SUMIF($F$1:$F185,$D186,I$1:I185)+SUMIF($F187:$F$512,$D186,I187:I$512),0))*'[1]Processer - data'!I186,"")*IF($C186&lt;&gt;"",IF($F186="Halm",Landbrug!D$16*Landbrug!D$17,IF(LEFT($D186,5)="Areal", IF($G186="Ton",Landbrug!D$18,1),1)),1)*IF($F186="Grøntsager",IF($A186="Grøntsager i drivhus",Landbrug!D$51,1-Landbrug!D$51),1)</f>
        <v>813.91680497174309</v>
      </c>
      <c r="J186" s="299">
        <f>IF($A186&lt;&gt;"",IF(VLOOKUP($A186,[1]!Table1[#All],2,FALSE)="Direkte input",IF($A186&lt;&gt;"Grøntsager i drivhus",SUMIFS('Direkte input'!I$3:I$230,'Direkte input'!$F$3:$F$230,$D186,'Direkte input'!$C$3:$C$230,$B186,'Direkte input'!$D$3:$D$230,$C186,'Direkte input'!$A$3:$A$230,$A$1),SUMIFS('Direkte input'!I$3:I$230,'Direkte input'!$F$3:$F$230,$D186,'Direkte input'!$C$3:$C$230,$B186,'Direkte input'!$A$3:$A$230,$A$1)),IF(VLOOKUP($A186,[1]!Table1[#All],2,FALSE)="Resultat",SUMIF($F$1:$F185,$D186,J$1:J185)+SUMIF($F187:$F$512,$D186,J187:J$512),0))*'[1]Processer - data'!J186,"")*IF($C186&lt;&gt;"",IF($F186="Halm",Landbrug!E$16*Landbrug!E$17,IF(LEFT($D186,5)="Areal", IF($G186="Ton",Landbrug!E$18,1),1)),1)*IF($F186="Grøntsager",IF($A186="Grøntsager i drivhus",Landbrug!E$51,1-Landbrug!E$51),1)</f>
        <v>1045.4295867547512</v>
      </c>
    </row>
    <row r="187" spans="1:10" x14ac:dyDescent="0.25">
      <c r="A187" t="str">
        <f>IF('[1]Processer - data'!A187&lt;&gt;"",'[1]Processer - data'!A187,"")</f>
        <v>Grøntsager i drivhus</v>
      </c>
      <c r="B187" t="str">
        <f>IF('[1]Processer - data'!B187&lt;&gt;"",'[1]Processer - data'!B187,"")</f>
        <v>Økologisk</v>
      </c>
      <c r="C187" t="str">
        <f>IF('[1]Processer - data'!C187&lt;&gt;"",'[1]Processer - data'!C187,"")</f>
        <v/>
      </c>
      <c r="D187" t="str">
        <f>IF('[1]Processer - data'!D187&lt;&gt;"",'[1]Processer - data'!D187,"")</f>
        <v>Areal-grøntsager</v>
      </c>
      <c r="E187" t="str">
        <f>IF('[1]Processer - data'!E187&lt;&gt;"",'[1]Processer - data'!E187,"")</f>
        <v>Hektar</v>
      </c>
      <c r="F187" t="str">
        <f>IF('[1]Processer - data'!F187&lt;&gt;"",'[1]Processer - data'!F187,"")</f>
        <v>Gødning</v>
      </c>
      <c r="G187" t="str">
        <f>IF('[1]Processer - data'!G187&lt;&gt;"",'[1]Processer - data'!G187,"")</f>
        <v>kg N</v>
      </c>
      <c r="H187" s="297">
        <f>IF($A187&lt;&gt;"",IF(VLOOKUP($A187,[1]!Table1[#All],2,FALSE)="Direkte input",IF($A187&lt;&gt;"Grøntsager i drivhus",SUMIFS('Direkte input'!G$3:G$230,'Direkte input'!$F$3:$F$230,$D187,'Direkte input'!$C$3:$C$230,$B187,'Direkte input'!$D$3:$D$230,$C187,'Direkte input'!$A$3:$A$230,$A$1),SUMIFS('Direkte input'!G$3:G$230,'Direkte input'!$F$3:$F$230,$D187,'Direkte input'!$C$3:$C$230,$B187,'Direkte input'!$A$3:$A$230,$A$1)),IF(VLOOKUP($A187,[1]!Table1[#All],2,FALSE)="Resultat",SUMIF($F$1:$F186,$D187,H$1:H186)+SUMIF($F188:$F$512,$D187,H188:H$512),0))*'[1]Processer - data'!H187,"")*IF($C187&lt;&gt;"",IF($F187="Halm",Landbrug!C$16*Landbrug!C$17,IF(LEFT($D187,5)="Areal", IF($G187="Ton",Landbrug!C$18,1),1)),1)*IF($F187="Grøntsager",IF($A187="Grøntsager i drivhus",Landbrug!C$51,1-Landbrug!C$51),1)</f>
        <v>-588133.04226718913</v>
      </c>
      <c r="I187" s="298">
        <f>IF($A187&lt;&gt;"",IF(VLOOKUP($A187,[1]!Table1[#All],2,FALSE)="Direkte input",IF($A187&lt;&gt;"Grøntsager i drivhus",SUMIFS('Direkte input'!H$3:H$230,'Direkte input'!$F$3:$F$230,$D187,'Direkte input'!$C$3:$C$230,$B187,'Direkte input'!$D$3:$D$230,$C187,'Direkte input'!$A$3:$A$230,$A$1),SUMIFS('Direkte input'!H$3:H$230,'Direkte input'!$F$3:$F$230,$D187,'Direkte input'!$C$3:$C$230,$B187,'Direkte input'!$A$3:$A$230,$A$1)),IF(VLOOKUP($A187,[1]!Table1[#All],2,FALSE)="Resultat",SUMIF($F$1:$F186,$D187,I$1:I186)+SUMIF($F188:$F$512,$D187,I188:I$512),0))*'[1]Processer - data'!I187,"")*IF($C187&lt;&gt;"",IF($F187="Halm",Landbrug!D$16*Landbrug!D$17,IF(LEFT($D187,5)="Areal", IF($G187="Ton",Landbrug!D$18,1),1)),1)*IF($F187="Grøntsager",IF($A187="Grøntsager i drivhus",Landbrug!D$51,1-Landbrug!D$51),1)</f>
        <v>-696412.24326548586</v>
      </c>
      <c r="J187" s="299">
        <f>IF($A187&lt;&gt;"",IF(VLOOKUP($A187,[1]!Table1[#All],2,FALSE)="Direkte input",IF($A187&lt;&gt;"Grøntsager i drivhus",SUMIFS('Direkte input'!I$3:I$230,'Direkte input'!$F$3:$F$230,$D187,'Direkte input'!$C$3:$C$230,$B187,'Direkte input'!$D$3:$D$230,$C187,'Direkte input'!$A$3:$A$230,$A$1),SUMIFS('Direkte input'!I$3:I$230,'Direkte input'!$F$3:$F$230,$D187,'Direkte input'!$C$3:$C$230,$B187,'Direkte input'!$A$3:$A$230,$A$1)),IF(VLOOKUP($A187,[1]!Table1[#All],2,FALSE)="Resultat",SUMIF($F$1:$F186,$D187,J$1:J186)+SUMIF($F188:$F$512,$D187,J188:J$512),0))*'[1]Processer - data'!J187,"")*IF($C187&lt;&gt;"",IF($F187="Halm",Landbrug!E$16*Landbrug!E$17,IF(LEFT($D187,5)="Areal", IF($G187="Ton",Landbrug!E$18,1),1)),1)*IF($F187="Grøntsager",IF($A187="Grøntsager i drivhus",Landbrug!E$51,1-Landbrug!E$51),1)</f>
        <v>-894501.69752086885</v>
      </c>
    </row>
    <row r="188" spans="1:10" x14ac:dyDescent="0.25">
      <c r="A188" t="str">
        <f>IF('[1]Processer - data'!A188&lt;&gt;"",'[1]Processer - data'!A188,"")</f>
        <v>Grøntsager i drivhus</v>
      </c>
      <c r="B188" t="str">
        <f>IF('[1]Processer - data'!B188&lt;&gt;"",'[1]Processer - data'!B188,"")</f>
        <v>Økologisk</v>
      </c>
      <c r="C188" t="str">
        <f>IF('[1]Processer - data'!C188&lt;&gt;"",'[1]Processer - data'!C188,"")</f>
        <v/>
      </c>
      <c r="D188" t="str">
        <f>IF('[1]Processer - data'!D188&lt;&gt;"",'[1]Processer - data'!D188,"")</f>
        <v>Areal-grøntsager</v>
      </c>
      <c r="E188" t="str">
        <f>IF('[1]Processer - data'!E188&lt;&gt;"",'[1]Processer - data'!E188,"")</f>
        <v>Hektar</v>
      </c>
      <c r="F188" t="str">
        <f>IF('[1]Processer - data'!F188&lt;&gt;"",'[1]Processer - data'!F188,"")</f>
        <v>CO2 - atmosfære</v>
      </c>
      <c r="G188" t="str">
        <f>IF('[1]Processer - data'!G188&lt;&gt;"",'[1]Processer - data'!G188,"")</f>
        <v>t CO2-ækvivalenter</v>
      </c>
      <c r="H188" s="297">
        <f>IF($A188&lt;&gt;"",IF(VLOOKUP($A188,[1]!Table1[#All],2,FALSE)="Direkte input",IF($A188&lt;&gt;"Grøntsager i drivhus",SUMIFS('Direkte input'!G$3:G$230,'Direkte input'!$F$3:$F$230,$D188,'Direkte input'!$C$3:$C$230,$B188,'Direkte input'!$D$3:$D$230,$C188,'Direkte input'!$A$3:$A$230,$A$1),SUMIFS('Direkte input'!G$3:G$230,'Direkte input'!$F$3:$F$230,$D188,'Direkte input'!$C$3:$C$230,$B188,'Direkte input'!$A$3:$A$230,$A$1)),IF(VLOOKUP($A188,[1]!Table1[#All],2,FALSE)="Resultat",SUMIF($F$1:$F187,$D188,H$1:H187)+SUMIF($F189:$F$512,$D188,H189:H$512),0))*'[1]Processer - data'!H188,"")*IF($C188&lt;&gt;"",IF($F188="Halm",Landbrug!C$16*Landbrug!C$17,IF(LEFT($D188,5)="Areal", IF($G188="Ton",Landbrug!C$18,1),1)),1)*IF($F188="Grøntsager",IF($A188="Grøntsager i drivhus",Landbrug!C$51,1-Landbrug!C$51),1)</f>
        <v>223.43104186048393</v>
      </c>
      <c r="I188" s="298">
        <f>IF($A188&lt;&gt;"",IF(VLOOKUP($A188,[1]!Table1[#All],2,FALSE)="Direkte input",IF($A188&lt;&gt;"Grøntsager i drivhus",SUMIFS('Direkte input'!H$3:H$230,'Direkte input'!$F$3:$F$230,$D188,'Direkte input'!$C$3:$C$230,$B188,'Direkte input'!$D$3:$D$230,$C188,'Direkte input'!$A$3:$A$230,$A$1),SUMIFS('Direkte input'!H$3:H$230,'Direkte input'!$F$3:$F$230,$D188,'Direkte input'!$C$3:$C$230,$B188,'Direkte input'!$A$3:$A$230,$A$1)),IF(VLOOKUP($A188,[1]!Table1[#All],2,FALSE)="Resultat",SUMIF($F$1:$F187,$D188,I$1:I187)+SUMIF($F189:$F$512,$D188,I189:I$512),0))*'[1]Processer - data'!I188,"")*IF($C188&lt;&gt;"",IF($F188="Halm",Landbrug!D$16*Landbrug!D$17,IF(LEFT($D188,5)="Areal", IF($G188="Ton",Landbrug!D$18,1),1)),1)*IF($F188="Grøntsager",IF($A188="Grøntsager i drivhus",Landbrug!D$51,1-Landbrug!D$51),1)</f>
        <v>264.5661812799749</v>
      </c>
      <c r="J188" s="299">
        <f>IF($A188&lt;&gt;"",IF(VLOOKUP($A188,[1]!Table1[#All],2,FALSE)="Direkte input",IF($A188&lt;&gt;"Grøntsager i drivhus",SUMIFS('Direkte input'!I$3:I$230,'Direkte input'!$F$3:$F$230,$D188,'Direkte input'!$C$3:$C$230,$B188,'Direkte input'!$D$3:$D$230,$C188,'Direkte input'!$A$3:$A$230,$A$1),SUMIFS('Direkte input'!I$3:I$230,'Direkte input'!$F$3:$F$230,$D188,'Direkte input'!$C$3:$C$230,$B188,'Direkte input'!$A$3:$A$230,$A$1)),IF(VLOOKUP($A188,[1]!Table1[#All],2,FALSE)="Resultat",SUMIF($F$1:$F187,$D188,J$1:J187)+SUMIF($F189:$F$512,$D188,J189:J$512),0))*'[1]Processer - data'!J188,"")*IF($C188&lt;&gt;"",IF($F188="Halm",Landbrug!E$16*Landbrug!E$17,IF(LEFT($D188,5)="Areal", IF($G188="Ton",Landbrug!E$18,1),1)),1)*IF($F188="Grøntsager",IF($A188="Grøntsager i drivhus",Landbrug!E$51,1-Landbrug!E$51),1)</f>
        <v>339.82012888210238</v>
      </c>
    </row>
    <row r="189" spans="1:10" x14ac:dyDescent="0.25">
      <c r="A189" t="str">
        <f>IF('[1]Processer - data'!A189&lt;&gt;"",'[1]Processer - data'!A189,"")</f>
        <v>Kartoffelmark</v>
      </c>
      <c r="B189" t="str">
        <f>IF('[1]Processer - data'!B189&lt;&gt;"",'[1]Processer - data'!B189,"")</f>
        <v>Konventionel</v>
      </c>
      <c r="C189" t="str">
        <f>IF('[1]Processer - data'!C189&lt;&gt;"",'[1]Processer - data'!C189,"")</f>
        <v>JB1-10</v>
      </c>
      <c r="D189" t="str">
        <f>IF('[1]Processer - data'!D189&lt;&gt;"",'[1]Processer - data'!D189,"")</f>
        <v>Areal-kartofler</v>
      </c>
      <c r="E189" t="str">
        <f>IF('[1]Processer - data'!E189&lt;&gt;"",'[1]Processer - data'!E189,"")</f>
        <v>Hektar</v>
      </c>
      <c r="F189" t="str">
        <f>IF('[1]Processer - data'!F189&lt;&gt;"",'[1]Processer - data'!F189,"")</f>
        <v>Kartofler</v>
      </c>
      <c r="G189" t="str">
        <f>IF('[1]Processer - data'!G189&lt;&gt;"",'[1]Processer - data'!G189,"")</f>
        <v>Ton</v>
      </c>
      <c r="H189" s="297">
        <f>IF($A189&lt;&gt;"",IF(VLOOKUP($A189,[1]!Table1[#All],2,FALSE)="Direkte input",IF($A189&lt;&gt;"Grøntsager i drivhus",SUMIFS('Direkte input'!G$3:G$230,'Direkte input'!$F$3:$F$230,$D189,'Direkte input'!$C$3:$C$230,$B189,'Direkte input'!$D$3:$D$230,$C189,'Direkte input'!$A$3:$A$230,$A$1),SUMIFS('Direkte input'!G$3:G$230,'Direkte input'!$F$3:$F$230,$D189,'Direkte input'!$C$3:$C$230,$B189,'Direkte input'!$A$3:$A$230,$A$1)),IF(VLOOKUP($A189,[1]!Table1[#All],2,FALSE)="Resultat",SUMIF($F$1:$F188,$D189,H$1:H188)+SUMIF($F190:$F$512,$D189,H190:H$512),0))*'[1]Processer - data'!H189,"")*IF($C189&lt;&gt;"",IF($F189="Halm",Landbrug!C$16*Landbrug!C$17,IF(LEFT($D189,5)="Areal", IF($G189="Ton",Landbrug!C$18,1),1)),1)*IF($F189="Grøntsager",IF($A189="Grøntsager i drivhus",Landbrug!C$51,1-Landbrug!C$51),1)</f>
        <v>103749.20750938302</v>
      </c>
      <c r="I189" s="298">
        <f>IF($A189&lt;&gt;"",IF(VLOOKUP($A189,[1]!Table1[#All],2,FALSE)="Direkte input",IF($A189&lt;&gt;"Grøntsager i drivhus",SUMIFS('Direkte input'!H$3:H$230,'Direkte input'!$F$3:$F$230,$D189,'Direkte input'!$C$3:$C$230,$B189,'Direkte input'!$D$3:$D$230,$C189,'Direkte input'!$A$3:$A$230,$A$1),SUMIFS('Direkte input'!H$3:H$230,'Direkte input'!$F$3:$F$230,$D189,'Direkte input'!$C$3:$C$230,$B189,'Direkte input'!$A$3:$A$230,$A$1)),IF(VLOOKUP($A189,[1]!Table1[#All],2,FALSE)="Resultat",SUMIF($F$1:$F188,$D189,I$1:I188)+SUMIF($F190:$F$512,$D189,I190:I$512),0))*'[1]Processer - data'!I189,"")*IF($C189&lt;&gt;"",IF($F189="Halm",Landbrug!D$16*Landbrug!D$17,IF(LEFT($D189,5)="Areal", IF($G189="Ton",Landbrug!D$18,1),1)),1)*IF($F189="Grøntsager",IF($A189="Grøntsager i drivhus",Landbrug!D$51,1-Landbrug!D$51),1)</f>
        <v>107957.85137727187</v>
      </c>
      <c r="J189" s="299">
        <f>IF($A189&lt;&gt;"",IF(VLOOKUP($A189,[1]!Table1[#All],2,FALSE)="Direkte input",IF($A189&lt;&gt;"Grøntsager i drivhus",SUMIFS('Direkte input'!I$3:I$230,'Direkte input'!$F$3:$F$230,$D189,'Direkte input'!$C$3:$C$230,$B189,'Direkte input'!$D$3:$D$230,$C189,'Direkte input'!$A$3:$A$230,$A$1),SUMIFS('Direkte input'!I$3:I$230,'Direkte input'!$F$3:$F$230,$D189,'Direkte input'!$C$3:$C$230,$B189,'Direkte input'!$A$3:$A$230,$A$1)),IF(VLOOKUP($A189,[1]!Table1[#All],2,FALSE)="Resultat",SUMIF($F$1:$F188,$D189,J$1:J188)+SUMIF($F190:$F$512,$D189,J190:J$512),0))*'[1]Processer - data'!J189,"")*IF($C189&lt;&gt;"",IF($F189="Halm",Landbrug!E$16*Landbrug!E$17,IF(LEFT($D189,5)="Areal", IF($G189="Ton",Landbrug!E$18,1),1)),1)*IF($F189="Grøntsager",IF($A189="Grøntsager i drivhus",Landbrug!E$51,1-Landbrug!E$51),1)</f>
        <v>109438.83657003562</v>
      </c>
    </row>
    <row r="190" spans="1:10" x14ac:dyDescent="0.25">
      <c r="A190" t="str">
        <f>IF('[1]Processer - data'!A190&lt;&gt;"",'[1]Processer - data'!A190,"")</f>
        <v>Kartoffelmark</v>
      </c>
      <c r="B190" t="str">
        <f>IF('[1]Processer - data'!B190&lt;&gt;"",'[1]Processer - data'!B190,"")</f>
        <v>Konventionel</v>
      </c>
      <c r="C190" t="str">
        <f>IF('[1]Processer - data'!C190&lt;&gt;"",'[1]Processer - data'!C190,"")</f>
        <v>JB1-10</v>
      </c>
      <c r="D190" t="str">
        <f>IF('[1]Processer - data'!D190&lt;&gt;"",'[1]Processer - data'!D190,"")</f>
        <v>Areal-kartofler</v>
      </c>
      <c r="E190" t="str">
        <f>IF('[1]Processer - data'!E190&lt;&gt;"",'[1]Processer - data'!E190,"")</f>
        <v>Hektar</v>
      </c>
      <c r="F190" t="str">
        <f>IF('[1]Processer - data'!F190&lt;&gt;"",'[1]Processer - data'!F190,"")</f>
        <v>Gødning</v>
      </c>
      <c r="G190" t="str">
        <f>IF('[1]Processer - data'!G190&lt;&gt;"",'[1]Processer - data'!G190,"")</f>
        <v>kg N</v>
      </c>
      <c r="H190" s="297">
        <f>IF($A190&lt;&gt;"",IF(VLOOKUP($A190,[1]!Table1[#All],2,FALSE)="Direkte input",IF($A190&lt;&gt;"Grøntsager i drivhus",SUMIFS('Direkte input'!G$3:G$230,'Direkte input'!$F$3:$F$230,$D190,'Direkte input'!$C$3:$C$230,$B190,'Direkte input'!$D$3:$D$230,$C190,'Direkte input'!$A$3:$A$230,$A$1),SUMIFS('Direkte input'!G$3:G$230,'Direkte input'!$F$3:$F$230,$D190,'Direkte input'!$C$3:$C$230,$B190,'Direkte input'!$A$3:$A$230,$A$1)),IF(VLOOKUP($A190,[1]!Table1[#All],2,FALSE)="Resultat",SUMIF($F$1:$F189,$D190,H$1:H189)+SUMIF($F191:$F$512,$D190,H191:H$512),0))*'[1]Processer - data'!H190,"")*IF($C190&lt;&gt;"",IF($F190="Halm",Landbrug!C$16*Landbrug!C$17,IF(LEFT($D190,5)="Areal", IF($G190="Ton",Landbrug!C$18,1),1)),1)*IF($F190="Grøntsager",IF($A190="Grøntsager i drivhus",Landbrug!C$51,1-Landbrug!C$51),1)</f>
        <v>-366424.57118363137</v>
      </c>
      <c r="I190" s="298">
        <f>IF($A190&lt;&gt;"",IF(VLOOKUP($A190,[1]!Table1[#All],2,FALSE)="Direkte input",IF($A190&lt;&gt;"Grøntsager i drivhus",SUMIFS('Direkte input'!H$3:H$230,'Direkte input'!$F$3:$F$230,$D190,'Direkte input'!$C$3:$C$230,$B190,'Direkte input'!$D$3:$D$230,$C190,'Direkte input'!$A$3:$A$230,$A$1),SUMIFS('Direkte input'!H$3:H$230,'Direkte input'!$F$3:$F$230,$D190,'Direkte input'!$C$3:$C$230,$B190,'Direkte input'!$A$3:$A$230,$A$1)),IF(VLOOKUP($A190,[1]!Table1[#All],2,FALSE)="Resultat",SUMIF($F$1:$F189,$D190,I$1:I189)+SUMIF($F191:$F$512,$D190,I191:I$512),0))*'[1]Processer - data'!I190,"")*IF($C190&lt;&gt;"",IF($F190="Halm",Landbrug!D$16*Landbrug!D$17,IF(LEFT($D190,5)="Areal", IF($G190="Ton",Landbrug!D$18,1),1)),1)*IF($F190="Grøntsager",IF($A190="Grøntsager i drivhus",Landbrug!D$51,1-Landbrug!D$51),1)</f>
        <v>-355679.83784039243</v>
      </c>
      <c r="J190" s="299">
        <f>IF($A190&lt;&gt;"",IF(VLOOKUP($A190,[1]!Table1[#All],2,FALSE)="Direkte input",IF($A190&lt;&gt;"Grøntsager i drivhus",SUMIFS('Direkte input'!I$3:I$230,'Direkte input'!$F$3:$F$230,$D190,'Direkte input'!$C$3:$C$230,$B190,'Direkte input'!$D$3:$D$230,$C190,'Direkte input'!$A$3:$A$230,$A$1),SUMIFS('Direkte input'!I$3:I$230,'Direkte input'!$F$3:$F$230,$D190,'Direkte input'!$C$3:$C$230,$B190,'Direkte input'!$A$3:$A$230,$A$1)),IF(VLOOKUP($A190,[1]!Table1[#All],2,FALSE)="Resultat",SUMIF($F$1:$F189,$D190,J$1:J189)+SUMIF($F191:$F$512,$D190,J191:J$512),0))*'[1]Processer - data'!J190,"")*IF($C190&lt;&gt;"",IF($F190="Halm",Landbrug!E$16*Landbrug!E$17,IF(LEFT($D190,5)="Areal", IF($G190="Ton",Landbrug!E$18,1),1)),1)*IF($F190="Grøntsager",IF($A190="Grøntsager i drivhus",Landbrug!E$51,1-Landbrug!E$51),1)</f>
        <v>-336103.80365836067</v>
      </c>
    </row>
    <row r="191" spans="1:10" x14ac:dyDescent="0.25">
      <c r="A191" t="str">
        <f>IF('[1]Processer - data'!A191&lt;&gt;"",'[1]Processer - data'!A191,"")</f>
        <v>Kartoffelmark</v>
      </c>
      <c r="B191" t="str">
        <f>IF('[1]Processer - data'!B191&lt;&gt;"",'[1]Processer - data'!B191,"")</f>
        <v>Konventionel</v>
      </c>
      <c r="C191" t="str">
        <f>IF('[1]Processer - data'!C191&lt;&gt;"",'[1]Processer - data'!C191,"")</f>
        <v>JB1-10</v>
      </c>
      <c r="D191" t="str">
        <f>IF('[1]Processer - data'!D191&lt;&gt;"",'[1]Processer - data'!D191,"")</f>
        <v>Areal-kartofler</v>
      </c>
      <c r="E191" t="str">
        <f>IF('[1]Processer - data'!E191&lt;&gt;"",'[1]Processer - data'!E191,"")</f>
        <v>Hektar</v>
      </c>
      <c r="F191" t="str">
        <f>IF('[1]Processer - data'!F191&lt;&gt;"",'[1]Processer - data'!F191,"")</f>
        <v>CO2 - atmosfære</v>
      </c>
      <c r="G191" t="str">
        <f>IF('[1]Processer - data'!G191&lt;&gt;"",'[1]Processer - data'!G191,"")</f>
        <v>t CO2-ækvivalenter</v>
      </c>
      <c r="H191" s="297">
        <f>IF($A191&lt;&gt;"",IF(VLOOKUP($A191,[1]!Table1[#All],2,FALSE)="Direkte input",IF($A191&lt;&gt;"Grøntsager i drivhus",SUMIFS('Direkte input'!G$3:G$230,'Direkte input'!$F$3:$F$230,$D191,'Direkte input'!$C$3:$C$230,$B191,'Direkte input'!$D$3:$D$230,$C191,'Direkte input'!$A$3:$A$230,$A$1),SUMIFS('Direkte input'!G$3:G$230,'Direkte input'!$F$3:$F$230,$D191,'Direkte input'!$C$3:$C$230,$B191,'Direkte input'!$A$3:$A$230,$A$1)),IF(VLOOKUP($A191,[1]!Table1[#All],2,FALSE)="Resultat",SUMIF($F$1:$F190,$D191,H$1:H190)+SUMIF($F192:$F$512,$D191,H192:H$512),0))*'[1]Processer - data'!H191,"")*IF($C191&lt;&gt;"",IF($F191="Halm",Landbrug!C$16*Landbrug!C$17,IF(LEFT($D191,5)="Areal", IF($G191="Ton",Landbrug!C$18,1),1)),1)*IF($F191="Grøntsager",IF($A191="Grøntsager i drivhus",Landbrug!C$51,1-Landbrug!C$51),1)</f>
        <v>5554.2498907233194</v>
      </c>
      <c r="I191" s="298">
        <f>IF($A191&lt;&gt;"",IF(VLOOKUP($A191,[1]!Table1[#All],2,FALSE)="Direkte input",IF($A191&lt;&gt;"Grøntsager i drivhus",SUMIFS('Direkte input'!H$3:H$230,'Direkte input'!$F$3:$F$230,$D191,'Direkte input'!$C$3:$C$230,$B191,'Direkte input'!$D$3:$D$230,$C191,'Direkte input'!$A$3:$A$230,$A$1),SUMIFS('Direkte input'!H$3:H$230,'Direkte input'!$F$3:$F$230,$D191,'Direkte input'!$C$3:$C$230,$B191,'Direkte input'!$A$3:$A$230,$A$1)),IF(VLOOKUP($A191,[1]!Table1[#All],2,FALSE)="Resultat",SUMIF($F$1:$F190,$D191,I$1:I190)+SUMIF($F192:$F$512,$D191,I192:I$512),0))*'[1]Processer - data'!I191,"")*IF($C191&lt;&gt;"",IF($F191="Halm",Landbrug!D$16*Landbrug!D$17,IF(LEFT($D191,5)="Areal", IF($G191="Ton",Landbrug!D$18,1),1)),1)*IF($F191="Grøntsager",IF($A191="Grøntsager i drivhus",Landbrug!D$51,1-Landbrug!D$51),1)</f>
        <v>5391.3816261722823</v>
      </c>
      <c r="J191" s="299">
        <f>IF($A191&lt;&gt;"",IF(VLOOKUP($A191,[1]!Table1[#All],2,FALSE)="Direkte input",IF($A191&lt;&gt;"Grøntsager i drivhus",SUMIFS('Direkte input'!I$3:I$230,'Direkte input'!$F$3:$F$230,$D191,'Direkte input'!$C$3:$C$230,$B191,'Direkte input'!$D$3:$D$230,$C191,'Direkte input'!$A$3:$A$230,$A$1),SUMIFS('Direkte input'!I$3:I$230,'Direkte input'!$F$3:$F$230,$D191,'Direkte input'!$C$3:$C$230,$B191,'Direkte input'!$A$3:$A$230,$A$1)),IF(VLOOKUP($A191,[1]!Table1[#All],2,FALSE)="Resultat",SUMIF($F$1:$F190,$D191,J$1:J190)+SUMIF($F192:$F$512,$D191,J192:J$512),0))*'[1]Processer - data'!J191,"")*IF($C191&lt;&gt;"",IF($F191="Halm",Landbrug!E$16*Landbrug!E$17,IF(LEFT($D191,5)="Areal", IF($G191="Ton",Landbrug!E$18,1),1)),1)*IF($F191="Grøntsager",IF($A191="Grøntsager i drivhus",Landbrug!E$51,1-Landbrug!E$51),1)</f>
        <v>5094.6488351230255</v>
      </c>
    </row>
    <row r="192" spans="1:10" x14ac:dyDescent="0.25">
      <c r="A192" t="str">
        <f>IF('[1]Processer - data'!A192&lt;&gt;"",'[1]Processer - data'!A192,"")</f>
        <v>Kartoffelmark</v>
      </c>
      <c r="B192" t="str">
        <f>IF('[1]Processer - data'!B192&lt;&gt;"",'[1]Processer - data'!B192,"")</f>
        <v>Konventionel</v>
      </c>
      <c r="C192" t="str">
        <f>IF('[1]Processer - data'!C192&lt;&gt;"",'[1]Processer - data'!C192,"")</f>
        <v>OC6</v>
      </c>
      <c r="D192" t="str">
        <f>IF('[1]Processer - data'!D192&lt;&gt;"",'[1]Processer - data'!D192,"")</f>
        <v>Areal-kartofler</v>
      </c>
      <c r="E192" t="str">
        <f>IF('[1]Processer - data'!E192&lt;&gt;"",'[1]Processer - data'!E192,"")</f>
        <v>Hektar</v>
      </c>
      <c r="F192" t="str">
        <f>IF('[1]Processer - data'!F192&lt;&gt;"",'[1]Processer - data'!F192,"")</f>
        <v>Kartofler</v>
      </c>
      <c r="G192" t="str">
        <f>IF('[1]Processer - data'!G192&lt;&gt;"",'[1]Processer - data'!G192,"")</f>
        <v>Ton</v>
      </c>
      <c r="H192" s="297">
        <f>IF($A192&lt;&gt;"",IF(VLOOKUP($A192,[1]!Table1[#All],2,FALSE)="Direkte input",IF($A192&lt;&gt;"Grøntsager i drivhus",SUMIFS('Direkte input'!G$3:G$230,'Direkte input'!$F$3:$F$230,$D192,'Direkte input'!$C$3:$C$230,$B192,'Direkte input'!$D$3:$D$230,$C192,'Direkte input'!$A$3:$A$230,$A$1),SUMIFS('Direkte input'!G$3:G$230,'Direkte input'!$F$3:$F$230,$D192,'Direkte input'!$C$3:$C$230,$B192,'Direkte input'!$A$3:$A$230,$A$1)),IF(VLOOKUP($A192,[1]!Table1[#All],2,FALSE)="Resultat",SUMIF($F$1:$F191,$D192,H$1:H191)+SUMIF($F193:$F$512,$D192,H193:H$512),0))*'[1]Processer - data'!H192,"")*IF($C192&lt;&gt;"",IF($F192="Halm",Landbrug!C$16*Landbrug!C$17,IF(LEFT($D192,5)="Areal", IF($G192="Ton",Landbrug!C$18,1),1)),1)*IF($F192="Grøntsager",IF($A192="Grøntsager i drivhus",Landbrug!C$51,1-Landbrug!C$51),1)</f>
        <v>2372.4230093092297</v>
      </c>
      <c r="I192" s="298">
        <f>IF($A192&lt;&gt;"",IF(VLOOKUP($A192,[1]!Table1[#All],2,FALSE)="Direkte input",IF($A192&lt;&gt;"Grøntsager i drivhus",SUMIFS('Direkte input'!H$3:H$230,'Direkte input'!$F$3:$F$230,$D192,'Direkte input'!$C$3:$C$230,$B192,'Direkte input'!$D$3:$D$230,$C192,'Direkte input'!$A$3:$A$230,$A$1),SUMIFS('Direkte input'!H$3:H$230,'Direkte input'!$F$3:$F$230,$D192,'Direkte input'!$C$3:$C$230,$B192,'Direkte input'!$A$3:$A$230,$A$1)),IF(VLOOKUP($A192,[1]!Table1[#All],2,FALSE)="Resultat",SUMIF($F$1:$F191,$D192,I$1:I191)+SUMIF($F193:$F$512,$D192,I193:I$512),0))*'[1]Processer - data'!I192,"")*IF($C192&lt;&gt;"",IF($F192="Halm",Landbrug!D$16*Landbrug!D$17,IF(LEFT($D192,5)="Areal", IF($G192="Ton",Landbrug!D$18,1),1)),1)*IF($F192="Grøntsager",IF($A192="Grøntsager i drivhus",Landbrug!D$51,1-Landbrug!D$51),1)</f>
        <v>2300.4263065885743</v>
      </c>
      <c r="J192" s="299">
        <f>IF($A192&lt;&gt;"",IF(VLOOKUP($A192,[1]!Table1[#All],2,FALSE)="Direkte input",IF($A192&lt;&gt;"Grøntsager i drivhus",SUMIFS('Direkte input'!I$3:I$230,'Direkte input'!$F$3:$F$230,$D192,'Direkte input'!$C$3:$C$230,$B192,'Direkte input'!$D$3:$D$230,$C192,'Direkte input'!$A$3:$A$230,$A$1),SUMIFS('Direkte input'!I$3:I$230,'Direkte input'!$F$3:$F$230,$D192,'Direkte input'!$C$3:$C$230,$B192,'Direkte input'!$A$3:$A$230,$A$1)),IF(VLOOKUP($A192,[1]!Table1[#All],2,FALSE)="Resultat",SUMIF($F$1:$F191,$D192,J$1:J191)+SUMIF($F193:$F$512,$D192,J193:J$512),0))*'[1]Processer - data'!J192,"")*IF($C192&lt;&gt;"",IF($F192="Halm",Landbrug!E$16*Landbrug!E$17,IF(LEFT($D192,5)="Areal", IF($G192="Ton",Landbrug!E$18,1),1)),1)*IF($F192="Grøntsager",IF($A192="Grøntsager i drivhus",Landbrug!E$51,1-Landbrug!E$51),1)</f>
        <v>2353.6897791130073</v>
      </c>
    </row>
    <row r="193" spans="1:10" x14ac:dyDescent="0.25">
      <c r="A193" t="str">
        <f>IF('[1]Processer - data'!A193&lt;&gt;"",'[1]Processer - data'!A193,"")</f>
        <v>Kartoffelmark</v>
      </c>
      <c r="B193" t="str">
        <f>IF('[1]Processer - data'!B193&lt;&gt;"",'[1]Processer - data'!B193,"")</f>
        <v>Konventionel</v>
      </c>
      <c r="C193" t="str">
        <f>IF('[1]Processer - data'!C193&lt;&gt;"",'[1]Processer - data'!C193,"")</f>
        <v>OC6</v>
      </c>
      <c r="D193" t="str">
        <f>IF('[1]Processer - data'!D193&lt;&gt;"",'[1]Processer - data'!D193,"")</f>
        <v>Areal-kartofler</v>
      </c>
      <c r="E193" t="str">
        <f>IF('[1]Processer - data'!E193&lt;&gt;"",'[1]Processer - data'!E193,"")</f>
        <v>Hektar</v>
      </c>
      <c r="F193" t="str">
        <f>IF('[1]Processer - data'!F193&lt;&gt;"",'[1]Processer - data'!F193,"")</f>
        <v>Gødning</v>
      </c>
      <c r="G193" t="str">
        <f>IF('[1]Processer - data'!G193&lt;&gt;"",'[1]Processer - data'!G193,"")</f>
        <v>kg N</v>
      </c>
      <c r="H193" s="297">
        <f>IF($A193&lt;&gt;"",IF(VLOOKUP($A193,[1]!Table1[#All],2,FALSE)="Direkte input",IF($A193&lt;&gt;"Grøntsager i drivhus",SUMIFS('Direkte input'!G$3:G$230,'Direkte input'!$F$3:$F$230,$D193,'Direkte input'!$C$3:$C$230,$B193,'Direkte input'!$D$3:$D$230,$C193,'Direkte input'!$A$3:$A$230,$A$1),SUMIFS('Direkte input'!G$3:G$230,'Direkte input'!$F$3:$F$230,$D193,'Direkte input'!$C$3:$C$230,$B193,'Direkte input'!$A$3:$A$230,$A$1)),IF(VLOOKUP($A193,[1]!Table1[#All],2,FALSE)="Resultat",SUMIF($F$1:$F192,$D193,H$1:H192)+SUMIF($F194:$F$512,$D193,H194:H$512),0))*'[1]Processer - data'!H193,"")*IF($C193&lt;&gt;"",IF($F193="Halm",Landbrug!C$16*Landbrug!C$17,IF(LEFT($D193,5)="Areal", IF($G193="Ton",Landbrug!C$18,1),1)),1)*IF($F193="Grøntsager",IF($A193="Grøntsager i drivhus",Landbrug!C$51,1-Landbrug!C$51),1)</f>
        <v>-5585.9966208975256</v>
      </c>
      <c r="I193" s="298">
        <f>IF($A193&lt;&gt;"",IF(VLOOKUP($A193,[1]!Table1[#All],2,FALSE)="Direkte input",IF($A193&lt;&gt;"Grøntsager i drivhus",SUMIFS('Direkte input'!H$3:H$230,'Direkte input'!$F$3:$F$230,$D193,'Direkte input'!$C$3:$C$230,$B193,'Direkte input'!$D$3:$D$230,$C193,'Direkte input'!$A$3:$A$230,$A$1),SUMIFS('Direkte input'!H$3:H$230,'Direkte input'!$F$3:$F$230,$D193,'Direkte input'!$C$3:$C$230,$B193,'Direkte input'!$A$3:$A$230,$A$1)),IF(VLOOKUP($A193,[1]!Table1[#All],2,FALSE)="Resultat",SUMIF($F$1:$F192,$D193,I$1:I192)+SUMIF($F194:$F$512,$D193,I194:I$512),0))*'[1]Processer - data'!I193,"")*IF($C193&lt;&gt;"",IF($F193="Halm",Landbrug!D$16*Landbrug!D$17,IF(LEFT($D193,5)="Areal", IF($G193="Ton",Landbrug!D$18,1),1)),1)*IF($F193="Grøntsager",IF($A193="Grøntsager i drivhus",Landbrug!D$51,1-Landbrug!D$51),1)</f>
        <v>-5052.6833404754343</v>
      </c>
      <c r="J193" s="299">
        <f>IF($A193&lt;&gt;"",IF(VLOOKUP($A193,[1]!Table1[#All],2,FALSE)="Direkte input",IF($A193&lt;&gt;"Grøntsager i drivhus",SUMIFS('Direkte input'!I$3:I$230,'Direkte input'!$F$3:$F$230,$D193,'Direkte input'!$C$3:$C$230,$B193,'Direkte input'!$D$3:$D$230,$C193,'Direkte input'!$A$3:$A$230,$A$1),SUMIFS('Direkte input'!I$3:I$230,'Direkte input'!$F$3:$F$230,$D193,'Direkte input'!$C$3:$C$230,$B193,'Direkte input'!$A$3:$A$230,$A$1)),IF(VLOOKUP($A193,[1]!Table1[#All],2,FALSE)="Resultat",SUMIF($F$1:$F192,$D193,J$1:J192)+SUMIF($F194:$F$512,$D193,J194:J$512),0))*'[1]Processer - data'!J193,"")*IF($C193&lt;&gt;"",IF($F193="Halm",Landbrug!E$16*Landbrug!E$17,IF(LEFT($D193,5)="Areal", IF($G193="Ton",Landbrug!E$18,1),1)),1)*IF($F193="Grøntsager",IF($A193="Grøntsager i drivhus",Landbrug!E$51,1-Landbrug!E$51),1)</f>
        <v>-4819.0332438060505</v>
      </c>
    </row>
    <row r="194" spans="1:10" x14ac:dyDescent="0.25">
      <c r="A194" t="str">
        <f>IF('[1]Processer - data'!A194&lt;&gt;"",'[1]Processer - data'!A194,"")</f>
        <v>Kartoffelmark</v>
      </c>
      <c r="B194" t="str">
        <f>IF('[1]Processer - data'!B194&lt;&gt;"",'[1]Processer - data'!B194,"")</f>
        <v>Konventionel</v>
      </c>
      <c r="C194" t="str">
        <f>IF('[1]Processer - data'!C194&lt;&gt;"",'[1]Processer - data'!C194,"")</f>
        <v>OC6</v>
      </c>
      <c r="D194" t="str">
        <f>IF('[1]Processer - data'!D194&lt;&gt;"",'[1]Processer - data'!D194,"")</f>
        <v>Areal-kartofler</v>
      </c>
      <c r="E194" t="str">
        <f>IF('[1]Processer - data'!E194&lt;&gt;"",'[1]Processer - data'!E194,"")</f>
        <v>Hektar</v>
      </c>
      <c r="F194" t="str">
        <f>IF('[1]Processer - data'!F194&lt;&gt;"",'[1]Processer - data'!F194,"")</f>
        <v>CO2 - atmosfære</v>
      </c>
      <c r="G194" t="str">
        <f>IF('[1]Processer - data'!G194&lt;&gt;"",'[1]Processer - data'!G194,"")</f>
        <v>t CO2-ækvivalenter</v>
      </c>
      <c r="H194" s="297">
        <f>IF($A194&lt;&gt;"",IF(VLOOKUP($A194,[1]!Table1[#All],2,FALSE)="Direkte input",IF($A194&lt;&gt;"Grøntsager i drivhus",SUMIFS('Direkte input'!G$3:G$230,'Direkte input'!$F$3:$F$230,$D194,'Direkte input'!$C$3:$C$230,$B194,'Direkte input'!$D$3:$D$230,$C194,'Direkte input'!$A$3:$A$230,$A$1),SUMIFS('Direkte input'!G$3:G$230,'Direkte input'!$F$3:$F$230,$D194,'Direkte input'!$C$3:$C$230,$B194,'Direkte input'!$A$3:$A$230,$A$1)),IF(VLOOKUP($A194,[1]!Table1[#All],2,FALSE)="Resultat",SUMIF($F$1:$F193,$D194,H$1:H193)+SUMIF($F195:$F$512,$D194,H195:H$512),0))*'[1]Processer - data'!H194,"")*IF($C194&lt;&gt;"",IF($F194="Halm",Landbrug!C$16*Landbrug!C$17,IF(LEFT($D194,5)="Areal", IF($G194="Ton",Landbrug!C$18,1),1)),1)*IF($F194="Grøntsager",IF($A194="Grøntsager i drivhus",Landbrug!C$51,1-Landbrug!C$51),1)</f>
        <v>744.41292249333151</v>
      </c>
      <c r="I194" s="298">
        <f>IF($A194&lt;&gt;"",IF(VLOOKUP($A194,[1]!Table1[#All],2,FALSE)="Direkte input",IF($A194&lt;&gt;"Grøntsager i drivhus",SUMIFS('Direkte input'!H$3:H$230,'Direkte input'!$F$3:$F$230,$D194,'Direkte input'!$C$3:$C$230,$B194,'Direkte input'!$D$3:$D$230,$C194,'Direkte input'!$A$3:$A$230,$A$1),SUMIFS('Direkte input'!H$3:H$230,'Direkte input'!$F$3:$F$230,$D194,'Direkte input'!$C$3:$C$230,$B194,'Direkte input'!$A$3:$A$230,$A$1)),IF(VLOOKUP($A194,[1]!Table1[#All],2,FALSE)="Resultat",SUMIF($F$1:$F193,$D194,I$1:I193)+SUMIF($F195:$F$512,$D194,I195:I$512),0))*'[1]Processer - data'!I194,"")*IF($C194&lt;&gt;"",IF($F194="Halm",Landbrug!D$16*Landbrug!D$17,IF(LEFT($D194,5)="Areal", IF($G194="Ton",Landbrug!D$18,1),1)),1)*IF($F194="Grøntsager",IF($A194="Grøntsager i drivhus",Landbrug!D$51,1-Landbrug!D$51),1)</f>
        <v>673.34139763807184</v>
      </c>
      <c r="J194" s="299">
        <f>IF($A194&lt;&gt;"",IF(VLOOKUP($A194,[1]!Table1[#All],2,FALSE)="Direkte input",IF($A194&lt;&gt;"Grøntsager i drivhus",SUMIFS('Direkte input'!I$3:I$230,'Direkte input'!$F$3:$F$230,$D194,'Direkte input'!$C$3:$C$230,$B194,'Direkte input'!$D$3:$D$230,$C194,'Direkte input'!$A$3:$A$230,$A$1),SUMIFS('Direkte input'!I$3:I$230,'Direkte input'!$F$3:$F$230,$D194,'Direkte input'!$C$3:$C$230,$B194,'Direkte input'!$A$3:$A$230,$A$1)),IF(VLOOKUP($A194,[1]!Table1[#All],2,FALSE)="Resultat",SUMIF($F$1:$F193,$D194,J$1:J193)+SUMIF($F195:$F$512,$D194,J195:J$512),0))*'[1]Processer - data'!J194,"")*IF($C194&lt;&gt;"",IF($F194="Halm",Landbrug!E$16*Landbrug!E$17,IF(LEFT($D194,5)="Areal", IF($G194="Ton",Landbrug!E$18,1),1)),1)*IF($F194="Grøntsager",IF($A194="Grøntsager i drivhus",Landbrug!E$51,1-Landbrug!E$51),1)</f>
        <v>642.20422318082001</v>
      </c>
    </row>
    <row r="195" spans="1:10" x14ac:dyDescent="0.25">
      <c r="A195" t="str">
        <f>IF('[1]Processer - data'!A195&lt;&gt;"",'[1]Processer - data'!A195,"")</f>
        <v>Kartoffelmark</v>
      </c>
      <c r="B195" t="str">
        <f>IF('[1]Processer - data'!B195&lt;&gt;"",'[1]Processer - data'!B195,"")</f>
        <v>Konventionel</v>
      </c>
      <c r="C195" t="str">
        <f>IF('[1]Processer - data'!C195&lt;&gt;"",'[1]Processer - data'!C195,"")</f>
        <v>OC12</v>
      </c>
      <c r="D195" t="str">
        <f>IF('[1]Processer - data'!D195&lt;&gt;"",'[1]Processer - data'!D195,"")</f>
        <v>Areal-kartofler</v>
      </c>
      <c r="E195" t="str">
        <f>IF('[1]Processer - data'!E195&lt;&gt;"",'[1]Processer - data'!E195,"")</f>
        <v>Hektar</v>
      </c>
      <c r="F195" t="str">
        <f>IF('[1]Processer - data'!F195&lt;&gt;"",'[1]Processer - data'!F195,"")</f>
        <v>Kartofler</v>
      </c>
      <c r="G195" t="str">
        <f>IF('[1]Processer - data'!G195&lt;&gt;"",'[1]Processer - data'!G195,"")</f>
        <v>Ton</v>
      </c>
      <c r="H195" s="297">
        <f>IF($A195&lt;&gt;"",IF(VLOOKUP($A195,[1]!Table1[#All],2,FALSE)="Direkte input",IF($A195&lt;&gt;"Grøntsager i drivhus",SUMIFS('Direkte input'!G$3:G$230,'Direkte input'!$F$3:$F$230,$D195,'Direkte input'!$C$3:$C$230,$B195,'Direkte input'!$D$3:$D$230,$C195,'Direkte input'!$A$3:$A$230,$A$1),SUMIFS('Direkte input'!G$3:G$230,'Direkte input'!$F$3:$F$230,$D195,'Direkte input'!$C$3:$C$230,$B195,'Direkte input'!$A$3:$A$230,$A$1)),IF(VLOOKUP($A195,[1]!Table1[#All],2,FALSE)="Resultat",SUMIF($F$1:$F194,$D195,H$1:H194)+SUMIF($F196:$F$512,$D195,H196:H$512),0))*'[1]Processer - data'!H195,"")*IF($C195&lt;&gt;"",IF($F195="Halm",Landbrug!C$16*Landbrug!C$17,IF(LEFT($D195,5)="Areal", IF($G195="Ton",Landbrug!C$18,1),1)),1)*IF($F195="Grøntsager",IF($A195="Grøntsager i drivhus",Landbrug!C$51,1-Landbrug!C$51),1)</f>
        <v>2501.588072603518</v>
      </c>
      <c r="I195" s="298">
        <f>IF($A195&lt;&gt;"",IF(VLOOKUP($A195,[1]!Table1[#All],2,FALSE)="Direkte input",IF($A195&lt;&gt;"Grøntsager i drivhus",SUMIFS('Direkte input'!H$3:H$230,'Direkte input'!$F$3:$F$230,$D195,'Direkte input'!$C$3:$C$230,$B195,'Direkte input'!$D$3:$D$230,$C195,'Direkte input'!$A$3:$A$230,$A$1),SUMIFS('Direkte input'!H$3:H$230,'Direkte input'!$F$3:$F$230,$D195,'Direkte input'!$C$3:$C$230,$B195,'Direkte input'!$A$3:$A$230,$A$1)),IF(VLOOKUP($A195,[1]!Table1[#All],2,FALSE)="Resultat",SUMIF($F$1:$F194,$D195,I$1:I194)+SUMIF($F196:$F$512,$D195,I196:I$512),0))*'[1]Processer - data'!I195,"")*IF($C195&lt;&gt;"",IF($F195="Halm",Landbrug!D$16*Landbrug!D$17,IF(LEFT($D195,5)="Areal", IF($G195="Ton",Landbrug!D$18,1),1)),1)*IF($F195="Grøntsager",IF($A195="Grøntsager i drivhus",Landbrug!D$51,1-Landbrug!D$51),1)</f>
        <v>2444.8781328294485</v>
      </c>
      <c r="J195" s="299">
        <f>IF($A195&lt;&gt;"",IF(VLOOKUP($A195,[1]!Table1[#All],2,FALSE)="Direkte input",IF($A195&lt;&gt;"Grøntsager i drivhus",SUMIFS('Direkte input'!I$3:I$230,'Direkte input'!$F$3:$F$230,$D195,'Direkte input'!$C$3:$C$230,$B195,'Direkte input'!$D$3:$D$230,$C195,'Direkte input'!$A$3:$A$230,$A$1),SUMIFS('Direkte input'!I$3:I$230,'Direkte input'!$F$3:$F$230,$D195,'Direkte input'!$C$3:$C$230,$B195,'Direkte input'!$A$3:$A$230,$A$1)),IF(VLOOKUP($A195,[1]!Table1[#All],2,FALSE)="Resultat",SUMIF($F$1:$F194,$D195,J$1:J194)+SUMIF($F196:$F$512,$D195,J196:J$512),0))*'[1]Processer - data'!J195,"")*IF($C195&lt;&gt;"",IF($F195="Halm",Landbrug!E$16*Landbrug!E$17,IF(LEFT($D195,5)="Areal", IF($G195="Ton",Landbrug!E$18,1),1)),1)*IF($F195="Grøntsager",IF($A195="Grøntsager i drivhus",Landbrug!E$51,1-Landbrug!E$51),1)</f>
        <v>2501.4862053769511</v>
      </c>
    </row>
    <row r="196" spans="1:10" x14ac:dyDescent="0.25">
      <c r="A196" t="str">
        <f>IF('[1]Processer - data'!A196&lt;&gt;"",'[1]Processer - data'!A196,"")</f>
        <v>Kartoffelmark</v>
      </c>
      <c r="B196" t="str">
        <f>IF('[1]Processer - data'!B196&lt;&gt;"",'[1]Processer - data'!B196,"")</f>
        <v>Konventionel</v>
      </c>
      <c r="C196" t="str">
        <f>IF('[1]Processer - data'!C196&lt;&gt;"",'[1]Processer - data'!C196,"")</f>
        <v>OC12</v>
      </c>
      <c r="D196" t="str">
        <f>IF('[1]Processer - data'!D196&lt;&gt;"",'[1]Processer - data'!D196,"")</f>
        <v>Areal-kartofler</v>
      </c>
      <c r="E196" t="str">
        <f>IF('[1]Processer - data'!E196&lt;&gt;"",'[1]Processer - data'!E196,"")</f>
        <v>Hektar</v>
      </c>
      <c r="F196" t="str">
        <f>IF('[1]Processer - data'!F196&lt;&gt;"",'[1]Processer - data'!F196,"")</f>
        <v>Gødning</v>
      </c>
      <c r="G196" t="str">
        <f>IF('[1]Processer - data'!G196&lt;&gt;"",'[1]Processer - data'!G196,"")</f>
        <v>kg N</v>
      </c>
      <c r="H196" s="297">
        <f>IF($A196&lt;&gt;"",IF(VLOOKUP($A196,[1]!Table1[#All],2,FALSE)="Direkte input",IF($A196&lt;&gt;"Grøntsager i drivhus",SUMIFS('Direkte input'!G$3:G$230,'Direkte input'!$F$3:$F$230,$D196,'Direkte input'!$C$3:$C$230,$B196,'Direkte input'!$D$3:$D$230,$C196,'Direkte input'!$A$3:$A$230,$A$1),SUMIFS('Direkte input'!G$3:G$230,'Direkte input'!$F$3:$F$230,$D196,'Direkte input'!$C$3:$C$230,$B196,'Direkte input'!$A$3:$A$230,$A$1)),IF(VLOOKUP($A196,[1]!Table1[#All],2,FALSE)="Resultat",SUMIF($F$1:$F195,$D196,H$1:H195)+SUMIF($F197:$F$512,$D196,H197:H$512),0))*'[1]Processer - data'!H196,"")*IF($C196&lt;&gt;"",IF($F196="Halm",Landbrug!C$16*Landbrug!C$17,IF(LEFT($D196,5)="Areal", IF($G196="Ton",Landbrug!C$18,1),1)),1)*IF($F196="Grøntsager",IF($A196="Grøntsager i drivhus",Landbrug!C$51,1-Landbrug!C$51),1)</f>
        <v>-3786.5074227149303</v>
      </c>
      <c r="I196" s="298">
        <f>IF($A196&lt;&gt;"",IF(VLOOKUP($A196,[1]!Table1[#All],2,FALSE)="Direkte input",IF($A196&lt;&gt;"Grøntsager i drivhus",SUMIFS('Direkte input'!H$3:H$230,'Direkte input'!$F$3:$F$230,$D196,'Direkte input'!$C$3:$C$230,$B196,'Direkte input'!$D$3:$D$230,$C196,'Direkte input'!$A$3:$A$230,$A$1),SUMIFS('Direkte input'!H$3:H$230,'Direkte input'!$F$3:$F$230,$D196,'Direkte input'!$C$3:$C$230,$B196,'Direkte input'!$A$3:$A$230,$A$1)),IF(VLOOKUP($A196,[1]!Table1[#All],2,FALSE)="Resultat",SUMIF($F$1:$F195,$D196,I$1:I195)+SUMIF($F197:$F$512,$D196,I197:I$512),0))*'[1]Processer - data'!I196,"")*IF($C196&lt;&gt;"",IF($F196="Halm",Landbrug!D$16*Landbrug!D$17,IF(LEFT($D196,5)="Areal", IF($G196="Ton",Landbrug!D$18,1),1)),1)*IF($F196="Grøntsager",IF($A196="Grøntsager i drivhus",Landbrug!D$51,1-Landbrug!D$51),1)</f>
        <v>-3452.116517420428</v>
      </c>
      <c r="J196" s="299">
        <f>IF($A196&lt;&gt;"",IF(VLOOKUP($A196,[1]!Table1[#All],2,FALSE)="Direkte input",IF($A196&lt;&gt;"Grøntsager i drivhus",SUMIFS('Direkte input'!I$3:I$230,'Direkte input'!$F$3:$F$230,$D196,'Direkte input'!$C$3:$C$230,$B196,'Direkte input'!$D$3:$D$230,$C196,'Direkte input'!$A$3:$A$230,$A$1),SUMIFS('Direkte input'!I$3:I$230,'Direkte input'!$F$3:$F$230,$D196,'Direkte input'!$C$3:$C$230,$B196,'Direkte input'!$A$3:$A$230,$A$1)),IF(VLOOKUP($A196,[1]!Table1[#All],2,FALSE)="Resultat",SUMIF($F$1:$F195,$D196,J$1:J195)+SUMIF($F197:$F$512,$D196,J197:J$512),0))*'[1]Processer - data'!J196,"")*IF($C196&lt;&gt;"",IF($F196="Halm",Landbrug!E$16*Landbrug!E$17,IF(LEFT($D196,5)="Areal", IF($G196="Ton",Landbrug!E$18,1),1)),1)*IF($F196="Grøntsager",IF($A196="Grøntsager i drivhus",Landbrug!E$51,1-Landbrug!E$51),1)</f>
        <v>-3292.4810715281537</v>
      </c>
    </row>
    <row r="197" spans="1:10" x14ac:dyDescent="0.25">
      <c r="A197" t="str">
        <f>IF('[1]Processer - data'!A197&lt;&gt;"",'[1]Processer - data'!A197,"")</f>
        <v>Kartoffelmark</v>
      </c>
      <c r="B197" t="str">
        <f>IF('[1]Processer - data'!B197&lt;&gt;"",'[1]Processer - data'!B197,"")</f>
        <v>Konventionel</v>
      </c>
      <c r="C197" t="str">
        <f>IF('[1]Processer - data'!C197&lt;&gt;"",'[1]Processer - data'!C197,"")</f>
        <v>OC12</v>
      </c>
      <c r="D197" t="str">
        <f>IF('[1]Processer - data'!D197&lt;&gt;"",'[1]Processer - data'!D197,"")</f>
        <v>Areal-kartofler</v>
      </c>
      <c r="E197" t="str">
        <f>IF('[1]Processer - data'!E197&lt;&gt;"",'[1]Processer - data'!E197,"")</f>
        <v>Hektar</v>
      </c>
      <c r="F197" t="str">
        <f>IF('[1]Processer - data'!F197&lt;&gt;"",'[1]Processer - data'!F197,"")</f>
        <v>CO2 - atmosfære</v>
      </c>
      <c r="G197" t="str">
        <f>IF('[1]Processer - data'!G197&lt;&gt;"",'[1]Processer - data'!G197,"")</f>
        <v>t CO2-ækvivalenter</v>
      </c>
      <c r="H197" s="297">
        <f>IF($A197&lt;&gt;"",IF(VLOOKUP($A197,[1]!Table1[#All],2,FALSE)="Direkte input",IF($A197&lt;&gt;"Grøntsager i drivhus",SUMIFS('Direkte input'!G$3:G$230,'Direkte input'!$F$3:$F$230,$D197,'Direkte input'!$C$3:$C$230,$B197,'Direkte input'!$D$3:$D$230,$C197,'Direkte input'!$A$3:$A$230,$A$1),SUMIFS('Direkte input'!G$3:G$230,'Direkte input'!$F$3:$F$230,$D197,'Direkte input'!$C$3:$C$230,$B197,'Direkte input'!$A$3:$A$230,$A$1)),IF(VLOOKUP($A197,[1]!Table1[#All],2,FALSE)="Resultat",SUMIF($F$1:$F196,$D197,H$1:H196)+SUMIF($F198:$F$512,$D197,H198:H$512),0))*'[1]Processer - data'!H197,"")*IF($C197&lt;&gt;"",IF($F197="Halm",Landbrug!C$16*Landbrug!C$17,IF(LEFT($D197,5)="Areal", IF($G197="Ton",Landbrug!C$18,1),1)),1)*IF($F197="Grøntsager",IF($A197="Grøntsager i drivhus",Landbrug!C$51,1-Landbrug!C$51),1)</f>
        <v>1722.9321632804097</v>
      </c>
      <c r="I197" s="298">
        <f>IF($A197&lt;&gt;"",IF(VLOOKUP($A197,[1]!Table1[#All],2,FALSE)="Direkte input",IF($A197&lt;&gt;"Grøntsager i drivhus",SUMIFS('Direkte input'!H$3:H$230,'Direkte input'!$F$3:$F$230,$D197,'Direkte input'!$C$3:$C$230,$B197,'Direkte input'!$D$3:$D$230,$C197,'Direkte input'!$A$3:$A$230,$A$1),SUMIFS('Direkte input'!H$3:H$230,'Direkte input'!$F$3:$F$230,$D197,'Direkte input'!$C$3:$C$230,$B197,'Direkte input'!$A$3:$A$230,$A$1)),IF(VLOOKUP($A197,[1]!Table1[#All],2,FALSE)="Resultat",SUMIF($F$1:$F196,$D197,I$1:I196)+SUMIF($F198:$F$512,$D197,I198:I$512),0))*'[1]Processer - data'!I197,"")*IF($C197&lt;&gt;"",IF($F197="Halm",Landbrug!D$16*Landbrug!D$17,IF(LEFT($D197,5)="Areal", IF($G197="Ton",Landbrug!D$18,1),1)),1)*IF($F197="Grøntsager",IF($A197="Grøntsager i drivhus",Landbrug!D$51,1-Landbrug!D$51),1)</f>
        <v>1570.7780060261071</v>
      </c>
      <c r="J197" s="299">
        <f>IF($A197&lt;&gt;"",IF(VLOOKUP($A197,[1]!Table1[#All],2,FALSE)="Direkte input",IF($A197&lt;&gt;"Grøntsager i drivhus",SUMIFS('Direkte input'!I$3:I$230,'Direkte input'!$F$3:$F$230,$D197,'Direkte input'!$C$3:$C$230,$B197,'Direkte input'!$D$3:$D$230,$C197,'Direkte input'!$A$3:$A$230,$A$1),SUMIFS('Direkte input'!I$3:I$230,'Direkte input'!$F$3:$F$230,$D197,'Direkte input'!$C$3:$C$230,$B197,'Direkte input'!$A$3:$A$230,$A$1)),IF(VLOOKUP($A197,[1]!Table1[#All],2,FALSE)="Resultat",SUMIF($F$1:$F196,$D197,J$1:J196)+SUMIF($F198:$F$512,$D197,J198:J$512),0))*'[1]Processer - data'!J197,"")*IF($C197&lt;&gt;"",IF($F197="Halm",Landbrug!E$16*Landbrug!E$17,IF(LEFT($D197,5)="Areal", IF($G197="Ton",Landbrug!E$18,1),1)),1)*IF($F197="Grøntsager",IF($A197="Grøntsager i drivhus",Landbrug!E$51,1-Landbrug!E$51),1)</f>
        <v>1498.1408727994663</v>
      </c>
    </row>
    <row r="198" spans="1:10" x14ac:dyDescent="0.25">
      <c r="A198" t="str">
        <f>IF('[1]Processer - data'!A198&lt;&gt;"",'[1]Processer - data'!A198,"")</f>
        <v>Kartoffelmark</v>
      </c>
      <c r="B198" t="str">
        <f>IF('[1]Processer - data'!B198&lt;&gt;"",'[1]Processer - data'!B198,"")</f>
        <v>Økologisk</v>
      </c>
      <c r="C198" t="str">
        <f>IF('[1]Processer - data'!C198&lt;&gt;"",'[1]Processer - data'!C198,"")</f>
        <v>JB1-10</v>
      </c>
      <c r="D198" t="str">
        <f>IF('[1]Processer - data'!D198&lt;&gt;"",'[1]Processer - data'!D198,"")</f>
        <v>Areal-kartofler</v>
      </c>
      <c r="E198" t="str">
        <f>IF('[1]Processer - data'!E198&lt;&gt;"",'[1]Processer - data'!E198,"")</f>
        <v>Hektar</v>
      </c>
      <c r="F198" t="str">
        <f>IF('[1]Processer - data'!F198&lt;&gt;"",'[1]Processer - data'!F198,"")</f>
        <v>Kartofler</v>
      </c>
      <c r="G198" t="str">
        <f>IF('[1]Processer - data'!G198&lt;&gt;"",'[1]Processer - data'!G198,"")</f>
        <v>Ton</v>
      </c>
      <c r="H198" s="297">
        <f>IF($A198&lt;&gt;"",IF(VLOOKUP($A198,[1]!Table1[#All],2,FALSE)="Direkte input",IF($A198&lt;&gt;"Grøntsager i drivhus",SUMIFS('Direkte input'!G$3:G$230,'Direkte input'!$F$3:$F$230,$D198,'Direkte input'!$C$3:$C$230,$B198,'Direkte input'!$D$3:$D$230,$C198,'Direkte input'!$A$3:$A$230,$A$1),SUMIFS('Direkte input'!G$3:G$230,'Direkte input'!$F$3:$F$230,$D198,'Direkte input'!$C$3:$C$230,$B198,'Direkte input'!$A$3:$A$230,$A$1)),IF(VLOOKUP($A198,[1]!Table1[#All],2,FALSE)="Resultat",SUMIF($F$1:$F197,$D198,H$1:H197)+SUMIF($F199:$F$512,$D198,H199:H$512),0))*'[1]Processer - data'!H198,"")*IF($C198&lt;&gt;"",IF($F198="Halm",Landbrug!C$16*Landbrug!C$17,IF(LEFT($D198,5)="Areal", IF($G198="Ton",Landbrug!C$18,1),1)),1)*IF($F198="Grøntsager",IF($A198="Grøntsager i drivhus",Landbrug!C$51,1-Landbrug!C$51),1)</f>
        <v>7561.3525433987979</v>
      </c>
      <c r="I198" s="298">
        <f>IF($A198&lt;&gt;"",IF(VLOOKUP($A198,[1]!Table1[#All],2,FALSE)="Direkte input",IF($A198&lt;&gt;"Grøntsager i drivhus",SUMIFS('Direkte input'!H$3:H$230,'Direkte input'!$F$3:$F$230,$D198,'Direkte input'!$C$3:$C$230,$B198,'Direkte input'!$D$3:$D$230,$C198,'Direkte input'!$A$3:$A$230,$A$1),SUMIFS('Direkte input'!H$3:H$230,'Direkte input'!$F$3:$F$230,$D198,'Direkte input'!$C$3:$C$230,$B198,'Direkte input'!$A$3:$A$230,$A$1)),IF(VLOOKUP($A198,[1]!Table1[#All],2,FALSE)="Resultat",SUMIF($F$1:$F197,$D198,I$1:I197)+SUMIF($F199:$F$512,$D198,I199:I$512),0))*'[1]Processer - data'!I198,"")*IF($C198&lt;&gt;"",IF($F198="Halm",Landbrug!D$16*Landbrug!D$17,IF(LEFT($D198,5)="Areal", IF($G198="Ton",Landbrug!D$18,1),1)),1)*IF($F198="Grøntsager",IF($A198="Grøntsager i drivhus",Landbrug!D$51,1-Landbrug!D$51),1)</f>
        <v>9603.8805358162681</v>
      </c>
      <c r="J198" s="299">
        <f>IF($A198&lt;&gt;"",IF(VLOOKUP($A198,[1]!Table1[#All],2,FALSE)="Direkte input",IF($A198&lt;&gt;"Grøntsager i drivhus",SUMIFS('Direkte input'!I$3:I$230,'Direkte input'!$F$3:$F$230,$D198,'Direkte input'!$C$3:$C$230,$B198,'Direkte input'!$D$3:$D$230,$C198,'Direkte input'!$A$3:$A$230,$A$1),SUMIFS('Direkte input'!I$3:I$230,'Direkte input'!$F$3:$F$230,$D198,'Direkte input'!$C$3:$C$230,$B198,'Direkte input'!$A$3:$A$230,$A$1)),IF(VLOOKUP($A198,[1]!Table1[#All],2,FALSE)="Resultat",SUMIF($F$1:$F197,$D198,J$1:J197)+SUMIF($F199:$F$512,$D198,J199:J$512),0))*'[1]Processer - data'!J198,"")*IF($C198&lt;&gt;"",IF($F198="Halm",Landbrug!E$16*Landbrug!E$17,IF(LEFT($D198,5)="Areal", IF($G198="Ton",Landbrug!E$18,1),1)),1)*IF($F198="Grøntsager",IF($A198="Grøntsager i drivhus",Landbrug!E$51,1-Landbrug!E$51),1)</f>
        <v>13232.150239831579</v>
      </c>
    </row>
    <row r="199" spans="1:10" x14ac:dyDescent="0.25">
      <c r="A199" t="str">
        <f>IF('[1]Processer - data'!A199&lt;&gt;"",'[1]Processer - data'!A199,"")</f>
        <v>Kartoffelmark</v>
      </c>
      <c r="B199" t="str">
        <f>IF('[1]Processer - data'!B199&lt;&gt;"",'[1]Processer - data'!B199,"")</f>
        <v>Økologisk</v>
      </c>
      <c r="C199" t="str">
        <f>IF('[1]Processer - data'!C199&lt;&gt;"",'[1]Processer - data'!C199,"")</f>
        <v>JB1-10</v>
      </c>
      <c r="D199" t="str">
        <f>IF('[1]Processer - data'!D199&lt;&gt;"",'[1]Processer - data'!D199,"")</f>
        <v>Areal-kartofler</v>
      </c>
      <c r="E199" t="str">
        <f>IF('[1]Processer - data'!E199&lt;&gt;"",'[1]Processer - data'!E199,"")</f>
        <v>Hektar</v>
      </c>
      <c r="F199" t="str">
        <f>IF('[1]Processer - data'!F199&lt;&gt;"",'[1]Processer - data'!F199,"")</f>
        <v>Gødning</v>
      </c>
      <c r="G199" t="str">
        <f>IF('[1]Processer - data'!G199&lt;&gt;"",'[1]Processer - data'!G199,"")</f>
        <v>kg N</v>
      </c>
      <c r="H199" s="297">
        <f>IF($A199&lt;&gt;"",IF(VLOOKUP($A199,[1]!Table1[#All],2,FALSE)="Direkte input",IF($A199&lt;&gt;"Grøntsager i drivhus",SUMIFS('Direkte input'!G$3:G$230,'Direkte input'!$F$3:$F$230,$D199,'Direkte input'!$C$3:$C$230,$B199,'Direkte input'!$D$3:$D$230,$C199,'Direkte input'!$A$3:$A$230,$A$1),SUMIFS('Direkte input'!G$3:G$230,'Direkte input'!$F$3:$F$230,$D199,'Direkte input'!$C$3:$C$230,$B199,'Direkte input'!$A$3:$A$230,$A$1)),IF(VLOOKUP($A199,[1]!Table1[#All],2,FALSE)="Resultat",SUMIF($F$1:$F198,$D199,H$1:H198)+SUMIF($F200:$F$512,$D199,H200:H$512),0))*'[1]Processer - data'!H199,"")*IF($C199&lt;&gt;"",IF($F199="Halm",Landbrug!C$16*Landbrug!C$17,IF(LEFT($D199,5)="Areal", IF($G199="Ton",Landbrug!C$18,1),1)),1)*IF($F199="Grøntsager",IF($A199="Grøntsager i drivhus",Landbrug!C$51,1-Landbrug!C$51),1)</f>
        <v>-26705.41230912619</v>
      </c>
      <c r="I199" s="298">
        <f>IF($A199&lt;&gt;"",IF(VLOOKUP($A199,[1]!Table1[#All],2,FALSE)="Direkte input",IF($A199&lt;&gt;"Grøntsager i drivhus",SUMIFS('Direkte input'!H$3:H$230,'Direkte input'!$F$3:$F$230,$D199,'Direkte input'!$C$3:$C$230,$B199,'Direkte input'!$D$3:$D$230,$C199,'Direkte input'!$A$3:$A$230,$A$1),SUMIFS('Direkte input'!H$3:H$230,'Direkte input'!$F$3:$F$230,$D199,'Direkte input'!$C$3:$C$230,$B199,'Direkte input'!$A$3:$A$230,$A$1)),IF(VLOOKUP($A199,[1]!Table1[#All],2,FALSE)="Resultat",SUMIF($F$1:$F198,$D199,I$1:I198)+SUMIF($F200:$F$512,$D199,I200:I$512),0))*'[1]Processer - data'!I199,"")*IF($C199&lt;&gt;"",IF($F199="Halm",Landbrug!D$16*Landbrug!D$17,IF(LEFT($D199,5)="Areal", IF($G199="Ton",Landbrug!D$18,1),1)),1)*IF($F199="Grøntsager",IF($A199="Grøntsager i drivhus",Landbrug!D$51,1-Landbrug!D$51),1)</f>
        <v>-31641.113898055723</v>
      </c>
      <c r="J199" s="299">
        <f>IF($A199&lt;&gt;"",IF(VLOOKUP($A199,[1]!Table1[#All],2,FALSE)="Direkte input",IF($A199&lt;&gt;"Grøntsager i drivhus",SUMIFS('Direkte input'!I$3:I$230,'Direkte input'!$F$3:$F$230,$D199,'Direkte input'!$C$3:$C$230,$B199,'Direkte input'!$D$3:$D$230,$C199,'Direkte input'!$A$3:$A$230,$A$1),SUMIFS('Direkte input'!I$3:I$230,'Direkte input'!$F$3:$F$230,$D199,'Direkte input'!$C$3:$C$230,$B199,'Direkte input'!$A$3:$A$230,$A$1)),IF(VLOOKUP($A199,[1]!Table1[#All],2,FALSE)="Resultat",SUMIF($F$1:$F198,$D199,J$1:J198)+SUMIF($F200:$F$512,$D199,J200:J$512),0))*'[1]Processer - data'!J199,"")*IF($C199&lt;&gt;"",IF($F199="Halm",Landbrug!E$16*Landbrug!E$17,IF(LEFT($D199,5)="Areal", IF($G199="Ton",Landbrug!E$18,1),1)),1)*IF($F199="Grøntsager",IF($A199="Grøntsager i drivhus",Landbrug!E$51,1-Landbrug!E$51),1)</f>
        <v>-40638.005351419968</v>
      </c>
    </row>
    <row r="200" spans="1:10" x14ac:dyDescent="0.25">
      <c r="A200" t="str">
        <f>IF('[1]Processer - data'!A200&lt;&gt;"",'[1]Processer - data'!A200,"")</f>
        <v>Kartoffelmark</v>
      </c>
      <c r="B200" t="str">
        <f>IF('[1]Processer - data'!B200&lt;&gt;"",'[1]Processer - data'!B200,"")</f>
        <v>Økologisk</v>
      </c>
      <c r="C200" t="str">
        <f>IF('[1]Processer - data'!C200&lt;&gt;"",'[1]Processer - data'!C200,"")</f>
        <v>JB1-10</v>
      </c>
      <c r="D200" t="str">
        <f>IF('[1]Processer - data'!D200&lt;&gt;"",'[1]Processer - data'!D200,"")</f>
        <v>Areal-kartofler</v>
      </c>
      <c r="E200" t="str">
        <f>IF('[1]Processer - data'!E200&lt;&gt;"",'[1]Processer - data'!E200,"")</f>
        <v>Hektar</v>
      </c>
      <c r="F200" t="str">
        <f>IF('[1]Processer - data'!F200&lt;&gt;"",'[1]Processer - data'!F200,"")</f>
        <v>CO2 - atmosfære</v>
      </c>
      <c r="G200" t="str">
        <f>IF('[1]Processer - data'!G200&lt;&gt;"",'[1]Processer - data'!G200,"")</f>
        <v>t CO2-ækvivalenter</v>
      </c>
      <c r="H200" s="297">
        <f>IF($A200&lt;&gt;"",IF(VLOOKUP($A200,[1]!Table1[#All],2,FALSE)="Direkte input",IF($A200&lt;&gt;"Grøntsager i drivhus",SUMIFS('Direkte input'!G$3:G$230,'Direkte input'!$F$3:$F$230,$D200,'Direkte input'!$C$3:$C$230,$B200,'Direkte input'!$D$3:$D$230,$C200,'Direkte input'!$A$3:$A$230,$A$1),SUMIFS('Direkte input'!G$3:G$230,'Direkte input'!$F$3:$F$230,$D200,'Direkte input'!$C$3:$C$230,$B200,'Direkte input'!$A$3:$A$230,$A$1)),IF(VLOOKUP($A200,[1]!Table1[#All],2,FALSE)="Resultat",SUMIF($F$1:$F199,$D200,H$1:H199)+SUMIF($F201:$F$512,$D200,H201:H$512),0))*'[1]Processer - data'!H200,"")*IF($C200&lt;&gt;"",IF($F200="Halm",Landbrug!C$16*Landbrug!C$17,IF(LEFT($D200,5)="Areal", IF($G200="Ton",Landbrug!C$18,1),1)),1)*IF($F200="Grøntsager",IF($A200="Grøntsager i drivhus",Landbrug!C$51,1-Landbrug!C$51),1)</f>
        <v>710.17480173844581</v>
      </c>
      <c r="I200" s="298">
        <f>IF($A200&lt;&gt;"",IF(VLOOKUP($A200,[1]!Table1[#All],2,FALSE)="Direkte input",IF($A200&lt;&gt;"Grøntsager i drivhus",SUMIFS('Direkte input'!H$3:H$230,'Direkte input'!$F$3:$F$230,$D200,'Direkte input'!$C$3:$C$230,$B200,'Direkte input'!$D$3:$D$230,$C200,'Direkte input'!$A$3:$A$230,$A$1),SUMIFS('Direkte input'!H$3:H$230,'Direkte input'!$F$3:$F$230,$D200,'Direkte input'!$C$3:$C$230,$B200,'Direkte input'!$A$3:$A$230,$A$1)),IF(VLOOKUP($A200,[1]!Table1[#All],2,FALSE)="Resultat",SUMIF($F$1:$F199,$D200,I$1:I199)+SUMIF($F201:$F$512,$D200,I201:I$512),0))*'[1]Processer - data'!I200,"")*IF($C200&lt;&gt;"",IF($F200="Halm",Landbrug!D$16*Landbrug!D$17,IF(LEFT($D200,5)="Areal", IF($G200="Ton",Landbrug!D$18,1),1)),1)*IF($F200="Grøntsager",IF($A200="Grøntsager i drivhus",Landbrug!D$51,1-Landbrug!D$51),1)</f>
        <v>841.42950235058754</v>
      </c>
      <c r="J200" s="299">
        <f>IF($A200&lt;&gt;"",IF(VLOOKUP($A200,[1]!Table1[#All],2,FALSE)="Direkte input",IF($A200&lt;&gt;"Grøntsager i drivhus",SUMIFS('Direkte input'!I$3:I$230,'Direkte input'!$F$3:$F$230,$D200,'Direkte input'!$C$3:$C$230,$B200,'Direkte input'!$D$3:$D$230,$C200,'Direkte input'!$A$3:$A$230,$A$1),SUMIFS('Direkte input'!I$3:I$230,'Direkte input'!$F$3:$F$230,$D200,'Direkte input'!$C$3:$C$230,$B200,'Direkte input'!$A$3:$A$230,$A$1)),IF(VLOOKUP($A200,[1]!Table1[#All],2,FALSE)="Resultat",SUMIF($F$1:$F199,$D200,J$1:J199)+SUMIF($F201:$F$512,$D200,J201:J$512),0))*'[1]Processer - data'!J200,"")*IF($C200&lt;&gt;"",IF($F200="Halm",Landbrug!E$16*Landbrug!E$17,IF(LEFT($D200,5)="Areal", IF($G200="Ton",Landbrug!E$18,1),1)),1)*IF($F200="Grøntsager",IF($A200="Grøntsager i drivhus",Landbrug!E$51,1-Landbrug!E$51),1)</f>
        <v>1080.6830862382176</v>
      </c>
    </row>
    <row r="201" spans="1:10" x14ac:dyDescent="0.25">
      <c r="A201" t="str">
        <f>IF('[1]Processer - data'!A201&lt;&gt;"",'[1]Processer - data'!A201,"")</f>
        <v>Kartoffelmark</v>
      </c>
      <c r="B201" t="str">
        <f>IF('[1]Processer - data'!B201&lt;&gt;"",'[1]Processer - data'!B201,"")</f>
        <v>Økologisk</v>
      </c>
      <c r="C201" t="str">
        <f>IF('[1]Processer - data'!C201&lt;&gt;"",'[1]Processer - data'!C201,"")</f>
        <v>OC6</v>
      </c>
      <c r="D201" t="str">
        <f>IF('[1]Processer - data'!D201&lt;&gt;"",'[1]Processer - data'!D201,"")</f>
        <v>Areal-kartofler</v>
      </c>
      <c r="E201" t="str">
        <f>IF('[1]Processer - data'!E201&lt;&gt;"",'[1]Processer - data'!E201,"")</f>
        <v>Hektar</v>
      </c>
      <c r="F201" t="str">
        <f>IF('[1]Processer - data'!F201&lt;&gt;"",'[1]Processer - data'!F201,"")</f>
        <v>Kartofler</v>
      </c>
      <c r="G201" t="str">
        <f>IF('[1]Processer - data'!G201&lt;&gt;"",'[1]Processer - data'!G201,"")</f>
        <v>Ton</v>
      </c>
      <c r="H201" s="297">
        <f>IF($A201&lt;&gt;"",IF(VLOOKUP($A201,[1]!Table1[#All],2,FALSE)="Direkte input",IF($A201&lt;&gt;"Grøntsager i drivhus",SUMIFS('Direkte input'!G$3:G$230,'Direkte input'!$F$3:$F$230,$D201,'Direkte input'!$C$3:$C$230,$B201,'Direkte input'!$D$3:$D$230,$C201,'Direkte input'!$A$3:$A$230,$A$1),SUMIFS('Direkte input'!G$3:G$230,'Direkte input'!$F$3:$F$230,$D201,'Direkte input'!$C$3:$C$230,$B201,'Direkte input'!$A$3:$A$230,$A$1)),IF(VLOOKUP($A201,[1]!Table1[#All],2,FALSE)="Resultat",SUMIF($F$1:$F200,$D201,H$1:H200)+SUMIF($F202:$F$512,$D201,H202:H$512),0))*'[1]Processer - data'!H201,"")*IF($C201&lt;&gt;"",IF($F201="Halm",Landbrug!C$16*Landbrug!C$17,IF(LEFT($D201,5)="Areal", IF($G201="Ton",Landbrug!C$18,1),1)),1)*IF($F201="Grøntsager",IF($A201="Grøntsager i drivhus",Landbrug!C$51,1-Landbrug!C$51),1)</f>
        <v>172.90471114042779</v>
      </c>
      <c r="I201" s="298">
        <f>IF($A201&lt;&gt;"",IF(VLOOKUP($A201,[1]!Table1[#All],2,FALSE)="Direkte input",IF($A201&lt;&gt;"Grøntsager i drivhus",SUMIFS('Direkte input'!H$3:H$230,'Direkte input'!$F$3:$F$230,$D201,'Direkte input'!$C$3:$C$230,$B201,'Direkte input'!$D$3:$D$230,$C201,'Direkte input'!$A$3:$A$230,$A$1),SUMIFS('Direkte input'!H$3:H$230,'Direkte input'!$F$3:$F$230,$D201,'Direkte input'!$C$3:$C$230,$B201,'Direkte input'!$A$3:$A$230,$A$1)),IF(VLOOKUP($A201,[1]!Table1[#All],2,FALSE)="Resultat",SUMIF($F$1:$F200,$D201,I$1:I200)+SUMIF($F202:$F$512,$D201,I202:I$512),0))*'[1]Processer - data'!I201,"")*IF($C201&lt;&gt;"",IF($F201="Halm",Landbrug!D$16*Landbrug!D$17,IF(LEFT($D201,5)="Areal", IF($G201="Ton",Landbrug!D$18,1),1)),1)*IF($F201="Grøntsager",IF($A201="Grøntsager i drivhus",Landbrug!D$51,1-Landbrug!D$51),1)</f>
        <v>204.64486045316855</v>
      </c>
      <c r="J201" s="299">
        <f>IF($A201&lt;&gt;"",IF(VLOOKUP($A201,[1]!Table1[#All],2,FALSE)="Direkte input",IF($A201&lt;&gt;"Grøntsager i drivhus",SUMIFS('Direkte input'!I$3:I$230,'Direkte input'!$F$3:$F$230,$D201,'Direkte input'!$C$3:$C$230,$B201,'Direkte input'!$D$3:$D$230,$C201,'Direkte input'!$A$3:$A$230,$A$1),SUMIFS('Direkte input'!I$3:I$230,'Direkte input'!$F$3:$F$230,$D201,'Direkte input'!$C$3:$C$230,$B201,'Direkte input'!$A$3:$A$230,$A$1)),IF(VLOOKUP($A201,[1]!Table1[#All],2,FALSE)="Resultat",SUMIF($F$1:$F200,$D201,J$1:J200)+SUMIF($F202:$F$512,$D201,J202:J$512),0))*'[1]Processer - data'!J201,"")*IF($C201&lt;&gt;"",IF($F201="Halm",Landbrug!E$16*Landbrug!E$17,IF(LEFT($D201,5)="Areal", IF($G201="Ton",Landbrug!E$18,1),1)),1)*IF($F201="Grøntsager",IF($A201="Grøntsager i drivhus",Landbrug!E$51,1-Landbrug!E$51),1)</f>
        <v>284.58249147457263</v>
      </c>
    </row>
    <row r="202" spans="1:10" x14ac:dyDescent="0.25">
      <c r="A202" t="str">
        <f>IF('[1]Processer - data'!A202&lt;&gt;"",'[1]Processer - data'!A202,"")</f>
        <v>Kartoffelmark</v>
      </c>
      <c r="B202" t="str">
        <f>IF('[1]Processer - data'!B202&lt;&gt;"",'[1]Processer - data'!B202,"")</f>
        <v>Økologisk</v>
      </c>
      <c r="C202" t="str">
        <f>IF('[1]Processer - data'!C202&lt;&gt;"",'[1]Processer - data'!C202,"")</f>
        <v>OC6</v>
      </c>
      <c r="D202" t="str">
        <f>IF('[1]Processer - data'!D202&lt;&gt;"",'[1]Processer - data'!D202,"")</f>
        <v>Areal-kartofler</v>
      </c>
      <c r="E202" t="str">
        <f>IF('[1]Processer - data'!E202&lt;&gt;"",'[1]Processer - data'!E202,"")</f>
        <v>Hektar</v>
      </c>
      <c r="F202" t="str">
        <f>IF('[1]Processer - data'!F202&lt;&gt;"",'[1]Processer - data'!F202,"")</f>
        <v>Gødning</v>
      </c>
      <c r="G202" t="str">
        <f>IF('[1]Processer - data'!G202&lt;&gt;"",'[1]Processer - data'!G202,"")</f>
        <v>kg N</v>
      </c>
      <c r="H202" s="297">
        <f>IF($A202&lt;&gt;"",IF(VLOOKUP($A202,[1]!Table1[#All],2,FALSE)="Direkte input",IF($A202&lt;&gt;"Grøntsager i drivhus",SUMIFS('Direkte input'!G$3:G$230,'Direkte input'!$F$3:$F$230,$D202,'Direkte input'!$C$3:$C$230,$B202,'Direkte input'!$D$3:$D$230,$C202,'Direkte input'!$A$3:$A$230,$A$1),SUMIFS('Direkte input'!G$3:G$230,'Direkte input'!$F$3:$F$230,$D202,'Direkte input'!$C$3:$C$230,$B202,'Direkte input'!$A$3:$A$230,$A$1)),IF(VLOOKUP($A202,[1]!Table1[#All],2,FALSE)="Resultat",SUMIF($F$1:$F201,$D202,H$1:H201)+SUMIF($F203:$F$512,$D202,H203:H$512),0))*'[1]Processer - data'!H202,"")*IF($C202&lt;&gt;"",IF($F202="Halm",Landbrug!C$16*Landbrug!C$17,IF(LEFT($D202,5)="Areal", IF($G202="Ton",Landbrug!C$18,1),1)),1)*IF($F202="Grøntsager",IF($A202="Grøntsager i drivhus",Landbrug!C$51,1-Landbrug!C$51),1)</f>
        <v>-407.11337243728485</v>
      </c>
      <c r="I202" s="298">
        <f>IF($A202&lt;&gt;"",IF(VLOOKUP($A202,[1]!Table1[#All],2,FALSE)="Direkte input",IF($A202&lt;&gt;"Grøntsager i drivhus",SUMIFS('Direkte input'!H$3:H$230,'Direkte input'!$F$3:$F$230,$D202,'Direkte input'!$C$3:$C$230,$B202,'Direkte input'!$D$3:$D$230,$C202,'Direkte input'!$A$3:$A$230,$A$1),SUMIFS('Direkte input'!H$3:H$230,'Direkte input'!$F$3:$F$230,$D202,'Direkte input'!$C$3:$C$230,$B202,'Direkte input'!$A$3:$A$230,$A$1)),IF(VLOOKUP($A202,[1]!Table1[#All],2,FALSE)="Resultat",SUMIF($F$1:$F201,$D202,I$1:I201)+SUMIF($F203:$F$512,$D202,I203:I$512),0))*'[1]Processer - data'!I202,"")*IF($C202&lt;&gt;"",IF($F202="Halm",Landbrug!D$16*Landbrug!D$17,IF(LEFT($D202,5)="Areal", IF($G202="Ton",Landbrug!D$18,1),1)),1)*IF($F202="Grøntsager",IF($A202="Grøntsager i drivhus",Landbrug!D$51,1-Landbrug!D$51),1)</f>
        <v>-449.48437346772795</v>
      </c>
      <c r="J202" s="299">
        <f>IF($A202&lt;&gt;"",IF(VLOOKUP($A202,[1]!Table1[#All],2,FALSE)="Direkte input",IF($A202&lt;&gt;"Grøntsager i drivhus",SUMIFS('Direkte input'!I$3:I$230,'Direkte input'!$F$3:$F$230,$D202,'Direkte input'!$C$3:$C$230,$B202,'Direkte input'!$D$3:$D$230,$C202,'Direkte input'!$A$3:$A$230,$A$1),SUMIFS('Direkte input'!I$3:I$230,'Direkte input'!$F$3:$F$230,$D202,'Direkte input'!$C$3:$C$230,$B202,'Direkte input'!$A$3:$A$230,$A$1)),IF(VLOOKUP($A202,[1]!Table1[#All],2,FALSE)="Resultat",SUMIF($F$1:$F201,$D202,J$1:J201)+SUMIF($F203:$F$512,$D202,J203:J$512),0))*'[1]Processer - data'!J202,"")*IF($C202&lt;&gt;"",IF($F202="Halm",Landbrug!E$16*Landbrug!E$17,IF(LEFT($D202,5)="Areal", IF($G202="Ton",Landbrug!E$18,1),1)),1)*IF($F202="Grøntsager",IF($A202="Grøntsager i drivhus",Landbrug!E$51,1-Landbrug!E$51),1)</f>
        <v>-582.66492856927687</v>
      </c>
    </row>
    <row r="203" spans="1:10" x14ac:dyDescent="0.25">
      <c r="A203" t="str">
        <f>IF('[1]Processer - data'!A203&lt;&gt;"",'[1]Processer - data'!A203,"")</f>
        <v>Kartoffelmark</v>
      </c>
      <c r="B203" t="str">
        <f>IF('[1]Processer - data'!B203&lt;&gt;"",'[1]Processer - data'!B203,"")</f>
        <v>Økologisk</v>
      </c>
      <c r="C203" t="str">
        <f>IF('[1]Processer - data'!C203&lt;&gt;"",'[1]Processer - data'!C203,"")</f>
        <v>OC6</v>
      </c>
      <c r="D203" t="str">
        <f>IF('[1]Processer - data'!D203&lt;&gt;"",'[1]Processer - data'!D203,"")</f>
        <v>Areal-kartofler</v>
      </c>
      <c r="E203" t="str">
        <f>IF('[1]Processer - data'!E203&lt;&gt;"",'[1]Processer - data'!E203,"")</f>
        <v>Hektar</v>
      </c>
      <c r="F203" t="str">
        <f>IF('[1]Processer - data'!F203&lt;&gt;"",'[1]Processer - data'!F203,"")</f>
        <v>CO2 - atmosfære</v>
      </c>
      <c r="G203" t="str">
        <f>IF('[1]Processer - data'!G203&lt;&gt;"",'[1]Processer - data'!G203,"")</f>
        <v>t CO2-ækvivalenter</v>
      </c>
      <c r="H203" s="297">
        <f>IF($A203&lt;&gt;"",IF(VLOOKUP($A203,[1]!Table1[#All],2,FALSE)="Direkte input",IF($A203&lt;&gt;"Grøntsager i drivhus",SUMIFS('Direkte input'!G$3:G$230,'Direkte input'!$F$3:$F$230,$D203,'Direkte input'!$C$3:$C$230,$B203,'Direkte input'!$D$3:$D$230,$C203,'Direkte input'!$A$3:$A$230,$A$1),SUMIFS('Direkte input'!G$3:G$230,'Direkte input'!$F$3:$F$230,$D203,'Direkte input'!$C$3:$C$230,$B203,'Direkte input'!$A$3:$A$230,$A$1)),IF(VLOOKUP($A203,[1]!Table1[#All],2,FALSE)="Resultat",SUMIF($F$1:$F202,$D203,H$1:H202)+SUMIF($F204:$F$512,$D203,H204:H$512),0))*'[1]Processer - data'!H203,"")*IF($C203&lt;&gt;"",IF($F203="Halm",Landbrug!C$16*Landbrug!C$17,IF(LEFT($D203,5)="Areal", IF($G203="Ton",Landbrug!C$18,1),1)),1)*IF($F203="Grøntsager",IF($A203="Grøntsager i drivhus",Landbrug!C$51,1-Landbrug!C$51),1)</f>
        <v>95.181763522417228</v>
      </c>
      <c r="I203" s="298">
        <f>IF($A203&lt;&gt;"",IF(VLOOKUP($A203,[1]!Table1[#All],2,FALSE)="Direkte input",IF($A203&lt;&gt;"Grøntsager i drivhus",SUMIFS('Direkte input'!H$3:H$230,'Direkte input'!$F$3:$F$230,$D203,'Direkte input'!$C$3:$C$230,$B203,'Direkte input'!$D$3:$D$230,$C203,'Direkte input'!$A$3:$A$230,$A$1),SUMIFS('Direkte input'!H$3:H$230,'Direkte input'!$F$3:$F$230,$D203,'Direkte input'!$C$3:$C$230,$B203,'Direkte input'!$A$3:$A$230,$A$1)),IF(VLOOKUP($A203,[1]!Table1[#All],2,FALSE)="Resultat",SUMIF($F$1:$F202,$D203,I$1:I202)+SUMIF($F204:$F$512,$D203,I204:I$512),0))*'[1]Processer - data'!I203,"")*IF($C203&lt;&gt;"",IF($F203="Halm",Landbrug!D$16*Landbrug!D$17,IF(LEFT($D203,5)="Areal", IF($G203="Ton",Landbrug!D$18,1),1)),1)*IF($F203="Grøntsager",IF($A203="Grøntsager i drivhus",Landbrug!D$51,1-Landbrug!D$51),1)</f>
        <v>105.0879637932251</v>
      </c>
      <c r="J203" s="299">
        <f>IF($A203&lt;&gt;"",IF(VLOOKUP($A203,[1]!Table1[#All],2,FALSE)="Direkte input",IF($A203&lt;&gt;"Grøntsager i drivhus",SUMIFS('Direkte input'!I$3:I$230,'Direkte input'!$F$3:$F$230,$D203,'Direkte input'!$C$3:$C$230,$B203,'Direkte input'!$D$3:$D$230,$C203,'Direkte input'!$A$3:$A$230,$A$1),SUMIFS('Direkte input'!I$3:I$230,'Direkte input'!$F$3:$F$230,$D203,'Direkte input'!$C$3:$C$230,$B203,'Direkte input'!$A$3:$A$230,$A$1)),IF(VLOOKUP($A203,[1]!Table1[#All],2,FALSE)="Resultat",SUMIF($F$1:$F202,$D203,J$1:J202)+SUMIF($F204:$F$512,$D203,J204:J$512),0))*'[1]Processer - data'!J203,"")*IF($C203&lt;&gt;"",IF($F203="Halm",Landbrug!E$16*Landbrug!E$17,IF(LEFT($D203,5)="Areal", IF($G203="Ton",Landbrug!E$18,1),1)),1)*IF($F203="Grøntsager",IF($A203="Grøntsager i drivhus",Landbrug!E$51,1-Landbrug!E$51),1)</f>
        <v>136.22513825047696</v>
      </c>
    </row>
    <row r="204" spans="1:10" x14ac:dyDescent="0.25">
      <c r="A204" t="str">
        <f>IF('[1]Processer - data'!A204&lt;&gt;"",'[1]Processer - data'!A204,"")</f>
        <v>Kartoffelmark</v>
      </c>
      <c r="B204" t="str">
        <f>IF('[1]Processer - data'!B204&lt;&gt;"",'[1]Processer - data'!B204,"")</f>
        <v>Økologisk</v>
      </c>
      <c r="C204" t="str">
        <f>IF('[1]Processer - data'!C204&lt;&gt;"",'[1]Processer - data'!C204,"")</f>
        <v>OC12</v>
      </c>
      <c r="D204" t="str">
        <f>IF('[1]Processer - data'!D204&lt;&gt;"",'[1]Processer - data'!D204,"")</f>
        <v>Areal-kartofler</v>
      </c>
      <c r="E204" t="str">
        <f>IF('[1]Processer - data'!E204&lt;&gt;"",'[1]Processer - data'!E204,"")</f>
        <v>Hektar</v>
      </c>
      <c r="F204" t="str">
        <f>IF('[1]Processer - data'!F204&lt;&gt;"",'[1]Processer - data'!F204,"")</f>
        <v>Kartofler</v>
      </c>
      <c r="G204" t="str">
        <f>IF('[1]Processer - data'!G204&lt;&gt;"",'[1]Processer - data'!G204,"")</f>
        <v>Ton</v>
      </c>
      <c r="H204" s="297">
        <f>IF($A204&lt;&gt;"",IF(VLOOKUP($A204,[1]!Table1[#All],2,FALSE)="Direkte input",IF($A204&lt;&gt;"Grøntsager i drivhus",SUMIFS('Direkte input'!G$3:G$230,'Direkte input'!$F$3:$F$230,$D204,'Direkte input'!$C$3:$C$230,$B204,'Direkte input'!$D$3:$D$230,$C204,'Direkte input'!$A$3:$A$230,$A$1),SUMIFS('Direkte input'!G$3:G$230,'Direkte input'!$F$3:$F$230,$D204,'Direkte input'!$C$3:$C$230,$B204,'Direkte input'!$A$3:$A$230,$A$1)),IF(VLOOKUP($A204,[1]!Table1[#All],2,FALSE)="Resultat",SUMIF($F$1:$F203,$D204,H$1:H203)+SUMIF($F205:$F$512,$D204,H205:H$512),0))*'[1]Processer - data'!H204,"")*IF($C204&lt;&gt;"",IF($F204="Halm",Landbrug!C$16*Landbrug!C$17,IF(LEFT($D204,5)="Areal", IF($G204="Ton",Landbrug!C$18,1),1)),1)*IF($F204="Grøntsager",IF($A204="Grøntsager i drivhus",Landbrug!C$51,1-Landbrug!C$51),1)</f>
        <v>182.31839827408808</v>
      </c>
      <c r="I204" s="298">
        <f>IF($A204&lt;&gt;"",IF(VLOOKUP($A204,[1]!Table1[#All],2,FALSE)="Direkte input",IF($A204&lt;&gt;"Grøntsager i drivhus",SUMIFS('Direkte input'!H$3:H$230,'Direkte input'!$F$3:$F$230,$D204,'Direkte input'!$C$3:$C$230,$B204,'Direkte input'!$D$3:$D$230,$C204,'Direkte input'!$A$3:$A$230,$A$1),SUMIFS('Direkte input'!H$3:H$230,'Direkte input'!$F$3:$F$230,$D204,'Direkte input'!$C$3:$C$230,$B204,'Direkte input'!$A$3:$A$230,$A$1)),IF(VLOOKUP($A204,[1]!Table1[#All],2,FALSE)="Resultat",SUMIF($F$1:$F203,$D204,I$1:I203)+SUMIF($F205:$F$512,$D204,I205:I$512),0))*'[1]Processer - data'!I204,"")*IF($C204&lt;&gt;"",IF($F204="Halm",Landbrug!D$16*Landbrug!D$17,IF(LEFT($D204,5)="Areal", IF($G204="Ton",Landbrug!D$18,1),1)),1)*IF($F204="Grøntsager",IF($A204="Grøntsager i drivhus",Landbrug!D$51,1-Landbrug!D$51),1)</f>
        <v>217.4952281170244</v>
      </c>
      <c r="J204" s="299">
        <f>IF($A204&lt;&gt;"",IF(VLOOKUP($A204,[1]!Table1[#All],2,FALSE)="Direkte input",IF($A204&lt;&gt;"Grøntsager i drivhus",SUMIFS('Direkte input'!I$3:I$230,'Direkte input'!$F$3:$F$230,$D204,'Direkte input'!$C$3:$C$230,$B204,'Direkte input'!$D$3:$D$230,$C204,'Direkte input'!$A$3:$A$230,$A$1),SUMIFS('Direkte input'!I$3:I$230,'Direkte input'!$F$3:$F$230,$D204,'Direkte input'!$C$3:$C$230,$B204,'Direkte input'!$A$3:$A$230,$A$1)),IF(VLOOKUP($A204,[1]!Table1[#All],2,FALSE)="Resultat",SUMIF($F$1:$F203,$D204,J$1:J203)+SUMIF($F205:$F$512,$D204,J205:J$512),0))*'[1]Processer - data'!J204,"")*IF($C204&lt;&gt;"",IF($F204="Halm",Landbrug!E$16*Landbrug!E$17,IF(LEFT($D204,5)="Areal", IF($G204="Ton",Landbrug!E$18,1),1)),1)*IF($F204="Grøntsager",IF($A204="Grøntsager i drivhus",Landbrug!E$51,1-Landbrug!E$51),1)</f>
        <v>302.45242301375868</v>
      </c>
    </row>
    <row r="205" spans="1:10" x14ac:dyDescent="0.25">
      <c r="A205" t="str">
        <f>IF('[1]Processer - data'!A205&lt;&gt;"",'[1]Processer - data'!A205,"")</f>
        <v>Kartoffelmark</v>
      </c>
      <c r="B205" t="str">
        <f>IF('[1]Processer - data'!B205&lt;&gt;"",'[1]Processer - data'!B205,"")</f>
        <v>Økologisk</v>
      </c>
      <c r="C205" t="str">
        <f>IF('[1]Processer - data'!C205&lt;&gt;"",'[1]Processer - data'!C205,"")</f>
        <v>OC12</v>
      </c>
      <c r="D205" t="str">
        <f>IF('[1]Processer - data'!D205&lt;&gt;"",'[1]Processer - data'!D205,"")</f>
        <v>Areal-kartofler</v>
      </c>
      <c r="E205" t="str">
        <f>IF('[1]Processer - data'!E205&lt;&gt;"",'[1]Processer - data'!E205,"")</f>
        <v>Hektar</v>
      </c>
      <c r="F205" t="str">
        <f>IF('[1]Processer - data'!F205&lt;&gt;"",'[1]Processer - data'!F205,"")</f>
        <v>Gødning</v>
      </c>
      <c r="G205" t="str">
        <f>IF('[1]Processer - data'!G205&lt;&gt;"",'[1]Processer - data'!G205,"")</f>
        <v>kg N</v>
      </c>
      <c r="H205" s="297">
        <f>IF($A205&lt;&gt;"",IF(VLOOKUP($A205,[1]!Table1[#All],2,FALSE)="Direkte input",IF($A205&lt;&gt;"Grøntsager i drivhus",SUMIFS('Direkte input'!G$3:G$230,'Direkte input'!$F$3:$F$230,$D205,'Direkte input'!$C$3:$C$230,$B205,'Direkte input'!$D$3:$D$230,$C205,'Direkte input'!$A$3:$A$230,$A$1),SUMIFS('Direkte input'!G$3:G$230,'Direkte input'!$F$3:$F$230,$D205,'Direkte input'!$C$3:$C$230,$B205,'Direkte input'!$A$3:$A$230,$A$1)),IF(VLOOKUP($A205,[1]!Table1[#All],2,FALSE)="Resultat",SUMIF($F$1:$F204,$D205,H$1:H204)+SUMIF($F206:$F$512,$D205,H206:H$512),0))*'[1]Processer - data'!H205,"")*IF($C205&lt;&gt;"",IF($F205="Halm",Landbrug!C$16*Landbrug!C$17,IF(LEFT($D205,5)="Areal", IF($G205="Ton",Landbrug!C$18,1),1)),1)*IF($F205="Grøntsager",IF($A205="Grøntsager i drivhus",Landbrug!C$51,1-Landbrug!C$51),1)</f>
        <v>-275.96468656162585</v>
      </c>
      <c r="I205" s="298">
        <f>IF($A205&lt;&gt;"",IF(VLOOKUP($A205,[1]!Table1[#All],2,FALSE)="Direkte input",IF($A205&lt;&gt;"Grøntsager i drivhus",SUMIFS('Direkte input'!H$3:H$230,'Direkte input'!$F$3:$F$230,$D205,'Direkte input'!$C$3:$C$230,$B205,'Direkte input'!$D$3:$D$230,$C205,'Direkte input'!$A$3:$A$230,$A$1),SUMIFS('Direkte input'!H$3:H$230,'Direkte input'!$F$3:$F$230,$D205,'Direkte input'!$C$3:$C$230,$B205,'Direkte input'!$A$3:$A$230,$A$1)),IF(VLOOKUP($A205,[1]!Table1[#All],2,FALSE)="Resultat",SUMIF($F$1:$F204,$D205,I$1:I204)+SUMIF($F206:$F$512,$D205,I206:I$512),0))*'[1]Processer - data'!I205,"")*IF($C205&lt;&gt;"",IF($F205="Halm",Landbrug!D$16*Landbrug!D$17,IF(LEFT($D205,5)="Areal", IF($G205="Ton",Landbrug!D$18,1),1)),1)*IF($F205="Grøntsager",IF($A205="Grøntsager i drivhus",Landbrug!D$51,1-Landbrug!D$51),1)</f>
        <v>-307.0986890352624</v>
      </c>
      <c r="J205" s="299">
        <f>IF($A205&lt;&gt;"",IF(VLOOKUP($A205,[1]!Table1[#All],2,FALSE)="Direkte input",IF($A205&lt;&gt;"Grøntsager i drivhus",SUMIFS('Direkte input'!I$3:I$230,'Direkte input'!$F$3:$F$230,$D205,'Direkte input'!$C$3:$C$230,$B205,'Direkte input'!$D$3:$D$230,$C205,'Direkte input'!$A$3:$A$230,$A$1),SUMIFS('Direkte input'!I$3:I$230,'Direkte input'!$F$3:$F$230,$D205,'Direkte input'!$C$3:$C$230,$B205,'Direkte input'!$A$3:$A$230,$A$1)),IF(VLOOKUP($A205,[1]!Table1[#All],2,FALSE)="Resultat",SUMIF($F$1:$F204,$D205,J$1:J204)+SUMIF($F206:$F$512,$D205,J206:J$512),0))*'[1]Processer - data'!J205,"")*IF($C205&lt;&gt;"",IF($F205="Halm",Landbrug!E$16*Landbrug!E$17,IF(LEFT($D205,5)="Areal", IF($G205="Ton",Landbrug!E$18,1),1)),1)*IF($F205="Grøntsager",IF($A205="Grøntsager i drivhus",Landbrug!E$51,1-Landbrug!E$51),1)</f>
        <v>-398.09089319385862</v>
      </c>
    </row>
    <row r="206" spans="1:10" x14ac:dyDescent="0.25">
      <c r="A206" t="str">
        <f>IF('[1]Processer - data'!A206&lt;&gt;"",'[1]Processer - data'!A206,"")</f>
        <v>Kartoffelmark</v>
      </c>
      <c r="B206" t="str">
        <f>IF('[1]Processer - data'!B206&lt;&gt;"",'[1]Processer - data'!B206,"")</f>
        <v>Økologisk</v>
      </c>
      <c r="C206" t="str">
        <f>IF('[1]Processer - data'!C206&lt;&gt;"",'[1]Processer - data'!C206,"")</f>
        <v>OC12</v>
      </c>
      <c r="D206" t="str">
        <f>IF('[1]Processer - data'!D206&lt;&gt;"",'[1]Processer - data'!D206,"")</f>
        <v>Areal-kartofler</v>
      </c>
      <c r="E206" t="str">
        <f>IF('[1]Processer - data'!E206&lt;&gt;"",'[1]Processer - data'!E206,"")</f>
        <v>Hektar</v>
      </c>
      <c r="F206" t="str">
        <f>IF('[1]Processer - data'!F206&lt;&gt;"",'[1]Processer - data'!F206,"")</f>
        <v>CO2 - atmosfære</v>
      </c>
      <c r="G206" t="str">
        <f>IF('[1]Processer - data'!G206&lt;&gt;"",'[1]Processer - data'!G206,"")</f>
        <v>t CO2-ækvivalenter</v>
      </c>
      <c r="H206" s="297">
        <f>IF($A206&lt;&gt;"",IF(VLOOKUP($A206,[1]!Table1[#All],2,FALSE)="Direkte input",IF($A206&lt;&gt;"Grøntsager i drivhus",SUMIFS('Direkte input'!G$3:G$230,'Direkte input'!$F$3:$F$230,$D206,'Direkte input'!$C$3:$C$230,$B206,'Direkte input'!$D$3:$D$230,$C206,'Direkte input'!$A$3:$A$230,$A$1),SUMIFS('Direkte input'!G$3:G$230,'Direkte input'!$F$3:$F$230,$D206,'Direkte input'!$C$3:$C$230,$B206,'Direkte input'!$A$3:$A$230,$A$1)),IF(VLOOKUP($A206,[1]!Table1[#All],2,FALSE)="Resultat",SUMIF($F$1:$F205,$D206,H$1:H205)+SUMIF($F207:$F$512,$D206,H207:H$512),0))*'[1]Processer - data'!H206,"")*IF($C206&lt;&gt;"",IF($F206="Halm",Landbrug!C$16*Landbrug!C$17,IF(LEFT($D206,5)="Areal", IF($G206="Ton",Landbrug!C$18,1),1)),1)*IF($F206="Grøntsager",IF($A206="Grøntsager i drivhus",Landbrug!C$51,1-Landbrug!C$51),1)</f>
        <v>220.29671540527528</v>
      </c>
      <c r="I206" s="298">
        <f>IF($A206&lt;&gt;"",IF(VLOOKUP($A206,[1]!Table1[#All],2,FALSE)="Direkte input",IF($A206&lt;&gt;"Grøntsager i drivhus",SUMIFS('Direkte input'!H$3:H$230,'Direkte input'!$F$3:$F$230,$D206,'Direkte input'!$C$3:$C$230,$B206,'Direkte input'!$D$3:$D$230,$C206,'Direkte input'!$A$3:$A$230,$A$1),SUMIFS('Direkte input'!H$3:H$230,'Direkte input'!$F$3:$F$230,$D206,'Direkte input'!$C$3:$C$230,$B206,'Direkte input'!$A$3:$A$230,$A$1)),IF(VLOOKUP($A206,[1]!Table1[#All],2,FALSE)="Resultat",SUMIF($F$1:$F205,$D206,I$1:I205)+SUMIF($F207:$F$512,$D206,I207:I$512),0))*'[1]Processer - data'!I206,"")*IF($C206&lt;&gt;"",IF($F206="Halm",Landbrug!D$16*Landbrug!D$17,IF(LEFT($D206,5)="Areal", IF($G206="Ton",Landbrug!D$18,1),1)),1)*IF($F206="Grøntsager",IF($A206="Grøntsager i drivhus",Landbrug!D$51,1-Landbrug!D$51),1)</f>
        <v>245.1503246399127</v>
      </c>
      <c r="J206" s="299">
        <f>IF($A206&lt;&gt;"",IF(VLOOKUP($A206,[1]!Table1[#All],2,FALSE)="Direkte input",IF($A206&lt;&gt;"Grøntsager i drivhus",SUMIFS('Direkte input'!I$3:I$230,'Direkte input'!$F$3:$F$230,$D206,'Direkte input'!$C$3:$C$230,$B206,'Direkte input'!$D$3:$D$230,$C206,'Direkte input'!$A$3:$A$230,$A$1),SUMIFS('Direkte input'!I$3:I$230,'Direkte input'!$F$3:$F$230,$D206,'Direkte input'!$C$3:$C$230,$B206,'Direkte input'!$A$3:$A$230,$A$1)),IF(VLOOKUP($A206,[1]!Table1[#All],2,FALSE)="Resultat",SUMIF($F$1:$F205,$D206,J$1:J205)+SUMIF($F207:$F$512,$D206,J207:J$512),0))*'[1]Processer - data'!J206,"")*IF($C206&lt;&gt;"",IF($F206="Halm",Landbrug!E$16*Landbrug!E$17,IF(LEFT($D206,5)="Areal", IF($G206="Ton",Landbrug!E$18,1),1)),1)*IF($F206="Grøntsager",IF($A206="Grøntsager i drivhus",Landbrug!E$51,1-Landbrug!E$51),1)</f>
        <v>317.78745786655344</v>
      </c>
    </row>
    <row r="207" spans="1:10" x14ac:dyDescent="0.25">
      <c r="A207" t="str">
        <f>IF('[1]Processer - data'!A207&lt;&gt;"",'[1]Processer - data'!A207,"")</f>
        <v>Græsmark</v>
      </c>
      <c r="B207" t="str">
        <f>IF('[1]Processer - data'!B207&lt;&gt;"",'[1]Processer - data'!B207,"")</f>
        <v>Konventionel</v>
      </c>
      <c r="C207" t="str">
        <f>IF('[1]Processer - data'!C207&lt;&gt;"",'[1]Processer - data'!C207,"")</f>
        <v>JB1-10</v>
      </c>
      <c r="D207" t="str">
        <f>IF('[1]Processer - data'!D207&lt;&gt;"",'[1]Processer - data'!D207,"")</f>
        <v>Areal-græs</v>
      </c>
      <c r="E207" t="str">
        <f>IF('[1]Processer - data'!E207&lt;&gt;"",'[1]Processer - data'!E207,"")</f>
        <v>Hektar</v>
      </c>
      <c r="F207" t="str">
        <f>IF('[1]Processer - data'!F207&lt;&gt;"",'[1]Processer - data'!F207,"")</f>
        <v>Græs</v>
      </c>
      <c r="G207" t="str">
        <f>IF('[1]Processer - data'!G207&lt;&gt;"",'[1]Processer - data'!G207,"")</f>
        <v>Ton</v>
      </c>
      <c r="H207" s="297">
        <f>IF($A207&lt;&gt;"",IF(VLOOKUP($A207,[1]!Table1[#All],2,FALSE)="Direkte input",IF($A207&lt;&gt;"Grøntsager i drivhus",SUMIFS('Direkte input'!G$3:G$230,'Direkte input'!$F$3:$F$230,$D207,'Direkte input'!$C$3:$C$230,$B207,'Direkte input'!$D$3:$D$230,$C207,'Direkte input'!$A$3:$A$230,$A$1),SUMIFS('Direkte input'!G$3:G$230,'Direkte input'!$F$3:$F$230,$D207,'Direkte input'!$C$3:$C$230,$B207,'Direkte input'!$A$3:$A$230,$A$1)),IF(VLOOKUP($A207,[1]!Table1[#All],2,FALSE)="Resultat",SUMIF($F$1:$F206,$D207,H$1:H206)+SUMIF($F208:$F$512,$D207,H208:H$512),0))*'[1]Processer - data'!H207,"")*IF($C207&lt;&gt;"",IF($F207="Halm",Landbrug!C$16*Landbrug!C$17,IF(LEFT($D207,5)="Areal", IF($G207="Ton",Landbrug!C$18,1),1)),1)*IF($F207="Grøntsager",IF($A207="Grøntsager i drivhus",Landbrug!C$51,1-Landbrug!C$51),1)</f>
        <v>1205818.784002535</v>
      </c>
      <c r="I207" s="298">
        <f>IF($A207&lt;&gt;"",IF(VLOOKUP($A207,[1]!Table1[#All],2,FALSE)="Direkte input",IF($A207&lt;&gt;"Grøntsager i drivhus",SUMIFS('Direkte input'!H$3:H$230,'Direkte input'!$F$3:$F$230,$D207,'Direkte input'!$C$3:$C$230,$B207,'Direkte input'!$D$3:$D$230,$C207,'Direkte input'!$A$3:$A$230,$A$1),SUMIFS('Direkte input'!H$3:H$230,'Direkte input'!$F$3:$F$230,$D207,'Direkte input'!$C$3:$C$230,$B207,'Direkte input'!$A$3:$A$230,$A$1)),IF(VLOOKUP($A207,[1]!Table1[#All],2,FALSE)="Resultat",SUMIF($F$1:$F206,$D207,I$1:I206)+SUMIF($F208:$F$512,$D207,I208:I$512),0))*'[1]Processer - data'!I207,"")*IF($C207&lt;&gt;"",IF($F207="Halm",Landbrug!D$16*Landbrug!D$17,IF(LEFT($D207,5)="Areal", IF($G207="Ton",Landbrug!D$18,1),1)),1)*IF($F207="Grøntsager",IF($A207="Grøntsager i drivhus",Landbrug!D$51,1-Landbrug!D$51),1)</f>
        <v>1254733.488537685</v>
      </c>
      <c r="J207" s="299">
        <f>IF($A207&lt;&gt;"",IF(VLOOKUP($A207,[1]!Table1[#All],2,FALSE)="Direkte input",IF($A207&lt;&gt;"Grøntsager i drivhus",SUMIFS('Direkte input'!I$3:I$230,'Direkte input'!$F$3:$F$230,$D207,'Direkte input'!$C$3:$C$230,$B207,'Direkte input'!$D$3:$D$230,$C207,'Direkte input'!$A$3:$A$230,$A$1),SUMIFS('Direkte input'!I$3:I$230,'Direkte input'!$F$3:$F$230,$D207,'Direkte input'!$C$3:$C$230,$B207,'Direkte input'!$A$3:$A$230,$A$1)),IF(VLOOKUP($A207,[1]!Table1[#All],2,FALSE)="Resultat",SUMIF($F$1:$F206,$D207,J$1:J206)+SUMIF($F208:$F$512,$D207,J208:J$512),0))*'[1]Processer - data'!J207,"")*IF($C207&lt;&gt;"",IF($F207="Halm",Landbrug!E$16*Landbrug!E$17,IF(LEFT($D207,5)="Areal", IF($G207="Ton",Landbrug!E$18,1),1)),1)*IF($F207="Grøntsager",IF($A207="Grøntsager i drivhus",Landbrug!E$51,1-Landbrug!E$51),1)</f>
        <v>1271946.1478642891</v>
      </c>
    </row>
    <row r="208" spans="1:10" x14ac:dyDescent="0.25">
      <c r="A208" t="str">
        <f>IF('[1]Processer - data'!A208&lt;&gt;"",'[1]Processer - data'!A208,"")</f>
        <v>Græsmark</v>
      </c>
      <c r="B208" t="str">
        <f>IF('[1]Processer - data'!B208&lt;&gt;"",'[1]Processer - data'!B208,"")</f>
        <v>Konventionel</v>
      </c>
      <c r="C208" t="str">
        <f>IF('[1]Processer - data'!C208&lt;&gt;"",'[1]Processer - data'!C208,"")</f>
        <v>JB1-10</v>
      </c>
      <c r="D208" t="str">
        <f>IF('[1]Processer - data'!D208&lt;&gt;"",'[1]Processer - data'!D208,"")</f>
        <v>Areal-græs</v>
      </c>
      <c r="E208" t="str">
        <f>IF('[1]Processer - data'!E208&lt;&gt;"",'[1]Processer - data'!E208,"")</f>
        <v>Hektar</v>
      </c>
      <c r="F208" t="str">
        <f>IF('[1]Processer - data'!F208&lt;&gt;"",'[1]Processer - data'!F208,"")</f>
        <v>Gødning</v>
      </c>
      <c r="G208" t="str">
        <f>IF('[1]Processer - data'!G208&lt;&gt;"",'[1]Processer - data'!G208,"")</f>
        <v>kg N</v>
      </c>
      <c r="H208" s="297">
        <f>IF($A208&lt;&gt;"",IF(VLOOKUP($A208,[1]!Table1[#All],2,FALSE)="Direkte input",IF($A208&lt;&gt;"Grøntsager i drivhus",SUMIFS('Direkte input'!G$3:G$230,'Direkte input'!$F$3:$F$230,$D208,'Direkte input'!$C$3:$C$230,$B208,'Direkte input'!$D$3:$D$230,$C208,'Direkte input'!$A$3:$A$230,$A$1),SUMIFS('Direkte input'!G$3:G$230,'Direkte input'!$F$3:$F$230,$D208,'Direkte input'!$C$3:$C$230,$B208,'Direkte input'!$A$3:$A$230,$A$1)),IF(VLOOKUP($A208,[1]!Table1[#All],2,FALSE)="Resultat",SUMIF($F$1:$F207,$D208,H$1:H207)+SUMIF($F209:$F$512,$D208,H209:H$512),0))*'[1]Processer - data'!H208,"")*IF($C208&lt;&gt;"",IF($F208="Halm",Landbrug!C$16*Landbrug!C$17,IF(LEFT($D208,5)="Areal", IF($G208="Ton",Landbrug!C$18,1),1)),1)*IF($F208="Grøntsager",IF($A208="Grøntsager i drivhus",Landbrug!C$51,1-Landbrug!C$51),1)</f>
        <v>-3766664.8835226307</v>
      </c>
      <c r="I208" s="298">
        <f>IF($A208&lt;&gt;"",IF(VLOOKUP($A208,[1]!Table1[#All],2,FALSE)="Direkte input",IF($A208&lt;&gt;"Grøntsager i drivhus",SUMIFS('Direkte input'!H$3:H$230,'Direkte input'!$F$3:$F$230,$D208,'Direkte input'!$C$3:$C$230,$B208,'Direkte input'!$D$3:$D$230,$C208,'Direkte input'!$A$3:$A$230,$A$1),SUMIFS('Direkte input'!H$3:H$230,'Direkte input'!$F$3:$F$230,$D208,'Direkte input'!$C$3:$C$230,$B208,'Direkte input'!$A$3:$A$230,$A$1)),IF(VLOOKUP($A208,[1]!Table1[#All],2,FALSE)="Resultat",SUMIF($F$1:$F207,$D208,I$1:I207)+SUMIF($F209:$F$512,$D208,I209:I$512),0))*'[1]Processer - data'!I208,"")*IF($C208&lt;&gt;"",IF($F208="Halm",Landbrug!D$16*Landbrug!D$17,IF(LEFT($D208,5)="Areal", IF($G208="Ton",Landbrug!D$18,1),1)),1)*IF($F208="Grøntsager",IF($A208="Grøntsager i drivhus",Landbrug!D$51,1-Landbrug!D$51),1)</f>
        <v>-3656214.2943711989</v>
      </c>
      <c r="J208" s="299">
        <f>IF($A208&lt;&gt;"",IF(VLOOKUP($A208,[1]!Table1[#All],2,FALSE)="Direkte input",IF($A208&lt;&gt;"Grøntsager i drivhus",SUMIFS('Direkte input'!I$3:I$230,'Direkte input'!$F$3:$F$230,$D208,'Direkte input'!$C$3:$C$230,$B208,'Direkte input'!$D$3:$D$230,$C208,'Direkte input'!$A$3:$A$230,$A$1),SUMIFS('Direkte input'!I$3:I$230,'Direkte input'!$F$3:$F$230,$D208,'Direkte input'!$C$3:$C$230,$B208,'Direkte input'!$A$3:$A$230,$A$1)),IF(VLOOKUP($A208,[1]!Table1[#All],2,FALSE)="Resultat",SUMIF($F$1:$F207,$D208,J$1:J207)+SUMIF($F209:$F$512,$D208,J209:J$512),0))*'[1]Processer - data'!J208,"")*IF($C208&lt;&gt;"",IF($F208="Halm",Landbrug!E$16*Landbrug!E$17,IF(LEFT($D208,5)="Areal", IF($G208="Ton",Landbrug!E$18,1),1)),1)*IF($F208="Grøntsager",IF($A208="Grøntsager i drivhus",Landbrug!E$51,1-Landbrug!E$51),1)</f>
        <v>-3454982.2637955388</v>
      </c>
    </row>
    <row r="209" spans="1:10" x14ac:dyDescent="0.25">
      <c r="A209" t="str">
        <f>IF('[1]Processer - data'!A209&lt;&gt;"",'[1]Processer - data'!A209,"")</f>
        <v>Græsmark</v>
      </c>
      <c r="B209" t="str">
        <f>IF('[1]Processer - data'!B209&lt;&gt;"",'[1]Processer - data'!B209,"")</f>
        <v>Konventionel</v>
      </c>
      <c r="C209" t="str">
        <f>IF('[1]Processer - data'!C209&lt;&gt;"",'[1]Processer - data'!C209,"")</f>
        <v>JB1-10</v>
      </c>
      <c r="D209" t="str">
        <f>IF('[1]Processer - data'!D209&lt;&gt;"",'[1]Processer - data'!D209,"")</f>
        <v>Areal-græs</v>
      </c>
      <c r="E209" t="str">
        <f>IF('[1]Processer - data'!E209&lt;&gt;"",'[1]Processer - data'!E209,"")</f>
        <v>Hektar</v>
      </c>
      <c r="F209" t="str">
        <f>IF('[1]Processer - data'!F209&lt;&gt;"",'[1]Processer - data'!F209,"")</f>
        <v>CO2 - atmosfære</v>
      </c>
      <c r="G209" t="str">
        <f>IF('[1]Processer - data'!G209&lt;&gt;"",'[1]Processer - data'!G209,"")</f>
        <v>t CO2-ækvivalenter</v>
      </c>
      <c r="H209" s="297">
        <f>IF($A209&lt;&gt;"",IF(VLOOKUP($A209,[1]!Table1[#All],2,FALSE)="Direkte input",IF($A209&lt;&gt;"Grøntsager i drivhus",SUMIFS('Direkte input'!G$3:G$230,'Direkte input'!$F$3:$F$230,$D209,'Direkte input'!$C$3:$C$230,$B209,'Direkte input'!$D$3:$D$230,$C209,'Direkte input'!$A$3:$A$230,$A$1),SUMIFS('Direkte input'!G$3:G$230,'Direkte input'!$F$3:$F$230,$D209,'Direkte input'!$C$3:$C$230,$B209,'Direkte input'!$A$3:$A$230,$A$1)),IF(VLOOKUP($A209,[1]!Table1[#All],2,FALSE)="Resultat",SUMIF($F$1:$F208,$D209,H$1:H208)+SUMIF($F210:$F$512,$D209,H210:H$512),0))*'[1]Processer - data'!H209,"")*IF($C209&lt;&gt;"",IF($F209="Halm",Landbrug!C$16*Landbrug!C$17,IF(LEFT($D209,5)="Areal", IF($G209="Ton",Landbrug!C$18,1),1)),1)*IF($F209="Grøntsager",IF($A209="Grøntsager i drivhus",Landbrug!C$51,1-Landbrug!C$51),1)</f>
        <v>55253.191805617316</v>
      </c>
      <c r="I209" s="298">
        <f>IF($A209&lt;&gt;"",IF(VLOOKUP($A209,[1]!Table1[#All],2,FALSE)="Direkte input",IF($A209&lt;&gt;"Grøntsager i drivhus",SUMIFS('Direkte input'!H$3:H$230,'Direkte input'!$F$3:$F$230,$D209,'Direkte input'!$C$3:$C$230,$B209,'Direkte input'!$D$3:$D$230,$C209,'Direkte input'!$A$3:$A$230,$A$1),SUMIFS('Direkte input'!H$3:H$230,'Direkte input'!$F$3:$F$230,$D209,'Direkte input'!$C$3:$C$230,$B209,'Direkte input'!$A$3:$A$230,$A$1)),IF(VLOOKUP($A209,[1]!Table1[#All],2,FALSE)="Resultat",SUMIF($F$1:$F208,$D209,I$1:I208)+SUMIF($F210:$F$512,$D209,I210:I$512),0))*'[1]Processer - data'!I209,"")*IF($C209&lt;&gt;"",IF($F209="Halm",Landbrug!D$16*Landbrug!D$17,IF(LEFT($D209,5)="Areal", IF($G209="Ton",Landbrug!D$18,1),1)),1)*IF($F209="Grøntsager",IF($A209="Grøntsager i drivhus",Landbrug!D$51,1-Landbrug!D$51),1)</f>
        <v>53632.992564074986</v>
      </c>
      <c r="J209" s="299">
        <f>IF($A209&lt;&gt;"",IF(VLOOKUP($A209,[1]!Table1[#All],2,FALSE)="Direkte input",IF($A209&lt;&gt;"Grøntsager i drivhus",SUMIFS('Direkte input'!I$3:I$230,'Direkte input'!$F$3:$F$230,$D209,'Direkte input'!$C$3:$C$230,$B209,'Direkte input'!$D$3:$D$230,$C209,'Direkte input'!$A$3:$A$230,$A$1),SUMIFS('Direkte input'!I$3:I$230,'Direkte input'!$F$3:$F$230,$D209,'Direkte input'!$C$3:$C$230,$B209,'Direkte input'!$A$3:$A$230,$A$1)),IF(VLOOKUP($A209,[1]!Table1[#All],2,FALSE)="Resultat",SUMIF($F$1:$F208,$D209,J$1:J208)+SUMIF($F210:$F$512,$D209,J210:J$512),0))*'[1]Processer - data'!J209,"")*IF($C209&lt;&gt;"",IF($F209="Halm",Landbrug!E$16*Landbrug!E$17,IF(LEFT($D209,5)="Areal", IF($G209="Ton",Landbrug!E$18,1),1)),1)*IF($F209="Grøntsager",IF($A209="Grøntsager i drivhus",Landbrug!E$51,1-Landbrug!E$51),1)</f>
        <v>50681.120728736016</v>
      </c>
    </row>
    <row r="210" spans="1:10" x14ac:dyDescent="0.25">
      <c r="A210" t="str">
        <f>IF('[1]Processer - data'!A210&lt;&gt;"",'[1]Processer - data'!A210,"")</f>
        <v>Græsmark</v>
      </c>
      <c r="B210" t="str">
        <f>IF('[1]Processer - data'!B210&lt;&gt;"",'[1]Processer - data'!B210,"")</f>
        <v>Konventionel</v>
      </c>
      <c r="C210" t="str">
        <f>IF('[1]Processer - data'!C210&lt;&gt;"",'[1]Processer - data'!C210,"")</f>
        <v>OC6</v>
      </c>
      <c r="D210" t="str">
        <f>IF('[1]Processer - data'!D210&lt;&gt;"",'[1]Processer - data'!D210,"")</f>
        <v>Areal-græs</v>
      </c>
      <c r="E210" t="str">
        <f>IF('[1]Processer - data'!E210&lt;&gt;"",'[1]Processer - data'!E210,"")</f>
        <v>Hektar</v>
      </c>
      <c r="F210" t="str">
        <f>IF('[1]Processer - data'!F210&lt;&gt;"",'[1]Processer - data'!F210,"")</f>
        <v>Græs</v>
      </c>
      <c r="G210" t="str">
        <f>IF('[1]Processer - data'!G210&lt;&gt;"",'[1]Processer - data'!G210,"")</f>
        <v>Ton</v>
      </c>
      <c r="H210" s="297">
        <f>IF($A210&lt;&gt;"",IF(VLOOKUP($A210,[1]!Table1[#All],2,FALSE)="Direkte input",IF($A210&lt;&gt;"Grøntsager i drivhus",SUMIFS('Direkte input'!G$3:G$230,'Direkte input'!$F$3:$F$230,$D210,'Direkte input'!$C$3:$C$230,$B210,'Direkte input'!$D$3:$D$230,$C210,'Direkte input'!$A$3:$A$230,$A$1),SUMIFS('Direkte input'!G$3:G$230,'Direkte input'!$F$3:$F$230,$D210,'Direkte input'!$C$3:$C$230,$B210,'Direkte input'!$A$3:$A$230,$A$1)),IF(VLOOKUP($A210,[1]!Table1[#All],2,FALSE)="Resultat",SUMIF($F$1:$F209,$D210,H$1:H209)+SUMIF($F211:$F$512,$D210,H211:H$512),0))*'[1]Processer - data'!H210,"")*IF($C210&lt;&gt;"",IF($F210="Halm",Landbrug!C$16*Landbrug!C$17,IF(LEFT($D210,5)="Areal", IF($G210="Ton",Landbrug!C$18,1),1)),1)*IF($F210="Grøntsager",IF($A210="Grøntsager i drivhus",Landbrug!C$51,1-Landbrug!C$51),1)</f>
        <v>86085.495864669807</v>
      </c>
      <c r="I210" s="298">
        <f>IF($A210&lt;&gt;"",IF(VLOOKUP($A210,[1]!Table1[#All],2,FALSE)="Direkte input",IF($A210&lt;&gt;"Grøntsager i drivhus",SUMIFS('Direkte input'!H$3:H$230,'Direkte input'!$F$3:$F$230,$D210,'Direkte input'!$C$3:$C$230,$B210,'Direkte input'!$D$3:$D$230,$C210,'Direkte input'!$A$3:$A$230,$A$1),SUMIFS('Direkte input'!H$3:H$230,'Direkte input'!$F$3:$F$230,$D210,'Direkte input'!$C$3:$C$230,$B210,'Direkte input'!$A$3:$A$230,$A$1)),IF(VLOOKUP($A210,[1]!Table1[#All],2,FALSE)="Resultat",SUMIF($F$1:$F209,$D210,I$1:I209)+SUMIF($F211:$F$512,$D210,I211:I$512),0))*'[1]Processer - data'!I210,"")*IF($C210&lt;&gt;"",IF($F210="Halm",Landbrug!D$16*Landbrug!D$17,IF(LEFT($D210,5)="Areal", IF($G210="Ton",Landbrug!D$18,1),1)),1)*IF($F210="Grøntsager",IF($A210="Grøntsager i drivhus",Landbrug!D$51,1-Landbrug!D$51),1)</f>
        <v>83473.030958534262</v>
      </c>
      <c r="J210" s="299">
        <f>IF($A210&lt;&gt;"",IF(VLOOKUP($A210,[1]!Table1[#All],2,FALSE)="Direkte input",IF($A210&lt;&gt;"Grøntsager i drivhus",SUMIFS('Direkte input'!I$3:I$230,'Direkte input'!$F$3:$F$230,$D210,'Direkte input'!$C$3:$C$230,$B210,'Direkte input'!$D$3:$D$230,$C210,'Direkte input'!$A$3:$A$230,$A$1),SUMIFS('Direkte input'!I$3:I$230,'Direkte input'!$F$3:$F$230,$D210,'Direkte input'!$C$3:$C$230,$B210,'Direkte input'!$A$3:$A$230,$A$1)),IF(VLOOKUP($A210,[1]!Table1[#All],2,FALSE)="Resultat",SUMIF($F$1:$F209,$D210,J$1:J209)+SUMIF($F211:$F$512,$D210,J211:J$512),0))*'[1]Processer - data'!J210,"")*IF($C210&lt;&gt;"",IF($F210="Halm",Landbrug!E$16*Landbrug!E$17,IF(LEFT($D210,5)="Areal", IF($G210="Ton",Landbrug!E$18,1),1)),1)*IF($F210="Grøntsager",IF($A210="Grøntsager i drivhus",Landbrug!E$51,1-Landbrug!E$51),1)</f>
        <v>85405.743811911569</v>
      </c>
    </row>
    <row r="211" spans="1:10" x14ac:dyDescent="0.25">
      <c r="A211" t="str">
        <f>IF('[1]Processer - data'!A211&lt;&gt;"",'[1]Processer - data'!A211,"")</f>
        <v>Græsmark</v>
      </c>
      <c r="B211" t="str">
        <f>IF('[1]Processer - data'!B211&lt;&gt;"",'[1]Processer - data'!B211,"")</f>
        <v>Konventionel</v>
      </c>
      <c r="C211" t="str">
        <f>IF('[1]Processer - data'!C211&lt;&gt;"",'[1]Processer - data'!C211,"")</f>
        <v>OC6</v>
      </c>
      <c r="D211" t="str">
        <f>IF('[1]Processer - data'!D211&lt;&gt;"",'[1]Processer - data'!D211,"")</f>
        <v>Areal-græs</v>
      </c>
      <c r="E211" t="str">
        <f>IF('[1]Processer - data'!E211&lt;&gt;"",'[1]Processer - data'!E211,"")</f>
        <v>Hektar</v>
      </c>
      <c r="F211" t="str">
        <f>IF('[1]Processer - data'!F211&lt;&gt;"",'[1]Processer - data'!F211,"")</f>
        <v>Gødning</v>
      </c>
      <c r="G211" t="str">
        <f>IF('[1]Processer - data'!G211&lt;&gt;"",'[1]Processer - data'!G211,"")</f>
        <v>kg N</v>
      </c>
      <c r="H211" s="297">
        <f>IF($A211&lt;&gt;"",IF(VLOOKUP($A211,[1]!Table1[#All],2,FALSE)="Direkte input",IF($A211&lt;&gt;"Grøntsager i drivhus",SUMIFS('Direkte input'!G$3:G$230,'Direkte input'!$F$3:$F$230,$D211,'Direkte input'!$C$3:$C$230,$B211,'Direkte input'!$D$3:$D$230,$C211,'Direkte input'!$A$3:$A$230,$A$1),SUMIFS('Direkte input'!G$3:G$230,'Direkte input'!$F$3:$F$230,$D211,'Direkte input'!$C$3:$C$230,$B211,'Direkte input'!$A$3:$A$230,$A$1)),IF(VLOOKUP($A211,[1]!Table1[#All],2,FALSE)="Resultat",SUMIF($F$1:$F210,$D211,H$1:H210)+SUMIF($F212:$F$512,$D211,H212:H$512),0))*'[1]Processer - data'!H211,"")*IF($C211&lt;&gt;"",IF($F211="Halm",Landbrug!C$16*Landbrug!C$17,IF(LEFT($D211,5)="Areal", IF($G211="Ton",Landbrug!C$18,1),1)),1)*IF($F211="Grøntsager",IF($A211="Grøntsager i drivhus",Landbrug!C$51,1-Landbrug!C$51),1)</f>
        <v>-187946.971355755</v>
      </c>
      <c r="I211" s="298">
        <f>IF($A211&lt;&gt;"",IF(VLOOKUP($A211,[1]!Table1[#All],2,FALSE)="Direkte input",IF($A211&lt;&gt;"Grøntsager i drivhus",SUMIFS('Direkte input'!H$3:H$230,'Direkte input'!$F$3:$F$230,$D211,'Direkte input'!$C$3:$C$230,$B211,'Direkte input'!$D$3:$D$230,$C211,'Direkte input'!$A$3:$A$230,$A$1),SUMIFS('Direkte input'!H$3:H$230,'Direkte input'!$F$3:$F$230,$D211,'Direkte input'!$C$3:$C$230,$B211,'Direkte input'!$A$3:$A$230,$A$1)),IF(VLOOKUP($A211,[1]!Table1[#All],2,FALSE)="Resultat",SUMIF($F$1:$F210,$D211,I$1:I210)+SUMIF($F212:$F$512,$D211,I212:I$512),0))*'[1]Processer - data'!I211,"")*IF($C211&lt;&gt;"",IF($F211="Halm",Landbrug!D$16*Landbrug!D$17,IF(LEFT($D211,5)="Areal", IF($G211="Ton",Landbrug!D$18,1),1)),1)*IF($F211="Grøntsager",IF($A211="Grøntsager i drivhus",Landbrug!D$51,1-Landbrug!D$51),1)</f>
        <v>-170003.06221263966</v>
      </c>
      <c r="J211" s="299">
        <f>IF($A211&lt;&gt;"",IF(VLOOKUP($A211,[1]!Table1[#All],2,FALSE)="Direkte input",IF($A211&lt;&gt;"Grøntsager i drivhus",SUMIFS('Direkte input'!I$3:I$230,'Direkte input'!$F$3:$F$230,$D211,'Direkte input'!$C$3:$C$230,$B211,'Direkte input'!$D$3:$D$230,$C211,'Direkte input'!$A$3:$A$230,$A$1),SUMIFS('Direkte input'!I$3:I$230,'Direkte input'!$F$3:$F$230,$D211,'Direkte input'!$C$3:$C$230,$B211,'Direkte input'!$A$3:$A$230,$A$1)),IF(VLOOKUP($A211,[1]!Table1[#All],2,FALSE)="Resultat",SUMIF($F$1:$F210,$D211,J$1:J210)+SUMIF($F212:$F$512,$D211,J212:J$512),0))*'[1]Processer - data'!J211,"")*IF($C211&lt;&gt;"",IF($F211="Halm",Landbrug!E$16*Landbrug!E$17,IF(LEFT($D211,5)="Areal", IF($G211="Ton",Landbrug!E$18,1),1)),1)*IF($F211="Grøntsager",IF($A211="Grøntsager i drivhus",Landbrug!E$51,1-Landbrug!E$51),1)</f>
        <v>-162141.6489311303</v>
      </c>
    </row>
    <row r="212" spans="1:10" x14ac:dyDescent="0.25">
      <c r="A212" t="str">
        <f>IF('[1]Processer - data'!A212&lt;&gt;"",'[1]Processer - data'!A212,"")</f>
        <v>Græsmark</v>
      </c>
      <c r="B212" t="str">
        <f>IF('[1]Processer - data'!B212&lt;&gt;"",'[1]Processer - data'!B212,"")</f>
        <v>Konventionel</v>
      </c>
      <c r="C212" t="str">
        <f>IF('[1]Processer - data'!C212&lt;&gt;"",'[1]Processer - data'!C212,"")</f>
        <v>OC6</v>
      </c>
      <c r="D212" t="str">
        <f>IF('[1]Processer - data'!D212&lt;&gt;"",'[1]Processer - data'!D212,"")</f>
        <v>Areal-græs</v>
      </c>
      <c r="E212" t="str">
        <f>IF('[1]Processer - data'!E212&lt;&gt;"",'[1]Processer - data'!E212,"")</f>
        <v>Hektar</v>
      </c>
      <c r="F212" t="str">
        <f>IF('[1]Processer - data'!F212&lt;&gt;"",'[1]Processer - data'!F212,"")</f>
        <v>CO2 - atmosfære</v>
      </c>
      <c r="G212" t="str">
        <f>IF('[1]Processer - data'!G212&lt;&gt;"",'[1]Processer - data'!G212,"")</f>
        <v>t CO2-ækvivalenter</v>
      </c>
      <c r="H212" s="297">
        <f>IF($A212&lt;&gt;"",IF(VLOOKUP($A212,[1]!Table1[#All],2,FALSE)="Direkte input",IF($A212&lt;&gt;"Grøntsager i drivhus",SUMIFS('Direkte input'!G$3:G$230,'Direkte input'!$F$3:$F$230,$D212,'Direkte input'!$C$3:$C$230,$B212,'Direkte input'!$D$3:$D$230,$C212,'Direkte input'!$A$3:$A$230,$A$1),SUMIFS('Direkte input'!G$3:G$230,'Direkte input'!$F$3:$F$230,$D212,'Direkte input'!$C$3:$C$230,$B212,'Direkte input'!$A$3:$A$230,$A$1)),IF(VLOOKUP($A212,[1]!Table1[#All],2,FALSE)="Resultat",SUMIF($F$1:$F211,$D212,H$1:H211)+SUMIF($F213:$F$512,$D212,H213:H$512),0))*'[1]Processer - data'!H212,"")*IF($C212&lt;&gt;"",IF($F212="Halm",Landbrug!C$16*Landbrug!C$17,IF(LEFT($D212,5)="Areal", IF($G212="Ton",Landbrug!C$18,1),1)),1)*IF($F212="Grøntsager",IF($A212="Grøntsager i drivhus",Landbrug!C$51,1-Landbrug!C$51),1)</f>
        <v>23119.927101659832</v>
      </c>
      <c r="I212" s="298">
        <f>IF($A212&lt;&gt;"",IF(VLOOKUP($A212,[1]!Table1[#All],2,FALSE)="Direkte input",IF($A212&lt;&gt;"Grøntsager i drivhus",SUMIFS('Direkte input'!H$3:H$230,'Direkte input'!$F$3:$F$230,$D212,'Direkte input'!$C$3:$C$230,$B212,'Direkte input'!$D$3:$D$230,$C212,'Direkte input'!$A$3:$A$230,$A$1),SUMIFS('Direkte input'!H$3:H$230,'Direkte input'!$F$3:$F$230,$D212,'Direkte input'!$C$3:$C$230,$B212,'Direkte input'!$A$3:$A$230,$A$1)),IF(VLOOKUP($A212,[1]!Table1[#All],2,FALSE)="Resultat",SUMIF($F$1:$F211,$D212,I$1:I211)+SUMIF($F213:$F$512,$D212,I213:I$512),0))*'[1]Processer - data'!I212,"")*IF($C212&lt;&gt;"",IF($F212="Halm",Landbrug!D$16*Landbrug!D$17,IF(LEFT($D212,5)="Areal", IF($G212="Ton",Landbrug!D$18,1),1)),1)*IF($F212="Grøntsager",IF($A212="Grøntsager i drivhus",Landbrug!D$51,1-Landbrug!D$51),1)</f>
        <v>20912.592403393461</v>
      </c>
      <c r="J212" s="299">
        <f>IF($A212&lt;&gt;"",IF(VLOOKUP($A212,[1]!Table1[#All],2,FALSE)="Direkte input",IF($A212&lt;&gt;"Grøntsager i drivhus",SUMIFS('Direkte input'!I$3:I$230,'Direkte input'!$F$3:$F$230,$D212,'Direkte input'!$C$3:$C$230,$B212,'Direkte input'!$D$3:$D$230,$C212,'Direkte input'!$A$3:$A$230,$A$1),SUMIFS('Direkte input'!I$3:I$230,'Direkte input'!$F$3:$F$230,$D212,'Direkte input'!$C$3:$C$230,$B212,'Direkte input'!$A$3:$A$230,$A$1)),IF(VLOOKUP($A212,[1]!Table1[#All],2,FALSE)="Resultat",SUMIF($F$1:$F211,$D212,J$1:J211)+SUMIF($F213:$F$512,$D212,J213:J$512),0))*'[1]Processer - data'!J212,"")*IF($C212&lt;&gt;"",IF($F212="Halm",Landbrug!E$16*Landbrug!E$17,IF(LEFT($D212,5)="Areal", IF($G212="Ton",Landbrug!E$18,1),1)),1)*IF($F212="Grøntsager",IF($A212="Grøntsager i drivhus",Landbrug!E$51,1-Landbrug!E$51),1)</f>
        <v>19945.536107282776</v>
      </c>
    </row>
    <row r="213" spans="1:10" x14ac:dyDescent="0.25">
      <c r="A213" t="str">
        <f>IF('[1]Processer - data'!A213&lt;&gt;"",'[1]Processer - data'!A213,"")</f>
        <v>Græsmark</v>
      </c>
      <c r="B213" t="str">
        <f>IF('[1]Processer - data'!B213&lt;&gt;"",'[1]Processer - data'!B213,"")</f>
        <v>Konventionel</v>
      </c>
      <c r="C213" t="str">
        <f>IF('[1]Processer - data'!C213&lt;&gt;"",'[1]Processer - data'!C213,"")</f>
        <v>OC12</v>
      </c>
      <c r="D213" t="str">
        <f>IF('[1]Processer - data'!D213&lt;&gt;"",'[1]Processer - data'!D213,"")</f>
        <v>Areal-græs</v>
      </c>
      <c r="E213" t="str">
        <f>IF('[1]Processer - data'!E213&lt;&gt;"",'[1]Processer - data'!E213,"")</f>
        <v>Hektar</v>
      </c>
      <c r="F213" t="str">
        <f>IF('[1]Processer - data'!F213&lt;&gt;"",'[1]Processer - data'!F213,"")</f>
        <v>Græs</v>
      </c>
      <c r="G213" t="str">
        <f>IF('[1]Processer - data'!G213&lt;&gt;"",'[1]Processer - data'!G213,"")</f>
        <v>Ton</v>
      </c>
      <c r="H213" s="297">
        <f>IF($A213&lt;&gt;"",IF(VLOOKUP($A213,[1]!Table1[#All],2,FALSE)="Direkte input",IF($A213&lt;&gt;"Grøntsager i drivhus",SUMIFS('Direkte input'!G$3:G$230,'Direkte input'!$F$3:$F$230,$D213,'Direkte input'!$C$3:$C$230,$B213,'Direkte input'!$D$3:$D$230,$C213,'Direkte input'!$A$3:$A$230,$A$1),SUMIFS('Direkte input'!G$3:G$230,'Direkte input'!$F$3:$F$230,$D213,'Direkte input'!$C$3:$C$230,$B213,'Direkte input'!$A$3:$A$230,$A$1)),IF(VLOOKUP($A213,[1]!Table1[#All],2,FALSE)="Resultat",SUMIF($F$1:$F212,$D213,H$1:H212)+SUMIF($F214:$F$512,$D213,H214:H$512),0))*'[1]Processer - data'!H213,"")*IF($C213&lt;&gt;"",IF($F213="Halm",Landbrug!C$16*Landbrug!C$17,IF(LEFT($D213,5)="Areal", IF($G213="Ton",Landbrug!C$18,1),1)),1)*IF($F213="Grøntsager",IF($A213="Grøntsager i drivhus",Landbrug!C$51,1-Landbrug!C$51),1)</f>
        <v>108945.21045931205</v>
      </c>
      <c r="I213" s="298">
        <f>IF($A213&lt;&gt;"",IF(VLOOKUP($A213,[1]!Table1[#All],2,FALSE)="Direkte input",IF($A213&lt;&gt;"Grøntsager i drivhus",SUMIFS('Direkte input'!H$3:H$230,'Direkte input'!$F$3:$F$230,$D213,'Direkte input'!$C$3:$C$230,$B213,'Direkte input'!$D$3:$D$230,$C213,'Direkte input'!$A$3:$A$230,$A$1),SUMIFS('Direkte input'!H$3:H$230,'Direkte input'!$F$3:$F$230,$D213,'Direkte input'!$C$3:$C$230,$B213,'Direkte input'!$A$3:$A$230,$A$1)),IF(VLOOKUP($A213,[1]!Table1[#All],2,FALSE)="Resultat",SUMIF($F$1:$F212,$D213,I$1:I212)+SUMIF($F214:$F$512,$D213,I214:I$512),0))*'[1]Processer - data'!I213,"")*IF($C213&lt;&gt;"",IF($F213="Halm",Landbrug!D$16*Landbrug!D$17,IF(LEFT($D213,5)="Areal", IF($G213="Ton",Landbrug!D$18,1),1)),1)*IF($F213="Grøntsager",IF($A213="Grøntsager i drivhus",Landbrug!D$51,1-Landbrug!D$51),1)</f>
        <v>106475.46878142231</v>
      </c>
      <c r="J213" s="299">
        <f>IF($A213&lt;&gt;"",IF(VLOOKUP($A213,[1]!Table1[#All],2,FALSE)="Direkte input",IF($A213&lt;&gt;"Grøntsager i drivhus",SUMIFS('Direkte input'!I$3:I$230,'Direkte input'!$F$3:$F$230,$D213,'Direkte input'!$C$3:$C$230,$B213,'Direkte input'!$D$3:$D$230,$C213,'Direkte input'!$A$3:$A$230,$A$1),SUMIFS('Direkte input'!I$3:I$230,'Direkte input'!$F$3:$F$230,$D213,'Direkte input'!$C$3:$C$230,$B213,'Direkte input'!$A$3:$A$230,$A$1)),IF(VLOOKUP($A213,[1]!Table1[#All],2,FALSE)="Resultat",SUMIF($F$1:$F212,$D213,J$1:J212)+SUMIF($F214:$F$512,$D213,J214:J$512),0))*'[1]Processer - data'!J213,"")*IF($C213&lt;&gt;"",IF($F213="Halm",Landbrug!E$16*Landbrug!E$17,IF(LEFT($D213,5)="Areal", IF($G213="Ton",Landbrug!E$18,1),1)),1)*IF($F213="Grøntsager",IF($A213="Grøntsager i drivhus",Landbrug!E$51,1-Landbrug!E$51),1)</f>
        <v>108940.7740988422</v>
      </c>
    </row>
    <row r="214" spans="1:10" x14ac:dyDescent="0.25">
      <c r="A214" t="str">
        <f>IF('[1]Processer - data'!A214&lt;&gt;"",'[1]Processer - data'!A214,"")</f>
        <v>Græsmark</v>
      </c>
      <c r="B214" t="str">
        <f>IF('[1]Processer - data'!B214&lt;&gt;"",'[1]Processer - data'!B214,"")</f>
        <v>Konventionel</v>
      </c>
      <c r="C214" t="str">
        <f>IF('[1]Processer - data'!C214&lt;&gt;"",'[1]Processer - data'!C214,"")</f>
        <v>OC12</v>
      </c>
      <c r="D214" t="str">
        <f>IF('[1]Processer - data'!D214&lt;&gt;"",'[1]Processer - data'!D214,"")</f>
        <v>Areal-græs</v>
      </c>
      <c r="E214" t="str">
        <f>IF('[1]Processer - data'!E214&lt;&gt;"",'[1]Processer - data'!E214,"")</f>
        <v>Hektar</v>
      </c>
      <c r="F214" t="str">
        <f>IF('[1]Processer - data'!F214&lt;&gt;"",'[1]Processer - data'!F214,"")</f>
        <v>Gødning</v>
      </c>
      <c r="G214" t="str">
        <f>IF('[1]Processer - data'!G214&lt;&gt;"",'[1]Processer - data'!G214,"")</f>
        <v>kg N</v>
      </c>
      <c r="H214" s="297">
        <f>IF($A214&lt;&gt;"",IF(VLOOKUP($A214,[1]!Table1[#All],2,FALSE)="Direkte input",IF($A214&lt;&gt;"Grøntsager i drivhus",SUMIFS('Direkte input'!G$3:G$230,'Direkte input'!$F$3:$F$230,$D214,'Direkte input'!$C$3:$C$230,$B214,'Direkte input'!$D$3:$D$230,$C214,'Direkte input'!$A$3:$A$230,$A$1),SUMIFS('Direkte input'!G$3:G$230,'Direkte input'!$F$3:$F$230,$D214,'Direkte input'!$C$3:$C$230,$B214,'Direkte input'!$A$3:$A$230,$A$1)),IF(VLOOKUP($A214,[1]!Table1[#All],2,FALSE)="Resultat",SUMIF($F$1:$F213,$D214,H$1:H213)+SUMIF($F215:$F$512,$D214,H215:H$512),0))*'[1]Processer - data'!H214,"")*IF($C214&lt;&gt;"",IF($F214="Halm",Landbrug!C$16*Landbrug!C$17,IF(LEFT($D214,5)="Areal", IF($G214="Ton",Landbrug!C$18,1),1)),1)*IF($F214="Grøntsager",IF($A214="Grøntsager i drivhus",Landbrug!C$51,1-Landbrug!C$51),1)</f>
        <v>-164669.30238711013</v>
      </c>
      <c r="I214" s="298">
        <f>IF($A214&lt;&gt;"",IF(VLOOKUP($A214,[1]!Table1[#All],2,FALSE)="Direkte input",IF($A214&lt;&gt;"Grøntsager i drivhus",SUMIFS('Direkte input'!H$3:H$230,'Direkte input'!$F$3:$F$230,$D214,'Direkte input'!$C$3:$C$230,$B214,'Direkte input'!$D$3:$D$230,$C214,'Direkte input'!$A$3:$A$230,$A$1),SUMIFS('Direkte input'!H$3:H$230,'Direkte input'!$F$3:$F$230,$D214,'Direkte input'!$C$3:$C$230,$B214,'Direkte input'!$A$3:$A$230,$A$1)),IF(VLOOKUP($A214,[1]!Table1[#All],2,FALSE)="Resultat",SUMIF($F$1:$F213,$D214,I$1:I213)+SUMIF($F215:$F$512,$D214,I215:I$512),0))*'[1]Processer - data'!I214,"")*IF($C214&lt;&gt;"",IF($F214="Halm",Landbrug!D$16*Landbrug!D$17,IF(LEFT($D214,5)="Areal", IF($G214="Ton",Landbrug!D$18,1),1)),1)*IF($F214="Grøntsager",IF($A214="Grøntsager i drivhus",Landbrug!D$51,1-Landbrug!D$51),1)</f>
        <v>-150127.16343100613</v>
      </c>
      <c r="J214" s="299">
        <f>IF($A214&lt;&gt;"",IF(VLOOKUP($A214,[1]!Table1[#All],2,FALSE)="Direkte input",IF($A214&lt;&gt;"Grøntsager i drivhus",SUMIFS('Direkte input'!I$3:I$230,'Direkte input'!$F$3:$F$230,$D214,'Direkte input'!$C$3:$C$230,$B214,'Direkte input'!$D$3:$D$230,$C214,'Direkte input'!$A$3:$A$230,$A$1),SUMIFS('Direkte input'!I$3:I$230,'Direkte input'!$F$3:$F$230,$D214,'Direkte input'!$C$3:$C$230,$B214,'Direkte input'!$A$3:$A$230,$A$1)),IF(VLOOKUP($A214,[1]!Table1[#All],2,FALSE)="Resultat",SUMIF($F$1:$F213,$D214,J$1:J213)+SUMIF($F215:$F$512,$D214,J215:J$512),0))*'[1]Processer - data'!J214,"")*IF($C214&lt;&gt;"",IF($F214="Halm",Landbrug!E$16*Landbrug!E$17,IF(LEFT($D214,5)="Areal", IF($G214="Ton",Landbrug!E$18,1),1)),1)*IF($F214="Grøntsager",IF($A214="Grøntsager i drivhus",Landbrug!E$51,1-Landbrug!E$51),1)</f>
        <v>-143184.86685616191</v>
      </c>
    </row>
    <row r="215" spans="1:10" x14ac:dyDescent="0.25">
      <c r="A215" t="str">
        <f>IF('[1]Processer - data'!A215&lt;&gt;"",'[1]Processer - data'!A215,"")</f>
        <v>Græsmark</v>
      </c>
      <c r="B215" t="str">
        <f>IF('[1]Processer - data'!B215&lt;&gt;"",'[1]Processer - data'!B215,"")</f>
        <v>Konventionel</v>
      </c>
      <c r="C215" t="str">
        <f>IF('[1]Processer - data'!C215&lt;&gt;"",'[1]Processer - data'!C215,"")</f>
        <v>OC12</v>
      </c>
      <c r="D215" t="str">
        <f>IF('[1]Processer - data'!D215&lt;&gt;"",'[1]Processer - data'!D215,"")</f>
        <v>Areal-græs</v>
      </c>
      <c r="E215" t="str">
        <f>IF('[1]Processer - data'!E215&lt;&gt;"",'[1]Processer - data'!E215,"")</f>
        <v>Hektar</v>
      </c>
      <c r="F215" t="str">
        <f>IF('[1]Processer - data'!F215&lt;&gt;"",'[1]Processer - data'!F215,"")</f>
        <v>CO2 - atmosfære</v>
      </c>
      <c r="G215" t="str">
        <f>IF('[1]Processer - data'!G215&lt;&gt;"",'[1]Processer - data'!G215,"")</f>
        <v>t CO2-ækvivalenter</v>
      </c>
      <c r="H215" s="297">
        <f>IF($A215&lt;&gt;"",IF(VLOOKUP($A215,[1]!Table1[#All],2,FALSE)="Direkte input",IF($A215&lt;&gt;"Grøntsager i drivhus",SUMIFS('Direkte input'!G$3:G$230,'Direkte input'!$F$3:$F$230,$D215,'Direkte input'!$C$3:$C$230,$B215,'Direkte input'!$D$3:$D$230,$C215,'Direkte input'!$A$3:$A$230,$A$1),SUMIFS('Direkte input'!G$3:G$230,'Direkte input'!$F$3:$F$230,$D215,'Direkte input'!$C$3:$C$230,$B215,'Direkte input'!$A$3:$A$230,$A$1)),IF(VLOOKUP($A215,[1]!Table1[#All],2,FALSE)="Resultat",SUMIF($F$1:$F214,$D215,H$1:H214)+SUMIF($F216:$F$512,$D215,H216:H$512),0))*'[1]Processer - data'!H215,"")*IF($C215&lt;&gt;"",IF($F215="Halm",Landbrug!C$16*Landbrug!C$17,IF(LEFT($D215,5)="Areal", IF($G215="Ton",Landbrug!C$18,1),1)),1)*IF($F215="Grøntsager",IF($A215="Grøntsager i drivhus",Landbrug!C$51,1-Landbrug!C$51),1)</f>
        <v>64223.685172037876</v>
      </c>
      <c r="I215" s="298">
        <f>IF($A215&lt;&gt;"",IF(VLOOKUP($A215,[1]!Table1[#All],2,FALSE)="Direkte input",IF($A215&lt;&gt;"Grøntsager i drivhus",SUMIFS('Direkte input'!H$3:H$230,'Direkte input'!$F$3:$F$230,$D215,'Direkte input'!$C$3:$C$230,$B215,'Direkte input'!$D$3:$D$230,$C215,'Direkte input'!$A$3:$A$230,$A$1),SUMIFS('Direkte input'!H$3:H$230,'Direkte input'!$F$3:$F$230,$D215,'Direkte input'!$C$3:$C$230,$B215,'Direkte input'!$A$3:$A$230,$A$1)),IF(VLOOKUP($A215,[1]!Table1[#All],2,FALSE)="Resultat",SUMIF($F$1:$F214,$D215,I$1:I214)+SUMIF($F216:$F$512,$D215,I216:I$512),0))*'[1]Processer - data'!I215,"")*IF($C215&lt;&gt;"",IF($F215="Halm",Landbrug!D$16*Landbrug!D$17,IF(LEFT($D215,5)="Areal", IF($G215="Ton",Landbrug!D$18,1),1)),1)*IF($F215="Grøntsager",IF($A215="Grøntsager i drivhus",Landbrug!D$51,1-Landbrug!D$51),1)</f>
        <v>58552.016315086679</v>
      </c>
      <c r="J215" s="299">
        <f>IF($A215&lt;&gt;"",IF(VLOOKUP($A215,[1]!Table1[#All],2,FALSE)="Direkte input",IF($A215&lt;&gt;"Grøntsager i drivhus",SUMIFS('Direkte input'!I$3:I$230,'Direkte input'!$F$3:$F$230,$D215,'Direkte input'!$C$3:$C$230,$B215,'Direkte input'!$D$3:$D$230,$C215,'Direkte input'!$A$3:$A$230,$A$1),SUMIFS('Direkte input'!I$3:I$230,'Direkte input'!$F$3:$F$230,$D215,'Direkte input'!$C$3:$C$230,$B215,'Direkte input'!$A$3:$A$230,$A$1)),IF(VLOOKUP($A215,[1]!Table1[#All],2,FALSE)="Resultat",SUMIF($F$1:$F214,$D215,J$1:J214)+SUMIF($F216:$F$512,$D215,J216:J$512),0))*'[1]Processer - data'!J215,"")*IF($C215&lt;&gt;"",IF($F215="Halm",Landbrug!E$16*Landbrug!E$17,IF(LEFT($D215,5)="Areal", IF($G215="Ton",Landbrug!E$18,1),1)),1)*IF($F215="Grøntsager",IF($A215="Grøntsager i drivhus",Landbrug!E$51,1-Landbrug!E$51),1)</f>
        <v>55844.408624215619</v>
      </c>
    </row>
    <row r="216" spans="1:10" x14ac:dyDescent="0.25">
      <c r="A216" t="str">
        <f>IF('[1]Processer - data'!A216&lt;&gt;"",'[1]Processer - data'!A216,"")</f>
        <v>Græsmark</v>
      </c>
      <c r="B216" t="str">
        <f>IF('[1]Processer - data'!B216&lt;&gt;"",'[1]Processer - data'!B216,"")</f>
        <v>Økologisk</v>
      </c>
      <c r="C216" t="str">
        <f>IF('[1]Processer - data'!C216&lt;&gt;"",'[1]Processer - data'!C216,"")</f>
        <v>JB1-10</v>
      </c>
      <c r="D216" t="str">
        <f>IF('[1]Processer - data'!D216&lt;&gt;"",'[1]Processer - data'!D216,"")</f>
        <v>Areal-græs</v>
      </c>
      <c r="E216" t="str">
        <f>IF('[1]Processer - data'!E216&lt;&gt;"",'[1]Processer - data'!E216,"")</f>
        <v>Hektar</v>
      </c>
      <c r="F216" t="str">
        <f>IF('[1]Processer - data'!F216&lt;&gt;"",'[1]Processer - data'!F216,"")</f>
        <v>Græs</v>
      </c>
      <c r="G216" t="str">
        <f>IF('[1]Processer - data'!G216&lt;&gt;"",'[1]Processer - data'!G216,"")</f>
        <v>Ton</v>
      </c>
      <c r="H216" s="297">
        <f>IF($A216&lt;&gt;"",IF(VLOOKUP($A216,[1]!Table1[#All],2,FALSE)="Direkte input",IF($A216&lt;&gt;"Grøntsager i drivhus",SUMIFS('Direkte input'!G$3:G$230,'Direkte input'!$F$3:$F$230,$D216,'Direkte input'!$C$3:$C$230,$B216,'Direkte input'!$D$3:$D$230,$C216,'Direkte input'!$A$3:$A$230,$A$1),SUMIFS('Direkte input'!G$3:G$230,'Direkte input'!$F$3:$F$230,$D216,'Direkte input'!$C$3:$C$230,$B216,'Direkte input'!$A$3:$A$230,$A$1)),IF(VLOOKUP($A216,[1]!Table1[#All],2,FALSE)="Resultat",SUMIF($F$1:$F215,$D216,H$1:H215)+SUMIF($F217:$F$512,$D216,H217:H$512),0))*'[1]Processer - data'!H216,"")*IF($C216&lt;&gt;"",IF($F216="Halm",Landbrug!C$16*Landbrug!C$17,IF(LEFT($D216,5)="Areal", IF($G216="Ton",Landbrug!C$18,1),1)),1)*IF($F216="Grøntsager",IF($A216="Grøntsager i drivhus",Landbrug!C$51,1-Landbrug!C$51),1)</f>
        <v>120258.69622603169</v>
      </c>
      <c r="I216" s="298">
        <f>IF($A216&lt;&gt;"",IF(VLOOKUP($A216,[1]!Table1[#All],2,FALSE)="Direkte input",IF($A216&lt;&gt;"Grøntsager i drivhus",SUMIFS('Direkte input'!H$3:H$230,'Direkte input'!$F$3:$F$230,$D216,'Direkte input'!$C$3:$C$230,$B216,'Direkte input'!$D$3:$D$230,$C216,'Direkte input'!$A$3:$A$230,$A$1),SUMIFS('Direkte input'!H$3:H$230,'Direkte input'!$F$3:$F$230,$D216,'Direkte input'!$C$3:$C$230,$B216,'Direkte input'!$A$3:$A$230,$A$1)),IF(VLOOKUP($A216,[1]!Table1[#All],2,FALSE)="Resultat",SUMIF($F$1:$F215,$D216,I$1:I215)+SUMIF($F217:$F$512,$D216,I217:I$512),0))*'[1]Processer - data'!I216,"")*IF($C216&lt;&gt;"",IF($F216="Halm",Landbrug!D$16*Landbrug!D$17,IF(LEFT($D216,5)="Areal", IF($G216="Ton",Landbrug!D$18,1),1)),1)*IF($F216="Grøntsager",IF($A216="Grøntsager i drivhus",Landbrug!D$51,1-Landbrug!D$51),1)</f>
        <v>152743.85704395178</v>
      </c>
      <c r="J216" s="299">
        <f>IF($A216&lt;&gt;"",IF(VLOOKUP($A216,[1]!Table1[#All],2,FALSE)="Direkte input",IF($A216&lt;&gt;"Grøntsager i drivhus",SUMIFS('Direkte input'!I$3:I$230,'Direkte input'!$F$3:$F$230,$D216,'Direkte input'!$C$3:$C$230,$B216,'Direkte input'!$D$3:$D$230,$C216,'Direkte input'!$A$3:$A$230,$A$1),SUMIFS('Direkte input'!I$3:I$230,'Direkte input'!$F$3:$F$230,$D216,'Direkte input'!$C$3:$C$230,$B216,'Direkte input'!$A$3:$A$230,$A$1)),IF(VLOOKUP($A216,[1]!Table1[#All],2,FALSE)="Resultat",SUMIF($F$1:$F215,$D216,J$1:J215)+SUMIF($F217:$F$512,$D216,J217:J$512),0))*'[1]Processer - data'!J216,"")*IF($C216&lt;&gt;"",IF($F216="Halm",Landbrug!E$16*Landbrug!E$17,IF(LEFT($D216,5)="Areal", IF($G216="Ton",Landbrug!E$18,1),1)),1)*IF($F216="Grøntsager",IF($A216="Grøntsager i drivhus",Landbrug!E$51,1-Landbrug!E$51),1)</f>
        <v>210449.27173754602</v>
      </c>
    </row>
    <row r="217" spans="1:10" x14ac:dyDescent="0.25">
      <c r="A217" t="str">
        <f>IF('[1]Processer - data'!A217&lt;&gt;"",'[1]Processer - data'!A217,"")</f>
        <v>Græsmark</v>
      </c>
      <c r="B217" t="str">
        <f>IF('[1]Processer - data'!B217&lt;&gt;"",'[1]Processer - data'!B217,"")</f>
        <v>Økologisk</v>
      </c>
      <c r="C217" t="str">
        <f>IF('[1]Processer - data'!C217&lt;&gt;"",'[1]Processer - data'!C217,"")</f>
        <v>JB1-10</v>
      </c>
      <c r="D217" t="str">
        <f>IF('[1]Processer - data'!D217&lt;&gt;"",'[1]Processer - data'!D217,"")</f>
        <v>Areal-græs</v>
      </c>
      <c r="E217" t="str">
        <f>IF('[1]Processer - data'!E217&lt;&gt;"",'[1]Processer - data'!E217,"")</f>
        <v>Hektar</v>
      </c>
      <c r="F217" t="str">
        <f>IF('[1]Processer - data'!F217&lt;&gt;"",'[1]Processer - data'!F217,"")</f>
        <v>Gødning</v>
      </c>
      <c r="G217" t="str">
        <f>IF('[1]Processer - data'!G217&lt;&gt;"",'[1]Processer - data'!G217,"")</f>
        <v>kg N</v>
      </c>
      <c r="H217" s="297">
        <f>IF($A217&lt;&gt;"",IF(VLOOKUP($A217,[1]!Table1[#All],2,FALSE)="Direkte input",IF($A217&lt;&gt;"Grøntsager i drivhus",SUMIFS('Direkte input'!G$3:G$230,'Direkte input'!$F$3:$F$230,$D217,'Direkte input'!$C$3:$C$230,$B217,'Direkte input'!$D$3:$D$230,$C217,'Direkte input'!$A$3:$A$230,$A$1),SUMIFS('Direkte input'!G$3:G$230,'Direkte input'!$F$3:$F$230,$D217,'Direkte input'!$C$3:$C$230,$B217,'Direkte input'!$A$3:$A$230,$A$1)),IF(VLOOKUP($A217,[1]!Table1[#All],2,FALSE)="Resultat",SUMIF($F$1:$F216,$D217,H$1:H216)+SUMIF($F218:$F$512,$D217,H218:H$512),0))*'[1]Processer - data'!H217,"")*IF($C217&lt;&gt;"",IF($F217="Halm",Landbrug!C$16*Landbrug!C$17,IF(LEFT($D217,5)="Areal", IF($G217="Ton",Landbrug!C$18,1),1)),1)*IF($F217="Grøntsager",IF($A217="Grøntsager i drivhus",Landbrug!C$51,1-Landbrug!C$51),1)</f>
        <v>-375656.95112928079</v>
      </c>
      <c r="I217" s="298">
        <f>IF($A217&lt;&gt;"",IF(VLOOKUP($A217,[1]!Table1[#All],2,FALSE)="Direkte input",IF($A217&lt;&gt;"Grøntsager i drivhus",SUMIFS('Direkte input'!H$3:H$230,'Direkte input'!$F$3:$F$230,$D217,'Direkte input'!$C$3:$C$230,$B217,'Direkte input'!$D$3:$D$230,$C217,'Direkte input'!$A$3:$A$230,$A$1),SUMIFS('Direkte input'!H$3:H$230,'Direkte input'!$F$3:$F$230,$D217,'Direkte input'!$C$3:$C$230,$B217,'Direkte input'!$A$3:$A$230,$A$1)),IF(VLOOKUP($A217,[1]!Table1[#All],2,FALSE)="Resultat",SUMIF($F$1:$F216,$D217,I$1:I216)+SUMIF($F218:$F$512,$D217,I218:I$512),0))*'[1]Processer - data'!I217,"")*IF($C217&lt;&gt;"",IF($F217="Halm",Landbrug!D$16*Landbrug!D$17,IF(LEFT($D217,5)="Areal", IF($G217="Ton",Landbrug!D$18,1),1)),1)*IF($F217="Grøntsager",IF($A217="Grøntsager i drivhus",Landbrug!D$51,1-Landbrug!D$51),1)</f>
        <v>-445085.97132634372</v>
      </c>
      <c r="J217" s="299">
        <f>IF($A217&lt;&gt;"",IF(VLOOKUP($A217,[1]!Table1[#All],2,FALSE)="Direkte input",IF($A217&lt;&gt;"Grøntsager i drivhus",SUMIFS('Direkte input'!I$3:I$230,'Direkte input'!$F$3:$F$230,$D217,'Direkte input'!$C$3:$C$230,$B217,'Direkte input'!$D$3:$D$230,$C217,'Direkte input'!$A$3:$A$230,$A$1),SUMIFS('Direkte input'!I$3:I$230,'Direkte input'!$F$3:$F$230,$D217,'Direkte input'!$C$3:$C$230,$B217,'Direkte input'!$A$3:$A$230,$A$1)),IF(VLOOKUP($A217,[1]!Table1[#All],2,FALSE)="Resultat",SUMIF($F$1:$F216,$D217,J$1:J216)+SUMIF($F218:$F$512,$D217,J218:J$512),0))*'[1]Processer - data'!J217,"")*IF($C217&lt;&gt;"",IF($F217="Halm",Landbrug!E$16*Landbrug!E$17,IF(LEFT($D217,5)="Areal", IF($G217="Ton",Landbrug!E$18,1),1)),1)*IF($F217="Grøntsager",IF($A217="Grøntsager i drivhus",Landbrug!E$51,1-Landbrug!E$51),1)</f>
        <v>-571642.52000980731</v>
      </c>
    </row>
    <row r="218" spans="1:10" x14ac:dyDescent="0.25">
      <c r="A218" t="str">
        <f>IF('[1]Processer - data'!A218&lt;&gt;"",'[1]Processer - data'!A218,"")</f>
        <v>Græsmark</v>
      </c>
      <c r="B218" t="str">
        <f>IF('[1]Processer - data'!B218&lt;&gt;"",'[1]Processer - data'!B218,"")</f>
        <v>Økologisk</v>
      </c>
      <c r="C218" t="str">
        <f>IF('[1]Processer - data'!C218&lt;&gt;"",'[1]Processer - data'!C218,"")</f>
        <v>JB1-10</v>
      </c>
      <c r="D218" t="str">
        <f>IF('[1]Processer - data'!D218&lt;&gt;"",'[1]Processer - data'!D218,"")</f>
        <v>Areal-græs</v>
      </c>
      <c r="E218" t="str">
        <f>IF('[1]Processer - data'!E218&lt;&gt;"",'[1]Processer - data'!E218,"")</f>
        <v>Hektar</v>
      </c>
      <c r="F218" t="str">
        <f>IF('[1]Processer - data'!F218&lt;&gt;"",'[1]Processer - data'!F218,"")</f>
        <v>CO2 - atmosfære</v>
      </c>
      <c r="G218" t="str">
        <f>IF('[1]Processer - data'!G218&lt;&gt;"",'[1]Processer - data'!G218,"")</f>
        <v>t CO2-ækvivalenter</v>
      </c>
      <c r="H218" s="297">
        <f>IF($A218&lt;&gt;"",IF(VLOOKUP($A218,[1]!Table1[#All],2,FALSE)="Direkte input",IF($A218&lt;&gt;"Grøntsager i drivhus",SUMIFS('Direkte input'!G$3:G$230,'Direkte input'!$F$3:$F$230,$D218,'Direkte input'!$C$3:$C$230,$B218,'Direkte input'!$D$3:$D$230,$C218,'Direkte input'!$A$3:$A$230,$A$1),SUMIFS('Direkte input'!G$3:G$230,'Direkte input'!$F$3:$F$230,$D218,'Direkte input'!$C$3:$C$230,$B218,'Direkte input'!$A$3:$A$230,$A$1)),IF(VLOOKUP($A218,[1]!Table1[#All],2,FALSE)="Resultat",SUMIF($F$1:$F217,$D218,H$1:H217)+SUMIF($F219:$F$512,$D218,H219:H$512),0))*'[1]Processer - data'!H218,"")*IF($C218&lt;&gt;"",IF($F218="Halm",Landbrug!C$16*Landbrug!C$17,IF(LEFT($D218,5)="Areal", IF($G218="Ton",Landbrug!C$18,1),1)),1)*IF($F218="Grøntsager",IF($A218="Grøntsager i drivhus",Landbrug!C$51,1-Landbrug!C$51),1)</f>
        <v>7064.7567732787975</v>
      </c>
      <c r="I218" s="298">
        <f>IF($A218&lt;&gt;"",IF(VLOOKUP($A218,[1]!Table1[#All],2,FALSE)="Direkte input",IF($A218&lt;&gt;"Grøntsager i drivhus",SUMIFS('Direkte input'!H$3:H$230,'Direkte input'!$F$3:$F$230,$D218,'Direkte input'!$C$3:$C$230,$B218,'Direkte input'!$D$3:$D$230,$C218,'Direkte input'!$A$3:$A$230,$A$1),SUMIFS('Direkte input'!H$3:H$230,'Direkte input'!$F$3:$F$230,$D218,'Direkte input'!$C$3:$C$230,$B218,'Direkte input'!$A$3:$A$230,$A$1)),IF(VLOOKUP($A218,[1]!Table1[#All],2,FALSE)="Resultat",SUMIF($F$1:$F217,$D218,I$1:I217)+SUMIF($F219:$F$512,$D218,I219:I$512),0))*'[1]Processer - data'!I218,"")*IF($C218&lt;&gt;"",IF($F218="Halm",Landbrug!D$16*Landbrug!D$17,IF(LEFT($D218,5)="Areal", IF($G218="Ton",Landbrug!D$18,1),1)),1)*IF($F218="Grøntsager",IF($A218="Grøntsager i drivhus",Landbrug!D$51,1-Landbrug!D$51),1)</f>
        <v>8370.4670475723979</v>
      </c>
      <c r="J218" s="299">
        <f>IF($A218&lt;&gt;"",IF(VLOOKUP($A218,[1]!Table1[#All],2,FALSE)="Direkte input",IF($A218&lt;&gt;"Grøntsager i drivhus",SUMIFS('Direkte input'!I$3:I$230,'Direkte input'!$F$3:$F$230,$D218,'Direkte input'!$C$3:$C$230,$B218,'Direkte input'!$D$3:$D$230,$C218,'Direkte input'!$A$3:$A$230,$A$1),SUMIFS('Direkte input'!I$3:I$230,'Direkte input'!$F$3:$F$230,$D218,'Direkte input'!$C$3:$C$230,$B218,'Direkte input'!$A$3:$A$230,$A$1)),IF(VLOOKUP($A218,[1]!Table1[#All],2,FALSE)="Resultat",SUMIF($F$1:$F217,$D218,J$1:J217)+SUMIF($F219:$F$512,$D218,J219:J$512),0))*'[1]Processer - data'!J218,"")*IF($C218&lt;&gt;"",IF($F218="Halm",Landbrug!E$16*Landbrug!E$17,IF(LEFT($D218,5)="Areal", IF($G218="Ton",Landbrug!E$18,1),1)),1)*IF($F218="Grøntsager",IF($A218="Grøntsager i drivhus",Landbrug!E$51,1-Landbrug!E$51),1)</f>
        <v>10750.540760640972</v>
      </c>
    </row>
    <row r="219" spans="1:10" x14ac:dyDescent="0.25">
      <c r="A219" t="str">
        <f>IF('[1]Processer - data'!A219&lt;&gt;"",'[1]Processer - data'!A219,"")</f>
        <v>Græsmark</v>
      </c>
      <c r="B219" t="str">
        <f>IF('[1]Processer - data'!B219&lt;&gt;"",'[1]Processer - data'!B219,"")</f>
        <v>Økologisk</v>
      </c>
      <c r="C219" t="str">
        <f>IF('[1]Processer - data'!C219&lt;&gt;"",'[1]Processer - data'!C219,"")</f>
        <v>OC6</v>
      </c>
      <c r="D219" t="str">
        <f>IF('[1]Processer - data'!D219&lt;&gt;"",'[1]Processer - data'!D219,"")</f>
        <v>Areal-græs</v>
      </c>
      <c r="E219" t="str">
        <f>IF('[1]Processer - data'!E219&lt;&gt;"",'[1]Processer - data'!E219,"")</f>
        <v>Hektar</v>
      </c>
      <c r="F219" t="str">
        <f>IF('[1]Processer - data'!F219&lt;&gt;"",'[1]Processer - data'!F219,"")</f>
        <v>Græs</v>
      </c>
      <c r="G219" t="str">
        <f>IF('[1]Processer - data'!G219&lt;&gt;"",'[1]Processer - data'!G219,"")</f>
        <v>Ton</v>
      </c>
      <c r="H219" s="297">
        <f>IF($A219&lt;&gt;"",IF(VLOOKUP($A219,[1]!Table1[#All],2,FALSE)="Direkte input",IF($A219&lt;&gt;"Grøntsager i drivhus",SUMIFS('Direkte input'!G$3:G$230,'Direkte input'!$F$3:$F$230,$D219,'Direkte input'!$C$3:$C$230,$B219,'Direkte input'!$D$3:$D$230,$C219,'Direkte input'!$A$3:$A$230,$A$1),SUMIFS('Direkte input'!G$3:G$230,'Direkte input'!$F$3:$F$230,$D219,'Direkte input'!$C$3:$C$230,$B219,'Direkte input'!$A$3:$A$230,$A$1)),IF(VLOOKUP($A219,[1]!Table1[#All],2,FALSE)="Resultat",SUMIF($F$1:$F218,$D219,H$1:H218)+SUMIF($F220:$F$512,$D219,H220:H$512),0))*'[1]Processer - data'!H219,"")*IF($C219&lt;&gt;"",IF($F219="Halm",Landbrug!C$16*Landbrug!C$17,IF(LEFT($D219,5)="Areal", IF($G219="Ton",Landbrug!C$18,1),1)),1)*IF($F219="Grøntsager",IF($A219="Grøntsager i drivhus",Landbrug!C$51,1-Landbrug!C$51),1)</f>
        <v>8585.4770501193907</v>
      </c>
      <c r="I219" s="298">
        <f>IF($A219&lt;&gt;"",IF(VLOOKUP($A219,[1]!Table1[#All],2,FALSE)="Direkte input",IF($A219&lt;&gt;"Grøntsager i drivhus",SUMIFS('Direkte input'!H$3:H$230,'Direkte input'!$F$3:$F$230,$D219,'Direkte input'!$C$3:$C$230,$B219,'Direkte input'!$D$3:$D$230,$C219,'Direkte input'!$A$3:$A$230,$A$1),SUMIFS('Direkte input'!H$3:H$230,'Direkte input'!$F$3:$F$230,$D219,'Direkte input'!$C$3:$C$230,$B219,'Direkte input'!$A$3:$A$230,$A$1)),IF(VLOOKUP($A219,[1]!Table1[#All],2,FALSE)="Resultat",SUMIF($F$1:$F218,$D219,I$1:I218)+SUMIF($F220:$F$512,$D219,I220:I$512),0))*'[1]Processer - data'!I219,"")*IF($C219&lt;&gt;"",IF($F219="Halm",Landbrug!D$16*Landbrug!D$17,IF(LEFT($D219,5)="Areal", IF($G219="Ton",Landbrug!D$18,1),1)),1)*IF($F219="Grøntsager",IF($A219="Grøntsager i drivhus",Landbrug!D$51,1-Landbrug!D$51),1)</f>
        <v>10161.514635761452</v>
      </c>
      <c r="J219" s="299">
        <f>IF($A219&lt;&gt;"",IF(VLOOKUP($A219,[1]!Table1[#All],2,FALSE)="Direkte input",IF($A219&lt;&gt;"Grøntsager i drivhus",SUMIFS('Direkte input'!I$3:I$230,'Direkte input'!$F$3:$F$230,$D219,'Direkte input'!$C$3:$C$230,$B219,'Direkte input'!$D$3:$D$230,$C219,'Direkte input'!$A$3:$A$230,$A$1),SUMIFS('Direkte input'!I$3:I$230,'Direkte input'!$F$3:$F$230,$D219,'Direkte input'!$C$3:$C$230,$B219,'Direkte input'!$A$3:$A$230,$A$1)),IF(VLOOKUP($A219,[1]!Table1[#All],2,FALSE)="Resultat",SUMIF($F$1:$F218,$D219,J$1:J218)+SUMIF($F220:$F$512,$D219,J220:J$512),0))*'[1]Processer - data'!J219,"")*IF($C219&lt;&gt;"",IF($F219="Halm",Landbrug!E$16*Landbrug!E$17,IF(LEFT($D219,5)="Areal", IF($G219="Ton",Landbrug!E$18,1),1)),1)*IF($F219="Grøntsager",IF($A219="Grøntsager i drivhus",Landbrug!E$51,1-Landbrug!E$51),1)</f>
        <v>14130.768521607186</v>
      </c>
    </row>
    <row r="220" spans="1:10" x14ac:dyDescent="0.25">
      <c r="A220" t="str">
        <f>IF('[1]Processer - data'!A220&lt;&gt;"",'[1]Processer - data'!A220,"")</f>
        <v>Græsmark</v>
      </c>
      <c r="B220" t="str">
        <f>IF('[1]Processer - data'!B220&lt;&gt;"",'[1]Processer - data'!B220,"")</f>
        <v>Økologisk</v>
      </c>
      <c r="C220" t="str">
        <f>IF('[1]Processer - data'!C220&lt;&gt;"",'[1]Processer - data'!C220,"")</f>
        <v>OC6</v>
      </c>
      <c r="D220" t="str">
        <f>IF('[1]Processer - data'!D220&lt;&gt;"",'[1]Processer - data'!D220,"")</f>
        <v>Areal-græs</v>
      </c>
      <c r="E220" t="str">
        <f>IF('[1]Processer - data'!E220&lt;&gt;"",'[1]Processer - data'!E220,"")</f>
        <v>Hektar</v>
      </c>
      <c r="F220" t="str">
        <f>IF('[1]Processer - data'!F220&lt;&gt;"",'[1]Processer - data'!F220,"")</f>
        <v>Gødning</v>
      </c>
      <c r="G220" t="str">
        <f>IF('[1]Processer - data'!G220&lt;&gt;"",'[1]Processer - data'!G220,"")</f>
        <v>kg N</v>
      </c>
      <c r="H220" s="297">
        <f>IF($A220&lt;&gt;"",IF(VLOOKUP($A220,[1]!Table1[#All],2,FALSE)="Direkte input",IF($A220&lt;&gt;"Grøntsager i drivhus",SUMIFS('Direkte input'!G$3:G$230,'Direkte input'!$F$3:$F$230,$D220,'Direkte input'!$C$3:$C$230,$B220,'Direkte input'!$D$3:$D$230,$C220,'Direkte input'!$A$3:$A$230,$A$1),SUMIFS('Direkte input'!G$3:G$230,'Direkte input'!$F$3:$F$230,$D220,'Direkte input'!$C$3:$C$230,$B220,'Direkte input'!$A$3:$A$230,$A$1)),IF(VLOOKUP($A220,[1]!Table1[#All],2,FALSE)="Resultat",SUMIF($F$1:$F219,$D220,H$1:H219)+SUMIF($F221:$F$512,$D220,H221:H$512),0))*'[1]Processer - data'!H220,"")*IF($C220&lt;&gt;"",IF($F220="Halm",Landbrug!C$16*Landbrug!C$17,IF(LEFT($D220,5)="Areal", IF($G220="Ton",Landbrug!C$18,1),1)),1)*IF($F220="Grøntsager",IF($A220="Grøntsager i drivhus",Landbrug!C$51,1-Landbrug!C$51),1)</f>
        <v>-18744.323802826832</v>
      </c>
      <c r="I220" s="298">
        <f>IF($A220&lt;&gt;"",IF(VLOOKUP($A220,[1]!Table1[#All],2,FALSE)="Direkte input",IF($A220&lt;&gt;"Grøntsager i drivhus",SUMIFS('Direkte input'!H$3:H$230,'Direkte input'!$F$3:$F$230,$D220,'Direkte input'!$C$3:$C$230,$B220,'Direkte input'!$D$3:$D$230,$C220,'Direkte input'!$A$3:$A$230,$A$1),SUMIFS('Direkte input'!H$3:H$230,'Direkte input'!$F$3:$F$230,$D220,'Direkte input'!$C$3:$C$230,$B220,'Direkte input'!$A$3:$A$230,$A$1)),IF(VLOOKUP($A220,[1]!Table1[#All],2,FALSE)="Resultat",SUMIF($F$1:$F219,$D220,I$1:I219)+SUMIF($F221:$F$512,$D220,I221:I$512),0))*'[1]Processer - data'!I220,"")*IF($C220&lt;&gt;"",IF($F220="Halm",Landbrug!D$16*Landbrug!D$17,IF(LEFT($D220,5)="Areal", IF($G220="Ton",Landbrug!D$18,1),1)),1)*IF($F220="Grøntsager",IF($A220="Grøntsager i drivhus",Landbrug!D$51,1-Landbrug!D$51),1)</f>
        <v>-20695.170463573359</v>
      </c>
      <c r="J220" s="299">
        <f>IF($A220&lt;&gt;"",IF(VLOOKUP($A220,[1]!Table1[#All],2,FALSE)="Direkte input",IF($A220&lt;&gt;"Grøntsager i drivhus",SUMIFS('Direkte input'!I$3:I$230,'Direkte input'!$F$3:$F$230,$D220,'Direkte input'!$C$3:$C$230,$B220,'Direkte input'!$D$3:$D$230,$C220,'Direkte input'!$A$3:$A$230,$A$1),SUMIFS('Direkte input'!I$3:I$230,'Direkte input'!$F$3:$F$230,$D220,'Direkte input'!$C$3:$C$230,$B220,'Direkte input'!$A$3:$A$230,$A$1)),IF(VLOOKUP($A220,[1]!Table1[#All],2,FALSE)="Resultat",SUMIF($F$1:$F219,$D220,J$1:J219)+SUMIF($F221:$F$512,$D220,J221:J$512),0))*'[1]Processer - data'!J220,"")*IF($C220&lt;&gt;"",IF($F220="Halm",Landbrug!E$16*Landbrug!E$17,IF(LEFT($D220,5)="Areal", IF($G220="Ton",Landbrug!E$18,1),1)),1)*IF($F220="Grøntsager",IF($A220="Grøntsager i drivhus",Landbrug!E$51,1-Landbrug!E$51),1)</f>
        <v>-26827.072823150651</v>
      </c>
    </row>
    <row r="221" spans="1:10" x14ac:dyDescent="0.25">
      <c r="A221" t="str">
        <f>IF('[1]Processer - data'!A221&lt;&gt;"",'[1]Processer - data'!A221,"")</f>
        <v>Græsmark</v>
      </c>
      <c r="B221" t="str">
        <f>IF('[1]Processer - data'!B221&lt;&gt;"",'[1]Processer - data'!B221,"")</f>
        <v>Økologisk</v>
      </c>
      <c r="C221" t="str">
        <f>IF('[1]Processer - data'!C221&lt;&gt;"",'[1]Processer - data'!C221,"")</f>
        <v>OC6</v>
      </c>
      <c r="D221" t="str">
        <f>IF('[1]Processer - data'!D221&lt;&gt;"",'[1]Processer - data'!D221,"")</f>
        <v>Areal-græs</v>
      </c>
      <c r="E221" t="str">
        <f>IF('[1]Processer - data'!E221&lt;&gt;"",'[1]Processer - data'!E221,"")</f>
        <v>Hektar</v>
      </c>
      <c r="F221" t="str">
        <f>IF('[1]Processer - data'!F221&lt;&gt;"",'[1]Processer - data'!F221,"")</f>
        <v>CO2 - atmosfære</v>
      </c>
      <c r="G221" t="str">
        <f>IF('[1]Processer - data'!G221&lt;&gt;"",'[1]Processer - data'!G221,"")</f>
        <v>t CO2-ækvivalenter</v>
      </c>
      <c r="H221" s="297">
        <f>IF($A221&lt;&gt;"",IF(VLOOKUP($A221,[1]!Table1[#All],2,FALSE)="Direkte input",IF($A221&lt;&gt;"Grøntsager i drivhus",SUMIFS('Direkte input'!G$3:G$230,'Direkte input'!$F$3:$F$230,$D221,'Direkte input'!$C$3:$C$230,$B221,'Direkte input'!$D$3:$D$230,$C221,'Direkte input'!$A$3:$A$230,$A$1),SUMIFS('Direkte input'!G$3:G$230,'Direkte input'!$F$3:$F$230,$D221,'Direkte input'!$C$3:$C$230,$B221,'Direkte input'!$A$3:$A$230,$A$1)),IF(VLOOKUP($A221,[1]!Table1[#All],2,FALSE)="Resultat",SUMIF($F$1:$F220,$D221,H$1:H220)+SUMIF($F222:$F$512,$D221,H222:H$512),0))*'[1]Processer - data'!H221,"")*IF($C221&lt;&gt;"",IF($F221="Halm",Landbrug!C$16*Landbrug!C$17,IF(LEFT($D221,5)="Areal", IF($G221="Ton",Landbrug!C$18,1),1)),1)*IF($F221="Grøntsager",IF($A221="Grøntsager i drivhus",Landbrug!C$51,1-Landbrug!C$51),1)</f>
        <v>2956.1488893490086</v>
      </c>
      <c r="I221" s="298">
        <f>IF($A221&lt;&gt;"",IF(VLOOKUP($A221,[1]!Table1[#All],2,FALSE)="Direkte input",IF($A221&lt;&gt;"Grøntsager i drivhus",SUMIFS('Direkte input'!H$3:H$230,'Direkte input'!$F$3:$F$230,$D221,'Direkte input'!$C$3:$C$230,$B221,'Direkte input'!$D$3:$D$230,$C221,'Direkte input'!$A$3:$A$230,$A$1),SUMIFS('Direkte input'!H$3:H$230,'Direkte input'!$F$3:$F$230,$D221,'Direkte input'!$C$3:$C$230,$B221,'Direkte input'!$A$3:$A$230,$A$1)),IF(VLOOKUP($A221,[1]!Table1[#All],2,FALSE)="Resultat",SUMIF($F$1:$F220,$D221,I$1:I220)+SUMIF($F222:$F$512,$D221,I222:I$512),0))*'[1]Processer - data'!I221,"")*IF($C221&lt;&gt;"",IF($F221="Halm",Landbrug!D$16*Landbrug!D$17,IF(LEFT($D221,5)="Areal", IF($G221="Ton",Landbrug!D$18,1),1)),1)*IF($F221="Grøntsager",IF($A221="Grøntsager i drivhus",Landbrug!D$51,1-Landbrug!D$51),1)</f>
        <v>3263.8149993735456</v>
      </c>
      <c r="J221" s="299">
        <f>IF($A221&lt;&gt;"",IF(VLOOKUP($A221,[1]!Table1[#All],2,FALSE)="Direkte input",IF($A221&lt;&gt;"Grøntsager i drivhus",SUMIFS('Direkte input'!I$3:I$230,'Direkte input'!$F$3:$F$230,$D221,'Direkte input'!$C$3:$C$230,$B221,'Direkte input'!$D$3:$D$230,$C221,'Direkte input'!$A$3:$A$230,$A$1),SUMIFS('Direkte input'!I$3:I$230,'Direkte input'!$F$3:$F$230,$D221,'Direkte input'!$C$3:$C$230,$B221,'Direkte input'!$A$3:$A$230,$A$1)),IF(VLOOKUP($A221,[1]!Table1[#All],2,FALSE)="Resultat",SUMIF($F$1:$F220,$D221,J$1:J220)+SUMIF($F222:$F$512,$D221,J222:J$512),0))*'[1]Processer - data'!J221,"")*IF($C221&lt;&gt;"",IF($F221="Halm",Landbrug!E$16*Landbrug!E$17,IF(LEFT($D221,5)="Areal", IF($G221="Ton",Landbrug!E$18,1),1)),1)*IF($F221="Grøntsager",IF($A221="Grøntsager i drivhus",Landbrug!E$51,1-Landbrug!E$51),1)</f>
        <v>4230.8712954842258</v>
      </c>
    </row>
    <row r="222" spans="1:10" x14ac:dyDescent="0.25">
      <c r="A222" t="str">
        <f>IF('[1]Processer - data'!A222&lt;&gt;"",'[1]Processer - data'!A222,"")</f>
        <v>Græsmark</v>
      </c>
      <c r="B222" t="str">
        <f>IF('[1]Processer - data'!B222&lt;&gt;"",'[1]Processer - data'!B222,"")</f>
        <v>Økologisk</v>
      </c>
      <c r="C222" t="str">
        <f>IF('[1]Processer - data'!C222&lt;&gt;"",'[1]Processer - data'!C222,"")</f>
        <v>OC12</v>
      </c>
      <c r="D222" t="str">
        <f>IF('[1]Processer - data'!D222&lt;&gt;"",'[1]Processer - data'!D222,"")</f>
        <v>Areal-græs</v>
      </c>
      <c r="E222" t="str">
        <f>IF('[1]Processer - data'!E222&lt;&gt;"",'[1]Processer - data'!E222,"")</f>
        <v>Hektar</v>
      </c>
      <c r="F222" t="str">
        <f>IF('[1]Processer - data'!F222&lt;&gt;"",'[1]Processer - data'!F222,"")</f>
        <v>Græs</v>
      </c>
      <c r="G222" t="str">
        <f>IF('[1]Processer - data'!G222&lt;&gt;"",'[1]Processer - data'!G222,"")</f>
        <v>Ton</v>
      </c>
      <c r="H222" s="297">
        <f>IF($A222&lt;&gt;"",IF(VLOOKUP($A222,[1]!Table1[#All],2,FALSE)="Direkte input",IF($A222&lt;&gt;"Grøntsager i drivhus",SUMIFS('Direkte input'!G$3:G$230,'Direkte input'!$F$3:$F$230,$D222,'Direkte input'!$C$3:$C$230,$B222,'Direkte input'!$D$3:$D$230,$C222,'Direkte input'!$A$3:$A$230,$A$1),SUMIFS('Direkte input'!G$3:G$230,'Direkte input'!$F$3:$F$230,$D222,'Direkte input'!$C$3:$C$230,$B222,'Direkte input'!$A$3:$A$230,$A$1)),IF(VLOOKUP($A222,[1]!Table1[#All],2,FALSE)="Resultat",SUMIF($F$1:$F221,$D222,H$1:H221)+SUMIF($F223:$F$512,$D222,H223:H$512),0))*'[1]Processer - data'!H222,"")*IF($C222&lt;&gt;"",IF($F222="Halm",Landbrug!C$16*Landbrug!C$17,IF(LEFT($D222,5)="Areal", IF($G222="Ton",Landbrug!C$18,1),1)),1)*IF($F222="Grøntsager",IF($A222="Grøntsager i drivhus",Landbrug!C$51,1-Landbrug!C$51),1)</f>
        <v>10865.321674968993</v>
      </c>
      <c r="I222" s="298">
        <f>IF($A222&lt;&gt;"",IF(VLOOKUP($A222,[1]!Table1[#All],2,FALSE)="Direkte input",IF($A222&lt;&gt;"Grøntsager i drivhus",SUMIFS('Direkte input'!H$3:H$230,'Direkte input'!$F$3:$F$230,$D222,'Direkte input'!$C$3:$C$230,$B222,'Direkte input'!$D$3:$D$230,$C222,'Direkte input'!$A$3:$A$230,$A$1),SUMIFS('Direkte input'!H$3:H$230,'Direkte input'!$F$3:$F$230,$D222,'Direkte input'!$C$3:$C$230,$B222,'Direkte input'!$A$3:$A$230,$A$1)),IF(VLOOKUP($A222,[1]!Table1[#All],2,FALSE)="Resultat",SUMIF($F$1:$F221,$D222,I$1:I221)+SUMIF($F223:$F$512,$D222,I223:I$512),0))*'[1]Processer - data'!I222,"")*IF($C222&lt;&gt;"",IF($F222="Halm",Landbrug!D$16*Landbrug!D$17,IF(LEFT($D222,5)="Areal", IF($G222="Ton",Landbrug!D$18,1),1)),1)*IF($F222="Grøntsager",IF($A222="Grøntsager i drivhus",Landbrug!D$51,1-Landbrug!D$51),1)</f>
        <v>12961.695795010139</v>
      </c>
      <c r="J222" s="299">
        <f>IF($A222&lt;&gt;"",IF(VLOOKUP($A222,[1]!Table1[#All],2,FALSE)="Direkte input",IF($A222&lt;&gt;"Grøntsager i drivhus",SUMIFS('Direkte input'!I$3:I$230,'Direkte input'!$F$3:$F$230,$D222,'Direkte input'!$C$3:$C$230,$B222,'Direkte input'!$D$3:$D$230,$C222,'Direkte input'!$A$3:$A$230,$A$1),SUMIFS('Direkte input'!I$3:I$230,'Direkte input'!$F$3:$F$230,$D222,'Direkte input'!$C$3:$C$230,$B222,'Direkte input'!$A$3:$A$230,$A$1)),IF(VLOOKUP($A222,[1]!Table1[#All],2,FALSE)="Resultat",SUMIF($F$1:$F221,$D222,J$1:J221)+SUMIF($F223:$F$512,$D222,J223:J$512),0))*'[1]Processer - data'!J222,"")*IF($C222&lt;&gt;"",IF($F222="Halm",Landbrug!E$16*Landbrug!E$17,IF(LEFT($D222,5)="Areal", IF($G222="Ton",Landbrug!E$18,1),1)),1)*IF($F222="Grøntsager",IF($A222="Grøntsager i drivhus",Landbrug!E$51,1-Landbrug!E$51),1)</f>
        <v>18024.746259990257</v>
      </c>
    </row>
    <row r="223" spans="1:10" x14ac:dyDescent="0.25">
      <c r="A223" t="str">
        <f>IF('[1]Processer - data'!A223&lt;&gt;"",'[1]Processer - data'!A223,"")</f>
        <v>Græsmark</v>
      </c>
      <c r="B223" t="str">
        <f>IF('[1]Processer - data'!B223&lt;&gt;"",'[1]Processer - data'!B223,"")</f>
        <v>Økologisk</v>
      </c>
      <c r="C223" t="str">
        <f>IF('[1]Processer - data'!C223&lt;&gt;"",'[1]Processer - data'!C223,"")</f>
        <v>OC12</v>
      </c>
      <c r="D223" t="str">
        <f>IF('[1]Processer - data'!D223&lt;&gt;"",'[1]Processer - data'!D223,"")</f>
        <v>Areal-græs</v>
      </c>
      <c r="E223" t="str">
        <f>IF('[1]Processer - data'!E223&lt;&gt;"",'[1]Processer - data'!E223,"")</f>
        <v>Hektar</v>
      </c>
      <c r="F223" t="str">
        <f>IF('[1]Processer - data'!F223&lt;&gt;"",'[1]Processer - data'!F223,"")</f>
        <v>Gødning</v>
      </c>
      <c r="G223" t="str">
        <f>IF('[1]Processer - data'!G223&lt;&gt;"",'[1]Processer - data'!G223,"")</f>
        <v>kg N</v>
      </c>
      <c r="H223" s="297">
        <f>IF($A223&lt;&gt;"",IF(VLOOKUP($A223,[1]!Table1[#All],2,FALSE)="Direkte input",IF($A223&lt;&gt;"Grøntsager i drivhus",SUMIFS('Direkte input'!G$3:G$230,'Direkte input'!$F$3:$F$230,$D223,'Direkte input'!$C$3:$C$230,$B223,'Direkte input'!$D$3:$D$230,$C223,'Direkte input'!$A$3:$A$230,$A$1),SUMIFS('Direkte input'!G$3:G$230,'Direkte input'!$F$3:$F$230,$D223,'Direkte input'!$C$3:$C$230,$B223,'Direkte input'!$A$3:$A$230,$A$1)),IF(VLOOKUP($A223,[1]!Table1[#All],2,FALSE)="Resultat",SUMIF($F$1:$F222,$D223,H$1:H222)+SUMIF($F224:$F$512,$D223,H224:H$512),0))*'[1]Processer - data'!H223,"")*IF($C223&lt;&gt;"",IF($F223="Halm",Landbrug!C$16*Landbrug!C$17,IF(LEFT($D223,5)="Areal", IF($G223="Ton",Landbrug!C$18,1),1)),1)*IF($F223="Grøntsager",IF($A223="Grøntsager i drivhus",Landbrug!C$51,1-Landbrug!C$51),1)</f>
        <v>-16422.795760231249</v>
      </c>
      <c r="I223" s="298">
        <f>IF($A223&lt;&gt;"",IF(VLOOKUP($A223,[1]!Table1[#All],2,FALSE)="Direkte input",IF($A223&lt;&gt;"Grøntsager i drivhus",SUMIFS('Direkte input'!H$3:H$230,'Direkte input'!$F$3:$F$230,$D223,'Direkte input'!$C$3:$C$230,$B223,'Direkte input'!$D$3:$D$230,$C223,'Direkte input'!$A$3:$A$230,$A$1),SUMIFS('Direkte input'!H$3:H$230,'Direkte input'!$F$3:$F$230,$D223,'Direkte input'!$C$3:$C$230,$B223,'Direkte input'!$A$3:$A$230,$A$1)),IF(VLOOKUP($A223,[1]!Table1[#All],2,FALSE)="Resultat",SUMIF($F$1:$F222,$D223,I$1:I222)+SUMIF($F224:$F$512,$D223,I224:I$512),0))*'[1]Processer - data'!I223,"")*IF($C223&lt;&gt;"",IF($F223="Halm",Landbrug!D$16*Landbrug!D$17,IF(LEFT($D223,5)="Areal", IF($G223="Ton",Landbrug!D$18,1),1)),1)*IF($F223="Grøntsager",IF($A223="Grøntsager i drivhus",Landbrug!D$51,1-Landbrug!D$51),1)</f>
        <v>-18275.595733277398</v>
      </c>
      <c r="J223" s="299">
        <f>IF($A223&lt;&gt;"",IF(VLOOKUP($A223,[1]!Table1[#All],2,FALSE)="Direkte input",IF($A223&lt;&gt;"Grøntsager i drivhus",SUMIFS('Direkte input'!I$3:I$230,'Direkte input'!$F$3:$F$230,$D223,'Direkte input'!$C$3:$C$230,$B223,'Direkte input'!$D$3:$D$230,$C223,'Direkte input'!$A$3:$A$230,$A$1),SUMIFS('Direkte input'!I$3:I$230,'Direkte input'!$F$3:$F$230,$D223,'Direkte input'!$C$3:$C$230,$B223,'Direkte input'!$A$3:$A$230,$A$1)),IF(VLOOKUP($A223,[1]!Table1[#All],2,FALSE)="Resultat",SUMIF($F$1:$F222,$D223,J$1:J222)+SUMIF($F224:$F$512,$D223,J224:J$512),0))*'[1]Processer - data'!J223,"")*IF($C223&lt;&gt;"",IF($F223="Halm",Landbrug!E$16*Landbrug!E$17,IF(LEFT($D223,5)="Areal", IF($G223="Ton",Landbrug!E$18,1),1)),1)*IF($F223="Grøntsager",IF($A223="Grøntsager i drivhus",Landbrug!E$51,1-Landbrug!E$51),1)</f>
        <v>-23690.587061655882</v>
      </c>
    </row>
    <row r="224" spans="1:10" x14ac:dyDescent="0.25">
      <c r="A224" t="str">
        <f>IF('[1]Processer - data'!A224&lt;&gt;"",'[1]Processer - data'!A224,"")</f>
        <v>Græsmark</v>
      </c>
      <c r="B224" t="str">
        <f>IF('[1]Processer - data'!B224&lt;&gt;"",'[1]Processer - data'!B224,"")</f>
        <v>Økologisk</v>
      </c>
      <c r="C224" t="str">
        <f>IF('[1]Processer - data'!C224&lt;&gt;"",'[1]Processer - data'!C224,"")</f>
        <v>OC12</v>
      </c>
      <c r="D224" t="str">
        <f>IF('[1]Processer - data'!D224&lt;&gt;"",'[1]Processer - data'!D224,"")</f>
        <v>Areal-græs</v>
      </c>
      <c r="E224" t="str">
        <f>IF('[1]Processer - data'!E224&lt;&gt;"",'[1]Processer - data'!E224,"")</f>
        <v>Hektar</v>
      </c>
      <c r="F224" t="str">
        <f>IF('[1]Processer - data'!F224&lt;&gt;"",'[1]Processer - data'!F224,"")</f>
        <v>CO2 - atmosfære</v>
      </c>
      <c r="G224" t="str">
        <f>IF('[1]Processer - data'!G224&lt;&gt;"",'[1]Processer - data'!G224,"")</f>
        <v>t CO2-ækvivalenter</v>
      </c>
      <c r="H224" s="297">
        <f>IF($A224&lt;&gt;"",IF(VLOOKUP($A224,[1]!Table1[#All],2,FALSE)="Direkte input",IF($A224&lt;&gt;"Grøntsager i drivhus",SUMIFS('Direkte input'!G$3:G$230,'Direkte input'!$F$3:$F$230,$D224,'Direkte input'!$C$3:$C$230,$B224,'Direkte input'!$D$3:$D$230,$C224,'Direkte input'!$A$3:$A$230,$A$1),SUMIFS('Direkte input'!G$3:G$230,'Direkte input'!$F$3:$F$230,$D224,'Direkte input'!$C$3:$C$230,$B224,'Direkte input'!$A$3:$A$230,$A$1)),IF(VLOOKUP($A224,[1]!Table1[#All],2,FALSE)="Resultat",SUMIF($F$1:$F223,$D224,H$1:H223)+SUMIF($F225:$F$512,$D224,H225:H$512),0))*'[1]Processer - data'!H224,"")*IF($C224&lt;&gt;"",IF($F224="Halm",Landbrug!C$16*Landbrug!C$17,IF(LEFT($D224,5)="Areal", IF($G224="Ton",Landbrug!C$18,1),1)),1)*IF($F224="Grøntsager",IF($A224="Grøntsager i drivhus",Landbrug!C$51,1-Landbrug!C$51),1)</f>
        <v>8211.737638982002</v>
      </c>
      <c r="I224" s="298">
        <f>IF($A224&lt;&gt;"",IF(VLOOKUP($A224,[1]!Table1[#All],2,FALSE)="Direkte input",IF($A224&lt;&gt;"Grøntsager i drivhus",SUMIFS('Direkte input'!H$3:H$230,'Direkte input'!$F$3:$F$230,$D224,'Direkte input'!$C$3:$C$230,$B224,'Direkte input'!$D$3:$D$230,$C224,'Direkte input'!$A$3:$A$230,$A$1),SUMIFS('Direkte input'!H$3:H$230,'Direkte input'!$F$3:$F$230,$D224,'Direkte input'!$C$3:$C$230,$B224,'Direkte input'!$A$3:$A$230,$A$1)),IF(VLOOKUP($A224,[1]!Table1[#All],2,FALSE)="Resultat",SUMIF($F$1:$F223,$D224,I$1:I223)+SUMIF($F225:$F$512,$D224,I225:I$512),0))*'[1]Processer - data'!I224,"")*IF($C224&lt;&gt;"",IF($F224="Halm",Landbrug!D$16*Landbrug!D$17,IF(LEFT($D224,5)="Areal", IF($G224="Ton",Landbrug!D$18,1),1)),1)*IF($F224="Grøntsager",IF($A224="Grøntsager i drivhus",Landbrug!D$51,1-Landbrug!D$51),1)</f>
        <v>9138.175956689829</v>
      </c>
      <c r="J224" s="299">
        <f>IF($A224&lt;&gt;"",IF(VLOOKUP($A224,[1]!Table1[#All],2,FALSE)="Direkte input",IF($A224&lt;&gt;"Grøntsager i drivhus",SUMIFS('Direkte input'!I$3:I$230,'Direkte input'!$F$3:$F$230,$D224,'Direkte input'!$C$3:$C$230,$B224,'Direkte input'!$D$3:$D$230,$C224,'Direkte input'!$A$3:$A$230,$A$1),SUMIFS('Direkte input'!I$3:I$230,'Direkte input'!$F$3:$F$230,$D224,'Direkte input'!$C$3:$C$230,$B224,'Direkte input'!$A$3:$A$230,$A$1)),IF(VLOOKUP($A224,[1]!Table1[#All],2,FALSE)="Resultat",SUMIF($F$1:$F223,$D224,J$1:J223)+SUMIF($F225:$F$512,$D224,J225:J$512),0))*'[1]Processer - data'!J224,"")*IF($C224&lt;&gt;"",IF($F224="Halm",Landbrug!E$16*Landbrug!E$17,IF(LEFT($D224,5)="Areal", IF($G224="Ton",Landbrug!E$18,1),1)),1)*IF($F224="Grøntsager",IF($A224="Grøntsager i drivhus",Landbrug!E$51,1-Landbrug!E$51),1)</f>
        <v>11845.783647560889</v>
      </c>
    </row>
    <row r="225" spans="1:10" x14ac:dyDescent="0.25">
      <c r="A225" t="str">
        <f>IF('[1]Processer - data'!A225&lt;&gt;"",'[1]Processer - data'!A225,"")</f>
        <v>Bælgsædsmark</v>
      </c>
      <c r="B225" t="str">
        <f>IF('[1]Processer - data'!B225&lt;&gt;"",'[1]Processer - data'!B225,"")</f>
        <v>Konventionel</v>
      </c>
      <c r="C225" t="str">
        <f>IF('[1]Processer - data'!C225&lt;&gt;"",'[1]Processer - data'!C225,"")</f>
        <v>JB1-10</v>
      </c>
      <c r="D225" t="str">
        <f>IF('[1]Processer - data'!D225&lt;&gt;"",'[1]Processer - data'!D225,"")</f>
        <v>Areal-bælgsæd</v>
      </c>
      <c r="E225" t="str">
        <f>IF('[1]Processer - data'!E225&lt;&gt;"",'[1]Processer - data'!E225,"")</f>
        <v>Hektar</v>
      </c>
      <c r="F225" t="str">
        <f>IF('[1]Processer - data'!F225&lt;&gt;"",'[1]Processer - data'!F225,"")</f>
        <v>Bælgsæd</v>
      </c>
      <c r="G225" t="str">
        <f>IF('[1]Processer - data'!G225&lt;&gt;"",'[1]Processer - data'!G225,"")</f>
        <v>Ton</v>
      </c>
      <c r="H225" s="297">
        <f>IF($A225&lt;&gt;"",IF(VLOOKUP($A225,[1]!Table1[#All],2,FALSE)="Direkte input",IF($A225&lt;&gt;"Grøntsager i drivhus",SUMIFS('Direkte input'!G$3:G$230,'Direkte input'!$F$3:$F$230,$D225,'Direkte input'!$C$3:$C$230,$B225,'Direkte input'!$D$3:$D$230,$C225,'Direkte input'!$A$3:$A$230,$A$1),SUMIFS('Direkte input'!G$3:G$230,'Direkte input'!$F$3:$F$230,$D225,'Direkte input'!$C$3:$C$230,$B225,'Direkte input'!$A$3:$A$230,$A$1)),IF(VLOOKUP($A225,[1]!Table1[#All],2,FALSE)="Resultat",SUMIF($F$1:$F224,$D225,H$1:H224)+SUMIF($F227:$F$512,$D225,H227:H$512),0))*'[1]Processer - data'!H225,"")*IF($C225&lt;&gt;"",IF($F225="Halm",Landbrug!C$16*Landbrug!C$17,IF(LEFT($D225,5)="Areal", IF($G225="Ton",Landbrug!C$18,1),1)),1)*IF($F225="Grøntsager",IF($A225="Grøntsager i drivhus",Landbrug!C$51,1-Landbrug!C$51),1)</f>
        <v>24340.303996488197</v>
      </c>
      <c r="I225" s="298">
        <f>IF($A225&lt;&gt;"",IF(VLOOKUP($A225,[1]!Table1[#All],2,FALSE)="Direkte input",IF($A225&lt;&gt;"Grøntsager i drivhus",SUMIFS('Direkte input'!H$3:H$230,'Direkte input'!$F$3:$F$230,$D225,'Direkte input'!$C$3:$C$230,$B225,'Direkte input'!$D$3:$D$230,$C225,'Direkte input'!$A$3:$A$230,$A$1),SUMIFS('Direkte input'!H$3:H$230,'Direkte input'!$F$3:$F$230,$D225,'Direkte input'!$C$3:$C$230,$B225,'Direkte input'!$A$3:$A$230,$A$1)),IF(VLOOKUP($A225,[1]!Table1[#All],2,FALSE)="Resultat",SUMIF($F$1:$F224,$D225,I$1:I224)+SUMIF($F227:$F$512,$D225,I227:I$512),0))*'[1]Processer - data'!I225,"")*IF($C225&lt;&gt;"",IF($F225="Halm",Landbrug!D$16*Landbrug!D$17,IF(LEFT($D225,5)="Areal", IF($G225="Ton",Landbrug!D$18,1),1)),1)*IF($F225="Grøntsager",IF($A225="Grøntsager i drivhus",Landbrug!D$51,1-Landbrug!D$51),1)</f>
        <v>25327.681862946665</v>
      </c>
      <c r="J225" s="299">
        <f>IF($A225&lt;&gt;"",IF(VLOOKUP($A225,[1]!Table1[#All],2,FALSE)="Direkte input",IF($A225&lt;&gt;"Grøntsager i drivhus",SUMIFS('Direkte input'!I$3:I$230,'Direkte input'!$F$3:$F$230,$D225,'Direkte input'!$C$3:$C$230,$B225,'Direkte input'!$D$3:$D$230,$C225,'Direkte input'!$A$3:$A$230,$A$1),SUMIFS('Direkte input'!I$3:I$230,'Direkte input'!$F$3:$F$230,$D225,'Direkte input'!$C$3:$C$230,$B225,'Direkte input'!$A$3:$A$230,$A$1)),IF(VLOOKUP($A225,[1]!Table1[#All],2,FALSE)="Resultat",SUMIF($F$1:$F224,$D225,J$1:J224)+SUMIF($F227:$F$512,$D225,J227:J$512),0))*'[1]Processer - data'!J225,"")*IF($C225&lt;&gt;"",IF($F225="Halm",Landbrug!E$16*Landbrug!E$17,IF(LEFT($D225,5)="Areal", IF($G225="Ton",Landbrug!E$18,1),1)),1)*IF($F225="Grøntsager",IF($A225="Grøntsager i drivhus",Landbrug!E$51,1-Landbrug!E$51),1)</f>
        <v>25675.131551204828</v>
      </c>
    </row>
    <row r="226" spans="1:10" x14ac:dyDescent="0.25">
      <c r="A226" t="str">
        <f>IF('[1]Processer - data'!A226&lt;&gt;"",'[1]Processer - data'!A226,"")</f>
        <v>Bælgsædsmark</v>
      </c>
      <c r="B226" t="str">
        <f>IF('[1]Processer - data'!B226&lt;&gt;"",'[1]Processer - data'!B226,"")</f>
        <v>Konventionel</v>
      </c>
      <c r="C226" t="str">
        <f>IF('[1]Processer - data'!C226&lt;&gt;"",'[1]Processer - data'!C226,"")</f>
        <v>JB1-10</v>
      </c>
      <c r="D226" t="str">
        <f>IF('[1]Processer - data'!D226&lt;&gt;"",'[1]Processer - data'!D226,"")</f>
        <v>Areal-bælgsæd</v>
      </c>
      <c r="E226" t="str">
        <f>IF('[1]Processer - data'!E226&lt;&gt;"",'[1]Processer - data'!E226,"")</f>
        <v>Hektar</v>
      </c>
      <c r="F226" t="str">
        <f>IF('[1]Processer - data'!F226&lt;&gt;"",'[1]Processer - data'!F226,"")</f>
        <v>Halm</v>
      </c>
      <c r="G226" t="str">
        <f>IF('[1]Processer - data'!G226&lt;&gt;"",'[1]Processer - data'!G226,"")</f>
        <v>Ton</v>
      </c>
      <c r="H226" s="297">
        <f>IF($A226&lt;&gt;"",IF(VLOOKUP($A226,[1]!Table1[#All],2,FALSE)="Direkte input",IF($A226&lt;&gt;"Grøntsager i drivhus",SUMIFS('Direkte input'!G$3:G$230,'Direkte input'!$F$3:$F$230,$D226,'Direkte input'!$C$3:$C$230,$B226,'Direkte input'!$D$3:$D$230,$C226,'Direkte input'!$A$3:$A$230,$A$1),SUMIFS('Direkte input'!G$3:G$230,'Direkte input'!$F$3:$F$230,$D226,'Direkte input'!$C$3:$C$230,$B226,'Direkte input'!$A$3:$A$230,$A$1)),IF(VLOOKUP($A226,[1]!Table1[#All],2,FALSE)="Resultat",SUMIF($F$1:$F225,$D226,H$1:H225)+SUMIF($F228:$F$512,$D226,H228:H$512),0))*'[1]Processer - data'!H226,"")*IF($C226&lt;&gt;"",IF($F226="Halm",Landbrug!C$16*Landbrug!C$17,IF(LEFT($D226,5)="Areal", IF($G226="Ton",Landbrug!C$18,1),1)),1)*IF($F226="Grøntsager",IF($A226="Grøntsager i drivhus",Landbrug!C$51,1-Landbrug!C$51),1)</f>
        <v>7226.118867452964</v>
      </c>
      <c r="I226" s="298">
        <f>IF($A226&lt;&gt;"",IF(VLOOKUP($A226,[1]!Table1[#All],2,FALSE)="Direkte input",IF($A226&lt;&gt;"Grøntsager i drivhus",SUMIFS('Direkte input'!H$3:H$230,'Direkte input'!$F$3:$F$230,$D226,'Direkte input'!$C$3:$C$230,$B226,'Direkte input'!$D$3:$D$230,$C226,'Direkte input'!$A$3:$A$230,$A$1),SUMIFS('Direkte input'!H$3:H$230,'Direkte input'!$F$3:$F$230,$D226,'Direkte input'!$C$3:$C$230,$B226,'Direkte input'!$A$3:$A$230,$A$1)),IF(VLOOKUP($A226,[1]!Table1[#All],2,FALSE)="Resultat",SUMIF($F$1:$F225,$D226,I$1:I225)+SUMIF($F228:$F$512,$D226,I228:I$512),0))*'[1]Processer - data'!I226,"")*IF($C226&lt;&gt;"",IF($F226="Halm",Landbrug!D$16*Landbrug!D$17,IF(LEFT($D226,5)="Areal", IF($G226="Ton",Landbrug!D$18,1),1)),1)*IF($F226="Grøntsager",IF($A226="Grøntsager i drivhus",Landbrug!D$51,1-Landbrug!D$51),1)</f>
        <v>6973.4491410265291</v>
      </c>
      <c r="J226" s="299">
        <f>IF($A226&lt;&gt;"",IF(VLOOKUP($A226,[1]!Table1[#All],2,FALSE)="Direkte input",IF($A226&lt;&gt;"Grøntsager i drivhus",SUMIFS('Direkte input'!I$3:I$230,'Direkte input'!$F$3:$F$230,$D226,'Direkte input'!$C$3:$C$230,$B226,'Direkte input'!$D$3:$D$230,$C226,'Direkte input'!$A$3:$A$230,$A$1),SUMIFS('Direkte input'!I$3:I$230,'Direkte input'!$F$3:$F$230,$D226,'Direkte input'!$C$3:$C$230,$B226,'Direkte input'!$A$3:$A$230,$A$1)),IF(VLOOKUP($A226,[1]!Table1[#All],2,FALSE)="Resultat",SUMIF($F$1:$F225,$D226,J$1:J225)+SUMIF($F228:$F$512,$D226,J228:J$512),0))*'[1]Processer - data'!J226,"")*IF($C226&lt;&gt;"",IF($F226="Halm",Landbrug!E$16*Landbrug!E$17,IF(LEFT($D226,5)="Areal", IF($G226="Ton",Landbrug!E$18,1),1)),1)*IF($F226="Grøntsager",IF($A226="Grøntsager i drivhus",Landbrug!E$51,1-Landbrug!E$51),1)</f>
        <v>6589.6419520099453</v>
      </c>
    </row>
    <row r="227" spans="1:10" x14ac:dyDescent="0.25">
      <c r="A227" t="str">
        <f>IF('[1]Processer - data'!A227&lt;&gt;"",'[1]Processer - data'!A227,"")</f>
        <v>Bælgsædsmark</v>
      </c>
      <c r="B227" t="str">
        <f>IF('[1]Processer - data'!B227&lt;&gt;"",'[1]Processer - data'!B227,"")</f>
        <v>Konventionel</v>
      </c>
      <c r="C227" t="str">
        <f>IF('[1]Processer - data'!C227&lt;&gt;"",'[1]Processer - data'!C227,"")</f>
        <v>JB1-10</v>
      </c>
      <c r="D227" t="str">
        <f>IF('[1]Processer - data'!D227&lt;&gt;"",'[1]Processer - data'!D227,"")</f>
        <v>Areal-bælgsæd</v>
      </c>
      <c r="E227" t="str">
        <f>IF('[1]Processer - data'!E227&lt;&gt;"",'[1]Processer - data'!E227,"")</f>
        <v>Hektar</v>
      </c>
      <c r="F227" t="str">
        <f>IF('[1]Processer - data'!F227&lt;&gt;"",'[1]Processer - data'!F227,"")</f>
        <v>Gødning</v>
      </c>
      <c r="G227" t="str">
        <f>IF('[1]Processer - data'!G227&lt;&gt;"",'[1]Processer - data'!G227,"")</f>
        <v>kg N</v>
      </c>
      <c r="H227" s="297">
        <f>IF($A227&lt;&gt;"",IF(VLOOKUP($A227,[1]!Table1[#All],2,FALSE)="Direkte input",IF($A227&lt;&gt;"Grøntsager i drivhus",SUMIFS('Direkte input'!G$3:G$230,'Direkte input'!$F$3:$F$230,$D227,'Direkte input'!$C$3:$C$230,$B227,'Direkte input'!$D$3:$D$230,$C227,'Direkte input'!$A$3:$A$230,$A$1),SUMIFS('Direkte input'!G$3:G$230,'Direkte input'!$F$3:$F$230,$D227,'Direkte input'!$C$3:$C$230,$B227,'Direkte input'!$A$3:$A$230,$A$1)),IF(VLOOKUP($A227,[1]!Table1[#All],2,FALSE)="Resultat",SUMIF($F$1:$F226,$D227,H$1:H226)+SUMIF($F229:$F$512,$D227,H229:H$512),0))*'[1]Processer - data'!H227,"")*IF($C227&lt;&gt;"",IF($F227="Halm",Landbrug!C$16*Landbrug!C$17,IF(LEFT($D227,5)="Areal", IF($G227="Ton",Landbrug!C$18,1),1)),1)*IF($F227="Grøntsager",IF($A227="Grøntsager i drivhus",Landbrug!C$51,1-Landbrug!C$51),1)</f>
        <v>0</v>
      </c>
      <c r="I227" s="298">
        <f>IF($A227&lt;&gt;"",IF(VLOOKUP($A227,[1]!Table1[#All],2,FALSE)="Direkte input",IF($A227&lt;&gt;"Grøntsager i drivhus",SUMIFS('Direkte input'!H$3:H$230,'Direkte input'!$F$3:$F$230,$D227,'Direkte input'!$C$3:$C$230,$B227,'Direkte input'!$D$3:$D$230,$C227,'Direkte input'!$A$3:$A$230,$A$1),SUMIFS('Direkte input'!H$3:H$230,'Direkte input'!$F$3:$F$230,$D227,'Direkte input'!$C$3:$C$230,$B227,'Direkte input'!$A$3:$A$230,$A$1)),IF(VLOOKUP($A227,[1]!Table1[#All],2,FALSE)="Resultat",SUMIF($F$1:$F226,$D227,I$1:I226)+SUMIF($F229:$F$512,$D227,I229:I$512),0))*'[1]Processer - data'!I227,"")*IF($C227&lt;&gt;"",IF($F227="Halm",Landbrug!D$16*Landbrug!D$17,IF(LEFT($D227,5)="Areal", IF($G227="Ton",Landbrug!D$18,1),1)),1)*IF($F227="Grøntsager",IF($A227="Grøntsager i drivhus",Landbrug!D$51,1-Landbrug!D$51),1)</f>
        <v>0</v>
      </c>
      <c r="J227" s="299">
        <f>IF($A227&lt;&gt;"",IF(VLOOKUP($A227,[1]!Table1[#All],2,FALSE)="Direkte input",IF($A227&lt;&gt;"Grøntsager i drivhus",SUMIFS('Direkte input'!I$3:I$230,'Direkte input'!$F$3:$F$230,$D227,'Direkte input'!$C$3:$C$230,$B227,'Direkte input'!$D$3:$D$230,$C227,'Direkte input'!$A$3:$A$230,$A$1),SUMIFS('Direkte input'!I$3:I$230,'Direkte input'!$F$3:$F$230,$D227,'Direkte input'!$C$3:$C$230,$B227,'Direkte input'!$A$3:$A$230,$A$1)),IF(VLOOKUP($A227,[1]!Table1[#All],2,FALSE)="Resultat",SUMIF($F$1:$F226,$D227,J$1:J226)+SUMIF($F229:$F$512,$D227,J229:J$512),0))*'[1]Processer - data'!J227,"")*IF($C227&lt;&gt;"",IF($F227="Halm",Landbrug!E$16*Landbrug!E$17,IF(LEFT($D227,5)="Areal", IF($G227="Ton",Landbrug!E$18,1),1)),1)*IF($F227="Grøntsager",IF($A227="Grøntsager i drivhus",Landbrug!E$51,1-Landbrug!E$51),1)</f>
        <v>0</v>
      </c>
    </row>
    <row r="228" spans="1:10" x14ac:dyDescent="0.25">
      <c r="A228" t="str">
        <f>IF('[1]Processer - data'!A228&lt;&gt;"",'[1]Processer - data'!A228,"")</f>
        <v>Bælgsædsmark</v>
      </c>
      <c r="B228" t="str">
        <f>IF('[1]Processer - data'!B228&lt;&gt;"",'[1]Processer - data'!B228,"")</f>
        <v>Konventionel</v>
      </c>
      <c r="C228" t="str">
        <f>IF('[1]Processer - data'!C228&lt;&gt;"",'[1]Processer - data'!C228,"")</f>
        <v>JB1-10</v>
      </c>
      <c r="D228" t="str">
        <f>IF('[1]Processer - data'!D228&lt;&gt;"",'[1]Processer - data'!D228,"")</f>
        <v>Areal-bælgsæd</v>
      </c>
      <c r="E228" t="str">
        <f>IF('[1]Processer - data'!E228&lt;&gt;"",'[1]Processer - data'!E228,"")</f>
        <v>Hektar</v>
      </c>
      <c r="F228" t="str">
        <f>IF('[1]Processer - data'!F228&lt;&gt;"",'[1]Processer - data'!F228,"")</f>
        <v>CO2 - atmosfære</v>
      </c>
      <c r="G228" t="str">
        <f>IF('[1]Processer - data'!G228&lt;&gt;"",'[1]Processer - data'!G228,"")</f>
        <v>t CO2-ækvivalenter</v>
      </c>
      <c r="H228" s="297">
        <f>IF($A228&lt;&gt;"",IF(VLOOKUP($A228,[1]!Table1[#All],2,FALSE)="Direkte input",IF($A228&lt;&gt;"Grøntsager i drivhus",SUMIFS('Direkte input'!G$3:G$230,'Direkte input'!$F$3:$F$230,$D228,'Direkte input'!$C$3:$C$230,$B228,'Direkte input'!$D$3:$D$230,$C228,'Direkte input'!$A$3:$A$230,$A$1),SUMIFS('Direkte input'!G$3:G$230,'Direkte input'!$F$3:$F$230,$D228,'Direkte input'!$C$3:$C$230,$B228,'Direkte input'!$A$3:$A$230,$A$1)),IF(VLOOKUP($A228,[1]!Table1[#All],2,FALSE)="Resultat",SUMIF($F$1:$F227,$D228,H$1:H227)+SUMIF($F230:$F$512,$D228,H230:H$512),0))*'[1]Processer - data'!H228,"")*IF($C228&lt;&gt;"",IF($F228="Halm",Landbrug!C$16*Landbrug!C$17,IF(LEFT($D228,5)="Areal", IF($G228="Ton",Landbrug!C$18,1),1)),1)*IF($F228="Grøntsager",IF($A228="Grøntsager i drivhus",Landbrug!C$51,1-Landbrug!C$51),1)</f>
        <v>14337.412461061931</v>
      </c>
      <c r="I228" s="298">
        <f>IF($A228&lt;&gt;"",IF(VLOOKUP($A228,[1]!Table1[#All],2,FALSE)="Direkte input",IF($A228&lt;&gt;"Grøntsager i drivhus",SUMIFS('Direkte input'!H$3:H$230,'Direkte input'!$F$3:$F$230,$D228,'Direkte input'!$C$3:$C$230,$B228,'Direkte input'!$D$3:$D$230,$C228,'Direkte input'!$A$3:$A$230,$A$1),SUMIFS('Direkte input'!H$3:H$230,'Direkte input'!$F$3:$F$230,$D228,'Direkte input'!$C$3:$C$230,$B228,'Direkte input'!$A$3:$A$230,$A$1)),IF(VLOOKUP($A228,[1]!Table1[#All],2,FALSE)="Resultat",SUMIF($F$1:$F227,$D228,I$1:I227)+SUMIF($F230:$F$512,$D228,I230:I$512),0))*'[1]Processer - data'!I228,"")*IF($C228&lt;&gt;"",IF($F228="Halm",Landbrug!D$16*Landbrug!D$17,IF(LEFT($D228,5)="Areal", IF($G228="Ton",Landbrug!D$18,1),1)),1)*IF($F228="Grøntsager",IF($A228="Grøntsager i drivhus",Landbrug!D$51,1-Landbrug!D$51),1)</f>
        <v>13916.993947018183</v>
      </c>
      <c r="J228" s="299">
        <f>IF($A228&lt;&gt;"",IF(VLOOKUP($A228,[1]!Table1[#All],2,FALSE)="Direkte input",IF($A228&lt;&gt;"Grøntsager i drivhus",SUMIFS('Direkte input'!I$3:I$230,'Direkte input'!$F$3:$F$230,$D228,'Direkte input'!$C$3:$C$230,$B228,'Direkte input'!$D$3:$D$230,$C228,'Direkte input'!$A$3:$A$230,$A$1),SUMIFS('Direkte input'!I$3:I$230,'Direkte input'!$F$3:$F$230,$D228,'Direkte input'!$C$3:$C$230,$B228,'Direkte input'!$A$3:$A$230,$A$1)),IF(VLOOKUP($A228,[1]!Table1[#All],2,FALSE)="Resultat",SUMIF($F$1:$F227,$D228,J$1:J227)+SUMIF($F230:$F$512,$D228,J230:J$512),0))*'[1]Processer - data'!J228,"")*IF($C228&lt;&gt;"",IF($F228="Halm",Landbrug!E$16*Landbrug!E$17,IF(LEFT($D228,5)="Areal", IF($G228="Ton",Landbrug!E$18,1),1)),1)*IF($F228="Grøntsager",IF($A228="Grøntsager i drivhus",Landbrug!E$51,1-Landbrug!E$51),1)</f>
        <v>13151.025454476832</v>
      </c>
    </row>
    <row r="229" spans="1:10" x14ac:dyDescent="0.25">
      <c r="A229" t="str">
        <f>IF('[1]Processer - data'!A229&lt;&gt;"",'[1]Processer - data'!A229,"")</f>
        <v>Bælgsædsmark</v>
      </c>
      <c r="B229" t="str">
        <f>IF('[1]Processer - data'!B229&lt;&gt;"",'[1]Processer - data'!B229,"")</f>
        <v>Konventionel</v>
      </c>
      <c r="C229" t="str">
        <f>IF('[1]Processer - data'!C229&lt;&gt;"",'[1]Processer - data'!C229,"")</f>
        <v>OC6</v>
      </c>
      <c r="D229" t="str">
        <f>IF('[1]Processer - data'!D229&lt;&gt;"",'[1]Processer - data'!D229,"")</f>
        <v>Areal-bælgsæd</v>
      </c>
      <c r="E229" t="str">
        <f>IF('[1]Processer - data'!E229&lt;&gt;"",'[1]Processer - data'!E229,"")</f>
        <v>Hektar</v>
      </c>
      <c r="F229" t="str">
        <f>IF('[1]Processer - data'!F229&lt;&gt;"",'[1]Processer - data'!F229,"")</f>
        <v>Bælgsæd</v>
      </c>
      <c r="G229" t="str">
        <f>IF('[1]Processer - data'!G229&lt;&gt;"",'[1]Processer - data'!G229,"")</f>
        <v>Ton</v>
      </c>
      <c r="H229" s="297">
        <f>IF($A229&lt;&gt;"",IF(VLOOKUP($A229,[1]!Table1[#All],2,FALSE)="Direkte input",IF($A229&lt;&gt;"Grøntsager i drivhus",SUMIFS('Direkte input'!G$3:G$230,'Direkte input'!$F$3:$F$230,$D229,'Direkte input'!$C$3:$C$230,$B229,'Direkte input'!$D$3:$D$230,$C229,'Direkte input'!$A$3:$A$230,$A$1),SUMIFS('Direkte input'!G$3:G$230,'Direkte input'!$F$3:$F$230,$D229,'Direkte input'!$C$3:$C$230,$B229,'Direkte input'!$A$3:$A$230,$A$1)),IF(VLOOKUP($A229,[1]!Table1[#All],2,FALSE)="Resultat",SUMIF($F$1:$F228,$D229,H$1:H228)+SUMIF($F231:$F$512,$D229,H231:H$512),0))*'[1]Processer - data'!H229,"")*IF($C229&lt;&gt;"",IF($F229="Halm",Landbrug!C$16*Landbrug!C$17,IF(LEFT($D229,5)="Areal", IF($G229="Ton",Landbrug!C$18,1),1)),1)*IF($F229="Grøntsager",IF($A229="Grøntsager i drivhus",Landbrug!C$51,1-Landbrug!C$51),1)</f>
        <v>563.84620216037536</v>
      </c>
      <c r="I229" s="298">
        <f>IF($A229&lt;&gt;"",IF(VLOOKUP($A229,[1]!Table1[#All],2,FALSE)="Direkte input",IF($A229&lt;&gt;"Grøntsager i drivhus",SUMIFS('Direkte input'!H$3:H$230,'Direkte input'!$F$3:$F$230,$D229,'Direkte input'!$C$3:$C$230,$B229,'Direkte input'!$D$3:$D$230,$C229,'Direkte input'!$A$3:$A$230,$A$1),SUMIFS('Direkte input'!H$3:H$230,'Direkte input'!$F$3:$F$230,$D229,'Direkte input'!$C$3:$C$230,$B229,'Direkte input'!$A$3:$A$230,$A$1)),IF(VLOOKUP($A229,[1]!Table1[#All],2,FALSE)="Resultat",SUMIF($F$1:$F228,$D229,I$1:I228)+SUMIF($F231:$F$512,$D229,I231:I$512),0))*'[1]Processer - data'!I229,"")*IF($C229&lt;&gt;"",IF($F229="Halm",Landbrug!D$16*Landbrug!D$17,IF(LEFT($D229,5)="Areal", IF($G229="Ton",Landbrug!D$18,1),1)),1)*IF($F229="Grøntsager",IF($A229="Grøntsager i drivhus",Landbrug!D$51,1-Landbrug!D$51),1)</f>
        <v>546.7349756894555</v>
      </c>
      <c r="J229" s="299">
        <f>IF($A229&lt;&gt;"",IF(VLOOKUP($A229,[1]!Table1[#All],2,FALSE)="Direkte input",IF($A229&lt;&gt;"Grøntsager i drivhus",SUMIFS('Direkte input'!I$3:I$230,'Direkte input'!$F$3:$F$230,$D229,'Direkte input'!$C$3:$C$230,$B229,'Direkte input'!$D$3:$D$230,$C229,'Direkte input'!$A$3:$A$230,$A$1),SUMIFS('Direkte input'!I$3:I$230,'Direkte input'!$F$3:$F$230,$D229,'Direkte input'!$C$3:$C$230,$B229,'Direkte input'!$A$3:$A$230,$A$1)),IF(VLOOKUP($A229,[1]!Table1[#All],2,FALSE)="Resultat",SUMIF($F$1:$F228,$D229,J$1:J228)+SUMIF($F231:$F$512,$D229,J231:J$512),0))*'[1]Processer - data'!J229,"")*IF($C229&lt;&gt;"",IF($F229="Halm",Landbrug!E$16*Landbrug!E$17,IF(LEFT($D229,5)="Areal", IF($G229="Ton",Landbrug!E$18,1),1)),1)*IF($F229="Grøntsager",IF($A229="Grøntsager i drivhus",Landbrug!E$51,1-Landbrug!E$51),1)</f>
        <v>559.39393514943799</v>
      </c>
    </row>
    <row r="230" spans="1:10" x14ac:dyDescent="0.25">
      <c r="A230" t="str">
        <f>IF('[1]Processer - data'!A230&lt;&gt;"",'[1]Processer - data'!A230,"")</f>
        <v>Bælgsædsmark</v>
      </c>
      <c r="B230" t="str">
        <f>IF('[1]Processer - data'!B230&lt;&gt;"",'[1]Processer - data'!B230,"")</f>
        <v>Konventionel</v>
      </c>
      <c r="C230" t="str">
        <f>IF('[1]Processer - data'!C230&lt;&gt;"",'[1]Processer - data'!C230,"")</f>
        <v>OC6</v>
      </c>
      <c r="D230" t="str">
        <f>IF('[1]Processer - data'!D230&lt;&gt;"",'[1]Processer - data'!D230,"")</f>
        <v>Areal-bælgsæd</v>
      </c>
      <c r="E230" t="str">
        <f>IF('[1]Processer - data'!E230&lt;&gt;"",'[1]Processer - data'!E230,"")</f>
        <v>Hektar</v>
      </c>
      <c r="F230" t="str">
        <f>IF('[1]Processer - data'!F230&lt;&gt;"",'[1]Processer - data'!F230,"")</f>
        <v>Halm</v>
      </c>
      <c r="G230" t="str">
        <f>IF('[1]Processer - data'!G230&lt;&gt;"",'[1]Processer - data'!G230,"")</f>
        <v>Ton</v>
      </c>
      <c r="H230" s="297">
        <f>IF($A230&lt;&gt;"",IF(VLOOKUP($A230,[1]!Table1[#All],2,FALSE)="Direkte input",IF($A230&lt;&gt;"Grøntsager i drivhus",SUMIFS('Direkte input'!G$3:G$230,'Direkte input'!$F$3:$F$230,$D230,'Direkte input'!$C$3:$C$230,$B230,'Direkte input'!$D$3:$D$230,$C230,'Direkte input'!$A$3:$A$230,$A$1),SUMIFS('Direkte input'!G$3:G$230,'Direkte input'!$F$3:$F$230,$D230,'Direkte input'!$C$3:$C$230,$B230,'Direkte input'!$A$3:$A$230,$A$1)),IF(VLOOKUP($A230,[1]!Table1[#All],2,FALSE)="Resultat",SUMIF($F$1:$F229,$D230,H$1:H229)+SUMIF($F232:$F$512,$D230,H232:H$512),0))*'[1]Processer - data'!H230,"")*IF($C230&lt;&gt;"",IF($F230="Halm",Landbrug!C$16*Landbrug!C$17,IF(LEFT($D230,5)="Areal", IF($G230="Ton",Landbrug!C$18,1),1)),1)*IF($F230="Grøntsager",IF($A230="Grøntsager i drivhus",Landbrug!C$51,1-Landbrug!C$51),1)</f>
        <v>167.39395203776587</v>
      </c>
      <c r="I230" s="298">
        <f>IF($A230&lt;&gt;"",IF(VLOOKUP($A230,[1]!Table1[#All],2,FALSE)="Direkte input",IF($A230&lt;&gt;"Grøntsager i drivhus",SUMIFS('Direkte input'!H$3:H$230,'Direkte input'!$F$3:$F$230,$D230,'Direkte input'!$C$3:$C$230,$B230,'Direkte input'!$D$3:$D$230,$C230,'Direkte input'!$A$3:$A$230,$A$1),SUMIFS('Direkte input'!H$3:H$230,'Direkte input'!$F$3:$F$230,$D230,'Direkte input'!$C$3:$C$230,$B230,'Direkte input'!$A$3:$A$230,$A$1)),IF(VLOOKUP($A230,[1]!Table1[#All],2,FALSE)="Resultat",SUMIF($F$1:$F229,$D230,I$1:I229)+SUMIF($F232:$F$512,$D230,I232:I$512),0))*'[1]Processer - data'!I230,"")*IF($C230&lt;&gt;"",IF($F230="Halm",Landbrug!D$16*Landbrug!D$17,IF(LEFT($D230,5)="Areal", IF($G230="Ton",Landbrug!D$18,1),1)),1)*IF($F230="Grøntsager",IF($A230="Grøntsager i drivhus",Landbrug!D$51,1-Landbrug!D$51),1)</f>
        <v>150.53207661173718</v>
      </c>
      <c r="J230" s="299">
        <f>IF($A230&lt;&gt;"",IF(VLOOKUP($A230,[1]!Table1[#All],2,FALSE)="Direkte input",IF($A230&lt;&gt;"Grøntsager i drivhus",SUMIFS('Direkte input'!I$3:I$230,'Direkte input'!$F$3:$F$230,$D230,'Direkte input'!$C$3:$C$230,$B230,'Direkte input'!$D$3:$D$230,$C230,'Direkte input'!$A$3:$A$230,$A$1),SUMIFS('Direkte input'!I$3:I$230,'Direkte input'!$F$3:$F$230,$D230,'Direkte input'!$C$3:$C$230,$B230,'Direkte input'!$A$3:$A$230,$A$1)),IF(VLOOKUP($A230,[1]!Table1[#All],2,FALSE)="Resultat",SUMIF($F$1:$F229,$D230,J$1:J229)+SUMIF($F232:$F$512,$D230,J232:J$512),0))*'[1]Processer - data'!J230,"")*IF($C230&lt;&gt;"",IF($F230="Halm",Landbrug!E$16*Landbrug!E$17,IF(LEFT($D230,5)="Areal", IF($G230="Ton",Landbrug!E$18,1),1)),1)*IF($F230="Grøntsager",IF($A230="Grøntsager i drivhus",Landbrug!E$51,1-Landbrug!E$51),1)</f>
        <v>143.57105572795743</v>
      </c>
    </row>
    <row r="231" spans="1:10" x14ac:dyDescent="0.25">
      <c r="A231" t="str">
        <f>IF('[1]Processer - data'!A231&lt;&gt;"",'[1]Processer - data'!A231,"")</f>
        <v>Bælgsædsmark</v>
      </c>
      <c r="B231" t="str">
        <f>IF('[1]Processer - data'!B231&lt;&gt;"",'[1]Processer - data'!B231,"")</f>
        <v>Konventionel</v>
      </c>
      <c r="C231" t="str">
        <f>IF('[1]Processer - data'!C231&lt;&gt;"",'[1]Processer - data'!C231,"")</f>
        <v>OC6</v>
      </c>
      <c r="D231" t="str">
        <f>IF('[1]Processer - data'!D231&lt;&gt;"",'[1]Processer - data'!D231,"")</f>
        <v>Areal-bælgsæd</v>
      </c>
      <c r="E231" t="str">
        <f>IF('[1]Processer - data'!E231&lt;&gt;"",'[1]Processer - data'!E231,"")</f>
        <v>Hektar</v>
      </c>
      <c r="F231" t="str">
        <f>IF('[1]Processer - data'!F231&lt;&gt;"",'[1]Processer - data'!F231,"")</f>
        <v>Gødning</v>
      </c>
      <c r="G231" t="str">
        <f>IF('[1]Processer - data'!G231&lt;&gt;"",'[1]Processer - data'!G231,"")</f>
        <v>kg N</v>
      </c>
      <c r="H231" s="297">
        <f>IF($A231&lt;&gt;"",IF(VLOOKUP($A231,[1]!Table1[#All],2,FALSE)="Direkte input",IF($A231&lt;&gt;"Grøntsager i drivhus",SUMIFS('Direkte input'!G$3:G$230,'Direkte input'!$F$3:$F$230,$D231,'Direkte input'!$C$3:$C$230,$B231,'Direkte input'!$D$3:$D$230,$C231,'Direkte input'!$A$3:$A$230,$A$1),SUMIFS('Direkte input'!G$3:G$230,'Direkte input'!$F$3:$F$230,$D231,'Direkte input'!$C$3:$C$230,$B231,'Direkte input'!$A$3:$A$230,$A$1)),IF(VLOOKUP($A231,[1]!Table1[#All],2,FALSE)="Resultat",SUMIF($F$1:$F230,$D231,H$1:H230)+SUMIF($F233:$F$512,$D231,H233:H$512),0))*'[1]Processer - data'!H231,"")*IF($C231&lt;&gt;"",IF($F231="Halm",Landbrug!C$16*Landbrug!C$17,IF(LEFT($D231,5)="Areal", IF($G231="Ton",Landbrug!C$18,1),1)),1)*IF($F231="Grøntsager",IF($A231="Grøntsager i drivhus",Landbrug!C$51,1-Landbrug!C$51),1)</f>
        <v>0</v>
      </c>
      <c r="I231" s="298">
        <f>IF($A231&lt;&gt;"",IF(VLOOKUP($A231,[1]!Table1[#All],2,FALSE)="Direkte input",IF($A231&lt;&gt;"Grøntsager i drivhus",SUMIFS('Direkte input'!H$3:H$230,'Direkte input'!$F$3:$F$230,$D231,'Direkte input'!$C$3:$C$230,$B231,'Direkte input'!$D$3:$D$230,$C231,'Direkte input'!$A$3:$A$230,$A$1),SUMIFS('Direkte input'!H$3:H$230,'Direkte input'!$F$3:$F$230,$D231,'Direkte input'!$C$3:$C$230,$B231,'Direkte input'!$A$3:$A$230,$A$1)),IF(VLOOKUP($A231,[1]!Table1[#All],2,FALSE)="Resultat",SUMIF($F$1:$F230,$D231,I$1:I230)+SUMIF($F233:$F$512,$D231,I233:I$512),0))*'[1]Processer - data'!I231,"")*IF($C231&lt;&gt;"",IF($F231="Halm",Landbrug!D$16*Landbrug!D$17,IF(LEFT($D231,5)="Areal", IF($G231="Ton",Landbrug!D$18,1),1)),1)*IF($F231="Grøntsager",IF($A231="Grøntsager i drivhus",Landbrug!D$51,1-Landbrug!D$51),1)</f>
        <v>0</v>
      </c>
      <c r="J231" s="299">
        <f>IF($A231&lt;&gt;"",IF(VLOOKUP($A231,[1]!Table1[#All],2,FALSE)="Direkte input",IF($A231&lt;&gt;"Grøntsager i drivhus",SUMIFS('Direkte input'!I$3:I$230,'Direkte input'!$F$3:$F$230,$D231,'Direkte input'!$C$3:$C$230,$B231,'Direkte input'!$D$3:$D$230,$C231,'Direkte input'!$A$3:$A$230,$A$1),SUMIFS('Direkte input'!I$3:I$230,'Direkte input'!$F$3:$F$230,$D231,'Direkte input'!$C$3:$C$230,$B231,'Direkte input'!$A$3:$A$230,$A$1)),IF(VLOOKUP($A231,[1]!Table1[#All],2,FALSE)="Resultat",SUMIF($F$1:$F230,$D231,J$1:J230)+SUMIF($F233:$F$512,$D231,J233:J$512),0))*'[1]Processer - data'!J231,"")*IF($C231&lt;&gt;"",IF($F231="Halm",Landbrug!E$16*Landbrug!E$17,IF(LEFT($D231,5)="Areal", IF($G231="Ton",Landbrug!E$18,1),1)),1)*IF($F231="Grøntsager",IF($A231="Grøntsager i drivhus",Landbrug!E$51,1-Landbrug!E$51),1)</f>
        <v>0</v>
      </c>
    </row>
    <row r="232" spans="1:10" x14ac:dyDescent="0.25">
      <c r="A232" t="str">
        <f>IF('[1]Processer - data'!A232&lt;&gt;"",'[1]Processer - data'!A232,"")</f>
        <v>Bælgsædsmark</v>
      </c>
      <c r="B232" t="str">
        <f>IF('[1]Processer - data'!B232&lt;&gt;"",'[1]Processer - data'!B232,"")</f>
        <v>Konventionel</v>
      </c>
      <c r="C232" t="str">
        <f>IF('[1]Processer - data'!C232&lt;&gt;"",'[1]Processer - data'!C232,"")</f>
        <v>OC6</v>
      </c>
      <c r="D232" t="str">
        <f>IF('[1]Processer - data'!D232&lt;&gt;"",'[1]Processer - data'!D232,"")</f>
        <v>Areal-bælgsæd</v>
      </c>
      <c r="E232" t="str">
        <f>IF('[1]Processer - data'!E232&lt;&gt;"",'[1]Processer - data'!E232,"")</f>
        <v>Hektar</v>
      </c>
      <c r="F232" t="str">
        <f>IF('[1]Processer - data'!F232&lt;&gt;"",'[1]Processer - data'!F232,"")</f>
        <v>CO2 - atmosfære</v>
      </c>
      <c r="G232" t="str">
        <f>IF('[1]Processer - data'!G232&lt;&gt;"",'[1]Processer - data'!G232,"")</f>
        <v>t CO2-ækvivalenter</v>
      </c>
      <c r="H232" s="297">
        <f>IF($A232&lt;&gt;"",IF(VLOOKUP($A232,[1]!Table1[#All],2,FALSE)="Direkte input",IF($A232&lt;&gt;"Grøntsager i drivhus",SUMIFS('Direkte input'!G$3:G$230,'Direkte input'!$F$3:$F$230,$D232,'Direkte input'!$C$3:$C$230,$B232,'Direkte input'!$D$3:$D$230,$C232,'Direkte input'!$A$3:$A$230,$A$1),SUMIFS('Direkte input'!G$3:G$230,'Direkte input'!$F$3:$F$230,$D232,'Direkte input'!$C$3:$C$230,$B232,'Direkte input'!$A$3:$A$230,$A$1)),IF(VLOOKUP($A232,[1]!Table1[#All],2,FALSE)="Resultat",SUMIF($F$1:$F231,$D232,H$1:H231)+SUMIF($F234:$F$512,$D232,H234:H$512),0))*'[1]Processer - data'!H232,"")*IF($C232&lt;&gt;"",IF($F232="Halm",Landbrug!C$16*Landbrug!C$17,IF(LEFT($D232,5)="Areal", IF($G232="Ton",Landbrug!C$18,1),1)),1)*IF($F232="Grøntsager",IF($A232="Grøntsager i drivhus",Landbrug!C$51,1-Landbrug!C$51),1)</f>
        <v>1946.644243354089</v>
      </c>
      <c r="I232" s="298">
        <f>IF($A232&lt;&gt;"",IF(VLOOKUP($A232,[1]!Table1[#All],2,FALSE)="Direkte input",IF($A232&lt;&gt;"Grøntsager i drivhus",SUMIFS('Direkte input'!H$3:H$230,'Direkte input'!$F$3:$F$230,$D232,'Direkte input'!$C$3:$C$230,$B232,'Direkte input'!$D$3:$D$230,$C232,'Direkte input'!$A$3:$A$230,$A$1),SUMIFS('Direkte input'!H$3:H$230,'Direkte input'!$F$3:$F$230,$D232,'Direkte input'!$C$3:$C$230,$B232,'Direkte input'!$A$3:$A$230,$A$1)),IF(VLOOKUP($A232,[1]!Table1[#All],2,FALSE)="Resultat",SUMIF($F$1:$F231,$D232,I$1:I231)+SUMIF($F234:$F$512,$D232,I234:I$512),0))*'[1]Processer - data'!I232,"")*IF($C232&lt;&gt;"",IF($F232="Halm",Landbrug!D$16*Landbrug!D$17,IF(LEFT($D232,5)="Areal", IF($G232="Ton",Landbrug!D$18,1),1)),1)*IF($F232="Grøntsager",IF($A232="Grøntsager i drivhus",Landbrug!D$51,1-Landbrug!D$51),1)</f>
        <v>1760.7917809028779</v>
      </c>
      <c r="J232" s="299">
        <f>IF($A232&lt;&gt;"",IF(VLOOKUP($A232,[1]!Table1[#All],2,FALSE)="Direkte input",IF($A232&lt;&gt;"Grøntsager i drivhus",SUMIFS('Direkte input'!I$3:I$230,'Direkte input'!$F$3:$F$230,$D232,'Direkte input'!$C$3:$C$230,$B232,'Direkte input'!$D$3:$D$230,$C232,'Direkte input'!$A$3:$A$230,$A$1),SUMIFS('Direkte input'!I$3:I$230,'Direkte input'!$F$3:$F$230,$D232,'Direkte input'!$C$3:$C$230,$B232,'Direkte input'!$A$3:$A$230,$A$1)),IF(VLOOKUP($A232,[1]!Table1[#All],2,FALSE)="Resultat",SUMIF($F$1:$F231,$D232,J$1:J231)+SUMIF($F234:$F$512,$D232,J234:J$512),0))*'[1]Processer - data'!J232,"")*IF($C232&lt;&gt;"",IF($F232="Halm",Landbrug!E$16*Landbrug!E$17,IF(LEFT($D232,5)="Areal", IF($G232="Ton",Landbrug!E$18,1),1)),1)*IF($F232="Grøntsager",IF($A232="Grøntsager i drivhus",Landbrug!E$51,1-Landbrug!E$51),1)</f>
        <v>1679.367883520086</v>
      </c>
    </row>
    <row r="233" spans="1:10" x14ac:dyDescent="0.25">
      <c r="A233" t="str">
        <f>IF('[1]Processer - data'!A233&lt;&gt;"",'[1]Processer - data'!A233,"")</f>
        <v>Bælgsædsmark</v>
      </c>
      <c r="B233" t="str">
        <f>IF('[1]Processer - data'!B233&lt;&gt;"",'[1]Processer - data'!B233,"")</f>
        <v>Konventionel</v>
      </c>
      <c r="C233" t="str">
        <f>IF('[1]Processer - data'!C233&lt;&gt;"",'[1]Processer - data'!C233,"")</f>
        <v>OC12</v>
      </c>
      <c r="D233" t="str">
        <f>IF('[1]Processer - data'!D233&lt;&gt;"",'[1]Processer - data'!D233,"")</f>
        <v>Areal-bælgsæd</v>
      </c>
      <c r="E233" t="str">
        <f>IF('[1]Processer - data'!E233&lt;&gt;"",'[1]Processer - data'!E233,"")</f>
        <v>Hektar</v>
      </c>
      <c r="F233" t="str">
        <f>IF('[1]Processer - data'!F233&lt;&gt;"",'[1]Processer - data'!F233,"")</f>
        <v>Bælgsæd</v>
      </c>
      <c r="G233" t="str">
        <f>IF('[1]Processer - data'!G233&lt;&gt;"",'[1]Processer - data'!G233,"")</f>
        <v>Ton</v>
      </c>
      <c r="H233" s="297">
        <f>IF($A233&lt;&gt;"",IF(VLOOKUP($A233,[1]!Table1[#All],2,FALSE)="Direkte input",IF($A233&lt;&gt;"Grøntsager i drivhus",SUMIFS('Direkte input'!G$3:G$230,'Direkte input'!$F$3:$F$230,$D233,'Direkte input'!$C$3:$C$230,$B233,'Direkte input'!$D$3:$D$230,$C233,'Direkte input'!$A$3:$A$230,$A$1),SUMIFS('Direkte input'!G$3:G$230,'Direkte input'!$F$3:$F$230,$D233,'Direkte input'!$C$3:$C$230,$B233,'Direkte input'!$A$3:$A$230,$A$1)),IF(VLOOKUP($A233,[1]!Table1[#All],2,FALSE)="Resultat",SUMIF($F$1:$F232,$D233,H$1:H232)+SUMIF($F235:$F$512,$D233,H235:H$512),0))*'[1]Processer - data'!H233,"")*IF($C233&lt;&gt;"",IF($F233="Halm",Landbrug!C$16*Landbrug!C$17,IF(LEFT($D233,5)="Areal", IF($G233="Ton",Landbrug!C$18,1),1)),1)*IF($F233="Grøntsager",IF($A233="Grøntsager i drivhus",Landbrug!C$51,1-Landbrug!C$51),1)</f>
        <v>236.09736958909534</v>
      </c>
      <c r="I233" s="298">
        <f>IF($A233&lt;&gt;"",IF(VLOOKUP($A233,[1]!Table1[#All],2,FALSE)="Direkte input",IF($A233&lt;&gt;"Grøntsager i drivhus",SUMIFS('Direkte input'!H$3:H$230,'Direkte input'!$F$3:$F$230,$D233,'Direkte input'!$C$3:$C$230,$B233,'Direkte input'!$D$3:$D$230,$C233,'Direkte input'!$A$3:$A$230,$A$1),SUMIFS('Direkte input'!H$3:H$230,'Direkte input'!$F$3:$F$230,$D233,'Direkte input'!$C$3:$C$230,$B233,'Direkte input'!$A$3:$A$230,$A$1)),IF(VLOOKUP($A233,[1]!Table1[#All],2,FALSE)="Resultat",SUMIF($F$1:$F232,$D233,I$1:I232)+SUMIF($F235:$F$512,$D233,I235:I$512),0))*'[1]Processer - data'!I233,"")*IF($C233&lt;&gt;"",IF($F233="Halm",Landbrug!D$16*Landbrug!D$17,IF(LEFT($D233,5)="Areal", IF($G233="Ton",Landbrug!D$18,1),1)),1)*IF($F233="Grøntsager",IF($A233="Grøntsager i drivhus",Landbrug!D$51,1-Landbrug!D$51),1)</f>
        <v>230.74514243513437</v>
      </c>
      <c r="J233" s="299">
        <f>IF($A233&lt;&gt;"",IF(VLOOKUP($A233,[1]!Table1[#All],2,FALSE)="Direkte input",IF($A233&lt;&gt;"Grøntsager i drivhus",SUMIFS('Direkte input'!I$3:I$230,'Direkte input'!$F$3:$F$230,$D233,'Direkte input'!$C$3:$C$230,$B233,'Direkte input'!$D$3:$D$230,$C233,'Direkte input'!$A$3:$A$230,$A$1),SUMIFS('Direkte input'!I$3:I$230,'Direkte input'!$F$3:$F$230,$D233,'Direkte input'!$C$3:$C$230,$B233,'Direkte input'!$A$3:$A$230,$A$1)),IF(VLOOKUP($A233,[1]!Table1[#All],2,FALSE)="Resultat",SUMIF($F$1:$F232,$D233,J$1:J232)+SUMIF($F235:$F$512,$D233,J235:J$512),0))*'[1]Processer - data'!J233,"")*IF($C233&lt;&gt;"",IF($F233="Halm",Landbrug!E$16*Landbrug!E$17,IF(LEFT($D233,5)="Areal", IF($G233="Ton",Landbrug!E$18,1),1)),1)*IF($F233="Grøntsager",IF($A233="Grøntsager i drivhus",Landbrug!E$51,1-Landbrug!E$51),1)</f>
        <v>236.08775546257186</v>
      </c>
    </row>
    <row r="234" spans="1:10" x14ac:dyDescent="0.25">
      <c r="A234" t="str">
        <f>IF('[1]Processer - data'!A234&lt;&gt;"",'[1]Processer - data'!A234,"")</f>
        <v>Bælgsædsmark</v>
      </c>
      <c r="B234" t="str">
        <f>IF('[1]Processer - data'!B234&lt;&gt;"",'[1]Processer - data'!B234,"")</f>
        <v>Konventionel</v>
      </c>
      <c r="C234" t="str">
        <f>IF('[1]Processer - data'!C234&lt;&gt;"",'[1]Processer - data'!C234,"")</f>
        <v>OC12</v>
      </c>
      <c r="D234" t="str">
        <f>IF('[1]Processer - data'!D234&lt;&gt;"",'[1]Processer - data'!D234,"")</f>
        <v>Areal-bælgsæd</v>
      </c>
      <c r="E234" t="str">
        <f>IF('[1]Processer - data'!E234&lt;&gt;"",'[1]Processer - data'!E234,"")</f>
        <v>Hektar</v>
      </c>
      <c r="F234" t="str">
        <f>IF('[1]Processer - data'!F234&lt;&gt;"",'[1]Processer - data'!F234,"")</f>
        <v>Halm</v>
      </c>
      <c r="G234" t="str">
        <f>IF('[1]Processer - data'!G234&lt;&gt;"",'[1]Processer - data'!G234,"")</f>
        <v>Ton</v>
      </c>
      <c r="H234" s="297">
        <f>IF($A234&lt;&gt;"",IF(VLOOKUP($A234,[1]!Table1[#All],2,FALSE)="Direkte input",IF($A234&lt;&gt;"Grøntsager i drivhus",SUMIFS('Direkte input'!G$3:G$230,'Direkte input'!$F$3:$F$230,$D234,'Direkte input'!$C$3:$C$230,$B234,'Direkte input'!$D$3:$D$230,$C234,'Direkte input'!$A$3:$A$230,$A$1),SUMIFS('Direkte input'!G$3:G$230,'Direkte input'!$F$3:$F$230,$D234,'Direkte input'!$C$3:$C$230,$B234,'Direkte input'!$A$3:$A$230,$A$1)),IF(VLOOKUP($A234,[1]!Table1[#All],2,FALSE)="Resultat",SUMIF($F$1:$F233,$D234,H$1:H233)+SUMIF($F236:$F$512,$D234,H236:H$512),0))*'[1]Processer - data'!H234,"")*IF($C234&lt;&gt;"",IF($F234="Halm",Landbrug!C$16*Landbrug!C$17,IF(LEFT($D234,5)="Areal", IF($G234="Ton",Landbrug!C$18,1),1)),1)*IF($F234="Grøntsager",IF($A234="Grøntsager i drivhus",Landbrug!C$51,1-Landbrug!C$51),1)</f>
        <v>70.092290432770596</v>
      </c>
      <c r="I234" s="298">
        <f>IF($A234&lt;&gt;"",IF(VLOOKUP($A234,[1]!Table1[#All],2,FALSE)="Direkte input",IF($A234&lt;&gt;"Grøntsager i drivhus",SUMIFS('Direkte input'!H$3:H$230,'Direkte input'!$F$3:$F$230,$D234,'Direkte input'!$C$3:$C$230,$B234,'Direkte input'!$D$3:$D$230,$C234,'Direkte input'!$A$3:$A$230,$A$1),SUMIFS('Direkte input'!H$3:H$230,'Direkte input'!$F$3:$F$230,$D234,'Direkte input'!$C$3:$C$230,$B234,'Direkte input'!$A$3:$A$230,$A$1)),IF(VLOOKUP($A234,[1]!Table1[#All],2,FALSE)="Resultat",SUMIF($F$1:$F233,$D234,I$1:I233)+SUMIF($F236:$F$512,$D234,I236:I$512),0))*'[1]Processer - data'!I234,"")*IF($C234&lt;&gt;"",IF($F234="Halm",Landbrug!D$16*Landbrug!D$17,IF(LEFT($D234,5)="Areal", IF($G234="Ton",Landbrug!D$18,1),1)),1)*IF($F234="Grøntsager",IF($A234="Grøntsager i drivhus",Landbrug!D$51,1-Landbrug!D$51),1)</f>
        <v>63.530864135827713</v>
      </c>
      <c r="J234" s="299">
        <f>IF($A234&lt;&gt;"",IF(VLOOKUP($A234,[1]!Table1[#All],2,FALSE)="Direkte input",IF($A234&lt;&gt;"Grøntsager i drivhus",SUMIFS('Direkte input'!I$3:I$230,'Direkte input'!$F$3:$F$230,$D234,'Direkte input'!$C$3:$C$230,$B234,'Direkte input'!$D$3:$D$230,$C234,'Direkte input'!$A$3:$A$230,$A$1),SUMIFS('Direkte input'!I$3:I$230,'Direkte input'!$F$3:$F$230,$D234,'Direkte input'!$C$3:$C$230,$B234,'Direkte input'!$A$3:$A$230,$A$1)),IF(VLOOKUP($A234,[1]!Table1[#All],2,FALSE)="Resultat",SUMIF($F$1:$F233,$D234,J$1:J233)+SUMIF($F236:$F$512,$D234,J236:J$512),0))*'[1]Processer - data'!J234,"")*IF($C234&lt;&gt;"",IF($F234="Halm",Landbrug!E$16*Landbrug!E$17,IF(LEFT($D234,5)="Areal", IF($G234="Ton",Landbrug!E$18,1),1)),1)*IF($F234="Grøntsager",IF($A234="Grøntsager i drivhus",Landbrug!E$51,1-Landbrug!E$51),1)</f>
        <v>60.593020707581324</v>
      </c>
    </row>
    <row r="235" spans="1:10" x14ac:dyDescent="0.25">
      <c r="A235" t="str">
        <f>IF('[1]Processer - data'!A235&lt;&gt;"",'[1]Processer - data'!A235,"")</f>
        <v>Bælgsædsmark</v>
      </c>
      <c r="B235" t="str">
        <f>IF('[1]Processer - data'!B235&lt;&gt;"",'[1]Processer - data'!B235,"")</f>
        <v>Konventionel</v>
      </c>
      <c r="C235" t="str">
        <f>IF('[1]Processer - data'!C235&lt;&gt;"",'[1]Processer - data'!C235,"")</f>
        <v>OC12</v>
      </c>
      <c r="D235" t="str">
        <f>IF('[1]Processer - data'!D235&lt;&gt;"",'[1]Processer - data'!D235,"")</f>
        <v>Areal-bælgsæd</v>
      </c>
      <c r="E235" t="str">
        <f>IF('[1]Processer - data'!E235&lt;&gt;"",'[1]Processer - data'!E235,"")</f>
        <v>Hektar</v>
      </c>
      <c r="F235" t="str">
        <f>IF('[1]Processer - data'!F235&lt;&gt;"",'[1]Processer - data'!F235,"")</f>
        <v>Gødning</v>
      </c>
      <c r="G235" t="str">
        <f>IF('[1]Processer - data'!G235&lt;&gt;"",'[1]Processer - data'!G235,"")</f>
        <v>kg N</v>
      </c>
      <c r="H235" s="297">
        <f>IF($A235&lt;&gt;"",IF(VLOOKUP($A235,[1]!Table1[#All],2,FALSE)="Direkte input",IF($A235&lt;&gt;"Grøntsager i drivhus",SUMIFS('Direkte input'!G$3:G$230,'Direkte input'!$F$3:$F$230,$D235,'Direkte input'!$C$3:$C$230,$B235,'Direkte input'!$D$3:$D$230,$C235,'Direkte input'!$A$3:$A$230,$A$1),SUMIFS('Direkte input'!G$3:G$230,'Direkte input'!$F$3:$F$230,$D235,'Direkte input'!$C$3:$C$230,$B235,'Direkte input'!$A$3:$A$230,$A$1)),IF(VLOOKUP($A235,[1]!Table1[#All],2,FALSE)="Resultat",SUMIF($F$1:$F234,$D235,H$1:H234)+SUMIF($F237:$F$512,$D235,H237:H$512),0))*'[1]Processer - data'!H235,"")*IF($C235&lt;&gt;"",IF($F235="Halm",Landbrug!C$16*Landbrug!C$17,IF(LEFT($D235,5)="Areal", IF($G235="Ton",Landbrug!C$18,1),1)),1)*IF($F235="Grøntsager",IF($A235="Grøntsager i drivhus",Landbrug!C$51,1-Landbrug!C$51),1)</f>
        <v>0</v>
      </c>
      <c r="I235" s="298">
        <f>IF($A235&lt;&gt;"",IF(VLOOKUP($A235,[1]!Table1[#All],2,FALSE)="Direkte input",IF($A235&lt;&gt;"Grøntsager i drivhus",SUMIFS('Direkte input'!H$3:H$230,'Direkte input'!$F$3:$F$230,$D235,'Direkte input'!$C$3:$C$230,$B235,'Direkte input'!$D$3:$D$230,$C235,'Direkte input'!$A$3:$A$230,$A$1),SUMIFS('Direkte input'!H$3:H$230,'Direkte input'!$F$3:$F$230,$D235,'Direkte input'!$C$3:$C$230,$B235,'Direkte input'!$A$3:$A$230,$A$1)),IF(VLOOKUP($A235,[1]!Table1[#All],2,FALSE)="Resultat",SUMIF($F$1:$F234,$D235,I$1:I234)+SUMIF($F237:$F$512,$D235,I237:I$512),0))*'[1]Processer - data'!I235,"")*IF($C235&lt;&gt;"",IF($F235="Halm",Landbrug!D$16*Landbrug!D$17,IF(LEFT($D235,5)="Areal", IF($G235="Ton",Landbrug!D$18,1),1)),1)*IF($F235="Grøntsager",IF($A235="Grøntsager i drivhus",Landbrug!D$51,1-Landbrug!D$51),1)</f>
        <v>0</v>
      </c>
      <c r="J235" s="299">
        <f>IF($A235&lt;&gt;"",IF(VLOOKUP($A235,[1]!Table1[#All],2,FALSE)="Direkte input",IF($A235&lt;&gt;"Grøntsager i drivhus",SUMIFS('Direkte input'!I$3:I$230,'Direkte input'!$F$3:$F$230,$D235,'Direkte input'!$C$3:$C$230,$B235,'Direkte input'!$D$3:$D$230,$C235,'Direkte input'!$A$3:$A$230,$A$1),SUMIFS('Direkte input'!I$3:I$230,'Direkte input'!$F$3:$F$230,$D235,'Direkte input'!$C$3:$C$230,$B235,'Direkte input'!$A$3:$A$230,$A$1)),IF(VLOOKUP($A235,[1]!Table1[#All],2,FALSE)="Resultat",SUMIF($F$1:$F234,$D235,J$1:J234)+SUMIF($F237:$F$512,$D235,J237:J$512),0))*'[1]Processer - data'!J235,"")*IF($C235&lt;&gt;"",IF($F235="Halm",Landbrug!E$16*Landbrug!E$17,IF(LEFT($D235,5)="Areal", IF($G235="Ton",Landbrug!E$18,1),1)),1)*IF($F235="Grøntsager",IF($A235="Grøntsager i drivhus",Landbrug!E$51,1-Landbrug!E$51),1)</f>
        <v>0</v>
      </c>
    </row>
    <row r="236" spans="1:10" x14ac:dyDescent="0.25">
      <c r="A236" t="str">
        <f>IF('[1]Processer - data'!A236&lt;&gt;"",'[1]Processer - data'!A236,"")</f>
        <v>Bælgsædsmark</v>
      </c>
      <c r="B236" t="str">
        <f>IF('[1]Processer - data'!B236&lt;&gt;"",'[1]Processer - data'!B236,"")</f>
        <v>Konventionel</v>
      </c>
      <c r="C236" t="str">
        <f>IF('[1]Processer - data'!C236&lt;&gt;"",'[1]Processer - data'!C236,"")</f>
        <v>OC12</v>
      </c>
      <c r="D236" t="str">
        <f>IF('[1]Processer - data'!D236&lt;&gt;"",'[1]Processer - data'!D236,"")</f>
        <v>Areal-bælgsæd</v>
      </c>
      <c r="E236" t="str">
        <f>IF('[1]Processer - data'!E236&lt;&gt;"",'[1]Processer - data'!E236,"")</f>
        <v>Hektar</v>
      </c>
      <c r="F236" t="str">
        <f>IF('[1]Processer - data'!F236&lt;&gt;"",'[1]Processer - data'!F236,"")</f>
        <v>CO2 - atmosfære</v>
      </c>
      <c r="G236" t="str">
        <f>IF('[1]Processer - data'!G236&lt;&gt;"",'[1]Processer - data'!G236,"")</f>
        <v>t CO2-ækvivalenter</v>
      </c>
      <c r="H236" s="297">
        <f>IF($A236&lt;&gt;"",IF(VLOOKUP($A236,[1]!Table1[#All],2,FALSE)="Direkte input",IF($A236&lt;&gt;"Grøntsager i drivhus",SUMIFS('Direkte input'!G$3:G$230,'Direkte input'!$F$3:$F$230,$D236,'Direkte input'!$C$3:$C$230,$B236,'Direkte input'!$D$3:$D$230,$C236,'Direkte input'!$A$3:$A$230,$A$1),SUMIFS('Direkte input'!G$3:G$230,'Direkte input'!$F$3:$F$230,$D236,'Direkte input'!$C$3:$C$230,$B236,'Direkte input'!$A$3:$A$230,$A$1)),IF(VLOOKUP($A236,[1]!Table1[#All],2,FALSE)="Resultat",SUMIF($F$1:$F235,$D236,H$1:H235)+SUMIF($F238:$F$512,$D236,H238:H$512),0))*'[1]Processer - data'!H236,"")*IF($C236&lt;&gt;"",IF($F236="Halm",Landbrug!C$16*Landbrug!C$17,IF(LEFT($D236,5)="Areal", IF($G236="Ton",Landbrug!C$18,1),1)),1)*IF($F236="Grøntsager",IF($A236="Grøntsager i drivhus",Landbrug!C$51,1-Landbrug!C$51),1)</f>
        <v>1789.1538342671886</v>
      </c>
      <c r="I236" s="298">
        <f>IF($A236&lt;&gt;"",IF(VLOOKUP($A236,[1]!Table1[#All],2,FALSE)="Direkte input",IF($A236&lt;&gt;"Grøntsager i drivhus",SUMIFS('Direkte input'!H$3:H$230,'Direkte input'!$F$3:$F$230,$D236,'Direkte input'!$C$3:$C$230,$B236,'Direkte input'!$D$3:$D$230,$C236,'Direkte input'!$A$3:$A$230,$A$1),SUMIFS('Direkte input'!H$3:H$230,'Direkte input'!$F$3:$F$230,$D236,'Direkte input'!$C$3:$C$230,$B236,'Direkte input'!$A$3:$A$230,$A$1)),IF(VLOOKUP($A236,[1]!Table1[#All],2,FALSE)="Resultat",SUMIF($F$1:$F235,$D236,I$1:I235)+SUMIF($F238:$F$512,$D236,I238:I$512),0))*'[1]Processer - data'!I236,"")*IF($C236&lt;&gt;"",IF($F236="Halm",Landbrug!D$16*Landbrug!D$17,IF(LEFT($D236,5)="Areal", IF($G236="Ton",Landbrug!D$18,1),1)),1)*IF($F236="Grøntsager",IF($A236="Grøntsager i drivhus",Landbrug!D$51,1-Landbrug!D$51),1)</f>
        <v>1631.1515636885752</v>
      </c>
      <c r="J236" s="299">
        <f>IF($A236&lt;&gt;"",IF(VLOOKUP($A236,[1]!Table1[#All],2,FALSE)="Direkte input",IF($A236&lt;&gt;"Grøntsager i drivhus",SUMIFS('Direkte input'!I$3:I$230,'Direkte input'!$F$3:$F$230,$D236,'Direkte input'!$C$3:$C$230,$B236,'Direkte input'!$D$3:$D$230,$C236,'Direkte input'!$A$3:$A$230,$A$1),SUMIFS('Direkte input'!I$3:I$230,'Direkte input'!$F$3:$F$230,$D236,'Direkte input'!$C$3:$C$230,$B236,'Direkte input'!$A$3:$A$230,$A$1)),IF(VLOOKUP($A236,[1]!Table1[#All],2,FALSE)="Resultat",SUMIF($F$1:$F235,$D236,J$1:J235)+SUMIF($F238:$F$512,$D236,J238:J$512),0))*'[1]Processer - data'!J236,"")*IF($C236&lt;&gt;"",IF($F236="Halm",Landbrug!E$16*Landbrug!E$17,IF(LEFT($D236,5)="Areal", IF($G236="Ton",Landbrug!E$18,1),1)),1)*IF($F236="Grøntsager",IF($A236="Grøntsager i drivhus",Landbrug!E$51,1-Landbrug!E$51),1)</f>
        <v>1555.7225896451725</v>
      </c>
    </row>
    <row r="237" spans="1:10" x14ac:dyDescent="0.25">
      <c r="A237" t="str">
        <f>IF('[1]Processer - data'!A237&lt;&gt;"",'[1]Processer - data'!A237,"")</f>
        <v>Bælgsædsmark</v>
      </c>
      <c r="B237" t="str">
        <f>IF('[1]Processer - data'!B237&lt;&gt;"",'[1]Processer - data'!B237,"")</f>
        <v>Økologisk</v>
      </c>
      <c r="C237" t="str">
        <f>IF('[1]Processer - data'!C237&lt;&gt;"",'[1]Processer - data'!C237,"")</f>
        <v>JB1-10</v>
      </c>
      <c r="D237" t="str">
        <f>IF('[1]Processer - data'!D237&lt;&gt;"",'[1]Processer - data'!D237,"")</f>
        <v>Areal-bælgsæd</v>
      </c>
      <c r="E237" t="str">
        <f>IF('[1]Processer - data'!E237&lt;&gt;"",'[1]Processer - data'!E237,"")</f>
        <v>Hektar</v>
      </c>
      <c r="F237" t="str">
        <f>IF('[1]Processer - data'!F237&lt;&gt;"",'[1]Processer - data'!F237,"")</f>
        <v>Bælgsæd</v>
      </c>
      <c r="G237" t="str">
        <f>IF('[1]Processer - data'!G237&lt;&gt;"",'[1]Processer - data'!G237,"")</f>
        <v>Ton</v>
      </c>
      <c r="H237" s="297">
        <f>IF($A237&lt;&gt;"",IF(VLOOKUP($A237,[1]!Table1[#All],2,FALSE)="Direkte input",IF($A237&lt;&gt;"Grøntsager i drivhus",SUMIFS('Direkte input'!G$3:G$230,'Direkte input'!$F$3:$F$230,$D237,'Direkte input'!$C$3:$C$230,$B237,'Direkte input'!$D$3:$D$230,$C237,'Direkte input'!$A$3:$A$230,$A$1),SUMIFS('Direkte input'!G$3:G$230,'Direkte input'!$F$3:$F$230,$D237,'Direkte input'!$C$3:$C$230,$B237,'Direkte input'!$A$3:$A$230,$A$1)),IF(VLOOKUP($A237,[1]!Table1[#All],2,FALSE)="Resultat",SUMIF($F$1:$F236,$D237,H$1:H236)+SUMIF($F239:$F$512,$D237,H239:H$512),0))*'[1]Processer - data'!H237,"")*IF($C237&lt;&gt;"",IF($F237="Halm",Landbrug!C$16*Landbrug!C$17,IF(LEFT($D237,5)="Areal", IF($G237="Ton",Landbrug!C$18,1),1)),1)*IF($F237="Grøntsager",IF($A237="Grøntsager i drivhus",Landbrug!C$51,1-Landbrug!C$51),1)</f>
        <v>1773.9472324576645</v>
      </c>
      <c r="I237" s="298">
        <f>IF($A237&lt;&gt;"",IF(VLOOKUP($A237,[1]!Table1[#All],2,FALSE)="Direkte input",IF($A237&lt;&gt;"Grøntsager i drivhus",SUMIFS('Direkte input'!H$3:H$230,'Direkte input'!$F$3:$F$230,$D237,'Direkte input'!$C$3:$C$230,$B237,'Direkte input'!$D$3:$D$230,$C237,'Direkte input'!$A$3:$A$230,$A$1),SUMIFS('Direkte input'!H$3:H$230,'Direkte input'!$F$3:$F$230,$D237,'Direkte input'!$C$3:$C$230,$B237,'Direkte input'!$A$3:$A$230,$A$1)),IF(VLOOKUP($A237,[1]!Table1[#All],2,FALSE)="Resultat",SUMIF($F$1:$F236,$D237,I$1:I236)+SUMIF($F239:$F$512,$D237,I239:I$512),0))*'[1]Processer - data'!I237,"")*IF($C237&lt;&gt;"",IF($F237="Halm",Landbrug!D$16*Landbrug!D$17,IF(LEFT($D237,5)="Areal", IF($G237="Ton",Landbrug!D$18,1),1)),1)*IF($F237="Grøntsager",IF($A237="Grøntsager i drivhus",Landbrug!D$51,1-Landbrug!D$51),1)</f>
        <v>2253.1388663049083</v>
      </c>
      <c r="J237" s="299">
        <f>IF($A237&lt;&gt;"",IF(VLOOKUP($A237,[1]!Table1[#All],2,FALSE)="Direkte input",IF($A237&lt;&gt;"Grøntsager i drivhus",SUMIFS('Direkte input'!I$3:I$230,'Direkte input'!$F$3:$F$230,$D237,'Direkte input'!$C$3:$C$230,$B237,'Direkte input'!$D$3:$D$230,$C237,'Direkte input'!$A$3:$A$230,$A$1),SUMIFS('Direkte input'!I$3:I$230,'Direkte input'!$F$3:$F$230,$D237,'Direkte input'!$C$3:$C$230,$B237,'Direkte input'!$A$3:$A$230,$A$1)),IF(VLOOKUP($A237,[1]!Table1[#All],2,FALSE)="Resultat",SUMIF($F$1:$F236,$D237,J$1:J236)+SUMIF($F239:$F$512,$D237,J239:J$512),0))*'[1]Processer - data'!J237,"")*IF($C237&lt;&gt;"",IF($F237="Halm",Landbrug!E$16*Landbrug!E$17,IF(LEFT($D237,5)="Areal", IF($G237="Ton",Landbrug!E$18,1),1)),1)*IF($F237="Grøntsager",IF($A237="Grøntsager i drivhus",Landbrug!E$51,1-Landbrug!E$51),1)</f>
        <v>3104.3568148274931</v>
      </c>
    </row>
    <row r="238" spans="1:10" x14ac:dyDescent="0.25">
      <c r="A238" t="str">
        <f>IF('[1]Processer - data'!A238&lt;&gt;"",'[1]Processer - data'!A238,"")</f>
        <v>Bælgsædsmark</v>
      </c>
      <c r="B238" t="str">
        <f>IF('[1]Processer - data'!B238&lt;&gt;"",'[1]Processer - data'!B238,"")</f>
        <v>Økologisk</v>
      </c>
      <c r="C238" t="str">
        <f>IF('[1]Processer - data'!C238&lt;&gt;"",'[1]Processer - data'!C238,"")</f>
        <v>JB1-10</v>
      </c>
      <c r="D238" t="str">
        <f>IF('[1]Processer - data'!D238&lt;&gt;"",'[1]Processer - data'!D238,"")</f>
        <v>Areal-bælgsæd</v>
      </c>
      <c r="E238" t="str">
        <f>IF('[1]Processer - data'!E238&lt;&gt;"",'[1]Processer - data'!E238,"")</f>
        <v>Hektar</v>
      </c>
      <c r="F238" t="str">
        <f>IF('[1]Processer - data'!F238&lt;&gt;"",'[1]Processer - data'!F238,"")</f>
        <v>Halm</v>
      </c>
      <c r="G238" t="str">
        <f>IF('[1]Processer - data'!G238&lt;&gt;"",'[1]Processer - data'!G238,"")</f>
        <v>Ton</v>
      </c>
      <c r="H238" s="297">
        <f>IF($A238&lt;&gt;"",IF(VLOOKUP($A238,[1]!Table1[#All],2,FALSE)="Direkte input",IF($A238&lt;&gt;"Grøntsager i drivhus",SUMIFS('Direkte input'!G$3:G$230,'Direkte input'!$F$3:$F$230,$D238,'Direkte input'!$C$3:$C$230,$B238,'Direkte input'!$D$3:$D$230,$C238,'Direkte input'!$A$3:$A$230,$A$1),SUMIFS('Direkte input'!G$3:G$230,'Direkte input'!$F$3:$F$230,$D238,'Direkte input'!$C$3:$C$230,$B238,'Direkte input'!$A$3:$A$230,$A$1)),IF(VLOOKUP($A238,[1]!Table1[#All],2,FALSE)="Resultat",SUMIF($F$1:$F237,$D238,H$1:H237)+SUMIF($F240:$F$512,$D238,H240:H$512),0))*'[1]Processer - data'!H238,"")*IF($C238&lt;&gt;"",IF($F238="Halm",Landbrug!C$16*Landbrug!C$17,IF(LEFT($D238,5)="Areal", IF($G238="Ton",Landbrug!C$18,1),1)),1)*IF($F238="Grøntsager",IF($A238="Grøntsager i drivhus",Landbrug!C$51,1-Landbrug!C$51),1)</f>
        <v>526.64722544869517</v>
      </c>
      <c r="I238" s="298">
        <f>IF($A238&lt;&gt;"",IF(VLOOKUP($A238,[1]!Table1[#All],2,FALSE)="Direkte input",IF($A238&lt;&gt;"Grøntsager i drivhus",SUMIFS('Direkte input'!H$3:H$230,'Direkte input'!$F$3:$F$230,$D238,'Direkte input'!$C$3:$C$230,$B238,'Direkte input'!$D$3:$D$230,$C238,'Direkte input'!$A$3:$A$230,$A$1),SUMIFS('Direkte input'!H$3:H$230,'Direkte input'!$F$3:$F$230,$D238,'Direkte input'!$C$3:$C$230,$B238,'Direkte input'!$A$3:$A$230,$A$1)),IF(VLOOKUP($A238,[1]!Table1[#All],2,FALSE)="Resultat",SUMIF($F$1:$F237,$D238,I$1:I237)+SUMIF($F240:$F$512,$D238,I240:I$512),0))*'[1]Processer - data'!I238,"")*IF($C238&lt;&gt;"",IF($F238="Halm",Landbrug!D$16*Landbrug!D$17,IF(LEFT($D238,5)="Areal", IF($G238="Ton",Landbrug!D$18,1),1)),1)*IF($F238="Grøntsager",IF($A238="Grøntsager i drivhus",Landbrug!D$51,1-Landbrug!D$51),1)</f>
        <v>620.3548108693542</v>
      </c>
      <c r="J238" s="299">
        <f>IF($A238&lt;&gt;"",IF(VLOOKUP($A238,[1]!Table1[#All],2,FALSE)="Direkte input",IF($A238&lt;&gt;"Grøntsager i drivhus",SUMIFS('Direkte input'!I$3:I$230,'Direkte input'!$F$3:$F$230,$D238,'Direkte input'!$C$3:$C$230,$B238,'Direkte input'!$D$3:$D$230,$C238,'Direkte input'!$A$3:$A$230,$A$1),SUMIFS('Direkte input'!I$3:I$230,'Direkte input'!$F$3:$F$230,$D238,'Direkte input'!$C$3:$C$230,$B238,'Direkte input'!$A$3:$A$230,$A$1)),IF(VLOOKUP($A238,[1]!Table1[#All],2,FALSE)="Resultat",SUMIF($F$1:$F237,$D238,J$1:J237)+SUMIF($F240:$F$512,$D238,J240:J$512),0))*'[1]Processer - data'!J238,"")*IF($C238&lt;&gt;"",IF($F238="Halm",Landbrug!E$16*Landbrug!E$17,IF(LEFT($D238,5)="Areal", IF($G238="Ton",Landbrug!E$18,1),1)),1)*IF($F238="Grøntsager",IF($A238="Grøntsager i drivhus",Landbrug!E$51,1-Landbrug!E$51),1)</f>
        <v>796.74761783392978</v>
      </c>
    </row>
    <row r="239" spans="1:10" x14ac:dyDescent="0.25">
      <c r="A239" t="str">
        <f>IF('[1]Processer - data'!A239&lt;&gt;"",'[1]Processer - data'!A239,"")</f>
        <v>Bælgsædsmark</v>
      </c>
      <c r="B239" t="str">
        <f>IF('[1]Processer - data'!B239&lt;&gt;"",'[1]Processer - data'!B239,"")</f>
        <v>Økologisk</v>
      </c>
      <c r="C239" t="str">
        <f>IF('[1]Processer - data'!C239&lt;&gt;"",'[1]Processer - data'!C239,"")</f>
        <v>JB1-10</v>
      </c>
      <c r="D239" t="str">
        <f>IF('[1]Processer - data'!D239&lt;&gt;"",'[1]Processer - data'!D239,"")</f>
        <v>Areal-bælgsæd</v>
      </c>
      <c r="E239" t="str">
        <f>IF('[1]Processer - data'!E239&lt;&gt;"",'[1]Processer - data'!E239,"")</f>
        <v>Hektar</v>
      </c>
      <c r="F239" t="str">
        <f>IF('[1]Processer - data'!F239&lt;&gt;"",'[1]Processer - data'!F239,"")</f>
        <v>Gødning</v>
      </c>
      <c r="G239" t="str">
        <f>IF('[1]Processer - data'!G239&lt;&gt;"",'[1]Processer - data'!G239,"")</f>
        <v>kg N</v>
      </c>
      <c r="H239" s="297">
        <f>IF($A239&lt;&gt;"",IF(VLOOKUP($A239,[1]!Table1[#All],2,FALSE)="Direkte input",IF($A239&lt;&gt;"Grøntsager i drivhus",SUMIFS('Direkte input'!G$3:G$230,'Direkte input'!$F$3:$F$230,$D239,'Direkte input'!$C$3:$C$230,$B239,'Direkte input'!$D$3:$D$230,$C239,'Direkte input'!$A$3:$A$230,$A$1),SUMIFS('Direkte input'!G$3:G$230,'Direkte input'!$F$3:$F$230,$D239,'Direkte input'!$C$3:$C$230,$B239,'Direkte input'!$A$3:$A$230,$A$1)),IF(VLOOKUP($A239,[1]!Table1[#All],2,FALSE)="Resultat",SUMIF($F$1:$F238,$D239,H$1:H238)+SUMIF($F241:$F$512,$D239,H241:H$512),0))*'[1]Processer - data'!H239,"")*IF($C239&lt;&gt;"",IF($F239="Halm",Landbrug!C$16*Landbrug!C$17,IF(LEFT($D239,5)="Areal", IF($G239="Ton",Landbrug!C$18,1),1)),1)*IF($F239="Grøntsager",IF($A239="Grøntsager i drivhus",Landbrug!C$51,1-Landbrug!C$51),1)</f>
        <v>0</v>
      </c>
      <c r="I239" s="298">
        <f>IF($A239&lt;&gt;"",IF(VLOOKUP($A239,[1]!Table1[#All],2,FALSE)="Direkte input",IF($A239&lt;&gt;"Grøntsager i drivhus",SUMIFS('Direkte input'!H$3:H$230,'Direkte input'!$F$3:$F$230,$D239,'Direkte input'!$C$3:$C$230,$B239,'Direkte input'!$D$3:$D$230,$C239,'Direkte input'!$A$3:$A$230,$A$1),SUMIFS('Direkte input'!H$3:H$230,'Direkte input'!$F$3:$F$230,$D239,'Direkte input'!$C$3:$C$230,$B239,'Direkte input'!$A$3:$A$230,$A$1)),IF(VLOOKUP($A239,[1]!Table1[#All],2,FALSE)="Resultat",SUMIF($F$1:$F238,$D239,I$1:I238)+SUMIF($F241:$F$512,$D239,I241:I$512),0))*'[1]Processer - data'!I239,"")*IF($C239&lt;&gt;"",IF($F239="Halm",Landbrug!D$16*Landbrug!D$17,IF(LEFT($D239,5)="Areal", IF($G239="Ton",Landbrug!D$18,1),1)),1)*IF($F239="Grøntsager",IF($A239="Grøntsager i drivhus",Landbrug!D$51,1-Landbrug!D$51),1)</f>
        <v>0</v>
      </c>
      <c r="J239" s="299">
        <f>IF($A239&lt;&gt;"",IF(VLOOKUP($A239,[1]!Table1[#All],2,FALSE)="Direkte input",IF($A239&lt;&gt;"Grøntsager i drivhus",SUMIFS('Direkte input'!I$3:I$230,'Direkte input'!$F$3:$F$230,$D239,'Direkte input'!$C$3:$C$230,$B239,'Direkte input'!$D$3:$D$230,$C239,'Direkte input'!$A$3:$A$230,$A$1),SUMIFS('Direkte input'!I$3:I$230,'Direkte input'!$F$3:$F$230,$D239,'Direkte input'!$C$3:$C$230,$B239,'Direkte input'!$A$3:$A$230,$A$1)),IF(VLOOKUP($A239,[1]!Table1[#All],2,FALSE)="Resultat",SUMIF($F$1:$F238,$D239,J$1:J238)+SUMIF($F241:$F$512,$D239,J241:J$512),0))*'[1]Processer - data'!J239,"")*IF($C239&lt;&gt;"",IF($F239="Halm",Landbrug!E$16*Landbrug!E$17,IF(LEFT($D239,5)="Areal", IF($G239="Ton",Landbrug!E$18,1),1)),1)*IF($F239="Grøntsager",IF($A239="Grøntsager i drivhus",Landbrug!E$51,1-Landbrug!E$51),1)</f>
        <v>0</v>
      </c>
    </row>
    <row r="240" spans="1:10" x14ac:dyDescent="0.25">
      <c r="A240" t="str">
        <f>IF('[1]Processer - data'!A240&lt;&gt;"",'[1]Processer - data'!A240,"")</f>
        <v>Bælgsædsmark</v>
      </c>
      <c r="B240" t="str">
        <f>IF('[1]Processer - data'!B240&lt;&gt;"",'[1]Processer - data'!B240,"")</f>
        <v>Økologisk</v>
      </c>
      <c r="C240" t="str">
        <f>IF('[1]Processer - data'!C240&lt;&gt;"",'[1]Processer - data'!C240,"")</f>
        <v>JB1-10</v>
      </c>
      <c r="D240" t="str">
        <f>IF('[1]Processer - data'!D240&lt;&gt;"",'[1]Processer - data'!D240,"")</f>
        <v>Areal-bælgsæd</v>
      </c>
      <c r="E240" t="str">
        <f>IF('[1]Processer - data'!E240&lt;&gt;"",'[1]Processer - data'!E240,"")</f>
        <v>Hektar</v>
      </c>
      <c r="F240" t="str">
        <f>IF('[1]Processer - data'!F240&lt;&gt;"",'[1]Processer - data'!F240,"")</f>
        <v>CO2 - atmosfære</v>
      </c>
      <c r="G240" t="str">
        <f>IF('[1]Processer - data'!G240&lt;&gt;"",'[1]Processer - data'!G240,"")</f>
        <v>t CO2-ækvivalenter</v>
      </c>
      <c r="H240" s="297">
        <f>IF($A240&lt;&gt;"",IF(VLOOKUP($A240,[1]!Table1[#All],2,FALSE)="Direkte input",IF($A240&lt;&gt;"Grøntsager i drivhus",SUMIFS('Direkte input'!G$3:G$230,'Direkte input'!$F$3:$F$230,$D240,'Direkte input'!$C$3:$C$230,$B240,'Direkte input'!$D$3:$D$230,$C240,'Direkte input'!$A$3:$A$230,$A$1),SUMIFS('Direkte input'!G$3:G$230,'Direkte input'!$F$3:$F$230,$D240,'Direkte input'!$C$3:$C$230,$B240,'Direkte input'!$A$3:$A$230,$A$1)),IF(VLOOKUP($A240,[1]!Table1[#All],2,FALSE)="Resultat",SUMIF($F$1:$F239,$D240,H$1:H239)+SUMIF($F242:$F$512,$D240,H242:H$512),0))*'[1]Processer - data'!H240,"")*IF($C240&lt;&gt;"",IF($F240="Halm",Landbrug!C$16*Landbrug!C$17,IF(LEFT($D240,5)="Areal", IF($G240="Ton",Landbrug!C$18,1),1)),1)*IF($F240="Grøntsager",IF($A240="Grøntsager i drivhus",Landbrug!C$51,1-Landbrug!C$51),1)</f>
        <v>1833.2032681826254</v>
      </c>
      <c r="I240" s="298">
        <f>IF($A240&lt;&gt;"",IF(VLOOKUP($A240,[1]!Table1[#All],2,FALSE)="Direkte input",IF($A240&lt;&gt;"Grøntsager i drivhus",SUMIFS('Direkte input'!H$3:H$230,'Direkte input'!$F$3:$F$230,$D240,'Direkte input'!$C$3:$C$230,$B240,'Direkte input'!$D$3:$D$230,$C240,'Direkte input'!$A$3:$A$230,$A$1),SUMIFS('Direkte input'!H$3:H$230,'Direkte input'!$F$3:$F$230,$D240,'Direkte input'!$C$3:$C$230,$B240,'Direkte input'!$A$3:$A$230,$A$1)),IF(VLOOKUP($A240,[1]!Table1[#All],2,FALSE)="Resultat",SUMIF($F$1:$F239,$D240,I$1:I239)+SUMIF($F242:$F$512,$D240,I242:I$512),0))*'[1]Processer - data'!I240,"")*IF($C240&lt;&gt;"",IF($F240="Halm",Landbrug!D$16*Landbrug!D$17,IF(LEFT($D240,5)="Areal", IF($G240="Ton",Landbrug!D$18,1),1)),1)*IF($F240="Grøntsager",IF($A240="Grøntsager i drivhus",Landbrug!D$51,1-Landbrug!D$51),1)</f>
        <v>2172.0163963554387</v>
      </c>
      <c r="J240" s="299">
        <f>IF($A240&lt;&gt;"",IF(VLOOKUP($A240,[1]!Table1[#All],2,FALSE)="Direkte input",IF($A240&lt;&gt;"Grøntsager i drivhus",SUMIFS('Direkte input'!I$3:I$230,'Direkte input'!$F$3:$F$230,$D240,'Direkte input'!$C$3:$C$230,$B240,'Direkte input'!$D$3:$D$230,$C240,'Direkte input'!$A$3:$A$230,$A$1),SUMIFS('Direkte input'!I$3:I$230,'Direkte input'!$F$3:$F$230,$D240,'Direkte input'!$C$3:$C$230,$B240,'Direkte input'!$A$3:$A$230,$A$1)),IF(VLOOKUP($A240,[1]!Table1[#All],2,FALSE)="Resultat",SUMIF($F$1:$F239,$D240,J$1:J239)+SUMIF($F242:$F$512,$D240,J242:J$512),0))*'[1]Processer - data'!J240,"")*IF($C240&lt;&gt;"",IF($F240="Halm",Landbrug!E$16*Landbrug!E$17,IF(LEFT($D240,5)="Areal", IF($G240="Ton",Landbrug!E$18,1),1)),1)*IF($F240="Grøntsager",IF($A240="Grøntsager i drivhus",Landbrug!E$51,1-Landbrug!E$51),1)</f>
        <v>2789.6114600405404</v>
      </c>
    </row>
    <row r="241" spans="1:10" x14ac:dyDescent="0.25">
      <c r="A241" t="str">
        <f>IF('[1]Processer - data'!A241&lt;&gt;"",'[1]Processer - data'!A241,"")</f>
        <v>Bælgsædsmark</v>
      </c>
      <c r="B241" t="str">
        <f>IF('[1]Processer - data'!B241&lt;&gt;"",'[1]Processer - data'!B241,"")</f>
        <v>Økologisk</v>
      </c>
      <c r="C241" t="str">
        <f>IF('[1]Processer - data'!C241&lt;&gt;"",'[1]Processer - data'!C241,"")</f>
        <v>OC6</v>
      </c>
      <c r="D241" t="str">
        <f>IF('[1]Processer - data'!D241&lt;&gt;"",'[1]Processer - data'!D241,"")</f>
        <v>Areal-bælgsæd</v>
      </c>
      <c r="E241" t="str">
        <f>IF('[1]Processer - data'!E241&lt;&gt;"",'[1]Processer - data'!E241,"")</f>
        <v>Hektar</v>
      </c>
      <c r="F241" t="str">
        <f>IF('[1]Processer - data'!F241&lt;&gt;"",'[1]Processer - data'!F241,"")</f>
        <v>Bælgsæd</v>
      </c>
      <c r="G241" t="str">
        <f>IF('[1]Processer - data'!G241&lt;&gt;"",'[1]Processer - data'!G241,"")</f>
        <v>Ton</v>
      </c>
      <c r="H241" s="297">
        <f>IF($A241&lt;&gt;"",IF(VLOOKUP($A241,[1]!Table1[#All],2,FALSE)="Direkte input",IF($A241&lt;&gt;"Grøntsager i drivhus",SUMIFS('Direkte input'!G$3:G$230,'Direkte input'!$F$3:$F$230,$D241,'Direkte input'!$C$3:$C$230,$B241,'Direkte input'!$D$3:$D$230,$C241,'Direkte input'!$A$3:$A$230,$A$1),SUMIFS('Direkte input'!G$3:G$230,'Direkte input'!$F$3:$F$230,$D241,'Direkte input'!$C$3:$C$230,$B241,'Direkte input'!$A$3:$A$230,$A$1)),IF(VLOOKUP($A241,[1]!Table1[#All],2,FALSE)="Resultat",SUMIF($F$1:$F240,$D241,H$1:H240)+SUMIF($F243:$F$512,$D241,H243:H$512),0))*'[1]Processer - data'!H241,"")*IF($C241&lt;&gt;"",IF($F241="Halm",Landbrug!C$16*Landbrug!C$17,IF(LEFT($D241,5)="Areal", IF($G241="Ton",Landbrug!C$18,1),1)),1)*IF($F241="Grøntsager",IF($A241="Grøntsager i drivhus",Landbrug!C$51,1-Landbrug!C$51),1)</f>
        <v>41.093710661891294</v>
      </c>
      <c r="I241" s="298">
        <f>IF($A241&lt;&gt;"",IF(VLOOKUP($A241,[1]!Table1[#All],2,FALSE)="Direkte input",IF($A241&lt;&gt;"Grøntsager i drivhus",SUMIFS('Direkte input'!H$3:H$230,'Direkte input'!$F$3:$F$230,$D241,'Direkte input'!$C$3:$C$230,$B241,'Direkte input'!$D$3:$D$230,$C241,'Direkte input'!$A$3:$A$230,$A$1),SUMIFS('Direkte input'!H$3:H$230,'Direkte input'!$F$3:$F$230,$D241,'Direkte input'!$C$3:$C$230,$B241,'Direkte input'!$A$3:$A$230,$A$1)),IF(VLOOKUP($A241,[1]!Table1[#All],2,FALSE)="Resultat",SUMIF($F$1:$F240,$D241,I$1:I240)+SUMIF($F243:$F$512,$D241,I243:I$512),0))*'[1]Processer - data'!I241,"")*IF($C241&lt;&gt;"",IF($F241="Halm",Landbrug!D$16*Landbrug!D$17,IF(LEFT($D241,5)="Areal", IF($G241="Ton",Landbrug!D$18,1),1)),1)*IF($F241="Grøntsager",IF($A241="Grøntsager i drivhus",Landbrug!D$51,1-Landbrug!D$51),1)</f>
        <v>48.637290611911681</v>
      </c>
      <c r="J241" s="299">
        <f>IF($A241&lt;&gt;"",IF(VLOOKUP($A241,[1]!Table1[#All],2,FALSE)="Direkte input",IF($A241&lt;&gt;"Grøntsager i drivhus",SUMIFS('Direkte input'!I$3:I$230,'Direkte input'!$F$3:$F$230,$D241,'Direkte input'!$C$3:$C$230,$B241,'Direkte input'!$D$3:$D$230,$C241,'Direkte input'!$A$3:$A$230,$A$1),SUMIFS('Direkte input'!I$3:I$230,'Direkte input'!$F$3:$F$230,$D241,'Direkte input'!$C$3:$C$230,$B241,'Direkte input'!$A$3:$A$230,$A$1)),IF(VLOOKUP($A241,[1]!Table1[#All],2,FALSE)="Resultat",SUMIF($F$1:$F240,$D241,J$1:J240)+SUMIF($F243:$F$512,$D241,J243:J$512),0))*'[1]Processer - data'!J241,"")*IF($C241&lt;&gt;"",IF($F241="Halm",Landbrug!E$16*Landbrug!E$17,IF(LEFT($D241,5)="Areal", IF($G241="Ton",Landbrug!E$18,1),1)),1)*IF($F241="Grøntsager",IF($A241="Grøntsager i drivhus",Landbrug!E$51,1-Landbrug!E$51),1)</f>
        <v>67.635812158977487</v>
      </c>
    </row>
    <row r="242" spans="1:10" x14ac:dyDescent="0.25">
      <c r="A242" t="str">
        <f>IF('[1]Processer - data'!A242&lt;&gt;"",'[1]Processer - data'!A242,"")</f>
        <v>Bælgsædsmark</v>
      </c>
      <c r="B242" t="str">
        <f>IF('[1]Processer - data'!B242&lt;&gt;"",'[1]Processer - data'!B242,"")</f>
        <v>Økologisk</v>
      </c>
      <c r="C242" t="str">
        <f>IF('[1]Processer - data'!C242&lt;&gt;"",'[1]Processer - data'!C242,"")</f>
        <v>OC6</v>
      </c>
      <c r="D242" t="str">
        <f>IF('[1]Processer - data'!D242&lt;&gt;"",'[1]Processer - data'!D242,"")</f>
        <v>Areal-bælgsæd</v>
      </c>
      <c r="E242" t="str">
        <f>IF('[1]Processer - data'!E242&lt;&gt;"",'[1]Processer - data'!E242,"")</f>
        <v>Hektar</v>
      </c>
      <c r="F242" t="str">
        <f>IF('[1]Processer - data'!F242&lt;&gt;"",'[1]Processer - data'!F242,"")</f>
        <v>Halm</v>
      </c>
      <c r="G242" t="str">
        <f>IF('[1]Processer - data'!G242&lt;&gt;"",'[1]Processer - data'!G242,"")</f>
        <v>Ton</v>
      </c>
      <c r="H242" s="297">
        <f>IF($A242&lt;&gt;"",IF(VLOOKUP($A242,[1]!Table1[#All],2,FALSE)="Direkte input",IF($A242&lt;&gt;"Grøntsager i drivhus",SUMIFS('Direkte input'!G$3:G$230,'Direkte input'!$F$3:$F$230,$D242,'Direkte input'!$C$3:$C$230,$B242,'Direkte input'!$D$3:$D$230,$C242,'Direkte input'!$A$3:$A$230,$A$1),SUMIFS('Direkte input'!G$3:G$230,'Direkte input'!$F$3:$F$230,$D242,'Direkte input'!$C$3:$C$230,$B242,'Direkte input'!$A$3:$A$230,$A$1)),IF(VLOOKUP($A242,[1]!Table1[#All],2,FALSE)="Resultat",SUMIF($F$1:$F241,$D242,H$1:H241)+SUMIF($F244:$F$512,$D242,H244:H$512),0))*'[1]Processer - data'!H242,"")*IF($C242&lt;&gt;"",IF($F242="Halm",Landbrug!C$16*Landbrug!C$17,IF(LEFT($D242,5)="Areal", IF($G242="Ton",Landbrug!C$18,1),1)),1)*IF($F242="Grøntsager",IF($A242="Grøntsager i drivhus",Landbrug!C$51,1-Landbrug!C$51),1)</f>
        <v>12.199849188012982</v>
      </c>
      <c r="I242" s="298">
        <f>IF($A242&lt;&gt;"",IF(VLOOKUP($A242,[1]!Table1[#All],2,FALSE)="Direkte input",IF($A242&lt;&gt;"Grøntsager i drivhus",SUMIFS('Direkte input'!H$3:H$230,'Direkte input'!$F$3:$F$230,$D242,'Direkte input'!$C$3:$C$230,$B242,'Direkte input'!$D$3:$D$230,$C242,'Direkte input'!$A$3:$A$230,$A$1),SUMIFS('Direkte input'!H$3:H$230,'Direkte input'!$F$3:$F$230,$D242,'Direkte input'!$C$3:$C$230,$B242,'Direkte input'!$A$3:$A$230,$A$1)),IF(VLOOKUP($A242,[1]!Table1[#All],2,FALSE)="Resultat",SUMIF($F$1:$F241,$D242,I$1:I241)+SUMIF($F244:$F$512,$D242,I244:I$512),0))*'[1]Processer - data'!I242,"")*IF($C242&lt;&gt;"",IF($F242="Halm",Landbrug!D$16*Landbrug!D$17,IF(LEFT($D242,5)="Areal", IF($G242="Ton",Landbrug!D$18,1),1)),1)*IF($F242="Grøntsager",IF($A242="Grøntsager i drivhus",Landbrug!D$51,1-Landbrug!D$51),1)</f>
        <v>13.391263925171302</v>
      </c>
      <c r="J242" s="299">
        <f>IF($A242&lt;&gt;"",IF(VLOOKUP($A242,[1]!Table1[#All],2,FALSE)="Direkte input",IF($A242&lt;&gt;"Grøntsager i drivhus",SUMIFS('Direkte input'!I$3:I$230,'Direkte input'!$F$3:$F$230,$D242,'Direkte input'!$C$3:$C$230,$B242,'Direkte input'!$D$3:$D$230,$C242,'Direkte input'!$A$3:$A$230,$A$1),SUMIFS('Direkte input'!I$3:I$230,'Direkte input'!$F$3:$F$230,$D242,'Direkte input'!$C$3:$C$230,$B242,'Direkte input'!$A$3:$A$230,$A$1)),IF(VLOOKUP($A242,[1]!Table1[#All],2,FALSE)="Resultat",SUMIF($F$1:$F241,$D242,J$1:J241)+SUMIF($F244:$F$512,$D242,J244:J$512),0))*'[1]Processer - data'!J242,"")*IF($C242&lt;&gt;"",IF($F242="Halm",Landbrug!E$16*Landbrug!E$17,IF(LEFT($D242,5)="Areal", IF($G242="Ton",Landbrug!E$18,1),1)),1)*IF($F242="Grøntsager",IF($A242="Grøntsager i drivhus",Landbrug!E$51,1-Landbrug!E$51),1)</f>
        <v>17.359045828925758</v>
      </c>
    </row>
    <row r="243" spans="1:10" x14ac:dyDescent="0.25">
      <c r="A243" t="str">
        <f>IF('[1]Processer - data'!A243&lt;&gt;"",'[1]Processer - data'!A243,"")</f>
        <v>Bælgsædsmark</v>
      </c>
      <c r="B243" t="str">
        <f>IF('[1]Processer - data'!B243&lt;&gt;"",'[1]Processer - data'!B243,"")</f>
        <v>Økologisk</v>
      </c>
      <c r="C243" t="str">
        <f>IF('[1]Processer - data'!C243&lt;&gt;"",'[1]Processer - data'!C243,"")</f>
        <v>OC6</v>
      </c>
      <c r="D243" t="str">
        <f>IF('[1]Processer - data'!D243&lt;&gt;"",'[1]Processer - data'!D243,"")</f>
        <v>Areal-bælgsæd</v>
      </c>
      <c r="E243" t="str">
        <f>IF('[1]Processer - data'!E243&lt;&gt;"",'[1]Processer - data'!E243,"")</f>
        <v>Hektar</v>
      </c>
      <c r="F243" t="str">
        <f>IF('[1]Processer - data'!F243&lt;&gt;"",'[1]Processer - data'!F243,"")</f>
        <v>Gødning</v>
      </c>
      <c r="G243" t="str">
        <f>IF('[1]Processer - data'!G243&lt;&gt;"",'[1]Processer - data'!G243,"")</f>
        <v>kg N</v>
      </c>
      <c r="H243" s="297">
        <f>IF($A243&lt;&gt;"",IF(VLOOKUP($A243,[1]!Table1[#All],2,FALSE)="Direkte input",IF($A243&lt;&gt;"Grøntsager i drivhus",SUMIFS('Direkte input'!G$3:G$230,'Direkte input'!$F$3:$F$230,$D243,'Direkte input'!$C$3:$C$230,$B243,'Direkte input'!$D$3:$D$230,$C243,'Direkte input'!$A$3:$A$230,$A$1),SUMIFS('Direkte input'!G$3:G$230,'Direkte input'!$F$3:$F$230,$D243,'Direkte input'!$C$3:$C$230,$B243,'Direkte input'!$A$3:$A$230,$A$1)),IF(VLOOKUP($A243,[1]!Table1[#All],2,FALSE)="Resultat",SUMIF($F$1:$F242,$D243,H$1:H242)+SUMIF($F245:$F$512,$D243,H245:H$512),0))*'[1]Processer - data'!H243,"")*IF($C243&lt;&gt;"",IF($F243="Halm",Landbrug!C$16*Landbrug!C$17,IF(LEFT($D243,5)="Areal", IF($G243="Ton",Landbrug!C$18,1),1)),1)*IF($F243="Grøntsager",IF($A243="Grøntsager i drivhus",Landbrug!C$51,1-Landbrug!C$51),1)</f>
        <v>0</v>
      </c>
      <c r="I243" s="298">
        <f>IF($A243&lt;&gt;"",IF(VLOOKUP($A243,[1]!Table1[#All],2,FALSE)="Direkte input",IF($A243&lt;&gt;"Grøntsager i drivhus",SUMIFS('Direkte input'!H$3:H$230,'Direkte input'!$F$3:$F$230,$D243,'Direkte input'!$C$3:$C$230,$B243,'Direkte input'!$D$3:$D$230,$C243,'Direkte input'!$A$3:$A$230,$A$1),SUMIFS('Direkte input'!H$3:H$230,'Direkte input'!$F$3:$F$230,$D243,'Direkte input'!$C$3:$C$230,$B243,'Direkte input'!$A$3:$A$230,$A$1)),IF(VLOOKUP($A243,[1]!Table1[#All],2,FALSE)="Resultat",SUMIF($F$1:$F242,$D243,I$1:I242)+SUMIF($F245:$F$512,$D243,I245:I$512),0))*'[1]Processer - data'!I243,"")*IF($C243&lt;&gt;"",IF($F243="Halm",Landbrug!D$16*Landbrug!D$17,IF(LEFT($D243,5)="Areal", IF($G243="Ton",Landbrug!D$18,1),1)),1)*IF($F243="Grøntsager",IF($A243="Grøntsager i drivhus",Landbrug!D$51,1-Landbrug!D$51),1)</f>
        <v>0</v>
      </c>
      <c r="J243" s="299">
        <f>IF($A243&lt;&gt;"",IF(VLOOKUP($A243,[1]!Table1[#All],2,FALSE)="Direkte input",IF($A243&lt;&gt;"Grøntsager i drivhus",SUMIFS('Direkte input'!I$3:I$230,'Direkte input'!$F$3:$F$230,$D243,'Direkte input'!$C$3:$C$230,$B243,'Direkte input'!$D$3:$D$230,$C243,'Direkte input'!$A$3:$A$230,$A$1),SUMIFS('Direkte input'!I$3:I$230,'Direkte input'!$F$3:$F$230,$D243,'Direkte input'!$C$3:$C$230,$B243,'Direkte input'!$A$3:$A$230,$A$1)),IF(VLOOKUP($A243,[1]!Table1[#All],2,FALSE)="Resultat",SUMIF($F$1:$F242,$D243,J$1:J242)+SUMIF($F245:$F$512,$D243,J245:J$512),0))*'[1]Processer - data'!J243,"")*IF($C243&lt;&gt;"",IF($F243="Halm",Landbrug!E$16*Landbrug!E$17,IF(LEFT($D243,5)="Areal", IF($G243="Ton",Landbrug!E$18,1),1)),1)*IF($F243="Grøntsager",IF($A243="Grøntsager i drivhus",Landbrug!E$51,1-Landbrug!E$51),1)</f>
        <v>0</v>
      </c>
    </row>
    <row r="244" spans="1:10" x14ac:dyDescent="0.25">
      <c r="A244" t="str">
        <f>IF('[1]Processer - data'!A244&lt;&gt;"",'[1]Processer - data'!A244,"")</f>
        <v>Bælgsædsmark</v>
      </c>
      <c r="B244" t="str">
        <f>IF('[1]Processer - data'!B244&lt;&gt;"",'[1]Processer - data'!B244,"")</f>
        <v>Økologisk</v>
      </c>
      <c r="C244" t="str">
        <f>IF('[1]Processer - data'!C244&lt;&gt;"",'[1]Processer - data'!C244,"")</f>
        <v>OC6</v>
      </c>
      <c r="D244" t="str">
        <f>IF('[1]Processer - data'!D244&lt;&gt;"",'[1]Processer - data'!D244,"")</f>
        <v>Areal-bælgsæd</v>
      </c>
      <c r="E244" t="str">
        <f>IF('[1]Processer - data'!E244&lt;&gt;"",'[1]Processer - data'!E244,"")</f>
        <v>Hektar</v>
      </c>
      <c r="F244" t="str">
        <f>IF('[1]Processer - data'!F244&lt;&gt;"",'[1]Processer - data'!F244,"")</f>
        <v>CO2 - atmosfære</v>
      </c>
      <c r="G244" t="str">
        <f>IF('[1]Processer - data'!G244&lt;&gt;"",'[1]Processer - data'!G244,"")</f>
        <v>t CO2-ækvivalenter</v>
      </c>
      <c r="H244" s="297">
        <f>IF($A244&lt;&gt;"",IF(VLOOKUP($A244,[1]!Table1[#All],2,FALSE)="Direkte input",IF($A244&lt;&gt;"Grøntsager i drivhus",SUMIFS('Direkte input'!G$3:G$230,'Direkte input'!$F$3:$F$230,$D244,'Direkte input'!$C$3:$C$230,$B244,'Direkte input'!$D$3:$D$230,$C244,'Direkte input'!$A$3:$A$230,$A$1),SUMIFS('Direkte input'!G$3:G$230,'Direkte input'!$F$3:$F$230,$D244,'Direkte input'!$C$3:$C$230,$B244,'Direkte input'!$A$3:$A$230,$A$1)),IF(VLOOKUP($A244,[1]!Table1[#All],2,FALSE)="Resultat",SUMIF($F$1:$F243,$D244,H$1:H243)+SUMIF($F246:$F$512,$D244,H246:H$512),0))*'[1]Processer - data'!H244,"")*IF($C244&lt;&gt;"",IF($F244="Halm",Landbrug!C$16*Landbrug!C$17,IF(LEFT($D244,5)="Areal", IF($G244="Ton",Landbrug!C$18,1),1)),1)*IF($F244="Grøntsager",IF($A244="Grøntsager i drivhus",Landbrug!C$51,1-Landbrug!C$51),1)</f>
        <v>248.90088072707186</v>
      </c>
      <c r="I244" s="298">
        <f>IF($A244&lt;&gt;"",IF(VLOOKUP($A244,[1]!Table1[#All],2,FALSE)="Direkte input",IF($A244&lt;&gt;"Grøntsager i drivhus",SUMIFS('Direkte input'!H$3:H$230,'Direkte input'!$F$3:$F$230,$D244,'Direkte input'!$C$3:$C$230,$B244,'Direkte input'!$D$3:$D$230,$C244,'Direkte input'!$A$3:$A$230,$A$1),SUMIFS('Direkte input'!H$3:H$230,'Direkte input'!$F$3:$F$230,$D244,'Direkte input'!$C$3:$C$230,$B244,'Direkte input'!$A$3:$A$230,$A$1)),IF(VLOOKUP($A244,[1]!Table1[#All],2,FALSE)="Resultat",SUMIF($F$1:$F243,$D244,I$1:I243)+SUMIF($F246:$F$512,$D244,I246:I$512),0))*'[1]Processer - data'!I244,"")*IF($C244&lt;&gt;"",IF($F244="Halm",Landbrug!D$16*Landbrug!D$17,IF(LEFT($D244,5)="Areal", IF($G244="Ton",Landbrug!D$18,1),1)),1)*IF($F244="Grøntsager",IF($A244="Grøntsager i drivhus",Landbrug!D$51,1-Landbrug!D$51),1)</f>
        <v>274.80565366692315</v>
      </c>
      <c r="J244" s="299">
        <f>IF($A244&lt;&gt;"",IF(VLOOKUP($A244,[1]!Table1[#All],2,FALSE)="Direkte input",IF($A244&lt;&gt;"Grøntsager i drivhus",SUMIFS('Direkte input'!I$3:I$230,'Direkte input'!$F$3:$F$230,$D244,'Direkte input'!$C$3:$C$230,$B244,'Direkte input'!$D$3:$D$230,$C244,'Direkte input'!$A$3:$A$230,$A$1),SUMIFS('Direkte input'!I$3:I$230,'Direkte input'!$F$3:$F$230,$D244,'Direkte input'!$C$3:$C$230,$B244,'Direkte input'!$A$3:$A$230,$A$1)),IF(VLOOKUP($A244,[1]!Table1[#All],2,FALSE)="Resultat",SUMIF($F$1:$F243,$D244,J$1:J243)+SUMIF($F246:$F$512,$D244,J246:J$512),0))*'[1]Processer - data'!J244,"")*IF($C244&lt;&gt;"",IF($F244="Halm",Landbrug!E$16*Landbrug!E$17,IF(LEFT($D244,5)="Areal", IF($G244="Ton",Landbrug!E$18,1),1)),1)*IF($F244="Grøntsager",IF($A244="Grøntsager i drivhus",Landbrug!E$51,1-Landbrug!E$51),1)</f>
        <v>356.22955104971516</v>
      </c>
    </row>
    <row r="245" spans="1:10" x14ac:dyDescent="0.25">
      <c r="A245" t="str">
        <f>IF('[1]Processer - data'!A245&lt;&gt;"",'[1]Processer - data'!A245,"")</f>
        <v>Bælgsædsmark</v>
      </c>
      <c r="B245" t="str">
        <f>IF('[1]Processer - data'!B245&lt;&gt;"",'[1]Processer - data'!B245,"")</f>
        <v>Økologisk</v>
      </c>
      <c r="C245" t="str">
        <f>IF('[1]Processer - data'!C245&lt;&gt;"",'[1]Processer - data'!C245,"")</f>
        <v>OC12</v>
      </c>
      <c r="D245" t="str">
        <f>IF('[1]Processer - data'!D245&lt;&gt;"",'[1]Processer - data'!D245,"")</f>
        <v>Areal-bælgsæd</v>
      </c>
      <c r="E245" t="str">
        <f>IF('[1]Processer - data'!E245&lt;&gt;"",'[1]Processer - data'!E245,"")</f>
        <v>Hektar</v>
      </c>
      <c r="F245" t="str">
        <f>IF('[1]Processer - data'!F245&lt;&gt;"",'[1]Processer - data'!F245,"")</f>
        <v>Bælgsæd</v>
      </c>
      <c r="G245" t="str">
        <f>IF('[1]Processer - data'!G245&lt;&gt;"",'[1]Processer - data'!G245,"")</f>
        <v>Ton</v>
      </c>
      <c r="H245" s="297">
        <f>IF($A245&lt;&gt;"",IF(VLOOKUP($A245,[1]!Table1[#All],2,FALSE)="Direkte input",IF($A245&lt;&gt;"Grøntsager i drivhus",SUMIFS('Direkte input'!G$3:G$230,'Direkte input'!$F$3:$F$230,$D245,'Direkte input'!$C$3:$C$230,$B245,'Direkte input'!$D$3:$D$230,$C245,'Direkte input'!$A$3:$A$230,$A$1),SUMIFS('Direkte input'!G$3:G$230,'Direkte input'!$F$3:$F$230,$D245,'Direkte input'!$C$3:$C$230,$B245,'Direkte input'!$A$3:$A$230,$A$1)),IF(VLOOKUP($A245,[1]!Table1[#All],2,FALSE)="Resultat",SUMIF($F$1:$F244,$D245,H$1:H244)+SUMIF($F247:$F$512,$D245,H247:H$512),0))*'[1]Processer - data'!H245,"")*IF($C245&lt;&gt;"",IF($F245="Halm",Landbrug!C$16*Landbrug!C$17,IF(LEFT($D245,5)="Areal", IF($G245="Ton",Landbrug!C$18,1),1)),1)*IF($F245="Grøntsager",IF($A245="Grøntsager i drivhus",Landbrug!C$51,1-Landbrug!C$51),1)</f>
        <v>17.207027300626059</v>
      </c>
      <c r="I245" s="298">
        <f>IF($A245&lt;&gt;"",IF(VLOOKUP($A245,[1]!Table1[#All],2,FALSE)="Direkte input",IF($A245&lt;&gt;"Grøntsager i drivhus",SUMIFS('Direkte input'!H$3:H$230,'Direkte input'!$F$3:$F$230,$D245,'Direkte input'!$C$3:$C$230,$B245,'Direkte input'!$D$3:$D$230,$C245,'Direkte input'!$A$3:$A$230,$A$1),SUMIFS('Direkte input'!H$3:H$230,'Direkte input'!$F$3:$F$230,$D245,'Direkte input'!$C$3:$C$230,$B245,'Direkte input'!$A$3:$A$230,$A$1)),IF(VLOOKUP($A245,[1]!Table1[#All],2,FALSE)="Resultat",SUMIF($F$1:$F244,$D245,I$1:I244)+SUMIF($F247:$F$512,$D245,I247:I$512),0))*'[1]Processer - data'!I245,"")*IF($C245&lt;&gt;"",IF($F245="Halm",Landbrug!D$16*Landbrug!D$17,IF(LEFT($D245,5)="Areal", IF($G245="Ton",Landbrug!D$18,1),1)),1)*IF($F245="Grøntsager",IF($A245="Grøntsager i drivhus",Landbrug!D$51,1-Landbrug!D$51),1)</f>
        <v>20.526981168073512</v>
      </c>
      <c r="J245" s="299">
        <f>IF($A245&lt;&gt;"",IF(VLOOKUP($A245,[1]!Table1[#All],2,FALSE)="Direkte input",IF($A245&lt;&gt;"Grøntsager i drivhus",SUMIFS('Direkte input'!I$3:I$230,'Direkte input'!$F$3:$F$230,$D245,'Direkte input'!$C$3:$C$230,$B245,'Direkte input'!$D$3:$D$230,$C245,'Direkte input'!$A$3:$A$230,$A$1),SUMIFS('Direkte input'!I$3:I$230,'Direkte input'!$F$3:$F$230,$D245,'Direkte input'!$C$3:$C$230,$B245,'Direkte input'!$A$3:$A$230,$A$1)),IF(VLOOKUP($A245,[1]!Table1[#All],2,FALSE)="Resultat",SUMIF($F$1:$F244,$D245,J$1:J244)+SUMIF($F247:$F$512,$D245,J247:J$512),0))*'[1]Processer - data'!J245,"")*IF($C245&lt;&gt;"",IF($F245="Halm",Landbrug!E$16*Landbrug!E$17,IF(LEFT($D245,5)="Areal", IF($G245="Ton",Landbrug!E$18,1),1)),1)*IF($F245="Grøntsager",IF($A245="Grøntsager i drivhus",Landbrug!E$51,1-Landbrug!E$51),1)</f>
        <v>28.545155887747324</v>
      </c>
    </row>
    <row r="246" spans="1:10" x14ac:dyDescent="0.25">
      <c r="A246" t="str">
        <f>IF('[1]Processer - data'!A246&lt;&gt;"",'[1]Processer - data'!A246,"")</f>
        <v>Bælgsædsmark</v>
      </c>
      <c r="B246" t="str">
        <f>IF('[1]Processer - data'!B246&lt;&gt;"",'[1]Processer - data'!B246,"")</f>
        <v>Økologisk</v>
      </c>
      <c r="C246" t="str">
        <f>IF('[1]Processer - data'!C246&lt;&gt;"",'[1]Processer - data'!C246,"")</f>
        <v>OC12</v>
      </c>
      <c r="D246" t="str">
        <f>IF('[1]Processer - data'!D246&lt;&gt;"",'[1]Processer - data'!D246,"")</f>
        <v>Areal-bælgsæd</v>
      </c>
      <c r="E246" t="str">
        <f>IF('[1]Processer - data'!E246&lt;&gt;"",'[1]Processer - data'!E246,"")</f>
        <v>Hektar</v>
      </c>
      <c r="F246" t="str">
        <f>IF('[1]Processer - data'!F246&lt;&gt;"",'[1]Processer - data'!F246,"")</f>
        <v>Halm</v>
      </c>
      <c r="G246" t="str">
        <f>IF('[1]Processer - data'!G246&lt;&gt;"",'[1]Processer - data'!G246,"")</f>
        <v>Ton</v>
      </c>
      <c r="H246" s="297">
        <f>IF($A246&lt;&gt;"",IF(VLOOKUP($A246,[1]!Table1[#All],2,FALSE)="Direkte input",IF($A246&lt;&gt;"Grøntsager i drivhus",SUMIFS('Direkte input'!G$3:G$230,'Direkte input'!$F$3:$F$230,$D246,'Direkte input'!$C$3:$C$230,$B246,'Direkte input'!$D$3:$D$230,$C246,'Direkte input'!$A$3:$A$230,$A$1),SUMIFS('Direkte input'!G$3:G$230,'Direkte input'!$F$3:$F$230,$D246,'Direkte input'!$C$3:$C$230,$B246,'Direkte input'!$A$3:$A$230,$A$1)),IF(VLOOKUP($A246,[1]!Table1[#All],2,FALSE)="Resultat",SUMIF($F$1:$F245,$D246,H$1:H245)+SUMIF($F248:$F$512,$D246,H248:H$512),0))*'[1]Processer - data'!H246,"")*IF($C246&lt;&gt;"",IF($F246="Halm",Landbrug!C$16*Landbrug!C$17,IF(LEFT($D246,5)="Areal", IF($G246="Ton",Landbrug!C$18,1),1)),1)*IF($F246="Grøntsager",IF($A246="Grøntsager i drivhus",Landbrug!C$51,1-Landbrug!C$51),1)</f>
        <v>5.1084006447812618</v>
      </c>
      <c r="I246" s="298">
        <f>IF($A246&lt;&gt;"",IF(VLOOKUP($A246,[1]!Table1[#All],2,FALSE)="Direkte input",IF($A246&lt;&gt;"Grøntsager i drivhus",SUMIFS('Direkte input'!H$3:H$230,'Direkte input'!$F$3:$F$230,$D246,'Direkte input'!$C$3:$C$230,$B246,'Direkte input'!$D$3:$D$230,$C246,'Direkte input'!$A$3:$A$230,$A$1),SUMIFS('Direkte input'!H$3:H$230,'Direkte input'!$F$3:$F$230,$D246,'Direkte input'!$C$3:$C$230,$B246,'Direkte input'!$A$3:$A$230,$A$1)),IF(VLOOKUP($A246,[1]!Table1[#All],2,FALSE)="Resultat",SUMIF($F$1:$F245,$D246,I$1:I245)+SUMIF($F248:$F$512,$D246,I248:I$512),0))*'[1]Processer - data'!I246,"")*IF($C246&lt;&gt;"",IF($F246="Halm",Landbrug!D$16*Landbrug!D$17,IF(LEFT($D246,5)="Areal", IF($G246="Ton",Landbrug!D$18,1),1)),1)*IF($F246="Grøntsager",IF($A246="Grøntsager i drivhus",Landbrug!D$51,1-Landbrug!D$51),1)</f>
        <v>5.651676295088949</v>
      </c>
      <c r="J246" s="299">
        <f>IF($A246&lt;&gt;"",IF(VLOOKUP($A246,[1]!Table1[#All],2,FALSE)="Direkte input",IF($A246&lt;&gt;"Grøntsager i drivhus",SUMIFS('Direkte input'!I$3:I$230,'Direkte input'!$F$3:$F$230,$D246,'Direkte input'!$C$3:$C$230,$B246,'Direkte input'!$D$3:$D$230,$C246,'Direkte input'!$A$3:$A$230,$A$1),SUMIFS('Direkte input'!I$3:I$230,'Direkte input'!$F$3:$F$230,$D246,'Direkte input'!$C$3:$C$230,$B246,'Direkte input'!$A$3:$A$230,$A$1)),IF(VLOOKUP($A246,[1]!Table1[#All],2,FALSE)="Resultat",SUMIF($F$1:$F245,$D246,J$1:J245)+SUMIF($F248:$F$512,$D246,J248:J$512),0))*'[1]Processer - data'!J246,"")*IF($C246&lt;&gt;"",IF($F246="Halm",Landbrug!E$16*Landbrug!E$17,IF(LEFT($D246,5)="Areal", IF($G246="Ton",Landbrug!E$18,1),1)),1)*IF($F246="Grøntsager",IF($A246="Grøntsager i drivhus",Landbrug!E$51,1-Landbrug!E$51),1)</f>
        <v>7.3262470491893783</v>
      </c>
    </row>
    <row r="247" spans="1:10" x14ac:dyDescent="0.25">
      <c r="A247" t="str">
        <f>IF('[1]Processer - data'!A247&lt;&gt;"",'[1]Processer - data'!A247,"")</f>
        <v>Bælgsædsmark</v>
      </c>
      <c r="B247" t="str">
        <f>IF('[1]Processer - data'!B247&lt;&gt;"",'[1]Processer - data'!B247,"")</f>
        <v>Økologisk</v>
      </c>
      <c r="C247" t="str">
        <f>IF('[1]Processer - data'!C247&lt;&gt;"",'[1]Processer - data'!C247,"")</f>
        <v>OC12</v>
      </c>
      <c r="D247" t="str">
        <f>IF('[1]Processer - data'!D247&lt;&gt;"",'[1]Processer - data'!D247,"")</f>
        <v>Areal-bælgsæd</v>
      </c>
      <c r="E247" t="str">
        <f>IF('[1]Processer - data'!E247&lt;&gt;"",'[1]Processer - data'!E247,"")</f>
        <v>Hektar</v>
      </c>
      <c r="F247" t="str">
        <f>IF('[1]Processer - data'!F247&lt;&gt;"",'[1]Processer - data'!F247,"")</f>
        <v>Gødning</v>
      </c>
      <c r="G247" t="str">
        <f>IF('[1]Processer - data'!G247&lt;&gt;"",'[1]Processer - data'!G247,"")</f>
        <v>kg N</v>
      </c>
      <c r="H247" s="297">
        <f>IF($A247&lt;&gt;"",IF(VLOOKUP($A247,[1]!Table1[#All],2,FALSE)="Direkte input",IF($A247&lt;&gt;"Grøntsager i drivhus",SUMIFS('Direkte input'!G$3:G$230,'Direkte input'!$F$3:$F$230,$D247,'Direkte input'!$C$3:$C$230,$B247,'Direkte input'!$D$3:$D$230,$C247,'Direkte input'!$A$3:$A$230,$A$1),SUMIFS('Direkte input'!G$3:G$230,'Direkte input'!$F$3:$F$230,$D247,'Direkte input'!$C$3:$C$230,$B247,'Direkte input'!$A$3:$A$230,$A$1)),IF(VLOOKUP($A247,[1]!Table1[#All],2,FALSE)="Resultat",SUMIF($F$1:$F245,$D247,H$1:H245)+SUMIF($F248:$F$512,$D247,H248:H$512),0))*'[1]Processer - data'!H247,"")*IF($C247&lt;&gt;"",IF($F247="Halm",Landbrug!C$16*Landbrug!C$17,IF(LEFT($D247,5)="Areal", IF($G247="Ton",Landbrug!C$18,1),1)),1)*IF($F247="Grøntsager",IF($A247="Grøntsager i drivhus",Landbrug!C$51,1-Landbrug!C$51),1)</f>
        <v>0</v>
      </c>
      <c r="I247" s="298">
        <f>IF($A247&lt;&gt;"",IF(VLOOKUP($A247,[1]!Table1[#All],2,FALSE)="Direkte input",IF($A247&lt;&gt;"Grøntsager i drivhus",SUMIFS('Direkte input'!H$3:H$230,'Direkte input'!$F$3:$F$230,$D247,'Direkte input'!$C$3:$C$230,$B247,'Direkte input'!$D$3:$D$230,$C247,'Direkte input'!$A$3:$A$230,$A$1),SUMIFS('Direkte input'!H$3:H$230,'Direkte input'!$F$3:$F$230,$D247,'Direkte input'!$C$3:$C$230,$B247,'Direkte input'!$A$3:$A$230,$A$1)),IF(VLOOKUP($A247,[1]!Table1[#All],2,FALSE)="Resultat",SUMIF($F$1:$F245,$D247,I$1:I245)+SUMIF($F248:$F$512,$D247,I248:I$512),0))*'[1]Processer - data'!I247,"")*IF($C247&lt;&gt;"",IF($F247="Halm",Landbrug!D$16*Landbrug!D$17,IF(LEFT($D247,5)="Areal", IF($G247="Ton",Landbrug!D$18,1),1)),1)*IF($F247="Grøntsager",IF($A247="Grøntsager i drivhus",Landbrug!D$51,1-Landbrug!D$51),1)</f>
        <v>0</v>
      </c>
      <c r="J247" s="299">
        <f>IF($A247&lt;&gt;"",IF(VLOOKUP($A247,[1]!Table1[#All],2,FALSE)="Direkte input",IF($A247&lt;&gt;"Grøntsager i drivhus",SUMIFS('Direkte input'!I$3:I$230,'Direkte input'!$F$3:$F$230,$D247,'Direkte input'!$C$3:$C$230,$B247,'Direkte input'!$D$3:$D$230,$C247,'Direkte input'!$A$3:$A$230,$A$1),SUMIFS('Direkte input'!I$3:I$230,'Direkte input'!$F$3:$F$230,$D247,'Direkte input'!$C$3:$C$230,$B247,'Direkte input'!$A$3:$A$230,$A$1)),IF(VLOOKUP($A247,[1]!Table1[#All],2,FALSE)="Resultat",SUMIF($F$1:$F245,$D247,J$1:J245)+SUMIF($F248:$F$512,$D247,J248:J$512),0))*'[1]Processer - data'!J247,"")*IF($C247&lt;&gt;"",IF($F247="Halm",Landbrug!E$16*Landbrug!E$17,IF(LEFT($D247,5)="Areal", IF($G247="Ton",Landbrug!E$18,1),1)),1)*IF($F247="Grøntsager",IF($A247="Grøntsager i drivhus",Landbrug!E$51,1-Landbrug!E$51),1)</f>
        <v>0</v>
      </c>
    </row>
    <row r="248" spans="1:10" x14ac:dyDescent="0.25">
      <c r="A248" t="str">
        <f>IF('[1]Processer - data'!A248&lt;&gt;"",'[1]Processer - data'!A248,"")</f>
        <v>Bælgsædsmark</v>
      </c>
      <c r="B248" t="str">
        <f>IF('[1]Processer - data'!B248&lt;&gt;"",'[1]Processer - data'!B248,"")</f>
        <v>Økologisk</v>
      </c>
      <c r="C248" t="str">
        <f>IF('[1]Processer - data'!C248&lt;&gt;"",'[1]Processer - data'!C248,"")</f>
        <v>OC12</v>
      </c>
      <c r="D248" t="str">
        <f>IF('[1]Processer - data'!D248&lt;&gt;"",'[1]Processer - data'!D248,"")</f>
        <v>Areal-bælgsæd</v>
      </c>
      <c r="E248" t="str">
        <f>IF('[1]Processer - data'!E248&lt;&gt;"",'[1]Processer - data'!E248,"")</f>
        <v>Hektar</v>
      </c>
      <c r="F248" t="str">
        <f>IF('[1]Processer - data'!F248&lt;&gt;"",'[1]Processer - data'!F248,"")</f>
        <v>CO2 - atmosfære</v>
      </c>
      <c r="G248" t="str">
        <f>IF('[1]Processer - data'!G248&lt;&gt;"",'[1]Processer - data'!G248,"")</f>
        <v>t CO2-ækvivalenter</v>
      </c>
      <c r="H248" s="297">
        <f>IF($A248&lt;&gt;"",IF(VLOOKUP($A248,[1]!Table1[#All],2,FALSE)="Direkte input",IF($A248&lt;&gt;"Grøntsager i drivhus",SUMIFS('Direkte input'!G$3:G$230,'Direkte input'!$F$3:$F$230,$D248,'Direkte input'!$C$3:$C$230,$B248,'Direkte input'!$D$3:$D$230,$C248,'Direkte input'!$A$3:$A$230,$A$1),SUMIFS('Direkte input'!G$3:G$230,'Direkte input'!$F$3:$F$230,$D248,'Direkte input'!$C$3:$C$230,$B248,'Direkte input'!$A$3:$A$230,$A$1)),IF(VLOOKUP($A248,[1]!Table1[#All],2,FALSE)="Resultat",SUMIF($F$1:$F247,$D248,H$1:H247)+SUMIF($F249:$F$512,$D248,H249:H$512),0))*'[1]Processer - data'!H248,"")*IF($C248&lt;&gt;"",IF($F248="Halm",Landbrug!C$16*Landbrug!C$17,IF(LEFT($D248,5)="Areal", IF($G248="Ton",Landbrug!C$18,1),1)),1)*IF($F248="Grøntsager",IF($A248="Grøntsager i drivhus",Landbrug!C$51,1-Landbrug!C$51),1)</f>
        <v>228.76391853604761</v>
      </c>
      <c r="I248" s="298">
        <f>IF($A248&lt;&gt;"",IF(VLOOKUP($A248,[1]!Table1[#All],2,FALSE)="Direkte input",IF($A248&lt;&gt;"Grøntsager i drivhus",SUMIFS('Direkte input'!H$3:H$230,'Direkte input'!$F$3:$F$230,$D248,'Direkte input'!$C$3:$C$230,$B248,'Direkte input'!$D$3:$D$230,$C248,'Direkte input'!$A$3:$A$230,$A$1),SUMIFS('Direkte input'!H$3:H$230,'Direkte input'!$F$3:$F$230,$D248,'Direkte input'!$C$3:$C$230,$B248,'Direkte input'!$A$3:$A$230,$A$1)),IF(VLOOKUP($A248,[1]!Table1[#All],2,FALSE)="Resultat",SUMIF($F$1:$F247,$D248,I$1:I247)+SUMIF($F249:$F$512,$D248,I249:I$512),0))*'[1]Processer - data'!I248,"")*IF($C248&lt;&gt;"",IF($F248="Halm",Landbrug!D$16*Landbrug!D$17,IF(LEFT($D248,5)="Areal", IF($G248="Ton",Landbrug!D$18,1),1)),1)*IF($F248="Grøntsager",IF($A248="Grøntsager i drivhus",Landbrug!D$51,1-Landbrug!D$51),1)</f>
        <v>254.57278739648279</v>
      </c>
      <c r="J248" s="299">
        <f>IF($A248&lt;&gt;"",IF(VLOOKUP($A248,[1]!Table1[#All],2,FALSE)="Direkte input",IF($A248&lt;&gt;"Grøntsager i drivhus",SUMIFS('Direkte input'!I$3:I$230,'Direkte input'!$F$3:$F$230,$D248,'Direkte input'!$C$3:$C$230,$B248,'Direkte input'!$D$3:$D$230,$C248,'Direkte input'!$A$3:$A$230,$A$1),SUMIFS('Direkte input'!I$3:I$230,'Direkte input'!$F$3:$F$230,$D248,'Direkte input'!$C$3:$C$230,$B248,'Direkte input'!$A$3:$A$230,$A$1)),IF(VLOOKUP($A248,[1]!Table1[#All],2,FALSE)="Resultat",SUMIF($F$1:$F247,$D248,J$1:J247)+SUMIF($F249:$F$512,$D248,J249:J$512),0))*'[1]Processer - data'!J248,"")*IF($C248&lt;&gt;"",IF($F248="Halm",Landbrug!E$16*Landbrug!E$17,IF(LEFT($D248,5)="Areal", IF($G248="Ton",Landbrug!E$18,1),1)),1)*IF($F248="Grøntsager",IF($A248="Grøntsager i drivhus",Landbrug!E$51,1-Landbrug!E$51),1)</f>
        <v>330.00176143988506</v>
      </c>
    </row>
    <row r="249" spans="1:10" x14ac:dyDescent="0.25">
      <c r="A249" t="str">
        <f>IF('[1]Processer - data'!A249&lt;&gt;"",'[1]Processer - data'!A249,"")</f>
        <v>Roemark</v>
      </c>
      <c r="B249" t="str">
        <f>IF('[1]Processer - data'!B249&lt;&gt;"",'[1]Processer - data'!B249,"")</f>
        <v>Konventionel</v>
      </c>
      <c r="C249" t="str">
        <f>IF('[1]Processer - data'!C249&lt;&gt;"",'[1]Processer - data'!C249,"")</f>
        <v>JB1-10</v>
      </c>
      <c r="D249" t="str">
        <f>IF('[1]Processer - data'!D249&lt;&gt;"",'[1]Processer - data'!D249,"")</f>
        <v>Areal-roer</v>
      </c>
      <c r="E249" t="str">
        <f>IF('[1]Processer - data'!E249&lt;&gt;"",'[1]Processer - data'!E249,"")</f>
        <v>Hektar</v>
      </c>
      <c r="F249" t="str">
        <f>IF('[1]Processer - data'!F249&lt;&gt;"",'[1]Processer - data'!F249,"")</f>
        <v>Roer</v>
      </c>
      <c r="G249" t="str">
        <f>IF('[1]Processer - data'!G249&lt;&gt;"",'[1]Processer - data'!G249,"")</f>
        <v>Ton</v>
      </c>
      <c r="H249" s="297">
        <f>IF($A249&lt;&gt;"",IF(VLOOKUP($A249,[1]!Table1[#All],2,FALSE)="Direkte input",IF($A249&lt;&gt;"Grøntsager i drivhus",SUMIFS('Direkte input'!G$3:G$230,'Direkte input'!$F$3:$F$230,$D249,'Direkte input'!$C$3:$C$230,$B249,'Direkte input'!$D$3:$D$230,$C249,'Direkte input'!$A$3:$A$230,$A$1),SUMIFS('Direkte input'!G$3:G$230,'Direkte input'!$F$3:$F$230,$D249,'Direkte input'!$C$3:$C$230,$B249,'Direkte input'!$A$3:$A$230,$A$1)),IF(VLOOKUP($A249,[1]!Table1[#All],2,FALSE)="Resultat",SUMIF($F$1:$F248,$D249,H$1:H248)+SUMIF($F250:$F$512,$D249,H250:H$512),0))*'[1]Processer - data'!H249,"")*IF($C249&lt;&gt;"",IF($F249="Halm",Landbrug!C$16*Landbrug!C$17,IF(LEFT($D249,5)="Areal", IF($G249="Ton",Landbrug!C$18,1),1)),1)*IF($F249="Grøntsager",IF($A249="Grøntsager i drivhus",Landbrug!C$51,1-Landbrug!C$51),1)</f>
        <v>2063414.7895987527</v>
      </c>
      <c r="I249" s="298">
        <f>IF($A249&lt;&gt;"",IF(VLOOKUP($A249,[1]!Table1[#All],2,FALSE)="Direkte input",IF($A249&lt;&gt;"Grøntsager i drivhus",SUMIFS('Direkte input'!H$3:H$230,'Direkte input'!$F$3:$F$230,$D249,'Direkte input'!$C$3:$C$230,$B249,'Direkte input'!$D$3:$D$230,$C249,'Direkte input'!$A$3:$A$230,$A$1),SUMIFS('Direkte input'!H$3:H$230,'Direkte input'!$F$3:$F$230,$D249,'Direkte input'!$C$3:$C$230,$B249,'Direkte input'!$A$3:$A$230,$A$1)),IF(VLOOKUP($A249,[1]!Table1[#All],2,FALSE)="Resultat",SUMIF($F$1:$F248,$D249,I$1:I248)+SUMIF($F250:$F$512,$D249,I250:I$512),0))*'[1]Processer - data'!I249,"")*IF($C249&lt;&gt;"",IF($F249="Halm",Landbrug!D$16*Landbrug!D$17,IF(LEFT($D249,5)="Areal", IF($G249="Ton",Landbrug!D$18,1),1)),1)*IF($F249="Grøntsager",IF($A249="Grøntsager i drivhus",Landbrug!D$51,1-Landbrug!D$51),1)</f>
        <v>2147118.3494584323</v>
      </c>
      <c r="J249" s="299">
        <f>IF($A249&lt;&gt;"",IF(VLOOKUP($A249,[1]!Table1[#All],2,FALSE)="Direkte input",IF($A249&lt;&gt;"Grøntsager i drivhus",SUMIFS('Direkte input'!I$3:I$230,'Direkte input'!$F$3:$F$230,$D249,'Direkte input'!$C$3:$C$230,$B249,'Direkte input'!$D$3:$D$230,$C249,'Direkte input'!$A$3:$A$230,$A$1),SUMIFS('Direkte input'!I$3:I$230,'Direkte input'!$F$3:$F$230,$D249,'Direkte input'!$C$3:$C$230,$B249,'Direkte input'!$A$3:$A$230,$A$1)),IF(VLOOKUP($A249,[1]!Table1[#All],2,FALSE)="Resultat",SUMIF($F$1:$F248,$D249,J$1:J248)+SUMIF($F250:$F$512,$D249,J250:J$512),0))*'[1]Processer - data'!J249,"")*IF($C249&lt;&gt;"",IF($F249="Halm",Landbrug!E$16*Landbrug!E$17,IF(LEFT($D249,5)="Areal", IF($G249="Ton",Landbrug!E$18,1),1)),1)*IF($F249="Grøntsager",IF($A249="Grøntsager i drivhus",Landbrug!E$51,1-Landbrug!E$51),1)</f>
        <v>2176572.9045657483</v>
      </c>
    </row>
    <row r="250" spans="1:10" x14ac:dyDescent="0.25">
      <c r="A250" t="str">
        <f>IF('[1]Processer - data'!A250&lt;&gt;"",'[1]Processer - data'!A250,"")</f>
        <v>Roemark</v>
      </c>
      <c r="B250" t="str">
        <f>IF('[1]Processer - data'!B250&lt;&gt;"",'[1]Processer - data'!B250,"")</f>
        <v>Konventionel</v>
      </c>
      <c r="C250" t="str">
        <f>IF('[1]Processer - data'!C250&lt;&gt;"",'[1]Processer - data'!C250,"")</f>
        <v>JB1-10</v>
      </c>
      <c r="D250" t="str">
        <f>IF('[1]Processer - data'!D250&lt;&gt;"",'[1]Processer - data'!D250,"")</f>
        <v>Areal-roer</v>
      </c>
      <c r="E250" t="str">
        <f>IF('[1]Processer - data'!E250&lt;&gt;"",'[1]Processer - data'!E250,"")</f>
        <v>Hektar</v>
      </c>
      <c r="F250" t="str">
        <f>IF('[1]Processer - data'!F250&lt;&gt;"",'[1]Processer - data'!F250,"")</f>
        <v>Gødning</v>
      </c>
      <c r="G250" t="str">
        <f>IF('[1]Processer - data'!G250&lt;&gt;"",'[1]Processer - data'!G250,"")</f>
        <v>kg N</v>
      </c>
      <c r="H250" s="297">
        <f>IF($A250&lt;&gt;"",IF(VLOOKUP($A250,[1]!Table1[#All],2,FALSE)="Direkte input",IF($A250&lt;&gt;"Grøntsager i drivhus",SUMIFS('Direkte input'!G$3:G$230,'Direkte input'!$F$3:$F$230,$D250,'Direkte input'!$C$3:$C$230,$B250,'Direkte input'!$D$3:$D$230,$C250,'Direkte input'!$A$3:$A$230,$A$1),SUMIFS('Direkte input'!G$3:G$230,'Direkte input'!$F$3:$F$230,$D250,'Direkte input'!$C$3:$C$230,$B250,'Direkte input'!$A$3:$A$230,$A$1)),IF(VLOOKUP($A250,[1]!Table1[#All],2,FALSE)="Resultat",SUMIF($F$1:$F249,$D250,H$1:H249)+SUMIF($F251:$F$512,$D250,H251:H$512),0))*'[1]Processer - data'!H250,"")*IF($C250&lt;&gt;"",IF($F250="Halm",Landbrug!C$16*Landbrug!C$17,IF(LEFT($D250,5)="Areal", IF($G250="Ton",Landbrug!C$18,1),1)),1)*IF($F250="Grøntsager",IF($A250="Grøntsager i drivhus",Landbrug!C$51,1-Landbrug!C$51),1)</f>
        <v>-3428285.593666554</v>
      </c>
      <c r="I250" s="298">
        <f>IF($A250&lt;&gt;"",IF(VLOOKUP($A250,[1]!Table1[#All],2,FALSE)="Direkte input",IF($A250&lt;&gt;"Grøntsager i drivhus",SUMIFS('Direkte input'!H$3:H$230,'Direkte input'!$F$3:$F$230,$D250,'Direkte input'!$C$3:$C$230,$B250,'Direkte input'!$D$3:$D$230,$C250,'Direkte input'!$A$3:$A$230,$A$1),SUMIFS('Direkte input'!H$3:H$230,'Direkte input'!$F$3:$F$230,$D250,'Direkte input'!$C$3:$C$230,$B250,'Direkte input'!$A$3:$A$230,$A$1)),IF(VLOOKUP($A250,[1]!Table1[#All],2,FALSE)="Resultat",SUMIF($F$1:$F249,$D250,I$1:I249)+SUMIF($F251:$F$512,$D250,I251:I$512),0))*'[1]Processer - data'!I250,"")*IF($C250&lt;&gt;"",IF($F250="Halm",Landbrug!D$16*Landbrug!D$17,IF(LEFT($D250,5)="Areal", IF($G250="Ton",Landbrug!D$18,1),1)),1)*IF($F250="Grøntsager",IF($A250="Grøntsager i drivhus",Landbrug!D$51,1-Landbrug!D$51),1)</f>
        <v>-3327757.3610498761</v>
      </c>
      <c r="J250" s="299">
        <f>IF($A250&lt;&gt;"",IF(VLOOKUP($A250,[1]!Table1[#All],2,FALSE)="Direkte input",IF($A250&lt;&gt;"Grøntsager i drivhus",SUMIFS('Direkte input'!I$3:I$230,'Direkte input'!$F$3:$F$230,$D250,'Direkte input'!$C$3:$C$230,$B250,'Direkte input'!$D$3:$D$230,$C250,'Direkte input'!$A$3:$A$230,$A$1),SUMIFS('Direkte input'!I$3:I$230,'Direkte input'!$F$3:$F$230,$D250,'Direkte input'!$C$3:$C$230,$B250,'Direkte input'!$A$3:$A$230,$A$1)),IF(VLOOKUP($A250,[1]!Table1[#All],2,FALSE)="Resultat",SUMIF($F$1:$F249,$D250,J$1:J249)+SUMIF($F251:$F$512,$D250,J251:J$512),0))*'[1]Processer - data'!J250,"")*IF($C250&lt;&gt;"",IF($F250="Halm",Landbrug!E$16*Landbrug!E$17,IF(LEFT($D250,5)="Areal", IF($G250="Ton",Landbrug!E$18,1),1)),1)*IF($F250="Grøntsager",IF($A250="Grøntsager i drivhus",Landbrug!E$51,1-Landbrug!E$51),1)</f>
        <v>-3144603.0606966098</v>
      </c>
    </row>
    <row r="251" spans="1:10" x14ac:dyDescent="0.25">
      <c r="A251" t="str">
        <f>IF('[1]Processer - data'!A251&lt;&gt;"",'[1]Processer - data'!A251,"")</f>
        <v>Roemark</v>
      </c>
      <c r="B251" t="str">
        <f>IF('[1]Processer - data'!B251&lt;&gt;"",'[1]Processer - data'!B251,"")</f>
        <v>Konventionel</v>
      </c>
      <c r="C251" t="str">
        <f>IF('[1]Processer - data'!C251&lt;&gt;"",'[1]Processer - data'!C251,"")</f>
        <v>JB1-10</v>
      </c>
      <c r="D251" t="str">
        <f>IF('[1]Processer - data'!D251&lt;&gt;"",'[1]Processer - data'!D251,"")</f>
        <v>Areal-roer</v>
      </c>
      <c r="E251" t="str">
        <f>IF('[1]Processer - data'!E251&lt;&gt;"",'[1]Processer - data'!E251,"")</f>
        <v>Hektar</v>
      </c>
      <c r="F251" t="str">
        <f>IF('[1]Processer - data'!F251&lt;&gt;"",'[1]Processer - data'!F251,"")</f>
        <v>CO2 - atmosfære</v>
      </c>
      <c r="G251" t="str">
        <f>IF('[1]Processer - data'!G251&lt;&gt;"",'[1]Processer - data'!G251,"")</f>
        <v>t CO2-ækvivalenter</v>
      </c>
      <c r="H251" s="297">
        <f>IF($A251&lt;&gt;"",IF(VLOOKUP($A251,[1]!Table1[#All],2,FALSE)="Direkte input",IF($A251&lt;&gt;"Grøntsager i drivhus",SUMIFS('Direkte input'!G$3:G$230,'Direkte input'!$F$3:$F$230,$D251,'Direkte input'!$C$3:$C$230,$B251,'Direkte input'!$D$3:$D$230,$C251,'Direkte input'!$A$3:$A$230,$A$1),SUMIFS('Direkte input'!G$3:G$230,'Direkte input'!$F$3:$F$230,$D251,'Direkte input'!$C$3:$C$230,$B251,'Direkte input'!$A$3:$A$230,$A$1)),IF(VLOOKUP($A251,[1]!Table1[#All],2,FALSE)="Resultat",SUMIF($F$1:$F250,$D251,H$1:H250)+SUMIF($F252:$F$512,$D251,H252:H$512),0))*'[1]Processer - data'!H251,"")*IF($C251&lt;&gt;"",IF($F251="Halm",Landbrug!C$16*Landbrug!C$17,IF(LEFT($D251,5)="Areal", IF($G251="Ton",Landbrug!C$18,1),1)),1)*IF($F251="Grøntsager",IF($A251="Grøntsager i drivhus",Landbrug!C$51,1-Landbrug!C$51),1)</f>
        <v>57739.804773712538</v>
      </c>
      <c r="I251" s="298">
        <f>IF($A251&lt;&gt;"",IF(VLOOKUP($A251,[1]!Table1[#All],2,FALSE)="Direkte input",IF($A251&lt;&gt;"Grøntsager i drivhus",SUMIFS('Direkte input'!H$3:H$230,'Direkte input'!$F$3:$F$230,$D251,'Direkte input'!$C$3:$C$230,$B251,'Direkte input'!$D$3:$D$230,$C251,'Direkte input'!$A$3:$A$230,$A$1),SUMIFS('Direkte input'!H$3:H$230,'Direkte input'!$F$3:$F$230,$D251,'Direkte input'!$C$3:$C$230,$B251,'Direkte input'!$A$3:$A$230,$A$1)),IF(VLOOKUP($A251,[1]!Table1[#All],2,FALSE)="Resultat",SUMIF($F$1:$F250,$D251,I$1:I250)+SUMIF($F252:$F$512,$D251,I252:I$512),0))*'[1]Processer - data'!I251,"")*IF($C251&lt;&gt;"",IF($F251="Halm",Landbrug!D$16*Landbrug!D$17,IF(LEFT($D251,5)="Areal", IF($G251="Ton",Landbrug!D$18,1),1)),1)*IF($F251="Grøntsager",IF($A251="Grøntsager i drivhus",Landbrug!D$51,1-Landbrug!D$51),1)</f>
        <v>56046.690134647288</v>
      </c>
      <c r="J251" s="299">
        <f>IF($A251&lt;&gt;"",IF(VLOOKUP($A251,[1]!Table1[#All],2,FALSE)="Direkte input",IF($A251&lt;&gt;"Grøntsager i drivhus",SUMIFS('Direkte input'!I$3:I$230,'Direkte input'!$F$3:$F$230,$D251,'Direkte input'!$C$3:$C$230,$B251,'Direkte input'!$D$3:$D$230,$C251,'Direkte input'!$A$3:$A$230,$A$1),SUMIFS('Direkte input'!I$3:I$230,'Direkte input'!$F$3:$F$230,$D251,'Direkte input'!$C$3:$C$230,$B251,'Direkte input'!$A$3:$A$230,$A$1)),IF(VLOOKUP($A251,[1]!Table1[#All],2,FALSE)="Resultat",SUMIF($F$1:$F250,$D251,J$1:J250)+SUMIF($F252:$F$512,$D251,J252:J$512),0))*'[1]Processer - data'!J251,"")*IF($C251&lt;&gt;"",IF($F251="Halm",Landbrug!E$16*Landbrug!E$17,IF(LEFT($D251,5)="Areal", IF($G251="Ton",Landbrug!E$18,1),1)),1)*IF($F251="Grøntsager",IF($A251="Grøntsager i drivhus",Landbrug!E$51,1-Landbrug!E$51),1)</f>
        <v>52961.972348766089</v>
      </c>
    </row>
    <row r="252" spans="1:10" x14ac:dyDescent="0.25">
      <c r="A252" t="str">
        <f>IF('[1]Processer - data'!A252&lt;&gt;"",'[1]Processer - data'!A252,"")</f>
        <v>Roemark</v>
      </c>
      <c r="B252" t="str">
        <f>IF('[1]Processer - data'!B252&lt;&gt;"",'[1]Processer - data'!B252,"")</f>
        <v>Konventionel</v>
      </c>
      <c r="C252" t="str">
        <f>IF('[1]Processer - data'!C252&lt;&gt;"",'[1]Processer - data'!C252,"")</f>
        <v>OC6</v>
      </c>
      <c r="D252" t="str">
        <f>IF('[1]Processer - data'!D252&lt;&gt;"",'[1]Processer - data'!D252,"")</f>
        <v>Areal-roer</v>
      </c>
      <c r="E252" t="str">
        <f>IF('[1]Processer - data'!E252&lt;&gt;"",'[1]Processer - data'!E252,"")</f>
        <v>Hektar</v>
      </c>
      <c r="F252" t="str">
        <f>IF('[1]Processer - data'!F252&lt;&gt;"",'[1]Processer - data'!F252,"")</f>
        <v>Roer</v>
      </c>
      <c r="G252" t="str">
        <f>IF('[1]Processer - data'!G252&lt;&gt;"",'[1]Processer - data'!G252,"")</f>
        <v>Ton</v>
      </c>
      <c r="H252" s="297">
        <f>IF($A252&lt;&gt;"",IF(VLOOKUP($A252,[1]!Table1[#All],2,FALSE)="Direkte input",IF($A252&lt;&gt;"Grøntsager i drivhus",SUMIFS('Direkte input'!G$3:G$230,'Direkte input'!$F$3:$F$230,$D252,'Direkte input'!$C$3:$C$230,$B252,'Direkte input'!$D$3:$D$230,$C252,'Direkte input'!$A$3:$A$230,$A$1),SUMIFS('Direkte input'!G$3:G$230,'Direkte input'!$F$3:$F$230,$D252,'Direkte input'!$C$3:$C$230,$B252,'Direkte input'!$A$3:$A$230,$A$1)),IF(VLOOKUP($A252,[1]!Table1[#All],2,FALSE)="Resultat",SUMIF($F$1:$F251,$D252,H$1:H251)+SUMIF($F253:$F$512,$D252,H253:H$512),0))*'[1]Processer - data'!H252,"")*IF($C252&lt;&gt;"",IF($F252="Halm",Landbrug!C$16*Landbrug!C$17,IF(LEFT($D252,5)="Areal", IF($G252="Ton",Landbrug!C$18,1),1)),1)*IF($F252="Grøntsager",IF($A252="Grøntsager i drivhus",Landbrug!C$51,1-Landbrug!C$51),1)</f>
        <v>12680.538017485786</v>
      </c>
      <c r="I252" s="298">
        <f>IF($A252&lt;&gt;"",IF(VLOOKUP($A252,[1]!Table1[#All],2,FALSE)="Direkte input",IF($A252&lt;&gt;"Grøntsager i drivhus",SUMIFS('Direkte input'!H$3:H$230,'Direkte input'!$F$3:$F$230,$D252,'Direkte input'!$C$3:$C$230,$B252,'Direkte input'!$D$3:$D$230,$C252,'Direkte input'!$A$3:$A$230,$A$1),SUMIFS('Direkte input'!H$3:H$230,'Direkte input'!$F$3:$F$230,$D252,'Direkte input'!$C$3:$C$230,$B252,'Direkte input'!$A$3:$A$230,$A$1)),IF(VLOOKUP($A252,[1]!Table1[#All],2,FALSE)="Resultat",SUMIF($F$1:$F251,$D252,I$1:I251)+SUMIF($F253:$F$512,$D252,I253:I$512),0))*'[1]Processer - data'!I252,"")*IF($C252&lt;&gt;"",IF($F252="Halm",Landbrug!D$16*Landbrug!D$17,IF(LEFT($D252,5)="Areal", IF($G252="Ton",Landbrug!D$18,1),1)),1)*IF($F252="Grøntsager",IF($A252="Grøntsager i drivhus",Landbrug!D$51,1-Landbrug!D$51),1)</f>
        <v>12295.717552332431</v>
      </c>
      <c r="J252" s="299">
        <f>IF($A252&lt;&gt;"",IF(VLOOKUP($A252,[1]!Table1[#All],2,FALSE)="Direkte input",IF($A252&lt;&gt;"Grøntsager i drivhus",SUMIFS('Direkte input'!I$3:I$230,'Direkte input'!$F$3:$F$230,$D252,'Direkte input'!$C$3:$C$230,$B252,'Direkte input'!$D$3:$D$230,$C252,'Direkte input'!$A$3:$A$230,$A$1),SUMIFS('Direkte input'!I$3:I$230,'Direkte input'!$F$3:$F$230,$D252,'Direkte input'!$C$3:$C$230,$B252,'Direkte input'!$A$3:$A$230,$A$1)),IF(VLOOKUP($A252,[1]!Table1[#All],2,FALSE)="Resultat",SUMIF($F$1:$F251,$D252,J$1:J251)+SUMIF($F253:$F$512,$D252,J253:J$512),0))*'[1]Processer - data'!J252,"")*IF($C252&lt;&gt;"",IF($F252="Halm",Landbrug!E$16*Landbrug!E$17,IF(LEFT($D252,5)="Areal", IF($G252="Ton",Landbrug!E$18,1),1)),1)*IF($F252="Grøntsager",IF($A252="Grøntsager i drivhus",Landbrug!E$51,1-Landbrug!E$51),1)</f>
        <v>12580.409399291899</v>
      </c>
    </row>
    <row r="253" spans="1:10" x14ac:dyDescent="0.25">
      <c r="A253" t="str">
        <f>IF('[1]Processer - data'!A253&lt;&gt;"",'[1]Processer - data'!A253,"")</f>
        <v>Roemark</v>
      </c>
      <c r="B253" t="str">
        <f>IF('[1]Processer - data'!B253&lt;&gt;"",'[1]Processer - data'!B253,"")</f>
        <v>Konventionel</v>
      </c>
      <c r="C253" t="str">
        <f>IF('[1]Processer - data'!C253&lt;&gt;"",'[1]Processer - data'!C253,"")</f>
        <v>OC6</v>
      </c>
      <c r="D253" t="str">
        <f>IF('[1]Processer - data'!D253&lt;&gt;"",'[1]Processer - data'!D253,"")</f>
        <v>Areal-roer</v>
      </c>
      <c r="E253" t="str">
        <f>IF('[1]Processer - data'!E253&lt;&gt;"",'[1]Processer - data'!E253,"")</f>
        <v>Hektar</v>
      </c>
      <c r="F253" t="str">
        <f>IF('[1]Processer - data'!F253&lt;&gt;"",'[1]Processer - data'!F253,"")</f>
        <v>Gødning</v>
      </c>
      <c r="G253" t="str">
        <f>IF('[1]Processer - data'!G253&lt;&gt;"",'[1]Processer - data'!G253,"")</f>
        <v>kg N</v>
      </c>
      <c r="H253" s="297">
        <f>IF($A253&lt;&gt;"",IF(VLOOKUP($A253,[1]!Table1[#All],2,FALSE)="Direkte input",IF($A253&lt;&gt;"Grøntsager i drivhus",SUMIFS('Direkte input'!G$3:G$230,'Direkte input'!$F$3:$F$230,$D253,'Direkte input'!$C$3:$C$230,$B253,'Direkte input'!$D$3:$D$230,$C253,'Direkte input'!$A$3:$A$230,$A$1),SUMIFS('Direkte input'!G$3:G$230,'Direkte input'!$F$3:$F$230,$D253,'Direkte input'!$C$3:$C$230,$B253,'Direkte input'!$A$3:$A$230,$A$1)),IF(VLOOKUP($A253,[1]!Table1[#All],2,FALSE)="Resultat",SUMIF($F$1:$F252,$D253,H$1:H252)+SUMIF($F254:$F$512,$D253,H254:H$512),0))*'[1]Processer - data'!H253,"")*IF($C253&lt;&gt;"",IF($F253="Halm",Landbrug!C$16*Landbrug!C$17,IF(LEFT($D253,5)="Areal", IF($G253="Ton",Landbrug!C$18,1),1)),1)*IF($F253="Grøntsager",IF($A253="Grøntsager i drivhus",Landbrug!C$51,1-Landbrug!C$51),1)</f>
        <v>-13655.336908065839</v>
      </c>
      <c r="I253" s="298">
        <f>IF($A253&lt;&gt;"",IF(VLOOKUP($A253,[1]!Table1[#All],2,FALSE)="Direkte input",IF($A253&lt;&gt;"Grøntsager i drivhus",SUMIFS('Direkte input'!H$3:H$230,'Direkte input'!$F$3:$F$230,$D253,'Direkte input'!$C$3:$C$230,$B253,'Direkte input'!$D$3:$D$230,$C253,'Direkte input'!$A$3:$A$230,$A$1),SUMIFS('Direkte input'!H$3:H$230,'Direkte input'!$F$3:$F$230,$D253,'Direkte input'!$C$3:$C$230,$B253,'Direkte input'!$A$3:$A$230,$A$1)),IF(VLOOKUP($A253,[1]!Table1[#All],2,FALSE)="Resultat",SUMIF($F$1:$F252,$D253,I$1:I252)+SUMIF($F254:$F$512,$D253,I254:I$512),0))*'[1]Processer - data'!I253,"")*IF($C253&lt;&gt;"",IF($F253="Halm",Landbrug!D$16*Landbrug!D$17,IF(LEFT($D253,5)="Areal", IF($G253="Ton",Landbrug!D$18,1),1)),1)*IF($F253="Grøntsager",IF($A253="Grøntsager i drivhus",Landbrug!D$51,1-Landbrug!D$51),1)</f>
        <v>-12351.61744384974</v>
      </c>
      <c r="J253" s="299">
        <f>IF($A253&lt;&gt;"",IF(VLOOKUP($A253,[1]!Table1[#All],2,FALSE)="Direkte input",IF($A253&lt;&gt;"Grøntsager i drivhus",SUMIFS('Direkte input'!I$3:I$230,'Direkte input'!$F$3:$F$230,$D253,'Direkte input'!$C$3:$C$230,$B253,'Direkte input'!$D$3:$D$230,$C253,'Direkte input'!$A$3:$A$230,$A$1),SUMIFS('Direkte input'!I$3:I$230,'Direkte input'!$F$3:$F$230,$D253,'Direkte input'!$C$3:$C$230,$B253,'Direkte input'!$A$3:$A$230,$A$1)),IF(VLOOKUP($A253,[1]!Table1[#All],2,FALSE)="Resultat",SUMIF($F$1:$F252,$D253,J$1:J252)+SUMIF($F254:$F$512,$D253,J254:J$512),0))*'[1]Processer - data'!J253,"")*IF($C253&lt;&gt;"",IF($F253="Halm",Landbrug!E$16*Landbrug!E$17,IF(LEFT($D253,5)="Areal", IF($G253="Ton",Landbrug!E$18,1),1)),1)*IF($F253="Grøntsager",IF($A253="Grøntsager i drivhus",Landbrug!E$51,1-Landbrug!E$51),1)</f>
        <v>-11780.444382862468</v>
      </c>
    </row>
    <row r="254" spans="1:10" x14ac:dyDescent="0.25">
      <c r="A254" t="str">
        <f>IF('[1]Processer - data'!A254&lt;&gt;"",'[1]Processer - data'!A254,"")</f>
        <v>Roemark</v>
      </c>
      <c r="B254" t="str">
        <f>IF('[1]Processer - data'!B254&lt;&gt;"",'[1]Processer - data'!B254,"")</f>
        <v>Konventionel</v>
      </c>
      <c r="C254" t="str">
        <f>IF('[1]Processer - data'!C254&lt;&gt;"",'[1]Processer - data'!C254,"")</f>
        <v>OC6</v>
      </c>
      <c r="D254" t="str">
        <f>IF('[1]Processer - data'!D254&lt;&gt;"",'[1]Processer - data'!D254,"")</f>
        <v>Areal-roer</v>
      </c>
      <c r="E254" t="str">
        <f>IF('[1]Processer - data'!E254&lt;&gt;"",'[1]Processer - data'!E254,"")</f>
        <v>Hektar</v>
      </c>
      <c r="F254" t="str">
        <f>IF('[1]Processer - data'!F254&lt;&gt;"",'[1]Processer - data'!F254,"")</f>
        <v>CO2 - atmosfære</v>
      </c>
      <c r="G254" t="str">
        <f>IF('[1]Processer - data'!G254&lt;&gt;"",'[1]Processer - data'!G254,"")</f>
        <v>t CO2-ækvivalenter</v>
      </c>
      <c r="H254" s="297">
        <f>IF($A254&lt;&gt;"",IF(VLOOKUP($A254,[1]!Table1[#All],2,FALSE)="Direkte input",IF($A254&lt;&gt;"Grøntsager i drivhus",SUMIFS('Direkte input'!G$3:G$230,'Direkte input'!$F$3:$F$230,$D254,'Direkte input'!$C$3:$C$230,$B254,'Direkte input'!$D$3:$D$230,$C254,'Direkte input'!$A$3:$A$230,$A$1),SUMIFS('Direkte input'!G$3:G$230,'Direkte input'!$F$3:$F$230,$D254,'Direkte input'!$C$3:$C$230,$B254,'Direkte input'!$A$3:$A$230,$A$1)),IF(VLOOKUP($A254,[1]!Table1[#All],2,FALSE)="Resultat",SUMIF($F$1:$F253,$D254,H$1:H253)+SUMIF($F255:$F$512,$D254,H255:H$512),0))*'[1]Processer - data'!H254,"")*IF($C254&lt;&gt;"",IF($F254="Halm",Landbrug!C$16*Landbrug!C$17,IF(LEFT($D254,5)="Areal", IF($G254="Ton",Landbrug!C$18,1),1)),1)*IF($F254="Grøntsager",IF($A254="Grøntsager i drivhus",Landbrug!C$51,1-Landbrug!C$51),1)</f>
        <v>2079.7330887507887</v>
      </c>
      <c r="I254" s="298">
        <f>IF($A254&lt;&gt;"",IF(VLOOKUP($A254,[1]!Table1[#All],2,FALSE)="Direkte input",IF($A254&lt;&gt;"Grøntsager i drivhus",SUMIFS('Direkte input'!H$3:H$230,'Direkte input'!$F$3:$F$230,$D254,'Direkte input'!$C$3:$C$230,$B254,'Direkte input'!$D$3:$D$230,$C254,'Direkte input'!$A$3:$A$230,$A$1),SUMIFS('Direkte input'!H$3:H$230,'Direkte input'!$F$3:$F$230,$D254,'Direkte input'!$C$3:$C$230,$B254,'Direkte input'!$A$3:$A$230,$A$1)),IF(VLOOKUP($A254,[1]!Table1[#All],2,FALSE)="Resultat",SUMIF($F$1:$F253,$D254,I$1:I253)+SUMIF($F255:$F$512,$D254,I255:I$512),0))*'[1]Processer - data'!I254,"")*IF($C254&lt;&gt;"",IF($F254="Halm",Landbrug!D$16*Landbrug!D$17,IF(LEFT($D254,5)="Areal", IF($G254="Ton",Landbrug!D$18,1),1)),1)*IF($F254="Grøntsager",IF($A254="Grøntsager i drivhus",Landbrug!D$51,1-Landbrug!D$51),1)</f>
        <v>1881.1742010109242</v>
      </c>
      <c r="J254" s="299">
        <f>IF($A254&lt;&gt;"",IF(VLOOKUP($A254,[1]!Table1[#All],2,FALSE)="Direkte input",IF($A254&lt;&gt;"Grøntsager i drivhus",SUMIFS('Direkte input'!I$3:I$230,'Direkte input'!$F$3:$F$230,$D254,'Direkte input'!$C$3:$C$230,$B254,'Direkte input'!$D$3:$D$230,$C254,'Direkte input'!$A$3:$A$230,$A$1),SUMIFS('Direkte input'!I$3:I$230,'Direkte input'!$F$3:$F$230,$D254,'Direkte input'!$C$3:$C$230,$B254,'Direkte input'!$A$3:$A$230,$A$1)),IF(VLOOKUP($A254,[1]!Table1[#All],2,FALSE)="Resultat",SUMIF($F$1:$F253,$D254,J$1:J253)+SUMIF($F255:$F$512,$D254,J255:J$512),0))*'[1]Processer - data'!J254,"")*IF($C254&lt;&gt;"",IF($F254="Halm",Landbrug!E$16*Landbrug!E$17,IF(LEFT($D254,5)="Areal", IF($G254="Ton",Landbrug!E$18,1),1)),1)*IF($F254="Grøntsager",IF($A254="Grøntsager i drivhus",Landbrug!E$51,1-Landbrug!E$51),1)</f>
        <v>1794.1834865133092</v>
      </c>
    </row>
    <row r="255" spans="1:10" x14ac:dyDescent="0.25">
      <c r="A255" t="str">
        <f>IF('[1]Processer - data'!A255&lt;&gt;"",'[1]Processer - data'!A255,"")</f>
        <v>Roemark</v>
      </c>
      <c r="B255" t="str">
        <f>IF('[1]Processer - data'!B255&lt;&gt;"",'[1]Processer - data'!B255,"")</f>
        <v>Konventionel</v>
      </c>
      <c r="C255" t="str">
        <f>IF('[1]Processer - data'!C255&lt;&gt;"",'[1]Processer - data'!C255,"")</f>
        <v>OC12</v>
      </c>
      <c r="D255" t="str">
        <f>IF('[1]Processer - data'!D255&lt;&gt;"",'[1]Processer - data'!D255,"")</f>
        <v>Areal-roer</v>
      </c>
      <c r="E255" t="str">
        <f>IF('[1]Processer - data'!E255&lt;&gt;"",'[1]Processer - data'!E255,"")</f>
        <v>Hektar</v>
      </c>
      <c r="F255" t="str">
        <f>IF('[1]Processer - data'!F255&lt;&gt;"",'[1]Processer - data'!F255,"")</f>
        <v>Roer</v>
      </c>
      <c r="G255" t="str">
        <f>IF('[1]Processer - data'!G255&lt;&gt;"",'[1]Processer - data'!G255,"")</f>
        <v>Ton</v>
      </c>
      <c r="H255" s="297">
        <f>IF($A255&lt;&gt;"",IF(VLOOKUP($A255,[1]!Table1[#All],2,FALSE)="Direkte input",IF($A255&lt;&gt;"Grøntsager i drivhus",SUMIFS('Direkte input'!G$3:G$230,'Direkte input'!$F$3:$F$230,$D255,'Direkte input'!$C$3:$C$230,$B255,'Direkte input'!$D$3:$D$230,$C255,'Direkte input'!$A$3:$A$230,$A$1),SUMIFS('Direkte input'!G$3:G$230,'Direkte input'!$F$3:$F$230,$D255,'Direkte input'!$C$3:$C$230,$B255,'Direkte input'!$A$3:$A$230,$A$1)),IF(VLOOKUP($A255,[1]!Table1[#All],2,FALSE)="Resultat",SUMIF($F$1:$F254,$D255,H$1:H254)+SUMIF($F256:$F$512,$D255,H256:H$512),0))*'[1]Processer - data'!H255,"")*IF($C255&lt;&gt;"",IF($F255="Halm",Landbrug!C$16*Landbrug!C$17,IF(LEFT($D255,5)="Areal", IF($G255="Ton",Landbrug!C$18,1),1)),1)*IF($F255="Grøntsager",IF($A255="Grøntsager i drivhus",Landbrug!C$51,1-Landbrug!C$51),1)</f>
        <v>5511.424689612476</v>
      </c>
      <c r="I255" s="298">
        <f>IF($A255&lt;&gt;"",IF(VLOOKUP($A255,[1]!Table1[#All],2,FALSE)="Direkte input",IF($A255&lt;&gt;"Grøntsager i drivhus",SUMIFS('Direkte input'!H$3:H$230,'Direkte input'!$F$3:$F$230,$D255,'Direkte input'!$C$3:$C$230,$B255,'Direkte input'!$D$3:$D$230,$C255,'Direkte input'!$A$3:$A$230,$A$1),SUMIFS('Direkte input'!H$3:H$230,'Direkte input'!$F$3:$F$230,$D255,'Direkte input'!$C$3:$C$230,$B255,'Direkte input'!$A$3:$A$230,$A$1)),IF(VLOOKUP($A255,[1]!Table1[#All],2,FALSE)="Resultat",SUMIF($F$1:$F254,$D255,I$1:I254)+SUMIF($F256:$F$512,$D255,I256:I$512),0))*'[1]Processer - data'!I255,"")*IF($C255&lt;&gt;"",IF($F255="Halm",Landbrug!D$16*Landbrug!D$17,IF(LEFT($D255,5)="Areal", IF($G255="Ton",Landbrug!D$18,1),1)),1)*IF($F255="Grøntsager",IF($A255="Grøntsager i drivhus",Landbrug!D$51,1-Landbrug!D$51),1)</f>
        <v>5386.4830312954264</v>
      </c>
      <c r="J255" s="299">
        <f>IF($A255&lt;&gt;"",IF(VLOOKUP($A255,[1]!Table1[#All],2,FALSE)="Direkte input",IF($A255&lt;&gt;"Grøntsager i drivhus",SUMIFS('Direkte input'!I$3:I$230,'Direkte input'!$F$3:$F$230,$D255,'Direkte input'!$C$3:$C$230,$B255,'Direkte input'!$D$3:$D$230,$C255,'Direkte input'!$A$3:$A$230,$A$1),SUMIFS('Direkte input'!I$3:I$230,'Direkte input'!$F$3:$F$230,$D255,'Direkte input'!$C$3:$C$230,$B255,'Direkte input'!$A$3:$A$230,$A$1)),IF(VLOOKUP($A255,[1]!Table1[#All],2,FALSE)="Resultat",SUMIF($F$1:$F254,$D255,J$1:J254)+SUMIF($F256:$F$512,$D255,J256:J$512),0))*'[1]Processer - data'!J255,"")*IF($C255&lt;&gt;"",IF($F255="Halm",Landbrug!E$16*Landbrug!E$17,IF(LEFT($D255,5)="Areal", IF($G255="Ton",Landbrug!E$18,1),1)),1)*IF($F255="Grøntsager",IF($A255="Grøntsager i drivhus",Landbrug!E$51,1-Landbrug!E$51),1)</f>
        <v>5511.2002587584502</v>
      </c>
    </row>
    <row r="256" spans="1:10" x14ac:dyDescent="0.25">
      <c r="A256" t="str">
        <f>IF('[1]Processer - data'!A256&lt;&gt;"",'[1]Processer - data'!A256,"")</f>
        <v>Roemark</v>
      </c>
      <c r="B256" t="str">
        <f>IF('[1]Processer - data'!B256&lt;&gt;"",'[1]Processer - data'!B256,"")</f>
        <v>Konventionel</v>
      </c>
      <c r="C256" t="str">
        <f>IF('[1]Processer - data'!C256&lt;&gt;"",'[1]Processer - data'!C256,"")</f>
        <v>OC12</v>
      </c>
      <c r="D256" t="str">
        <f>IF('[1]Processer - data'!D256&lt;&gt;"",'[1]Processer - data'!D256,"")</f>
        <v>Areal-roer</v>
      </c>
      <c r="E256" t="str">
        <f>IF('[1]Processer - data'!E256&lt;&gt;"",'[1]Processer - data'!E256,"")</f>
        <v>Hektar</v>
      </c>
      <c r="F256" t="str">
        <f>IF('[1]Processer - data'!F256&lt;&gt;"",'[1]Processer - data'!F256,"")</f>
        <v>Gødning</v>
      </c>
      <c r="G256" t="str">
        <f>IF('[1]Processer - data'!G256&lt;&gt;"",'[1]Processer - data'!G256,"")</f>
        <v>kg N</v>
      </c>
      <c r="H256" s="297">
        <f>IF($A256&lt;&gt;"",IF(VLOOKUP($A256,[1]!Table1[#All],2,FALSE)="Direkte input",IF($A256&lt;&gt;"Grøntsager i drivhus",SUMIFS('Direkte input'!G$3:G$230,'Direkte input'!$F$3:$F$230,$D256,'Direkte input'!$C$3:$C$230,$B256,'Direkte input'!$D$3:$D$230,$C256,'Direkte input'!$A$3:$A$230,$A$1),SUMIFS('Direkte input'!G$3:G$230,'Direkte input'!$F$3:$F$230,$D256,'Direkte input'!$C$3:$C$230,$B256,'Direkte input'!$A$3:$A$230,$A$1)),IF(VLOOKUP($A256,[1]!Table1[#All],2,FALSE)="Resultat",SUMIF($F$1:$F255,$D256,H$1:H255)+SUMIF($F257:$F$512,$D256,H257:H$512),0))*'[1]Processer - data'!H256,"")*IF($C256&lt;&gt;"",IF($F256="Halm",Landbrug!C$16*Landbrug!C$17,IF(LEFT($D256,5)="Areal", IF($G256="Ton",Landbrug!C$18,1),1)),1)*IF($F256="Grøntsager",IF($A256="Grøntsager i drivhus",Landbrug!C$51,1-Landbrug!C$51),1)</f>
        <v>-3633.7395120844308</v>
      </c>
      <c r="I256" s="298">
        <f>IF($A256&lt;&gt;"",IF(VLOOKUP($A256,[1]!Table1[#All],2,FALSE)="Direkte input",IF($A256&lt;&gt;"Grøntsager i drivhus",SUMIFS('Direkte input'!H$3:H$230,'Direkte input'!$F$3:$F$230,$D256,'Direkte input'!$C$3:$C$230,$B256,'Direkte input'!$D$3:$D$230,$C256,'Direkte input'!$A$3:$A$230,$A$1),SUMIFS('Direkte input'!H$3:H$230,'Direkte input'!$F$3:$F$230,$D256,'Direkte input'!$C$3:$C$230,$B256,'Direkte input'!$A$3:$A$230,$A$1)),IF(VLOOKUP($A256,[1]!Table1[#All],2,FALSE)="Resultat",SUMIF($F$1:$F255,$D256,I$1:I255)+SUMIF($F257:$F$512,$D256,I257:I$512),0))*'[1]Processer - data'!I256,"")*IF($C256&lt;&gt;"",IF($F256="Halm",Landbrug!D$16*Landbrug!D$17,IF(LEFT($D256,5)="Areal", IF($G256="Ton",Landbrug!D$18,1),1)),1)*IF($F256="Grøntsager",IF($A256="Grøntsager i drivhus",Landbrug!D$51,1-Landbrug!D$51),1)</f>
        <v>-3312.8397199009801</v>
      </c>
      <c r="J256" s="299">
        <f>IF($A256&lt;&gt;"",IF(VLOOKUP($A256,[1]!Table1[#All],2,FALSE)="Direkte input",IF($A256&lt;&gt;"Grøntsager i drivhus",SUMIFS('Direkte input'!I$3:I$230,'Direkte input'!$F$3:$F$230,$D256,'Direkte input'!$C$3:$C$230,$B256,'Direkte input'!$D$3:$D$230,$C256,'Direkte input'!$A$3:$A$230,$A$1),SUMIFS('Direkte input'!I$3:I$230,'Direkte input'!$F$3:$F$230,$D256,'Direkte input'!$C$3:$C$230,$B256,'Direkte input'!$A$3:$A$230,$A$1)),IF(VLOOKUP($A256,[1]!Table1[#All],2,FALSE)="Resultat",SUMIF($F$1:$F255,$D256,J$1:J255)+SUMIF($F257:$F$512,$D256,J257:J$512),0))*'[1]Processer - data'!J256,"")*IF($C256&lt;&gt;"",IF($F256="Halm",Landbrug!E$16*Landbrug!E$17,IF(LEFT($D256,5)="Areal", IF($G256="Ton",Landbrug!E$18,1),1)),1)*IF($F256="Grøntsager",IF($A256="Grøntsager i drivhus",Landbrug!E$51,1-Landbrug!E$51),1)</f>
        <v>-3159.6448195587386</v>
      </c>
    </row>
    <row r="257" spans="1:10" x14ac:dyDescent="0.25">
      <c r="A257" t="str">
        <f>IF('[1]Processer - data'!A257&lt;&gt;"",'[1]Processer - data'!A257,"")</f>
        <v>Roemark</v>
      </c>
      <c r="B257" t="str">
        <f>IF('[1]Processer - data'!B257&lt;&gt;"",'[1]Processer - data'!B257,"")</f>
        <v>Konventionel</v>
      </c>
      <c r="C257" t="str">
        <f>IF('[1]Processer - data'!C257&lt;&gt;"",'[1]Processer - data'!C257,"")</f>
        <v>OC12</v>
      </c>
      <c r="D257" t="str">
        <f>IF('[1]Processer - data'!D257&lt;&gt;"",'[1]Processer - data'!D257,"")</f>
        <v>Areal-roer</v>
      </c>
      <c r="E257" t="str">
        <f>IF('[1]Processer - data'!E257&lt;&gt;"",'[1]Processer - data'!E257,"")</f>
        <v>Hektar</v>
      </c>
      <c r="F257" t="str">
        <f>IF('[1]Processer - data'!F257&lt;&gt;"",'[1]Processer - data'!F257,"")</f>
        <v>CO2 - atmosfære</v>
      </c>
      <c r="G257" t="str">
        <f>IF('[1]Processer - data'!G257&lt;&gt;"",'[1]Processer - data'!G257,"")</f>
        <v>t CO2-ækvivalenter</v>
      </c>
      <c r="H257" s="297">
        <f>IF($A257&lt;&gt;"",IF(VLOOKUP($A257,[1]!Table1[#All],2,FALSE)="Direkte input",IF($A257&lt;&gt;"Grøntsager i drivhus",SUMIFS('Direkte input'!G$3:G$230,'Direkte input'!$F$3:$F$230,$D257,'Direkte input'!$C$3:$C$230,$B257,'Direkte input'!$D$3:$D$230,$C257,'Direkte input'!$A$3:$A$230,$A$1),SUMIFS('Direkte input'!G$3:G$230,'Direkte input'!$F$3:$F$230,$D257,'Direkte input'!$C$3:$C$230,$B257,'Direkte input'!$A$3:$A$230,$A$1)),IF(VLOOKUP($A257,[1]!Table1[#All],2,FALSE)="Resultat",SUMIF($F$1:$F256,$D257,H$1:H256)+SUMIF($F258:$F$512,$D257,H258:H$512),0))*'[1]Processer - data'!H257,"")*IF($C257&lt;&gt;"",IF($F257="Halm",Landbrug!C$16*Landbrug!C$17,IF(LEFT($D257,5)="Areal", IF($G257="Ton",Landbrug!C$18,1),1)),1)*IF($F257="Grøntsager",IF($A257="Grøntsager i drivhus",Landbrug!C$51,1-Landbrug!C$51),1)</f>
        <v>1984.1038654658307</v>
      </c>
      <c r="I257" s="298">
        <f>IF($A257&lt;&gt;"",IF(VLOOKUP($A257,[1]!Table1[#All],2,FALSE)="Direkte input",IF($A257&lt;&gt;"Grøntsager i drivhus",SUMIFS('Direkte input'!H$3:H$230,'Direkte input'!$F$3:$F$230,$D257,'Direkte input'!$C$3:$C$230,$B257,'Direkte input'!$D$3:$D$230,$C257,'Direkte input'!$A$3:$A$230,$A$1),SUMIFS('Direkte input'!H$3:H$230,'Direkte input'!$F$3:$F$230,$D257,'Direkte input'!$C$3:$C$230,$B257,'Direkte input'!$A$3:$A$230,$A$1)),IF(VLOOKUP($A257,[1]!Table1[#All],2,FALSE)="Resultat",SUMIF($F$1:$F256,$D257,I$1:I256)+SUMIF($F258:$F$512,$D257,I258:I$512),0))*'[1]Processer - data'!I257,"")*IF($C257&lt;&gt;"",IF($F257="Halm",Landbrug!D$16*Landbrug!D$17,IF(LEFT($D257,5)="Areal", IF($G257="Ton",Landbrug!D$18,1),1)),1)*IF($F257="Grøntsager",IF($A257="Grøntsager i drivhus",Landbrug!D$51,1-Landbrug!D$51),1)</f>
        <v>1808.8853293046807</v>
      </c>
      <c r="J257" s="299">
        <f>IF($A257&lt;&gt;"",IF(VLOOKUP($A257,[1]!Table1[#All],2,FALSE)="Direkte input",IF($A257&lt;&gt;"Grøntsager i drivhus",SUMIFS('Direkte input'!I$3:I$230,'Direkte input'!$F$3:$F$230,$D257,'Direkte input'!$C$3:$C$230,$B257,'Direkte input'!$D$3:$D$230,$C257,'Direkte input'!$A$3:$A$230,$A$1),SUMIFS('Direkte input'!I$3:I$230,'Direkte input'!$F$3:$F$230,$D257,'Direkte input'!$C$3:$C$230,$B257,'Direkte input'!$A$3:$A$230,$A$1)),IF(VLOOKUP($A257,[1]!Table1[#All],2,FALSE)="Resultat",SUMIF($F$1:$F256,$D257,J$1:J256)+SUMIF($F258:$F$512,$D257,J258:J$512),0))*'[1]Processer - data'!J257,"")*IF($C257&lt;&gt;"",IF($F257="Halm",Landbrug!E$16*Landbrug!E$17,IF(LEFT($D257,5)="Areal", IF($G257="Ton",Landbrug!E$18,1),1)),1)*IF($F257="Grøntsager",IF($A257="Grøntsager i drivhus",Landbrug!E$51,1-Landbrug!E$51),1)</f>
        <v>1725.2374528050423</v>
      </c>
    </row>
    <row r="258" spans="1:10" x14ac:dyDescent="0.25">
      <c r="A258" t="str">
        <f>IF('[1]Processer - data'!A258&lt;&gt;"",'[1]Processer - data'!A258,"")</f>
        <v>Roemark</v>
      </c>
      <c r="B258" t="str">
        <f>IF('[1]Processer - data'!B258&lt;&gt;"",'[1]Processer - data'!B258,"")</f>
        <v>Økologisk</v>
      </c>
      <c r="C258" t="str">
        <f>IF('[1]Processer - data'!C258&lt;&gt;"",'[1]Processer - data'!C258,"")</f>
        <v>JB1-10</v>
      </c>
      <c r="D258" t="str">
        <f>IF('[1]Processer - data'!D258&lt;&gt;"",'[1]Processer - data'!D258,"")</f>
        <v>Areal-roer</v>
      </c>
      <c r="E258" t="str">
        <f>IF('[1]Processer - data'!E258&lt;&gt;"",'[1]Processer - data'!E258,"")</f>
        <v>Hektar</v>
      </c>
      <c r="F258" t="str">
        <f>IF('[1]Processer - data'!F258&lt;&gt;"",'[1]Processer - data'!F258,"")</f>
        <v>Roer</v>
      </c>
      <c r="G258" t="str">
        <f>IF('[1]Processer - data'!G258&lt;&gt;"",'[1]Processer - data'!G258,"")</f>
        <v>Ton</v>
      </c>
      <c r="H258" s="297">
        <f>IF($A258&lt;&gt;"",IF(VLOOKUP($A258,[1]!Table1[#All],2,FALSE)="Direkte input",IF($A258&lt;&gt;"Grøntsager i drivhus",SUMIFS('Direkte input'!G$3:G$230,'Direkte input'!$F$3:$F$230,$D258,'Direkte input'!$C$3:$C$230,$B258,'Direkte input'!$D$3:$D$230,$C258,'Direkte input'!$A$3:$A$230,$A$1),SUMIFS('Direkte input'!G$3:G$230,'Direkte input'!$F$3:$F$230,$D258,'Direkte input'!$C$3:$C$230,$B258,'Direkte input'!$A$3:$A$230,$A$1)),IF(VLOOKUP($A258,[1]!Table1[#All],2,FALSE)="Resultat",SUMIF($F$1:$F257,$D258,H$1:H257)+SUMIF($F259:$F$512,$D258,H259:H$512),0))*'[1]Processer - data'!H258,"")*IF($C258&lt;&gt;"",IF($F258="Halm",Landbrug!C$16*Landbrug!C$17,IF(LEFT($D258,5)="Areal", IF($G258="Ton",Landbrug!C$18,1),1)),1)*IF($F258="Grøntsager",IF($A258="Grøntsager i drivhus",Landbrug!C$51,1-Landbrug!C$51),1)</f>
        <v>150383.86356838598</v>
      </c>
      <c r="I258" s="298">
        <f>IF($A258&lt;&gt;"",IF(VLOOKUP($A258,[1]!Table1[#All],2,FALSE)="Direkte input",IF($A258&lt;&gt;"Grøntsager i drivhus",SUMIFS('Direkte input'!H$3:H$230,'Direkte input'!$F$3:$F$230,$D258,'Direkte input'!$C$3:$C$230,$B258,'Direkte input'!$D$3:$D$230,$C258,'Direkte input'!$A$3:$A$230,$A$1),SUMIFS('Direkte input'!H$3:H$230,'Direkte input'!$F$3:$F$230,$D258,'Direkte input'!$C$3:$C$230,$B258,'Direkte input'!$A$3:$A$230,$A$1)),IF(VLOOKUP($A258,[1]!Table1[#All],2,FALSE)="Resultat",SUMIF($F$1:$F257,$D258,I$1:I257)+SUMIF($F259:$F$512,$D258,I259:I$512),0))*'[1]Processer - data'!I258,"")*IF($C258&lt;&gt;"",IF($F258="Halm",Landbrug!D$16*Landbrug!D$17,IF(LEFT($D258,5)="Areal", IF($G258="Ton",Landbrug!D$18,1),1)),1)*IF($F258="Grøntsager",IF($A258="Grøntsager i drivhus",Landbrug!D$51,1-Landbrug!D$51),1)</f>
        <v>191006.65548072415</v>
      </c>
      <c r="J258" s="299">
        <f>IF($A258&lt;&gt;"",IF(VLOOKUP($A258,[1]!Table1[#All],2,FALSE)="Direkte input",IF($A258&lt;&gt;"Grøntsager i drivhus",SUMIFS('Direkte input'!I$3:I$230,'Direkte input'!$F$3:$F$230,$D258,'Direkte input'!$C$3:$C$230,$B258,'Direkte input'!$D$3:$D$230,$C258,'Direkte input'!$A$3:$A$230,$A$1),SUMIFS('Direkte input'!I$3:I$230,'Direkte input'!$F$3:$F$230,$D258,'Direkte input'!$C$3:$C$230,$B258,'Direkte input'!$A$3:$A$230,$A$1)),IF(VLOOKUP($A258,[1]!Table1[#All],2,FALSE)="Resultat",SUMIF($F$1:$F257,$D258,J$1:J257)+SUMIF($F259:$F$512,$D258,J259:J$512),0))*'[1]Processer - data'!J258,"")*IF($C258&lt;&gt;"",IF($F258="Halm",Landbrug!E$16*Landbrug!E$17,IF(LEFT($D258,5)="Areal", IF($G258="Ton",Landbrug!E$18,1),1)),1)*IF($F258="Grøntsager",IF($A258="Grøntsager i drivhus",Landbrug!E$51,1-Landbrug!E$51),1)</f>
        <v>263167.45118840405</v>
      </c>
    </row>
    <row r="259" spans="1:10" x14ac:dyDescent="0.25">
      <c r="A259" t="str">
        <f>IF('[1]Processer - data'!A259&lt;&gt;"",'[1]Processer - data'!A259,"")</f>
        <v>Roemark</v>
      </c>
      <c r="B259" t="str">
        <f>IF('[1]Processer - data'!B259&lt;&gt;"",'[1]Processer - data'!B259,"")</f>
        <v>Økologisk</v>
      </c>
      <c r="C259" t="str">
        <f>IF('[1]Processer - data'!C259&lt;&gt;"",'[1]Processer - data'!C259,"")</f>
        <v>JB1-10</v>
      </c>
      <c r="D259" t="str">
        <f>IF('[1]Processer - data'!D259&lt;&gt;"",'[1]Processer - data'!D259,"")</f>
        <v>Areal-roer</v>
      </c>
      <c r="E259" t="str">
        <f>IF('[1]Processer - data'!E259&lt;&gt;"",'[1]Processer - data'!E259,"")</f>
        <v>Hektar</v>
      </c>
      <c r="F259" t="str">
        <f>IF('[1]Processer - data'!F259&lt;&gt;"",'[1]Processer - data'!F259,"")</f>
        <v>Gødning</v>
      </c>
      <c r="G259" t="str">
        <f>IF('[1]Processer - data'!G259&lt;&gt;"",'[1]Processer - data'!G259,"")</f>
        <v>kg N</v>
      </c>
      <c r="H259" s="297">
        <f>IF($A259&lt;&gt;"",IF(VLOOKUP($A259,[1]!Table1[#All],2,FALSE)="Direkte input",IF($A259&lt;&gt;"Grøntsager i drivhus",SUMIFS('Direkte input'!G$3:G$230,'Direkte input'!$F$3:$F$230,$D259,'Direkte input'!$C$3:$C$230,$B259,'Direkte input'!$D$3:$D$230,$C259,'Direkte input'!$A$3:$A$230,$A$1),SUMIFS('Direkte input'!G$3:G$230,'Direkte input'!$F$3:$F$230,$D259,'Direkte input'!$C$3:$C$230,$B259,'Direkte input'!$A$3:$A$230,$A$1)),IF(VLOOKUP($A259,[1]!Table1[#All],2,FALSE)="Resultat",SUMIF($F$1:$F258,$D259,H$1:H258)+SUMIF($F260:$F$512,$D259,H260:H$512),0))*'[1]Processer - data'!H259,"")*IF($C259&lt;&gt;"",IF($F259="Halm",Landbrug!C$16*Landbrug!C$17,IF(LEFT($D259,5)="Areal", IF($G259="Ton",Landbrug!C$18,1),1)),1)*IF($F259="Grøntsager",IF($A259="Grøntsager i drivhus",Landbrug!C$51,1-Landbrug!C$51),1)</f>
        <v>-249857.09881999472</v>
      </c>
      <c r="I259" s="298">
        <f>IF($A259&lt;&gt;"",IF(VLOOKUP($A259,[1]!Table1[#All],2,FALSE)="Direkte input",IF($A259&lt;&gt;"Grøntsager i drivhus",SUMIFS('Direkte input'!H$3:H$230,'Direkte input'!$F$3:$F$230,$D259,'Direkte input'!$C$3:$C$230,$B259,'Direkte input'!$D$3:$D$230,$C259,'Direkte input'!$A$3:$A$230,$A$1),SUMIFS('Direkte input'!H$3:H$230,'Direkte input'!$F$3:$F$230,$D259,'Direkte input'!$C$3:$C$230,$B259,'Direkte input'!$A$3:$A$230,$A$1)),IF(VLOOKUP($A259,[1]!Table1[#All],2,FALSE)="Resultat",SUMIF($F$1:$F258,$D259,I$1:I258)+SUMIF($F260:$F$512,$D259,I260:I$512),0))*'[1]Processer - data'!I259,"")*IF($C259&lt;&gt;"",IF($F259="Halm",Landbrug!D$16*Landbrug!D$17,IF(LEFT($D259,5)="Areal", IF($G259="Ton",Landbrug!D$18,1),1)),1)*IF($F259="Grøntsager",IF($A259="Grøntsager i drivhus",Landbrug!D$51,1-Landbrug!D$51),1)</f>
        <v>-296035.75599166239</v>
      </c>
      <c r="J259" s="299">
        <f>IF($A259&lt;&gt;"",IF(VLOOKUP($A259,[1]!Table1[#All],2,FALSE)="Direkte input",IF($A259&lt;&gt;"Grøntsager i drivhus",SUMIFS('Direkte input'!I$3:I$230,'Direkte input'!$F$3:$F$230,$D259,'Direkte input'!$C$3:$C$230,$B259,'Direkte input'!$D$3:$D$230,$C259,'Direkte input'!$A$3:$A$230,$A$1),SUMIFS('Direkte input'!I$3:I$230,'Direkte input'!$F$3:$F$230,$D259,'Direkte input'!$C$3:$C$230,$B259,'Direkte input'!$A$3:$A$230,$A$1)),IF(VLOOKUP($A259,[1]!Table1[#All],2,FALSE)="Resultat",SUMIF($F$1:$F258,$D259,J$1:J258)+SUMIF($F260:$F$512,$D259,J260:J$512),0))*'[1]Processer - data'!J259,"")*IF($C259&lt;&gt;"",IF($F259="Halm",Landbrug!E$16*Landbrug!E$17,IF(LEFT($D259,5)="Areal", IF($G259="Ton",Landbrug!E$18,1),1)),1)*IF($F259="Grøntsager",IF($A259="Grøntsager i drivhus",Landbrug!E$51,1-Landbrug!E$51),1)</f>
        <v>-380211.0973387718</v>
      </c>
    </row>
    <row r="260" spans="1:10" x14ac:dyDescent="0.25">
      <c r="A260" t="str">
        <f>IF('[1]Processer - data'!A260&lt;&gt;"",'[1]Processer - data'!A260,"")</f>
        <v>Roemark</v>
      </c>
      <c r="B260" t="str">
        <f>IF('[1]Processer - data'!B260&lt;&gt;"",'[1]Processer - data'!B260,"")</f>
        <v>Økologisk</v>
      </c>
      <c r="C260" t="str">
        <f>IF('[1]Processer - data'!C260&lt;&gt;"",'[1]Processer - data'!C260,"")</f>
        <v>JB1-10</v>
      </c>
      <c r="D260" t="str">
        <f>IF('[1]Processer - data'!D260&lt;&gt;"",'[1]Processer - data'!D260,"")</f>
        <v>Areal-roer</v>
      </c>
      <c r="E260" t="str">
        <f>IF('[1]Processer - data'!E260&lt;&gt;"",'[1]Processer - data'!E260,"")</f>
        <v>Hektar</v>
      </c>
      <c r="F260" t="str">
        <f>IF('[1]Processer - data'!F260&lt;&gt;"",'[1]Processer - data'!F260,"")</f>
        <v>CO2 - atmosfære</v>
      </c>
      <c r="G260" t="str">
        <f>IF('[1]Processer - data'!G260&lt;&gt;"",'[1]Processer - data'!G260,"")</f>
        <v>t CO2-ækvivalenter</v>
      </c>
      <c r="H260" s="297">
        <f>IF($A260&lt;&gt;"",IF(VLOOKUP($A260,[1]!Table1[#All],2,FALSE)="Direkte input",IF($A260&lt;&gt;"Grøntsager i drivhus",SUMIFS('Direkte input'!G$3:G$230,'Direkte input'!$F$3:$F$230,$D260,'Direkte input'!$C$3:$C$230,$B260,'Direkte input'!$D$3:$D$230,$C260,'Direkte input'!$A$3:$A$230,$A$1),SUMIFS('Direkte input'!G$3:G$230,'Direkte input'!$F$3:$F$230,$D260,'Direkte input'!$C$3:$C$230,$B260,'Direkte input'!$A$3:$A$230,$A$1)),IF(VLOOKUP($A260,[1]!Table1[#All],2,FALSE)="Resultat",SUMIF($F$1:$F259,$D260,H$1:H259)+SUMIF($F261:$F$512,$D260,H261:H$512),0))*'[1]Processer - data'!H260,"")*IF($C260&lt;&gt;"",IF($F260="Halm",Landbrug!C$16*Landbrug!C$17,IF(LEFT($D260,5)="Areal", IF($G260="Ton",Landbrug!C$18,1),1)),1)*IF($F260="Grøntsager",IF($A260="Grøntsager i drivhus",Landbrug!C$51,1-Landbrug!C$51),1)</f>
        <v>7382.6988728171564</v>
      </c>
      <c r="I260" s="298">
        <f>IF($A260&lt;&gt;"",IF(VLOOKUP($A260,[1]!Table1[#All],2,FALSE)="Direkte input",IF($A260&lt;&gt;"Grøntsager i drivhus",SUMIFS('Direkte input'!H$3:H$230,'Direkte input'!$F$3:$F$230,$D260,'Direkte input'!$C$3:$C$230,$B260,'Direkte input'!$D$3:$D$230,$C260,'Direkte input'!$A$3:$A$230,$A$1),SUMIFS('Direkte input'!H$3:H$230,'Direkte input'!$F$3:$F$230,$D260,'Direkte input'!$C$3:$C$230,$B260,'Direkte input'!$A$3:$A$230,$A$1)),IF(VLOOKUP($A260,[1]!Table1[#All],2,FALSE)="Resultat",SUMIF($F$1:$F259,$D260,I$1:I259)+SUMIF($F261:$F$512,$D260,I261:I$512),0))*'[1]Processer - data'!I260,"")*IF($C260&lt;&gt;"",IF($F260="Halm",Landbrug!D$16*Landbrug!D$17,IF(LEFT($D260,5)="Areal", IF($G260="Ton",Landbrug!D$18,1),1)),1)*IF($F260="Grøntsager",IF($A260="Grøntsager i drivhus",Landbrug!D$51,1-Landbrug!D$51),1)</f>
        <v>8747.1712926906166</v>
      </c>
      <c r="J260" s="299">
        <f>IF($A260&lt;&gt;"",IF(VLOOKUP($A260,[1]!Table1[#All],2,FALSE)="Direkte input",IF($A260&lt;&gt;"Grøntsager i drivhus",SUMIFS('Direkte input'!I$3:I$230,'Direkte input'!$F$3:$F$230,$D260,'Direkte input'!$C$3:$C$230,$B260,'Direkte input'!$D$3:$D$230,$C260,'Direkte input'!$A$3:$A$230,$A$1),SUMIFS('Direkte input'!I$3:I$230,'Direkte input'!$F$3:$F$230,$D260,'Direkte input'!$C$3:$C$230,$B260,'Direkte input'!$A$3:$A$230,$A$1)),IF(VLOOKUP($A260,[1]!Table1[#All],2,FALSE)="Resultat",SUMIF($F$1:$F259,$D260,J$1:J259)+SUMIF($F261:$F$512,$D260,J261:J$512),0))*'[1]Processer - data'!J260,"")*IF($C260&lt;&gt;"",IF($F260="Halm",Landbrug!E$16*Landbrug!E$17,IF(LEFT($D260,5)="Areal", IF($G260="Ton",Landbrug!E$18,1),1)),1)*IF($F260="Grøntsager",IF($A260="Grøntsager i drivhus",Landbrug!E$51,1-Landbrug!E$51),1)</f>
        <v>11234.357770950381</v>
      </c>
    </row>
    <row r="261" spans="1:10" x14ac:dyDescent="0.25">
      <c r="A261" t="str">
        <f>IF('[1]Processer - data'!A261&lt;&gt;"",'[1]Processer - data'!A261,"")</f>
        <v>Roemark</v>
      </c>
      <c r="B261" t="str">
        <f>IF('[1]Processer - data'!B261&lt;&gt;"",'[1]Processer - data'!B261,"")</f>
        <v>Økologisk</v>
      </c>
      <c r="C261" t="str">
        <f>IF('[1]Processer - data'!C261&lt;&gt;"",'[1]Processer - data'!C261,"")</f>
        <v>OC6</v>
      </c>
      <c r="D261" t="str">
        <f>IF('[1]Processer - data'!D261&lt;&gt;"",'[1]Processer - data'!D261,"")</f>
        <v>Areal-roer</v>
      </c>
      <c r="E261" t="str">
        <f>IF('[1]Processer - data'!E261&lt;&gt;"",'[1]Processer - data'!E261,"")</f>
        <v>Hektar</v>
      </c>
      <c r="F261" t="str">
        <f>IF('[1]Processer - data'!F261&lt;&gt;"",'[1]Processer - data'!F261,"")</f>
        <v>Roer</v>
      </c>
      <c r="G261" t="str">
        <f>IF('[1]Processer - data'!G261&lt;&gt;"",'[1]Processer - data'!G261,"")</f>
        <v>Ton</v>
      </c>
      <c r="H261" s="297">
        <f>IF($A261&lt;&gt;"",IF(VLOOKUP($A261,[1]!Table1[#All],2,FALSE)="Direkte input",IF($A261&lt;&gt;"Grøntsager i drivhus",SUMIFS('Direkte input'!G$3:G$230,'Direkte input'!$F$3:$F$230,$D261,'Direkte input'!$C$3:$C$230,$B261,'Direkte input'!$D$3:$D$230,$C261,'Direkte input'!$A$3:$A$230,$A$1),SUMIFS('Direkte input'!G$3:G$230,'Direkte input'!$F$3:$F$230,$D261,'Direkte input'!$C$3:$C$230,$B261,'Direkte input'!$A$3:$A$230,$A$1)),IF(VLOOKUP($A261,[1]!Table1[#All],2,FALSE)="Resultat",SUMIF($F$1:$F260,$D261,H$1:H260)+SUMIF($F262:$F$512,$D261,H262:H$512),0))*'[1]Processer - data'!H261,"")*IF($C261&lt;&gt;"",IF($F261="Halm",Landbrug!C$16*Landbrug!C$17,IF(LEFT($D261,5)="Areal", IF($G261="Ton",Landbrug!C$18,1),1)),1)*IF($F261="Grøntsager",IF($A261="Grøntsager i drivhus",Landbrug!C$51,1-Landbrug!C$51),1)</f>
        <v>924.17109192385647</v>
      </c>
      <c r="I261" s="298">
        <f>IF($A261&lt;&gt;"",IF(VLOOKUP($A261,[1]!Table1[#All],2,FALSE)="Direkte input",IF($A261&lt;&gt;"Grøntsager i drivhus",SUMIFS('Direkte input'!H$3:H$230,'Direkte input'!$F$3:$F$230,$D261,'Direkte input'!$C$3:$C$230,$B261,'Direkte input'!$D$3:$D$230,$C261,'Direkte input'!$A$3:$A$230,$A$1),SUMIFS('Direkte input'!H$3:H$230,'Direkte input'!$F$3:$F$230,$D261,'Direkte input'!$C$3:$C$230,$B261,'Direkte input'!$A$3:$A$230,$A$1)),IF(VLOOKUP($A261,[1]!Table1[#All],2,FALSE)="Resultat",SUMIF($F$1:$F260,$D261,I$1:I260)+SUMIF($F262:$F$512,$D261,I262:I$512),0))*'[1]Processer - data'!I261,"")*IF($C261&lt;&gt;"",IF($F261="Halm",Landbrug!D$16*Landbrug!D$17,IF(LEFT($D261,5)="Areal", IF($G261="Ton",Landbrug!D$18,1),1)),1)*IF($F261="Grøntsager",IF($A261="Grøntsager i drivhus",Landbrug!D$51,1-Landbrug!D$51),1)</f>
        <v>1093.821347574544</v>
      </c>
      <c r="J261" s="299">
        <f>IF($A261&lt;&gt;"",IF(VLOOKUP($A261,[1]!Table1[#All],2,FALSE)="Direkte input",IF($A261&lt;&gt;"Grøntsager i drivhus",SUMIFS('Direkte input'!I$3:I$230,'Direkte input'!$F$3:$F$230,$D261,'Direkte input'!$C$3:$C$230,$B261,'Direkte input'!$D$3:$D$230,$C261,'Direkte input'!$A$3:$A$230,$A$1),SUMIFS('Direkte input'!I$3:I$230,'Direkte input'!$F$3:$F$230,$D261,'Direkte input'!$C$3:$C$230,$B261,'Direkte input'!$A$3:$A$230,$A$1)),IF(VLOOKUP($A261,[1]!Table1[#All],2,FALSE)="Resultat",SUMIF($F$1:$F260,$D261,J$1:J260)+SUMIF($F262:$F$512,$D261,J262:J$512),0))*'[1]Processer - data'!J261,"")*IF($C261&lt;&gt;"",IF($F261="Halm",Landbrug!E$16*Landbrug!E$17,IF(LEFT($D261,5)="Areal", IF($G261="Ton",Landbrug!E$18,1),1)),1)*IF($F261="Grøntsager",IF($A261="Grøntsager i drivhus",Landbrug!E$51,1-Landbrug!E$51),1)</f>
        <v>1521.0858637325659</v>
      </c>
    </row>
    <row r="262" spans="1:10" x14ac:dyDescent="0.25">
      <c r="A262" t="str">
        <f>IF('[1]Processer - data'!A262&lt;&gt;"",'[1]Processer - data'!A262,"")</f>
        <v>Roemark</v>
      </c>
      <c r="B262" t="str">
        <f>IF('[1]Processer - data'!B262&lt;&gt;"",'[1]Processer - data'!B262,"")</f>
        <v>Økologisk</v>
      </c>
      <c r="C262" t="str">
        <f>IF('[1]Processer - data'!C262&lt;&gt;"",'[1]Processer - data'!C262,"")</f>
        <v>OC6</v>
      </c>
      <c r="D262" t="str">
        <f>IF('[1]Processer - data'!D262&lt;&gt;"",'[1]Processer - data'!D262,"")</f>
        <v>Areal-roer</v>
      </c>
      <c r="E262" t="str">
        <f>IF('[1]Processer - data'!E262&lt;&gt;"",'[1]Processer - data'!E262,"")</f>
        <v>Hektar</v>
      </c>
      <c r="F262" t="str">
        <f>IF('[1]Processer - data'!F262&lt;&gt;"",'[1]Processer - data'!F262,"")</f>
        <v>Gødning</v>
      </c>
      <c r="G262" t="str">
        <f>IF('[1]Processer - data'!G262&lt;&gt;"",'[1]Processer - data'!G262,"")</f>
        <v>kg N</v>
      </c>
      <c r="H262" s="297">
        <f>IF($A262&lt;&gt;"",IF(VLOOKUP($A262,[1]!Table1[#All],2,FALSE)="Direkte input",IF($A262&lt;&gt;"Grøntsager i drivhus",SUMIFS('Direkte input'!G$3:G$230,'Direkte input'!$F$3:$F$230,$D262,'Direkte input'!$C$3:$C$230,$B262,'Direkte input'!$D$3:$D$230,$C262,'Direkte input'!$A$3:$A$230,$A$1),SUMIFS('Direkte input'!G$3:G$230,'Direkte input'!$F$3:$F$230,$D262,'Direkte input'!$C$3:$C$230,$B262,'Direkte input'!$A$3:$A$230,$A$1)),IF(VLOOKUP($A262,[1]!Table1[#All],2,FALSE)="Resultat",SUMIF($F$1:$F261,$D262,H$1:H261)+SUMIF($F263:$F$512,$D262,H263:H$512),0))*'[1]Processer - data'!H262,"")*IF($C262&lt;&gt;"",IF($F262="Halm",Landbrug!C$16*Landbrug!C$17,IF(LEFT($D262,5)="Areal", IF($G262="Ton",Landbrug!C$18,1),1)),1)*IF($F262="Grøntsager",IF($A262="Grøntsager i drivhus",Landbrug!C$51,1-Landbrug!C$51),1)</f>
        <v>-995.21547141873782</v>
      </c>
      <c r="I262" s="298">
        <f>IF($A262&lt;&gt;"",IF(VLOOKUP($A262,[1]!Table1[#All],2,FALSE)="Direkte input",IF($A262&lt;&gt;"Grøntsager i drivhus",SUMIFS('Direkte input'!H$3:H$230,'Direkte input'!$F$3:$F$230,$D262,'Direkte input'!$C$3:$C$230,$B262,'Direkte input'!$D$3:$D$230,$C262,'Direkte input'!$A$3:$A$230,$A$1),SUMIFS('Direkte input'!H$3:H$230,'Direkte input'!$F$3:$F$230,$D262,'Direkte input'!$C$3:$C$230,$B262,'Direkte input'!$A$3:$A$230,$A$1)),IF(VLOOKUP($A262,[1]!Table1[#All],2,FALSE)="Resultat",SUMIF($F$1:$F261,$D262,I$1:I261)+SUMIF($F263:$F$512,$D262,I263:I$512),0))*'[1]Processer - data'!I262,"")*IF($C262&lt;&gt;"",IF($F262="Halm",Landbrug!D$16*Landbrug!D$17,IF(LEFT($D262,5)="Areal", IF($G262="Ton",Landbrug!D$18,1),1)),1)*IF($F262="Grøntsager",IF($A262="Grøntsager i drivhus",Landbrug!D$51,1-Landbrug!D$51),1)</f>
        <v>-1098.7941760742631</v>
      </c>
      <c r="J262" s="299">
        <f>IF($A262&lt;&gt;"",IF(VLOOKUP($A262,[1]!Table1[#All],2,FALSE)="Direkte input",IF($A262&lt;&gt;"Grøntsager i drivhus",SUMIFS('Direkte input'!I$3:I$230,'Direkte input'!$F$3:$F$230,$D262,'Direkte input'!$C$3:$C$230,$B262,'Direkte input'!$D$3:$D$230,$C262,'Direkte input'!$A$3:$A$230,$A$1),SUMIFS('Direkte input'!I$3:I$230,'Direkte input'!$F$3:$F$230,$D262,'Direkte input'!$C$3:$C$230,$B262,'Direkte input'!$A$3:$A$230,$A$1)),IF(VLOOKUP($A262,[1]!Table1[#All],2,FALSE)="Resultat",SUMIF($F$1:$F261,$D262,J$1:J261)+SUMIF($F263:$F$512,$D262,J263:J$512),0))*'[1]Processer - data'!J262,"")*IF($C262&lt;&gt;"",IF($F262="Halm",Landbrug!E$16*Landbrug!E$17,IF(LEFT($D262,5)="Areal", IF($G262="Ton",Landbrug!E$18,1),1)),1)*IF($F262="Grøntsager",IF($A262="Grøntsager i drivhus",Landbrug!E$51,1-Landbrug!E$51),1)</f>
        <v>-1424.3628208370076</v>
      </c>
    </row>
    <row r="263" spans="1:10" x14ac:dyDescent="0.25">
      <c r="A263" t="str">
        <f>IF('[1]Processer - data'!A263&lt;&gt;"",'[1]Processer - data'!A263,"")</f>
        <v>Roemark</v>
      </c>
      <c r="B263" t="str">
        <f>IF('[1]Processer - data'!B263&lt;&gt;"",'[1]Processer - data'!B263,"")</f>
        <v>Økologisk</v>
      </c>
      <c r="C263" t="str">
        <f>IF('[1]Processer - data'!C263&lt;&gt;"",'[1]Processer - data'!C263,"")</f>
        <v>OC6</v>
      </c>
      <c r="D263" t="str">
        <f>IF('[1]Processer - data'!D263&lt;&gt;"",'[1]Processer - data'!D263,"")</f>
        <v>Areal-roer</v>
      </c>
      <c r="E263" t="str">
        <f>IF('[1]Processer - data'!E263&lt;&gt;"",'[1]Processer - data'!E263,"")</f>
        <v>Hektar</v>
      </c>
      <c r="F263" t="str">
        <f>IF('[1]Processer - data'!F263&lt;&gt;"",'[1]Processer - data'!F263,"")</f>
        <v>CO2 - atmosfære</v>
      </c>
      <c r="G263" t="str">
        <f>IF('[1]Processer - data'!G263&lt;&gt;"",'[1]Processer - data'!G263,"")</f>
        <v>t CO2-ækvivalenter</v>
      </c>
      <c r="H263" s="297">
        <f>IF($A263&lt;&gt;"",IF(VLOOKUP($A263,[1]!Table1[#All],2,FALSE)="Direkte input",IF($A263&lt;&gt;"Grøntsager i drivhus",SUMIFS('Direkte input'!G$3:G$230,'Direkte input'!$F$3:$F$230,$D263,'Direkte input'!$C$3:$C$230,$B263,'Direkte input'!$D$3:$D$230,$C263,'Direkte input'!$A$3:$A$230,$A$1),SUMIFS('Direkte input'!G$3:G$230,'Direkte input'!$F$3:$F$230,$D263,'Direkte input'!$C$3:$C$230,$B263,'Direkte input'!$A$3:$A$230,$A$1)),IF(VLOOKUP($A263,[1]!Table1[#All],2,FALSE)="Resultat",SUMIF($F$1:$F262,$D263,H$1:H262)+SUMIF($F264:$F$512,$D263,H264:H$512),0))*'[1]Processer - data'!H263,"")*IF($C263&lt;&gt;"",IF($F263="Halm",Landbrug!C$16*Landbrug!C$17,IF(LEFT($D263,5)="Areal", IF($G263="Ton",Landbrug!C$18,1),1)),1)*IF($F263="Grøntsager",IF($A263="Grøntsager i drivhus",Landbrug!C$51,1-Landbrug!C$51),1)</f>
        <v>265.91782203377477</v>
      </c>
      <c r="I263" s="298">
        <f>IF($A263&lt;&gt;"",IF(VLOOKUP($A263,[1]!Table1[#All],2,FALSE)="Direkte input",IF($A263&lt;&gt;"Grøntsager i drivhus",SUMIFS('Direkte input'!H$3:H$230,'Direkte input'!$F$3:$F$230,$D263,'Direkte input'!$C$3:$C$230,$B263,'Direkte input'!$D$3:$D$230,$C263,'Direkte input'!$A$3:$A$230,$A$1),SUMIFS('Direkte input'!H$3:H$230,'Direkte input'!$F$3:$F$230,$D263,'Direkte input'!$C$3:$C$230,$B263,'Direkte input'!$A$3:$A$230,$A$1)),IF(VLOOKUP($A263,[1]!Table1[#All],2,FALSE)="Resultat",SUMIF($F$1:$F262,$D263,I$1:I262)+SUMIF($F264:$F$512,$D263,I264:I$512),0))*'[1]Processer - data'!I263,"")*IF($C263&lt;&gt;"",IF($F263="Halm",Landbrug!D$16*Landbrug!D$17,IF(LEFT($D263,5)="Areal", IF($G263="Ton",Landbrug!D$18,1),1)),1)*IF($F263="Grøntsager",IF($A263="Grøntsager i drivhus",Landbrug!D$51,1-Landbrug!D$51),1)</f>
        <v>293.59366142945061</v>
      </c>
      <c r="J263" s="299">
        <f>IF($A263&lt;&gt;"",IF(VLOOKUP($A263,[1]!Table1[#All],2,FALSE)="Direkte input",IF($A263&lt;&gt;"Grøntsager i drivhus",SUMIFS('Direkte input'!I$3:I$230,'Direkte input'!$F$3:$F$230,$D263,'Direkte input'!$C$3:$C$230,$B263,'Direkte input'!$D$3:$D$230,$C263,'Direkte input'!$A$3:$A$230,$A$1),SUMIFS('Direkte input'!I$3:I$230,'Direkte input'!$F$3:$F$230,$D263,'Direkte input'!$C$3:$C$230,$B263,'Direkte input'!$A$3:$A$230,$A$1)),IF(VLOOKUP($A263,[1]!Table1[#All],2,FALSE)="Resultat",SUMIF($F$1:$F262,$D263,J$1:J262)+SUMIF($F264:$F$512,$D263,J264:J$512),0))*'[1]Processer - data'!J263,"")*IF($C263&lt;&gt;"",IF($F263="Halm",Landbrug!E$16*Landbrug!E$17,IF(LEFT($D263,5)="Areal", IF($G263="Ton",Landbrug!E$18,1),1)),1)*IF($F263="Grøntsager",IF($A263="Grøntsager i drivhus",Landbrug!E$51,1-Landbrug!E$51),1)</f>
        <v>380.58437592706565</v>
      </c>
    </row>
    <row r="264" spans="1:10" x14ac:dyDescent="0.25">
      <c r="A264" t="str">
        <f>IF('[1]Processer - data'!A264&lt;&gt;"",'[1]Processer - data'!A264,"")</f>
        <v>Roemark</v>
      </c>
      <c r="B264" t="str">
        <f>IF('[1]Processer - data'!B264&lt;&gt;"",'[1]Processer - data'!B264,"")</f>
        <v>Økologisk</v>
      </c>
      <c r="C264" t="str">
        <f>IF('[1]Processer - data'!C264&lt;&gt;"",'[1]Processer - data'!C264,"")</f>
        <v>OC12</v>
      </c>
      <c r="D264" t="str">
        <f>IF('[1]Processer - data'!D264&lt;&gt;"",'[1]Processer - data'!D264,"")</f>
        <v>Areal-roer</v>
      </c>
      <c r="E264" t="str">
        <f>IF('[1]Processer - data'!E264&lt;&gt;"",'[1]Processer - data'!E264,"")</f>
        <v>Hektar</v>
      </c>
      <c r="F264" t="str">
        <f>IF('[1]Processer - data'!F264&lt;&gt;"",'[1]Processer - data'!F264,"")</f>
        <v>Roer</v>
      </c>
      <c r="G264" t="str">
        <f>IF('[1]Processer - data'!G264&lt;&gt;"",'[1]Processer - data'!G264,"")</f>
        <v>Ton</v>
      </c>
      <c r="H264" s="297">
        <f>IF($A264&lt;&gt;"",IF(VLOOKUP($A264,[1]!Table1[#All],2,FALSE)="Direkte input",IF($A264&lt;&gt;"Grøntsager i drivhus",SUMIFS('Direkte input'!G$3:G$230,'Direkte input'!$F$3:$F$230,$D264,'Direkte input'!$C$3:$C$230,$B264,'Direkte input'!$D$3:$D$230,$C264,'Direkte input'!$A$3:$A$230,$A$1),SUMIFS('Direkte input'!G$3:G$230,'Direkte input'!$F$3:$F$230,$D264,'Direkte input'!$C$3:$C$230,$B264,'Direkte input'!$A$3:$A$230,$A$1)),IF(VLOOKUP($A264,[1]!Table1[#All],2,FALSE)="Resultat",SUMIF($F$1:$F263,$D264,H$1:H263)+SUMIF($F265:$F$512,$D264,H265:H$512),0))*'[1]Processer - data'!H264,"")*IF($C264&lt;&gt;"",IF($F264="Halm",Landbrug!C$16*Landbrug!C$17,IF(LEFT($D264,5)="Areal", IF($G264="Ton",Landbrug!C$18,1),1)),1)*IF($F264="Grøntsager",IF($A264="Grøntsager i drivhus",Landbrug!C$51,1-Landbrug!C$51),1)</f>
        <v>401.67849080469625</v>
      </c>
      <c r="I264" s="298">
        <f>IF($A264&lt;&gt;"",IF(VLOOKUP($A264,[1]!Table1[#All],2,FALSE)="Direkte input",IF($A264&lt;&gt;"Grøntsager i drivhus",SUMIFS('Direkte input'!H$3:H$230,'Direkte input'!$F$3:$F$230,$D264,'Direkte input'!$C$3:$C$230,$B264,'Direkte input'!$D$3:$D$230,$C264,'Direkte input'!$A$3:$A$230,$A$1),SUMIFS('Direkte input'!H$3:H$230,'Direkte input'!$F$3:$F$230,$D264,'Direkte input'!$C$3:$C$230,$B264,'Direkte input'!$A$3:$A$230,$A$1)),IF(VLOOKUP($A264,[1]!Table1[#All],2,FALSE)="Resultat",SUMIF($F$1:$F263,$D264,I$1:I263)+SUMIF($F265:$F$512,$D264,I265:I$512),0))*'[1]Processer - data'!I264,"")*IF($C264&lt;&gt;"",IF($F264="Halm",Landbrug!D$16*Landbrug!D$17,IF(LEFT($D264,5)="Areal", IF($G264="Ton",Landbrug!D$18,1),1)),1)*IF($F264="Grøntsager",IF($A264="Grøntsager i drivhus",Landbrug!D$51,1-Landbrug!D$51),1)</f>
        <v>479.17903960483591</v>
      </c>
      <c r="J264" s="299">
        <f>IF($A264&lt;&gt;"",IF(VLOOKUP($A264,[1]!Table1[#All],2,FALSE)="Direkte input",IF($A264&lt;&gt;"Grøntsager i drivhus",SUMIFS('Direkte input'!I$3:I$230,'Direkte input'!$F$3:$F$230,$D264,'Direkte input'!$C$3:$C$230,$B264,'Direkte input'!$D$3:$D$230,$C264,'Direkte input'!$A$3:$A$230,$A$1),SUMIFS('Direkte input'!I$3:I$230,'Direkte input'!$F$3:$F$230,$D264,'Direkte input'!$C$3:$C$230,$B264,'Direkte input'!$A$3:$A$230,$A$1)),IF(VLOOKUP($A264,[1]!Table1[#All],2,FALSE)="Resultat",SUMIF($F$1:$F263,$D264,J$1:J263)+SUMIF($F265:$F$512,$D264,J265:J$512),0))*'[1]Processer - data'!J264,"")*IF($C264&lt;&gt;"",IF($F264="Halm",Landbrug!E$16*Landbrug!E$17,IF(LEFT($D264,5)="Areal", IF($G264="Ton",Landbrug!E$18,1),1)),1)*IF($F264="Grøntsager",IF($A264="Grøntsager i drivhus",Landbrug!E$51,1-Landbrug!E$51),1)</f>
        <v>666.35421310443064</v>
      </c>
    </row>
    <row r="265" spans="1:10" x14ac:dyDescent="0.25">
      <c r="A265" t="str">
        <f>IF('[1]Processer - data'!A265&lt;&gt;"",'[1]Processer - data'!A265,"")</f>
        <v>Roemark</v>
      </c>
      <c r="B265" t="str">
        <f>IF('[1]Processer - data'!B265&lt;&gt;"",'[1]Processer - data'!B265,"")</f>
        <v>Økologisk</v>
      </c>
      <c r="C265" t="str">
        <f>IF('[1]Processer - data'!C265&lt;&gt;"",'[1]Processer - data'!C265,"")</f>
        <v>OC12</v>
      </c>
      <c r="D265" t="str">
        <f>IF('[1]Processer - data'!D265&lt;&gt;"",'[1]Processer - data'!D265,"")</f>
        <v>Areal-roer</v>
      </c>
      <c r="E265" t="str">
        <f>IF('[1]Processer - data'!E265&lt;&gt;"",'[1]Processer - data'!E265,"")</f>
        <v>Hektar</v>
      </c>
      <c r="F265" t="str">
        <f>IF('[1]Processer - data'!F265&lt;&gt;"",'[1]Processer - data'!F265,"")</f>
        <v>Gødning</v>
      </c>
      <c r="G265" t="str">
        <f>IF('[1]Processer - data'!G265&lt;&gt;"",'[1]Processer - data'!G265,"")</f>
        <v>kg N</v>
      </c>
      <c r="H265" s="297">
        <f>IF($A265&lt;&gt;"",IF(VLOOKUP($A265,[1]!Table1[#All],2,FALSE)="Direkte input",IF($A265&lt;&gt;"Grøntsager i drivhus",SUMIFS('Direkte input'!G$3:G$230,'Direkte input'!$F$3:$F$230,$D265,'Direkte input'!$C$3:$C$230,$B265,'Direkte input'!$D$3:$D$230,$C265,'Direkte input'!$A$3:$A$230,$A$1),SUMIFS('Direkte input'!G$3:G$230,'Direkte input'!$F$3:$F$230,$D265,'Direkte input'!$C$3:$C$230,$B265,'Direkte input'!$A$3:$A$230,$A$1)),IF(VLOOKUP($A265,[1]!Table1[#All],2,FALSE)="Resultat",SUMIF($F$1:$F264,$D265,H$1:H264)+SUMIF($F266:$F$512,$D265,H266:H$512),0))*'[1]Processer - data'!H265,"")*IF($C265&lt;&gt;"",IF($F265="Halm",Landbrug!C$16*Landbrug!C$17,IF(LEFT($D265,5)="Areal", IF($G265="Ton",Landbrug!C$18,1),1)),1)*IF($F265="Grøntsager",IF($A265="Grøntsager i drivhus",Landbrug!C$51,1-Landbrug!C$51),1)</f>
        <v>-264.83079882092983</v>
      </c>
      <c r="I265" s="298">
        <f>IF($A265&lt;&gt;"",IF(VLOOKUP($A265,[1]!Table1[#All],2,FALSE)="Direkte input",IF($A265&lt;&gt;"Grøntsager i drivhus",SUMIFS('Direkte input'!H$3:H$230,'Direkte input'!$F$3:$F$230,$D265,'Direkte input'!$C$3:$C$230,$B265,'Direkte input'!$D$3:$D$230,$C265,'Direkte input'!$A$3:$A$230,$A$1),SUMIFS('Direkte input'!H$3:H$230,'Direkte input'!$F$3:$F$230,$D265,'Direkte input'!$C$3:$C$230,$B265,'Direkte input'!$A$3:$A$230,$A$1)),IF(VLOOKUP($A265,[1]!Table1[#All],2,FALSE)="Resultat",SUMIF($F$1:$F264,$D265,I$1:I264)+SUMIF($F266:$F$512,$D265,I266:I$512),0))*'[1]Processer - data'!I265,"")*IF($C265&lt;&gt;"",IF($F265="Halm",Landbrug!D$16*Landbrug!D$17,IF(LEFT($D265,5)="Areal", IF($G265="Ton",Landbrug!D$18,1),1)),1)*IF($F265="Grøntsager",IF($A265="Grøntsager i drivhus",Landbrug!D$51,1-Landbrug!D$51),1)</f>
        <v>-294.70868953338777</v>
      </c>
      <c r="J265" s="299">
        <f>IF($A265&lt;&gt;"",IF(VLOOKUP($A265,[1]!Table1[#All],2,FALSE)="Direkte input",IF($A265&lt;&gt;"Grøntsager i drivhus",SUMIFS('Direkte input'!I$3:I$230,'Direkte input'!$F$3:$F$230,$D265,'Direkte input'!$C$3:$C$230,$B265,'Direkte input'!$D$3:$D$230,$C265,'Direkte input'!$A$3:$A$230,$A$1),SUMIFS('Direkte input'!I$3:I$230,'Direkte input'!$F$3:$F$230,$D265,'Direkte input'!$C$3:$C$230,$B265,'Direkte input'!$A$3:$A$230,$A$1)),IF(VLOOKUP($A265,[1]!Table1[#All],2,FALSE)="Resultat",SUMIF($F$1:$F264,$D265,J$1:J264)+SUMIF($F266:$F$512,$D265,J266:J$512),0))*'[1]Processer - data'!J265,"")*IF($C265&lt;&gt;"",IF($F265="Halm",Landbrug!E$16*Landbrug!E$17,IF(LEFT($D265,5)="Areal", IF($G265="Ton",Landbrug!E$18,1),1)),1)*IF($F265="Grøntsager",IF($A265="Grøntsager i drivhus",Landbrug!E$51,1-Landbrug!E$51),1)</f>
        <v>-382.02978272846559</v>
      </c>
    </row>
    <row r="266" spans="1:10" x14ac:dyDescent="0.25">
      <c r="A266" t="str">
        <f>IF('[1]Processer - data'!A266&lt;&gt;"",'[1]Processer - data'!A266,"")</f>
        <v>Roemark</v>
      </c>
      <c r="B266" t="str">
        <f>IF('[1]Processer - data'!B266&lt;&gt;"",'[1]Processer - data'!B266,"")</f>
        <v>Økologisk</v>
      </c>
      <c r="C266" t="str">
        <f>IF('[1]Processer - data'!C266&lt;&gt;"",'[1]Processer - data'!C266,"")</f>
        <v>OC12</v>
      </c>
      <c r="D266" t="str">
        <f>IF('[1]Processer - data'!D266&lt;&gt;"",'[1]Processer - data'!D266,"")</f>
        <v>Areal-roer</v>
      </c>
      <c r="E266" t="str">
        <f>IF('[1]Processer - data'!E266&lt;&gt;"",'[1]Processer - data'!E266,"")</f>
        <v>Hektar</v>
      </c>
      <c r="F266" t="str">
        <f>IF('[1]Processer - data'!F266&lt;&gt;"",'[1]Processer - data'!F266,"")</f>
        <v>CO2 - atmosfære</v>
      </c>
      <c r="G266" t="str">
        <f>IF('[1]Processer - data'!G266&lt;&gt;"",'[1]Processer - data'!G266,"")</f>
        <v>t CO2-ækvivalenter</v>
      </c>
      <c r="H266" s="297">
        <f>IF($A266&lt;&gt;"",IF(VLOOKUP($A266,[1]!Table1[#All],2,FALSE)="Direkte input",IF($A266&lt;&gt;"Grøntsager i drivhus",SUMIFS('Direkte input'!G$3:G$230,'Direkte input'!$F$3:$F$230,$D266,'Direkte input'!$C$3:$C$230,$B266,'Direkte input'!$D$3:$D$230,$C266,'Direkte input'!$A$3:$A$230,$A$1),SUMIFS('Direkte input'!G$3:G$230,'Direkte input'!$F$3:$F$230,$D266,'Direkte input'!$C$3:$C$230,$B266,'Direkte input'!$A$3:$A$230,$A$1)),IF(VLOOKUP($A266,[1]!Table1[#All],2,FALSE)="Resultat",SUMIF($F$1:$F265,$D266,H$1:H265)+SUMIF($F267:$F$512,$D266,H267:H$512),0))*'[1]Processer - data'!H266,"")*IF($C266&lt;&gt;"",IF($F266="Halm",Landbrug!C$16*Landbrug!C$17,IF(LEFT($D266,5)="Areal", IF($G266="Ton",Landbrug!C$18,1),1)),1)*IF($F266="Grøntsager",IF($A266="Grøntsager i drivhus",Landbrug!C$51,1-Landbrug!C$51),1)</f>
        <v>253.69052473477771</v>
      </c>
      <c r="I266" s="298">
        <f>IF($A266&lt;&gt;"",IF(VLOOKUP($A266,[1]!Table1[#All],2,FALSE)="Direkte input",IF($A266&lt;&gt;"Grøntsager i drivhus",SUMIFS('Direkte input'!H$3:H$230,'Direkte input'!$F$3:$F$230,$D266,'Direkte input'!$C$3:$C$230,$B266,'Direkte input'!$D$3:$D$230,$C266,'Direkte input'!$A$3:$A$230,$A$1),SUMIFS('Direkte input'!H$3:H$230,'Direkte input'!$F$3:$F$230,$D266,'Direkte input'!$C$3:$C$230,$B266,'Direkte input'!$A$3:$A$230,$A$1)),IF(VLOOKUP($A266,[1]!Table1[#All],2,FALSE)="Resultat",SUMIF($F$1:$F265,$D266,I$1:I265)+SUMIF($F267:$F$512,$D266,I267:I$512),0))*'[1]Processer - data'!I266,"")*IF($C266&lt;&gt;"",IF($F266="Halm",Landbrug!D$16*Landbrug!D$17,IF(LEFT($D266,5)="Areal", IF($G266="Ton",Landbrug!D$18,1),1)),1)*IF($F266="Grøntsager",IF($A266="Grøntsager i drivhus",Landbrug!D$51,1-Landbrug!D$51),1)</f>
        <v>282.31158318627968</v>
      </c>
      <c r="J266" s="299">
        <f>IF($A266&lt;&gt;"",IF(VLOOKUP($A266,[1]!Table1[#All],2,FALSE)="Direkte input",IF($A266&lt;&gt;"Grøntsager i drivhus",SUMIFS('Direkte input'!I$3:I$230,'Direkte input'!$F$3:$F$230,$D266,'Direkte input'!$C$3:$C$230,$B266,'Direkte input'!$D$3:$D$230,$C266,'Direkte input'!$A$3:$A$230,$A$1),SUMIFS('Direkte input'!I$3:I$230,'Direkte input'!$F$3:$F$230,$D266,'Direkte input'!$C$3:$C$230,$B266,'Direkte input'!$A$3:$A$230,$A$1)),IF(VLOOKUP($A266,[1]!Table1[#All],2,FALSE)="Resultat",SUMIF($F$1:$F265,$D266,J$1:J265)+SUMIF($F267:$F$512,$D266,J267:J$512),0))*'[1]Processer - data'!J266,"")*IF($C266&lt;&gt;"",IF($F266="Halm",Landbrug!E$16*Landbrug!E$17,IF(LEFT($D266,5)="Areal", IF($G266="Ton",Landbrug!E$18,1),1)),1)*IF($F266="Grøntsager",IF($A266="Grøntsager i drivhus",Landbrug!E$51,1-Landbrug!E$51),1)</f>
        <v>365.95945968591809</v>
      </c>
    </row>
    <row r="267" spans="1:10" x14ac:dyDescent="0.25">
      <c r="A267" t="str">
        <f>IF('[1]Processer - data'!A267&lt;&gt;"",'[1]Processer - data'!A267,"")</f>
        <v>Frugtmark</v>
      </c>
      <c r="B267" t="str">
        <f>IF('[1]Processer - data'!B267&lt;&gt;"",'[1]Processer - data'!B267,"")</f>
        <v>Konventionel</v>
      </c>
      <c r="C267" t="str">
        <f>IF('[1]Processer - data'!C267&lt;&gt;"",'[1]Processer - data'!C267,"")</f>
        <v>JB1-10</v>
      </c>
      <c r="D267" t="str">
        <f>IF('[1]Processer - data'!D267&lt;&gt;"",'[1]Processer - data'!D267,"")</f>
        <v>Areal-frugt</v>
      </c>
      <c r="E267" t="str">
        <f>IF('[1]Processer - data'!E267&lt;&gt;"",'[1]Processer - data'!E267,"")</f>
        <v>Hektar</v>
      </c>
      <c r="F267" t="str">
        <f>IF('[1]Processer - data'!F267&lt;&gt;"",'[1]Processer - data'!F267,"")</f>
        <v>Frugt</v>
      </c>
      <c r="G267" t="str">
        <f>IF('[1]Processer - data'!G267&lt;&gt;"",'[1]Processer - data'!G267,"")</f>
        <v>Ton</v>
      </c>
      <c r="H267" s="297">
        <f>IF($A267&lt;&gt;"",IF(VLOOKUP($A267,[1]!Table1[#All],2,FALSE)="Direkte input",IF($A267&lt;&gt;"Grøntsager i drivhus",SUMIFS('Direkte input'!G$3:G$230,'Direkte input'!$F$3:$F$230,$D267,'Direkte input'!$C$3:$C$230,$B267,'Direkte input'!$D$3:$D$230,$C267,'Direkte input'!$A$3:$A$230,$A$1),SUMIFS('Direkte input'!G$3:G$230,'Direkte input'!$F$3:$F$230,$D267,'Direkte input'!$C$3:$C$230,$B267,'Direkte input'!$A$3:$A$230,$A$1)),IF(VLOOKUP($A267,[1]!Table1[#All],2,FALSE)="Resultat",SUMIF($F$1:$F266,$D267,H$1:H266)+SUMIF($F268:$F$512,$D267,H268:H$512),0))*'[1]Processer - data'!H267,"")*IF($C267&lt;&gt;"",IF($F267="Halm",Landbrug!C$16*Landbrug!C$17,IF(LEFT($D267,5)="Areal", IF($G267="Ton",Landbrug!C$18,1),1)),1)*IF($F267="Grøntsager",IF($A267="Grøntsager i drivhus",Landbrug!C$51,1-Landbrug!C$51),1)</f>
        <v>14188.903001265586</v>
      </c>
      <c r="I267" s="298">
        <f>IF($A267&lt;&gt;"",IF(VLOOKUP($A267,[1]!Table1[#All],2,FALSE)="Direkte input",IF($A267&lt;&gt;"Grøntsager i drivhus",SUMIFS('Direkte input'!H$3:H$230,'Direkte input'!$F$3:$F$230,$D267,'Direkte input'!$C$3:$C$230,$B267,'Direkte input'!$D$3:$D$230,$C267,'Direkte input'!$A$3:$A$230,$A$1),SUMIFS('Direkte input'!H$3:H$230,'Direkte input'!$F$3:$F$230,$D267,'Direkte input'!$C$3:$C$230,$B267,'Direkte input'!$A$3:$A$230,$A$1)),IF(VLOOKUP($A267,[1]!Table1[#All],2,FALSE)="Resultat",SUMIF($F$1:$F266,$D267,I$1:I266)+SUMIF($F268:$F$512,$D267,I268:I$512),0))*'[1]Processer - data'!I267,"")*IF($C267&lt;&gt;"",IF($F267="Halm",Landbrug!D$16*Landbrug!D$17,IF(LEFT($D267,5)="Areal", IF($G267="Ton",Landbrug!D$18,1),1)),1)*IF($F267="Grøntsager",IF($A267="Grøntsager i drivhus",Landbrug!D$51,1-Landbrug!D$51),1)</f>
        <v>14764.483683199427</v>
      </c>
      <c r="J267" s="299">
        <f>IF($A267&lt;&gt;"",IF(VLOOKUP($A267,[1]!Table1[#All],2,FALSE)="Direkte input",IF($A267&lt;&gt;"Grøntsager i drivhus",SUMIFS('Direkte input'!I$3:I$230,'Direkte input'!$F$3:$F$230,$D267,'Direkte input'!$C$3:$C$230,$B267,'Direkte input'!$D$3:$D$230,$C267,'Direkte input'!$A$3:$A$230,$A$1),SUMIFS('Direkte input'!I$3:I$230,'Direkte input'!$F$3:$F$230,$D267,'Direkte input'!$C$3:$C$230,$B267,'Direkte input'!$A$3:$A$230,$A$1)),IF(VLOOKUP($A267,[1]!Table1[#All],2,FALSE)="Resultat",SUMIF($F$1:$F266,$D267,J$1:J266)+SUMIF($F268:$F$512,$D267,J268:J$512),0))*'[1]Processer - data'!J267,"")*IF($C267&lt;&gt;"",IF($F267="Halm",Landbrug!E$16*Landbrug!E$17,IF(LEFT($D267,5)="Areal", IF($G267="Ton",Landbrug!E$18,1),1)),1)*IF($F267="Grøntsager",IF($A267="Grøntsager i drivhus",Landbrug!E$51,1-Landbrug!E$51),1)</f>
        <v>14967.025521839831</v>
      </c>
    </row>
    <row r="268" spans="1:10" x14ac:dyDescent="0.25">
      <c r="A268" t="str">
        <f>IF('[1]Processer - data'!A268&lt;&gt;"",'[1]Processer - data'!A268,"")</f>
        <v>Frugtmark</v>
      </c>
      <c r="B268" t="str">
        <f>IF('[1]Processer - data'!B268&lt;&gt;"",'[1]Processer - data'!B268,"")</f>
        <v>Konventionel</v>
      </c>
      <c r="C268" t="str">
        <f>IF('[1]Processer - data'!C268&lt;&gt;"",'[1]Processer - data'!C268,"")</f>
        <v>JB1-10</v>
      </c>
      <c r="D268" t="str">
        <f>IF('[1]Processer - data'!D268&lt;&gt;"",'[1]Processer - data'!D268,"")</f>
        <v>Areal-frugt</v>
      </c>
      <c r="E268" t="str">
        <f>IF('[1]Processer - data'!E268&lt;&gt;"",'[1]Processer - data'!E268,"")</f>
        <v>Hektar</v>
      </c>
      <c r="F268" t="str">
        <f>IF('[1]Processer - data'!F268&lt;&gt;"",'[1]Processer - data'!F268,"")</f>
        <v>Gødning</v>
      </c>
      <c r="G268" t="str">
        <f>IF('[1]Processer - data'!G268&lt;&gt;"",'[1]Processer - data'!G268,"")</f>
        <v>kg N</v>
      </c>
      <c r="H268" s="297">
        <f>IF($A268&lt;&gt;"",IF(VLOOKUP($A268,[1]!Table1[#All],2,FALSE)="Direkte input",IF($A268&lt;&gt;"Grøntsager i drivhus",SUMIFS('Direkte input'!G$3:G$230,'Direkte input'!$F$3:$F$230,$D268,'Direkte input'!$C$3:$C$230,$B268,'Direkte input'!$D$3:$D$230,$C268,'Direkte input'!$A$3:$A$230,$A$1),SUMIFS('Direkte input'!G$3:G$230,'Direkte input'!$F$3:$F$230,$D268,'Direkte input'!$C$3:$C$230,$B268,'Direkte input'!$A$3:$A$230,$A$1)),IF(VLOOKUP($A268,[1]!Table1[#All],2,FALSE)="Resultat",SUMIF($F$1:$F267,$D268,H$1:H267)+SUMIF($F269:$F$512,$D268,H269:H$512),0))*'[1]Processer - data'!H268,"")*IF($C268&lt;&gt;"",IF($F268="Halm",Landbrug!C$16*Landbrug!C$17,IF(LEFT($D268,5)="Areal", IF($G268="Ton",Landbrug!C$18,1),1)),1)*IF($F268="Grøntsager",IF($A268="Grøntsager i drivhus",Landbrug!C$51,1-Landbrug!C$51),1)</f>
        <v>-233974.84336598136</v>
      </c>
      <c r="I268" s="298">
        <f>IF($A268&lt;&gt;"",IF(VLOOKUP($A268,[1]!Table1[#All],2,FALSE)="Direkte input",IF($A268&lt;&gt;"Grøntsager i drivhus",SUMIFS('Direkte input'!H$3:H$230,'Direkte input'!$F$3:$F$230,$D268,'Direkte input'!$C$3:$C$230,$B268,'Direkte input'!$D$3:$D$230,$C268,'Direkte input'!$A$3:$A$230,$A$1),SUMIFS('Direkte input'!H$3:H$230,'Direkte input'!$F$3:$F$230,$D268,'Direkte input'!$C$3:$C$230,$B268,'Direkte input'!$A$3:$A$230,$A$1)),IF(VLOOKUP($A268,[1]!Table1[#All],2,FALSE)="Resultat",SUMIF($F$1:$F267,$D268,I$1:I267)+SUMIF($F269:$F$512,$D268,I269:I$512),0))*'[1]Processer - data'!I268,"")*IF($C268&lt;&gt;"",IF($F268="Halm",Landbrug!D$16*Landbrug!D$17,IF(LEFT($D268,5)="Areal", IF($G268="Ton",Landbrug!D$18,1),1)),1)*IF($F268="Grøntsager",IF($A268="Grøntsager i drivhus",Landbrug!D$51,1-Landbrug!D$51),1)</f>
        <v>-227113.95711898981</v>
      </c>
      <c r="J268" s="299">
        <f>IF($A268&lt;&gt;"",IF(VLOOKUP($A268,[1]!Table1[#All],2,FALSE)="Direkte input",IF($A268&lt;&gt;"Grøntsager i drivhus",SUMIFS('Direkte input'!I$3:I$230,'Direkte input'!$F$3:$F$230,$D268,'Direkte input'!$C$3:$C$230,$B268,'Direkte input'!$D$3:$D$230,$C268,'Direkte input'!$A$3:$A$230,$A$1),SUMIFS('Direkte input'!I$3:I$230,'Direkte input'!$F$3:$F$230,$D268,'Direkte input'!$C$3:$C$230,$B268,'Direkte input'!$A$3:$A$230,$A$1)),IF(VLOOKUP($A268,[1]!Table1[#All],2,FALSE)="Resultat",SUMIF($F$1:$F267,$D268,J$1:J267)+SUMIF($F269:$F$512,$D268,J269:J$512),0))*'[1]Processer - data'!J268,"")*IF($C268&lt;&gt;"",IF($F268="Halm",Landbrug!E$16*Landbrug!E$17,IF(LEFT($D268,5)="Areal", IF($G268="Ton",Landbrug!E$18,1),1)),1)*IF($F268="Grøntsager",IF($A268="Grøntsager i drivhus",Landbrug!E$51,1-Landbrug!E$51),1)</f>
        <v>-214613.9778826831</v>
      </c>
    </row>
    <row r="269" spans="1:10" x14ac:dyDescent="0.25">
      <c r="A269" t="str">
        <f>IF('[1]Processer - data'!A269&lt;&gt;"",'[1]Processer - data'!A269,"")</f>
        <v>Frugtmark</v>
      </c>
      <c r="B269" t="str">
        <f>IF('[1]Processer - data'!B269&lt;&gt;"",'[1]Processer - data'!B269,"")</f>
        <v>Konventionel</v>
      </c>
      <c r="C269" t="str">
        <f>IF('[1]Processer - data'!C269&lt;&gt;"",'[1]Processer - data'!C269,"")</f>
        <v>JB1-10</v>
      </c>
      <c r="D269" t="str">
        <f>IF('[1]Processer - data'!D269&lt;&gt;"",'[1]Processer - data'!D269,"")</f>
        <v>Areal-frugt</v>
      </c>
      <c r="E269" t="str">
        <f>IF('[1]Processer - data'!E269&lt;&gt;"",'[1]Processer - data'!E269,"")</f>
        <v>Hektar</v>
      </c>
      <c r="F269" t="str">
        <f>IF('[1]Processer - data'!F269&lt;&gt;"",'[1]Processer - data'!F269,"")</f>
        <v>CO2 - atmosfære</v>
      </c>
      <c r="G269" t="str">
        <f>IF('[1]Processer - data'!G269&lt;&gt;"",'[1]Processer - data'!G269,"")</f>
        <v>t CO2-ækvivalenter</v>
      </c>
      <c r="H269" s="297">
        <f>IF($A269&lt;&gt;"",IF(VLOOKUP($A269,[1]!Table1[#All],2,FALSE)="Direkte input",IF($A269&lt;&gt;"Grøntsager i drivhus",SUMIFS('Direkte input'!G$3:G$230,'Direkte input'!$F$3:$F$230,$D269,'Direkte input'!$C$3:$C$230,$B269,'Direkte input'!$D$3:$D$230,$C269,'Direkte input'!$A$3:$A$230,$A$1),SUMIFS('Direkte input'!G$3:G$230,'Direkte input'!$F$3:$F$230,$D269,'Direkte input'!$C$3:$C$230,$B269,'Direkte input'!$A$3:$A$230,$A$1)),IF(VLOOKUP($A269,[1]!Table1[#All],2,FALSE)="Resultat",SUMIF($F$1:$F268,$D269,H$1:H268)+SUMIF($F270:$F$512,$D269,H270:H$512),0))*'[1]Processer - data'!H269,"")*IF($C269&lt;&gt;"",IF($F269="Halm",Landbrug!C$16*Landbrug!C$17,IF(LEFT($D269,5)="Areal", IF($G269="Ton",Landbrug!C$18,1),1)),1)*IF($F269="Grøntsager",IF($A269="Grøntsager i drivhus",Landbrug!C$51,1-Landbrug!C$51),1)</f>
        <v>3285.164512412875</v>
      </c>
      <c r="I269" s="298">
        <f>IF($A269&lt;&gt;"",IF(VLOOKUP($A269,[1]!Table1[#All],2,FALSE)="Direkte input",IF($A269&lt;&gt;"Grøntsager i drivhus",SUMIFS('Direkte input'!H$3:H$230,'Direkte input'!$F$3:$F$230,$D269,'Direkte input'!$C$3:$C$230,$B269,'Direkte input'!$D$3:$D$230,$C269,'Direkte input'!$A$3:$A$230,$A$1),SUMIFS('Direkte input'!H$3:H$230,'Direkte input'!$F$3:$F$230,$D269,'Direkte input'!$C$3:$C$230,$B269,'Direkte input'!$A$3:$A$230,$A$1)),IF(VLOOKUP($A269,[1]!Table1[#All],2,FALSE)="Resultat",SUMIF($F$1:$F268,$D269,I$1:I268)+SUMIF($F270:$F$512,$D269,I270:I$512),0))*'[1]Processer - data'!I269,"")*IF($C269&lt;&gt;"",IF($F269="Halm",Landbrug!D$16*Landbrug!D$17,IF(LEFT($D269,5)="Areal", IF($G269="Ton",Landbrug!D$18,1),1)),1)*IF($F269="Grøntsager",IF($A269="Grøntsager i drivhus",Landbrug!D$51,1-Landbrug!D$51),1)</f>
        <v>3188.8330449009477</v>
      </c>
      <c r="J269" s="299">
        <f>IF($A269&lt;&gt;"",IF(VLOOKUP($A269,[1]!Table1[#All],2,FALSE)="Direkte input",IF($A269&lt;&gt;"Grøntsager i drivhus",SUMIFS('Direkte input'!I$3:I$230,'Direkte input'!$F$3:$F$230,$D269,'Direkte input'!$C$3:$C$230,$B269,'Direkte input'!$D$3:$D$230,$C269,'Direkte input'!$A$3:$A$230,$A$1),SUMIFS('Direkte input'!I$3:I$230,'Direkte input'!$F$3:$F$230,$D269,'Direkte input'!$C$3:$C$230,$B269,'Direkte input'!$A$3:$A$230,$A$1)),IF(VLOOKUP($A269,[1]!Table1[#All],2,FALSE)="Resultat",SUMIF($F$1:$F268,$D269,J$1:J268)+SUMIF($F270:$F$512,$D269,J270:J$512),0))*'[1]Processer - data'!J269,"")*IF($C269&lt;&gt;"",IF($F269="Halm",Landbrug!E$16*Landbrug!E$17,IF(LEFT($D269,5)="Areal", IF($G269="Ton",Landbrug!E$18,1),1)),1)*IF($F269="Grøntsager",IF($A269="Grøntsager i drivhus",Landbrug!E$51,1-Landbrug!E$51),1)</f>
        <v>3013.3249107688525</v>
      </c>
    </row>
    <row r="270" spans="1:10" x14ac:dyDescent="0.25">
      <c r="A270" t="str">
        <f>IF('[1]Processer - data'!A270&lt;&gt;"",'[1]Processer - data'!A270,"")</f>
        <v>Frugtmark</v>
      </c>
      <c r="B270" t="str">
        <f>IF('[1]Processer - data'!B270&lt;&gt;"",'[1]Processer - data'!B270,"")</f>
        <v>Konventionel</v>
      </c>
      <c r="C270" t="str">
        <f>IF('[1]Processer - data'!C270&lt;&gt;"",'[1]Processer - data'!C270,"")</f>
        <v>OC6</v>
      </c>
      <c r="D270" t="str">
        <f>IF('[1]Processer - data'!D270&lt;&gt;"",'[1]Processer - data'!D270,"")</f>
        <v>Areal-frugt</v>
      </c>
      <c r="E270" t="str">
        <f>IF('[1]Processer - data'!E270&lt;&gt;"",'[1]Processer - data'!E270,"")</f>
        <v>Hektar</v>
      </c>
      <c r="F270" t="str">
        <f>IF('[1]Processer - data'!F270&lt;&gt;"",'[1]Processer - data'!F270,"")</f>
        <v>Frugt</v>
      </c>
      <c r="G270" t="str">
        <f>IF('[1]Processer - data'!G270&lt;&gt;"",'[1]Processer - data'!G270,"")</f>
        <v>Ton</v>
      </c>
      <c r="H270" s="297">
        <f>IF($A270&lt;&gt;"",IF(VLOOKUP($A270,[1]!Table1[#All],2,FALSE)="Direkte input",IF($A270&lt;&gt;"Grøntsager i drivhus",SUMIFS('Direkte input'!G$3:G$230,'Direkte input'!$F$3:$F$230,$D270,'Direkte input'!$C$3:$C$230,$B270,'Direkte input'!$D$3:$D$230,$C270,'Direkte input'!$A$3:$A$230,$A$1),SUMIFS('Direkte input'!G$3:G$230,'Direkte input'!$F$3:$F$230,$D270,'Direkte input'!$C$3:$C$230,$B270,'Direkte input'!$A$3:$A$230,$A$1)),IF(VLOOKUP($A270,[1]!Table1[#All],2,FALSE)="Resultat",SUMIF($F$1:$F269,$D270,H$1:H269)+SUMIF($F271:$F$512,$D270,H271:H$512),0))*'[1]Processer - data'!H270,"")*IF($C270&lt;&gt;"",IF($F270="Halm",Landbrug!C$16*Landbrug!C$17,IF(LEFT($D270,5)="Areal", IF($G270="Ton",Landbrug!C$18,1),1)),1)*IF($F270="Grøntsager",IF($A270="Grøntsager i drivhus",Landbrug!C$51,1-Landbrug!C$51),1)</f>
        <v>304.72891033323219</v>
      </c>
      <c r="I270" s="298">
        <f>IF($A270&lt;&gt;"",IF(VLOOKUP($A270,[1]!Table1[#All],2,FALSE)="Direkte input",IF($A270&lt;&gt;"Grøntsager i drivhus",SUMIFS('Direkte input'!H$3:H$230,'Direkte input'!$F$3:$F$230,$D270,'Direkte input'!$C$3:$C$230,$B270,'Direkte input'!$D$3:$D$230,$C270,'Direkte input'!$A$3:$A$230,$A$1),SUMIFS('Direkte input'!H$3:H$230,'Direkte input'!$F$3:$F$230,$D270,'Direkte input'!$C$3:$C$230,$B270,'Direkte input'!$A$3:$A$230,$A$1)),IF(VLOOKUP($A270,[1]!Table1[#All],2,FALSE)="Resultat",SUMIF($F$1:$F269,$D270,I$1:I269)+SUMIF($F271:$F$512,$D270,I271:I$512),0))*'[1]Processer - data'!I270,"")*IF($C270&lt;&gt;"",IF($F270="Halm",Landbrug!D$16*Landbrug!D$17,IF(LEFT($D270,5)="Areal", IF($G270="Ton",Landbrug!D$18,1),1)),1)*IF($F270="Grøntsager",IF($A270="Grøntsager i drivhus",Landbrug!D$51,1-Landbrug!D$51),1)</f>
        <v>295.48120169039657</v>
      </c>
      <c r="J270" s="299">
        <f>IF($A270&lt;&gt;"",IF(VLOOKUP($A270,[1]!Table1[#All],2,FALSE)="Direkte input",IF($A270&lt;&gt;"Grøntsager i drivhus",SUMIFS('Direkte input'!I$3:I$230,'Direkte input'!$F$3:$F$230,$D270,'Direkte input'!$C$3:$C$230,$B270,'Direkte input'!$D$3:$D$230,$C270,'Direkte input'!$A$3:$A$230,$A$1),SUMIFS('Direkte input'!I$3:I$230,'Direkte input'!$F$3:$F$230,$D270,'Direkte input'!$C$3:$C$230,$B270,'Direkte input'!$A$3:$A$230,$A$1)),IF(VLOOKUP($A270,[1]!Table1[#All],2,FALSE)="Resultat",SUMIF($F$1:$F269,$D270,J$1:J269)+SUMIF($F271:$F$512,$D270,J271:J$512),0))*'[1]Processer - data'!J270,"")*IF($C270&lt;&gt;"",IF($F270="Halm",Landbrug!E$16*Landbrug!E$17,IF(LEFT($D270,5)="Areal", IF($G270="Ton",Landbrug!E$18,1),1)),1)*IF($F270="Grøntsager",IF($A270="Grøntsager i drivhus",Landbrug!E$51,1-Landbrug!E$51),1)</f>
        <v>302.32269660055618</v>
      </c>
    </row>
    <row r="271" spans="1:10" x14ac:dyDescent="0.25">
      <c r="A271" t="str">
        <f>IF('[1]Processer - data'!A271&lt;&gt;"",'[1]Processer - data'!A271,"")</f>
        <v>Frugtmark</v>
      </c>
      <c r="B271" t="str">
        <f>IF('[1]Processer - data'!B271&lt;&gt;"",'[1]Processer - data'!B271,"")</f>
        <v>Konventionel</v>
      </c>
      <c r="C271" t="str">
        <f>IF('[1]Processer - data'!C271&lt;&gt;"",'[1]Processer - data'!C271,"")</f>
        <v>OC6</v>
      </c>
      <c r="D271" t="str">
        <f>IF('[1]Processer - data'!D271&lt;&gt;"",'[1]Processer - data'!D271,"")</f>
        <v>Areal-frugt</v>
      </c>
      <c r="E271" t="str">
        <f>IF('[1]Processer - data'!E271&lt;&gt;"",'[1]Processer - data'!E271,"")</f>
        <v>Hektar</v>
      </c>
      <c r="F271" t="str">
        <f>IF('[1]Processer - data'!F271&lt;&gt;"",'[1]Processer - data'!F271,"")</f>
        <v>Gødning</v>
      </c>
      <c r="G271" t="str">
        <f>IF('[1]Processer - data'!G271&lt;&gt;"",'[1]Processer - data'!G271,"")</f>
        <v>kg N</v>
      </c>
      <c r="H271" s="297">
        <f>IF($A271&lt;&gt;"",IF(VLOOKUP($A271,[1]!Table1[#All],2,FALSE)="Direkte input",IF($A271&lt;&gt;"Grøntsager i drivhus",SUMIFS('Direkte input'!G$3:G$230,'Direkte input'!$F$3:$F$230,$D271,'Direkte input'!$C$3:$C$230,$B271,'Direkte input'!$D$3:$D$230,$C271,'Direkte input'!$A$3:$A$230,$A$1),SUMIFS('Direkte input'!G$3:G$230,'Direkte input'!$F$3:$F$230,$D271,'Direkte input'!$C$3:$C$230,$B271,'Direkte input'!$A$3:$A$230,$A$1)),IF(VLOOKUP($A271,[1]!Table1[#All],2,FALSE)="Resultat",SUMIF($F$1:$F270,$D271,H$1:H270)+SUMIF($F272:$F$512,$D271,H272:H$512),0))*'[1]Processer - data'!H271,"")*IF($C271&lt;&gt;"",IF($F271="Halm",Landbrug!C$16*Landbrug!C$17,IF(LEFT($D271,5)="Areal", IF($G271="Ton",Landbrug!C$18,1),1)),1)*IF($F271="Grøntsager",IF($A271="Grøntsager i drivhus",Landbrug!C$51,1-Landbrug!C$51),1)</f>
        <v>-4187.4801184386051</v>
      </c>
      <c r="I271" s="298">
        <f>IF($A271&lt;&gt;"",IF(VLOOKUP($A271,[1]!Table1[#All],2,FALSE)="Direkte input",IF($A271&lt;&gt;"Grøntsager i drivhus",SUMIFS('Direkte input'!H$3:H$230,'Direkte input'!$F$3:$F$230,$D271,'Direkte input'!$C$3:$C$230,$B271,'Direkte input'!$D$3:$D$230,$C271,'Direkte input'!$A$3:$A$230,$A$1),SUMIFS('Direkte input'!H$3:H$230,'Direkte input'!$F$3:$F$230,$D271,'Direkte input'!$C$3:$C$230,$B271,'Direkte input'!$A$3:$A$230,$A$1)),IF(VLOOKUP($A271,[1]!Table1[#All],2,FALSE)="Resultat",SUMIF($F$1:$F270,$D271,I$1:I270)+SUMIF($F272:$F$512,$D271,I272:I$512),0))*'[1]Processer - data'!I271,"")*IF($C271&lt;&gt;"",IF($F271="Halm",Landbrug!D$16*Landbrug!D$17,IF(LEFT($D271,5)="Areal", IF($G271="Ton",Landbrug!D$18,1),1)),1)*IF($F271="Grøntsager",IF($A271="Grøntsager i drivhus",Landbrug!D$51,1-Landbrug!D$51),1)</f>
        <v>-3787.6877608292016</v>
      </c>
      <c r="J271" s="299">
        <f>IF($A271&lt;&gt;"",IF(VLOOKUP($A271,[1]!Table1[#All],2,FALSE)="Direkte input",IF($A271&lt;&gt;"Grøntsager i drivhus",SUMIFS('Direkte input'!I$3:I$230,'Direkte input'!$F$3:$F$230,$D271,'Direkte input'!$C$3:$C$230,$B271,'Direkte input'!$D$3:$D$230,$C271,'Direkte input'!$A$3:$A$230,$A$1),SUMIFS('Direkte input'!I$3:I$230,'Direkte input'!$F$3:$F$230,$D271,'Direkte input'!$C$3:$C$230,$B271,'Direkte input'!$A$3:$A$230,$A$1)),IF(VLOOKUP($A271,[1]!Table1[#All],2,FALSE)="Resultat",SUMIF($F$1:$F270,$D271,J$1:J270)+SUMIF($F272:$F$512,$D271,J272:J$512),0))*'[1]Processer - data'!J271,"")*IF($C271&lt;&gt;"",IF($F271="Halm",Landbrug!E$16*Landbrug!E$17,IF(LEFT($D271,5)="Areal", IF($G271="Ton",Landbrug!E$18,1),1)),1)*IF($F271="Grøntsager",IF($A271="Grøntsager i drivhus",Landbrug!E$51,1-Landbrug!E$51),1)</f>
        <v>-3612.5345695769847</v>
      </c>
    </row>
    <row r="272" spans="1:10" x14ac:dyDescent="0.25">
      <c r="A272" t="str">
        <f>IF('[1]Processer - data'!A272&lt;&gt;"",'[1]Processer - data'!A272,"")</f>
        <v>Frugtmark</v>
      </c>
      <c r="B272" t="str">
        <f>IF('[1]Processer - data'!B272&lt;&gt;"",'[1]Processer - data'!B272,"")</f>
        <v>Konventionel</v>
      </c>
      <c r="C272" t="str">
        <f>IF('[1]Processer - data'!C272&lt;&gt;"",'[1]Processer - data'!C272,"")</f>
        <v>OC6</v>
      </c>
      <c r="D272" t="str">
        <f>IF('[1]Processer - data'!D272&lt;&gt;"",'[1]Processer - data'!D272,"")</f>
        <v>Areal-frugt</v>
      </c>
      <c r="E272" t="str">
        <f>IF('[1]Processer - data'!E272&lt;&gt;"",'[1]Processer - data'!E272,"")</f>
        <v>Hektar</v>
      </c>
      <c r="F272" t="str">
        <f>IF('[1]Processer - data'!F272&lt;&gt;"",'[1]Processer - data'!F272,"")</f>
        <v>CO2 - atmosfære</v>
      </c>
      <c r="G272" t="str">
        <f>IF('[1]Processer - data'!G272&lt;&gt;"",'[1]Processer - data'!G272,"")</f>
        <v>t CO2-ækvivalenter</v>
      </c>
      <c r="H272" s="297">
        <f>IF($A272&lt;&gt;"",IF(VLOOKUP($A272,[1]!Table1[#All],2,FALSE)="Direkte input",IF($A272&lt;&gt;"Grøntsager i drivhus",SUMIFS('Direkte input'!G$3:G$230,'Direkte input'!$F$3:$F$230,$D272,'Direkte input'!$C$3:$C$230,$B272,'Direkte input'!$D$3:$D$230,$C272,'Direkte input'!$A$3:$A$230,$A$1),SUMIFS('Direkte input'!G$3:G$230,'Direkte input'!$F$3:$F$230,$D272,'Direkte input'!$C$3:$C$230,$B272,'Direkte input'!$A$3:$A$230,$A$1)),IF(VLOOKUP($A272,[1]!Table1[#All],2,FALSE)="Resultat",SUMIF($F$1:$F271,$D272,H$1:H271)+SUMIF($F273:$F$512,$D272,H273:H$512),0))*'[1]Processer - data'!H272,"")*IF($C272&lt;&gt;"",IF($F272="Halm",Landbrug!C$16*Landbrug!C$17,IF(LEFT($D272,5)="Areal", IF($G272="Ton",Landbrug!C$18,1),1)),1)*IF($F272="Grøntsager",IF($A272="Grøntsager i drivhus",Landbrug!C$51,1-Landbrug!C$51),1)</f>
        <v>318.89737994795877</v>
      </c>
      <c r="I272" s="298">
        <f>IF($A272&lt;&gt;"",IF(VLOOKUP($A272,[1]!Table1[#All],2,FALSE)="Direkte input",IF($A272&lt;&gt;"Grøntsager i drivhus",SUMIFS('Direkte input'!H$3:H$230,'Direkte input'!$F$3:$F$230,$D272,'Direkte input'!$C$3:$C$230,$B272,'Direkte input'!$D$3:$D$230,$C272,'Direkte input'!$A$3:$A$230,$A$1),SUMIFS('Direkte input'!H$3:H$230,'Direkte input'!$F$3:$F$230,$D272,'Direkte input'!$C$3:$C$230,$B272,'Direkte input'!$A$3:$A$230,$A$1)),IF(VLOOKUP($A272,[1]!Table1[#All],2,FALSE)="Resultat",SUMIF($F$1:$F271,$D272,I$1:I271)+SUMIF($F273:$F$512,$D272,I273:I$512),0))*'[1]Processer - data'!I272,"")*IF($C272&lt;&gt;"",IF($F272="Halm",Landbrug!D$16*Landbrug!D$17,IF(LEFT($D272,5)="Areal", IF($G272="Ton",Landbrug!D$18,1),1)),1)*IF($F272="Grøntsager",IF($A272="Grøntsager i drivhus",Landbrug!D$51,1-Landbrug!D$51),1)</f>
        <v>288.45120903875943</v>
      </c>
      <c r="J272" s="299">
        <f>IF($A272&lt;&gt;"",IF(VLOOKUP($A272,[1]!Table1[#All],2,FALSE)="Direkte input",IF($A272&lt;&gt;"Grøntsager i drivhus",SUMIFS('Direkte input'!I$3:I$230,'Direkte input'!$F$3:$F$230,$D272,'Direkte input'!$C$3:$C$230,$B272,'Direkte input'!$D$3:$D$230,$C272,'Direkte input'!$A$3:$A$230,$A$1),SUMIFS('Direkte input'!I$3:I$230,'Direkte input'!$F$3:$F$230,$D272,'Direkte input'!$C$3:$C$230,$B272,'Direkte input'!$A$3:$A$230,$A$1)),IF(VLOOKUP($A272,[1]!Table1[#All],2,FALSE)="Resultat",SUMIF($F$1:$F271,$D272,J$1:J271)+SUMIF($F273:$F$512,$D272,J273:J$512),0))*'[1]Processer - data'!J272,"")*IF($C272&lt;&gt;"",IF($F272="Halm",Landbrug!E$16*Landbrug!E$17,IF(LEFT($D272,5)="Areal", IF($G272="Ton",Landbrug!E$18,1),1)),1)*IF($F272="Grøntsager",IF($A272="Grøntsager i drivhus",Landbrug!E$51,1-Landbrug!E$51),1)</f>
        <v>275.11242480575322</v>
      </c>
    </row>
    <row r="273" spans="1:10" x14ac:dyDescent="0.25">
      <c r="A273" t="str">
        <f>IF('[1]Processer - data'!A273&lt;&gt;"",'[1]Processer - data'!A273,"")</f>
        <v>Frugtmark</v>
      </c>
      <c r="B273" t="str">
        <f>IF('[1]Processer - data'!B273&lt;&gt;"",'[1]Processer - data'!B273,"")</f>
        <v>Konventionel</v>
      </c>
      <c r="C273" t="str">
        <f>IF('[1]Processer - data'!C273&lt;&gt;"",'[1]Processer - data'!C273,"")</f>
        <v>OC12</v>
      </c>
      <c r="D273" t="str">
        <f>IF('[1]Processer - data'!D273&lt;&gt;"",'[1]Processer - data'!D273,"")</f>
        <v>Areal-frugt</v>
      </c>
      <c r="E273" t="str">
        <f>IF('[1]Processer - data'!E273&lt;&gt;"",'[1]Processer - data'!E273,"")</f>
        <v>Hektar</v>
      </c>
      <c r="F273" t="str">
        <f>IF('[1]Processer - data'!F273&lt;&gt;"",'[1]Processer - data'!F273,"")</f>
        <v>Frugt</v>
      </c>
      <c r="G273" t="str">
        <f>IF('[1]Processer - data'!G273&lt;&gt;"",'[1]Processer - data'!G273,"")</f>
        <v>Ton</v>
      </c>
      <c r="H273" s="297">
        <f>IF($A273&lt;&gt;"",IF(VLOOKUP($A273,[1]!Table1[#All],2,FALSE)="Direkte input",IF($A273&lt;&gt;"Grøntsager i drivhus",SUMIFS('Direkte input'!G$3:G$230,'Direkte input'!$F$3:$F$230,$D273,'Direkte input'!$C$3:$C$230,$B273,'Direkte input'!$D$3:$D$230,$C273,'Direkte input'!$A$3:$A$230,$A$1),SUMIFS('Direkte input'!G$3:G$230,'Direkte input'!$F$3:$F$230,$D273,'Direkte input'!$C$3:$C$230,$B273,'Direkte input'!$A$3:$A$230,$A$1)),IF(VLOOKUP($A273,[1]!Table1[#All],2,FALSE)="Resultat",SUMIF($F$1:$F272,$D273,H$1:H272)+SUMIF($F274:$F$512,$D273,H274:H$512),0))*'[1]Processer - data'!H273,"")*IF($C273&lt;&gt;"",IF($F273="Halm",Landbrug!C$16*Landbrug!C$17,IF(LEFT($D273,5)="Areal", IF($G273="Ton",Landbrug!C$18,1),1)),1)*IF($F273="Grøntsager",IF($A273="Grøntsager i drivhus",Landbrug!C$51,1-Landbrug!C$51),1)</f>
        <v>214.63978752894448</v>
      </c>
      <c r="I273" s="298">
        <f>IF($A273&lt;&gt;"",IF(VLOOKUP($A273,[1]!Table1[#All],2,FALSE)="Direkte input",IF($A273&lt;&gt;"Grøntsager i drivhus",SUMIFS('Direkte input'!H$3:H$230,'Direkte input'!$F$3:$F$230,$D273,'Direkte input'!$C$3:$C$230,$B273,'Direkte input'!$D$3:$D$230,$C273,'Direkte input'!$A$3:$A$230,$A$1),SUMIFS('Direkte input'!H$3:H$230,'Direkte input'!$F$3:$F$230,$D273,'Direkte input'!$C$3:$C$230,$B273,'Direkte input'!$A$3:$A$230,$A$1)),IF(VLOOKUP($A273,[1]!Table1[#All],2,FALSE)="Resultat",SUMIF($F$1:$F272,$D273,I$1:I272)+SUMIF($F274:$F$512,$D273,I274:I$512),0))*'[1]Processer - data'!I273,"")*IF($C273&lt;&gt;"",IF($F273="Halm",Landbrug!D$16*Landbrug!D$17,IF(LEFT($D273,5)="Areal", IF($G273="Ton",Landbrug!D$18,1),1)),1)*IF($F273="Grøntsager",IF($A273="Grøntsager i drivhus",Landbrug!D$51,1-Landbrug!D$51),1)</f>
        <v>209.77399465233506</v>
      </c>
      <c r="J273" s="299">
        <f>IF($A273&lt;&gt;"",IF(VLOOKUP($A273,[1]!Table1[#All],2,FALSE)="Direkte input",IF($A273&lt;&gt;"Grøntsager i drivhus",SUMIFS('Direkte input'!I$3:I$230,'Direkte input'!$F$3:$F$230,$D273,'Direkte input'!$C$3:$C$230,$B273,'Direkte input'!$D$3:$D$230,$C273,'Direkte input'!$A$3:$A$230,$A$1),SUMIFS('Direkte input'!I$3:I$230,'Direkte input'!$F$3:$F$230,$D273,'Direkte input'!$C$3:$C$230,$B273,'Direkte input'!$A$3:$A$230,$A$1)),IF(VLOOKUP($A273,[1]!Table1[#All],2,FALSE)="Resultat",SUMIF($F$1:$F272,$D273,J$1:J272)+SUMIF($F274:$F$512,$D273,J274:J$512),0))*'[1]Processer - data'!J273,"")*IF($C273&lt;&gt;"",IF($F273="Halm",Landbrug!E$16*Landbrug!E$17,IF(LEFT($D273,5)="Areal", IF($G273="Ton",Landbrug!E$18,1),1)),1)*IF($F273="Grøntsager",IF($A273="Grøntsager i drivhus",Landbrug!E$51,1-Landbrug!E$51),1)</f>
        <v>214.63104717712326</v>
      </c>
    </row>
    <row r="274" spans="1:10" x14ac:dyDescent="0.25">
      <c r="A274" t="str">
        <f>IF('[1]Processer - data'!A274&lt;&gt;"",'[1]Processer - data'!A274,"")</f>
        <v>Frugtmark</v>
      </c>
      <c r="B274" t="str">
        <f>IF('[1]Processer - data'!B274&lt;&gt;"",'[1]Processer - data'!B274,"")</f>
        <v>Konventionel</v>
      </c>
      <c r="C274" t="str">
        <f>IF('[1]Processer - data'!C274&lt;&gt;"",'[1]Processer - data'!C274,"")</f>
        <v>OC12</v>
      </c>
      <c r="D274" t="str">
        <f>IF('[1]Processer - data'!D274&lt;&gt;"",'[1]Processer - data'!D274,"")</f>
        <v>Areal-frugt</v>
      </c>
      <c r="E274" t="str">
        <f>IF('[1]Processer - data'!E274&lt;&gt;"",'[1]Processer - data'!E274,"")</f>
        <v>Hektar</v>
      </c>
      <c r="F274" t="str">
        <f>IF('[1]Processer - data'!F274&lt;&gt;"",'[1]Processer - data'!F274,"")</f>
        <v>Gødning</v>
      </c>
      <c r="G274" t="str">
        <f>IF('[1]Processer - data'!G274&lt;&gt;"",'[1]Processer - data'!G274,"")</f>
        <v>kg N</v>
      </c>
      <c r="H274" s="297">
        <f>IF($A274&lt;&gt;"",IF(VLOOKUP($A274,[1]!Table1[#All],2,FALSE)="Direkte input",IF($A274&lt;&gt;"Grøntsager i drivhus",SUMIFS('Direkte input'!G$3:G$230,'Direkte input'!$F$3:$F$230,$D274,'Direkte input'!$C$3:$C$230,$B274,'Direkte input'!$D$3:$D$230,$C274,'Direkte input'!$A$3:$A$230,$A$1),SUMIFS('Direkte input'!G$3:G$230,'Direkte input'!$F$3:$F$230,$D274,'Direkte input'!$C$3:$C$230,$B274,'Direkte input'!$A$3:$A$230,$A$1)),IF(VLOOKUP($A274,[1]!Table1[#All],2,FALSE)="Resultat",SUMIF($F$1:$F273,$D274,H$1:H273)+SUMIF($F275:$F$512,$D274,H275:H$512),0))*'[1]Processer - data'!H274,"")*IF($C274&lt;&gt;"",IF($F274="Halm",Landbrug!C$16*Landbrug!C$17,IF(LEFT($D274,5)="Areal", IF($G274="Ton",Landbrug!C$18,1),1)),1)*IF($F274="Grøntsager",IF($A274="Grøntsager i drivhus",Landbrug!C$51,1-Landbrug!C$51),1)</f>
        <v>-2528.1482630028795</v>
      </c>
      <c r="I274" s="298">
        <f>IF($A274&lt;&gt;"",IF(VLOOKUP($A274,[1]!Table1[#All],2,FALSE)="Direkte input",IF($A274&lt;&gt;"Grøntsager i drivhus",SUMIFS('Direkte input'!H$3:H$230,'Direkte input'!$F$3:$F$230,$D274,'Direkte input'!$C$3:$C$230,$B274,'Direkte input'!$D$3:$D$230,$C274,'Direkte input'!$A$3:$A$230,$A$1),SUMIFS('Direkte input'!H$3:H$230,'Direkte input'!$F$3:$F$230,$D274,'Direkte input'!$C$3:$C$230,$B274,'Direkte input'!$A$3:$A$230,$A$1)),IF(VLOOKUP($A274,[1]!Table1[#All],2,FALSE)="Resultat",SUMIF($F$1:$F273,$D274,I$1:I273)+SUMIF($F275:$F$512,$D274,I275:I$512),0))*'[1]Processer - data'!I274,"")*IF($C274&lt;&gt;"",IF($F274="Halm",Landbrug!D$16*Landbrug!D$17,IF(LEFT($D274,5)="Areal", IF($G274="Ton",Landbrug!D$18,1),1)),1)*IF($F274="Grøntsager",IF($A274="Grøntsager i drivhus",Landbrug!D$51,1-Landbrug!D$51),1)</f>
        <v>-2304.8845289051105</v>
      </c>
      <c r="J274" s="299">
        <f>IF($A274&lt;&gt;"",IF(VLOOKUP($A274,[1]!Table1[#All],2,FALSE)="Direkte input",IF($A274&lt;&gt;"Grøntsager i drivhus",SUMIFS('Direkte input'!I$3:I$230,'Direkte input'!$F$3:$F$230,$D274,'Direkte input'!$C$3:$C$230,$B274,'Direkte input'!$D$3:$D$230,$C274,'Direkte input'!$A$3:$A$230,$A$1),SUMIFS('Direkte input'!I$3:I$230,'Direkte input'!$F$3:$F$230,$D274,'Direkte input'!$C$3:$C$230,$B274,'Direkte input'!$A$3:$A$230,$A$1)),IF(VLOOKUP($A274,[1]!Table1[#All],2,FALSE)="Resultat",SUMIF($F$1:$F273,$D274,J$1:J273)+SUMIF($F275:$F$512,$D274,J275:J$512),0))*'[1]Processer - data'!J274,"")*IF($C274&lt;&gt;"",IF($F274="Halm",Landbrug!E$16*Landbrug!E$17,IF(LEFT($D274,5)="Areal", IF($G274="Ton",Landbrug!E$18,1),1)),1)*IF($F274="Grøntsager",IF($A274="Grøntsager i drivhus",Landbrug!E$51,1-Landbrug!E$51),1)</f>
        <v>-2198.3002732331984</v>
      </c>
    </row>
    <row r="275" spans="1:10" x14ac:dyDescent="0.25">
      <c r="A275" t="str">
        <f>IF('[1]Processer - data'!A275&lt;&gt;"",'[1]Processer - data'!A275,"")</f>
        <v>Frugtmark</v>
      </c>
      <c r="B275" t="str">
        <f>IF('[1]Processer - data'!B275&lt;&gt;"",'[1]Processer - data'!B275,"")</f>
        <v>Konventionel</v>
      </c>
      <c r="C275" t="str">
        <f>IF('[1]Processer - data'!C275&lt;&gt;"",'[1]Processer - data'!C275,"")</f>
        <v>OC12</v>
      </c>
      <c r="D275" t="str">
        <f>IF('[1]Processer - data'!D275&lt;&gt;"",'[1]Processer - data'!D275,"")</f>
        <v>Areal-frugt</v>
      </c>
      <c r="E275" t="str">
        <f>IF('[1]Processer - data'!E275&lt;&gt;"",'[1]Processer - data'!E275,"")</f>
        <v>Hektar</v>
      </c>
      <c r="F275" t="str">
        <f>IF('[1]Processer - data'!F275&lt;&gt;"",'[1]Processer - data'!F275,"")</f>
        <v>CO2 - atmosfære</v>
      </c>
      <c r="G275" t="str">
        <f>IF('[1]Processer - data'!G275&lt;&gt;"",'[1]Processer - data'!G275,"")</f>
        <v>t CO2-ækvivalenter</v>
      </c>
      <c r="H275" s="297">
        <f>IF($A275&lt;&gt;"",IF(VLOOKUP($A275,[1]!Table1[#All],2,FALSE)="Direkte input",IF($A275&lt;&gt;"Grøntsager i drivhus",SUMIFS('Direkte input'!G$3:G$230,'Direkte input'!$F$3:$F$230,$D275,'Direkte input'!$C$3:$C$230,$B275,'Direkte input'!$D$3:$D$230,$C275,'Direkte input'!$A$3:$A$230,$A$1),SUMIFS('Direkte input'!G$3:G$230,'Direkte input'!$F$3:$F$230,$D275,'Direkte input'!$C$3:$C$230,$B275,'Direkte input'!$A$3:$A$230,$A$1)),IF(VLOOKUP($A275,[1]!Table1[#All],2,FALSE)="Resultat",SUMIF($F$1:$F274,$D275,H$1:H274)+SUMIF($F276:$F$512,$D275,H276:H$512),0))*'[1]Processer - data'!H275,"")*IF($C275&lt;&gt;"",IF($F275="Halm",Landbrug!C$16*Landbrug!C$17,IF(LEFT($D275,5)="Areal", IF($G275="Ton",Landbrug!C$18,1),1)),1)*IF($F275="Grøntsager",IF($A275="Grøntsager i drivhus",Landbrug!C$51,1-Landbrug!C$51),1)</f>
        <v>514.68935076998105</v>
      </c>
      <c r="I275" s="298">
        <f>IF($A275&lt;&gt;"",IF(VLOOKUP($A275,[1]!Table1[#All],2,FALSE)="Direkte input",IF($A275&lt;&gt;"Grøntsager i drivhus",SUMIFS('Direkte input'!H$3:H$230,'Direkte input'!$F$3:$F$230,$D275,'Direkte input'!$C$3:$C$230,$B275,'Direkte input'!$D$3:$D$230,$C275,'Direkte input'!$A$3:$A$230,$A$1),SUMIFS('Direkte input'!H$3:H$230,'Direkte input'!$F$3:$F$230,$D275,'Direkte input'!$C$3:$C$230,$B275,'Direkte input'!$A$3:$A$230,$A$1)),IF(VLOOKUP($A275,[1]!Table1[#All],2,FALSE)="Resultat",SUMIF($F$1:$F274,$D275,I$1:I274)+SUMIF($F276:$F$512,$D275,I276:I$512),0))*'[1]Processer - data'!I275,"")*IF($C275&lt;&gt;"",IF($F275="Halm",Landbrug!D$16*Landbrug!D$17,IF(LEFT($D275,5)="Areal", IF($G275="Ton",Landbrug!D$18,1),1)),1)*IF($F275="Grøntsager",IF($A275="Grøntsager i drivhus",Landbrug!D$51,1-Landbrug!D$51),1)</f>
        <v>469.23653139427989</v>
      </c>
      <c r="J275" s="299">
        <f>IF($A275&lt;&gt;"",IF(VLOOKUP($A275,[1]!Table1[#All],2,FALSE)="Direkte input",IF($A275&lt;&gt;"Grøntsager i drivhus",SUMIFS('Direkte input'!I$3:I$230,'Direkte input'!$F$3:$F$230,$D275,'Direkte input'!$C$3:$C$230,$B275,'Direkte input'!$D$3:$D$230,$C275,'Direkte input'!$A$3:$A$230,$A$1),SUMIFS('Direkte input'!I$3:I$230,'Direkte input'!$F$3:$F$230,$D275,'Direkte input'!$C$3:$C$230,$B275,'Direkte input'!$A$3:$A$230,$A$1)),IF(VLOOKUP($A275,[1]!Table1[#All],2,FALSE)="Resultat",SUMIF($F$1:$F274,$D275,J$1:J274)+SUMIF($F276:$F$512,$D275,J276:J$512),0))*'[1]Processer - data'!J275,"")*IF($C275&lt;&gt;"",IF($F275="Halm",Landbrug!E$16*Landbrug!E$17,IF(LEFT($D275,5)="Areal", IF($G275="Ton",Landbrug!E$18,1),1)),1)*IF($F275="Grøntsager",IF($A275="Grøntsager i drivhus",Landbrug!E$51,1-Landbrug!E$51),1)</f>
        <v>447.53773225466006</v>
      </c>
    </row>
    <row r="276" spans="1:10" x14ac:dyDescent="0.25">
      <c r="A276" t="str">
        <f>IF('[1]Processer - data'!A276&lt;&gt;"",'[1]Processer - data'!A276,"")</f>
        <v>Frugtmark</v>
      </c>
      <c r="B276" t="str">
        <f>IF('[1]Processer - data'!B276&lt;&gt;"",'[1]Processer - data'!B276,"")</f>
        <v>Økologisk</v>
      </c>
      <c r="C276" t="str">
        <f>IF('[1]Processer - data'!C276&lt;&gt;"",'[1]Processer - data'!C276,"")</f>
        <v>JB1-10</v>
      </c>
      <c r="D276" t="str">
        <f>IF('[1]Processer - data'!D276&lt;&gt;"",'[1]Processer - data'!D276,"")</f>
        <v>Areal-frugt</v>
      </c>
      <c r="E276" t="str">
        <f>IF('[1]Processer - data'!E276&lt;&gt;"",'[1]Processer - data'!E276,"")</f>
        <v>Hektar</v>
      </c>
      <c r="F276" t="str">
        <f>IF('[1]Processer - data'!F276&lt;&gt;"",'[1]Processer - data'!F276,"")</f>
        <v>Frugt</v>
      </c>
      <c r="G276" t="str">
        <f>IF('[1]Processer - data'!G276&lt;&gt;"",'[1]Processer - data'!G276,"")</f>
        <v>Ton</v>
      </c>
      <c r="H276" s="297">
        <f>IF($A276&lt;&gt;"",IF(VLOOKUP($A276,[1]!Table1[#All],2,FALSE)="Direkte input",IF($A276&lt;&gt;"Grøntsager i drivhus",SUMIFS('Direkte input'!G$3:G$230,'Direkte input'!$F$3:$F$230,$D276,'Direkte input'!$C$3:$C$230,$B276,'Direkte input'!$D$3:$D$230,$C276,'Direkte input'!$A$3:$A$230,$A$1),SUMIFS('Direkte input'!G$3:G$230,'Direkte input'!$F$3:$F$230,$D276,'Direkte input'!$C$3:$C$230,$B276,'Direkte input'!$A$3:$A$230,$A$1)),IF(VLOOKUP($A276,[1]!Table1[#All],2,FALSE)="Resultat",SUMIF($F$1:$F275,$D276,H$1:H275)+SUMIF($F277:$F$512,$D276,H277:H$512),0))*'[1]Processer - data'!H276,"")*IF($C276&lt;&gt;"",IF($F276="Halm",Landbrug!C$16*Landbrug!C$17,IF(LEFT($D276,5)="Areal", IF($G276="Ton",Landbrug!C$18,1),1)),1)*IF($F276="Grøntsager",IF($A276="Grøntsager i drivhus",Landbrug!C$51,1-Landbrug!C$51),1)</f>
        <v>1034.1023355475302</v>
      </c>
      <c r="I276" s="298">
        <f>IF($A276&lt;&gt;"",IF(VLOOKUP($A276,[1]!Table1[#All],2,FALSE)="Direkte input",IF($A276&lt;&gt;"Grøntsager i drivhus",SUMIFS('Direkte input'!H$3:H$230,'Direkte input'!$F$3:$F$230,$D276,'Direkte input'!$C$3:$C$230,$B276,'Direkte input'!$D$3:$D$230,$C276,'Direkte input'!$A$3:$A$230,$A$1),SUMIFS('Direkte input'!H$3:H$230,'Direkte input'!$F$3:$F$230,$D276,'Direkte input'!$C$3:$C$230,$B276,'Direkte input'!$A$3:$A$230,$A$1)),IF(VLOOKUP($A276,[1]!Table1[#All],2,FALSE)="Resultat",SUMIF($F$1:$F275,$D276,I$1:I275)+SUMIF($F277:$F$512,$D276,I277:I$512),0))*'[1]Processer - data'!I276,"")*IF($C276&lt;&gt;"",IF($F276="Halm",Landbrug!D$16*Landbrug!D$17,IF(LEFT($D276,5)="Areal", IF($G276="Ton",Landbrug!D$18,1),1)),1)*IF($F276="Grøntsager",IF($A276="Grøntsager i drivhus",Landbrug!D$51,1-Landbrug!D$51),1)</f>
        <v>1313.4416409505154</v>
      </c>
      <c r="J276" s="299">
        <f>IF($A276&lt;&gt;"",IF(VLOOKUP($A276,[1]!Table1[#All],2,FALSE)="Direkte input",IF($A276&lt;&gt;"Grøntsager i drivhus",SUMIFS('Direkte input'!I$3:I$230,'Direkte input'!$F$3:$F$230,$D276,'Direkte input'!$C$3:$C$230,$B276,'Direkte input'!$D$3:$D$230,$C276,'Direkte input'!$A$3:$A$230,$A$1),SUMIFS('Direkte input'!I$3:I$230,'Direkte input'!$F$3:$F$230,$D276,'Direkte input'!$C$3:$C$230,$B276,'Direkte input'!$A$3:$A$230,$A$1)),IF(VLOOKUP($A276,[1]!Table1[#All],2,FALSE)="Resultat",SUMIF($F$1:$F275,$D276,J$1:J275)+SUMIF($F277:$F$512,$D276,J277:J$512),0))*'[1]Processer - data'!J276,"")*IF($C276&lt;&gt;"",IF($F276="Halm",Landbrug!E$16*Landbrug!E$17,IF(LEFT($D276,5)="Areal", IF($G276="Ton",Landbrug!E$18,1),1)),1)*IF($F276="Grøntsager",IF($A276="Grøntsager i drivhus",Landbrug!E$51,1-Landbrug!E$51),1)</f>
        <v>1809.6494494588158</v>
      </c>
    </row>
    <row r="277" spans="1:10" x14ac:dyDescent="0.25">
      <c r="A277" t="str">
        <f>IF('[1]Processer - data'!A277&lt;&gt;"",'[1]Processer - data'!A277,"")</f>
        <v>Frugtmark</v>
      </c>
      <c r="B277" t="str">
        <f>IF('[1]Processer - data'!B277&lt;&gt;"",'[1]Processer - data'!B277,"")</f>
        <v>Økologisk</v>
      </c>
      <c r="C277" t="str">
        <f>IF('[1]Processer - data'!C277&lt;&gt;"",'[1]Processer - data'!C277,"")</f>
        <v>JB1-10</v>
      </c>
      <c r="D277" t="str">
        <f>IF('[1]Processer - data'!D277&lt;&gt;"",'[1]Processer - data'!D277,"")</f>
        <v>Areal-frugt</v>
      </c>
      <c r="E277" t="str">
        <f>IF('[1]Processer - data'!E277&lt;&gt;"",'[1]Processer - data'!E277,"")</f>
        <v>Hektar</v>
      </c>
      <c r="F277" t="str">
        <f>IF('[1]Processer - data'!F277&lt;&gt;"",'[1]Processer - data'!F277,"")</f>
        <v>Gødning</v>
      </c>
      <c r="G277" t="str">
        <f>IF('[1]Processer - data'!G277&lt;&gt;"",'[1]Processer - data'!G277,"")</f>
        <v>kg N</v>
      </c>
      <c r="H277" s="297">
        <f>IF($A277&lt;&gt;"",IF(VLOOKUP($A277,[1]!Table1[#All],2,FALSE)="Direkte input",IF($A277&lt;&gt;"Grøntsager i drivhus",SUMIFS('Direkte input'!G$3:G$230,'Direkte input'!$F$3:$F$230,$D277,'Direkte input'!$C$3:$C$230,$B277,'Direkte input'!$D$3:$D$230,$C277,'Direkte input'!$A$3:$A$230,$A$1),SUMIFS('Direkte input'!G$3:G$230,'Direkte input'!$F$3:$F$230,$D277,'Direkte input'!$C$3:$C$230,$B277,'Direkte input'!$A$3:$A$230,$A$1)),IF(VLOOKUP($A277,[1]!Table1[#All],2,FALSE)="Resultat",SUMIF($F$1:$F276,$D277,H$1:H276)+SUMIF($F278:$F$512,$D277,H278:H$512),0))*'[1]Processer - data'!H277,"")*IF($C277&lt;&gt;"",IF($F277="Halm",Landbrug!C$16*Landbrug!C$17,IF(LEFT($D277,5)="Areal", IF($G277="Ton",Landbrug!C$18,1),1)),1)*IF($F277="Grøntsager",IF($A277="Grøntsager i drivhus",Landbrug!C$51,1-Landbrug!C$51),1)</f>
        <v>-17052.335332939252</v>
      </c>
      <c r="I277" s="298">
        <f>IF($A277&lt;&gt;"",IF(VLOOKUP($A277,[1]!Table1[#All],2,FALSE)="Direkte input",IF($A277&lt;&gt;"Grøntsager i drivhus",SUMIFS('Direkte input'!H$3:H$230,'Direkte input'!$F$3:$F$230,$D277,'Direkte input'!$C$3:$C$230,$B277,'Direkte input'!$D$3:$D$230,$C277,'Direkte input'!$A$3:$A$230,$A$1),SUMIFS('Direkte input'!H$3:H$230,'Direkte input'!$F$3:$F$230,$D277,'Direkte input'!$C$3:$C$230,$B277,'Direkte input'!$A$3:$A$230,$A$1)),IF(VLOOKUP($A277,[1]!Table1[#All],2,FALSE)="Resultat",SUMIF($F$1:$F276,$D277,I$1:I276)+SUMIF($F278:$F$512,$D277,I278:I$512),0))*'[1]Processer - data'!I277,"")*IF($C277&lt;&gt;"",IF($F277="Halm",Landbrug!D$16*Landbrug!D$17,IF(LEFT($D277,5)="Areal", IF($G277="Ton",Landbrug!D$18,1),1)),1)*IF($F277="Grøntsager",IF($A277="Grøntsager i drivhus",Landbrug!D$51,1-Landbrug!D$51),1)</f>
        <v>-20203.952601510133</v>
      </c>
      <c r="J277" s="299">
        <f>IF($A277&lt;&gt;"",IF(VLOOKUP($A277,[1]!Table1[#All],2,FALSE)="Direkte input",IF($A277&lt;&gt;"Grøntsager i drivhus",SUMIFS('Direkte input'!I$3:I$230,'Direkte input'!$F$3:$F$230,$D277,'Direkte input'!$C$3:$C$230,$B277,'Direkte input'!$D$3:$D$230,$C277,'Direkte input'!$A$3:$A$230,$A$1),SUMIFS('Direkte input'!I$3:I$230,'Direkte input'!$F$3:$F$230,$D277,'Direkte input'!$C$3:$C$230,$B277,'Direkte input'!$A$3:$A$230,$A$1)),IF(VLOOKUP($A277,[1]!Table1[#All],2,FALSE)="Resultat",SUMIF($F$1:$F276,$D277,J$1:J276)+SUMIF($F278:$F$512,$D277,J278:J$512),0))*'[1]Processer - data'!J277,"")*IF($C277&lt;&gt;"",IF($F277="Halm",Landbrug!E$16*Landbrug!E$17,IF(LEFT($D277,5)="Areal", IF($G277="Ton",Landbrug!E$18,1),1)),1)*IF($F277="Grøntsager",IF($A277="Grøntsager i drivhus",Landbrug!E$51,1-Landbrug!E$51),1)</f>
        <v>-25948.780962178957</v>
      </c>
    </row>
    <row r="278" spans="1:10" x14ac:dyDescent="0.25">
      <c r="A278" t="str">
        <f>IF('[1]Processer - data'!A278&lt;&gt;"",'[1]Processer - data'!A278,"")</f>
        <v>Frugtmark</v>
      </c>
      <c r="B278" t="str">
        <f>IF('[1]Processer - data'!B278&lt;&gt;"",'[1]Processer - data'!B278,"")</f>
        <v>Økologisk</v>
      </c>
      <c r="C278" t="str">
        <f>IF('[1]Processer - data'!C278&lt;&gt;"",'[1]Processer - data'!C278,"")</f>
        <v>JB1-10</v>
      </c>
      <c r="D278" t="str">
        <f>IF('[1]Processer - data'!D278&lt;&gt;"",'[1]Processer - data'!D278,"")</f>
        <v>Areal-frugt</v>
      </c>
      <c r="E278" t="str">
        <f>IF('[1]Processer - data'!E278&lt;&gt;"",'[1]Processer - data'!E278,"")</f>
        <v>Hektar</v>
      </c>
      <c r="F278" t="str">
        <f>IF('[1]Processer - data'!F278&lt;&gt;"",'[1]Processer - data'!F278,"")</f>
        <v>CO2 - atmosfære</v>
      </c>
      <c r="G278" t="str">
        <f>IF('[1]Processer - data'!G278&lt;&gt;"",'[1]Processer - data'!G278,"")</f>
        <v>t CO2-ækvivalenter</v>
      </c>
      <c r="H278" s="297">
        <f>IF($A278&lt;&gt;"",IF(VLOOKUP($A278,[1]!Table1[#All],2,FALSE)="Direkte input",IF($A278&lt;&gt;"Grøntsager i drivhus",SUMIFS('Direkte input'!G$3:G$230,'Direkte input'!$F$3:$F$230,$D278,'Direkte input'!$C$3:$C$230,$B278,'Direkte input'!$D$3:$D$230,$C278,'Direkte input'!$A$3:$A$230,$A$1),SUMIFS('Direkte input'!G$3:G$230,'Direkte input'!$F$3:$F$230,$D278,'Direkte input'!$C$3:$C$230,$B278,'Direkte input'!$A$3:$A$230,$A$1)),IF(VLOOKUP($A278,[1]!Table1[#All],2,FALSE)="Resultat",SUMIF($F$1:$F277,$D278,H$1:H277)+SUMIF($F279:$F$512,$D278,H279:H$512),0))*'[1]Processer - data'!H278,"")*IF($C278&lt;&gt;"",IF($F278="Halm",Landbrug!C$16*Landbrug!C$17,IF(LEFT($D278,5)="Areal", IF($G278="Ton",Landbrug!C$18,1),1)),1)*IF($F278="Grøntsager",IF($A278="Grøntsager i drivhus",Landbrug!C$51,1-Landbrug!C$51),1)</f>
        <v>420.0461092284711</v>
      </c>
      <c r="I278" s="298">
        <f>IF($A278&lt;&gt;"",IF(VLOOKUP($A278,[1]!Table1[#All],2,FALSE)="Direkte input",IF($A278&lt;&gt;"Grøntsager i drivhus",SUMIFS('Direkte input'!H$3:H$230,'Direkte input'!$F$3:$F$230,$D278,'Direkte input'!$C$3:$C$230,$B278,'Direkte input'!$D$3:$D$230,$C278,'Direkte input'!$A$3:$A$230,$A$1),SUMIFS('Direkte input'!H$3:H$230,'Direkte input'!$F$3:$F$230,$D278,'Direkte input'!$C$3:$C$230,$B278,'Direkte input'!$A$3:$A$230,$A$1)),IF(VLOOKUP($A278,[1]!Table1[#All],2,FALSE)="Resultat",SUMIF($F$1:$F277,$D278,I$1:I277)+SUMIF($F279:$F$512,$D278,I279:I$512),0))*'[1]Processer - data'!I278,"")*IF($C278&lt;&gt;"",IF($F278="Halm",Landbrug!D$16*Landbrug!D$17,IF(LEFT($D278,5)="Areal", IF($G278="Ton",Landbrug!D$18,1),1)),1)*IF($F278="Grøntsager",IF($A278="Grøntsager i drivhus",Landbrug!D$51,1-Landbrug!D$51),1)</f>
        <v>497.67914573598608</v>
      </c>
      <c r="J278" s="299">
        <f>IF($A278&lt;&gt;"",IF(VLOOKUP($A278,[1]!Table1[#All],2,FALSE)="Direkte input",IF($A278&lt;&gt;"Grøntsager i drivhus",SUMIFS('Direkte input'!I$3:I$230,'Direkte input'!$F$3:$F$230,$D278,'Direkte input'!$C$3:$C$230,$B278,'Direkte input'!$D$3:$D$230,$C278,'Direkte input'!$A$3:$A$230,$A$1),SUMIFS('Direkte input'!I$3:I$230,'Direkte input'!$F$3:$F$230,$D278,'Direkte input'!$C$3:$C$230,$B278,'Direkte input'!$A$3:$A$230,$A$1)),IF(VLOOKUP($A278,[1]!Table1[#All],2,FALSE)="Resultat",SUMIF($F$1:$F277,$D278,J$1:J277)+SUMIF($F279:$F$512,$D278,J279:J$512),0))*'[1]Processer - data'!J278,"")*IF($C278&lt;&gt;"",IF($F278="Halm",Landbrug!E$16*Landbrug!E$17,IF(LEFT($D278,5)="Areal", IF($G278="Ton",Landbrug!E$18,1),1)),1)*IF($F278="Grøntsager",IF($A278="Grøntsager i drivhus",Landbrug!E$51,1-Landbrug!E$51),1)</f>
        <v>639.19013258733241</v>
      </c>
    </row>
    <row r="279" spans="1:10" x14ac:dyDescent="0.25">
      <c r="A279" t="str">
        <f>IF('[1]Processer - data'!A279&lt;&gt;"",'[1]Processer - data'!A279,"")</f>
        <v>Frugtmark</v>
      </c>
      <c r="B279" t="str">
        <f>IF('[1]Processer - data'!B279&lt;&gt;"",'[1]Processer - data'!B279,"")</f>
        <v>Økologisk</v>
      </c>
      <c r="C279" t="str">
        <f>IF('[1]Processer - data'!C279&lt;&gt;"",'[1]Processer - data'!C279,"")</f>
        <v>OC6</v>
      </c>
      <c r="D279" t="str">
        <f>IF('[1]Processer - data'!D279&lt;&gt;"",'[1]Processer - data'!D279,"")</f>
        <v>Areal-frugt</v>
      </c>
      <c r="E279" t="str">
        <f>IF('[1]Processer - data'!E279&lt;&gt;"",'[1]Processer - data'!E279,"")</f>
        <v>Hektar</v>
      </c>
      <c r="F279" t="str">
        <f>IF('[1]Processer - data'!F279&lt;&gt;"",'[1]Processer - data'!F279,"")</f>
        <v>Frugt</v>
      </c>
      <c r="G279" t="str">
        <f>IF('[1]Processer - data'!G279&lt;&gt;"",'[1]Processer - data'!G279,"")</f>
        <v>Ton</v>
      </c>
      <c r="H279" s="297">
        <f>IF($A279&lt;&gt;"",IF(VLOOKUP($A279,[1]!Table1[#All],2,FALSE)="Direkte input",IF($A279&lt;&gt;"Grøntsager i drivhus",SUMIFS('Direkte input'!G$3:G$230,'Direkte input'!$F$3:$F$230,$D279,'Direkte input'!$C$3:$C$230,$B279,'Direkte input'!$D$3:$D$230,$C279,'Direkte input'!$A$3:$A$230,$A$1),SUMIFS('Direkte input'!G$3:G$230,'Direkte input'!$F$3:$F$230,$D279,'Direkte input'!$C$3:$C$230,$B279,'Direkte input'!$A$3:$A$230,$A$1)),IF(VLOOKUP($A279,[1]!Table1[#All],2,FALSE)="Resultat",SUMIF($F$1:$F278,$D279,H$1:H278)+SUMIF($F280:$F$512,$D279,H280:H$512),0))*'[1]Processer - data'!H279,"")*IF($C279&lt;&gt;"",IF($F279="Halm",Landbrug!C$16*Landbrug!C$17,IF(LEFT($D279,5)="Areal", IF($G279="Ton",Landbrug!C$18,1),1)),1)*IF($F279="Grøntsager",IF($A279="Grøntsager i drivhus",Landbrug!C$51,1-Landbrug!C$51),1)</f>
        <v>22.208966955115699</v>
      </c>
      <c r="I279" s="298">
        <f>IF($A279&lt;&gt;"",IF(VLOOKUP($A279,[1]!Table1[#All],2,FALSE)="Direkte input",IF($A279&lt;&gt;"Grøntsager i drivhus",SUMIFS('Direkte input'!H$3:H$230,'Direkte input'!$F$3:$F$230,$D279,'Direkte input'!$C$3:$C$230,$B279,'Direkte input'!$D$3:$D$230,$C279,'Direkte input'!$A$3:$A$230,$A$1),SUMIFS('Direkte input'!H$3:H$230,'Direkte input'!$F$3:$F$230,$D279,'Direkte input'!$C$3:$C$230,$B279,'Direkte input'!$A$3:$A$230,$A$1)),IF(VLOOKUP($A279,[1]!Table1[#All],2,FALSE)="Resultat",SUMIF($F$1:$F278,$D279,I$1:I278)+SUMIF($F280:$F$512,$D279,I280:I$512),0))*'[1]Processer - data'!I279,"")*IF($C279&lt;&gt;"",IF($F279="Halm",Landbrug!D$16*Landbrug!D$17,IF(LEFT($D279,5)="Areal", IF($G279="Ton",Landbrug!D$18,1),1)),1)*IF($F279="Grøntsager",IF($A279="Grøntsager i drivhus",Landbrug!D$51,1-Landbrug!D$51),1)</f>
        <v>26.285871063671696</v>
      </c>
      <c r="J279" s="299">
        <f>IF($A279&lt;&gt;"",IF(VLOOKUP($A279,[1]!Table1[#All],2,FALSE)="Direkte input",IF($A279&lt;&gt;"Grøntsager i drivhus",SUMIFS('Direkte input'!I$3:I$230,'Direkte input'!$F$3:$F$230,$D279,'Direkte input'!$C$3:$C$230,$B279,'Direkte input'!$D$3:$D$230,$C279,'Direkte input'!$A$3:$A$230,$A$1),SUMIFS('Direkte input'!I$3:I$230,'Direkte input'!$F$3:$F$230,$D279,'Direkte input'!$C$3:$C$230,$B279,'Direkte input'!$A$3:$A$230,$A$1)),IF(VLOOKUP($A279,[1]!Table1[#All],2,FALSE)="Resultat",SUMIF($F$1:$F278,$D279,J$1:J278)+SUMIF($F280:$F$512,$D279,J280:J$512),0))*'[1]Processer - data'!J279,"")*IF($C279&lt;&gt;"",IF($F279="Halm",Landbrug!E$16*Landbrug!E$17,IF(LEFT($D279,5)="Areal", IF($G279="Ton",Landbrug!E$18,1),1)),1)*IF($F279="Grøntsager",IF($A279="Grøntsager i drivhus",Landbrug!E$51,1-Landbrug!E$51),1)</f>
        <v>36.553562407158154</v>
      </c>
    </row>
    <row r="280" spans="1:10" x14ac:dyDescent="0.25">
      <c r="A280" t="str">
        <f>IF('[1]Processer - data'!A280&lt;&gt;"",'[1]Processer - data'!A280,"")</f>
        <v>Frugtmark</v>
      </c>
      <c r="B280" t="str">
        <f>IF('[1]Processer - data'!B280&lt;&gt;"",'[1]Processer - data'!B280,"")</f>
        <v>Økologisk</v>
      </c>
      <c r="C280" t="str">
        <f>IF('[1]Processer - data'!C280&lt;&gt;"",'[1]Processer - data'!C280,"")</f>
        <v>OC6</v>
      </c>
      <c r="D280" t="str">
        <f>IF('[1]Processer - data'!D280&lt;&gt;"",'[1]Processer - data'!D280,"")</f>
        <v>Areal-frugt</v>
      </c>
      <c r="E280" t="str">
        <f>IF('[1]Processer - data'!E280&lt;&gt;"",'[1]Processer - data'!E280,"")</f>
        <v>Hektar</v>
      </c>
      <c r="F280" t="str">
        <f>IF('[1]Processer - data'!F280&lt;&gt;"",'[1]Processer - data'!F280,"")</f>
        <v>Gødning</v>
      </c>
      <c r="G280" t="str">
        <f>IF('[1]Processer - data'!G280&lt;&gt;"",'[1]Processer - data'!G280,"")</f>
        <v>kg N</v>
      </c>
      <c r="H280" s="297">
        <f>IF($A280&lt;&gt;"",IF(VLOOKUP($A280,[1]!Table1[#All],2,FALSE)="Direkte input",IF($A280&lt;&gt;"Grøntsager i drivhus",SUMIFS('Direkte input'!G$3:G$230,'Direkte input'!$F$3:$F$230,$D280,'Direkte input'!$C$3:$C$230,$B280,'Direkte input'!$D$3:$D$230,$C280,'Direkte input'!$A$3:$A$230,$A$1),SUMIFS('Direkte input'!G$3:G$230,'Direkte input'!$F$3:$F$230,$D280,'Direkte input'!$C$3:$C$230,$B280,'Direkte input'!$A$3:$A$230,$A$1)),IF(VLOOKUP($A280,[1]!Table1[#All],2,FALSE)="Resultat",SUMIF($F$1:$F279,$D280,H$1:H279)+SUMIF($F281:$F$512,$D280,H281:H$512),0))*'[1]Processer - data'!H280,"")*IF($C280&lt;&gt;"",IF($F280="Halm",Landbrug!C$16*Landbrug!C$17,IF(LEFT($D280,5)="Areal", IF($G280="Ton",Landbrug!C$18,1),1)),1)*IF($F280="Grøntsager",IF($A280="Grøntsager i drivhus",Landbrug!C$51,1-Landbrug!C$51),1)</f>
        <v>-305.18800291678423</v>
      </c>
      <c r="I280" s="298">
        <f>IF($A280&lt;&gt;"",IF(VLOOKUP($A280,[1]!Table1[#All],2,FALSE)="Direkte input",IF($A280&lt;&gt;"Grøntsager i drivhus",SUMIFS('Direkte input'!H$3:H$230,'Direkte input'!$F$3:$F$230,$D280,'Direkte input'!$C$3:$C$230,$B280,'Direkte input'!$D$3:$D$230,$C280,'Direkte input'!$A$3:$A$230,$A$1),SUMIFS('Direkte input'!H$3:H$230,'Direkte input'!$F$3:$F$230,$D280,'Direkte input'!$C$3:$C$230,$B280,'Direkte input'!$A$3:$A$230,$A$1)),IF(VLOOKUP($A280,[1]!Table1[#All],2,FALSE)="Resultat",SUMIF($F$1:$F279,$D280,I$1:I279)+SUMIF($F281:$F$512,$D280,I281:I$512),0))*'[1]Processer - data'!I280,"")*IF($C280&lt;&gt;"",IF($F280="Halm",Landbrug!D$16*Landbrug!D$17,IF(LEFT($D280,5)="Areal", IF($G280="Ton",Landbrug!D$18,1),1)),1)*IF($F280="Grøntsager",IF($A280="Grøntsager i drivhus",Landbrug!D$51,1-Landbrug!D$51),1)</f>
        <v>-336.95095167145325</v>
      </c>
      <c r="J280" s="299">
        <f>IF($A280&lt;&gt;"",IF(VLOOKUP($A280,[1]!Table1[#All],2,FALSE)="Direkte input",IF($A280&lt;&gt;"Grøntsager i drivhus",SUMIFS('Direkte input'!I$3:I$230,'Direkte input'!$F$3:$F$230,$D280,'Direkte input'!$C$3:$C$230,$B280,'Direkte input'!$D$3:$D$230,$C280,'Direkte input'!$A$3:$A$230,$A$1),SUMIFS('Direkte input'!I$3:I$230,'Direkte input'!$F$3:$F$230,$D280,'Direkte input'!$C$3:$C$230,$B280,'Direkte input'!$A$3:$A$230,$A$1)),IF(VLOOKUP($A280,[1]!Table1[#All],2,FALSE)="Resultat",SUMIF($F$1:$F279,$D280,J$1:J279)+SUMIF($F281:$F$512,$D280,J281:J$512),0))*'[1]Processer - data'!J280,"")*IF($C280&lt;&gt;"",IF($F280="Halm",Landbrug!E$16*Landbrug!E$17,IF(LEFT($D280,5)="Areal", IF($G280="Ton",Landbrug!E$18,1),1)),1)*IF($F280="Grøntsager",IF($A280="Grøntsager i drivhus",Landbrug!E$51,1-Landbrug!E$51),1)</f>
        <v>-436.78827068521719</v>
      </c>
    </row>
    <row r="281" spans="1:10" x14ac:dyDescent="0.25">
      <c r="A281" t="str">
        <f>IF('[1]Processer - data'!A281&lt;&gt;"",'[1]Processer - data'!A281,"")</f>
        <v>Frugtmark</v>
      </c>
      <c r="B281" t="str">
        <f>IF('[1]Processer - data'!B281&lt;&gt;"",'[1]Processer - data'!B281,"")</f>
        <v>Økologisk</v>
      </c>
      <c r="C281" t="str">
        <f>IF('[1]Processer - data'!C281&lt;&gt;"",'[1]Processer - data'!C281,"")</f>
        <v>OC6</v>
      </c>
      <c r="D281" t="str">
        <f>IF('[1]Processer - data'!D281&lt;&gt;"",'[1]Processer - data'!D281,"")</f>
        <v>Areal-frugt</v>
      </c>
      <c r="E281" t="str">
        <f>IF('[1]Processer - data'!E281&lt;&gt;"",'[1]Processer - data'!E281,"")</f>
        <v>Hektar</v>
      </c>
      <c r="F281" t="str">
        <f>IF('[1]Processer - data'!F281&lt;&gt;"",'[1]Processer - data'!F281,"")</f>
        <v>CO2 - atmosfære</v>
      </c>
      <c r="G281" t="str">
        <f>IF('[1]Processer - data'!G281&lt;&gt;"",'[1]Processer - data'!G281,"")</f>
        <v>t CO2-ækvivalenter</v>
      </c>
      <c r="H281" s="297">
        <f>IF($A281&lt;&gt;"",IF(VLOOKUP($A281,[1]!Table1[#All],2,FALSE)="Direkte input",IF($A281&lt;&gt;"Grøntsager i drivhus",SUMIFS('Direkte input'!G$3:G$230,'Direkte input'!$F$3:$F$230,$D281,'Direkte input'!$C$3:$C$230,$B281,'Direkte input'!$D$3:$D$230,$C281,'Direkte input'!$A$3:$A$230,$A$1),SUMIFS('Direkte input'!G$3:G$230,'Direkte input'!$F$3:$F$230,$D281,'Direkte input'!$C$3:$C$230,$B281,'Direkte input'!$A$3:$A$230,$A$1)),IF(VLOOKUP($A281,[1]!Table1[#All],2,FALSE)="Resultat",SUMIF($F$1:$F280,$D281,H$1:H280)+SUMIF($F282:$F$512,$D281,H282:H$512),0))*'[1]Processer - data'!H281,"")*IF($C281&lt;&gt;"",IF($F281="Halm",Landbrug!C$16*Landbrug!C$17,IF(LEFT($D281,5)="Areal", IF($G281="Ton",Landbrug!C$18,1),1)),1)*IF($F281="Grøntsager",IF($A281="Grøntsager i drivhus",Landbrug!C$51,1-Landbrug!C$51),1)</f>
        <v>40.774701901278384</v>
      </c>
      <c r="I281" s="298">
        <f>IF($A281&lt;&gt;"",IF(VLOOKUP($A281,[1]!Table1[#All],2,FALSE)="Direkte input",IF($A281&lt;&gt;"Grøntsager i drivhus",SUMIFS('Direkte input'!H$3:H$230,'Direkte input'!$F$3:$F$230,$D281,'Direkte input'!$C$3:$C$230,$B281,'Direkte input'!$D$3:$D$230,$C281,'Direkte input'!$A$3:$A$230,$A$1),SUMIFS('Direkte input'!H$3:H$230,'Direkte input'!$F$3:$F$230,$D281,'Direkte input'!$C$3:$C$230,$B281,'Direkte input'!$A$3:$A$230,$A$1)),IF(VLOOKUP($A281,[1]!Table1[#All],2,FALSE)="Resultat",SUMIF($F$1:$F280,$D281,I$1:I280)+SUMIF($F282:$F$512,$D281,I282:I$512),0))*'[1]Processer - data'!I281,"")*IF($C281&lt;&gt;"",IF($F281="Halm",Landbrug!D$16*Landbrug!D$17,IF(LEFT($D281,5)="Areal", IF($G281="Ton",Landbrug!D$18,1),1)),1)*IF($F281="Grøntsager",IF($A281="Grøntsager i drivhus",Landbrug!D$51,1-Landbrug!D$51),1)</f>
        <v>45.018396786395982</v>
      </c>
      <c r="J281" s="299">
        <f>IF($A281&lt;&gt;"",IF(VLOOKUP($A281,[1]!Table1[#All],2,FALSE)="Direkte input",IF($A281&lt;&gt;"Grøntsager i drivhus",SUMIFS('Direkte input'!I$3:I$230,'Direkte input'!$F$3:$F$230,$D281,'Direkte input'!$C$3:$C$230,$B281,'Direkte input'!$D$3:$D$230,$C281,'Direkte input'!$A$3:$A$230,$A$1),SUMIFS('Direkte input'!I$3:I$230,'Direkte input'!$F$3:$F$230,$D281,'Direkte input'!$C$3:$C$230,$B281,'Direkte input'!$A$3:$A$230,$A$1)),IF(VLOOKUP($A281,[1]!Table1[#All],2,FALSE)="Resultat",SUMIF($F$1:$F280,$D281,J$1:J280)+SUMIF($F282:$F$512,$D281,J282:J$512),0))*'[1]Processer - data'!J281,"")*IF($C281&lt;&gt;"",IF($F281="Halm",Landbrug!E$16*Landbrug!E$17,IF(LEFT($D281,5)="Areal", IF($G281="Ton",Landbrug!E$18,1),1)),1)*IF($F281="Grøntsager",IF($A281="Grøntsager i drivhus",Landbrug!E$51,1-Landbrug!E$51),1)</f>
        <v>58.357181019402198</v>
      </c>
    </row>
    <row r="282" spans="1:10" x14ac:dyDescent="0.25">
      <c r="A282" t="str">
        <f>IF('[1]Processer - data'!A282&lt;&gt;"",'[1]Processer - data'!A282,"")</f>
        <v>Frugtmark</v>
      </c>
      <c r="B282" t="str">
        <f>IF('[1]Processer - data'!B282&lt;&gt;"",'[1]Processer - data'!B282,"")</f>
        <v>Økologisk</v>
      </c>
      <c r="C282" t="str">
        <f>IF('[1]Processer - data'!C282&lt;&gt;"",'[1]Processer - data'!C282,"")</f>
        <v>OC12</v>
      </c>
      <c r="D282" t="str">
        <f>IF('[1]Processer - data'!D282&lt;&gt;"",'[1]Processer - data'!D282,"")</f>
        <v>Areal-frugt</v>
      </c>
      <c r="E282" t="str">
        <f>IF('[1]Processer - data'!E282&lt;&gt;"",'[1]Processer - data'!E282,"")</f>
        <v>Hektar</v>
      </c>
      <c r="F282" t="str">
        <f>IF('[1]Processer - data'!F282&lt;&gt;"",'[1]Processer - data'!F282,"")</f>
        <v>Frugt</v>
      </c>
      <c r="G282" t="str">
        <f>IF('[1]Processer - data'!G282&lt;&gt;"",'[1]Processer - data'!G282,"")</f>
        <v>Ton</v>
      </c>
      <c r="H282" s="297">
        <f>IF($A282&lt;&gt;"",IF(VLOOKUP($A282,[1]!Table1[#All],2,FALSE)="Direkte input",IF($A282&lt;&gt;"Grøntsager i drivhus",SUMIFS('Direkte input'!G$3:G$230,'Direkte input'!$F$3:$F$230,$D282,'Direkte input'!$C$3:$C$230,$B282,'Direkte input'!$D$3:$D$230,$C282,'Direkte input'!$A$3:$A$230,$A$1),SUMIFS('Direkte input'!G$3:G$230,'Direkte input'!$F$3:$F$230,$D282,'Direkte input'!$C$3:$C$230,$B282,'Direkte input'!$A$3:$A$230,$A$1)),IF(VLOOKUP($A282,[1]!Table1[#All],2,FALSE)="Resultat",SUMIF($F$1:$F281,$D282,H$1:H281)+SUMIF($F283:$F$512,$D282,H283:H$512),0))*'[1]Processer - data'!H282,"")*IF($C282&lt;&gt;"",IF($F282="Halm",Landbrug!C$16*Landbrug!C$17,IF(LEFT($D282,5)="Areal", IF($G282="Ton",Landbrug!C$18,1),1)),1)*IF($F282="Grøntsager",IF($A282="Grøntsager i drivhus",Landbrug!C$51,1-Landbrug!C$51),1)</f>
        <v>15.643175907630729</v>
      </c>
      <c r="I282" s="298">
        <f>IF($A282&lt;&gt;"",IF(VLOOKUP($A282,[1]!Table1[#All],2,FALSE)="Direkte input",IF($A282&lt;&gt;"Grøntsager i drivhus",SUMIFS('Direkte input'!H$3:H$230,'Direkte input'!$F$3:$F$230,$D282,'Direkte input'!$C$3:$C$230,$B282,'Direkte input'!$D$3:$D$230,$C282,'Direkte input'!$A$3:$A$230,$A$1),SUMIFS('Direkte input'!H$3:H$230,'Direkte input'!$F$3:$F$230,$D282,'Direkte input'!$C$3:$C$230,$B282,'Direkte input'!$A$3:$A$230,$A$1)),IF(VLOOKUP($A282,[1]!Table1[#All],2,FALSE)="Resultat",SUMIF($F$1:$F281,$D282,I$1:I281)+SUMIF($F283:$F$512,$D282,I283:I$512),0))*'[1]Processer - data'!I282,"")*IF($C282&lt;&gt;"",IF($F282="Halm",Landbrug!D$16*Landbrug!D$17,IF(LEFT($D282,5)="Areal", IF($G282="Ton",Landbrug!D$18,1),1)),1)*IF($F282="Grøntsager",IF($A282="Grøntsager i drivhus",Landbrug!D$51,1-Landbrug!D$51),1)</f>
        <v>18.661397558956281</v>
      </c>
      <c r="J282" s="299">
        <f>IF($A282&lt;&gt;"",IF(VLOOKUP($A282,[1]!Table1[#All],2,FALSE)="Direkte input",IF($A282&lt;&gt;"Grøntsager i drivhus",SUMIFS('Direkte input'!I$3:I$230,'Direkte input'!$F$3:$F$230,$D282,'Direkte input'!$C$3:$C$230,$B282,'Direkte input'!$D$3:$D$230,$C282,'Direkte input'!$A$3:$A$230,$A$1),SUMIFS('Direkte input'!I$3:I$230,'Direkte input'!$F$3:$F$230,$D282,'Direkte input'!$C$3:$C$230,$B282,'Direkte input'!$A$3:$A$230,$A$1)),IF(VLOOKUP($A282,[1]!Table1[#All],2,FALSE)="Resultat",SUMIF($F$1:$F281,$D282,J$1:J281)+SUMIF($F283:$F$512,$D282,J283:J$512),0))*'[1]Processer - data'!J282,"")*IF($C282&lt;&gt;"",IF($F282="Halm",Landbrug!E$16*Landbrug!E$17,IF(LEFT($D282,5)="Areal", IF($G282="Ton",Landbrug!E$18,1),1)),1)*IF($F282="Grøntsager",IF($A282="Grøntsager i drivhus",Landbrug!E$51,1-Landbrug!E$51),1)</f>
        <v>25.950844795052177</v>
      </c>
    </row>
    <row r="283" spans="1:10" x14ac:dyDescent="0.25">
      <c r="A283" t="str">
        <f>IF('[1]Processer - data'!A283&lt;&gt;"",'[1]Processer - data'!A283,"")</f>
        <v>Frugtmark</v>
      </c>
      <c r="B283" t="str">
        <f>IF('[1]Processer - data'!B283&lt;&gt;"",'[1]Processer - data'!B283,"")</f>
        <v>Økologisk</v>
      </c>
      <c r="C283" t="str">
        <f>IF('[1]Processer - data'!C283&lt;&gt;"",'[1]Processer - data'!C283,"")</f>
        <v>OC12</v>
      </c>
      <c r="D283" t="str">
        <f>IF('[1]Processer - data'!D283&lt;&gt;"",'[1]Processer - data'!D283,"")</f>
        <v>Areal-frugt</v>
      </c>
      <c r="E283" t="str">
        <f>IF('[1]Processer - data'!E283&lt;&gt;"",'[1]Processer - data'!E283,"")</f>
        <v>Hektar</v>
      </c>
      <c r="F283" t="str">
        <f>IF('[1]Processer - data'!F283&lt;&gt;"",'[1]Processer - data'!F283,"")</f>
        <v>Gødning</v>
      </c>
      <c r="G283" t="str">
        <f>IF('[1]Processer - data'!G283&lt;&gt;"",'[1]Processer - data'!G283,"")</f>
        <v>kg N</v>
      </c>
      <c r="H283" s="297">
        <f>IF($A283&lt;&gt;"",IF(VLOOKUP($A283,[1]!Table1[#All],2,FALSE)="Direkte input",IF($A283&lt;&gt;"Grøntsager i drivhus",SUMIFS('Direkte input'!G$3:G$230,'Direkte input'!$F$3:$F$230,$D283,'Direkte input'!$C$3:$C$230,$B283,'Direkte input'!$D$3:$D$230,$C283,'Direkte input'!$A$3:$A$230,$A$1),SUMIFS('Direkte input'!G$3:G$230,'Direkte input'!$F$3:$F$230,$D283,'Direkte input'!$C$3:$C$230,$B283,'Direkte input'!$A$3:$A$230,$A$1)),IF(VLOOKUP($A283,[1]!Table1[#All],2,FALSE)="Resultat",SUMIF($F$1:$F282,$D283,H$1:H282)+SUMIF($F284:$F$512,$D283,H284:H$512),0))*'[1]Processer - data'!H283,"")*IF($C283&lt;&gt;"",IF($F283="Halm",Landbrug!C$16*Landbrug!C$17,IF(LEFT($D283,5)="Areal", IF($G283="Ton",Landbrug!C$18,1),1)),1)*IF($F283="Grøntsager",IF($A283="Grøntsager i drivhus",Landbrug!C$51,1-Landbrug!C$51),1)</f>
        <v>-184.25413318764112</v>
      </c>
      <c r="I283" s="298">
        <f>IF($A283&lt;&gt;"",IF(VLOOKUP($A283,[1]!Table1[#All],2,FALSE)="Direkte input",IF($A283&lt;&gt;"Grøntsager i drivhus",SUMIFS('Direkte input'!H$3:H$230,'Direkte input'!$F$3:$F$230,$D283,'Direkte input'!$C$3:$C$230,$B283,'Direkte input'!$D$3:$D$230,$C283,'Direkte input'!$A$3:$A$230,$A$1),SUMIFS('Direkte input'!H$3:H$230,'Direkte input'!$F$3:$F$230,$D283,'Direkte input'!$C$3:$C$230,$B283,'Direkte input'!$A$3:$A$230,$A$1)),IF(VLOOKUP($A283,[1]!Table1[#All],2,FALSE)="Resultat",SUMIF($F$1:$F282,$D283,I$1:I282)+SUMIF($F284:$F$512,$D283,I284:I$512),0))*'[1]Processer - data'!I283,"")*IF($C283&lt;&gt;"",IF($F283="Halm",Landbrug!D$16*Landbrug!D$17,IF(LEFT($D283,5)="Areal", IF($G283="Ton",Landbrug!D$18,1),1)),1)*IF($F283="Grøntsager",IF($A283="Grøntsager i drivhus",Landbrug!D$51,1-Landbrug!D$51),1)</f>
        <v>-205.04146184884195</v>
      </c>
      <c r="J283" s="299">
        <f>IF($A283&lt;&gt;"",IF(VLOOKUP($A283,[1]!Table1[#All],2,FALSE)="Direkte input",IF($A283&lt;&gt;"Grøntsager i drivhus",SUMIFS('Direkte input'!I$3:I$230,'Direkte input'!$F$3:$F$230,$D283,'Direkte input'!$C$3:$C$230,$B283,'Direkte input'!$D$3:$D$230,$C283,'Direkte input'!$A$3:$A$230,$A$1),SUMIFS('Direkte input'!I$3:I$230,'Direkte input'!$F$3:$F$230,$D283,'Direkte input'!$C$3:$C$230,$B283,'Direkte input'!$A$3:$A$230,$A$1)),IF(VLOOKUP($A283,[1]!Table1[#All],2,FALSE)="Resultat",SUMIF($F$1:$F282,$D283,J$1:J282)+SUMIF($F284:$F$512,$D283,J284:J$512),0))*'[1]Processer - data'!J283,"")*IF($C283&lt;&gt;"",IF($F283="Halm",Landbrug!E$16*Landbrug!E$17,IF(LEFT($D283,5)="Areal", IF($G283="Ton",Landbrug!E$18,1),1)),1)*IF($F283="Grøntsager",IF($A283="Grøntsager i drivhus",Landbrug!E$51,1-Landbrug!E$51),1)</f>
        <v>-265.79448758183213</v>
      </c>
    </row>
    <row r="284" spans="1:10" x14ac:dyDescent="0.25">
      <c r="A284" t="str">
        <f>IF('[1]Processer - data'!A284&lt;&gt;"",'[1]Processer - data'!A284,"")</f>
        <v>Frugtmark</v>
      </c>
      <c r="B284" t="str">
        <f>IF('[1]Processer - data'!B284&lt;&gt;"",'[1]Processer - data'!B284,"")</f>
        <v>Økologisk</v>
      </c>
      <c r="C284" t="str">
        <f>IF('[1]Processer - data'!C284&lt;&gt;"",'[1]Processer - data'!C284,"")</f>
        <v>OC12</v>
      </c>
      <c r="D284" t="str">
        <f>IF('[1]Processer - data'!D284&lt;&gt;"",'[1]Processer - data'!D284,"")</f>
        <v>Areal-frugt</v>
      </c>
      <c r="E284" t="str">
        <f>IF('[1]Processer - data'!E284&lt;&gt;"",'[1]Processer - data'!E284,"")</f>
        <v>Hektar</v>
      </c>
      <c r="F284" t="str">
        <f>IF('[1]Processer - data'!F284&lt;&gt;"",'[1]Processer - data'!F284,"")</f>
        <v>CO2 - atmosfære</v>
      </c>
      <c r="G284" t="str">
        <f>IF('[1]Processer - data'!G284&lt;&gt;"",'[1]Processer - data'!G284,"")</f>
        <v>t CO2-ækvivalenter</v>
      </c>
      <c r="H284" s="297">
        <f>IF($A284&lt;&gt;"",IF(VLOOKUP($A284,[1]!Table1[#All],2,FALSE)="Direkte input",IF($A284&lt;&gt;"Grøntsager i drivhus",SUMIFS('Direkte input'!G$3:G$230,'Direkte input'!$F$3:$F$230,$D284,'Direkte input'!$C$3:$C$230,$B284,'Direkte input'!$D$3:$D$230,$C284,'Direkte input'!$A$3:$A$230,$A$1),SUMIFS('Direkte input'!G$3:G$230,'Direkte input'!$F$3:$F$230,$D284,'Direkte input'!$C$3:$C$230,$B284,'Direkte input'!$A$3:$A$230,$A$1)),IF(VLOOKUP($A284,[1]!Table1[#All],2,FALSE)="Resultat",SUMIF($F$1:$F283,$D284,H$1:H283)+SUMIF($F285:$F$512,$D284,H285:H$512),0))*'[1]Processer - data'!H284,"")*IF($C284&lt;&gt;"",IF($F284="Halm",Landbrug!C$16*Landbrug!C$17,IF(LEFT($D284,5)="Areal", IF($G284="Ton",Landbrug!C$18,1),1)),1)*IF($F284="Grøntsager",IF($A284="Grøntsager i drivhus",Landbrug!C$51,1-Landbrug!C$51),1)</f>
        <v>65.808959775189322</v>
      </c>
      <c r="I284" s="298">
        <f>IF($A284&lt;&gt;"",IF(VLOOKUP($A284,[1]!Table1[#All],2,FALSE)="Direkte input",IF($A284&lt;&gt;"Grøntsager i drivhus",SUMIFS('Direkte input'!H$3:H$230,'Direkte input'!$F$3:$F$230,$D284,'Direkte input'!$C$3:$C$230,$B284,'Direkte input'!$D$3:$D$230,$C284,'Direkte input'!$A$3:$A$230,$A$1),SUMIFS('Direkte input'!H$3:H$230,'Direkte input'!$F$3:$F$230,$D284,'Direkte input'!$C$3:$C$230,$B284,'Direkte input'!$A$3:$A$230,$A$1)),IF(VLOOKUP($A284,[1]!Table1[#All],2,FALSE)="Resultat",SUMIF($F$1:$F283,$D284,I$1:I283)+SUMIF($F285:$F$512,$D284,I285:I$512),0))*'[1]Processer - data'!I284,"")*IF($C284&lt;&gt;"",IF($F284="Halm",Landbrug!D$16*Landbrug!D$17,IF(LEFT($D284,5)="Areal", IF($G284="Ton",Landbrug!D$18,1),1)),1)*IF($F284="Grøntsager",IF($A284="Grøntsager i drivhus",Landbrug!D$51,1-Landbrug!D$51),1)</f>
        <v>73.233447096217105</v>
      </c>
      <c r="J284" s="299">
        <f>IF($A284&lt;&gt;"",IF(VLOOKUP($A284,[1]!Table1[#All],2,FALSE)="Direkte input",IF($A284&lt;&gt;"Grøntsager i drivhus",SUMIFS('Direkte input'!I$3:I$230,'Direkte input'!$F$3:$F$230,$D284,'Direkte input'!$C$3:$C$230,$B284,'Direkte input'!$D$3:$D$230,$C284,'Direkte input'!$A$3:$A$230,$A$1),SUMIFS('Direkte input'!I$3:I$230,'Direkte input'!$F$3:$F$230,$D284,'Direkte input'!$C$3:$C$230,$B284,'Direkte input'!$A$3:$A$230,$A$1)),IF(VLOOKUP($A284,[1]!Table1[#All],2,FALSE)="Resultat",SUMIF($F$1:$F283,$D284,J$1:J283)+SUMIF($F285:$F$512,$D284,J285:J$512),0))*'[1]Processer - data'!J284,"")*IF($C284&lt;&gt;"",IF($F284="Halm",Landbrug!E$16*Landbrug!E$17,IF(LEFT($D284,5)="Areal", IF($G284="Ton",Landbrug!E$18,1),1)),1)*IF($F284="Grøntsager",IF($A284="Grøntsager i drivhus",Landbrug!E$51,1-Landbrug!E$51),1)</f>
        <v>94.932246235836985</v>
      </c>
    </row>
    <row r="285" spans="1:10" x14ac:dyDescent="0.25">
      <c r="A285" t="str">
        <f>IF('[1]Processer - data'!A285&lt;&gt;"",'[1]Processer - data'!A285,"")</f>
        <v>Øvrig mark</v>
      </c>
      <c r="B285" t="str">
        <f>IF('[1]Processer - data'!B285&lt;&gt;"",'[1]Processer - data'!B285,"")</f>
        <v>Konventionel</v>
      </c>
      <c r="C285" t="str">
        <f>IF('[1]Processer - data'!C285&lt;&gt;"",'[1]Processer - data'!C285,"")</f>
        <v>JB1-10</v>
      </c>
      <c r="D285" t="str">
        <f>IF('[1]Processer - data'!D285&lt;&gt;"",'[1]Processer - data'!D285,"")</f>
        <v>Areal-øvrige</v>
      </c>
      <c r="E285" t="str">
        <f>IF('[1]Processer - data'!E285&lt;&gt;"",'[1]Processer - data'!E285,"")</f>
        <v>Hektar</v>
      </c>
      <c r="F285" t="str">
        <f>IF('[1]Processer - data'!F285&lt;&gt;"",'[1]Processer - data'!F285,"")</f>
        <v>Øvrige</v>
      </c>
      <c r="G285" t="str">
        <f>IF('[1]Processer - data'!G285&lt;&gt;"",'[1]Processer - data'!G285,"")</f>
        <v>Ton</v>
      </c>
      <c r="H285" s="297">
        <f>IF($A285&lt;&gt;"",IF(VLOOKUP($A285,[1]!Table1[#All],2,FALSE)="Direkte input",IF($A285&lt;&gt;"Grøntsager i drivhus",SUMIFS('Direkte input'!G$3:G$230,'Direkte input'!$F$3:$F$230,$D285,'Direkte input'!$C$3:$C$230,$B285,'Direkte input'!$D$3:$D$230,$C285,'Direkte input'!$A$3:$A$230,$A$1),SUMIFS('Direkte input'!G$3:G$230,'Direkte input'!$F$3:$F$230,$D285,'Direkte input'!$C$3:$C$230,$B285,'Direkte input'!$A$3:$A$230,$A$1)),IF(VLOOKUP($A285,[1]!Table1[#All],2,FALSE)="Resultat",SUMIF($F$1:$F284,$D285,H$1:H284)+SUMIF($F286:$F$512,$D285,H286:H$512),0))*'[1]Processer - data'!H285,"")*IF($C285&lt;&gt;"",IF($F285="Halm",Landbrug!C$16*Landbrug!C$17,IF(LEFT($D285,5)="Areal", IF($G285="Ton",Landbrug!C$18,1),1)),1)*IF($F285="Grøntsager",IF($A285="Grøntsager i drivhus",Landbrug!C$51,1-Landbrug!C$51),1)</f>
        <v>355570.7138334217</v>
      </c>
      <c r="I285" s="298">
        <f>IF($A285&lt;&gt;"",IF(VLOOKUP($A285,[1]!Table1[#All],2,FALSE)="Direkte input",IF($A285&lt;&gt;"Grøntsager i drivhus",SUMIFS('Direkte input'!H$3:H$230,'Direkte input'!$F$3:$F$230,$D285,'Direkte input'!$C$3:$C$230,$B285,'Direkte input'!$D$3:$D$230,$C285,'Direkte input'!$A$3:$A$230,$A$1),SUMIFS('Direkte input'!H$3:H$230,'Direkte input'!$F$3:$F$230,$D285,'Direkte input'!$C$3:$C$230,$B285,'Direkte input'!$A$3:$A$230,$A$1)),IF(VLOOKUP($A285,[1]!Table1[#All],2,FALSE)="Resultat",SUMIF($F$1:$F284,$D285,I$1:I284)+SUMIF($F286:$F$512,$D285,I286:I$512),0))*'[1]Processer - data'!I285,"")*IF($C285&lt;&gt;"",IF($F285="Halm",Landbrug!D$16*Landbrug!D$17,IF(LEFT($D285,5)="Areal", IF($G285="Ton",Landbrug!D$18,1),1)),1)*IF($F285="Grøntsager",IF($A285="Grøntsager i drivhus",Landbrug!D$51,1-Landbrug!D$51),1)</f>
        <v>369994.63610039954</v>
      </c>
      <c r="J285" s="299">
        <f>IF($A285&lt;&gt;"",IF(VLOOKUP($A285,[1]!Table1[#All],2,FALSE)="Direkte input",IF($A285&lt;&gt;"Grøntsager i drivhus",SUMIFS('Direkte input'!I$3:I$230,'Direkte input'!$F$3:$F$230,$D285,'Direkte input'!$C$3:$C$230,$B285,'Direkte input'!$D$3:$D$230,$C285,'Direkte input'!$A$3:$A$230,$A$1),SUMIFS('Direkte input'!I$3:I$230,'Direkte input'!$F$3:$F$230,$D285,'Direkte input'!$C$3:$C$230,$B285,'Direkte input'!$A$3:$A$230,$A$1)),IF(VLOOKUP($A285,[1]!Table1[#All],2,FALSE)="Resultat",SUMIF($F$1:$F284,$D285,J$1:J284)+SUMIF($F286:$F$512,$D285,J286:J$512),0))*'[1]Processer - data'!J285,"")*IF($C285&lt;&gt;"",IF($F285="Halm",Landbrug!E$16*Landbrug!E$17,IF(LEFT($D285,5)="Areal", IF($G285="Ton",Landbrug!E$18,1),1)),1)*IF($F285="Grøntsager",IF($A285="Grøntsager i drivhus",Landbrug!E$51,1-Landbrug!E$51),1)</f>
        <v>375070.28896377306</v>
      </c>
    </row>
    <row r="286" spans="1:10" x14ac:dyDescent="0.25">
      <c r="A286" t="str">
        <f>IF('[1]Processer - data'!A286&lt;&gt;"",'[1]Processer - data'!A286,"")</f>
        <v>Øvrig mark</v>
      </c>
      <c r="B286" t="str">
        <f>IF('[1]Processer - data'!B286&lt;&gt;"",'[1]Processer - data'!B286,"")</f>
        <v>Konventionel</v>
      </c>
      <c r="C286" t="str">
        <f>IF('[1]Processer - data'!C286&lt;&gt;"",'[1]Processer - data'!C286,"")</f>
        <v>JB1-10</v>
      </c>
      <c r="D286" t="str">
        <f>IF('[1]Processer - data'!D286&lt;&gt;"",'[1]Processer - data'!D286,"")</f>
        <v>Areal-øvrige</v>
      </c>
      <c r="E286" t="str">
        <f>IF('[1]Processer - data'!E286&lt;&gt;"",'[1]Processer - data'!E286,"")</f>
        <v>Hektar</v>
      </c>
      <c r="F286" t="str">
        <f>IF('[1]Processer - data'!F286&lt;&gt;"",'[1]Processer - data'!F286,"")</f>
        <v>Gødning</v>
      </c>
      <c r="G286" t="str">
        <f>IF('[1]Processer - data'!G286&lt;&gt;"",'[1]Processer - data'!G286,"")</f>
        <v>kg N</v>
      </c>
      <c r="H286" s="297">
        <f>IF($A286&lt;&gt;"",IF(VLOOKUP($A286,[1]!Table1[#All],2,FALSE)="Direkte input",IF($A286&lt;&gt;"Grøntsager i drivhus",SUMIFS('Direkte input'!G$3:G$230,'Direkte input'!$F$3:$F$230,$D286,'Direkte input'!$C$3:$C$230,$B286,'Direkte input'!$D$3:$D$230,$C286,'Direkte input'!$A$3:$A$230,$A$1),SUMIFS('Direkte input'!G$3:G$230,'Direkte input'!$F$3:$F$230,$D286,'Direkte input'!$C$3:$C$230,$B286,'Direkte input'!$A$3:$A$230,$A$1)),IF(VLOOKUP($A286,[1]!Table1[#All],2,FALSE)="Resultat",SUMIF($F$1:$F285,$D286,H$1:H285)+SUMIF($F287:$F$512,$D286,H287:H$512),0))*'[1]Processer - data'!H286,"")*IF($C286&lt;&gt;"",IF($F286="Halm",Landbrug!C$16*Landbrug!C$17,IF(LEFT($D286,5)="Areal", IF($G286="Ton",Landbrug!C$18,1),1)),1)*IF($F286="Grøntsager",IF($A286="Grøntsager i drivhus",Landbrug!C$51,1-Landbrug!C$51),1)</f>
        <v>-1695555.3779756967</v>
      </c>
      <c r="I286" s="298">
        <f>IF($A286&lt;&gt;"",IF(VLOOKUP($A286,[1]!Table1[#All],2,FALSE)="Direkte input",IF($A286&lt;&gt;"Grøntsager i drivhus",SUMIFS('Direkte input'!H$3:H$230,'Direkte input'!$F$3:$F$230,$D286,'Direkte input'!$C$3:$C$230,$B286,'Direkte input'!$D$3:$D$230,$C286,'Direkte input'!$A$3:$A$230,$A$1),SUMIFS('Direkte input'!H$3:H$230,'Direkte input'!$F$3:$F$230,$D286,'Direkte input'!$C$3:$C$230,$B286,'Direkte input'!$A$3:$A$230,$A$1)),IF(VLOOKUP($A286,[1]!Table1[#All],2,FALSE)="Resultat",SUMIF($F$1:$F285,$D286,I$1:I285)+SUMIF($F287:$F$512,$D286,I287:I$512),0))*'[1]Processer - data'!I286,"")*IF($C286&lt;&gt;"",IF($F286="Halm",Landbrug!D$16*Landbrug!D$17,IF(LEFT($D286,5)="Areal", IF($G286="Ton",Landbrug!D$18,1),1)),1)*IF($F286="Grøntsager",IF($A286="Grøntsager i drivhus",Landbrug!D$51,1-Landbrug!D$51),1)</f>
        <v>-1645836.3038803258</v>
      </c>
      <c r="J286" s="299">
        <f>IF($A286&lt;&gt;"",IF(VLOOKUP($A286,[1]!Table1[#All],2,FALSE)="Direkte input",IF($A286&lt;&gt;"Grøntsager i drivhus",SUMIFS('Direkte input'!I$3:I$230,'Direkte input'!$F$3:$F$230,$D286,'Direkte input'!$C$3:$C$230,$B286,'Direkte input'!$D$3:$D$230,$C286,'Direkte input'!$A$3:$A$230,$A$1),SUMIFS('Direkte input'!I$3:I$230,'Direkte input'!$F$3:$F$230,$D286,'Direkte input'!$C$3:$C$230,$B286,'Direkte input'!$A$3:$A$230,$A$1)),IF(VLOOKUP($A286,[1]!Table1[#All],2,FALSE)="Resultat",SUMIF($F$1:$F285,$D286,J$1:J285)+SUMIF($F287:$F$512,$D286,J287:J$512),0))*'[1]Processer - data'!J286,"")*IF($C286&lt;&gt;"",IF($F286="Halm",Landbrug!E$16*Landbrug!E$17,IF(LEFT($D286,5)="Areal", IF($G286="Ton",Landbrug!E$18,1),1)),1)*IF($F286="Grøntsager",IF($A286="Grøntsager i drivhus",Landbrug!E$51,1-Landbrug!E$51),1)</f>
        <v>-1555252.1764852609</v>
      </c>
    </row>
    <row r="287" spans="1:10" x14ac:dyDescent="0.25">
      <c r="A287" t="str">
        <f>IF('[1]Processer - data'!A287&lt;&gt;"",'[1]Processer - data'!A287,"")</f>
        <v>Øvrig mark</v>
      </c>
      <c r="B287" t="str">
        <f>IF('[1]Processer - data'!B287&lt;&gt;"",'[1]Processer - data'!B287,"")</f>
        <v>Konventionel</v>
      </c>
      <c r="C287" t="str">
        <f>IF('[1]Processer - data'!C287&lt;&gt;"",'[1]Processer - data'!C287,"")</f>
        <v>JB1-10</v>
      </c>
      <c r="D287" t="str">
        <f>IF('[1]Processer - data'!D287&lt;&gt;"",'[1]Processer - data'!D287,"")</f>
        <v>Areal-øvrige</v>
      </c>
      <c r="E287" t="str">
        <f>IF('[1]Processer - data'!E287&lt;&gt;"",'[1]Processer - data'!E287,"")</f>
        <v>Hektar</v>
      </c>
      <c r="F287" t="str">
        <f>IF('[1]Processer - data'!F287&lt;&gt;"",'[1]Processer - data'!F287,"")</f>
        <v>CO2 - atmosfære</v>
      </c>
      <c r="G287" t="str">
        <f>IF('[1]Processer - data'!G287&lt;&gt;"",'[1]Processer - data'!G287,"")</f>
        <v>t CO2-ækvivalenter</v>
      </c>
      <c r="H287" s="297">
        <f>IF($A287&lt;&gt;"",IF(VLOOKUP($A287,[1]!Table1[#All],2,FALSE)="Direkte input",IF($A287&lt;&gt;"Grøntsager i drivhus",SUMIFS('Direkte input'!G$3:G$230,'Direkte input'!$F$3:$F$230,$D287,'Direkte input'!$C$3:$C$230,$B287,'Direkte input'!$D$3:$D$230,$C287,'Direkte input'!$A$3:$A$230,$A$1),SUMIFS('Direkte input'!G$3:G$230,'Direkte input'!$F$3:$F$230,$D287,'Direkte input'!$C$3:$C$230,$B287,'Direkte input'!$A$3:$A$230,$A$1)),IF(VLOOKUP($A287,[1]!Table1[#All],2,FALSE)="Resultat",SUMIF($F$1:$F286,$D287,H$1:H286)+SUMIF($F288:$F$512,$D287,H288:H$512),0))*'[1]Processer - data'!H287,"")*IF($C287&lt;&gt;"",IF($F287="Halm",Landbrug!C$16*Landbrug!C$17,IF(LEFT($D287,5)="Areal", IF($G287="Ton",Landbrug!C$18,1),1)),1)*IF($F287="Grøntsager",IF($A287="Grøntsager i drivhus",Landbrug!C$51,1-Landbrug!C$51),1)</f>
        <v>27133.194458625378</v>
      </c>
      <c r="I287" s="298">
        <f>IF($A287&lt;&gt;"",IF(VLOOKUP($A287,[1]!Table1[#All],2,FALSE)="Direkte input",IF($A287&lt;&gt;"Grøntsager i drivhus",SUMIFS('Direkte input'!H$3:H$230,'Direkte input'!$F$3:$F$230,$D287,'Direkte input'!$C$3:$C$230,$B287,'Direkte input'!$D$3:$D$230,$C287,'Direkte input'!$A$3:$A$230,$A$1),SUMIFS('Direkte input'!H$3:H$230,'Direkte input'!$F$3:$F$230,$D287,'Direkte input'!$C$3:$C$230,$B287,'Direkte input'!$A$3:$A$230,$A$1)),IF(VLOOKUP($A287,[1]!Table1[#All],2,FALSE)="Resultat",SUMIF($F$1:$F286,$D287,I$1:I286)+SUMIF($F288:$F$512,$D287,I288:I$512),0))*'[1]Processer - data'!I287,"")*IF($C287&lt;&gt;"",IF($F287="Halm",Landbrug!D$16*Landbrug!D$17,IF(LEFT($D287,5)="Areal", IF($G287="Ton",Landbrug!D$18,1),1)),1)*IF($F287="Grøntsager",IF($A287="Grøntsager i drivhus",Landbrug!D$51,1-Landbrug!D$51),1)</f>
        <v>26337.562936791448</v>
      </c>
      <c r="J287" s="299">
        <f>IF($A287&lt;&gt;"",IF(VLOOKUP($A287,[1]!Table1[#All],2,FALSE)="Direkte input",IF($A287&lt;&gt;"Grøntsager i drivhus",SUMIFS('Direkte input'!I$3:I$230,'Direkte input'!$F$3:$F$230,$D287,'Direkte input'!$C$3:$C$230,$B287,'Direkte input'!$D$3:$D$230,$C287,'Direkte input'!$A$3:$A$230,$A$1),SUMIFS('Direkte input'!I$3:I$230,'Direkte input'!$F$3:$F$230,$D287,'Direkte input'!$C$3:$C$230,$B287,'Direkte input'!$A$3:$A$230,$A$1)),IF(VLOOKUP($A287,[1]!Table1[#All],2,FALSE)="Resultat",SUMIF($F$1:$F286,$D287,J$1:J286)+SUMIF($F288:$F$512,$D287,J288:J$512),0))*'[1]Processer - data'!J287,"")*IF($C287&lt;&gt;"",IF($F287="Halm",Landbrug!E$16*Landbrug!E$17,IF(LEFT($D287,5)="Areal", IF($G287="Ton",Landbrug!E$18,1),1)),1)*IF($F287="Grøntsager",IF($A287="Grøntsager i drivhus",Landbrug!E$51,1-Landbrug!E$51),1)</f>
        <v>24887.986723946331</v>
      </c>
    </row>
    <row r="288" spans="1:10" x14ac:dyDescent="0.25">
      <c r="A288" t="str">
        <f>IF('[1]Processer - data'!A288&lt;&gt;"",'[1]Processer - data'!A288,"")</f>
        <v>Øvrig mark</v>
      </c>
      <c r="B288" t="str">
        <f>IF('[1]Processer - data'!B288&lt;&gt;"",'[1]Processer - data'!B288,"")</f>
        <v>Konventionel</v>
      </c>
      <c r="C288" t="str">
        <f>IF('[1]Processer - data'!C288&lt;&gt;"",'[1]Processer - data'!C288,"")</f>
        <v>OC6</v>
      </c>
      <c r="D288" t="str">
        <f>IF('[1]Processer - data'!D288&lt;&gt;"",'[1]Processer - data'!D288,"")</f>
        <v>Areal-øvrige</v>
      </c>
      <c r="E288" t="str">
        <f>IF('[1]Processer - data'!E288&lt;&gt;"",'[1]Processer - data'!E288,"")</f>
        <v>Hektar</v>
      </c>
      <c r="F288" t="str">
        <f>IF('[1]Processer - data'!F288&lt;&gt;"",'[1]Processer - data'!F288,"")</f>
        <v>Øvrige</v>
      </c>
      <c r="G288" t="str">
        <f>IF('[1]Processer - data'!G288&lt;&gt;"",'[1]Processer - data'!G288,"")</f>
        <v>Ton</v>
      </c>
      <c r="H288" s="297">
        <f>IF($A288&lt;&gt;"",IF(VLOOKUP($A288,[1]!Table1[#All],2,FALSE)="Direkte input",IF($A288&lt;&gt;"Grøntsager i drivhus",SUMIFS('Direkte input'!G$3:G$230,'Direkte input'!$F$3:$F$230,$D288,'Direkte input'!$C$3:$C$230,$B288,'Direkte input'!$D$3:$D$230,$C288,'Direkte input'!$A$3:$A$230,$A$1),SUMIFS('Direkte input'!G$3:G$230,'Direkte input'!$F$3:$F$230,$D288,'Direkte input'!$C$3:$C$230,$B288,'Direkte input'!$A$3:$A$230,$A$1)),IF(VLOOKUP($A288,[1]!Table1[#All],2,FALSE)="Resultat",SUMIF($F$1:$F287,$D288,H$1:H287)+SUMIF($F289:$F$512,$D288,H289:H$512),0))*'[1]Processer - data'!H288,"")*IF($C288&lt;&gt;"",IF($F288="Halm",Landbrug!C$16*Landbrug!C$17,IF(LEFT($D288,5)="Areal", IF($G288="Ton",Landbrug!C$18,1),1)),1)*IF($F288="Grøntsager",IF($A288="Grøntsager i drivhus",Landbrug!C$51,1-Landbrug!C$51),1)</f>
        <v>7636.4378671983013</v>
      </c>
      <c r="I288" s="298">
        <f>IF($A288&lt;&gt;"",IF(VLOOKUP($A288,[1]!Table1[#All],2,FALSE)="Direkte input",IF($A288&lt;&gt;"Grøntsager i drivhus",SUMIFS('Direkte input'!H$3:H$230,'Direkte input'!$F$3:$F$230,$D288,'Direkte input'!$C$3:$C$230,$B288,'Direkte input'!$D$3:$D$230,$C288,'Direkte input'!$A$3:$A$230,$A$1),SUMIFS('Direkte input'!H$3:H$230,'Direkte input'!$F$3:$F$230,$D288,'Direkte input'!$C$3:$C$230,$B288,'Direkte input'!$A$3:$A$230,$A$1)),IF(VLOOKUP($A288,[1]!Table1[#All],2,FALSE)="Resultat",SUMIF($F$1:$F287,$D288,I$1:I287)+SUMIF($F289:$F$512,$D288,I289:I$512),0))*'[1]Processer - data'!I288,"")*IF($C288&lt;&gt;"",IF($F288="Halm",Landbrug!D$16*Landbrug!D$17,IF(LEFT($D288,5)="Areal", IF($G288="Ton",Landbrug!D$18,1),1)),1)*IF($F288="Grøntsager",IF($A288="Grøntsager i drivhus",Landbrug!D$51,1-Landbrug!D$51),1)</f>
        <v>7404.6923712171629</v>
      </c>
      <c r="J288" s="299">
        <f>IF($A288&lt;&gt;"",IF(VLOOKUP($A288,[1]!Table1[#All],2,FALSE)="Direkte input",IF($A288&lt;&gt;"Grøntsager i drivhus",SUMIFS('Direkte input'!I$3:I$230,'Direkte input'!$F$3:$F$230,$D288,'Direkte input'!$C$3:$C$230,$B288,'Direkte input'!$D$3:$D$230,$C288,'Direkte input'!$A$3:$A$230,$A$1),SUMIFS('Direkte input'!I$3:I$230,'Direkte input'!$F$3:$F$230,$D288,'Direkte input'!$C$3:$C$230,$B288,'Direkte input'!$A$3:$A$230,$A$1)),IF(VLOOKUP($A288,[1]!Table1[#All],2,FALSE)="Resultat",SUMIF($F$1:$F287,$D288,J$1:J287)+SUMIF($F289:$F$512,$D288,J289:J$512),0))*'[1]Processer - data'!J288,"")*IF($C288&lt;&gt;"",IF($F288="Halm",Landbrug!E$16*Landbrug!E$17,IF(LEFT($D288,5)="Areal", IF($G288="Ton",Landbrug!E$18,1),1)),1)*IF($F288="Grøntsager",IF($A288="Grøntsager i drivhus",Landbrug!E$51,1-Landbrug!E$51),1)</f>
        <v>7576.1386929431028</v>
      </c>
    </row>
    <row r="289" spans="1:10" x14ac:dyDescent="0.25">
      <c r="A289" t="str">
        <f>IF('[1]Processer - data'!A289&lt;&gt;"",'[1]Processer - data'!A289,"")</f>
        <v>Øvrig mark</v>
      </c>
      <c r="B289" t="str">
        <f>IF('[1]Processer - data'!B289&lt;&gt;"",'[1]Processer - data'!B289,"")</f>
        <v>Konventionel</v>
      </c>
      <c r="C289" t="str">
        <f>IF('[1]Processer - data'!C289&lt;&gt;"",'[1]Processer - data'!C289,"")</f>
        <v>OC6</v>
      </c>
      <c r="D289" t="str">
        <f>IF('[1]Processer - data'!D289&lt;&gt;"",'[1]Processer - data'!D289,"")</f>
        <v>Areal-øvrige</v>
      </c>
      <c r="E289" t="str">
        <f>IF('[1]Processer - data'!E289&lt;&gt;"",'[1]Processer - data'!E289,"")</f>
        <v>Hektar</v>
      </c>
      <c r="F289" t="str">
        <f>IF('[1]Processer - data'!F289&lt;&gt;"",'[1]Processer - data'!F289,"")</f>
        <v>Gødning</v>
      </c>
      <c r="G289" t="str">
        <f>IF('[1]Processer - data'!G289&lt;&gt;"",'[1]Processer - data'!G289,"")</f>
        <v>kg N</v>
      </c>
      <c r="H289" s="297">
        <f>IF($A289&lt;&gt;"",IF(VLOOKUP($A289,[1]!Table1[#All],2,FALSE)="Direkte input",IF($A289&lt;&gt;"Grøntsager i drivhus",SUMIFS('Direkte input'!G$3:G$230,'Direkte input'!$F$3:$F$230,$D289,'Direkte input'!$C$3:$C$230,$B289,'Direkte input'!$D$3:$D$230,$C289,'Direkte input'!$A$3:$A$230,$A$1),SUMIFS('Direkte input'!G$3:G$230,'Direkte input'!$F$3:$F$230,$D289,'Direkte input'!$C$3:$C$230,$B289,'Direkte input'!$A$3:$A$230,$A$1)),IF(VLOOKUP($A289,[1]!Table1[#All],2,FALSE)="Resultat",SUMIF($F$1:$F288,$D289,H$1:H288)+SUMIF($F290:$F$512,$D289,H290:H$512),0))*'[1]Processer - data'!H289,"")*IF($C289&lt;&gt;"",IF($F289="Halm",Landbrug!C$16*Landbrug!C$17,IF(LEFT($D289,5)="Areal", IF($G289="Ton",Landbrug!C$18,1),1)),1)*IF($F289="Grøntsager",IF($A289="Grøntsager i drivhus",Landbrug!C$51,1-Landbrug!C$51),1)</f>
        <v>-26696.999127233765</v>
      </c>
      <c r="I289" s="298">
        <f>IF($A289&lt;&gt;"",IF(VLOOKUP($A289,[1]!Table1[#All],2,FALSE)="Direkte input",IF($A289&lt;&gt;"Grøntsager i drivhus",SUMIFS('Direkte input'!H$3:H$230,'Direkte input'!$F$3:$F$230,$D289,'Direkte input'!$C$3:$C$230,$B289,'Direkte input'!$D$3:$D$230,$C289,'Direkte input'!$A$3:$A$230,$A$1),SUMIFS('Direkte input'!H$3:H$230,'Direkte input'!$F$3:$F$230,$D289,'Direkte input'!$C$3:$C$230,$B289,'Direkte input'!$A$3:$A$230,$A$1)),IF(VLOOKUP($A289,[1]!Table1[#All],2,FALSE)="Resultat",SUMIF($F$1:$F288,$D289,I$1:I288)+SUMIF($F290:$F$512,$D289,I290:I$512),0))*'[1]Processer - data'!I289,"")*IF($C289&lt;&gt;"",IF($F289="Halm",Landbrug!D$16*Landbrug!D$17,IF(LEFT($D289,5)="Areal", IF($G289="Ton",Landbrug!D$18,1),1)),1)*IF($F289="Grøntsager",IF($A289="Grøntsager i drivhus",Landbrug!D$51,1-Landbrug!D$51),1)</f>
        <v>-24148.149718928344</v>
      </c>
      <c r="J289" s="299">
        <f>IF($A289&lt;&gt;"",IF(VLOOKUP($A289,[1]!Table1[#All],2,FALSE)="Direkte input",IF($A289&lt;&gt;"Grøntsager i drivhus",SUMIFS('Direkte input'!I$3:I$230,'Direkte input'!$F$3:$F$230,$D289,'Direkte input'!$C$3:$C$230,$B289,'Direkte input'!$D$3:$D$230,$C289,'Direkte input'!$A$3:$A$230,$A$1),SUMIFS('Direkte input'!I$3:I$230,'Direkte input'!$F$3:$F$230,$D289,'Direkte input'!$C$3:$C$230,$B289,'Direkte input'!$A$3:$A$230,$A$1)),IF(VLOOKUP($A289,[1]!Table1[#All],2,FALSE)="Resultat",SUMIF($F$1:$F288,$D289,J$1:J288)+SUMIF($F290:$F$512,$D289,J290:J$512),0))*'[1]Processer - data'!J289,"")*IF($C289&lt;&gt;"",IF($F289="Halm",Landbrug!E$16*Landbrug!E$17,IF(LEFT($D289,5)="Areal", IF($G289="Ton",Landbrug!E$18,1),1)),1)*IF($F289="Grøntsager",IF($A289="Grøntsager i drivhus",Landbrug!E$51,1-Landbrug!E$51),1)</f>
        <v>-23031.472275278473</v>
      </c>
    </row>
    <row r="290" spans="1:10" x14ac:dyDescent="0.25">
      <c r="A290" t="str">
        <f>IF('[1]Processer - data'!A290&lt;&gt;"",'[1]Processer - data'!A290,"")</f>
        <v>Øvrig mark</v>
      </c>
      <c r="B290" t="str">
        <f>IF('[1]Processer - data'!B290&lt;&gt;"",'[1]Processer - data'!B290,"")</f>
        <v>Konventionel</v>
      </c>
      <c r="C290" t="str">
        <f>IF('[1]Processer - data'!C290&lt;&gt;"",'[1]Processer - data'!C290,"")</f>
        <v>OC6</v>
      </c>
      <c r="D290" t="str">
        <f>IF('[1]Processer - data'!D290&lt;&gt;"",'[1]Processer - data'!D290,"")</f>
        <v>Areal-øvrige</v>
      </c>
      <c r="E290" t="str">
        <f>IF('[1]Processer - data'!E290&lt;&gt;"",'[1]Processer - data'!E290,"")</f>
        <v>Hektar</v>
      </c>
      <c r="F290" t="str">
        <f>IF('[1]Processer - data'!F290&lt;&gt;"",'[1]Processer - data'!F290,"")</f>
        <v>CO2 - atmosfære</v>
      </c>
      <c r="G290" t="str">
        <f>IF('[1]Processer - data'!G290&lt;&gt;"",'[1]Processer - data'!G290,"")</f>
        <v>t CO2-ækvivalenter</v>
      </c>
      <c r="H290" s="297">
        <f>IF($A290&lt;&gt;"",IF(VLOOKUP($A290,[1]!Table1[#All],2,FALSE)="Direkte input",IF($A290&lt;&gt;"Grøntsager i drivhus",SUMIFS('Direkte input'!G$3:G$230,'Direkte input'!$F$3:$F$230,$D290,'Direkte input'!$C$3:$C$230,$B290,'Direkte input'!$D$3:$D$230,$C290,'Direkte input'!$A$3:$A$230,$A$1),SUMIFS('Direkte input'!G$3:G$230,'Direkte input'!$F$3:$F$230,$D290,'Direkte input'!$C$3:$C$230,$B290,'Direkte input'!$A$3:$A$230,$A$1)),IF(VLOOKUP($A290,[1]!Table1[#All],2,FALSE)="Resultat",SUMIF($F$1:$F289,$D290,H$1:H289)+SUMIF($F291:$F$512,$D290,H291:H$512),0))*'[1]Processer - data'!H290,"")*IF($C290&lt;&gt;"",IF($F290="Halm",Landbrug!C$16*Landbrug!C$17,IF(LEFT($D290,5)="Areal", IF($G290="Ton",Landbrug!C$18,1),1)),1)*IF($F290="Grøntsager",IF($A290="Grøntsager i drivhus",Landbrug!C$51,1-Landbrug!C$51),1)</f>
        <v>3415.4420045739876</v>
      </c>
      <c r="I290" s="298">
        <f>IF($A290&lt;&gt;"",IF(VLOOKUP($A290,[1]!Table1[#All],2,FALSE)="Direkte input",IF($A290&lt;&gt;"Grøntsager i drivhus",SUMIFS('Direkte input'!H$3:H$230,'Direkte input'!$F$3:$F$230,$D290,'Direkte input'!$C$3:$C$230,$B290,'Direkte input'!$D$3:$D$230,$C290,'Direkte input'!$A$3:$A$230,$A$1),SUMIFS('Direkte input'!H$3:H$230,'Direkte input'!$F$3:$F$230,$D290,'Direkte input'!$C$3:$C$230,$B290,'Direkte input'!$A$3:$A$230,$A$1)),IF(VLOOKUP($A290,[1]!Table1[#All],2,FALSE)="Resultat",SUMIF($F$1:$F289,$D290,I$1:I289)+SUMIF($F291:$F$512,$D290,I291:I$512),0))*'[1]Processer - data'!I290,"")*IF($C290&lt;&gt;"",IF($F290="Halm",Landbrug!D$16*Landbrug!D$17,IF(LEFT($D290,5)="Areal", IF($G290="Ton",Landbrug!D$18,1),1)),1)*IF($F290="Grøntsager",IF($A290="Grøntsager i drivhus",Landbrug!D$51,1-Landbrug!D$51),1)</f>
        <v>3089.3586387630558</v>
      </c>
      <c r="J290" s="299">
        <f>IF($A290&lt;&gt;"",IF(VLOOKUP($A290,[1]!Table1[#All],2,FALSE)="Direkte input",IF($A290&lt;&gt;"Grøntsager i drivhus",SUMIFS('Direkte input'!I$3:I$230,'Direkte input'!$F$3:$F$230,$D290,'Direkte input'!$C$3:$C$230,$B290,'Direkte input'!$D$3:$D$230,$C290,'Direkte input'!$A$3:$A$230,$A$1),SUMIFS('Direkte input'!I$3:I$230,'Direkte input'!$F$3:$F$230,$D290,'Direkte input'!$C$3:$C$230,$B290,'Direkte input'!$A$3:$A$230,$A$1)),IF(VLOOKUP($A290,[1]!Table1[#All],2,FALSE)="Resultat",SUMIF($F$1:$F289,$D290,J$1:J289)+SUMIF($F291:$F$512,$D290,J291:J$512),0))*'[1]Processer - data'!J290,"")*IF($C290&lt;&gt;"",IF($F290="Halm",Landbrug!E$16*Landbrug!E$17,IF(LEFT($D290,5)="Areal", IF($G290="Ton",Landbrug!E$18,1),1)),1)*IF($F290="Grøntsager",IF($A290="Grøntsager i drivhus",Landbrug!E$51,1-Landbrug!E$51),1)</f>
        <v>2946.4981236757467</v>
      </c>
    </row>
    <row r="291" spans="1:10" x14ac:dyDescent="0.25">
      <c r="A291" t="str">
        <f>IF('[1]Processer - data'!A291&lt;&gt;"",'[1]Processer - data'!A291,"")</f>
        <v>Øvrig mark</v>
      </c>
      <c r="B291" t="str">
        <f>IF('[1]Processer - data'!B291&lt;&gt;"",'[1]Processer - data'!B291,"")</f>
        <v>Konventionel</v>
      </c>
      <c r="C291" t="str">
        <f>IF('[1]Processer - data'!C291&lt;&gt;"",'[1]Processer - data'!C291,"")</f>
        <v>OC12</v>
      </c>
      <c r="D291" t="str">
        <f>IF('[1]Processer - data'!D291&lt;&gt;"",'[1]Processer - data'!D291,"")</f>
        <v>Areal-øvrige</v>
      </c>
      <c r="E291" t="str">
        <f>IF('[1]Processer - data'!E291&lt;&gt;"",'[1]Processer - data'!E291,"")</f>
        <v>Hektar</v>
      </c>
      <c r="F291" t="str">
        <f>IF('[1]Processer - data'!F291&lt;&gt;"",'[1]Processer - data'!F291,"")</f>
        <v>Øvrige</v>
      </c>
      <c r="G291" t="str">
        <f>IF('[1]Processer - data'!G291&lt;&gt;"",'[1]Processer - data'!G291,"")</f>
        <v>Ton</v>
      </c>
      <c r="H291" s="297">
        <f>IF($A291&lt;&gt;"",IF(VLOOKUP($A291,[1]!Table1[#All],2,FALSE)="Direkte input",IF($A291&lt;&gt;"Grøntsager i drivhus",SUMIFS('Direkte input'!G$3:G$230,'Direkte input'!$F$3:$F$230,$D291,'Direkte input'!$C$3:$C$230,$B291,'Direkte input'!$D$3:$D$230,$C291,'Direkte input'!$A$3:$A$230,$A$1),SUMIFS('Direkte input'!G$3:G$230,'Direkte input'!$F$3:$F$230,$D291,'Direkte input'!$C$3:$C$230,$B291,'Direkte input'!$A$3:$A$230,$A$1)),IF(VLOOKUP($A291,[1]!Table1[#All],2,FALSE)="Resultat",SUMIF($F$1:$F290,$D291,H$1:H290)+SUMIF($F292:$F$512,$D291,H292:H$512),0))*'[1]Processer - data'!H291,"")*IF($C291&lt;&gt;"",IF($F291="Halm",Landbrug!C$16*Landbrug!C$17,IF(LEFT($D291,5)="Areal", IF($G291="Ton",Landbrug!C$18,1),1)),1)*IF($F291="Grøntsager",IF($A291="Grøntsager i drivhus",Landbrug!C$51,1-Landbrug!C$51),1)</f>
        <v>5378.8247380303737</v>
      </c>
      <c r="I291" s="298">
        <f>IF($A291&lt;&gt;"",IF(VLOOKUP($A291,[1]!Table1[#All],2,FALSE)="Direkte input",IF($A291&lt;&gt;"Grøntsager i drivhus",SUMIFS('Direkte input'!H$3:H$230,'Direkte input'!$F$3:$F$230,$D291,'Direkte input'!$C$3:$C$230,$B291,'Direkte input'!$D$3:$D$230,$C291,'Direkte input'!$A$3:$A$230,$A$1),SUMIFS('Direkte input'!H$3:H$230,'Direkte input'!$F$3:$F$230,$D291,'Direkte input'!$C$3:$C$230,$B291,'Direkte input'!$A$3:$A$230,$A$1)),IF(VLOOKUP($A291,[1]!Table1[#All],2,FALSE)="Resultat",SUMIF($F$1:$F290,$D291,I$1:I290)+SUMIF($F292:$F$512,$D291,I292:I$512),0))*'[1]Processer - data'!I291,"")*IF($C291&lt;&gt;"",IF($F291="Halm",Landbrug!D$16*Landbrug!D$17,IF(LEFT($D291,5)="Areal", IF($G291="Ton",Landbrug!D$18,1),1)),1)*IF($F291="Grøntsager",IF($A291="Grøntsager i drivhus",Landbrug!D$51,1-Landbrug!D$51),1)</f>
        <v>5256.8890643319037</v>
      </c>
      <c r="J291" s="299">
        <f>IF($A291&lt;&gt;"",IF(VLOOKUP($A291,[1]!Table1[#All],2,FALSE)="Direkte input",IF($A291&lt;&gt;"Grøntsager i drivhus",SUMIFS('Direkte input'!I$3:I$230,'Direkte input'!$F$3:$F$230,$D291,'Direkte input'!$C$3:$C$230,$B291,'Direkte input'!$D$3:$D$230,$C291,'Direkte input'!$A$3:$A$230,$A$1),SUMIFS('Direkte input'!I$3:I$230,'Direkte input'!$F$3:$F$230,$D291,'Direkte input'!$C$3:$C$230,$B291,'Direkte input'!$A$3:$A$230,$A$1)),IF(VLOOKUP($A291,[1]!Table1[#All],2,FALSE)="Resultat",SUMIF($F$1:$F290,$D291,J$1:J290)+SUMIF($F292:$F$512,$D291,J292:J$512),0))*'[1]Processer - data'!J291,"")*IF($C291&lt;&gt;"",IF($F291="Halm",Landbrug!E$16*Landbrug!E$17,IF(LEFT($D291,5)="Areal", IF($G291="Ton",Landbrug!E$18,1),1)),1)*IF($F291="Grøntsager",IF($A291="Grøntsager i drivhus",Landbrug!E$51,1-Landbrug!E$51),1)</f>
        <v>5378.6057067820857</v>
      </c>
    </row>
    <row r="292" spans="1:10" x14ac:dyDescent="0.25">
      <c r="A292" t="str">
        <f>IF('[1]Processer - data'!A292&lt;&gt;"",'[1]Processer - data'!A292,"")</f>
        <v>Øvrig mark</v>
      </c>
      <c r="B292" t="str">
        <f>IF('[1]Processer - data'!B292&lt;&gt;"",'[1]Processer - data'!B292,"")</f>
        <v>Konventionel</v>
      </c>
      <c r="C292" t="str">
        <f>IF('[1]Processer - data'!C292&lt;&gt;"",'[1]Processer - data'!C292,"")</f>
        <v>OC12</v>
      </c>
      <c r="D292" t="str">
        <f>IF('[1]Processer - data'!D292&lt;&gt;"",'[1]Processer - data'!D292,"")</f>
        <v>Areal-øvrige</v>
      </c>
      <c r="E292" t="str">
        <f>IF('[1]Processer - data'!E292&lt;&gt;"",'[1]Processer - data'!E292,"")</f>
        <v>Hektar</v>
      </c>
      <c r="F292" t="str">
        <f>IF('[1]Processer - data'!F292&lt;&gt;"",'[1]Processer - data'!F292,"")</f>
        <v>Gødning</v>
      </c>
      <c r="G292" t="str">
        <f>IF('[1]Processer - data'!G292&lt;&gt;"",'[1]Processer - data'!G292,"")</f>
        <v>kg N</v>
      </c>
      <c r="H292" s="297">
        <f>IF($A292&lt;&gt;"",IF(VLOOKUP($A292,[1]!Table1[#All],2,FALSE)="Direkte input",IF($A292&lt;&gt;"Grøntsager i drivhus",SUMIFS('Direkte input'!G$3:G$230,'Direkte input'!$F$3:$F$230,$D292,'Direkte input'!$C$3:$C$230,$B292,'Direkte input'!$D$3:$D$230,$C292,'Direkte input'!$A$3:$A$230,$A$1),SUMIFS('Direkte input'!G$3:G$230,'Direkte input'!$F$3:$F$230,$D292,'Direkte input'!$C$3:$C$230,$B292,'Direkte input'!$A$3:$A$230,$A$1)),IF(VLOOKUP($A292,[1]!Table1[#All],2,FALSE)="Resultat",SUMIF($F$1:$F291,$D292,H$1:H291)+SUMIF($F293:$F$512,$D292,H293:H$512),0))*'[1]Processer - data'!H292,"")*IF($C292&lt;&gt;"",IF($F292="Halm",Landbrug!C$16*Landbrug!C$17,IF(LEFT($D292,5)="Areal", IF($G292="Ton",Landbrug!C$18,1),1)),1)*IF($F292="Grøntsager",IF($A292="Grøntsager i drivhus",Landbrug!C$51,1-Landbrug!C$51),1)</f>
        <v>-13915.241184064545</v>
      </c>
      <c r="I292" s="298">
        <f>IF($A292&lt;&gt;"",IF(VLOOKUP($A292,[1]!Table1[#All],2,FALSE)="Direkte input",IF($A292&lt;&gt;"Grøntsager i drivhus",SUMIFS('Direkte input'!H$3:H$230,'Direkte input'!$F$3:$F$230,$D292,'Direkte input'!$C$3:$C$230,$B292,'Direkte input'!$D$3:$D$230,$C292,'Direkte input'!$A$3:$A$230,$A$1),SUMIFS('Direkte input'!H$3:H$230,'Direkte input'!$F$3:$F$230,$D292,'Direkte input'!$C$3:$C$230,$B292,'Direkte input'!$A$3:$A$230,$A$1)),IF(VLOOKUP($A292,[1]!Table1[#All],2,FALSE)="Resultat",SUMIF($F$1:$F291,$D292,I$1:I291)+SUMIF($F293:$F$512,$D292,I293:I$512),0))*'[1]Processer - data'!I292,"")*IF($C292&lt;&gt;"",IF($F292="Halm",Landbrug!D$16*Landbrug!D$17,IF(LEFT($D292,5)="Areal", IF($G292="Ton",Landbrug!D$18,1),1)),1)*IF($F292="Grøntsager",IF($A292="Grøntsager i drivhus",Landbrug!D$51,1-Landbrug!D$51),1)</f>
        <v>-12686.369937433166</v>
      </c>
      <c r="J292" s="299">
        <f>IF($A292&lt;&gt;"",IF(VLOOKUP($A292,[1]!Table1[#All],2,FALSE)="Direkte input",IF($A292&lt;&gt;"Grøntsager i drivhus",SUMIFS('Direkte input'!I$3:I$230,'Direkte input'!$F$3:$F$230,$D292,'Direkte input'!$C$3:$C$230,$B292,'Direkte input'!$D$3:$D$230,$C292,'Direkte input'!$A$3:$A$230,$A$1),SUMIFS('Direkte input'!I$3:I$230,'Direkte input'!$F$3:$F$230,$D292,'Direkte input'!$C$3:$C$230,$B292,'Direkte input'!$A$3:$A$230,$A$1)),IF(VLOOKUP($A292,[1]!Table1[#All],2,FALSE)="Resultat",SUMIF($F$1:$F291,$D292,J$1:J291)+SUMIF($F293:$F$512,$D292,J293:J$512),0))*'[1]Processer - data'!J292,"")*IF($C292&lt;&gt;"",IF($F292="Halm",Landbrug!E$16*Landbrug!E$17,IF(LEFT($D292,5)="Areal", IF($G292="Ton",Landbrug!E$18,1),1)),1)*IF($F292="Grøntsager",IF($A292="Grøntsager i drivhus",Landbrug!E$51,1-Landbrug!E$51),1)</f>
        <v>-12099.716992349551</v>
      </c>
    </row>
    <row r="293" spans="1:10" x14ac:dyDescent="0.25">
      <c r="A293" t="str">
        <f>IF('[1]Processer - data'!A293&lt;&gt;"",'[1]Processer - data'!A293,"")</f>
        <v>Øvrig mark</v>
      </c>
      <c r="B293" t="str">
        <f>IF('[1]Processer - data'!B293&lt;&gt;"",'[1]Processer - data'!B293,"")</f>
        <v>Konventionel</v>
      </c>
      <c r="C293" t="str">
        <f>IF('[1]Processer - data'!C293&lt;&gt;"",'[1]Processer - data'!C293,"")</f>
        <v>OC12</v>
      </c>
      <c r="D293" t="str">
        <f>IF('[1]Processer - data'!D293&lt;&gt;"",'[1]Processer - data'!D293,"")</f>
        <v>Areal-øvrige</v>
      </c>
      <c r="E293" t="str">
        <f>IF('[1]Processer - data'!E293&lt;&gt;"",'[1]Processer - data'!E293,"")</f>
        <v>Hektar</v>
      </c>
      <c r="F293" t="str">
        <f>IF('[1]Processer - data'!F293&lt;&gt;"",'[1]Processer - data'!F293,"")</f>
        <v>CO2 - atmosfære</v>
      </c>
      <c r="G293" t="str">
        <f>IF('[1]Processer - data'!G293&lt;&gt;"",'[1]Processer - data'!G293,"")</f>
        <v>t CO2-ækvivalenter</v>
      </c>
      <c r="H293" s="297">
        <f>IF($A293&lt;&gt;"",IF(VLOOKUP($A293,[1]!Table1[#All],2,FALSE)="Direkte input",IF($A293&lt;&gt;"Grøntsager i drivhus",SUMIFS('Direkte input'!G$3:G$230,'Direkte input'!$F$3:$F$230,$D293,'Direkte input'!$C$3:$C$230,$B293,'Direkte input'!$D$3:$D$230,$C293,'Direkte input'!$A$3:$A$230,$A$1),SUMIFS('Direkte input'!G$3:G$230,'Direkte input'!$F$3:$F$230,$D293,'Direkte input'!$C$3:$C$230,$B293,'Direkte input'!$A$3:$A$230,$A$1)),IF(VLOOKUP($A293,[1]!Table1[#All],2,FALSE)="Resultat",SUMIF($F$1:$F292,$D293,H$1:H292)+SUMIF($F294:$F$512,$D293,H294:H$512),0))*'[1]Processer - data'!H293,"")*IF($C293&lt;&gt;"",IF($F293="Halm",Landbrug!C$16*Landbrug!C$17,IF(LEFT($D293,5)="Areal", IF($G293="Ton",Landbrug!C$18,1),1)),1)*IF($F293="Grøntsager",IF($A293="Grøntsager i drivhus",Landbrug!C$51,1-Landbrug!C$51),1)</f>
        <v>5280.4883770161323</v>
      </c>
      <c r="I293" s="298">
        <f>IF($A293&lt;&gt;"",IF(VLOOKUP($A293,[1]!Table1[#All],2,FALSE)="Direkte input",IF($A293&lt;&gt;"Grøntsager i drivhus",SUMIFS('Direkte input'!H$3:H$230,'Direkte input'!$F$3:$F$230,$D293,'Direkte input'!$C$3:$C$230,$B293,'Direkte input'!$D$3:$D$230,$C293,'Direkte input'!$A$3:$A$230,$A$1),SUMIFS('Direkte input'!H$3:H$230,'Direkte input'!$F$3:$F$230,$D293,'Direkte input'!$C$3:$C$230,$B293,'Direkte input'!$A$3:$A$230,$A$1)),IF(VLOOKUP($A293,[1]!Table1[#All],2,FALSE)="Resultat",SUMIF($F$1:$F292,$D293,I$1:I292)+SUMIF($F294:$F$512,$D293,I294:I$512),0))*'[1]Processer - data'!I293,"")*IF($C293&lt;&gt;"",IF($F293="Halm",Landbrug!D$16*Landbrug!D$17,IF(LEFT($D293,5)="Areal", IF($G293="Ton",Landbrug!D$18,1),1)),1)*IF($F293="Grøntsager",IF($A293="Grøntsager i drivhus",Landbrug!D$51,1-Landbrug!D$51),1)</f>
        <v>4814.16226388218</v>
      </c>
      <c r="J293" s="299">
        <f>IF($A293&lt;&gt;"",IF(VLOOKUP($A293,[1]!Table1[#All],2,FALSE)="Direkte input",IF($A293&lt;&gt;"Grøntsager i drivhus",SUMIFS('Direkte input'!I$3:I$230,'Direkte input'!$F$3:$F$230,$D293,'Direkte input'!$C$3:$C$230,$B293,'Direkte input'!$D$3:$D$230,$C293,'Direkte input'!$A$3:$A$230,$A$1),SUMIFS('Direkte input'!I$3:I$230,'Direkte input'!$F$3:$F$230,$D293,'Direkte input'!$C$3:$C$230,$B293,'Direkte input'!$A$3:$A$230,$A$1)),IF(VLOOKUP($A293,[1]!Table1[#All],2,FALSE)="Resultat",SUMIF($F$1:$F292,$D293,J$1:J292)+SUMIF($F294:$F$512,$D293,J294:J$512),0))*'[1]Processer - data'!J293,"")*IF($C293&lt;&gt;"",IF($F293="Halm",Landbrug!E$16*Landbrug!E$17,IF(LEFT($D293,5)="Areal", IF($G293="Ton",Landbrug!E$18,1),1)),1)*IF($F293="Grøntsager",IF($A293="Grøntsager i drivhus",Landbrug!E$51,1-Landbrug!E$51),1)</f>
        <v>4591.5420435870501</v>
      </c>
    </row>
    <row r="294" spans="1:10" x14ac:dyDescent="0.25">
      <c r="A294" t="str">
        <f>IF('[1]Processer - data'!A294&lt;&gt;"",'[1]Processer - data'!A294,"")</f>
        <v>Øvrig mark</v>
      </c>
      <c r="B294" t="str">
        <f>IF('[1]Processer - data'!B294&lt;&gt;"",'[1]Processer - data'!B294,"")</f>
        <v>Økologisk</v>
      </c>
      <c r="C294" t="str">
        <f>IF('[1]Processer - data'!C294&lt;&gt;"",'[1]Processer - data'!C294,"")</f>
        <v>JB1-10</v>
      </c>
      <c r="D294" t="str">
        <f>IF('[1]Processer - data'!D294&lt;&gt;"",'[1]Processer - data'!D294,"")</f>
        <v>Areal-øvrige</v>
      </c>
      <c r="E294" t="str">
        <f>IF('[1]Processer - data'!E294&lt;&gt;"",'[1]Processer - data'!E294,"")</f>
        <v>Hektar</v>
      </c>
      <c r="F294" t="str">
        <f>IF('[1]Processer - data'!F294&lt;&gt;"",'[1]Processer - data'!F294,"")</f>
        <v>Øvrige</v>
      </c>
      <c r="G294" t="str">
        <f>IF('[1]Processer - data'!G294&lt;&gt;"",'[1]Processer - data'!G294,"")</f>
        <v>Ton</v>
      </c>
      <c r="H294" s="297">
        <f>IF($A294&lt;&gt;"",IF(VLOOKUP($A294,[1]!Table1[#All],2,FALSE)="Direkte input",IF($A294&lt;&gt;"Grøntsager i drivhus",SUMIFS('Direkte input'!G$3:G$230,'Direkte input'!$F$3:$F$230,$D294,'Direkte input'!$C$3:$C$230,$B294,'Direkte input'!$D$3:$D$230,$C294,'Direkte input'!$A$3:$A$230,$A$1),SUMIFS('Direkte input'!G$3:G$230,'Direkte input'!$F$3:$F$230,$D294,'Direkte input'!$C$3:$C$230,$B294,'Direkte input'!$A$3:$A$230,$A$1)),IF(VLOOKUP($A294,[1]!Table1[#All],2,FALSE)="Resultat",SUMIF($F$1:$F293,$D294,H$1:H293)+SUMIF($F295:$F$512,$D294,H295:H$512),0))*'[1]Processer - data'!H294,"")*IF($C294&lt;&gt;"",IF($F294="Halm",Landbrug!C$16*Landbrug!C$17,IF(LEFT($D294,5)="Areal", IF($G294="Ton",Landbrug!C$18,1),1)),1)*IF($F294="Grøntsager",IF($A294="Grøntsager i drivhus",Landbrug!C$51,1-Landbrug!C$51),1)</f>
        <v>25914.371646253916</v>
      </c>
      <c r="I294" s="298">
        <f>IF($A294&lt;&gt;"",IF(VLOOKUP($A294,[1]!Table1[#All],2,FALSE)="Direkte input",IF($A294&lt;&gt;"Grøntsager i drivhus",SUMIFS('Direkte input'!H$3:H$230,'Direkte input'!$F$3:$F$230,$D294,'Direkte input'!$C$3:$C$230,$B294,'Direkte input'!$D$3:$D$230,$C294,'Direkte input'!$A$3:$A$230,$A$1),SUMIFS('Direkte input'!H$3:H$230,'Direkte input'!$F$3:$F$230,$D294,'Direkte input'!$C$3:$C$230,$B294,'Direkte input'!$A$3:$A$230,$A$1)),IF(VLOOKUP($A294,[1]!Table1[#All],2,FALSE)="Resultat",SUMIF($F$1:$F293,$D294,I$1:I293)+SUMIF($F295:$F$512,$D294,I295:I$512),0))*'[1]Processer - data'!I294,"")*IF($C294&lt;&gt;"",IF($F294="Halm",Landbrug!D$16*Landbrug!D$17,IF(LEFT($D294,5)="Areal", IF($G294="Ton",Landbrug!D$18,1),1)),1)*IF($F294="Grøntsager",IF($A294="Grøntsager i drivhus",Landbrug!D$51,1-Landbrug!D$51),1)</f>
        <v>32914.551731706066</v>
      </c>
      <c r="J294" s="299">
        <f>IF($A294&lt;&gt;"",IF(VLOOKUP($A294,[1]!Table1[#All],2,FALSE)="Direkte input",IF($A294&lt;&gt;"Grøntsager i drivhus",SUMIFS('Direkte input'!I$3:I$230,'Direkte input'!$F$3:$F$230,$D294,'Direkte input'!$C$3:$C$230,$B294,'Direkte input'!$D$3:$D$230,$C294,'Direkte input'!$A$3:$A$230,$A$1),SUMIFS('Direkte input'!I$3:I$230,'Direkte input'!$F$3:$F$230,$D294,'Direkte input'!$C$3:$C$230,$B294,'Direkte input'!$A$3:$A$230,$A$1)),IF(VLOOKUP($A294,[1]!Table1[#All],2,FALSE)="Resultat",SUMIF($F$1:$F293,$D294,J$1:J293)+SUMIF($F295:$F$512,$D294,J295:J$512),0))*'[1]Processer - data'!J294,"")*IF($C294&lt;&gt;"",IF($F294="Halm",Landbrug!E$16*Landbrug!E$17,IF(LEFT($D294,5)="Areal", IF($G294="Ton",Landbrug!E$18,1),1)),1)*IF($F294="Grøntsager",IF($A294="Grøntsager i drivhus",Landbrug!E$51,1-Landbrug!E$51),1)</f>
        <v>45349.40766561983</v>
      </c>
    </row>
    <row r="295" spans="1:10" x14ac:dyDescent="0.25">
      <c r="A295" t="str">
        <f>IF('[1]Processer - data'!A295&lt;&gt;"",'[1]Processer - data'!A295,"")</f>
        <v>Øvrig mark</v>
      </c>
      <c r="B295" t="str">
        <f>IF('[1]Processer - data'!B295&lt;&gt;"",'[1]Processer - data'!B295,"")</f>
        <v>Økologisk</v>
      </c>
      <c r="C295" t="str">
        <f>IF('[1]Processer - data'!C295&lt;&gt;"",'[1]Processer - data'!C295,"")</f>
        <v>JB1-10</v>
      </c>
      <c r="D295" t="str">
        <f>IF('[1]Processer - data'!D295&lt;&gt;"",'[1]Processer - data'!D295,"")</f>
        <v>Areal-øvrige</v>
      </c>
      <c r="E295" t="str">
        <f>IF('[1]Processer - data'!E295&lt;&gt;"",'[1]Processer - data'!E295,"")</f>
        <v>Hektar</v>
      </c>
      <c r="F295" t="str">
        <f>IF('[1]Processer - data'!F295&lt;&gt;"",'[1]Processer - data'!F295,"")</f>
        <v>Gødning</v>
      </c>
      <c r="G295" t="str">
        <f>IF('[1]Processer - data'!G295&lt;&gt;"",'[1]Processer - data'!G295,"")</f>
        <v>kg N</v>
      </c>
      <c r="H295" s="297">
        <f>IF($A295&lt;&gt;"",IF(VLOOKUP($A295,[1]!Table1[#All],2,FALSE)="Direkte input",IF($A295&lt;&gt;"Grøntsager i drivhus",SUMIFS('Direkte input'!G$3:G$230,'Direkte input'!$F$3:$F$230,$D295,'Direkte input'!$C$3:$C$230,$B295,'Direkte input'!$D$3:$D$230,$C295,'Direkte input'!$A$3:$A$230,$A$1),SUMIFS('Direkte input'!G$3:G$230,'Direkte input'!$F$3:$F$230,$D295,'Direkte input'!$C$3:$C$230,$B295,'Direkte input'!$A$3:$A$230,$A$1)),IF(VLOOKUP($A295,[1]!Table1[#All],2,FALSE)="Resultat",SUMIF($F$1:$F294,$D295,H$1:H294)+SUMIF($F296:$F$512,$D295,H296:H$512),0))*'[1]Processer - data'!H295,"")*IF($C295&lt;&gt;"",IF($F295="Halm",Landbrug!C$16*Landbrug!C$17,IF(LEFT($D295,5)="Areal", IF($G295="Ton",Landbrug!C$18,1),1)),1)*IF($F295="Grøntsager",IF($A295="Grøntsager i drivhus",Landbrug!C$51,1-Landbrug!C$51),1)</f>
        <v>-123573.87856259574</v>
      </c>
      <c r="I295" s="298">
        <f>IF($A295&lt;&gt;"",IF(VLOOKUP($A295,[1]!Table1[#All],2,FALSE)="Direkte input",IF($A295&lt;&gt;"Grøntsager i drivhus",SUMIFS('Direkte input'!H$3:H$230,'Direkte input'!$F$3:$F$230,$D295,'Direkte input'!$C$3:$C$230,$B295,'Direkte input'!$D$3:$D$230,$C295,'Direkte input'!$A$3:$A$230,$A$1),SUMIFS('Direkte input'!H$3:H$230,'Direkte input'!$F$3:$F$230,$D295,'Direkte input'!$C$3:$C$230,$B295,'Direkte input'!$A$3:$A$230,$A$1)),IF(VLOOKUP($A295,[1]!Table1[#All],2,FALSE)="Resultat",SUMIF($F$1:$F294,$D295,I$1:I294)+SUMIF($F296:$F$512,$D295,I296:I$512),0))*'[1]Processer - data'!I295,"")*IF($C295&lt;&gt;"",IF($F295="Halm",Landbrug!D$16*Landbrug!D$17,IF(LEFT($D295,5)="Areal", IF($G295="Ton",Landbrug!D$18,1),1)),1)*IF($F295="Grøntsager",IF($A295="Grøntsager i drivhus",Landbrug!D$51,1-Landbrug!D$51),1)</f>
        <v>-146412.83651282205</v>
      </c>
      <c r="J295" s="299">
        <f>IF($A295&lt;&gt;"",IF(VLOOKUP($A295,[1]!Table1[#All],2,FALSE)="Direkte input",IF($A295&lt;&gt;"Grøntsager i drivhus",SUMIFS('Direkte input'!I$3:I$230,'Direkte input'!$F$3:$F$230,$D295,'Direkte input'!$C$3:$C$230,$B295,'Direkte input'!$D$3:$D$230,$C295,'Direkte input'!$A$3:$A$230,$A$1),SUMIFS('Direkte input'!I$3:I$230,'Direkte input'!$F$3:$F$230,$D295,'Direkte input'!$C$3:$C$230,$B295,'Direkte input'!$A$3:$A$230,$A$1)),IF(VLOOKUP($A295,[1]!Table1[#All],2,FALSE)="Resultat",SUMIF($F$1:$F294,$D295,J$1:J294)+SUMIF($F296:$F$512,$D295,J296:J$512),0))*'[1]Processer - data'!J295,"")*IF($C295&lt;&gt;"",IF($F295="Halm",Landbrug!E$16*Landbrug!E$17,IF(LEFT($D295,5)="Areal", IF($G295="Ton",Landbrug!E$18,1),1)),1)*IF($F295="Grøntsager",IF($A295="Grøntsager i drivhus",Landbrug!E$51,1-Landbrug!E$51),1)</f>
        <v>-188044.1267932179</v>
      </c>
    </row>
    <row r="296" spans="1:10" x14ac:dyDescent="0.25">
      <c r="A296" t="str">
        <f>IF('[1]Processer - data'!A296&lt;&gt;"",'[1]Processer - data'!A296,"")</f>
        <v>Øvrig mark</v>
      </c>
      <c r="B296" t="str">
        <f>IF('[1]Processer - data'!B296&lt;&gt;"",'[1]Processer - data'!B296,"")</f>
        <v>Økologisk</v>
      </c>
      <c r="C296" t="str">
        <f>IF('[1]Processer - data'!C296&lt;&gt;"",'[1]Processer - data'!C296,"")</f>
        <v>JB1-10</v>
      </c>
      <c r="D296" t="str">
        <f>IF('[1]Processer - data'!D296&lt;&gt;"",'[1]Processer - data'!D296,"")</f>
        <v>Areal-øvrige</v>
      </c>
      <c r="E296" t="str">
        <f>IF('[1]Processer - data'!E296&lt;&gt;"",'[1]Processer - data'!E296,"")</f>
        <v>Hektar</v>
      </c>
      <c r="F296" t="str">
        <f>IF('[1]Processer - data'!F296&lt;&gt;"",'[1]Processer - data'!F296,"")</f>
        <v>CO2 - atmosfære</v>
      </c>
      <c r="G296" t="str">
        <f>IF('[1]Processer - data'!G296&lt;&gt;"",'[1]Processer - data'!G296,"")</f>
        <v>t CO2-ækvivalenter</v>
      </c>
      <c r="H296" s="297">
        <f>IF($A296&lt;&gt;"",IF(VLOOKUP($A296,[1]!Table1[#All],2,FALSE)="Direkte input",IF($A296&lt;&gt;"Grøntsager i drivhus",SUMIFS('Direkte input'!G$3:G$230,'Direkte input'!$F$3:$F$230,$D296,'Direkte input'!$C$3:$C$230,$B296,'Direkte input'!$D$3:$D$230,$C296,'Direkte input'!$A$3:$A$230,$A$1),SUMIFS('Direkte input'!G$3:G$230,'Direkte input'!$F$3:$F$230,$D296,'Direkte input'!$C$3:$C$230,$B296,'Direkte input'!$A$3:$A$230,$A$1)),IF(VLOOKUP($A296,[1]!Table1[#All],2,FALSE)="Resultat",SUMIF($F$1:$F295,$D296,H$1:H295)+SUMIF($F297:$F$512,$D296,H297:H$512),0))*'[1]Processer - data'!H296,"")*IF($C296&lt;&gt;"",IF($F296="Halm",Landbrug!C$16*Landbrug!C$17,IF(LEFT($D296,5)="Areal", IF($G296="Ton",Landbrug!C$18,1),1)),1)*IF($F296="Grøntsager",IF($A296="Grøntsager i drivhus",Landbrug!C$51,1-Landbrug!C$51),1)</f>
        <v>3469.2913308363172</v>
      </c>
      <c r="I296" s="298">
        <f>IF($A296&lt;&gt;"",IF(VLOOKUP($A296,[1]!Table1[#All],2,FALSE)="Direkte input",IF($A296&lt;&gt;"Grøntsager i drivhus",SUMIFS('Direkte input'!H$3:H$230,'Direkte input'!$F$3:$F$230,$D296,'Direkte input'!$C$3:$C$230,$B296,'Direkte input'!$D$3:$D$230,$C296,'Direkte input'!$A$3:$A$230,$A$1),SUMIFS('Direkte input'!H$3:H$230,'Direkte input'!$F$3:$F$230,$D296,'Direkte input'!$C$3:$C$230,$B296,'Direkte input'!$A$3:$A$230,$A$1)),IF(VLOOKUP($A296,[1]!Table1[#All],2,FALSE)="Resultat",SUMIF($F$1:$F295,$D296,I$1:I295)+SUMIF($F297:$F$512,$D296,I297:I$512),0))*'[1]Processer - data'!I296,"")*IF($C296&lt;&gt;"",IF($F296="Halm",Landbrug!D$16*Landbrug!D$17,IF(LEFT($D296,5)="Areal", IF($G296="Ton",Landbrug!D$18,1),1)),1)*IF($F296="Grøntsager",IF($A296="Grøntsager i drivhus",Landbrug!D$51,1-Landbrug!D$51),1)</f>
        <v>4110.4867011177412</v>
      </c>
      <c r="J296" s="299">
        <f>IF($A296&lt;&gt;"",IF(VLOOKUP($A296,[1]!Table1[#All],2,FALSE)="Direkte input",IF($A296&lt;&gt;"Grøntsager i drivhus",SUMIFS('Direkte input'!I$3:I$230,'Direkte input'!$F$3:$F$230,$D296,'Direkte input'!$C$3:$C$230,$B296,'Direkte input'!$D$3:$D$230,$C296,'Direkte input'!$A$3:$A$230,$A$1),SUMIFS('Direkte input'!I$3:I$230,'Direkte input'!$F$3:$F$230,$D296,'Direkte input'!$C$3:$C$230,$B296,'Direkte input'!$A$3:$A$230,$A$1)),IF(VLOOKUP($A296,[1]!Table1[#All],2,FALSE)="Resultat",SUMIF($F$1:$F295,$D296,J$1:J295)+SUMIF($F297:$F$512,$D296,J297:J$512),0))*'[1]Processer - data'!J296,"")*IF($C296&lt;&gt;"",IF($F296="Halm",Landbrug!E$16*Landbrug!E$17,IF(LEFT($D296,5)="Areal", IF($G296="Ton",Landbrug!E$18,1),1)),1)*IF($F296="Grøntsager",IF($A296="Grøntsager i drivhus",Landbrug!E$51,1-Landbrug!E$51),1)</f>
        <v>5279.2699111401307</v>
      </c>
    </row>
    <row r="297" spans="1:10" x14ac:dyDescent="0.25">
      <c r="A297" t="str">
        <f>IF('[1]Processer - data'!A297&lt;&gt;"",'[1]Processer - data'!A297,"")</f>
        <v>Øvrig mark</v>
      </c>
      <c r="B297" t="str">
        <f>IF('[1]Processer - data'!B297&lt;&gt;"",'[1]Processer - data'!B297,"")</f>
        <v>Økologisk</v>
      </c>
      <c r="C297" t="str">
        <f>IF('[1]Processer - data'!C297&lt;&gt;"",'[1]Processer - data'!C297,"")</f>
        <v>OC6</v>
      </c>
      <c r="D297" t="str">
        <f>IF('[1]Processer - data'!D297&lt;&gt;"",'[1]Processer - data'!D297,"")</f>
        <v>Areal-øvrige</v>
      </c>
      <c r="E297" t="str">
        <f>IF('[1]Processer - data'!E297&lt;&gt;"",'[1]Processer - data'!E297,"")</f>
        <v>Hektar</v>
      </c>
      <c r="F297" t="str">
        <f>IF('[1]Processer - data'!F297&lt;&gt;"",'[1]Processer - data'!F297,"")</f>
        <v>Øvrige</v>
      </c>
      <c r="G297" t="str">
        <f>IF('[1]Processer - data'!G297&lt;&gt;"",'[1]Processer - data'!G297,"")</f>
        <v>Ton</v>
      </c>
      <c r="H297" s="297">
        <f>IF($A297&lt;&gt;"",IF(VLOOKUP($A297,[1]!Table1[#All],2,FALSE)="Direkte input",IF($A297&lt;&gt;"Grøntsager i drivhus",SUMIFS('Direkte input'!G$3:G$230,'Direkte input'!$F$3:$F$230,$D297,'Direkte input'!$C$3:$C$230,$B297,'Direkte input'!$D$3:$D$230,$C297,'Direkte input'!$A$3:$A$230,$A$1),SUMIFS('Direkte input'!G$3:G$230,'Direkte input'!$F$3:$F$230,$D297,'Direkte input'!$C$3:$C$230,$B297,'Direkte input'!$A$3:$A$230,$A$1)),IF(VLOOKUP($A297,[1]!Table1[#All],2,FALSE)="Resultat",SUMIF($F$1:$F296,$D297,H$1:H296)+SUMIF($F298:$F$512,$D297,H298:H$512),0))*'[1]Processer - data'!H297,"")*IF($C297&lt;&gt;"",IF($F297="Halm",Landbrug!C$16*Landbrug!C$17,IF(LEFT($D297,5)="Areal", IF($G297="Ton",Landbrug!C$18,1),1)),1)*IF($F297="Grøntsager",IF($A297="Grøntsager i drivhus",Landbrug!C$51,1-Landbrug!C$51),1)</f>
        <v>556.55171037739842</v>
      </c>
      <c r="I297" s="298">
        <f>IF($A297&lt;&gt;"",IF(VLOOKUP($A297,[1]!Table1[#All],2,FALSE)="Direkte input",IF($A297&lt;&gt;"Grøntsager i drivhus",SUMIFS('Direkte input'!H$3:H$230,'Direkte input'!$F$3:$F$230,$D297,'Direkte input'!$C$3:$C$230,$B297,'Direkte input'!$D$3:$D$230,$C297,'Direkte input'!$A$3:$A$230,$A$1),SUMIFS('Direkte input'!H$3:H$230,'Direkte input'!$F$3:$F$230,$D297,'Direkte input'!$C$3:$C$230,$B297,'Direkte input'!$A$3:$A$230,$A$1)),IF(VLOOKUP($A297,[1]!Table1[#All],2,FALSE)="Resultat",SUMIF($F$1:$F296,$D297,I$1:I296)+SUMIF($F298:$F$512,$D297,I298:I$512),0))*'[1]Processer - data'!I297,"")*IF($C297&lt;&gt;"",IF($F297="Halm",Landbrug!D$16*Landbrug!D$17,IF(LEFT($D297,5)="Areal", IF($G297="Ton",Landbrug!D$18,1),1)),1)*IF($F297="Grøntsager",IF($A297="Grøntsager i drivhus",Landbrug!D$51,1-Landbrug!D$51),1)</f>
        <v>658.71800920827809</v>
      </c>
      <c r="J297" s="299">
        <f>IF($A297&lt;&gt;"",IF(VLOOKUP($A297,[1]!Table1[#All],2,FALSE)="Direkte input",IF($A297&lt;&gt;"Grøntsager i drivhus",SUMIFS('Direkte input'!I$3:I$230,'Direkte input'!$F$3:$F$230,$D297,'Direkte input'!$C$3:$C$230,$B297,'Direkte input'!$D$3:$D$230,$C297,'Direkte input'!$A$3:$A$230,$A$1),SUMIFS('Direkte input'!I$3:I$230,'Direkte input'!$F$3:$F$230,$D297,'Direkte input'!$C$3:$C$230,$B297,'Direkte input'!$A$3:$A$230,$A$1)),IF(VLOOKUP($A297,[1]!Table1[#All],2,FALSE)="Resultat",SUMIF($F$1:$F296,$D297,J$1:J296)+SUMIF($F298:$F$512,$D297,J298:J$512),0))*'[1]Processer - data'!J297,"")*IF($C297&lt;&gt;"",IF($F297="Halm",Landbrug!E$16*Landbrug!E$17,IF(LEFT($D297,5)="Areal", IF($G297="Ton",Landbrug!E$18,1),1)),1)*IF($F297="Grøntsager",IF($A297="Grøntsager i drivhus",Landbrug!E$51,1-Landbrug!E$51),1)</f>
        <v>916.02404196493887</v>
      </c>
    </row>
    <row r="298" spans="1:10" x14ac:dyDescent="0.25">
      <c r="A298" t="str">
        <f>IF('[1]Processer - data'!A298&lt;&gt;"",'[1]Processer - data'!A298,"")</f>
        <v>Øvrig mark</v>
      </c>
      <c r="B298" t="str">
        <f>IF('[1]Processer - data'!B298&lt;&gt;"",'[1]Processer - data'!B298,"")</f>
        <v>Økologisk</v>
      </c>
      <c r="C298" t="str">
        <f>IF('[1]Processer - data'!C298&lt;&gt;"",'[1]Processer - data'!C298,"")</f>
        <v>OC6</v>
      </c>
      <c r="D298" t="str">
        <f>IF('[1]Processer - data'!D298&lt;&gt;"",'[1]Processer - data'!D298,"")</f>
        <v>Areal-øvrige</v>
      </c>
      <c r="E298" t="str">
        <f>IF('[1]Processer - data'!E298&lt;&gt;"",'[1]Processer - data'!E298,"")</f>
        <v>Hektar</v>
      </c>
      <c r="F298" t="str">
        <f>IF('[1]Processer - data'!F298&lt;&gt;"",'[1]Processer - data'!F298,"")</f>
        <v>Gødning</v>
      </c>
      <c r="G298" t="str">
        <f>IF('[1]Processer - data'!G298&lt;&gt;"",'[1]Processer - data'!G298,"")</f>
        <v>kg N</v>
      </c>
      <c r="H298" s="297">
        <f>IF($A298&lt;&gt;"",IF(VLOOKUP($A298,[1]!Table1[#All],2,FALSE)="Direkte input",IF($A298&lt;&gt;"Grøntsager i drivhus",SUMIFS('Direkte input'!G$3:G$230,'Direkte input'!$F$3:$F$230,$D298,'Direkte input'!$C$3:$C$230,$B298,'Direkte input'!$D$3:$D$230,$C298,'Direkte input'!$A$3:$A$230,$A$1),SUMIFS('Direkte input'!G$3:G$230,'Direkte input'!$F$3:$F$230,$D298,'Direkte input'!$C$3:$C$230,$B298,'Direkte input'!$A$3:$A$230,$A$1)),IF(VLOOKUP($A298,[1]!Table1[#All],2,FALSE)="Resultat",SUMIF($F$1:$F297,$D298,H$1:H297)+SUMIF($F299:$F$512,$D298,H299:H$512),0))*'[1]Processer - data'!H298,"")*IF($C298&lt;&gt;"",IF($F298="Halm",Landbrug!C$16*Landbrug!C$17,IF(LEFT($D298,5)="Areal", IF($G298="Ton",Landbrug!C$18,1),1)),1)*IF($F298="Grøntsager",IF($A298="Grøntsager i drivhus",Landbrug!C$51,1-Landbrug!C$51),1)</f>
        <v>-1945.7056790874078</v>
      </c>
      <c r="I298" s="298">
        <f>IF($A298&lt;&gt;"",IF(VLOOKUP($A298,[1]!Table1[#All],2,FALSE)="Direkte input",IF($A298&lt;&gt;"Grøntsager i drivhus",SUMIFS('Direkte input'!H$3:H$230,'Direkte input'!$F$3:$F$230,$D298,'Direkte input'!$C$3:$C$230,$B298,'Direkte input'!$D$3:$D$230,$C298,'Direkte input'!$A$3:$A$230,$A$1),SUMIFS('Direkte input'!H$3:H$230,'Direkte input'!$F$3:$F$230,$D298,'Direkte input'!$C$3:$C$230,$B298,'Direkte input'!$A$3:$A$230,$A$1)),IF(VLOOKUP($A298,[1]!Table1[#All],2,FALSE)="Resultat",SUMIF($F$1:$F297,$D298,I$1:I297)+SUMIF($F299:$F$512,$D298,I299:I$512),0))*'[1]Processer - data'!I298,"")*IF($C298&lt;&gt;"",IF($F298="Halm",Landbrug!D$16*Landbrug!D$17,IF(LEFT($D298,5)="Areal", IF($G298="Ton",Landbrug!D$18,1),1)),1)*IF($F298="Grøntsager",IF($A298="Grøntsager i drivhus",Landbrug!D$51,1-Landbrug!D$51),1)</f>
        <v>-2148.2082322214292</v>
      </c>
      <c r="J298" s="299">
        <f>IF($A298&lt;&gt;"",IF(VLOOKUP($A298,[1]!Table1[#All],2,FALSE)="Direkte input",IF($A298&lt;&gt;"Grøntsager i drivhus",SUMIFS('Direkte input'!I$3:I$230,'Direkte input'!$F$3:$F$230,$D298,'Direkte input'!$C$3:$C$230,$B298,'Direkte input'!$D$3:$D$230,$C298,'Direkte input'!$A$3:$A$230,$A$1),SUMIFS('Direkte input'!I$3:I$230,'Direkte input'!$F$3:$F$230,$D298,'Direkte input'!$C$3:$C$230,$B298,'Direkte input'!$A$3:$A$230,$A$1)),IF(VLOOKUP($A298,[1]!Table1[#All],2,FALSE)="Resultat",SUMIF($F$1:$F297,$D298,J$1:J297)+SUMIF($F299:$F$512,$D298,J299:J$512),0))*'[1]Processer - data'!J298,"")*IF($C298&lt;&gt;"",IF($F298="Halm",Landbrug!E$16*Landbrug!E$17,IF(LEFT($D298,5)="Areal", IF($G298="Ton",Landbrug!E$18,1),1)),1)*IF($F298="Grøntsager",IF($A298="Grøntsager i drivhus",Landbrug!E$51,1-Landbrug!E$51),1)</f>
        <v>-2784.7143751018525</v>
      </c>
    </row>
    <row r="299" spans="1:10" x14ac:dyDescent="0.25">
      <c r="A299" t="str">
        <f>IF('[1]Processer - data'!A299&lt;&gt;"",'[1]Processer - data'!A299,"")</f>
        <v>Øvrig mark</v>
      </c>
      <c r="B299" t="str">
        <f>IF('[1]Processer - data'!B299&lt;&gt;"",'[1]Processer - data'!B299,"")</f>
        <v>Økologisk</v>
      </c>
      <c r="C299" t="str">
        <f>IF('[1]Processer - data'!C299&lt;&gt;"",'[1]Processer - data'!C299,"")</f>
        <v>OC6</v>
      </c>
      <c r="D299" t="str">
        <f>IF('[1]Processer - data'!D299&lt;&gt;"",'[1]Processer - data'!D299,"")</f>
        <v>Areal-øvrige</v>
      </c>
      <c r="E299" t="str">
        <f>IF('[1]Processer - data'!E299&lt;&gt;"",'[1]Processer - data'!E299,"")</f>
        <v>Hektar</v>
      </c>
      <c r="F299" t="str">
        <f>IF('[1]Processer - data'!F299&lt;&gt;"",'[1]Processer - data'!F299,"")</f>
        <v>CO2 - atmosfære</v>
      </c>
      <c r="G299" t="str">
        <f>IF('[1]Processer - data'!G299&lt;&gt;"",'[1]Processer - data'!G299,"")</f>
        <v>t CO2-ækvivalenter</v>
      </c>
      <c r="H299" s="297">
        <f>IF($A299&lt;&gt;"",IF(VLOOKUP($A299,[1]!Table1[#All],2,FALSE)="Direkte input",IF($A299&lt;&gt;"Grøntsager i drivhus",SUMIFS('Direkte input'!G$3:G$230,'Direkte input'!$F$3:$F$230,$D299,'Direkte input'!$C$3:$C$230,$B299,'Direkte input'!$D$3:$D$230,$C299,'Direkte input'!$A$3:$A$230,$A$1),SUMIFS('Direkte input'!G$3:G$230,'Direkte input'!$F$3:$F$230,$D299,'Direkte input'!$C$3:$C$230,$B299,'Direkte input'!$A$3:$A$230,$A$1)),IF(VLOOKUP($A299,[1]!Table1[#All],2,FALSE)="Resultat",SUMIF($F$1:$F298,$D299,H$1:H298)+SUMIF($F300:$F$512,$D299,H300:H$512),0))*'[1]Processer - data'!H299,"")*IF($C299&lt;&gt;"",IF($F299="Halm",Landbrug!C$16*Landbrug!C$17,IF(LEFT($D299,5)="Areal", IF($G299="Ton",Landbrug!C$18,1),1)),1)*IF($F299="Grøntsager",IF($A299="Grøntsager i drivhus",Landbrug!C$51,1-Landbrug!C$51),1)</f>
        <v>436.70358665328524</v>
      </c>
      <c r="I299" s="298">
        <f>IF($A299&lt;&gt;"",IF(VLOOKUP($A299,[1]!Table1[#All],2,FALSE)="Direkte input",IF($A299&lt;&gt;"Grøntsager i drivhus",SUMIFS('Direkte input'!H$3:H$230,'Direkte input'!$F$3:$F$230,$D299,'Direkte input'!$C$3:$C$230,$B299,'Direkte input'!$D$3:$D$230,$C299,'Direkte input'!$A$3:$A$230,$A$1),SUMIFS('Direkte input'!H$3:H$230,'Direkte input'!$F$3:$F$230,$D299,'Direkte input'!$C$3:$C$230,$B299,'Direkte input'!$A$3:$A$230,$A$1)),IF(VLOOKUP($A299,[1]!Table1[#All],2,FALSE)="Resultat",SUMIF($F$1:$F298,$D299,I$1:I298)+SUMIF($F300:$F$512,$D299,I300:I$512),0))*'[1]Processer - data'!I299,"")*IF($C299&lt;&gt;"",IF($F299="Halm",Landbrug!D$16*Landbrug!D$17,IF(LEFT($D299,5)="Areal", IF($G299="Ton",Landbrug!D$18,1),1)),1)*IF($F299="Grøntsager",IF($A299="Grøntsager i drivhus",Landbrug!D$51,1-Landbrug!D$51),1)</f>
        <v>482.15423841966771</v>
      </c>
      <c r="J299" s="299">
        <f>IF($A299&lt;&gt;"",IF(VLOOKUP($A299,[1]!Table1[#All],2,FALSE)="Direkte input",IF($A299&lt;&gt;"Grøntsager i drivhus",SUMIFS('Direkte input'!I$3:I$230,'Direkte input'!$F$3:$F$230,$D299,'Direkte input'!$C$3:$C$230,$B299,'Direkte input'!$D$3:$D$230,$C299,'Direkte input'!$A$3:$A$230,$A$1),SUMIFS('Direkte input'!I$3:I$230,'Direkte input'!$F$3:$F$230,$D299,'Direkte input'!$C$3:$C$230,$B299,'Direkte input'!$A$3:$A$230,$A$1)),IF(VLOOKUP($A299,[1]!Table1[#All],2,FALSE)="Resultat",SUMIF($F$1:$F298,$D299,J$1:J298)+SUMIF($F300:$F$512,$D299,J300:J$512),0))*'[1]Processer - data'!J299,"")*IF($C299&lt;&gt;"",IF($F299="Halm",Landbrug!E$16*Landbrug!E$17,IF(LEFT($D299,5)="Areal", IF($G299="Ton",Landbrug!E$18,1),1)),1)*IF($F299="Grøntsager",IF($A299="Grøntsager i drivhus",Landbrug!E$51,1-Landbrug!E$51),1)</f>
        <v>625.0147535069766</v>
      </c>
    </row>
    <row r="300" spans="1:10" x14ac:dyDescent="0.25">
      <c r="A300" t="str">
        <f>IF('[1]Processer - data'!A300&lt;&gt;"",'[1]Processer - data'!A300,"")</f>
        <v>Øvrig mark</v>
      </c>
      <c r="B300" t="str">
        <f>IF('[1]Processer - data'!B300&lt;&gt;"",'[1]Processer - data'!B300,"")</f>
        <v>Økologisk</v>
      </c>
      <c r="C300" t="str">
        <f>IF('[1]Processer - data'!C300&lt;&gt;"",'[1]Processer - data'!C300,"")</f>
        <v>OC12</v>
      </c>
      <c r="D300" t="str">
        <f>IF('[1]Processer - data'!D300&lt;&gt;"",'[1]Processer - data'!D300,"")</f>
        <v>Areal-øvrige</v>
      </c>
      <c r="E300" t="str">
        <f>IF('[1]Processer - data'!E300&lt;&gt;"",'[1]Processer - data'!E300,"")</f>
        <v>Hektar</v>
      </c>
      <c r="F300" t="str">
        <f>IF('[1]Processer - data'!F300&lt;&gt;"",'[1]Processer - data'!F300,"")</f>
        <v>Øvrige</v>
      </c>
      <c r="G300" t="str">
        <f>IF('[1]Processer - data'!G300&lt;&gt;"",'[1]Processer - data'!G300,"")</f>
        <v>Ton</v>
      </c>
      <c r="H300" s="297">
        <f>IF($A300&lt;&gt;"",IF(VLOOKUP($A300,[1]!Table1[#All],2,FALSE)="Direkte input",IF($A300&lt;&gt;"Grøntsager i drivhus",SUMIFS('Direkte input'!G$3:G$230,'Direkte input'!$F$3:$F$230,$D300,'Direkte input'!$C$3:$C$230,$B300,'Direkte input'!$D$3:$D$230,$C300,'Direkte input'!$A$3:$A$230,$A$1),SUMIFS('Direkte input'!G$3:G$230,'Direkte input'!$F$3:$F$230,$D300,'Direkte input'!$C$3:$C$230,$B300,'Direkte input'!$A$3:$A$230,$A$1)),IF(VLOOKUP($A300,[1]!Table1[#All],2,FALSE)="Resultat",SUMIF($F$1:$F299,$D300,H$1:H299)+SUMIF($F301:$F$512,$D300,H301:H$512),0))*'[1]Processer - data'!H300,"")*IF($C300&lt;&gt;"",IF($F300="Halm",Landbrug!C$16*Landbrug!C$17,IF(LEFT($D300,5)="Areal", IF($G300="Ton",Landbrug!C$18,1),1)),1)*IF($F300="Grøntsager",IF($A300="Grøntsager i drivhus",Landbrug!C$51,1-Landbrug!C$51),1)</f>
        <v>392.01446536084677</v>
      </c>
      <c r="I300" s="298">
        <f>IF($A300&lt;&gt;"",IF(VLOOKUP($A300,[1]!Table1[#All],2,FALSE)="Direkte input",IF($A300&lt;&gt;"Grøntsager i drivhus",SUMIFS('Direkte input'!H$3:H$230,'Direkte input'!$F$3:$F$230,$D300,'Direkte input'!$C$3:$C$230,$B300,'Direkte input'!$D$3:$D$230,$C300,'Direkte input'!$A$3:$A$230,$A$1),SUMIFS('Direkte input'!H$3:H$230,'Direkte input'!$F$3:$F$230,$D300,'Direkte input'!$C$3:$C$230,$B300,'Direkte input'!$A$3:$A$230,$A$1)),IF(VLOOKUP($A300,[1]!Table1[#All],2,FALSE)="Resultat",SUMIF($F$1:$F299,$D300,I$1:I299)+SUMIF($F301:$F$512,$D300,I301:I$512),0))*'[1]Processer - data'!I300,"")*IF($C300&lt;&gt;"",IF($F300="Halm",Landbrug!D$16*Landbrug!D$17,IF(LEFT($D300,5)="Areal", IF($G300="Ton",Landbrug!D$18,1),1)),1)*IF($F300="Grøntsager",IF($A300="Grøntsager i drivhus",Landbrug!D$51,1-Landbrug!D$51),1)</f>
        <v>467.65042023160692</v>
      </c>
      <c r="J300" s="299">
        <f>IF($A300&lt;&gt;"",IF(VLOOKUP($A300,[1]!Table1[#All],2,FALSE)="Direkte input",IF($A300&lt;&gt;"Grøntsager i drivhus",SUMIFS('Direkte input'!I$3:I$230,'Direkte input'!$F$3:$F$230,$D300,'Direkte input'!$C$3:$C$230,$B300,'Direkte input'!$D$3:$D$230,$C300,'Direkte input'!$A$3:$A$230,$A$1),SUMIFS('Direkte input'!I$3:I$230,'Direkte input'!$F$3:$F$230,$D300,'Direkte input'!$C$3:$C$230,$B300,'Direkte input'!$A$3:$A$230,$A$1)),IF(VLOOKUP($A300,[1]!Table1[#All],2,FALSE)="Resultat",SUMIF($F$1:$F299,$D300,J$1:J299)+SUMIF($F301:$F$512,$D300,J301:J$512),0))*'[1]Processer - data'!J300,"")*IF($C300&lt;&gt;"",IF($F300="Halm",Landbrug!E$16*Landbrug!E$17,IF(LEFT($D300,5)="Areal", IF($G300="Ton",Landbrug!E$18,1),1)),1)*IF($F300="Grøntsager",IF($A300="Grøntsager i drivhus",Landbrug!E$51,1-Landbrug!E$51),1)</f>
        <v>650.3223263654703</v>
      </c>
    </row>
    <row r="301" spans="1:10" x14ac:dyDescent="0.25">
      <c r="A301" t="str">
        <f>IF('[1]Processer - data'!A301&lt;&gt;"",'[1]Processer - data'!A301,"")</f>
        <v>Øvrig mark</v>
      </c>
      <c r="B301" t="str">
        <f>IF('[1]Processer - data'!B301&lt;&gt;"",'[1]Processer - data'!B301,"")</f>
        <v>Økologisk</v>
      </c>
      <c r="C301" t="str">
        <f>IF('[1]Processer - data'!C301&lt;&gt;"",'[1]Processer - data'!C301,"")</f>
        <v>OC12</v>
      </c>
      <c r="D301" t="str">
        <f>IF('[1]Processer - data'!D301&lt;&gt;"",'[1]Processer - data'!D301,"")</f>
        <v>Areal-øvrige</v>
      </c>
      <c r="E301" t="str">
        <f>IF('[1]Processer - data'!E301&lt;&gt;"",'[1]Processer - data'!E301,"")</f>
        <v>Hektar</v>
      </c>
      <c r="F301" t="str">
        <f>IF('[1]Processer - data'!F301&lt;&gt;"",'[1]Processer - data'!F301,"")</f>
        <v>Gødning</v>
      </c>
      <c r="G301" t="str">
        <f>IF('[1]Processer - data'!G301&lt;&gt;"",'[1]Processer - data'!G301,"")</f>
        <v>kg N</v>
      </c>
      <c r="H301" s="297">
        <f>IF($A301&lt;&gt;"",IF(VLOOKUP($A301,[1]!Table1[#All],2,FALSE)="Direkte input",IF($A301&lt;&gt;"Grøntsager i drivhus",SUMIFS('Direkte input'!G$3:G$230,'Direkte input'!$F$3:$F$230,$D301,'Direkte input'!$C$3:$C$230,$B301,'Direkte input'!$D$3:$D$230,$C301,'Direkte input'!$A$3:$A$230,$A$1),SUMIFS('Direkte input'!G$3:G$230,'Direkte input'!$F$3:$F$230,$D301,'Direkte input'!$C$3:$C$230,$B301,'Direkte input'!$A$3:$A$230,$A$1)),IF(VLOOKUP($A301,[1]!Table1[#All],2,FALSE)="Resultat",SUMIF($F$1:$F300,$D301,H$1:H300)+SUMIF($F302:$F$512,$D301,H302:H$512),0))*'[1]Processer - data'!H301,"")*IF($C301&lt;&gt;"",IF($F301="Halm",Landbrug!C$16*Landbrug!C$17,IF(LEFT($D301,5)="Areal", IF($G301="Ton",Landbrug!C$18,1),1)),1)*IF($F301="Grøntsager",IF($A301="Grøntsager i drivhus",Landbrug!C$51,1-Landbrug!C$51),1)</f>
        <v>-1014.1575713686128</v>
      </c>
      <c r="I301" s="298">
        <f>IF($A301&lt;&gt;"",IF(VLOOKUP($A301,[1]!Table1[#All],2,FALSE)="Direkte input",IF($A301&lt;&gt;"Grøntsager i drivhus",SUMIFS('Direkte input'!H$3:H$230,'Direkte input'!$F$3:$F$230,$D301,'Direkte input'!$C$3:$C$230,$B301,'Direkte input'!$D$3:$D$230,$C301,'Direkte input'!$A$3:$A$230,$A$1),SUMIFS('Direkte input'!H$3:H$230,'Direkte input'!$F$3:$F$230,$D301,'Direkte input'!$C$3:$C$230,$B301,'Direkte input'!$A$3:$A$230,$A$1)),IF(VLOOKUP($A301,[1]!Table1[#All],2,FALSE)="Resultat",SUMIF($F$1:$F300,$D301,I$1:I300)+SUMIF($F302:$F$512,$D301,I302:I$512),0))*'[1]Processer - data'!I301,"")*IF($C301&lt;&gt;"",IF($F301="Halm",Landbrug!D$16*Landbrug!D$17,IF(LEFT($D301,5)="Areal", IF($G301="Ton",Landbrug!D$18,1),1)),1)*IF($F301="Grøntsager",IF($A301="Grøntsager i drivhus",Landbrug!D$51,1-Landbrug!D$51),1)</f>
        <v>-1128.5736031046038</v>
      </c>
      <c r="J301" s="299">
        <f>IF($A301&lt;&gt;"",IF(VLOOKUP($A301,[1]!Table1[#All],2,FALSE)="Direkte input",IF($A301&lt;&gt;"Grøntsager i drivhus",SUMIFS('Direkte input'!I$3:I$230,'Direkte input'!$F$3:$F$230,$D301,'Direkte input'!$C$3:$C$230,$B301,'Direkte input'!$D$3:$D$230,$C301,'Direkte input'!$A$3:$A$230,$A$1),SUMIFS('Direkte input'!I$3:I$230,'Direkte input'!$F$3:$F$230,$D301,'Direkte input'!$C$3:$C$230,$B301,'Direkte input'!$A$3:$A$230,$A$1)),IF(VLOOKUP($A301,[1]!Table1[#All],2,FALSE)="Resultat",SUMIF($F$1:$F300,$D301,J$1:J300)+SUMIF($F302:$F$512,$D301,J302:J$512),0))*'[1]Processer - data'!J301,"")*IF($C301&lt;&gt;"",IF($F301="Halm",Landbrug!E$16*Landbrug!E$17,IF(LEFT($D301,5)="Areal", IF($G301="Ton",Landbrug!E$18,1),1)),1)*IF($F301="Grøntsager",IF($A301="Grøntsager i drivhus",Landbrug!E$51,1-Landbrug!E$51),1)</f>
        <v>-1462.9657818022636</v>
      </c>
    </row>
    <row r="302" spans="1:10" x14ac:dyDescent="0.25">
      <c r="A302" t="str">
        <f>IF('[1]Processer - data'!A302&lt;&gt;"",'[1]Processer - data'!A302,"")</f>
        <v>Øvrig mark</v>
      </c>
      <c r="B302" t="str">
        <f>IF('[1]Processer - data'!B302&lt;&gt;"",'[1]Processer - data'!B302,"")</f>
        <v>Økologisk</v>
      </c>
      <c r="C302" t="str">
        <f>IF('[1]Processer - data'!C302&lt;&gt;"",'[1]Processer - data'!C302,"")</f>
        <v>OC12</v>
      </c>
      <c r="D302" t="str">
        <f>IF('[1]Processer - data'!D302&lt;&gt;"",'[1]Processer - data'!D302,"")</f>
        <v>Areal-øvrige</v>
      </c>
      <c r="E302" t="str">
        <f>IF('[1]Processer - data'!E302&lt;&gt;"",'[1]Processer - data'!E302,"")</f>
        <v>Hektar</v>
      </c>
      <c r="F302" t="str">
        <f>IF('[1]Processer - data'!F302&lt;&gt;"",'[1]Processer - data'!F302,"")</f>
        <v>CO2 - atmosfære</v>
      </c>
      <c r="G302" t="str">
        <f>IF('[1]Processer - data'!G302&lt;&gt;"",'[1]Processer - data'!G302,"")</f>
        <v>t CO2-ækvivalenter</v>
      </c>
      <c r="H302" s="297">
        <f>IF($A302&lt;&gt;"",IF(VLOOKUP($A302,[1]!Table1[#All],2,FALSE)="Direkte input",IF($A302&lt;&gt;"Grøntsager i drivhus",SUMIFS('Direkte input'!G$3:G$230,'Direkte input'!$F$3:$F$230,$D302,'Direkte input'!$C$3:$C$230,$B302,'Direkte input'!$D$3:$D$230,$C302,'Direkte input'!$A$3:$A$230,$A$1),SUMIFS('Direkte input'!G$3:G$230,'Direkte input'!$F$3:$F$230,$D302,'Direkte input'!$C$3:$C$230,$B302,'Direkte input'!$A$3:$A$230,$A$1)),IF(VLOOKUP($A302,[1]!Table1[#All],2,FALSE)="Resultat",SUMIF($F$1:$F301,$D302,H$1:H301)+SUMIF($F303:$F$512,$D302,H303:H$512),0))*'[1]Processer - data'!H302,"")*IF($C302&lt;&gt;"",IF($F302="Halm",Landbrug!C$16*Landbrug!C$17,IF(LEFT($D302,5)="Areal", IF($G302="Ton",Landbrug!C$18,1),1)),1)*IF($F302="Grøntsager",IF($A302="Grøntsager i drivhus",Landbrug!C$51,1-Landbrug!C$51),1)</f>
        <v>675.17124004322295</v>
      </c>
      <c r="I302" s="298">
        <f>IF($A302&lt;&gt;"",IF(VLOOKUP($A302,[1]!Table1[#All],2,FALSE)="Direkte input",IF($A302&lt;&gt;"Grøntsager i drivhus",SUMIFS('Direkte input'!H$3:H$230,'Direkte input'!$F$3:$F$230,$D302,'Direkte input'!$C$3:$C$230,$B302,'Direkte input'!$D$3:$D$230,$C302,'Direkte input'!$A$3:$A$230,$A$1),SUMIFS('Direkte input'!H$3:H$230,'Direkte input'!$F$3:$F$230,$D302,'Direkte input'!$C$3:$C$230,$B302,'Direkte input'!$A$3:$A$230,$A$1)),IF(VLOOKUP($A302,[1]!Table1[#All],2,FALSE)="Resultat",SUMIF($F$1:$F301,$D302,I$1:I301)+SUMIF($F303:$F$512,$D302,I303:I$512),0))*'[1]Processer - data'!I302,"")*IF($C302&lt;&gt;"",IF($F302="Halm",Landbrug!D$16*Landbrug!D$17,IF(LEFT($D302,5)="Areal", IF($G302="Ton",Landbrug!D$18,1),1)),1)*IF($F302="Grøntsager",IF($A302="Grøntsager i drivhus",Landbrug!D$51,1-Landbrug!D$51),1)</f>
        <v>751.34324349606277</v>
      </c>
      <c r="J302" s="299">
        <f>IF($A302&lt;&gt;"",IF(VLOOKUP($A302,[1]!Table1[#All],2,FALSE)="Direkte input",IF($A302&lt;&gt;"Grøntsager i drivhus",SUMIFS('Direkte input'!I$3:I$230,'Direkte input'!$F$3:$F$230,$D302,'Direkte input'!$C$3:$C$230,$B302,'Direkte input'!$D$3:$D$230,$C302,'Direkte input'!$A$3:$A$230,$A$1),SUMIFS('Direkte input'!I$3:I$230,'Direkte input'!$F$3:$F$230,$D302,'Direkte input'!$C$3:$C$230,$B302,'Direkte input'!$A$3:$A$230,$A$1)),IF(VLOOKUP($A302,[1]!Table1[#All],2,FALSE)="Resultat",SUMIF($F$1:$F301,$D302,J$1:J301)+SUMIF($F303:$F$512,$D302,J303:J$512),0))*'[1]Processer - data'!J302,"")*IF($C302&lt;&gt;"",IF($F302="Halm",Landbrug!E$16*Landbrug!E$17,IF(LEFT($D302,5)="Areal", IF($G302="Ton",Landbrug!E$18,1),1)),1)*IF($F302="Grøntsager",IF($A302="Grøntsager i drivhus",Landbrug!E$51,1-Landbrug!E$51),1)</f>
        <v>973.96346379119223</v>
      </c>
    </row>
    <row r="303" spans="1:10" x14ac:dyDescent="0.25">
      <c r="A303" t="str">
        <f>IF('[1]Processer - data'!A303&lt;&gt;"",'[1]Processer - data'!A303,"")</f>
        <v>Majsmark</v>
      </c>
      <c r="B303" t="str">
        <f>IF('[1]Processer - data'!B303&lt;&gt;"",'[1]Processer - data'!B303,"")</f>
        <v>Konventionel</v>
      </c>
      <c r="C303" t="str">
        <f>IF('[1]Processer - data'!C303&lt;&gt;"",'[1]Processer - data'!C303,"")</f>
        <v>JB1-10</v>
      </c>
      <c r="D303" t="str">
        <f>IF('[1]Processer - data'!D303&lt;&gt;"",'[1]Processer - data'!D303,"")</f>
        <v>Areal-majs</v>
      </c>
      <c r="E303" t="str">
        <f>IF('[1]Processer - data'!E303&lt;&gt;"",'[1]Processer - data'!E303,"")</f>
        <v>Hektar</v>
      </c>
      <c r="F303" t="str">
        <f>IF('[1]Processer - data'!F303&lt;&gt;"",'[1]Processer - data'!F303,"")</f>
        <v>Majs</v>
      </c>
      <c r="G303" t="str">
        <f>IF('[1]Processer - data'!G303&lt;&gt;"",'[1]Processer - data'!G303,"")</f>
        <v>Ton</v>
      </c>
      <c r="H303" s="297">
        <f>IF($A303&lt;&gt;"",IF(VLOOKUP($A303,[1]!Table1[#All],2,FALSE)="Direkte input",IF($A303&lt;&gt;"Grøntsager i drivhus",SUMIFS('Direkte input'!G$3:G$230,'Direkte input'!$F$3:$F$230,$D303,'Direkte input'!$C$3:$C$230,$B303,'Direkte input'!$D$3:$D$230,$C303,'Direkte input'!$A$3:$A$230,$A$1),SUMIFS('Direkte input'!G$3:G$230,'Direkte input'!$F$3:$F$230,$D303,'Direkte input'!$C$3:$C$230,$B303,'Direkte input'!$A$3:$A$230,$A$1)),IF(VLOOKUP($A303,[1]!Table1[#All],2,FALSE)="Resultat",SUMIF($F$1:$F302,$D303,H$1:H302)+SUMIF($F304:$F$512,$D303,H304:H$512),0))*'[1]Processer - data'!H303,"")*IF($C303&lt;&gt;"",IF($F303="Halm",Landbrug!C$16*Landbrug!C$17,IF(LEFT($D303,5)="Areal", IF($G303="Ton",Landbrug!C$18,1),1)),1)*IF($F303="Grøntsager",IF($A303="Grøntsager i drivhus",Landbrug!C$51,1-Landbrug!C$51),1)</f>
        <v>319696.12270403182</v>
      </c>
      <c r="I303" s="298">
        <f>IF($A303&lt;&gt;"",IF(VLOOKUP($A303,[1]!Table1[#All],2,FALSE)="Direkte input",IF($A303&lt;&gt;"Grøntsager i drivhus",SUMIFS('Direkte input'!H$3:H$230,'Direkte input'!$F$3:$F$230,$D303,'Direkte input'!$C$3:$C$230,$B303,'Direkte input'!$D$3:$D$230,$C303,'Direkte input'!$A$3:$A$230,$A$1),SUMIFS('Direkte input'!H$3:H$230,'Direkte input'!$F$3:$F$230,$D303,'Direkte input'!$C$3:$C$230,$B303,'Direkte input'!$A$3:$A$230,$A$1)),IF(VLOOKUP($A303,[1]!Table1[#All],2,FALSE)="Resultat",SUMIF($F$1:$F302,$D303,I$1:I302)+SUMIF($F304:$F$512,$D303,I304:I$512),0))*'[1]Processer - data'!I303,"")*IF($C303&lt;&gt;"",IF($F303="Halm",Landbrug!D$16*Landbrug!D$17,IF(LEFT($D303,5)="Areal", IF($G303="Ton",Landbrug!D$18,1),1)),1)*IF($F303="Grøntsager",IF($A303="Grøntsager i drivhus",Landbrug!D$51,1-Landbrug!D$51),1)</f>
        <v>332664.77238055575</v>
      </c>
      <c r="J303" s="299">
        <f>IF($A303&lt;&gt;"",IF(VLOOKUP($A303,[1]!Table1[#All],2,FALSE)="Direkte input",IF($A303&lt;&gt;"Grøntsager i drivhus",SUMIFS('Direkte input'!I$3:I$230,'Direkte input'!$F$3:$F$230,$D303,'Direkte input'!$C$3:$C$230,$B303,'Direkte input'!$D$3:$D$230,$C303,'Direkte input'!$A$3:$A$230,$A$1),SUMIFS('Direkte input'!I$3:I$230,'Direkte input'!$F$3:$F$230,$D303,'Direkte input'!$C$3:$C$230,$B303,'Direkte input'!$A$3:$A$230,$A$1)),IF(VLOOKUP($A303,[1]!Table1[#All],2,FALSE)="Resultat",SUMIF($F$1:$F302,$D303,J$1:J302)+SUMIF($F304:$F$512,$D303,J304:J$512),0))*'[1]Processer - data'!J303,"")*IF($C303&lt;&gt;"",IF($F303="Halm",Landbrug!E$16*Landbrug!E$17,IF(LEFT($D303,5)="Areal", IF($G303="Ton",Landbrug!E$18,1),1)),1)*IF($F303="Grøntsager",IF($A303="Grøntsager i drivhus",Landbrug!E$51,1-Landbrug!E$51),1)</f>
        <v>337228.32746955071</v>
      </c>
    </row>
    <row r="304" spans="1:10" x14ac:dyDescent="0.25">
      <c r="A304" t="str">
        <f>IF('[1]Processer - data'!A304&lt;&gt;"",'[1]Processer - data'!A304,"")</f>
        <v>Majsmark</v>
      </c>
      <c r="B304" t="str">
        <f>IF('[1]Processer - data'!B304&lt;&gt;"",'[1]Processer - data'!B304,"")</f>
        <v>Konventionel</v>
      </c>
      <c r="C304" t="str">
        <f>IF('[1]Processer - data'!C304&lt;&gt;"",'[1]Processer - data'!C304,"")</f>
        <v>JB1-10</v>
      </c>
      <c r="D304" t="str">
        <f>IF('[1]Processer - data'!D304&lt;&gt;"",'[1]Processer - data'!D304,"")</f>
        <v>Areal-majs</v>
      </c>
      <c r="E304" t="str">
        <f>IF('[1]Processer - data'!E304&lt;&gt;"",'[1]Processer - data'!E304,"")</f>
        <v>Hektar</v>
      </c>
      <c r="F304" t="str">
        <f>IF('[1]Processer - data'!F304&lt;&gt;"",'[1]Processer - data'!F304,"")</f>
        <v>Gødning</v>
      </c>
      <c r="G304" t="str">
        <f>IF('[1]Processer - data'!G304&lt;&gt;"",'[1]Processer - data'!G304,"")</f>
        <v>kg N</v>
      </c>
      <c r="H304" s="297">
        <f>IF($A304&lt;&gt;"",IF(VLOOKUP($A304,[1]!Table1[#All],2,FALSE)="Direkte input",IF($A304&lt;&gt;"Grøntsager i drivhus",SUMIFS('Direkte input'!G$3:G$230,'Direkte input'!$F$3:$F$230,$D304,'Direkte input'!$C$3:$C$230,$B304,'Direkte input'!$D$3:$D$230,$C304,'Direkte input'!$A$3:$A$230,$A$1),SUMIFS('Direkte input'!G$3:G$230,'Direkte input'!$F$3:$F$230,$D304,'Direkte input'!$C$3:$C$230,$B304,'Direkte input'!$A$3:$A$230,$A$1)),IF(VLOOKUP($A304,[1]!Table1[#All],2,FALSE)="Resultat",SUMIF($F$1:$F303,$D304,H$1:H303)+SUMIF($F305:$F$512,$D304,H305:H$512),0))*'[1]Processer - data'!H304,"")*IF($C304&lt;&gt;"",IF($F304="Halm",Landbrug!C$16*Landbrug!C$17,IF(LEFT($D304,5)="Areal", IF($G304="Ton",Landbrug!C$18,1),1)),1)*IF($F304="Grøntsager",IF($A304="Grøntsager i drivhus",Landbrug!C$51,1-Landbrug!C$51),1)</f>
        <v>-1149210.9555750412</v>
      </c>
      <c r="I304" s="298">
        <f>IF($A304&lt;&gt;"",IF(VLOOKUP($A304,[1]!Table1[#All],2,FALSE)="Direkte input",IF($A304&lt;&gt;"Grøntsager i drivhus",SUMIFS('Direkte input'!H$3:H$230,'Direkte input'!$F$3:$F$230,$D304,'Direkte input'!$C$3:$C$230,$B304,'Direkte input'!$D$3:$D$230,$C304,'Direkte input'!$A$3:$A$230,$A$1),SUMIFS('Direkte input'!H$3:H$230,'Direkte input'!$F$3:$F$230,$D304,'Direkte input'!$C$3:$C$230,$B304,'Direkte input'!$A$3:$A$230,$A$1)),IF(VLOOKUP($A304,[1]!Table1[#All],2,FALSE)="Resultat",SUMIF($F$1:$F303,$D304,I$1:I303)+SUMIF($F305:$F$512,$D304,I305:I$512),0))*'[1]Processer - data'!I304,"")*IF($C304&lt;&gt;"",IF($F304="Halm",Landbrug!D$16*Landbrug!D$17,IF(LEFT($D304,5)="Areal", IF($G304="Ton",Landbrug!D$18,1),1)),1)*IF($F304="Grøntsager",IF($A304="Grøntsager i drivhus",Landbrug!D$51,1-Landbrug!D$51),1)</f>
        <v>-1115512.4368515399</v>
      </c>
      <c r="J304" s="299">
        <f>IF($A304&lt;&gt;"",IF(VLOOKUP($A304,[1]!Table1[#All],2,FALSE)="Direkte input",IF($A304&lt;&gt;"Grøntsager i drivhus",SUMIFS('Direkte input'!I$3:I$230,'Direkte input'!$F$3:$F$230,$D304,'Direkte input'!$C$3:$C$230,$B304,'Direkte input'!$D$3:$D$230,$C304,'Direkte input'!$A$3:$A$230,$A$1),SUMIFS('Direkte input'!I$3:I$230,'Direkte input'!$F$3:$F$230,$D304,'Direkte input'!$C$3:$C$230,$B304,'Direkte input'!$A$3:$A$230,$A$1)),IF(VLOOKUP($A304,[1]!Table1[#All],2,FALSE)="Resultat",SUMIF($F$1:$F303,$D304,J$1:J303)+SUMIF($F305:$F$512,$D304,J305:J$512),0))*'[1]Processer - data'!J304,"")*IF($C304&lt;&gt;"",IF($F304="Halm",Landbrug!E$16*Landbrug!E$17,IF(LEFT($D304,5)="Areal", IF($G304="Ton",Landbrug!E$18,1),1)),1)*IF($F304="Grøntsager",IF($A304="Grøntsager i drivhus",Landbrug!E$51,1-Landbrug!E$51),1)</f>
        <v>-1054116.4642069319</v>
      </c>
    </row>
    <row r="305" spans="1:10" x14ac:dyDescent="0.25">
      <c r="A305" t="str">
        <f>IF('[1]Processer - data'!A305&lt;&gt;"",'[1]Processer - data'!A305,"")</f>
        <v>Majsmark</v>
      </c>
      <c r="B305" t="str">
        <f>IF('[1]Processer - data'!B305&lt;&gt;"",'[1]Processer - data'!B305,"")</f>
        <v>Konventionel</v>
      </c>
      <c r="C305" t="str">
        <f>IF('[1]Processer - data'!C305&lt;&gt;"",'[1]Processer - data'!C305,"")</f>
        <v>JB1-10</v>
      </c>
      <c r="D305" t="str">
        <f>IF('[1]Processer - data'!D305&lt;&gt;"",'[1]Processer - data'!D305,"")</f>
        <v>Areal-majs</v>
      </c>
      <c r="E305" t="str">
        <f>IF('[1]Processer - data'!E305&lt;&gt;"",'[1]Processer - data'!E305,"")</f>
        <v>Hektar</v>
      </c>
      <c r="F305" t="str">
        <f>IF('[1]Processer - data'!F305&lt;&gt;"",'[1]Processer - data'!F305,"")</f>
        <v>CO2 - atmosfære</v>
      </c>
      <c r="G305" t="str">
        <f>IF('[1]Processer - data'!G305&lt;&gt;"",'[1]Processer - data'!G305,"")</f>
        <v>t CO2-ækvivalenter</v>
      </c>
      <c r="H305" s="297">
        <f>IF($A305&lt;&gt;"",IF(VLOOKUP($A305,[1]!Table1[#All],2,FALSE)="Direkte input",IF($A305&lt;&gt;"Grøntsager i drivhus",SUMIFS('Direkte input'!G$3:G$230,'Direkte input'!$F$3:$F$230,$D305,'Direkte input'!$C$3:$C$230,$B305,'Direkte input'!$D$3:$D$230,$C305,'Direkte input'!$A$3:$A$230,$A$1),SUMIFS('Direkte input'!G$3:G$230,'Direkte input'!$F$3:$F$230,$D305,'Direkte input'!$C$3:$C$230,$B305,'Direkte input'!$A$3:$A$230,$A$1)),IF(VLOOKUP($A305,[1]!Table1[#All],2,FALSE)="Resultat",SUMIF($F$1:$F304,$D305,H$1:H304)+SUMIF($F306:$F$512,$D305,H306:H$512),0))*'[1]Processer - data'!H305,"")*IF($C305&lt;&gt;"",IF($F305="Halm",Landbrug!C$16*Landbrug!C$17,IF(LEFT($D305,5)="Areal", IF($G305="Ton",Landbrug!C$18,1),1)),1)*IF($F305="Grøntsager",IF($A305="Grøntsager i drivhus",Landbrug!C$51,1-Landbrug!C$51),1)</f>
        <v>16330.965479647219</v>
      </c>
      <c r="I305" s="298">
        <f>IF($A305&lt;&gt;"",IF(VLOOKUP($A305,[1]!Table1[#All],2,FALSE)="Direkte input",IF($A305&lt;&gt;"Grøntsager i drivhus",SUMIFS('Direkte input'!H$3:H$230,'Direkte input'!$F$3:$F$230,$D305,'Direkte input'!$C$3:$C$230,$B305,'Direkte input'!$D$3:$D$230,$C305,'Direkte input'!$A$3:$A$230,$A$1),SUMIFS('Direkte input'!H$3:H$230,'Direkte input'!$F$3:$F$230,$D305,'Direkte input'!$C$3:$C$230,$B305,'Direkte input'!$A$3:$A$230,$A$1)),IF(VLOOKUP($A305,[1]!Table1[#All],2,FALSE)="Resultat",SUMIF($F$1:$F304,$D305,I$1:I304)+SUMIF($F306:$F$512,$D305,I306:I$512),0))*'[1]Processer - data'!I305,"")*IF($C305&lt;&gt;"",IF($F305="Halm",Landbrug!D$16*Landbrug!D$17,IF(LEFT($D305,5)="Areal", IF($G305="Ton",Landbrug!D$18,1),1)),1)*IF($F305="Grøntsager",IF($A305="Grøntsager i drivhus",Landbrug!D$51,1-Landbrug!D$51),1)</f>
        <v>15852.089653308292</v>
      </c>
      <c r="J305" s="299">
        <f>IF($A305&lt;&gt;"",IF(VLOOKUP($A305,[1]!Table1[#All],2,FALSE)="Direkte input",IF($A305&lt;&gt;"Grøntsager i drivhus",SUMIFS('Direkte input'!I$3:I$230,'Direkte input'!$F$3:$F$230,$D305,'Direkte input'!$C$3:$C$230,$B305,'Direkte input'!$D$3:$D$230,$C305,'Direkte input'!$A$3:$A$230,$A$1),SUMIFS('Direkte input'!I$3:I$230,'Direkte input'!$F$3:$F$230,$D305,'Direkte input'!$C$3:$C$230,$B305,'Direkte input'!$A$3:$A$230,$A$1)),IF(VLOOKUP($A305,[1]!Table1[#All],2,FALSE)="Resultat",SUMIF($F$1:$F304,$D305,J$1:J304)+SUMIF($F306:$F$512,$D305,J306:J$512),0))*'[1]Processer - data'!J305,"")*IF($C305&lt;&gt;"",IF($F305="Halm",Landbrug!E$16*Landbrug!E$17,IF(LEFT($D305,5)="Areal", IF($G305="Ton",Landbrug!E$18,1),1)),1)*IF($F305="Grøntsager",IF($A305="Grøntsager i drivhus",Landbrug!E$51,1-Landbrug!E$51),1)</f>
        <v>14979.616670881189</v>
      </c>
    </row>
    <row r="306" spans="1:10" x14ac:dyDescent="0.25">
      <c r="A306" t="str">
        <f>IF('[1]Processer - data'!A306&lt;&gt;"",'[1]Processer - data'!A306,"")</f>
        <v>Majsmark</v>
      </c>
      <c r="B306" t="str">
        <f>IF('[1]Processer - data'!B306&lt;&gt;"",'[1]Processer - data'!B306,"")</f>
        <v>Konventionel</v>
      </c>
      <c r="C306" t="str">
        <f>IF('[1]Processer - data'!C306&lt;&gt;"",'[1]Processer - data'!C306,"")</f>
        <v>OC6</v>
      </c>
      <c r="D306" t="str">
        <f>IF('[1]Processer - data'!D306&lt;&gt;"",'[1]Processer - data'!D306,"")</f>
        <v>Areal-majs</v>
      </c>
      <c r="E306" t="str">
        <f>IF('[1]Processer - data'!E306&lt;&gt;"",'[1]Processer - data'!E306,"")</f>
        <v>Hektar</v>
      </c>
      <c r="F306" t="str">
        <f>IF('[1]Processer - data'!F306&lt;&gt;"",'[1]Processer - data'!F306,"")</f>
        <v>Majs</v>
      </c>
      <c r="G306" t="str">
        <f>IF('[1]Processer - data'!G306&lt;&gt;"",'[1]Processer - data'!G306,"")</f>
        <v>Ton</v>
      </c>
      <c r="H306" s="297">
        <f>IF($A306&lt;&gt;"",IF(VLOOKUP($A306,[1]!Table1[#All],2,FALSE)="Direkte input",IF($A306&lt;&gt;"Grøntsager i drivhus",SUMIFS('Direkte input'!G$3:G$230,'Direkte input'!$F$3:$F$230,$D306,'Direkte input'!$C$3:$C$230,$B306,'Direkte input'!$D$3:$D$230,$C306,'Direkte input'!$A$3:$A$230,$A$1),SUMIFS('Direkte input'!G$3:G$230,'Direkte input'!$F$3:$F$230,$D306,'Direkte input'!$C$3:$C$230,$B306,'Direkte input'!$A$3:$A$230,$A$1)),IF(VLOOKUP($A306,[1]!Table1[#All],2,FALSE)="Resultat",SUMIF($F$1:$F305,$D306,H$1:H305)+SUMIF($F307:$F$512,$D306,H307:H$512),0))*'[1]Processer - data'!H306,"")*IF($C306&lt;&gt;"",IF($F306="Halm",Landbrug!C$16*Landbrug!C$17,IF(LEFT($D306,5)="Areal", IF($G306="Ton",Landbrug!C$18,1),1)),1)*IF($F306="Grøntsager",IF($A306="Grøntsager i drivhus",Landbrug!C$51,1-Landbrug!C$51),1)</f>
        <v>7405.8008748811599</v>
      </c>
      <c r="I306" s="298">
        <f>IF($A306&lt;&gt;"",IF(VLOOKUP($A306,[1]!Table1[#All],2,FALSE)="Direkte input",IF($A306&lt;&gt;"Grøntsager i drivhus",SUMIFS('Direkte input'!H$3:H$230,'Direkte input'!$F$3:$F$230,$D306,'Direkte input'!$C$3:$C$230,$B306,'Direkte input'!$D$3:$D$230,$C306,'Direkte input'!$A$3:$A$230,$A$1),SUMIFS('Direkte input'!H$3:H$230,'Direkte input'!$F$3:$F$230,$D306,'Direkte input'!$C$3:$C$230,$B306,'Direkte input'!$A$3:$A$230,$A$1)),IF(VLOOKUP($A306,[1]!Table1[#All],2,FALSE)="Resultat",SUMIF($F$1:$F305,$D306,I$1:I305)+SUMIF($F307:$F$512,$D306,I307:I$512),0))*'[1]Processer - data'!I306,"")*IF($C306&lt;&gt;"",IF($F306="Halm",Landbrug!D$16*Landbrug!D$17,IF(LEFT($D306,5)="Areal", IF($G306="Ton",Landbrug!D$18,1),1)),1)*IF($F306="Grøntsager",IF($A306="Grøntsager i drivhus",Landbrug!D$51,1-Landbrug!D$51),1)</f>
        <v>7181.054595695291</v>
      </c>
      <c r="J306" s="299">
        <f>IF($A306&lt;&gt;"",IF(VLOOKUP($A306,[1]!Table1[#All],2,FALSE)="Direkte input",IF($A306&lt;&gt;"Grøntsager i drivhus",SUMIFS('Direkte input'!I$3:I$230,'Direkte input'!$F$3:$F$230,$D306,'Direkte input'!$C$3:$C$230,$B306,'Direkte input'!$D$3:$D$230,$C306,'Direkte input'!$A$3:$A$230,$A$1),SUMIFS('Direkte input'!I$3:I$230,'Direkte input'!$F$3:$F$230,$D306,'Direkte input'!$C$3:$C$230,$B306,'Direkte input'!$A$3:$A$230,$A$1)),IF(VLOOKUP($A306,[1]!Table1[#All],2,FALSE)="Resultat",SUMIF($F$1:$F305,$D306,J$1:J305)+SUMIF($F307:$F$512,$D306,J307:J$512),0))*'[1]Processer - data'!J306,"")*IF($C306&lt;&gt;"",IF($F306="Halm",Landbrug!E$16*Landbrug!E$17,IF(LEFT($D306,5)="Areal", IF($G306="Ton",Landbrug!E$18,1),1)),1)*IF($F306="Grøntsager",IF($A306="Grøntsager i drivhus",Landbrug!E$51,1-Landbrug!E$51),1)</f>
        <v>7347.3228665191818</v>
      </c>
    </row>
    <row r="307" spans="1:10" x14ac:dyDescent="0.25">
      <c r="A307" t="str">
        <f>IF('[1]Processer - data'!A307&lt;&gt;"",'[1]Processer - data'!A307,"")</f>
        <v>Majsmark</v>
      </c>
      <c r="B307" t="str">
        <f>IF('[1]Processer - data'!B307&lt;&gt;"",'[1]Processer - data'!B307,"")</f>
        <v>Konventionel</v>
      </c>
      <c r="C307" t="str">
        <f>IF('[1]Processer - data'!C307&lt;&gt;"",'[1]Processer - data'!C307,"")</f>
        <v>OC6</v>
      </c>
      <c r="D307" t="str">
        <f>IF('[1]Processer - data'!D307&lt;&gt;"",'[1]Processer - data'!D307,"")</f>
        <v>Areal-majs</v>
      </c>
      <c r="E307" t="str">
        <f>IF('[1]Processer - data'!E307&lt;&gt;"",'[1]Processer - data'!E307,"")</f>
        <v>Hektar</v>
      </c>
      <c r="F307" t="str">
        <f>IF('[1]Processer - data'!F307&lt;&gt;"",'[1]Processer - data'!F307,"")</f>
        <v>Gødning</v>
      </c>
      <c r="G307" t="str">
        <f>IF('[1]Processer - data'!G307&lt;&gt;"",'[1]Processer - data'!G307,"")</f>
        <v>kg N</v>
      </c>
      <c r="H307" s="297">
        <f>IF($A307&lt;&gt;"",IF(VLOOKUP($A307,[1]!Table1[#All],2,FALSE)="Direkte input",IF($A307&lt;&gt;"Grøntsager i drivhus",SUMIFS('Direkte input'!G$3:G$230,'Direkte input'!$F$3:$F$230,$D307,'Direkte input'!$C$3:$C$230,$B307,'Direkte input'!$D$3:$D$230,$C307,'Direkte input'!$A$3:$A$230,$A$1),SUMIFS('Direkte input'!G$3:G$230,'Direkte input'!$F$3:$F$230,$D307,'Direkte input'!$C$3:$C$230,$B307,'Direkte input'!$A$3:$A$230,$A$1)),IF(VLOOKUP($A307,[1]!Table1[#All],2,FALSE)="Resultat",SUMIF($F$1:$F306,$D307,H$1:H306)+SUMIF($F308:$F$512,$D307,H308:H$512),0))*'[1]Processer - data'!H307,"")*IF($C307&lt;&gt;"",IF($F307="Halm",Landbrug!C$16*Landbrug!C$17,IF(LEFT($D307,5)="Areal", IF($G307="Ton",Landbrug!C$18,1),1)),1)*IF($F307="Grøntsager",IF($A307="Grøntsager i drivhus",Landbrug!C$51,1-Landbrug!C$51),1)</f>
        <v>-18025.052679820092</v>
      </c>
      <c r="I307" s="298">
        <f>IF($A307&lt;&gt;"",IF(VLOOKUP($A307,[1]!Table1[#All],2,FALSE)="Direkte input",IF($A307&lt;&gt;"Grøntsager i drivhus",SUMIFS('Direkte input'!H$3:H$230,'Direkte input'!$F$3:$F$230,$D307,'Direkte input'!$C$3:$C$230,$B307,'Direkte input'!$D$3:$D$230,$C307,'Direkte input'!$A$3:$A$230,$A$1),SUMIFS('Direkte input'!H$3:H$230,'Direkte input'!$F$3:$F$230,$D307,'Direkte input'!$C$3:$C$230,$B307,'Direkte input'!$A$3:$A$230,$A$1)),IF(VLOOKUP($A307,[1]!Table1[#All],2,FALSE)="Resultat",SUMIF($F$1:$F306,$D307,I$1:I306)+SUMIF($F308:$F$512,$D307,I308:I$512),0))*'[1]Processer - data'!I307,"")*IF($C307&lt;&gt;"",IF($F307="Halm",Landbrug!D$16*Landbrug!D$17,IF(LEFT($D307,5)="Areal", IF($G307="Ton",Landbrug!D$18,1),1)),1)*IF($F307="Grøntsager",IF($A307="Grøntsager i drivhus",Landbrug!D$51,1-Landbrug!D$51),1)</f>
        <v>-16304.142226975724</v>
      </c>
      <c r="J307" s="299">
        <f>IF($A307&lt;&gt;"",IF(VLOOKUP($A307,[1]!Table1[#All],2,FALSE)="Direkte input",IF($A307&lt;&gt;"Grøntsager i drivhus",SUMIFS('Direkte input'!I$3:I$230,'Direkte input'!$F$3:$F$230,$D307,'Direkte input'!$C$3:$C$230,$B307,'Direkte input'!$D$3:$D$230,$C307,'Direkte input'!$A$3:$A$230,$A$1),SUMIFS('Direkte input'!I$3:I$230,'Direkte input'!$F$3:$F$230,$D307,'Direkte input'!$C$3:$C$230,$B307,'Direkte input'!$A$3:$A$230,$A$1)),IF(VLOOKUP($A307,[1]!Table1[#All],2,FALSE)="Resultat",SUMIF($F$1:$F306,$D307,J$1:J306)+SUMIF($F308:$F$512,$D307,J308:J$512),0))*'[1]Processer - data'!J307,"")*IF($C307&lt;&gt;"",IF($F307="Halm",Landbrug!E$16*Landbrug!E$17,IF(LEFT($D307,5)="Areal", IF($G307="Ton",Landbrug!E$18,1),1)),1)*IF($F307="Grøntsager",IF($A307="Grøntsager i drivhus",Landbrug!E$51,1-Landbrug!E$51),1)</f>
        <v>-15550.193453473958</v>
      </c>
    </row>
    <row r="308" spans="1:10" x14ac:dyDescent="0.25">
      <c r="A308" t="str">
        <f>IF('[1]Processer - data'!A308&lt;&gt;"",'[1]Processer - data'!A308,"")</f>
        <v>Majsmark</v>
      </c>
      <c r="B308" t="str">
        <f>IF('[1]Processer - data'!B308&lt;&gt;"",'[1]Processer - data'!B308,"")</f>
        <v>Konventionel</v>
      </c>
      <c r="C308" t="str">
        <f>IF('[1]Processer - data'!C308&lt;&gt;"",'[1]Processer - data'!C308,"")</f>
        <v>OC6</v>
      </c>
      <c r="D308" t="str">
        <f>IF('[1]Processer - data'!D308&lt;&gt;"",'[1]Processer - data'!D308,"")</f>
        <v>Areal-majs</v>
      </c>
      <c r="E308" t="str">
        <f>IF('[1]Processer - data'!E308&lt;&gt;"",'[1]Processer - data'!E308,"")</f>
        <v>Hektar</v>
      </c>
      <c r="F308" t="str">
        <f>IF('[1]Processer - data'!F308&lt;&gt;"",'[1]Processer - data'!F308,"")</f>
        <v>CO2 - atmosfære</v>
      </c>
      <c r="G308" t="str">
        <f>IF('[1]Processer - data'!G308&lt;&gt;"",'[1]Processer - data'!G308,"")</f>
        <v>t CO2-ækvivalenter</v>
      </c>
      <c r="H308" s="297">
        <f>IF($A308&lt;&gt;"",IF(VLOOKUP($A308,[1]!Table1[#All],2,FALSE)="Direkte input",IF($A308&lt;&gt;"Grøntsager i drivhus",SUMIFS('Direkte input'!G$3:G$230,'Direkte input'!$F$3:$F$230,$D308,'Direkte input'!$C$3:$C$230,$B308,'Direkte input'!$D$3:$D$230,$C308,'Direkte input'!$A$3:$A$230,$A$1),SUMIFS('Direkte input'!G$3:G$230,'Direkte input'!$F$3:$F$230,$D308,'Direkte input'!$C$3:$C$230,$B308,'Direkte input'!$A$3:$A$230,$A$1)),IF(VLOOKUP($A308,[1]!Table1[#All],2,FALSE)="Resultat",SUMIF($F$1:$F307,$D308,H$1:H307)+SUMIF($F309:$F$512,$D308,H309:H$512),0))*'[1]Processer - data'!H308,"")*IF($C308&lt;&gt;"",IF($F308="Halm",Landbrug!C$16*Landbrug!C$17,IF(LEFT($D308,5)="Areal", IF($G308="Ton",Landbrug!C$18,1),1)),1)*IF($F308="Grøntsager",IF($A308="Grøntsager i drivhus",Landbrug!C$51,1-Landbrug!C$51),1)</f>
        <v>2217.3164108731357</v>
      </c>
      <c r="I308" s="298">
        <f>IF($A308&lt;&gt;"",IF(VLOOKUP($A308,[1]!Table1[#All],2,FALSE)="Direkte input",IF($A308&lt;&gt;"Grøntsager i drivhus",SUMIFS('Direkte input'!H$3:H$230,'Direkte input'!$F$3:$F$230,$D308,'Direkte input'!$C$3:$C$230,$B308,'Direkte input'!$D$3:$D$230,$C308,'Direkte input'!$A$3:$A$230,$A$1),SUMIFS('Direkte input'!H$3:H$230,'Direkte input'!$F$3:$F$230,$D308,'Direkte input'!$C$3:$C$230,$B308,'Direkte input'!$A$3:$A$230,$A$1)),IF(VLOOKUP($A308,[1]!Table1[#All],2,FALSE)="Resultat",SUMIF($F$1:$F307,$D308,I$1:I307)+SUMIF($F309:$F$512,$D308,I309:I$512),0))*'[1]Processer - data'!I308,"")*IF($C308&lt;&gt;"",IF($F308="Halm",Landbrug!D$16*Landbrug!D$17,IF(LEFT($D308,5)="Areal", IF($G308="Ton",Landbrug!D$18,1),1)),1)*IF($F308="Grøntsager",IF($A308="Grøntsager i drivhus",Landbrug!D$51,1-Landbrug!D$51),1)</f>
        <v>2005.6219955216116</v>
      </c>
      <c r="J308" s="299">
        <f>IF($A308&lt;&gt;"",IF(VLOOKUP($A308,[1]!Table1[#All],2,FALSE)="Direkte input",IF($A308&lt;&gt;"Grøntsager i drivhus",SUMIFS('Direkte input'!I$3:I$230,'Direkte input'!$F$3:$F$230,$D308,'Direkte input'!$C$3:$C$230,$B308,'Direkte input'!$D$3:$D$230,$C308,'Direkte input'!$A$3:$A$230,$A$1),SUMIFS('Direkte input'!I$3:I$230,'Direkte input'!$F$3:$F$230,$D308,'Direkte input'!$C$3:$C$230,$B308,'Direkte input'!$A$3:$A$230,$A$1)),IF(VLOOKUP($A308,[1]!Table1[#All],2,FALSE)="Resultat",SUMIF($F$1:$F307,$D308,J$1:J307)+SUMIF($F309:$F$512,$D308,J309:J$512),0))*'[1]Processer - data'!J308,"")*IF($C308&lt;&gt;"",IF($F308="Halm",Landbrug!E$16*Landbrug!E$17,IF(LEFT($D308,5)="Areal", IF($G308="Ton",Landbrug!E$18,1),1)),1)*IF($F308="Grøntsager",IF($A308="Grøntsager i drivhus",Landbrug!E$51,1-Landbrug!E$51),1)</f>
        <v>1912.8764697171441</v>
      </c>
    </row>
    <row r="309" spans="1:10" x14ac:dyDescent="0.25">
      <c r="A309" t="str">
        <f>IF('[1]Processer - data'!A309&lt;&gt;"",'[1]Processer - data'!A309,"")</f>
        <v>Majsmark</v>
      </c>
      <c r="B309" t="str">
        <f>IF('[1]Processer - data'!B309&lt;&gt;"",'[1]Processer - data'!B309,"")</f>
        <v>Konventionel</v>
      </c>
      <c r="C309" t="str">
        <f>IF('[1]Processer - data'!C309&lt;&gt;"",'[1]Processer - data'!C309,"")</f>
        <v>OC12</v>
      </c>
      <c r="D309" t="str">
        <f>IF('[1]Processer - data'!D309&lt;&gt;"",'[1]Processer - data'!D309,"")</f>
        <v>Areal-majs</v>
      </c>
      <c r="E309" t="str">
        <f>IF('[1]Processer - data'!E309&lt;&gt;"",'[1]Processer - data'!E309,"")</f>
        <v>Hektar</v>
      </c>
      <c r="F309" t="str">
        <f>IF('[1]Processer - data'!F309&lt;&gt;"",'[1]Processer - data'!F309,"")</f>
        <v>Majs</v>
      </c>
      <c r="G309" t="str">
        <f>IF('[1]Processer - data'!G309&lt;&gt;"",'[1]Processer - data'!G309,"")</f>
        <v>Ton</v>
      </c>
      <c r="H309" s="297">
        <f>IF($A309&lt;&gt;"",IF(VLOOKUP($A309,[1]!Table1[#All],2,FALSE)="Direkte input",IF($A309&lt;&gt;"Grøntsager i drivhus",SUMIFS('Direkte input'!G$3:G$230,'Direkte input'!$F$3:$F$230,$D309,'Direkte input'!$C$3:$C$230,$B309,'Direkte input'!$D$3:$D$230,$C309,'Direkte input'!$A$3:$A$230,$A$1),SUMIFS('Direkte input'!G$3:G$230,'Direkte input'!$F$3:$F$230,$D309,'Direkte input'!$C$3:$C$230,$B309,'Direkte input'!$A$3:$A$230,$A$1)),IF(VLOOKUP($A309,[1]!Table1[#All],2,FALSE)="Resultat",SUMIF($F$1:$F308,$D309,H$1:H308)+SUMIF($F310:$F$512,$D309,H310:H$512),0))*'[1]Processer - data'!H309,"")*IF($C309&lt;&gt;"",IF($F309="Halm",Landbrug!C$16*Landbrug!C$17,IF(LEFT($D309,5)="Areal", IF($G309="Ton",Landbrug!C$18,1),1)),1)*IF($F309="Grøntsager",IF($A309="Grøntsager i drivhus",Landbrug!C$51,1-Landbrug!C$51),1)</f>
        <v>3101.0053797661967</v>
      </c>
      <c r="I309" s="298">
        <f>IF($A309&lt;&gt;"",IF(VLOOKUP($A309,[1]!Table1[#All],2,FALSE)="Direkte input",IF($A309&lt;&gt;"Grøntsager i drivhus",SUMIFS('Direkte input'!H$3:H$230,'Direkte input'!$F$3:$F$230,$D309,'Direkte input'!$C$3:$C$230,$B309,'Direkte input'!$D$3:$D$230,$C309,'Direkte input'!$A$3:$A$230,$A$1),SUMIFS('Direkte input'!H$3:H$230,'Direkte input'!$F$3:$F$230,$D309,'Direkte input'!$C$3:$C$230,$B309,'Direkte input'!$A$3:$A$230,$A$1)),IF(VLOOKUP($A309,[1]!Table1[#All],2,FALSE)="Resultat",SUMIF($F$1:$F308,$D309,I$1:I308)+SUMIF($F310:$F$512,$D309,I310:I$512),0))*'[1]Processer - data'!I309,"")*IF($C309&lt;&gt;"",IF($F309="Halm",Landbrug!D$16*Landbrug!D$17,IF(LEFT($D309,5)="Areal", IF($G309="Ton",Landbrug!D$18,1),1)),1)*IF($F309="Grøntsager",IF($A309="Grøntsager i drivhus",Landbrug!D$51,1-Landbrug!D$51),1)</f>
        <v>3030.7069040692845</v>
      </c>
      <c r="J309" s="299">
        <f>IF($A309&lt;&gt;"",IF(VLOOKUP($A309,[1]!Table1[#All],2,FALSE)="Direkte input",IF($A309&lt;&gt;"Grøntsager i drivhus",SUMIFS('Direkte input'!I$3:I$230,'Direkte input'!$F$3:$F$230,$D309,'Direkte input'!$C$3:$C$230,$B309,'Direkte input'!$D$3:$D$230,$C309,'Direkte input'!$A$3:$A$230,$A$1),SUMIFS('Direkte input'!I$3:I$230,'Direkte input'!$F$3:$F$230,$D309,'Direkte input'!$C$3:$C$230,$B309,'Direkte input'!$A$3:$A$230,$A$1)),IF(VLOOKUP($A309,[1]!Table1[#All],2,FALSE)="Resultat",SUMIF($F$1:$F308,$D309,J$1:J308)+SUMIF($F310:$F$512,$D309,J310:J$512),0))*'[1]Processer - data'!J309,"")*IF($C309&lt;&gt;"",IF($F309="Halm",Landbrug!E$16*Landbrug!E$17,IF(LEFT($D309,5)="Areal", IF($G309="Ton",Landbrug!E$18,1),1)),1)*IF($F309="Grøntsager",IF($A309="Grøntsager i drivhus",Landbrug!E$51,1-Landbrug!E$51),1)</f>
        <v>3100.8791036534094</v>
      </c>
    </row>
    <row r="310" spans="1:10" x14ac:dyDescent="0.25">
      <c r="A310" t="str">
        <f>IF('[1]Processer - data'!A310&lt;&gt;"",'[1]Processer - data'!A310,"")</f>
        <v>Majsmark</v>
      </c>
      <c r="B310" t="str">
        <f>IF('[1]Processer - data'!B310&lt;&gt;"",'[1]Processer - data'!B310,"")</f>
        <v>Konventionel</v>
      </c>
      <c r="C310" t="str">
        <f>IF('[1]Processer - data'!C310&lt;&gt;"",'[1]Processer - data'!C310,"")</f>
        <v>OC12</v>
      </c>
      <c r="D310" t="str">
        <f>IF('[1]Processer - data'!D310&lt;&gt;"",'[1]Processer - data'!D310,"")</f>
        <v>Areal-majs</v>
      </c>
      <c r="E310" t="str">
        <f>IF('[1]Processer - data'!E310&lt;&gt;"",'[1]Processer - data'!E310,"")</f>
        <v>Hektar</v>
      </c>
      <c r="F310" t="str">
        <f>IF('[1]Processer - data'!F310&lt;&gt;"",'[1]Processer - data'!F310,"")</f>
        <v>Gødning</v>
      </c>
      <c r="G310" t="str">
        <f>IF('[1]Processer - data'!G310&lt;&gt;"",'[1]Processer - data'!G310,"")</f>
        <v>kg N</v>
      </c>
      <c r="H310" s="297">
        <f>IF($A310&lt;&gt;"",IF(VLOOKUP($A310,[1]!Table1[#All],2,FALSE)="Direkte input",IF($A310&lt;&gt;"Grøntsager i drivhus",SUMIFS('Direkte input'!G$3:G$230,'Direkte input'!$F$3:$F$230,$D310,'Direkte input'!$C$3:$C$230,$B310,'Direkte input'!$D$3:$D$230,$C310,'Direkte input'!$A$3:$A$230,$A$1),SUMIFS('Direkte input'!G$3:G$230,'Direkte input'!$F$3:$F$230,$D310,'Direkte input'!$C$3:$C$230,$B310,'Direkte input'!$A$3:$A$230,$A$1)),IF(VLOOKUP($A310,[1]!Table1[#All],2,FALSE)="Resultat",SUMIF($F$1:$F309,$D310,H$1:H309)+SUMIF($F311:$F$512,$D310,H311:H$512),0))*'[1]Processer - data'!H310,"")*IF($C310&lt;&gt;"",IF($F310="Halm",Landbrug!C$16*Landbrug!C$17,IF(LEFT($D310,5)="Areal", IF($G310="Ton",Landbrug!C$18,1),1)),1)*IF($F310="Grøntsager",IF($A310="Grøntsager i drivhus",Landbrug!C$51,1-Landbrug!C$51),1)</f>
        <v>-4976.4184288702327</v>
      </c>
      <c r="I310" s="298">
        <f>IF($A310&lt;&gt;"",IF(VLOOKUP($A310,[1]!Table1[#All],2,FALSE)="Direkte input",IF($A310&lt;&gt;"Grøntsager i drivhus",SUMIFS('Direkte input'!H$3:H$230,'Direkte input'!$F$3:$F$230,$D310,'Direkte input'!$C$3:$C$230,$B310,'Direkte input'!$D$3:$D$230,$C310,'Direkte input'!$A$3:$A$230,$A$1),SUMIFS('Direkte input'!H$3:H$230,'Direkte input'!$F$3:$F$230,$D310,'Direkte input'!$C$3:$C$230,$B310,'Direkte input'!$A$3:$A$230,$A$1)),IF(VLOOKUP($A310,[1]!Table1[#All],2,FALSE)="Resultat",SUMIF($F$1:$F309,$D310,I$1:I309)+SUMIF($F311:$F$512,$D310,I311:I$512),0))*'[1]Processer - data'!I310,"")*IF($C310&lt;&gt;"",IF($F310="Halm",Landbrug!D$16*Landbrug!D$17,IF(LEFT($D310,5)="Areal", IF($G310="Ton",Landbrug!D$18,1),1)),1)*IF($F310="Grøntsager",IF($A310="Grøntsager i drivhus",Landbrug!D$51,1-Landbrug!D$51),1)</f>
        <v>-4536.9450889867412</v>
      </c>
      <c r="J310" s="299">
        <f>IF($A310&lt;&gt;"",IF(VLOOKUP($A310,[1]!Table1[#All],2,FALSE)="Direkte input",IF($A310&lt;&gt;"Grøntsager i drivhus",SUMIFS('Direkte input'!I$3:I$230,'Direkte input'!$F$3:$F$230,$D310,'Direkte input'!$C$3:$C$230,$B310,'Direkte input'!$D$3:$D$230,$C310,'Direkte input'!$A$3:$A$230,$A$1),SUMIFS('Direkte input'!I$3:I$230,'Direkte input'!$F$3:$F$230,$D310,'Direkte input'!$C$3:$C$230,$B310,'Direkte input'!$A$3:$A$230,$A$1)),IF(VLOOKUP($A310,[1]!Table1[#All],2,FALSE)="Resultat",SUMIF($F$1:$F309,$D310,J$1:J309)+SUMIF($F311:$F$512,$D310,J311:J$512),0))*'[1]Processer - data'!J310,"")*IF($C310&lt;&gt;"",IF($F310="Halm",Landbrug!E$16*Landbrug!E$17,IF(LEFT($D310,5)="Areal", IF($G310="Ton",Landbrug!E$18,1),1)),1)*IF($F310="Grøntsager",IF($A310="Grøntsager i drivhus",Landbrug!E$51,1-Landbrug!E$51),1)</f>
        <v>-4327.144160016257</v>
      </c>
    </row>
    <row r="311" spans="1:10" x14ac:dyDescent="0.25">
      <c r="A311" t="str">
        <f>IF('[1]Processer - data'!A311&lt;&gt;"",'[1]Processer - data'!A311,"")</f>
        <v>Majsmark</v>
      </c>
      <c r="B311" t="str">
        <f>IF('[1]Processer - data'!B311&lt;&gt;"",'[1]Processer - data'!B311,"")</f>
        <v>Konventionel</v>
      </c>
      <c r="C311" t="str">
        <f>IF('[1]Processer - data'!C311&lt;&gt;"",'[1]Processer - data'!C311,"")</f>
        <v>OC12</v>
      </c>
      <c r="D311" t="str">
        <f>IF('[1]Processer - data'!D311&lt;&gt;"",'[1]Processer - data'!D311,"")</f>
        <v>Areal-majs</v>
      </c>
      <c r="E311" t="str">
        <f>IF('[1]Processer - data'!E311&lt;&gt;"",'[1]Processer - data'!E311,"")</f>
        <v>Hektar</v>
      </c>
      <c r="F311" t="str">
        <f>IF('[1]Processer - data'!F311&lt;&gt;"",'[1]Processer - data'!F311,"")</f>
        <v>CO2 - atmosfære</v>
      </c>
      <c r="G311" t="str">
        <f>IF('[1]Processer - data'!G311&lt;&gt;"",'[1]Processer - data'!G311,"")</f>
        <v>t CO2-ækvivalenter</v>
      </c>
      <c r="H311" s="297">
        <f>IF($A311&lt;&gt;"",IF(VLOOKUP($A311,[1]!Table1[#All],2,FALSE)="Direkte input",IF($A311&lt;&gt;"Grøntsager i drivhus",SUMIFS('Direkte input'!G$3:G$230,'Direkte input'!$F$3:$F$230,$D311,'Direkte input'!$C$3:$C$230,$B311,'Direkte input'!$D$3:$D$230,$C311,'Direkte input'!$A$3:$A$230,$A$1),SUMIFS('Direkte input'!G$3:G$230,'Direkte input'!$F$3:$F$230,$D311,'Direkte input'!$C$3:$C$230,$B311,'Direkte input'!$A$3:$A$230,$A$1)),IF(VLOOKUP($A311,[1]!Table1[#All],2,FALSE)="Resultat",SUMIF($F$1:$F310,$D311,H$1:H310)+SUMIF($F312:$F$512,$D311,H312:H$512),0))*'[1]Processer - data'!H311,"")*IF($C311&lt;&gt;"",IF($F311="Halm",Landbrug!C$16*Landbrug!C$17,IF(LEFT($D311,5)="Areal", IF($G311="Ton",Landbrug!C$18,1),1)),1)*IF($F311="Grøntsager",IF($A311="Grøntsager i drivhus",Landbrug!C$51,1-Landbrug!C$51),1)</f>
        <v>2037.927665438159</v>
      </c>
      <c r="I311" s="298">
        <f>IF($A311&lt;&gt;"",IF(VLOOKUP($A311,[1]!Table1[#All],2,FALSE)="Direkte input",IF($A311&lt;&gt;"Grøntsager i drivhus",SUMIFS('Direkte input'!H$3:H$230,'Direkte input'!$F$3:$F$230,$D311,'Direkte input'!$C$3:$C$230,$B311,'Direkte input'!$D$3:$D$230,$C311,'Direkte input'!$A$3:$A$230,$A$1),SUMIFS('Direkte input'!H$3:H$230,'Direkte input'!$F$3:$F$230,$D311,'Direkte input'!$C$3:$C$230,$B311,'Direkte input'!$A$3:$A$230,$A$1)),IF(VLOOKUP($A311,[1]!Table1[#All],2,FALSE)="Resultat",SUMIF($F$1:$F310,$D311,I$1:I310)+SUMIF($F312:$F$512,$D311,I312:I$512),0))*'[1]Processer - data'!I311,"")*IF($C311&lt;&gt;"",IF($F311="Halm",Landbrug!D$16*Landbrug!D$17,IF(LEFT($D311,5)="Areal", IF($G311="Ton",Landbrug!D$18,1),1)),1)*IF($F311="Grøntsager",IF($A311="Grøntsager i drivhus",Landbrug!D$51,1-Landbrug!D$51),1)</f>
        <v>1857.9558864624912</v>
      </c>
      <c r="J311" s="299">
        <f>IF($A311&lt;&gt;"",IF(VLOOKUP($A311,[1]!Table1[#All],2,FALSE)="Direkte input",IF($A311&lt;&gt;"Grøntsager i drivhus",SUMIFS('Direkte input'!I$3:I$230,'Direkte input'!$F$3:$F$230,$D311,'Direkte input'!$C$3:$C$230,$B311,'Direkte input'!$D$3:$D$230,$C311,'Direkte input'!$A$3:$A$230,$A$1),SUMIFS('Direkte input'!I$3:I$230,'Direkte input'!$F$3:$F$230,$D311,'Direkte input'!$C$3:$C$230,$B311,'Direkte input'!$A$3:$A$230,$A$1)),IF(VLOOKUP($A311,[1]!Table1[#All],2,FALSE)="Resultat",SUMIF($F$1:$F310,$D311,J$1:J310)+SUMIF($F312:$F$512,$D311,J312:J$512),0))*'[1]Processer - data'!J311,"")*IF($C311&lt;&gt;"",IF($F311="Halm",Landbrug!E$16*Landbrug!E$17,IF(LEFT($D311,5)="Areal", IF($G311="Ton",Landbrug!E$18,1),1)),1)*IF($F311="Grøntsager",IF($A311="Grøntsager i drivhus",Landbrug!E$51,1-Landbrug!E$51),1)</f>
        <v>1772.038851250353</v>
      </c>
    </row>
    <row r="312" spans="1:10" x14ac:dyDescent="0.25">
      <c r="A312" t="str">
        <f>IF('[1]Processer - data'!A312&lt;&gt;"",'[1]Processer - data'!A312,"")</f>
        <v>Majsmark</v>
      </c>
      <c r="B312" t="str">
        <f>IF('[1]Processer - data'!B312&lt;&gt;"",'[1]Processer - data'!B312,"")</f>
        <v>Økologisk</v>
      </c>
      <c r="C312" t="str">
        <f>IF('[1]Processer - data'!C312&lt;&gt;"",'[1]Processer - data'!C312,"")</f>
        <v>JB1-10</v>
      </c>
      <c r="D312" t="str">
        <f>IF('[1]Processer - data'!D312&lt;&gt;"",'[1]Processer - data'!D312,"")</f>
        <v>Areal-majs</v>
      </c>
      <c r="E312" t="str">
        <f>IF('[1]Processer - data'!E312&lt;&gt;"",'[1]Processer - data'!E312,"")</f>
        <v>Hektar</v>
      </c>
      <c r="F312" t="str">
        <f>IF('[1]Processer - data'!F312&lt;&gt;"",'[1]Processer - data'!F312,"")</f>
        <v>Majs</v>
      </c>
      <c r="G312" t="str">
        <f>IF('[1]Processer - data'!G312&lt;&gt;"",'[1]Processer - data'!G312,"")</f>
        <v>Ton</v>
      </c>
      <c r="H312" s="297">
        <f>IF($A312&lt;&gt;"",IF(VLOOKUP($A312,[1]!Table1[#All],2,FALSE)="Direkte input",IF($A312&lt;&gt;"Grøntsager i drivhus",SUMIFS('Direkte input'!G$3:G$230,'Direkte input'!$F$3:$F$230,$D312,'Direkte input'!$C$3:$C$230,$B312,'Direkte input'!$D$3:$D$230,$C312,'Direkte input'!$A$3:$A$230,$A$1),SUMIFS('Direkte input'!G$3:G$230,'Direkte input'!$F$3:$F$230,$D312,'Direkte input'!$C$3:$C$230,$B312,'Direkte input'!$A$3:$A$230,$A$1)),IF(VLOOKUP($A312,[1]!Table1[#All],2,FALSE)="Resultat",SUMIF($F$1:$F311,$D312,H$1:H311)+SUMIF($F313:$F$512,$D312,H313:H$512),0))*'[1]Processer - data'!H312,"")*IF($C312&lt;&gt;"",IF($F312="Halm",Landbrug!C$16*Landbrug!C$17,IF(LEFT($D312,5)="Areal", IF($G312="Ton",Landbrug!C$18,1),1)),1)*IF($F312="Grøntsager",IF($A312="Grøntsager i drivhus",Landbrug!C$51,1-Landbrug!C$51),1)</f>
        <v>33927.769198462265</v>
      </c>
      <c r="I312" s="298">
        <f>IF($A312&lt;&gt;"",IF(VLOOKUP($A312,[1]!Table1[#All],2,FALSE)="Direkte input",IF($A312&lt;&gt;"Grøntsager i drivhus",SUMIFS('Direkte input'!H$3:H$230,'Direkte input'!$F$3:$F$230,$D312,'Direkte input'!$C$3:$C$230,$B312,'Direkte input'!$D$3:$D$230,$C312,'Direkte input'!$A$3:$A$230,$A$1),SUMIFS('Direkte input'!H$3:H$230,'Direkte input'!$F$3:$F$230,$D312,'Direkte input'!$C$3:$C$230,$B312,'Direkte input'!$A$3:$A$230,$A$1)),IF(VLOOKUP($A312,[1]!Table1[#All],2,FALSE)="Resultat",SUMIF($F$1:$F311,$D312,I$1:I311)+SUMIF($F313:$F$512,$D312,I313:I$512),0))*'[1]Processer - data'!I312,"")*IF($C312&lt;&gt;"",IF($F312="Halm",Landbrug!D$16*Landbrug!D$17,IF(LEFT($D312,5)="Areal", IF($G312="Ton",Landbrug!D$18,1),1)),1)*IF($F312="Grøntsager",IF($A312="Grøntsager i drivhus",Landbrug!D$51,1-Landbrug!D$51),1)</f>
        <v>43092.586988718227</v>
      </c>
      <c r="J312" s="299">
        <f>IF($A312&lt;&gt;"",IF(VLOOKUP($A312,[1]!Table1[#All],2,FALSE)="Direkte input",IF($A312&lt;&gt;"Grøntsager i drivhus",SUMIFS('Direkte input'!I$3:I$230,'Direkte input'!$F$3:$F$230,$D312,'Direkte input'!$C$3:$C$230,$B312,'Direkte input'!$D$3:$D$230,$C312,'Direkte input'!$A$3:$A$230,$A$1),SUMIFS('Direkte input'!I$3:I$230,'Direkte input'!$F$3:$F$230,$D312,'Direkte input'!$C$3:$C$230,$B312,'Direkte input'!$A$3:$A$230,$A$1)),IF(VLOOKUP($A312,[1]!Table1[#All],2,FALSE)="Resultat",SUMIF($F$1:$F311,$D312,J$1:J311)+SUMIF($F313:$F$512,$D312,J313:J$512),0))*'[1]Processer - data'!J312,"")*IF($C312&lt;&gt;"",IF($F312="Halm",Landbrug!E$16*Landbrug!E$17,IF(LEFT($D312,5)="Areal", IF($G312="Ton",Landbrug!E$18,1),1)),1)*IF($F312="Grøntsager",IF($A312="Grøntsager i drivhus",Landbrug!E$51,1-Landbrug!E$51),1)</f>
        <v>59372.623715093621</v>
      </c>
    </row>
    <row r="313" spans="1:10" x14ac:dyDescent="0.25">
      <c r="A313" t="str">
        <f>IF('[1]Processer - data'!A313&lt;&gt;"",'[1]Processer - data'!A313,"")</f>
        <v>Majsmark</v>
      </c>
      <c r="B313" t="str">
        <f>IF('[1]Processer - data'!B313&lt;&gt;"",'[1]Processer - data'!B313,"")</f>
        <v>Økologisk</v>
      </c>
      <c r="C313" t="str">
        <f>IF('[1]Processer - data'!C313&lt;&gt;"",'[1]Processer - data'!C313,"")</f>
        <v>JB1-10</v>
      </c>
      <c r="D313" t="str">
        <f>IF('[1]Processer - data'!D313&lt;&gt;"",'[1]Processer - data'!D313,"")</f>
        <v>Areal-majs</v>
      </c>
      <c r="E313" t="str">
        <f>IF('[1]Processer - data'!E313&lt;&gt;"",'[1]Processer - data'!E313,"")</f>
        <v>Hektar</v>
      </c>
      <c r="F313" t="str">
        <f>IF('[1]Processer - data'!F313&lt;&gt;"",'[1]Processer - data'!F313,"")</f>
        <v>Gødning</v>
      </c>
      <c r="G313" t="str">
        <f>IF('[1]Processer - data'!G313&lt;&gt;"",'[1]Processer - data'!G313,"")</f>
        <v>kg N</v>
      </c>
      <c r="H313" s="297">
        <f>IF($A313&lt;&gt;"",IF(VLOOKUP($A313,[1]!Table1[#All],2,FALSE)="Direkte input",IF($A313&lt;&gt;"Grøntsager i drivhus",SUMIFS('Direkte input'!G$3:G$230,'Direkte input'!$F$3:$F$230,$D313,'Direkte input'!$C$3:$C$230,$B313,'Direkte input'!$D$3:$D$230,$C313,'Direkte input'!$A$3:$A$230,$A$1),SUMIFS('Direkte input'!G$3:G$230,'Direkte input'!$F$3:$F$230,$D313,'Direkte input'!$C$3:$C$230,$B313,'Direkte input'!$A$3:$A$230,$A$1)),IF(VLOOKUP($A313,[1]!Table1[#All],2,FALSE)="Resultat",SUMIF($F$1:$F312,$D313,H$1:H312)+SUMIF($F314:$F$512,$D313,H314:H$512),0))*'[1]Processer - data'!H313,"")*IF($C313&lt;&gt;"",IF($F313="Halm",Landbrug!C$16*Landbrug!C$17,IF(LEFT($D313,5)="Areal", IF($G313="Ton",Landbrug!C$18,1),1)),1)*IF($F313="Grøntsager",IF($A313="Grøntsager i drivhus",Landbrug!C$51,1-Landbrug!C$51),1)</f>
        <v>-121960.07799941499</v>
      </c>
      <c r="I313" s="298">
        <f>IF($A313&lt;&gt;"",IF(VLOOKUP($A313,[1]!Table1[#All],2,FALSE)="Direkte input",IF($A313&lt;&gt;"Grøntsager i drivhus",SUMIFS('Direkte input'!H$3:H$230,'Direkte input'!$F$3:$F$230,$D313,'Direkte input'!$C$3:$C$230,$B313,'Direkte input'!$D$3:$D$230,$C313,'Direkte input'!$A$3:$A$230,$A$1),SUMIFS('Direkte input'!H$3:H$230,'Direkte input'!$F$3:$F$230,$D313,'Direkte input'!$C$3:$C$230,$B313,'Direkte input'!$A$3:$A$230,$A$1)),IF(VLOOKUP($A313,[1]!Table1[#All],2,FALSE)="Resultat",SUMIF($F$1:$F312,$D313,I$1:I312)+SUMIF($F314:$F$512,$D313,I314:I$512),0))*'[1]Processer - data'!I313,"")*IF($C313&lt;&gt;"",IF($F313="Halm",Landbrug!D$16*Landbrug!D$17,IF(LEFT($D313,5)="Areal", IF($G313="Ton",Landbrug!D$18,1),1)),1)*IF($F313="Grøntsager",IF($A313="Grøntsager i drivhus",Landbrug!D$51,1-Landbrug!D$51),1)</f>
        <v>-144500.77288926591</v>
      </c>
      <c r="J313" s="299">
        <f>IF($A313&lt;&gt;"",IF(VLOOKUP($A313,[1]!Table1[#All],2,FALSE)="Direkte input",IF($A313&lt;&gt;"Grøntsager i drivhus",SUMIFS('Direkte input'!I$3:I$230,'Direkte input'!$F$3:$F$230,$D313,'Direkte input'!$C$3:$C$230,$B313,'Direkte input'!$D$3:$D$230,$C313,'Direkte input'!$A$3:$A$230,$A$1),SUMIFS('Direkte input'!I$3:I$230,'Direkte input'!$F$3:$F$230,$D313,'Direkte input'!$C$3:$C$230,$B313,'Direkte input'!$A$3:$A$230,$A$1)),IF(VLOOKUP($A313,[1]!Table1[#All],2,FALSE)="Resultat",SUMIF($F$1:$F312,$D313,J$1:J312)+SUMIF($F314:$F$512,$D313,J314:J$512),0))*'[1]Processer - data'!J313,"")*IF($C313&lt;&gt;"",IF($F313="Halm",Landbrug!E$16*Landbrug!E$17,IF(LEFT($D313,5)="Areal", IF($G313="Ton",Landbrug!E$18,1),1)),1)*IF($F313="Grøntsager",IF($A313="Grøntsager i drivhus",Landbrug!E$51,1-Landbrug!E$51),1)</f>
        <v>-185588.38354673554</v>
      </c>
    </row>
    <row r="314" spans="1:10" x14ac:dyDescent="0.25">
      <c r="A314" t="str">
        <f>IF('[1]Processer - data'!A314&lt;&gt;"",'[1]Processer - data'!A314,"")</f>
        <v>Majsmark</v>
      </c>
      <c r="B314" t="str">
        <f>IF('[1]Processer - data'!B314&lt;&gt;"",'[1]Processer - data'!B314,"")</f>
        <v>Økologisk</v>
      </c>
      <c r="C314" t="str">
        <f>IF('[1]Processer - data'!C314&lt;&gt;"",'[1]Processer - data'!C314,"")</f>
        <v>JB1-10</v>
      </c>
      <c r="D314" t="str">
        <f>IF('[1]Processer - data'!D314&lt;&gt;"",'[1]Processer - data'!D314,"")</f>
        <v>Areal-majs</v>
      </c>
      <c r="E314" t="str">
        <f>IF('[1]Processer - data'!E314&lt;&gt;"",'[1]Processer - data'!E314,"")</f>
        <v>Hektar</v>
      </c>
      <c r="F314" t="str">
        <f>IF('[1]Processer - data'!F314&lt;&gt;"",'[1]Processer - data'!F314,"")</f>
        <v>CO2 - atmosfære</v>
      </c>
      <c r="G314" t="str">
        <f>IF('[1]Processer - data'!G314&lt;&gt;"",'[1]Processer - data'!G314,"")</f>
        <v>t CO2-ækvivalenter</v>
      </c>
      <c r="H314" s="297">
        <f>IF($A314&lt;&gt;"",IF(VLOOKUP($A314,[1]!Table1[#All],2,FALSE)="Direkte input",IF($A314&lt;&gt;"Grøntsager i drivhus",SUMIFS('Direkte input'!G$3:G$230,'Direkte input'!$F$3:$F$230,$D314,'Direkte input'!$C$3:$C$230,$B314,'Direkte input'!$D$3:$D$230,$C314,'Direkte input'!$A$3:$A$230,$A$1),SUMIFS('Direkte input'!G$3:G$230,'Direkte input'!$F$3:$F$230,$D314,'Direkte input'!$C$3:$C$230,$B314,'Direkte input'!$A$3:$A$230,$A$1)),IF(VLOOKUP($A314,[1]!Table1[#All],2,FALSE)="Resultat",SUMIF($F$1:$F313,$D314,H$1:H313)+SUMIF($F315:$F$512,$D314,H315:H$512),0))*'[1]Processer - data'!H314,"")*IF($C314&lt;&gt;"",IF($F314="Halm",Landbrug!C$16*Landbrug!C$17,IF(LEFT($D314,5)="Areal", IF($G314="Ton",Landbrug!C$18,1),1)),1)*IF($F314="Grøntsager",IF($A314="Grøntsager i drivhus",Landbrug!C$51,1-Landbrug!C$51),1)</f>
        <v>2088.1019759439559</v>
      </c>
      <c r="I314" s="298">
        <f>IF($A314&lt;&gt;"",IF(VLOOKUP($A314,[1]!Table1[#All],2,FALSE)="Direkte input",IF($A314&lt;&gt;"Grøntsager i drivhus",SUMIFS('Direkte input'!H$3:H$230,'Direkte input'!$F$3:$F$230,$D314,'Direkte input'!$C$3:$C$230,$B314,'Direkte input'!$D$3:$D$230,$C314,'Direkte input'!$A$3:$A$230,$A$1),SUMIFS('Direkte input'!H$3:H$230,'Direkte input'!$F$3:$F$230,$D314,'Direkte input'!$C$3:$C$230,$B314,'Direkte input'!$A$3:$A$230,$A$1)),IF(VLOOKUP($A314,[1]!Table1[#All],2,FALSE)="Resultat",SUMIF($F$1:$F313,$D314,I$1:I313)+SUMIF($F315:$F$512,$D314,I315:I$512),0))*'[1]Processer - data'!I314,"")*IF($C314&lt;&gt;"",IF($F314="Halm",Landbrug!D$16*Landbrug!D$17,IF(LEFT($D314,5)="Areal", IF($G314="Ton",Landbrug!D$18,1),1)),1)*IF($F314="Grøntsager",IF($A314="Grøntsager i drivhus",Landbrug!D$51,1-Landbrug!D$51),1)</f>
        <v>2474.0255528284615</v>
      </c>
      <c r="J314" s="299">
        <f>IF($A314&lt;&gt;"",IF(VLOOKUP($A314,[1]!Table1[#All],2,FALSE)="Direkte input",IF($A314&lt;&gt;"Grøntsager i drivhus",SUMIFS('Direkte input'!I$3:I$230,'Direkte input'!$F$3:$F$230,$D314,'Direkte input'!$C$3:$C$230,$B314,'Direkte input'!$D$3:$D$230,$C314,'Direkte input'!$A$3:$A$230,$A$1),SUMIFS('Direkte input'!I$3:I$230,'Direkte input'!$F$3:$F$230,$D314,'Direkte input'!$C$3:$C$230,$B314,'Direkte input'!$A$3:$A$230,$A$1)),IF(VLOOKUP($A314,[1]!Table1[#All],2,FALSE)="Resultat",SUMIF($F$1:$F313,$D314,J$1:J313)+SUMIF($F315:$F$512,$D314,J315:J$512),0))*'[1]Processer - data'!J314,"")*IF($C314&lt;&gt;"",IF($F314="Halm",Landbrug!E$16*Landbrug!E$17,IF(LEFT($D314,5)="Areal", IF($G314="Ton",Landbrug!E$18,1),1)),1)*IF($F314="Grøntsager",IF($A314="Grøntsager i drivhus",Landbrug!E$51,1-Landbrug!E$51),1)</f>
        <v>3177.4944453384337</v>
      </c>
    </row>
    <row r="315" spans="1:10" x14ac:dyDescent="0.25">
      <c r="A315" t="str">
        <f>IF('[1]Processer - data'!A315&lt;&gt;"",'[1]Processer - data'!A315,"")</f>
        <v>Majsmark</v>
      </c>
      <c r="B315" t="str">
        <f>IF('[1]Processer - data'!B315&lt;&gt;"",'[1]Processer - data'!B315,"")</f>
        <v>Økologisk</v>
      </c>
      <c r="C315" t="str">
        <f>IF('[1]Processer - data'!C315&lt;&gt;"",'[1]Processer - data'!C315,"")</f>
        <v>OC6</v>
      </c>
      <c r="D315" t="str">
        <f>IF('[1]Processer - data'!D315&lt;&gt;"",'[1]Processer - data'!D315,"")</f>
        <v>Areal-majs</v>
      </c>
      <c r="E315" t="str">
        <f>IF('[1]Processer - data'!E315&lt;&gt;"",'[1]Processer - data'!E315,"")</f>
        <v>Hektar</v>
      </c>
      <c r="F315" t="str">
        <f>IF('[1]Processer - data'!F315&lt;&gt;"",'[1]Processer - data'!F315,"")</f>
        <v>Majs</v>
      </c>
      <c r="G315" t="str">
        <f>IF('[1]Processer - data'!G315&lt;&gt;"",'[1]Processer - data'!G315,"")</f>
        <v>Ton</v>
      </c>
      <c r="H315" s="297">
        <f>IF($A315&lt;&gt;"",IF(VLOOKUP($A315,[1]!Table1[#All],2,FALSE)="Direkte input",IF($A315&lt;&gt;"Grøntsager i drivhus",SUMIFS('Direkte input'!G$3:G$230,'Direkte input'!$F$3:$F$230,$D315,'Direkte input'!$C$3:$C$230,$B315,'Direkte input'!$D$3:$D$230,$C315,'Direkte input'!$A$3:$A$230,$A$1),SUMIFS('Direkte input'!G$3:G$230,'Direkte input'!$F$3:$F$230,$D315,'Direkte input'!$C$3:$C$230,$B315,'Direkte input'!$A$3:$A$230,$A$1)),IF(VLOOKUP($A315,[1]!Table1[#All],2,FALSE)="Resultat",SUMIF($F$1:$F314,$D315,H$1:H314)+SUMIF($F316:$F$512,$D315,H316:H$512),0))*'[1]Processer - data'!H315,"")*IF($C315&lt;&gt;"",IF($F315="Halm",Landbrug!C$16*Landbrug!C$17,IF(LEFT($D315,5)="Areal", IF($G315="Ton",Landbrug!C$18,1),1)),1)*IF($F315="Grøntsager",IF($A315="Grøntsager i drivhus",Landbrug!C$51,1-Landbrug!C$51),1)</f>
        <v>785.9410389075988</v>
      </c>
      <c r="I315" s="298">
        <f>IF($A315&lt;&gt;"",IF(VLOOKUP($A315,[1]!Table1[#All],2,FALSE)="Direkte input",IF($A315&lt;&gt;"Grøntsager i drivhus",SUMIFS('Direkte input'!H$3:H$230,'Direkte input'!$F$3:$F$230,$D315,'Direkte input'!$C$3:$C$230,$B315,'Direkte input'!$D$3:$D$230,$C315,'Direkte input'!$A$3:$A$230,$A$1),SUMIFS('Direkte input'!H$3:H$230,'Direkte input'!$F$3:$F$230,$D315,'Direkte input'!$C$3:$C$230,$B315,'Direkte input'!$A$3:$A$230,$A$1)),IF(VLOOKUP($A315,[1]!Table1[#All],2,FALSE)="Resultat",SUMIF($F$1:$F314,$D315,I$1:I314)+SUMIF($F316:$F$512,$D315,I316:I$512),0))*'[1]Processer - data'!I315,"")*IF($C315&lt;&gt;"",IF($F315="Halm",Landbrug!D$16*Landbrug!D$17,IF(LEFT($D315,5)="Areal", IF($G315="Ton",Landbrug!D$18,1),1)),1)*IF($F315="Grøntsager",IF($A315="Grøntsager i drivhus",Landbrug!D$51,1-Landbrug!D$51),1)</f>
        <v>930.21637855220513</v>
      </c>
      <c r="J315" s="299">
        <f>IF($A315&lt;&gt;"",IF(VLOOKUP($A315,[1]!Table1[#All],2,FALSE)="Direkte input",IF($A315&lt;&gt;"Grøntsager i drivhus",SUMIFS('Direkte input'!I$3:I$230,'Direkte input'!$F$3:$F$230,$D315,'Direkte input'!$C$3:$C$230,$B315,'Direkte input'!$D$3:$D$230,$C315,'Direkte input'!$A$3:$A$230,$A$1),SUMIFS('Direkte input'!I$3:I$230,'Direkte input'!$F$3:$F$230,$D315,'Direkte input'!$C$3:$C$230,$B315,'Direkte input'!$A$3:$A$230,$A$1)),IF(VLOOKUP($A315,[1]!Table1[#All],2,FALSE)="Resultat",SUMIF($F$1:$F314,$D315,J$1:J314)+SUMIF($F316:$F$512,$D315,J316:J$512),0))*'[1]Processer - data'!J315,"")*IF($C315&lt;&gt;"",IF($F315="Halm",Landbrug!E$16*Landbrug!E$17,IF(LEFT($D315,5)="Areal", IF($G315="Ton",Landbrug!E$18,1),1)),1)*IF($F315="Grøntsager",IF($A315="Grøntsager i drivhus",Landbrug!E$51,1-Landbrug!E$51),1)</f>
        <v>1293.5741168023164</v>
      </c>
    </row>
    <row r="316" spans="1:10" x14ac:dyDescent="0.25">
      <c r="A316" t="str">
        <f>IF('[1]Processer - data'!A316&lt;&gt;"",'[1]Processer - data'!A316,"")</f>
        <v>Majsmark</v>
      </c>
      <c r="B316" t="str">
        <f>IF('[1]Processer - data'!B316&lt;&gt;"",'[1]Processer - data'!B316,"")</f>
        <v>Økologisk</v>
      </c>
      <c r="C316" t="str">
        <f>IF('[1]Processer - data'!C316&lt;&gt;"",'[1]Processer - data'!C316,"")</f>
        <v>OC6</v>
      </c>
      <c r="D316" t="str">
        <f>IF('[1]Processer - data'!D316&lt;&gt;"",'[1]Processer - data'!D316,"")</f>
        <v>Areal-majs</v>
      </c>
      <c r="E316" t="str">
        <f>IF('[1]Processer - data'!E316&lt;&gt;"",'[1]Processer - data'!E316,"")</f>
        <v>Hektar</v>
      </c>
      <c r="F316" t="str">
        <f>IF('[1]Processer - data'!F316&lt;&gt;"",'[1]Processer - data'!F316,"")</f>
        <v>Gødning</v>
      </c>
      <c r="G316" t="str">
        <f>IF('[1]Processer - data'!G316&lt;&gt;"",'[1]Processer - data'!G316,"")</f>
        <v>kg N</v>
      </c>
      <c r="H316" s="297">
        <f>IF($A316&lt;&gt;"",IF(VLOOKUP($A316,[1]!Table1[#All],2,FALSE)="Direkte input",IF($A316&lt;&gt;"Grøntsager i drivhus",SUMIFS('Direkte input'!G$3:G$230,'Direkte input'!$F$3:$F$230,$D316,'Direkte input'!$C$3:$C$230,$B316,'Direkte input'!$D$3:$D$230,$C316,'Direkte input'!$A$3:$A$230,$A$1),SUMIFS('Direkte input'!G$3:G$230,'Direkte input'!$F$3:$F$230,$D316,'Direkte input'!$C$3:$C$230,$B316,'Direkte input'!$A$3:$A$230,$A$1)),IF(VLOOKUP($A316,[1]!Table1[#All],2,FALSE)="Resultat",SUMIF($F$1:$F315,$D316,H$1:H315)+SUMIF($F317:$F$512,$D316,H317:H$512),0))*'[1]Processer - data'!H316,"")*IF($C316&lt;&gt;"",IF($F316="Halm",Landbrug!C$16*Landbrug!C$17,IF(LEFT($D316,5)="Areal", IF($G316="Ton",Landbrug!C$18,1),1)),1)*IF($F316="Grøntsager",IF($A316="Grøntsager i drivhus",Landbrug!C$51,1-Landbrug!C$51),1)</f>
        <v>-1912.9097404700785</v>
      </c>
      <c r="I316" s="298">
        <f>IF($A316&lt;&gt;"",IF(VLOOKUP($A316,[1]!Table1[#All],2,FALSE)="Direkte input",IF($A316&lt;&gt;"Grøntsager i drivhus",SUMIFS('Direkte input'!H$3:H$230,'Direkte input'!$F$3:$F$230,$D316,'Direkte input'!$C$3:$C$230,$B316,'Direkte input'!$D$3:$D$230,$C316,'Direkte input'!$A$3:$A$230,$A$1),SUMIFS('Direkte input'!H$3:H$230,'Direkte input'!$F$3:$F$230,$D316,'Direkte input'!$C$3:$C$230,$B316,'Direkte input'!$A$3:$A$230,$A$1)),IF(VLOOKUP($A316,[1]!Table1[#All],2,FALSE)="Resultat",SUMIF($F$1:$F315,$D316,I$1:I315)+SUMIF($F317:$F$512,$D316,I317:I$512),0))*'[1]Processer - data'!I316,"")*IF($C316&lt;&gt;"",IF($F316="Halm",Landbrug!D$16*Landbrug!D$17,IF(LEFT($D316,5)="Areal", IF($G316="Ton",Landbrug!D$18,1),1)),1)*IF($F316="Grøntsager",IF($A316="Grøntsager i drivhus",Landbrug!D$51,1-Landbrug!D$51),1)</f>
        <v>-2111.9990017718264</v>
      </c>
      <c r="J316" s="299">
        <f>IF($A316&lt;&gt;"",IF(VLOOKUP($A316,[1]!Table1[#All],2,FALSE)="Direkte input",IF($A316&lt;&gt;"Grøntsager i drivhus",SUMIFS('Direkte input'!I$3:I$230,'Direkte input'!$F$3:$F$230,$D316,'Direkte input'!$C$3:$C$230,$B316,'Direkte input'!$D$3:$D$230,$C316,'Direkte input'!$A$3:$A$230,$A$1),SUMIFS('Direkte input'!I$3:I$230,'Direkte input'!$F$3:$F$230,$D316,'Direkte input'!$C$3:$C$230,$B316,'Direkte input'!$A$3:$A$230,$A$1)),IF(VLOOKUP($A316,[1]!Table1[#All],2,FALSE)="Resultat",SUMIF($F$1:$F315,$D316,J$1:J315)+SUMIF($F317:$F$512,$D316,J317:J$512),0))*'[1]Processer - data'!J316,"")*IF($C316&lt;&gt;"",IF($F316="Halm",Landbrug!E$16*Landbrug!E$17,IF(LEFT($D316,5)="Areal", IF($G316="Ton",Landbrug!E$18,1),1)),1)*IF($F316="Grøntsager",IF($A316="Grøntsager i drivhus",Landbrug!E$51,1-Landbrug!E$51),1)</f>
        <v>-2737.7764837782929</v>
      </c>
    </row>
    <row r="317" spans="1:10" x14ac:dyDescent="0.25">
      <c r="A317" t="str">
        <f>IF('[1]Processer - data'!A317&lt;&gt;"",'[1]Processer - data'!A317,"")</f>
        <v>Majsmark</v>
      </c>
      <c r="B317" t="str">
        <f>IF('[1]Processer - data'!B317&lt;&gt;"",'[1]Processer - data'!B317,"")</f>
        <v>Økologisk</v>
      </c>
      <c r="C317" t="str">
        <f>IF('[1]Processer - data'!C317&lt;&gt;"",'[1]Processer - data'!C317,"")</f>
        <v>OC6</v>
      </c>
      <c r="D317" t="str">
        <f>IF('[1]Processer - data'!D317&lt;&gt;"",'[1]Processer - data'!D317,"")</f>
        <v>Areal-majs</v>
      </c>
      <c r="E317" t="str">
        <f>IF('[1]Processer - data'!E317&lt;&gt;"",'[1]Processer - data'!E317,"")</f>
        <v>Hektar</v>
      </c>
      <c r="F317" t="str">
        <f>IF('[1]Processer - data'!F317&lt;&gt;"",'[1]Processer - data'!F317,"")</f>
        <v>CO2 - atmosfære</v>
      </c>
      <c r="G317" t="str">
        <f>IF('[1]Processer - data'!G317&lt;&gt;"",'[1]Processer - data'!G317,"")</f>
        <v>t CO2-ækvivalenter</v>
      </c>
      <c r="H317" s="297">
        <f>IF($A317&lt;&gt;"",IF(VLOOKUP($A317,[1]!Table1[#All],2,FALSE)="Direkte input",IF($A317&lt;&gt;"Grøntsager i drivhus",SUMIFS('Direkte input'!G$3:G$230,'Direkte input'!$F$3:$F$230,$D317,'Direkte input'!$C$3:$C$230,$B317,'Direkte input'!$D$3:$D$230,$C317,'Direkte input'!$A$3:$A$230,$A$1),SUMIFS('Direkte input'!G$3:G$230,'Direkte input'!$F$3:$F$230,$D317,'Direkte input'!$C$3:$C$230,$B317,'Direkte input'!$A$3:$A$230,$A$1)),IF(VLOOKUP($A317,[1]!Table1[#All],2,FALSE)="Resultat",SUMIF($F$1:$F316,$D317,H$1:H316)+SUMIF($F318:$F$512,$D317,H318:H$512),0))*'[1]Processer - data'!H317,"")*IF($C317&lt;&gt;"",IF($F317="Halm",Landbrug!C$16*Landbrug!C$17,IF(LEFT($D317,5)="Areal", IF($G317="Ton",Landbrug!C$18,1),1)),1)*IF($F317="Grøntsager",IF($A317="Grøntsager i drivhus",Landbrug!C$51,1-Landbrug!C$51),1)</f>
        <v>283.50943394053223</v>
      </c>
      <c r="I317" s="298">
        <f>IF($A317&lt;&gt;"",IF(VLOOKUP($A317,[1]!Table1[#All],2,FALSE)="Direkte input",IF($A317&lt;&gt;"Grøntsager i drivhus",SUMIFS('Direkte input'!H$3:H$230,'Direkte input'!$F$3:$F$230,$D317,'Direkte input'!$C$3:$C$230,$B317,'Direkte input'!$D$3:$D$230,$C317,'Direkte input'!$A$3:$A$230,$A$1),SUMIFS('Direkte input'!H$3:H$230,'Direkte input'!$F$3:$F$230,$D317,'Direkte input'!$C$3:$C$230,$B317,'Direkte input'!$A$3:$A$230,$A$1)),IF(VLOOKUP($A317,[1]!Table1[#All],2,FALSE)="Resultat",SUMIF($F$1:$F316,$D317,I$1:I316)+SUMIF($F318:$F$512,$D317,I318:I$512),0))*'[1]Processer - data'!I317,"")*IF($C317&lt;&gt;"",IF($F317="Halm",Landbrug!D$16*Landbrug!D$17,IF(LEFT($D317,5)="Areal", IF($G317="Ton",Landbrug!D$18,1),1)),1)*IF($F317="Grøntsager",IF($A317="Grøntsager i drivhus",Landbrug!D$51,1-Landbrug!D$51),1)</f>
        <v>313.01614959007816</v>
      </c>
      <c r="J317" s="299">
        <f>IF($A317&lt;&gt;"",IF(VLOOKUP($A317,[1]!Table1[#All],2,FALSE)="Direkte input",IF($A317&lt;&gt;"Grøntsager i drivhus",SUMIFS('Direkte input'!I$3:I$230,'Direkte input'!$F$3:$F$230,$D317,'Direkte input'!$C$3:$C$230,$B317,'Direkte input'!$D$3:$D$230,$C317,'Direkte input'!$A$3:$A$230,$A$1),SUMIFS('Direkte input'!I$3:I$230,'Direkte input'!$F$3:$F$230,$D317,'Direkte input'!$C$3:$C$230,$B317,'Direkte input'!$A$3:$A$230,$A$1)),IF(VLOOKUP($A317,[1]!Table1[#All],2,FALSE)="Resultat",SUMIF($F$1:$F316,$D317,J$1:J316)+SUMIF($F318:$F$512,$D317,J318:J$512),0))*'[1]Processer - data'!J317,"")*IF($C317&lt;&gt;"",IF($F317="Halm",Landbrug!E$16*Landbrug!E$17,IF(LEFT($D317,5)="Areal", IF($G317="Ton",Landbrug!E$18,1),1)),1)*IF($F317="Grøntsager",IF($A317="Grøntsager i drivhus",Landbrug!E$51,1-Landbrug!E$51),1)</f>
        <v>405.7616753945457</v>
      </c>
    </row>
    <row r="318" spans="1:10" x14ac:dyDescent="0.25">
      <c r="A318" t="str">
        <f>IF('[1]Processer - data'!A318&lt;&gt;"",'[1]Processer - data'!A318,"")</f>
        <v>Majsmark</v>
      </c>
      <c r="B318" t="str">
        <f>IF('[1]Processer - data'!B318&lt;&gt;"",'[1]Processer - data'!B318,"")</f>
        <v>Økologisk</v>
      </c>
      <c r="C318" t="str">
        <f>IF('[1]Processer - data'!C318&lt;&gt;"",'[1]Processer - data'!C318,"")</f>
        <v>OC12</v>
      </c>
      <c r="D318" t="str">
        <f>IF('[1]Processer - data'!D318&lt;&gt;"",'[1]Processer - data'!D318,"")</f>
        <v>Areal-majs</v>
      </c>
      <c r="E318" t="str">
        <f>IF('[1]Processer - data'!E318&lt;&gt;"",'[1]Processer - data'!E318,"")</f>
        <v>Hektar</v>
      </c>
      <c r="F318" t="str">
        <f>IF('[1]Processer - data'!F318&lt;&gt;"",'[1]Processer - data'!F318,"")</f>
        <v>Majs</v>
      </c>
      <c r="G318" t="str">
        <f>IF('[1]Processer - data'!G318&lt;&gt;"",'[1]Processer - data'!G318,"")</f>
        <v>Ton</v>
      </c>
      <c r="H318" s="297">
        <f>IF($A318&lt;&gt;"",IF(VLOOKUP($A318,[1]!Table1[#All],2,FALSE)="Direkte input",IF($A318&lt;&gt;"Grøntsager i drivhus",SUMIFS('Direkte input'!G$3:G$230,'Direkte input'!$F$3:$F$230,$D318,'Direkte input'!$C$3:$C$230,$B318,'Direkte input'!$D$3:$D$230,$C318,'Direkte input'!$A$3:$A$230,$A$1),SUMIFS('Direkte input'!G$3:G$230,'Direkte input'!$F$3:$F$230,$D318,'Direkte input'!$C$3:$C$230,$B318,'Direkte input'!$A$3:$A$230,$A$1)),IF(VLOOKUP($A318,[1]!Table1[#All],2,FALSE)="Resultat",SUMIF($F$1:$F317,$D318,H$1:H317)+SUMIF($F319:$F$512,$D318,H319:H$512),0))*'[1]Processer - data'!H318,"")*IF($C318&lt;&gt;"",IF($F318="Halm",Landbrug!C$16*Landbrug!C$17,IF(LEFT($D318,5)="Areal", IF($G318="Ton",Landbrug!C$18,1),1)),1)*IF($F318="Grøntsager",IF($A318="Grøntsager i drivhus",Landbrug!C$51,1-Landbrug!C$51),1)</f>
        <v>329.09437223703469</v>
      </c>
      <c r="I318" s="298">
        <f>IF($A318&lt;&gt;"",IF(VLOOKUP($A318,[1]!Table1[#All],2,FALSE)="Direkte input",IF($A318&lt;&gt;"Grøntsager i drivhus",SUMIFS('Direkte input'!H$3:H$230,'Direkte input'!$F$3:$F$230,$D318,'Direkte input'!$C$3:$C$230,$B318,'Direkte input'!$D$3:$D$230,$C318,'Direkte input'!$A$3:$A$230,$A$1),SUMIFS('Direkte input'!H$3:H$230,'Direkte input'!$F$3:$F$230,$D318,'Direkte input'!$C$3:$C$230,$B318,'Direkte input'!$A$3:$A$230,$A$1)),IF(VLOOKUP($A318,[1]!Table1[#All],2,FALSE)="Resultat",SUMIF($F$1:$F317,$D318,I$1:I317)+SUMIF($F319:$F$512,$D318,I319:I$512),0))*'[1]Processer - data'!I318,"")*IF($C318&lt;&gt;"",IF($F318="Halm",Landbrug!D$16*Landbrug!D$17,IF(LEFT($D318,5)="Areal", IF($G318="Ton",Landbrug!D$18,1),1)),1)*IF($F318="Grøntsager",IF($A318="Grøntsager i drivhus",Landbrug!D$51,1-Landbrug!D$51),1)</f>
        <v>392.59041456758769</v>
      </c>
      <c r="J318" s="299">
        <f>IF($A318&lt;&gt;"",IF(VLOOKUP($A318,[1]!Table1[#All],2,FALSE)="Direkte input",IF($A318&lt;&gt;"Grøntsager i drivhus",SUMIFS('Direkte input'!I$3:I$230,'Direkte input'!$F$3:$F$230,$D318,'Direkte input'!$C$3:$C$230,$B318,'Direkte input'!$D$3:$D$230,$C318,'Direkte input'!$A$3:$A$230,$A$1),SUMIFS('Direkte input'!I$3:I$230,'Direkte input'!$F$3:$F$230,$D318,'Direkte input'!$C$3:$C$230,$B318,'Direkte input'!$A$3:$A$230,$A$1)),IF(VLOOKUP($A318,[1]!Table1[#All],2,FALSE)="Resultat",SUMIF($F$1:$F317,$D318,J$1:J317)+SUMIF($F319:$F$512,$D318,J319:J$512),0))*'[1]Processer - data'!J318,"")*IF($C318&lt;&gt;"",IF($F318="Halm",Landbrug!E$16*Landbrug!E$17,IF(LEFT($D318,5)="Areal", IF($G318="Ton",Landbrug!E$18,1),1)),1)*IF($F318="Grøntsager",IF($A318="Grøntsager i drivhus",Landbrug!E$51,1-Landbrug!E$51),1)</f>
        <v>545.9426543098881</v>
      </c>
    </row>
    <row r="319" spans="1:10" x14ac:dyDescent="0.25">
      <c r="A319" t="str">
        <f>IF('[1]Processer - data'!A319&lt;&gt;"",'[1]Processer - data'!A319,"")</f>
        <v>Majsmark</v>
      </c>
      <c r="B319" t="str">
        <f>IF('[1]Processer - data'!B319&lt;&gt;"",'[1]Processer - data'!B319,"")</f>
        <v>Økologisk</v>
      </c>
      <c r="C319" t="str">
        <f>IF('[1]Processer - data'!C319&lt;&gt;"",'[1]Processer - data'!C319,"")</f>
        <v>OC12</v>
      </c>
      <c r="D319" t="str">
        <f>IF('[1]Processer - data'!D319&lt;&gt;"",'[1]Processer - data'!D319,"")</f>
        <v>Areal-majs</v>
      </c>
      <c r="E319" t="str">
        <f>IF('[1]Processer - data'!E319&lt;&gt;"",'[1]Processer - data'!E319,"")</f>
        <v>Hektar</v>
      </c>
      <c r="F319" t="str">
        <f>IF('[1]Processer - data'!F319&lt;&gt;"",'[1]Processer - data'!F319,"")</f>
        <v>Gødning</v>
      </c>
      <c r="G319" t="str">
        <f>IF('[1]Processer - data'!G319&lt;&gt;"",'[1]Processer - data'!G319,"")</f>
        <v>kg N</v>
      </c>
      <c r="H319" s="297">
        <f>IF($A319&lt;&gt;"",IF(VLOOKUP($A319,[1]!Table1[#All],2,FALSE)="Direkte input",IF($A319&lt;&gt;"Grøntsager i drivhus",SUMIFS('Direkte input'!G$3:G$230,'Direkte input'!$F$3:$F$230,$D319,'Direkte input'!$C$3:$C$230,$B319,'Direkte input'!$D$3:$D$230,$C319,'Direkte input'!$A$3:$A$230,$A$1),SUMIFS('Direkte input'!G$3:G$230,'Direkte input'!$F$3:$F$230,$D319,'Direkte input'!$C$3:$C$230,$B319,'Direkte input'!$A$3:$A$230,$A$1)),IF(VLOOKUP($A319,[1]!Table1[#All],2,FALSE)="Resultat",SUMIF($F$1:$F318,$D319,H$1:H318)+SUMIF($F320:$F$512,$D319,H320:H$512),0))*'[1]Processer - data'!H319,"")*IF($C319&lt;&gt;"",IF($F319="Halm",Landbrug!C$16*Landbrug!C$17,IF(LEFT($D319,5)="Areal", IF($G319="Ton",Landbrug!C$18,1),1)),1)*IF($F319="Grøntsager",IF($A319="Grøntsager i drivhus",Landbrug!C$51,1-Landbrug!C$51),1)</f>
        <v>-528.12268870082926</v>
      </c>
      <c r="I319" s="298">
        <f>IF($A319&lt;&gt;"",IF(VLOOKUP($A319,[1]!Table1[#All],2,FALSE)="Direkte input",IF($A319&lt;&gt;"Grøntsager i drivhus",SUMIFS('Direkte input'!H$3:H$230,'Direkte input'!$F$3:$F$230,$D319,'Direkte input'!$C$3:$C$230,$B319,'Direkte input'!$D$3:$D$230,$C319,'Direkte input'!$A$3:$A$230,$A$1),SUMIFS('Direkte input'!H$3:H$230,'Direkte input'!$F$3:$F$230,$D319,'Direkte input'!$C$3:$C$230,$B319,'Direkte input'!$A$3:$A$230,$A$1)),IF(VLOOKUP($A319,[1]!Table1[#All],2,FALSE)="Resultat",SUMIF($F$1:$F318,$D319,I$1:I318)+SUMIF($F320:$F$512,$D319,I320:I$512),0))*'[1]Processer - data'!I319,"")*IF($C319&lt;&gt;"",IF($F319="Halm",Landbrug!D$16*Landbrug!D$17,IF(LEFT($D319,5)="Areal", IF($G319="Ton",Landbrug!D$18,1),1)),1)*IF($F319="Grøntsager",IF($A319="Grøntsager i drivhus",Landbrug!D$51,1-Landbrug!D$51),1)</f>
        <v>-587.70485227857159</v>
      </c>
      <c r="J319" s="299">
        <f>IF($A319&lt;&gt;"",IF(VLOOKUP($A319,[1]!Table1[#All],2,FALSE)="Direkte input",IF($A319&lt;&gt;"Grøntsager i drivhus",SUMIFS('Direkte input'!I$3:I$230,'Direkte input'!$F$3:$F$230,$D319,'Direkte input'!$C$3:$C$230,$B319,'Direkte input'!$D$3:$D$230,$C319,'Direkte input'!$A$3:$A$230,$A$1),SUMIFS('Direkte input'!I$3:I$230,'Direkte input'!$F$3:$F$230,$D319,'Direkte input'!$C$3:$C$230,$B319,'Direkte input'!$A$3:$A$230,$A$1)),IF(VLOOKUP($A319,[1]!Table1[#All],2,FALSE)="Resultat",SUMIF($F$1:$F318,$D319,J$1:J318)+SUMIF($F320:$F$512,$D319,J320:J$512),0))*'[1]Processer - data'!J319,"")*IF($C319&lt;&gt;"",IF($F319="Halm",Landbrug!E$16*Landbrug!E$17,IF(LEFT($D319,5)="Areal", IF($G319="Ton",Landbrug!E$18,1),1)),1)*IF($F319="Grøntsager",IF($A319="Grøntsager i drivhus",Landbrug!E$51,1-Landbrug!E$51),1)</f>
        <v>-761.83962332407418</v>
      </c>
    </row>
    <row r="320" spans="1:10" x14ac:dyDescent="0.25">
      <c r="A320" t="str">
        <f>IF('[1]Processer - data'!A320&lt;&gt;"",'[1]Processer - data'!A320,"")</f>
        <v>Majsmark</v>
      </c>
      <c r="B320" t="str">
        <f>IF('[1]Processer - data'!B320&lt;&gt;"",'[1]Processer - data'!B320,"")</f>
        <v>Økologisk</v>
      </c>
      <c r="C320" t="str">
        <f>IF('[1]Processer - data'!C320&lt;&gt;"",'[1]Processer - data'!C320,"")</f>
        <v>OC12</v>
      </c>
      <c r="D320" t="str">
        <f>IF('[1]Processer - data'!D320&lt;&gt;"",'[1]Processer - data'!D320,"")</f>
        <v>Areal-majs</v>
      </c>
      <c r="E320" t="str">
        <f>IF('[1]Processer - data'!E320&lt;&gt;"",'[1]Processer - data'!E320,"")</f>
        <v>Hektar</v>
      </c>
      <c r="F320" t="str">
        <f>IF('[1]Processer - data'!F320&lt;&gt;"",'[1]Processer - data'!F320,"")</f>
        <v>CO2 - atmosfære</v>
      </c>
      <c r="G320" t="str">
        <f>IF('[1]Processer - data'!G320&lt;&gt;"",'[1]Processer - data'!G320,"")</f>
        <v>t CO2-ækvivalenter</v>
      </c>
      <c r="H320" s="297">
        <f>IF($A320&lt;&gt;"",IF(VLOOKUP($A320,[1]!Table1[#All],2,FALSE)="Direkte input",IF($A320&lt;&gt;"Grøntsager i drivhus",SUMIFS('Direkte input'!G$3:G$230,'Direkte input'!$F$3:$F$230,$D320,'Direkte input'!$C$3:$C$230,$B320,'Direkte input'!$D$3:$D$230,$C320,'Direkte input'!$A$3:$A$230,$A$1),SUMIFS('Direkte input'!G$3:G$230,'Direkte input'!$F$3:$F$230,$D320,'Direkte input'!$C$3:$C$230,$B320,'Direkte input'!$A$3:$A$230,$A$1)),IF(VLOOKUP($A320,[1]!Table1[#All],2,FALSE)="Resultat",SUMIF($F$1:$F319,$D320,H$1:H319)+SUMIF($F321:$F$512,$D320,H321:H$512),0))*'[1]Processer - data'!H320,"")*IF($C320&lt;&gt;"",IF($F320="Halm",Landbrug!C$16*Landbrug!C$17,IF(LEFT($D320,5)="Areal", IF($G320="Ton",Landbrug!C$18,1),1)),1)*IF($F320="Grøntsager",IF($A320="Grøntsager i drivhus",Landbrug!C$51,1-Landbrug!C$51),1)</f>
        <v>260.57251730374725</v>
      </c>
      <c r="I320" s="298">
        <f>IF($A320&lt;&gt;"",IF(VLOOKUP($A320,[1]!Table1[#All],2,FALSE)="Direkte input",IF($A320&lt;&gt;"Grøntsager i drivhus",SUMIFS('Direkte input'!H$3:H$230,'Direkte input'!$F$3:$F$230,$D320,'Direkte input'!$C$3:$C$230,$B320,'Direkte input'!$D$3:$D$230,$C320,'Direkte input'!$A$3:$A$230,$A$1),SUMIFS('Direkte input'!H$3:H$230,'Direkte input'!$F$3:$F$230,$D320,'Direkte input'!$C$3:$C$230,$B320,'Direkte input'!$A$3:$A$230,$A$1)),IF(VLOOKUP($A320,[1]!Table1[#All],2,FALSE)="Resultat",SUMIF($F$1:$F319,$D320,I$1:I319)+SUMIF($F321:$F$512,$D320,I321:I$512),0))*'[1]Processer - data'!I320,"")*IF($C320&lt;&gt;"",IF($F320="Halm",Landbrug!D$16*Landbrug!D$17,IF(LEFT($D320,5)="Areal", IF($G320="Ton",Landbrug!D$18,1),1)),1)*IF($F320="Grøntsager",IF($A320="Grøntsager i drivhus",Landbrug!D$51,1-Landbrug!D$51),1)</f>
        <v>289.96999384096688</v>
      </c>
      <c r="J320" s="299">
        <f>IF($A320&lt;&gt;"",IF(VLOOKUP($A320,[1]!Table1[#All],2,FALSE)="Direkte input",IF($A320&lt;&gt;"Grøntsager i drivhus",SUMIFS('Direkte input'!I$3:I$230,'Direkte input'!$F$3:$F$230,$D320,'Direkte input'!$C$3:$C$230,$B320,'Direkte input'!$D$3:$D$230,$C320,'Direkte input'!$A$3:$A$230,$A$1),SUMIFS('Direkte input'!I$3:I$230,'Direkte input'!$F$3:$F$230,$D320,'Direkte input'!$C$3:$C$230,$B320,'Direkte input'!$A$3:$A$230,$A$1)),IF(VLOOKUP($A320,[1]!Table1[#All],2,FALSE)="Resultat",SUMIF($F$1:$F319,$D320,J$1:J319)+SUMIF($F321:$F$512,$D320,J321:J$512),0))*'[1]Processer - data'!J320,"")*IF($C320&lt;&gt;"",IF($F320="Halm",Landbrug!E$16*Landbrug!E$17,IF(LEFT($D320,5)="Areal", IF($G320="Ton",Landbrug!E$18,1),1)),1)*IF($F320="Grøntsager",IF($A320="Grøntsager i drivhus",Landbrug!E$51,1-Landbrug!E$51),1)</f>
        <v>375.88702905310515</v>
      </c>
    </row>
    <row r="321" spans="1:10" x14ac:dyDescent="0.25">
      <c r="A321" t="str">
        <f>IF('[1]Processer - data'!A321&lt;&gt;"",'[1]Processer - data'!A321,"")</f>
        <v>Rapsmark</v>
      </c>
      <c r="B321" t="str">
        <f>IF('[1]Processer - data'!B321&lt;&gt;"",'[1]Processer - data'!B321,"")</f>
        <v>Konventionel</v>
      </c>
      <c r="C321" t="str">
        <f>IF('[1]Processer - data'!C321&lt;&gt;"",'[1]Processer - data'!C321,"")</f>
        <v>JB1-10</v>
      </c>
      <c r="D321" t="str">
        <f>IF('[1]Processer - data'!D321&lt;&gt;"",'[1]Processer - data'!D321,"")</f>
        <v>Areal-raps</v>
      </c>
      <c r="E321" t="str">
        <f>IF('[1]Processer - data'!E321&lt;&gt;"",'[1]Processer - data'!E321,"")</f>
        <v>Hektar</v>
      </c>
      <c r="F321" t="str">
        <f>IF('[1]Processer - data'!F321&lt;&gt;"",'[1]Processer - data'!F321,"")</f>
        <v>Raps</v>
      </c>
      <c r="G321" t="str">
        <f>IF('[1]Processer - data'!G321&lt;&gt;"",'[1]Processer - data'!G321,"")</f>
        <v>Ton</v>
      </c>
      <c r="H321" s="297">
        <f>IF($A321&lt;&gt;"",IF(VLOOKUP($A321,[1]!Table1[#All],2,FALSE)="Direkte input",IF($A321&lt;&gt;"Grøntsager i drivhus",SUMIFS('Direkte input'!G$3:G$230,'Direkte input'!$F$3:$F$230,$D321,'Direkte input'!$C$3:$C$230,$B321,'Direkte input'!$D$3:$D$230,$C321,'Direkte input'!$A$3:$A$230,$A$1),SUMIFS('Direkte input'!G$3:G$230,'Direkte input'!$F$3:$F$230,$D321,'Direkte input'!$C$3:$C$230,$B321,'Direkte input'!$A$3:$A$230,$A$1)),IF(VLOOKUP($A321,[1]!Table1[#All],2,FALSE)="Resultat",SUMIF($F$1:$F320,$D321,H$1:H320)+SUMIF($F322:$F$512,$D321,H322:H$512),0))*'[1]Processer - data'!H321,"")*IF($C321&lt;&gt;"",IF($F321="Halm",Landbrug!C$16*Landbrug!C$17,IF(LEFT($D321,5)="Areal", IF($G321="Ton",Landbrug!C$18,1),1)),1)*IF($F321="Grøntsager",IF($A321="Grøntsager i drivhus",Landbrug!C$51,1-Landbrug!C$51),1)</f>
        <v>176000.49038939498</v>
      </c>
      <c r="I321" s="298">
        <f>IF($A321&lt;&gt;"",IF(VLOOKUP($A321,[1]!Table1[#All],2,FALSE)="Direkte input",IF($A321&lt;&gt;"Grøntsager i drivhus",SUMIFS('Direkte input'!H$3:H$230,'Direkte input'!$F$3:$F$230,$D321,'Direkte input'!$C$3:$C$230,$B321,'Direkte input'!$D$3:$D$230,$C321,'Direkte input'!$A$3:$A$230,$A$1),SUMIFS('Direkte input'!H$3:H$230,'Direkte input'!$F$3:$F$230,$D321,'Direkte input'!$C$3:$C$230,$B321,'Direkte input'!$A$3:$A$230,$A$1)),IF(VLOOKUP($A321,[1]!Table1[#All],2,FALSE)="Resultat",SUMIF($F$1:$F320,$D321,I$1:I320)+SUMIF($F322:$F$512,$D321,I322:I$512),0))*'[1]Processer - data'!I321,"")*IF($C321&lt;&gt;"",IF($F321="Halm",Landbrug!D$16*Landbrug!D$17,IF(LEFT($D321,5)="Areal", IF($G321="Ton",Landbrug!D$18,1),1)),1)*IF($F321="Grøntsager",IF($A321="Grøntsager i drivhus",Landbrug!D$51,1-Landbrug!D$51),1)</f>
        <v>183140.04742703083</v>
      </c>
      <c r="J321" s="299">
        <f>IF($A321&lt;&gt;"",IF(VLOOKUP($A321,[1]!Table1[#All],2,FALSE)="Direkte input",IF($A321&lt;&gt;"Grøntsager i drivhus",SUMIFS('Direkte input'!I$3:I$230,'Direkte input'!$F$3:$F$230,$D321,'Direkte input'!$C$3:$C$230,$B321,'Direkte input'!$D$3:$D$230,$C321,'Direkte input'!$A$3:$A$230,$A$1),SUMIFS('Direkte input'!I$3:I$230,'Direkte input'!$F$3:$F$230,$D321,'Direkte input'!$C$3:$C$230,$B321,'Direkte input'!$A$3:$A$230,$A$1)),IF(VLOOKUP($A321,[1]!Table1[#All],2,FALSE)="Resultat",SUMIF($F$1:$F320,$D321,J$1:J320)+SUMIF($F322:$F$512,$D321,J322:J$512),0))*'[1]Processer - data'!J321,"")*IF($C321&lt;&gt;"",IF($F321="Halm",Landbrug!E$16*Landbrug!E$17,IF(LEFT($D321,5)="Areal", IF($G321="Ton",Landbrug!E$18,1),1)),1)*IF($F321="Grøntsager",IF($A321="Grøntsager i drivhus",Landbrug!E$51,1-Landbrug!E$51),1)</f>
        <v>185652.39548677174</v>
      </c>
    </row>
    <row r="322" spans="1:10" x14ac:dyDescent="0.25">
      <c r="A322" t="str">
        <f>IF('[1]Processer - data'!A322&lt;&gt;"",'[1]Processer - data'!A322,"")</f>
        <v>Rapsmark</v>
      </c>
      <c r="B322" t="str">
        <f>IF('[1]Processer - data'!B322&lt;&gt;"",'[1]Processer - data'!B322,"")</f>
        <v>Konventionel</v>
      </c>
      <c r="C322" t="str">
        <f>IF('[1]Processer - data'!C322&lt;&gt;"",'[1]Processer - data'!C322,"")</f>
        <v>JB1-10</v>
      </c>
      <c r="D322" t="str">
        <f>IF('[1]Processer - data'!D322&lt;&gt;"",'[1]Processer - data'!D322,"")</f>
        <v>Areal-raps</v>
      </c>
      <c r="E322" t="str">
        <f>IF('[1]Processer - data'!E322&lt;&gt;"",'[1]Processer - data'!E322,"")</f>
        <v>Hektar</v>
      </c>
      <c r="F322" t="str">
        <f>IF('[1]Processer - data'!F322&lt;&gt;"",'[1]Processer - data'!F322,"")</f>
        <v>Halm</v>
      </c>
      <c r="G322" t="str">
        <f>IF('[1]Processer - data'!G322&lt;&gt;"",'[1]Processer - data'!G322,"")</f>
        <v>Ton</v>
      </c>
      <c r="H322" s="297">
        <f>IF($A322&lt;&gt;"",IF(VLOOKUP($A322,[1]!Table1[#All],2,FALSE)="Direkte input",IF($A322&lt;&gt;"Grøntsager i drivhus",SUMIFS('Direkte input'!G$3:G$230,'Direkte input'!$F$3:$F$230,$D322,'Direkte input'!$C$3:$C$230,$B322,'Direkte input'!$D$3:$D$230,$C322,'Direkte input'!$A$3:$A$230,$A$1),SUMIFS('Direkte input'!G$3:G$230,'Direkte input'!$F$3:$F$230,$D322,'Direkte input'!$C$3:$C$230,$B322,'Direkte input'!$A$3:$A$230,$A$1)),IF(VLOOKUP($A322,[1]!Table1[#All],2,FALSE)="Resultat",SUMIF($F$1:$F321,$D322,H$1:H321)+SUMIF($F323:$F$512,$D322,H323:H$512),0))*'[1]Processer - data'!H322,"")*IF($C322&lt;&gt;"",IF($F322="Halm",Landbrug!C$16*Landbrug!C$17,IF(LEFT($D322,5)="Areal", IF($G322="Ton",Landbrug!C$18,1),1)),1)*IF($F322="Grøntsager",IF($A322="Grøntsager i drivhus",Landbrug!C$51,1-Landbrug!C$51),1)</f>
        <v>94002.741919427805</v>
      </c>
      <c r="I322" s="298">
        <f>IF($A322&lt;&gt;"",IF(VLOOKUP($A322,[1]!Table1[#All],2,FALSE)="Direkte input",IF($A322&lt;&gt;"Grøntsager i drivhus",SUMIFS('Direkte input'!H$3:H$230,'Direkte input'!$F$3:$F$230,$D322,'Direkte input'!$C$3:$C$230,$B322,'Direkte input'!$D$3:$D$230,$C322,'Direkte input'!$A$3:$A$230,$A$1),SUMIFS('Direkte input'!H$3:H$230,'Direkte input'!$F$3:$F$230,$D322,'Direkte input'!$C$3:$C$230,$B322,'Direkte input'!$A$3:$A$230,$A$1)),IF(VLOOKUP($A322,[1]!Table1[#All],2,FALSE)="Resultat",SUMIF($F$1:$F321,$D322,I$1:I321)+SUMIF($F323:$F$512,$D322,I323:I$512),0))*'[1]Processer - data'!I322,"")*IF($C322&lt;&gt;"",IF($F322="Halm",Landbrug!D$16*Landbrug!D$17,IF(LEFT($D322,5)="Areal", IF($G322="Ton",Landbrug!D$18,1),1)),1)*IF($F322="Grøntsager",IF($A322="Grøntsager i drivhus",Landbrug!D$51,1-Landbrug!D$51),1)</f>
        <v>90715.825731113204</v>
      </c>
      <c r="J322" s="299">
        <f>IF($A322&lt;&gt;"",IF(VLOOKUP($A322,[1]!Table1[#All],2,FALSE)="Direkte input",IF($A322&lt;&gt;"Grøntsager i drivhus",SUMIFS('Direkte input'!I$3:I$230,'Direkte input'!$F$3:$F$230,$D322,'Direkte input'!$C$3:$C$230,$B322,'Direkte input'!$D$3:$D$230,$C322,'Direkte input'!$A$3:$A$230,$A$1),SUMIFS('Direkte input'!I$3:I$230,'Direkte input'!$F$3:$F$230,$D322,'Direkte input'!$C$3:$C$230,$B322,'Direkte input'!$A$3:$A$230,$A$1)),IF(VLOOKUP($A322,[1]!Table1[#All],2,FALSE)="Resultat",SUMIF($F$1:$F321,$D322,J$1:J321)+SUMIF($F323:$F$512,$D322,J323:J$512),0))*'[1]Processer - data'!J322,"")*IF($C322&lt;&gt;"",IF($F322="Halm",Landbrug!E$16*Landbrug!E$17,IF(LEFT($D322,5)="Areal", IF($G322="Ton",Landbrug!E$18,1),1)),1)*IF($F322="Grøntsager",IF($A322="Grøntsager i drivhus",Landbrug!E$51,1-Landbrug!E$51),1)</f>
        <v>85722.975655196336</v>
      </c>
    </row>
    <row r="323" spans="1:10" x14ac:dyDescent="0.25">
      <c r="A323" t="str">
        <f>IF('[1]Processer - data'!A323&lt;&gt;"",'[1]Processer - data'!A323,"")</f>
        <v>Rapsmark</v>
      </c>
      <c r="B323" t="str">
        <f>IF('[1]Processer - data'!B323&lt;&gt;"",'[1]Processer - data'!B323,"")</f>
        <v>Konventionel</v>
      </c>
      <c r="C323" t="str">
        <f>IF('[1]Processer - data'!C323&lt;&gt;"",'[1]Processer - data'!C323,"")</f>
        <v>JB1-10</v>
      </c>
      <c r="D323" t="str">
        <f>IF('[1]Processer - data'!D323&lt;&gt;"",'[1]Processer - data'!D323,"")</f>
        <v>Areal-raps</v>
      </c>
      <c r="E323" t="str">
        <f>IF('[1]Processer - data'!E323&lt;&gt;"",'[1]Processer - data'!E323,"")</f>
        <v>Hektar</v>
      </c>
      <c r="F323" t="str">
        <f>IF('[1]Processer - data'!F323&lt;&gt;"",'[1]Processer - data'!F323,"")</f>
        <v>Gødning</v>
      </c>
      <c r="G323" t="str">
        <f>IF('[1]Processer - data'!G323&lt;&gt;"",'[1]Processer - data'!G323,"")</f>
        <v>kg N</v>
      </c>
      <c r="H323" s="297">
        <f>IF($A323&lt;&gt;"",IF(VLOOKUP($A323,[1]!Table1[#All],2,FALSE)="Direkte input",IF($A323&lt;&gt;"Grøntsager i drivhus",SUMIFS('Direkte input'!G$3:G$230,'Direkte input'!$F$3:$F$230,$D323,'Direkte input'!$C$3:$C$230,$B323,'Direkte input'!$D$3:$D$230,$C323,'Direkte input'!$A$3:$A$230,$A$1),SUMIFS('Direkte input'!G$3:G$230,'Direkte input'!$F$3:$F$230,$D323,'Direkte input'!$C$3:$C$230,$B323,'Direkte input'!$A$3:$A$230,$A$1)),IF(VLOOKUP($A323,[1]!Table1[#All],2,FALSE)="Resultat",SUMIF($F$1:$F322,$D323,H$1:H322)+SUMIF($F324:$F$512,$D323,H324:H$512),0))*'[1]Processer - data'!H323,"")*IF($C323&lt;&gt;"",IF($F323="Halm",Landbrug!C$16*Landbrug!C$17,IF(LEFT($D323,5)="Areal", IF($G323="Ton",Landbrug!C$18,1),1)),1)*IF($F323="Grøntsager",IF($A323="Grøntsager i drivhus",Landbrug!C$51,1-Landbrug!C$51),1)</f>
        <v>-7000019.5041236635</v>
      </c>
      <c r="I323" s="298">
        <f>IF($A323&lt;&gt;"",IF(VLOOKUP($A323,[1]!Table1[#All],2,FALSE)="Direkte input",IF($A323&lt;&gt;"Grøntsager i drivhus",SUMIFS('Direkte input'!H$3:H$230,'Direkte input'!$F$3:$F$230,$D323,'Direkte input'!$C$3:$C$230,$B323,'Direkte input'!$D$3:$D$230,$C323,'Direkte input'!$A$3:$A$230,$A$1),SUMIFS('Direkte input'!H$3:H$230,'Direkte input'!$F$3:$F$230,$D323,'Direkte input'!$C$3:$C$230,$B323,'Direkte input'!$A$3:$A$230,$A$1)),IF(VLOOKUP($A323,[1]!Table1[#All],2,FALSE)="Resultat",SUMIF($F$1:$F322,$D323,I$1:I322)+SUMIF($F324:$F$512,$D323,I324:I$512),0))*'[1]Processer - data'!I323,"")*IF($C323&lt;&gt;"",IF($F323="Halm",Landbrug!D$16*Landbrug!D$17,IF(LEFT($D323,5)="Areal", IF($G323="Ton",Landbrug!D$18,1),1)),1)*IF($F323="Grøntsager",IF($A323="Grøntsager i drivhus",Landbrug!D$51,1-Landbrug!D$51),1)</f>
        <v>-6794756.6781992856</v>
      </c>
      <c r="J323" s="299">
        <f>IF($A323&lt;&gt;"",IF(VLOOKUP($A323,[1]!Table1[#All],2,FALSE)="Direkte input",IF($A323&lt;&gt;"Grøntsager i drivhus",SUMIFS('Direkte input'!I$3:I$230,'Direkte input'!$F$3:$F$230,$D323,'Direkte input'!$C$3:$C$230,$B323,'Direkte input'!$D$3:$D$230,$C323,'Direkte input'!$A$3:$A$230,$A$1),SUMIFS('Direkte input'!I$3:I$230,'Direkte input'!$F$3:$F$230,$D323,'Direkte input'!$C$3:$C$230,$B323,'Direkte input'!$A$3:$A$230,$A$1)),IF(VLOOKUP($A323,[1]!Table1[#All],2,FALSE)="Resultat",SUMIF($F$1:$F322,$D323,J$1:J322)+SUMIF($F324:$F$512,$D323,J324:J$512),0))*'[1]Processer - data'!J323,"")*IF($C323&lt;&gt;"",IF($F323="Halm",Landbrug!E$16*Landbrug!E$17,IF(LEFT($D323,5)="Areal", IF($G323="Ton",Landbrug!E$18,1),1)),1)*IF($F323="Grøntsager",IF($A323="Grøntsager i drivhus",Landbrug!E$51,1-Landbrug!E$51),1)</f>
        <v>-6420784.428890327</v>
      </c>
    </row>
    <row r="324" spans="1:10" x14ac:dyDescent="0.25">
      <c r="A324" t="str">
        <f>IF('[1]Processer - data'!A324&lt;&gt;"",'[1]Processer - data'!A324,"")</f>
        <v>Rapsmark</v>
      </c>
      <c r="B324" t="str">
        <f>IF('[1]Processer - data'!B324&lt;&gt;"",'[1]Processer - data'!B324,"")</f>
        <v>Konventionel</v>
      </c>
      <c r="C324" t="str">
        <f>IF('[1]Processer - data'!C324&lt;&gt;"",'[1]Processer - data'!C324,"")</f>
        <v>JB1-10</v>
      </c>
      <c r="D324" t="str">
        <f>IF('[1]Processer - data'!D324&lt;&gt;"",'[1]Processer - data'!D324,"")</f>
        <v>Areal-raps</v>
      </c>
      <c r="E324" t="str">
        <f>IF('[1]Processer - data'!E324&lt;&gt;"",'[1]Processer - data'!E324,"")</f>
        <v>Hektar</v>
      </c>
      <c r="F324" t="str">
        <f>IF('[1]Processer - data'!F324&lt;&gt;"",'[1]Processer - data'!F324,"")</f>
        <v>CO2 - atmosfære</v>
      </c>
      <c r="G324" t="str">
        <f>IF('[1]Processer - data'!G324&lt;&gt;"",'[1]Processer - data'!G324,"")</f>
        <v>t CO2-ækvivalenter</v>
      </c>
      <c r="H324" s="297">
        <f>IF($A324&lt;&gt;"",IF(VLOOKUP($A324,[1]!Table1[#All],2,FALSE)="Direkte input",IF($A324&lt;&gt;"Grøntsager i drivhus",SUMIFS('Direkte input'!G$3:G$230,'Direkte input'!$F$3:$F$230,$D324,'Direkte input'!$C$3:$C$230,$B324,'Direkte input'!$D$3:$D$230,$C324,'Direkte input'!$A$3:$A$230,$A$1),SUMIFS('Direkte input'!G$3:G$230,'Direkte input'!$F$3:$F$230,$D324,'Direkte input'!$C$3:$C$230,$B324,'Direkte input'!$A$3:$A$230,$A$1)),IF(VLOOKUP($A324,[1]!Table1[#All],2,FALSE)="Resultat",SUMIF($F$1:$F323,$D324,H$1:H323)+SUMIF($F325:$F$512,$D324,H325:H$512),0))*'[1]Processer - data'!H324,"")*IF($C324&lt;&gt;"",IF($F324="Halm",Landbrug!C$16*Landbrug!C$17,IF(LEFT($D324,5)="Areal", IF($G324="Ton",Landbrug!C$18,1),1)),1)*IF($F324="Grøntsager",IF($A324="Grøntsager i drivhus",Landbrug!C$51,1-Landbrug!C$51),1)</f>
        <v>90948.028107510516</v>
      </c>
      <c r="I324" s="298">
        <f>IF($A324&lt;&gt;"",IF(VLOOKUP($A324,[1]!Table1[#All],2,FALSE)="Direkte input",IF($A324&lt;&gt;"Grøntsager i drivhus",SUMIFS('Direkte input'!H$3:H$230,'Direkte input'!$F$3:$F$230,$D324,'Direkte input'!$C$3:$C$230,$B324,'Direkte input'!$D$3:$D$230,$C324,'Direkte input'!$A$3:$A$230,$A$1),SUMIFS('Direkte input'!H$3:H$230,'Direkte input'!$F$3:$F$230,$D324,'Direkte input'!$C$3:$C$230,$B324,'Direkte input'!$A$3:$A$230,$A$1)),IF(VLOOKUP($A324,[1]!Table1[#All],2,FALSE)="Resultat",SUMIF($F$1:$F323,$D324,I$1:I323)+SUMIF($F325:$F$512,$D324,I325:I$512),0))*'[1]Processer - data'!I324,"")*IF($C324&lt;&gt;"",IF($F324="Halm",Landbrug!D$16*Landbrug!D$17,IF(LEFT($D324,5)="Areal", IF($G324="Ton",Landbrug!D$18,1),1)),1)*IF($F324="Grøntsager",IF($A324="Grøntsager i drivhus",Landbrug!D$51,1-Landbrug!D$51),1)</f>
        <v>88281.142786605342</v>
      </c>
      <c r="J324" s="299">
        <f>IF($A324&lt;&gt;"",IF(VLOOKUP($A324,[1]!Table1[#All],2,FALSE)="Direkte input",IF($A324&lt;&gt;"Grøntsager i drivhus",SUMIFS('Direkte input'!I$3:I$230,'Direkte input'!$F$3:$F$230,$D324,'Direkte input'!$C$3:$C$230,$B324,'Direkte input'!$D$3:$D$230,$C324,'Direkte input'!$A$3:$A$230,$A$1),SUMIFS('Direkte input'!I$3:I$230,'Direkte input'!$F$3:$F$230,$D324,'Direkte input'!$C$3:$C$230,$B324,'Direkte input'!$A$3:$A$230,$A$1)),IF(VLOOKUP($A324,[1]!Table1[#All],2,FALSE)="Resultat",SUMIF($F$1:$F323,$D324,J$1:J323)+SUMIF($F325:$F$512,$D324,J325:J$512),0))*'[1]Processer - data'!J324,"")*IF($C324&lt;&gt;"",IF($F324="Halm",Landbrug!E$16*Landbrug!E$17,IF(LEFT($D324,5)="Areal", IF($G324="Ton",Landbrug!E$18,1),1)),1)*IF($F324="Grøntsager",IF($A324="Grøntsager i drivhus",Landbrug!E$51,1-Landbrug!E$51),1)</f>
        <v>83422.293661750213</v>
      </c>
    </row>
    <row r="325" spans="1:10" x14ac:dyDescent="0.25">
      <c r="A325" t="str">
        <f>IF('[1]Processer - data'!A325&lt;&gt;"",'[1]Processer - data'!A325,"")</f>
        <v>Rapsmark</v>
      </c>
      <c r="B325" t="str">
        <f>IF('[1]Processer - data'!B325&lt;&gt;"",'[1]Processer - data'!B325,"")</f>
        <v>Konventionel</v>
      </c>
      <c r="C325" t="str">
        <f>IF('[1]Processer - data'!C325&lt;&gt;"",'[1]Processer - data'!C325,"")</f>
        <v>OC6</v>
      </c>
      <c r="D325" t="str">
        <f>IF('[1]Processer - data'!D325&lt;&gt;"",'[1]Processer - data'!D325,"")</f>
        <v>Areal-raps</v>
      </c>
      <c r="E325" t="str">
        <f>IF('[1]Processer - data'!E325&lt;&gt;"",'[1]Processer - data'!E325,"")</f>
        <v>Hektar</v>
      </c>
      <c r="F325" t="str">
        <f>IF('[1]Processer - data'!F325&lt;&gt;"",'[1]Processer - data'!F325,"")</f>
        <v>Raps</v>
      </c>
      <c r="G325" t="str">
        <f>IF('[1]Processer - data'!G325&lt;&gt;"",'[1]Processer - data'!G325,"")</f>
        <v>Ton</v>
      </c>
      <c r="H325" s="297">
        <f>IF($A325&lt;&gt;"",IF(VLOOKUP($A325,[1]!Table1[#All],2,FALSE)="Direkte input",IF($A325&lt;&gt;"Grøntsager i drivhus",SUMIFS('Direkte input'!G$3:G$230,'Direkte input'!$F$3:$F$230,$D325,'Direkte input'!$C$3:$C$230,$B325,'Direkte input'!$D$3:$D$230,$C325,'Direkte input'!$A$3:$A$230,$A$1),SUMIFS('Direkte input'!G$3:G$230,'Direkte input'!$F$3:$F$230,$D325,'Direkte input'!$C$3:$C$230,$B325,'Direkte input'!$A$3:$A$230,$A$1)),IF(VLOOKUP($A325,[1]!Table1[#All],2,FALSE)="Resultat",SUMIF($F$1:$F324,$D325,H$1:H324)+SUMIF($F326:$F$512,$D325,H326:H$512),0))*'[1]Processer - data'!H325,"")*IF($C325&lt;&gt;"",IF($F325="Halm",Landbrug!C$16*Landbrug!C$17,IF(LEFT($D325,5)="Areal", IF($G325="Ton",Landbrug!C$18,1),1)),1)*IF($F325="Grøntsager",IF($A325="Grøntsager i drivhus",Landbrug!C$51,1-Landbrug!C$51),1)</f>
        <v>2596.0716890215444</v>
      </c>
      <c r="I325" s="298">
        <f>IF($A325&lt;&gt;"",IF(VLOOKUP($A325,[1]!Table1[#All],2,FALSE)="Direkte input",IF($A325&lt;&gt;"Grøntsager i drivhus",SUMIFS('Direkte input'!H$3:H$230,'Direkte input'!$F$3:$F$230,$D325,'Direkte input'!$C$3:$C$230,$B325,'Direkte input'!$D$3:$D$230,$C325,'Direkte input'!$A$3:$A$230,$A$1),SUMIFS('Direkte input'!H$3:H$230,'Direkte input'!$F$3:$F$230,$D325,'Direkte input'!$C$3:$C$230,$B325,'Direkte input'!$A$3:$A$230,$A$1)),IF(VLOOKUP($A325,[1]!Table1[#All],2,FALSE)="Resultat",SUMIF($F$1:$F324,$D325,I$1:I324)+SUMIF($F326:$F$512,$D325,I326:I$512),0))*'[1]Processer - data'!I325,"")*IF($C325&lt;&gt;"",IF($F325="Halm",Landbrug!D$16*Landbrug!D$17,IF(LEFT($D325,5)="Areal", IF($G325="Ton",Landbrug!D$18,1),1)),1)*IF($F325="Grøntsager",IF($A325="Grøntsager i drivhus",Landbrug!D$51,1-Landbrug!D$51),1)</f>
        <v>2517.28784613072</v>
      </c>
      <c r="J325" s="299">
        <f>IF($A325&lt;&gt;"",IF(VLOOKUP($A325,[1]!Table1[#All],2,FALSE)="Direkte input",IF($A325&lt;&gt;"Grøntsager i drivhus",SUMIFS('Direkte input'!I$3:I$230,'Direkte input'!$F$3:$F$230,$D325,'Direkte input'!$C$3:$C$230,$B325,'Direkte input'!$D$3:$D$230,$C325,'Direkte input'!$A$3:$A$230,$A$1),SUMIFS('Direkte input'!I$3:I$230,'Direkte input'!$F$3:$F$230,$D325,'Direkte input'!$C$3:$C$230,$B325,'Direkte input'!$A$3:$A$230,$A$1)),IF(VLOOKUP($A325,[1]!Table1[#All],2,FALSE)="Resultat",SUMIF($F$1:$F324,$D325,J$1:J324)+SUMIF($F326:$F$512,$D325,J326:J$512),0))*'[1]Processer - data'!J325,"")*IF($C325&lt;&gt;"",IF($F325="Halm",Landbrug!E$16*Landbrug!E$17,IF(LEFT($D325,5)="Areal", IF($G325="Ton",Landbrug!E$18,1),1)),1)*IF($F325="Grøntsager",IF($A325="Grøntsager i drivhus",Landbrug!E$51,1-Landbrug!E$51),1)</f>
        <v>2575.5724743513506</v>
      </c>
    </row>
    <row r="326" spans="1:10" x14ac:dyDescent="0.25">
      <c r="A326" t="str">
        <f>IF('[1]Processer - data'!A326&lt;&gt;"",'[1]Processer - data'!A326,"")</f>
        <v>Rapsmark</v>
      </c>
      <c r="B326" t="str">
        <f>IF('[1]Processer - data'!B326&lt;&gt;"",'[1]Processer - data'!B326,"")</f>
        <v>Konventionel</v>
      </c>
      <c r="C326" t="str">
        <f>IF('[1]Processer - data'!C326&lt;&gt;"",'[1]Processer - data'!C326,"")</f>
        <v>OC6</v>
      </c>
      <c r="D326" t="str">
        <f>IF('[1]Processer - data'!D326&lt;&gt;"",'[1]Processer - data'!D326,"")</f>
        <v>Areal-raps</v>
      </c>
      <c r="E326" t="str">
        <f>IF('[1]Processer - data'!E326&lt;&gt;"",'[1]Processer - data'!E326,"")</f>
        <v>Hektar</v>
      </c>
      <c r="F326" t="str">
        <f>IF('[1]Processer - data'!F326&lt;&gt;"",'[1]Processer - data'!F326,"")</f>
        <v>Halm</v>
      </c>
      <c r="G326" t="str">
        <f>IF('[1]Processer - data'!G326&lt;&gt;"",'[1]Processer - data'!G326,"")</f>
        <v>Ton</v>
      </c>
      <c r="H326" s="297">
        <f>IF($A326&lt;&gt;"",IF(VLOOKUP($A326,[1]!Table1[#All],2,FALSE)="Direkte input",IF($A326&lt;&gt;"Grøntsager i drivhus",SUMIFS('Direkte input'!G$3:G$230,'Direkte input'!$F$3:$F$230,$D326,'Direkte input'!$C$3:$C$230,$B326,'Direkte input'!$D$3:$D$230,$C326,'Direkte input'!$A$3:$A$230,$A$1),SUMIFS('Direkte input'!G$3:G$230,'Direkte input'!$F$3:$F$230,$D326,'Direkte input'!$C$3:$C$230,$B326,'Direkte input'!$A$3:$A$230,$A$1)),IF(VLOOKUP($A326,[1]!Table1[#All],2,FALSE)="Resultat",SUMIF($F$1:$F325,$D326,H$1:H325)+SUMIF($F327:$F$512,$D326,H327:H$512),0))*'[1]Processer - data'!H326,"")*IF($C326&lt;&gt;"",IF($F326="Halm",Landbrug!C$16*Landbrug!C$17,IF(LEFT($D326,5)="Areal", IF($G326="Ton",Landbrug!C$18,1),1)),1)*IF($F326="Grøntsager",IF($A326="Grøntsager i drivhus",Landbrug!C$51,1-Landbrug!C$51),1)</f>
        <v>1386.5748694648519</v>
      </c>
      <c r="I326" s="298">
        <f>IF($A326&lt;&gt;"",IF(VLOOKUP($A326,[1]!Table1[#All],2,FALSE)="Direkte input",IF($A326&lt;&gt;"Grøntsager i drivhus",SUMIFS('Direkte input'!H$3:H$230,'Direkte input'!$F$3:$F$230,$D326,'Direkte input'!$C$3:$C$230,$B326,'Direkte input'!$D$3:$D$230,$C326,'Direkte input'!$A$3:$A$230,$A$1),SUMIFS('Direkte input'!H$3:H$230,'Direkte input'!$F$3:$F$230,$D326,'Direkte input'!$C$3:$C$230,$B326,'Direkte input'!$A$3:$A$230,$A$1)),IF(VLOOKUP($A326,[1]!Table1[#All],2,FALSE)="Resultat",SUMIF($F$1:$F325,$D326,I$1:I325)+SUMIF($F327:$F$512,$D326,I327:I$512),0))*'[1]Processer - data'!I326,"")*IF($C326&lt;&gt;"",IF($F326="Halm",Landbrug!D$16*Landbrug!D$17,IF(LEFT($D326,5)="Areal", IF($G326="Ton",Landbrug!D$18,1),1)),1)*IF($F326="Grøntsager",IF($A326="Grøntsager i drivhus",Landbrug!D$51,1-Landbrug!D$51),1)</f>
        <v>1246.9028416934816</v>
      </c>
      <c r="J326" s="299">
        <f>IF($A326&lt;&gt;"",IF(VLOOKUP($A326,[1]!Table1[#All],2,FALSE)="Direkte input",IF($A326&lt;&gt;"Grøntsager i drivhus",SUMIFS('Direkte input'!I$3:I$230,'Direkte input'!$F$3:$F$230,$D326,'Direkte input'!$C$3:$C$230,$B326,'Direkte input'!$D$3:$D$230,$C326,'Direkte input'!$A$3:$A$230,$A$1),SUMIFS('Direkte input'!I$3:I$230,'Direkte input'!$F$3:$F$230,$D326,'Direkte input'!$C$3:$C$230,$B326,'Direkte input'!$A$3:$A$230,$A$1)),IF(VLOOKUP($A326,[1]!Table1[#All],2,FALSE)="Resultat",SUMIF($F$1:$F325,$D326,J$1:J325)+SUMIF($F327:$F$512,$D326,J327:J$512),0))*'[1]Processer - data'!J326,"")*IF($C326&lt;&gt;"",IF($F326="Halm",Landbrug!E$16*Landbrug!E$17,IF(LEFT($D326,5)="Areal", IF($G326="Ton",Landbrug!E$18,1),1)),1)*IF($F326="Grøntsager",IF($A326="Grøntsager i drivhus",Landbrug!E$51,1-Landbrug!E$51),1)</f>
        <v>1189.2425946787539</v>
      </c>
    </row>
    <row r="327" spans="1:10" x14ac:dyDescent="0.25">
      <c r="A327" t="str">
        <f>IF('[1]Processer - data'!A327&lt;&gt;"",'[1]Processer - data'!A327,"")</f>
        <v>Rapsmark</v>
      </c>
      <c r="B327" t="str">
        <f>IF('[1]Processer - data'!B327&lt;&gt;"",'[1]Processer - data'!B327,"")</f>
        <v>Konventionel</v>
      </c>
      <c r="C327" t="str">
        <f>IF('[1]Processer - data'!C327&lt;&gt;"",'[1]Processer - data'!C327,"")</f>
        <v>OC6</v>
      </c>
      <c r="D327" t="str">
        <f>IF('[1]Processer - data'!D327&lt;&gt;"",'[1]Processer - data'!D327,"")</f>
        <v>Areal-raps</v>
      </c>
      <c r="E327" t="str">
        <f>IF('[1]Processer - data'!E327&lt;&gt;"",'[1]Processer - data'!E327,"")</f>
        <v>Hektar</v>
      </c>
      <c r="F327" t="str">
        <f>IF('[1]Processer - data'!F327&lt;&gt;"",'[1]Processer - data'!F327,"")</f>
        <v>Gødning</v>
      </c>
      <c r="G327" t="str">
        <f>IF('[1]Processer - data'!G327&lt;&gt;"",'[1]Processer - data'!G327,"")</f>
        <v>kg N</v>
      </c>
      <c r="H327" s="297">
        <f>IF($A327&lt;&gt;"",IF(VLOOKUP($A327,[1]!Table1[#All],2,FALSE)="Direkte input",IF($A327&lt;&gt;"Grøntsager i drivhus",SUMIFS('Direkte input'!G$3:G$230,'Direkte input'!$F$3:$F$230,$D327,'Direkte input'!$C$3:$C$230,$B327,'Direkte input'!$D$3:$D$230,$C327,'Direkte input'!$A$3:$A$230,$A$1),SUMIFS('Direkte input'!G$3:G$230,'Direkte input'!$F$3:$F$230,$D327,'Direkte input'!$C$3:$C$230,$B327,'Direkte input'!$A$3:$A$230,$A$1)),IF(VLOOKUP($A327,[1]!Table1[#All],2,FALSE)="Resultat",SUMIF($F$1:$F326,$D327,H$1:H326)+SUMIF($F328:$F$512,$D327,H328:H$512),0))*'[1]Processer - data'!H327,"")*IF($C327&lt;&gt;"",IF($F327="Halm",Landbrug!C$16*Landbrug!C$17,IF(LEFT($D327,5)="Areal", IF($G327="Ton",Landbrug!C$18,1),1)),1)*IF($F327="Grøntsager",IF($A327="Grøntsager i drivhus",Landbrug!C$51,1-Landbrug!C$51),1)</f>
        <v>-71293.635399265899</v>
      </c>
      <c r="I327" s="298">
        <f>IF($A327&lt;&gt;"",IF(VLOOKUP($A327,[1]!Table1[#All],2,FALSE)="Direkte input",IF($A327&lt;&gt;"Grøntsager i drivhus",SUMIFS('Direkte input'!H$3:H$230,'Direkte input'!$F$3:$F$230,$D327,'Direkte input'!$C$3:$C$230,$B327,'Direkte input'!$D$3:$D$230,$C327,'Direkte input'!$A$3:$A$230,$A$1),SUMIFS('Direkte input'!H$3:H$230,'Direkte input'!$F$3:$F$230,$D327,'Direkte input'!$C$3:$C$230,$B327,'Direkte input'!$A$3:$A$230,$A$1)),IF(VLOOKUP($A327,[1]!Table1[#All],2,FALSE)="Resultat",SUMIF($F$1:$F326,$D327,I$1:I326)+SUMIF($F328:$F$512,$D327,I328:I$512),0))*'[1]Processer - data'!I327,"")*IF($C327&lt;&gt;"",IF($F327="Halm",Landbrug!D$16*Landbrug!D$17,IF(LEFT($D327,5)="Areal", IF($G327="Ton",Landbrug!D$18,1),1)),1)*IF($F327="Grøntsager",IF($A327="Grøntsager i drivhus",Landbrug!D$51,1-Landbrug!D$51),1)</f>
        <v>-64486.999959180379</v>
      </c>
      <c r="J327" s="299">
        <f>IF($A327&lt;&gt;"",IF(VLOOKUP($A327,[1]!Table1[#All],2,FALSE)="Direkte input",IF($A327&lt;&gt;"Grøntsager i drivhus",SUMIFS('Direkte input'!I$3:I$230,'Direkte input'!$F$3:$F$230,$D327,'Direkte input'!$C$3:$C$230,$B327,'Direkte input'!$D$3:$D$230,$C327,'Direkte input'!$A$3:$A$230,$A$1),SUMIFS('Direkte input'!I$3:I$230,'Direkte input'!$F$3:$F$230,$D327,'Direkte input'!$C$3:$C$230,$B327,'Direkte input'!$A$3:$A$230,$A$1)),IF(VLOOKUP($A327,[1]!Table1[#All],2,FALSE)="Resultat",SUMIF($F$1:$F326,$D327,J$1:J326)+SUMIF($F328:$F$512,$D327,J328:J$512),0))*'[1]Processer - data'!J327,"")*IF($C327&lt;&gt;"",IF($F327="Halm",Landbrug!E$16*Landbrug!E$17,IF(LEFT($D327,5)="Areal", IF($G327="Ton",Landbrug!E$18,1),1)),1)*IF($F327="Grøntsager",IF($A327="Grøntsager i drivhus",Landbrug!E$51,1-Landbrug!E$51),1)</f>
        <v>-61504.942157599777</v>
      </c>
    </row>
    <row r="328" spans="1:10" x14ac:dyDescent="0.25">
      <c r="A328" t="str">
        <f>IF('[1]Processer - data'!A328&lt;&gt;"",'[1]Processer - data'!A328,"")</f>
        <v>Rapsmark</v>
      </c>
      <c r="B328" t="str">
        <f>IF('[1]Processer - data'!B328&lt;&gt;"",'[1]Processer - data'!B328,"")</f>
        <v>Konventionel</v>
      </c>
      <c r="C328" t="str">
        <f>IF('[1]Processer - data'!C328&lt;&gt;"",'[1]Processer - data'!C328,"")</f>
        <v>OC6</v>
      </c>
      <c r="D328" t="str">
        <f>IF('[1]Processer - data'!D328&lt;&gt;"",'[1]Processer - data'!D328,"")</f>
        <v>Areal-raps</v>
      </c>
      <c r="E328" t="str">
        <f>IF('[1]Processer - data'!E328&lt;&gt;"",'[1]Processer - data'!E328,"")</f>
        <v>Hektar</v>
      </c>
      <c r="F328" t="str">
        <f>IF('[1]Processer - data'!F328&lt;&gt;"",'[1]Processer - data'!F328,"")</f>
        <v>CO2 - atmosfære</v>
      </c>
      <c r="G328" t="str">
        <f>IF('[1]Processer - data'!G328&lt;&gt;"",'[1]Processer - data'!G328,"")</f>
        <v>t CO2-ækvivalenter</v>
      </c>
      <c r="H328" s="297">
        <f>IF($A328&lt;&gt;"",IF(VLOOKUP($A328,[1]!Table1[#All],2,FALSE)="Direkte input",IF($A328&lt;&gt;"Grøntsager i drivhus",SUMIFS('Direkte input'!G$3:G$230,'Direkte input'!$F$3:$F$230,$D328,'Direkte input'!$C$3:$C$230,$B328,'Direkte input'!$D$3:$D$230,$C328,'Direkte input'!$A$3:$A$230,$A$1),SUMIFS('Direkte input'!G$3:G$230,'Direkte input'!$F$3:$F$230,$D328,'Direkte input'!$C$3:$C$230,$B328,'Direkte input'!$A$3:$A$230,$A$1)),IF(VLOOKUP($A328,[1]!Table1[#All],2,FALSE)="Resultat",SUMIF($F$1:$F327,$D328,H$1:H327)+SUMIF($F329:$F$512,$D328,H329:H$512),0))*'[1]Processer - data'!H328,"")*IF($C328&lt;&gt;"",IF($F328="Halm",Landbrug!C$16*Landbrug!C$17,IF(LEFT($D328,5)="Areal", IF($G328="Ton",Landbrug!C$18,1),1)),1)*IF($F328="Grøntsager",IF($A328="Grøntsager i drivhus",Landbrug!C$51,1-Landbrug!C$51),1)</f>
        <v>7862.800190703465</v>
      </c>
      <c r="I328" s="298">
        <f>IF($A328&lt;&gt;"",IF(VLOOKUP($A328,[1]!Table1[#All],2,FALSE)="Direkte input",IF($A328&lt;&gt;"Grøntsager i drivhus",SUMIFS('Direkte input'!H$3:H$230,'Direkte input'!$F$3:$F$230,$D328,'Direkte input'!$C$3:$C$230,$B328,'Direkte input'!$D$3:$D$230,$C328,'Direkte input'!$A$3:$A$230,$A$1),SUMIFS('Direkte input'!H$3:H$230,'Direkte input'!$F$3:$F$230,$D328,'Direkte input'!$C$3:$C$230,$B328,'Direkte input'!$A$3:$A$230,$A$1)),IF(VLOOKUP($A328,[1]!Table1[#All],2,FALSE)="Resultat",SUMIF($F$1:$F327,$D328,I$1:I327)+SUMIF($F329:$F$512,$D328,I329:I$512),0))*'[1]Processer - data'!I328,"")*IF($C328&lt;&gt;"",IF($F328="Halm",Landbrug!D$16*Landbrug!D$17,IF(LEFT($D328,5)="Areal", IF($G328="Ton",Landbrug!D$18,1),1)),1)*IF($F328="Grøntsager",IF($A328="Grøntsager i drivhus",Landbrug!D$51,1-Landbrug!D$51),1)</f>
        <v>7112.1130622293786</v>
      </c>
      <c r="J328" s="299">
        <f>IF($A328&lt;&gt;"",IF(VLOOKUP($A328,[1]!Table1[#All],2,FALSE)="Direkte input",IF($A328&lt;&gt;"Grøntsager i drivhus",SUMIFS('Direkte input'!I$3:I$230,'Direkte input'!$F$3:$F$230,$D328,'Direkte input'!$C$3:$C$230,$B328,'Direkte input'!$D$3:$D$230,$C328,'Direkte input'!$A$3:$A$230,$A$1),SUMIFS('Direkte input'!I$3:I$230,'Direkte input'!$F$3:$F$230,$D328,'Direkte input'!$C$3:$C$230,$B328,'Direkte input'!$A$3:$A$230,$A$1)),IF(VLOOKUP($A328,[1]!Table1[#All],2,FALSE)="Resultat",SUMIF($F$1:$F327,$D328,J$1:J327)+SUMIF($F329:$F$512,$D328,J329:J$512),0))*'[1]Processer - data'!J328,"")*IF($C328&lt;&gt;"",IF($F328="Halm",Landbrug!E$16*Landbrug!E$17,IF(LEFT($D328,5)="Areal", IF($G328="Ton",Landbrug!E$18,1),1)),1)*IF($F328="Grøntsager",IF($A328="Grøntsager i drivhus",Landbrug!E$51,1-Landbrug!E$51),1)</f>
        <v>6783.2292212014299</v>
      </c>
    </row>
    <row r="329" spans="1:10" x14ac:dyDescent="0.25">
      <c r="A329" t="str">
        <f>IF('[1]Processer - data'!A329&lt;&gt;"",'[1]Processer - data'!A329,"")</f>
        <v>Rapsmark</v>
      </c>
      <c r="B329" t="str">
        <f>IF('[1]Processer - data'!B329&lt;&gt;"",'[1]Processer - data'!B329,"")</f>
        <v>Konventionel</v>
      </c>
      <c r="C329" t="str">
        <f>IF('[1]Processer - data'!C329&lt;&gt;"",'[1]Processer - data'!C329,"")</f>
        <v>OC12</v>
      </c>
      <c r="D329" t="str">
        <f>IF('[1]Processer - data'!D329&lt;&gt;"",'[1]Processer - data'!D329,"")</f>
        <v>Areal-raps</v>
      </c>
      <c r="E329" t="str">
        <f>IF('[1]Processer - data'!E329&lt;&gt;"",'[1]Processer - data'!E329,"")</f>
        <v>Hektar</v>
      </c>
      <c r="F329" t="str">
        <f>IF('[1]Processer - data'!F329&lt;&gt;"",'[1]Processer - data'!F329,"")</f>
        <v>Raps</v>
      </c>
      <c r="G329" t="str">
        <f>IF('[1]Processer - data'!G329&lt;&gt;"",'[1]Processer - data'!G329,"")</f>
        <v>Ton</v>
      </c>
      <c r="H329" s="297">
        <f>IF($A329&lt;&gt;"",IF(VLOOKUP($A329,[1]!Table1[#All],2,FALSE)="Direkte input",IF($A329&lt;&gt;"Grøntsager i drivhus",SUMIFS('Direkte input'!G$3:G$230,'Direkte input'!$F$3:$F$230,$D329,'Direkte input'!$C$3:$C$230,$B329,'Direkte input'!$D$3:$D$230,$C329,'Direkte input'!$A$3:$A$230,$A$1),SUMIFS('Direkte input'!G$3:G$230,'Direkte input'!$F$3:$F$230,$D329,'Direkte input'!$C$3:$C$230,$B329,'Direkte input'!$A$3:$A$230,$A$1)),IF(VLOOKUP($A329,[1]!Table1[#All],2,FALSE)="Resultat",SUMIF($F$1:$F328,$D329,H$1:H328)+SUMIF($F330:$F$512,$D329,H330:H$512),0))*'[1]Processer - data'!H329,"")*IF($C329&lt;&gt;"",IF($F329="Halm",Landbrug!C$16*Landbrug!C$17,IF(LEFT($D329,5)="Areal", IF($G329="Ton",Landbrug!C$18,1),1)),1)*IF($F329="Grøntsager",IF($A329="Grøntsager i drivhus",Landbrug!C$51,1-Landbrug!C$51),1)</f>
        <v>1314.6201515889034</v>
      </c>
      <c r="I329" s="298">
        <f>IF($A329&lt;&gt;"",IF(VLOOKUP($A329,[1]!Table1[#All],2,FALSE)="Direkte input",IF($A329&lt;&gt;"Grøntsager i drivhus",SUMIFS('Direkte input'!H$3:H$230,'Direkte input'!$F$3:$F$230,$D329,'Direkte input'!$C$3:$C$230,$B329,'Direkte input'!$D$3:$D$230,$C329,'Direkte input'!$A$3:$A$230,$A$1),SUMIFS('Direkte input'!H$3:H$230,'Direkte input'!$F$3:$F$230,$D329,'Direkte input'!$C$3:$C$230,$B329,'Direkte input'!$A$3:$A$230,$A$1)),IF(VLOOKUP($A329,[1]!Table1[#All],2,FALSE)="Resultat",SUMIF($F$1:$F328,$D329,I$1:I328)+SUMIF($F330:$F$512,$D329,I330:I$512),0))*'[1]Processer - data'!I329,"")*IF($C329&lt;&gt;"",IF($F329="Halm",Landbrug!D$16*Landbrug!D$17,IF(LEFT($D329,5)="Areal", IF($G329="Ton",Landbrug!D$18,1),1)),1)*IF($F329="Grøntsager",IF($A329="Grøntsager i drivhus",Landbrug!D$51,1-Landbrug!D$51),1)</f>
        <v>1284.8182707601406</v>
      </c>
      <c r="J329" s="299">
        <f>IF($A329&lt;&gt;"",IF(VLOOKUP($A329,[1]!Table1[#All],2,FALSE)="Direkte input",IF($A329&lt;&gt;"Grøntsager i drivhus",SUMIFS('Direkte input'!I$3:I$230,'Direkte input'!$F$3:$F$230,$D329,'Direkte input'!$C$3:$C$230,$B329,'Direkte input'!$D$3:$D$230,$C329,'Direkte input'!$A$3:$A$230,$A$1),SUMIFS('Direkte input'!I$3:I$230,'Direkte input'!$F$3:$F$230,$D329,'Direkte input'!$C$3:$C$230,$B329,'Direkte input'!$A$3:$A$230,$A$1)),IF(VLOOKUP($A329,[1]!Table1[#All],2,FALSE)="Resultat",SUMIF($F$1:$F328,$D329,J$1:J328)+SUMIF($F330:$F$512,$D329,J330:J$512),0))*'[1]Processer - data'!J329,"")*IF($C329&lt;&gt;"",IF($F329="Halm",Landbrug!E$16*Landbrug!E$17,IF(LEFT($D329,5)="Areal", IF($G329="Ton",Landbrug!E$18,1),1)),1)*IF($F329="Grøntsager",IF($A329="Grøntsager i drivhus",Landbrug!E$51,1-Landbrug!E$51),1)</f>
        <v>1314.5666189108829</v>
      </c>
    </row>
    <row r="330" spans="1:10" x14ac:dyDescent="0.25">
      <c r="A330" t="str">
        <f>IF('[1]Processer - data'!A330&lt;&gt;"",'[1]Processer - data'!A330,"")</f>
        <v>Rapsmark</v>
      </c>
      <c r="B330" t="str">
        <f>IF('[1]Processer - data'!B330&lt;&gt;"",'[1]Processer - data'!B330,"")</f>
        <v>Konventionel</v>
      </c>
      <c r="C330" t="str">
        <f>IF('[1]Processer - data'!C330&lt;&gt;"",'[1]Processer - data'!C330,"")</f>
        <v>OC12</v>
      </c>
      <c r="D330" t="str">
        <f>IF('[1]Processer - data'!D330&lt;&gt;"",'[1]Processer - data'!D330,"")</f>
        <v>Areal-raps</v>
      </c>
      <c r="E330" t="str">
        <f>IF('[1]Processer - data'!E330&lt;&gt;"",'[1]Processer - data'!E330,"")</f>
        <v>Hektar</v>
      </c>
      <c r="F330" t="str">
        <f>IF('[1]Processer - data'!F330&lt;&gt;"",'[1]Processer - data'!F330,"")</f>
        <v>Halm</v>
      </c>
      <c r="G330" t="str">
        <f>IF('[1]Processer - data'!G330&lt;&gt;"",'[1]Processer - data'!G330,"")</f>
        <v>Ton</v>
      </c>
      <c r="H330" s="297">
        <f>IF($A330&lt;&gt;"",IF(VLOOKUP($A330,[1]!Table1[#All],2,FALSE)="Direkte input",IF($A330&lt;&gt;"Grøntsager i drivhus",SUMIFS('Direkte input'!G$3:G$230,'Direkte input'!$F$3:$F$230,$D330,'Direkte input'!$C$3:$C$230,$B330,'Direkte input'!$D$3:$D$230,$C330,'Direkte input'!$A$3:$A$230,$A$1),SUMIFS('Direkte input'!G$3:G$230,'Direkte input'!$F$3:$F$230,$D330,'Direkte input'!$C$3:$C$230,$B330,'Direkte input'!$A$3:$A$230,$A$1)),IF(VLOOKUP($A330,[1]!Table1[#All],2,FALSE)="Resultat",SUMIF($F$1:$F329,$D330,H$1:H329)+SUMIF($F331:$F$512,$D330,H331:H$512),0))*'[1]Processer - data'!H330,"")*IF($C330&lt;&gt;"",IF($F330="Halm",Landbrug!C$16*Landbrug!C$17,IF(LEFT($D330,5)="Areal", IF($G330="Ton",Landbrug!C$18,1),1)),1)*IF($F330="Grøntsager",IF($A330="Grøntsager i drivhus",Landbrug!C$51,1-Landbrug!C$51),1)</f>
        <v>702.14519606439114</v>
      </c>
      <c r="I330" s="298">
        <f>IF($A330&lt;&gt;"",IF(VLOOKUP($A330,[1]!Table1[#All],2,FALSE)="Direkte input",IF($A330&lt;&gt;"Grøntsager i drivhus",SUMIFS('Direkte input'!H$3:H$230,'Direkte input'!$F$3:$F$230,$D330,'Direkte input'!$C$3:$C$230,$B330,'Direkte input'!$D$3:$D$230,$C330,'Direkte input'!$A$3:$A$230,$A$1),SUMIFS('Direkte input'!H$3:H$230,'Direkte input'!$F$3:$F$230,$D330,'Direkte input'!$C$3:$C$230,$B330,'Direkte input'!$A$3:$A$230,$A$1)),IF(VLOOKUP($A330,[1]!Table1[#All],2,FALSE)="Resultat",SUMIF($F$1:$F329,$D330,I$1:I329)+SUMIF($F331:$F$512,$D330,I331:I$512),0))*'[1]Processer - data'!I330,"")*IF($C330&lt;&gt;"",IF($F330="Halm",Landbrug!D$16*Landbrug!D$17,IF(LEFT($D330,5)="Areal", IF($G330="Ton",Landbrug!D$18,1),1)),1)*IF($F330="Grøntsager",IF($A330="Grøntsager i drivhus",Landbrug!D$51,1-Landbrug!D$51),1)</f>
        <v>636.41651284853981</v>
      </c>
      <c r="J330" s="299">
        <f>IF($A330&lt;&gt;"",IF(VLOOKUP($A330,[1]!Table1[#All],2,FALSE)="Direkte input",IF($A330&lt;&gt;"Grøntsager i drivhus",SUMIFS('Direkte input'!I$3:I$230,'Direkte input'!$F$3:$F$230,$D330,'Direkte input'!$C$3:$C$230,$B330,'Direkte input'!$D$3:$D$230,$C330,'Direkte input'!$A$3:$A$230,$A$1),SUMIFS('Direkte input'!I$3:I$230,'Direkte input'!$F$3:$F$230,$D330,'Direkte input'!$C$3:$C$230,$B330,'Direkte input'!$A$3:$A$230,$A$1)),IF(VLOOKUP($A330,[1]!Table1[#All],2,FALSE)="Resultat",SUMIF($F$1:$F329,$D330,J$1:J329)+SUMIF($F331:$F$512,$D330,J331:J$512),0))*'[1]Processer - data'!J330,"")*IF($C330&lt;&gt;"",IF($F330="Halm",Landbrug!E$16*Landbrug!E$17,IF(LEFT($D330,5)="Areal", IF($G330="Ton",Landbrug!E$18,1),1)),1)*IF($F330="Grøntsager",IF($A330="Grøntsager i drivhus",Landbrug!E$51,1-Landbrug!E$51),1)</f>
        <v>606.98684751450321</v>
      </c>
    </row>
    <row r="331" spans="1:10" x14ac:dyDescent="0.25">
      <c r="A331" t="str">
        <f>IF('[1]Processer - data'!A331&lt;&gt;"",'[1]Processer - data'!A331,"")</f>
        <v>Rapsmark</v>
      </c>
      <c r="B331" t="str">
        <f>IF('[1]Processer - data'!B331&lt;&gt;"",'[1]Processer - data'!B331,"")</f>
        <v>Konventionel</v>
      </c>
      <c r="C331" t="str">
        <f>IF('[1]Processer - data'!C331&lt;&gt;"",'[1]Processer - data'!C331,"")</f>
        <v>OC12</v>
      </c>
      <c r="D331" t="str">
        <f>IF('[1]Processer - data'!D331&lt;&gt;"",'[1]Processer - data'!D331,"")</f>
        <v>Areal-raps</v>
      </c>
      <c r="E331" t="str">
        <f>IF('[1]Processer - data'!E331&lt;&gt;"",'[1]Processer - data'!E331,"")</f>
        <v>Hektar</v>
      </c>
      <c r="F331" t="str">
        <f>IF('[1]Processer - data'!F331&lt;&gt;"",'[1]Processer - data'!F331,"")</f>
        <v>Gødning</v>
      </c>
      <c r="G331" t="str">
        <f>IF('[1]Processer - data'!G331&lt;&gt;"",'[1]Processer - data'!G331,"")</f>
        <v>kg N</v>
      </c>
      <c r="H331" s="297">
        <f>IF($A331&lt;&gt;"",IF(VLOOKUP($A331,[1]!Table1[#All],2,FALSE)="Direkte input",IF($A331&lt;&gt;"Grøntsager i drivhus",SUMIFS('Direkte input'!G$3:G$230,'Direkte input'!$F$3:$F$230,$D331,'Direkte input'!$C$3:$C$230,$B331,'Direkte input'!$D$3:$D$230,$C331,'Direkte input'!$A$3:$A$230,$A$1),SUMIFS('Direkte input'!G$3:G$230,'Direkte input'!$F$3:$F$230,$D331,'Direkte input'!$C$3:$C$230,$B331,'Direkte input'!$A$3:$A$230,$A$1)),IF(VLOOKUP($A331,[1]!Table1[#All],2,FALSE)="Resultat",SUMIF($F$1:$F330,$D331,H$1:H330)+SUMIF($F332:$F$512,$D331,H332:H$512),0))*'[1]Processer - data'!H331,"")*IF($C331&lt;&gt;"",IF($F331="Halm",Landbrug!C$16*Landbrug!C$17,IF(LEFT($D331,5)="Areal", IF($G331="Ton",Landbrug!C$18,1),1)),1)*IF($F331="Grøntsager",IF($A331="Grøntsager i drivhus",Landbrug!C$51,1-Landbrug!C$51),1)</f>
        <v>-24542.421661156473</v>
      </c>
      <c r="I331" s="298">
        <f>IF($A331&lt;&gt;"",IF(VLOOKUP($A331,[1]!Table1[#All],2,FALSE)="Direkte input",IF($A331&lt;&gt;"Grøntsager i drivhus",SUMIFS('Direkte input'!H$3:H$230,'Direkte input'!$F$3:$F$230,$D331,'Direkte input'!$C$3:$C$230,$B331,'Direkte input'!$D$3:$D$230,$C331,'Direkte input'!$A$3:$A$230,$A$1),SUMIFS('Direkte input'!H$3:H$230,'Direkte input'!$F$3:$F$230,$D331,'Direkte input'!$C$3:$C$230,$B331,'Direkte input'!$A$3:$A$230,$A$1)),IF(VLOOKUP($A331,[1]!Table1[#All],2,FALSE)="Resultat",SUMIF($F$1:$F330,$D331,I$1:I330)+SUMIF($F332:$F$512,$D331,I332:I$512),0))*'[1]Processer - data'!I331,"")*IF($C331&lt;&gt;"",IF($F331="Halm",Landbrug!D$16*Landbrug!D$17,IF(LEFT($D331,5)="Areal", IF($G331="Ton",Landbrug!D$18,1),1)),1)*IF($F331="Grøntsager",IF($A331="Grøntsager i drivhus",Landbrug!D$51,1-Landbrug!D$51),1)</f>
        <v>-22375.051659935336</v>
      </c>
      <c r="J331" s="299">
        <f>IF($A331&lt;&gt;"",IF(VLOOKUP($A331,[1]!Table1[#All],2,FALSE)="Direkte input",IF($A331&lt;&gt;"Grøntsager i drivhus",SUMIFS('Direkte input'!I$3:I$230,'Direkte input'!$F$3:$F$230,$D331,'Direkte input'!$C$3:$C$230,$B331,'Direkte input'!$D$3:$D$230,$C331,'Direkte input'!$A$3:$A$230,$A$1),SUMIFS('Direkte input'!I$3:I$230,'Direkte input'!$F$3:$F$230,$D331,'Direkte input'!$C$3:$C$230,$B331,'Direkte input'!$A$3:$A$230,$A$1)),IF(VLOOKUP($A331,[1]!Table1[#All],2,FALSE)="Resultat",SUMIF($F$1:$F330,$D331,J$1:J330)+SUMIF($F332:$F$512,$D331,J332:J$512),0))*'[1]Processer - data'!J331,"")*IF($C331&lt;&gt;"",IF($F331="Halm",Landbrug!E$16*Landbrug!E$17,IF(LEFT($D331,5)="Areal", IF($G331="Ton",Landbrug!E$18,1),1)),1)*IF($F331="Grøntsager",IF($A331="Grøntsager i drivhus",Landbrug!E$51,1-Landbrug!E$51),1)</f>
        <v>-21340.367190111734</v>
      </c>
    </row>
    <row r="332" spans="1:10" x14ac:dyDescent="0.25">
      <c r="A332" t="str">
        <f>IF('[1]Processer - data'!A332&lt;&gt;"",'[1]Processer - data'!A332,"")</f>
        <v>Rapsmark</v>
      </c>
      <c r="B332" t="str">
        <f>IF('[1]Processer - data'!B332&lt;&gt;"",'[1]Processer - data'!B332,"")</f>
        <v>Konventionel</v>
      </c>
      <c r="C332" t="str">
        <f>IF('[1]Processer - data'!C332&lt;&gt;"",'[1]Processer - data'!C332,"")</f>
        <v>OC12</v>
      </c>
      <c r="D332" t="str">
        <f>IF('[1]Processer - data'!D332&lt;&gt;"",'[1]Processer - data'!D332,"")</f>
        <v>Areal-raps</v>
      </c>
      <c r="E332" t="str">
        <f>IF('[1]Processer - data'!E332&lt;&gt;"",'[1]Processer - data'!E332,"")</f>
        <v>Hektar</v>
      </c>
      <c r="F332" t="str">
        <f>IF('[1]Processer - data'!F332&lt;&gt;"",'[1]Processer - data'!F332,"")</f>
        <v>CO2 - atmosfære</v>
      </c>
      <c r="G332" t="str">
        <f>IF('[1]Processer - data'!G332&lt;&gt;"",'[1]Processer - data'!G332,"")</f>
        <v>t CO2-ækvivalenter</v>
      </c>
      <c r="H332" s="297">
        <f>IF($A332&lt;&gt;"",IF(VLOOKUP($A332,[1]!Table1[#All],2,FALSE)="Direkte input",IF($A332&lt;&gt;"Grøntsager i drivhus",SUMIFS('Direkte input'!G$3:G$230,'Direkte input'!$F$3:$F$230,$D332,'Direkte input'!$C$3:$C$230,$B332,'Direkte input'!$D$3:$D$230,$C332,'Direkte input'!$A$3:$A$230,$A$1),SUMIFS('Direkte input'!G$3:G$230,'Direkte input'!$F$3:$F$230,$D332,'Direkte input'!$C$3:$C$230,$B332,'Direkte input'!$A$3:$A$230,$A$1)),IF(VLOOKUP($A332,[1]!Table1[#All],2,FALSE)="Resultat",SUMIF($F$1:$F331,$D332,H$1:H331)+SUMIF($F333:$F$512,$D332,H333:H$512),0))*'[1]Processer - data'!H332,"")*IF($C332&lt;&gt;"",IF($F332="Halm",Landbrug!C$16*Landbrug!C$17,IF(LEFT($D332,5)="Areal", IF($G332="Ton",Landbrug!C$18,1),1)),1)*IF($F332="Grøntsager",IF($A332="Grøntsager i drivhus",Landbrug!C$51,1-Landbrug!C$51),1)</f>
        <v>8739.5978339620397</v>
      </c>
      <c r="I332" s="298">
        <f>IF($A332&lt;&gt;"",IF(VLOOKUP($A332,[1]!Table1[#All],2,FALSE)="Direkte input",IF($A332&lt;&gt;"Grøntsager i drivhus",SUMIFS('Direkte input'!H$3:H$230,'Direkte input'!$F$3:$F$230,$D332,'Direkte input'!$C$3:$C$230,$B332,'Direkte input'!$D$3:$D$230,$C332,'Direkte input'!$A$3:$A$230,$A$1),SUMIFS('Direkte input'!H$3:H$230,'Direkte input'!$F$3:$F$230,$D332,'Direkte input'!$C$3:$C$230,$B332,'Direkte input'!$A$3:$A$230,$A$1)),IF(VLOOKUP($A332,[1]!Table1[#All],2,FALSE)="Resultat",SUMIF($F$1:$F331,$D332,I$1:I331)+SUMIF($F333:$F$512,$D332,I333:I$512),0))*'[1]Processer - data'!I332,"")*IF($C332&lt;&gt;"",IF($F332="Halm",Landbrug!D$16*Landbrug!D$17,IF(LEFT($D332,5)="Areal", IF($G332="Ton",Landbrug!D$18,1),1)),1)*IF($F332="Grøntsager",IF($A332="Grøntsager i drivhus",Landbrug!D$51,1-Landbrug!D$51),1)</f>
        <v>7967.7937133423466</v>
      </c>
      <c r="J332" s="299">
        <f>IF($A332&lt;&gt;"",IF(VLOOKUP($A332,[1]!Table1[#All],2,FALSE)="Direkte input",IF($A332&lt;&gt;"Grøntsager i drivhus",SUMIFS('Direkte input'!I$3:I$230,'Direkte input'!$F$3:$F$230,$D332,'Direkte input'!$C$3:$C$230,$B332,'Direkte input'!$D$3:$D$230,$C332,'Direkte input'!$A$3:$A$230,$A$1),SUMIFS('Direkte input'!I$3:I$230,'Direkte input'!$F$3:$F$230,$D332,'Direkte input'!$C$3:$C$230,$B332,'Direkte input'!$A$3:$A$230,$A$1)),IF(VLOOKUP($A332,[1]!Table1[#All],2,FALSE)="Resultat",SUMIF($F$1:$F331,$D332,J$1:J331)+SUMIF($F333:$F$512,$D332,J333:J$512),0))*'[1]Processer - data'!J332,"")*IF($C332&lt;&gt;"",IF($F332="Halm",Landbrug!E$16*Landbrug!E$17,IF(LEFT($D332,5)="Areal", IF($G332="Ton",Landbrug!E$18,1),1)),1)*IF($F332="Grøntsager",IF($A332="Grøntsager i drivhus",Landbrug!E$51,1-Landbrug!E$51),1)</f>
        <v>7599.3408248640881</v>
      </c>
    </row>
    <row r="333" spans="1:10" x14ac:dyDescent="0.25">
      <c r="A333" t="str">
        <f>IF('[1]Processer - data'!A333&lt;&gt;"",'[1]Processer - data'!A333,"")</f>
        <v>Rapsmark</v>
      </c>
      <c r="B333" t="str">
        <f>IF('[1]Processer - data'!B333&lt;&gt;"",'[1]Processer - data'!B333,"")</f>
        <v>Økologisk</v>
      </c>
      <c r="C333" t="str">
        <f>IF('[1]Processer - data'!C333&lt;&gt;"",'[1]Processer - data'!C333,"")</f>
        <v>JB1-10</v>
      </c>
      <c r="D333" t="str">
        <f>IF('[1]Processer - data'!D333&lt;&gt;"",'[1]Processer - data'!D333,"")</f>
        <v>Areal-raps</v>
      </c>
      <c r="E333" t="str">
        <f>IF('[1]Processer - data'!E333&lt;&gt;"",'[1]Processer - data'!E333,"")</f>
        <v>Hektar</v>
      </c>
      <c r="F333" t="str">
        <f>IF('[1]Processer - data'!F333&lt;&gt;"",'[1]Processer - data'!F333,"")</f>
        <v>Raps</v>
      </c>
      <c r="G333" t="str">
        <f>IF('[1]Processer - data'!G333&lt;&gt;"",'[1]Processer - data'!G333,"")</f>
        <v>Ton</v>
      </c>
      <c r="H333" s="297">
        <f>IF($A333&lt;&gt;"",IF(VLOOKUP($A333,[1]!Table1[#All],2,FALSE)="Direkte input",IF($A333&lt;&gt;"Grøntsager i drivhus",SUMIFS('Direkte input'!G$3:G$230,'Direkte input'!$F$3:$F$230,$D333,'Direkte input'!$C$3:$C$230,$B333,'Direkte input'!$D$3:$D$230,$C333,'Direkte input'!$A$3:$A$230,$A$1),SUMIFS('Direkte input'!G$3:G$230,'Direkte input'!$F$3:$F$230,$D333,'Direkte input'!$C$3:$C$230,$B333,'Direkte input'!$A$3:$A$230,$A$1)),IF(VLOOKUP($A333,[1]!Table1[#All],2,FALSE)="Resultat",SUMIF($F$1:$F332,$D333,H$1:H332)+SUMIF($F334:$F$512,$D333,H334:H$512),0))*'[1]Processer - data'!H333,"")*IF($C333&lt;&gt;"",IF($F333="Halm",Landbrug!C$16*Landbrug!C$17,IF(LEFT($D333,5)="Areal", IF($G333="Ton",Landbrug!C$18,1),1)),1)*IF($F333="Grøntsager",IF($A333="Grøntsager i drivhus",Landbrug!C$51,1-Landbrug!C$51),1)</f>
        <v>12377.029068732492</v>
      </c>
      <c r="I333" s="298">
        <f>IF($A333&lt;&gt;"",IF(VLOOKUP($A333,[1]!Table1[#All],2,FALSE)="Direkte input",IF($A333&lt;&gt;"Grøntsager i drivhus",SUMIFS('Direkte input'!H$3:H$230,'Direkte input'!$F$3:$F$230,$D333,'Direkte input'!$C$3:$C$230,$B333,'Direkte input'!$D$3:$D$230,$C333,'Direkte input'!$A$3:$A$230,$A$1),SUMIFS('Direkte input'!H$3:H$230,'Direkte input'!$F$3:$F$230,$D333,'Direkte input'!$C$3:$C$230,$B333,'Direkte input'!$A$3:$A$230,$A$1)),IF(VLOOKUP($A333,[1]!Table1[#All],2,FALSE)="Resultat",SUMIF($F$1:$F332,$D333,I$1:I332)+SUMIF($F334:$F$512,$D333,I334:I$512),0))*'[1]Processer - data'!I333,"")*IF($C333&lt;&gt;"",IF($F333="Halm",Landbrug!D$16*Landbrug!D$17,IF(LEFT($D333,5)="Areal", IF($G333="Ton",Landbrug!D$18,1),1)),1)*IF($F333="Grøntsager",IF($A333="Grøntsager i drivhus",Landbrug!D$51,1-Landbrug!D$51),1)</f>
        <v>15720.40291497924</v>
      </c>
      <c r="J333" s="299">
        <f>IF($A333&lt;&gt;"",IF(VLOOKUP($A333,[1]!Table1[#All],2,FALSE)="Direkte input",IF($A333&lt;&gt;"Grøntsager i drivhus",SUMIFS('Direkte input'!I$3:I$230,'Direkte input'!$F$3:$F$230,$D333,'Direkte input'!$C$3:$C$230,$B333,'Direkte input'!$D$3:$D$230,$C333,'Direkte input'!$A$3:$A$230,$A$1),SUMIFS('Direkte input'!I$3:I$230,'Direkte input'!$F$3:$F$230,$D333,'Direkte input'!$C$3:$C$230,$B333,'Direkte input'!$A$3:$A$230,$A$1)),IF(VLOOKUP($A333,[1]!Table1[#All],2,FALSE)="Resultat",SUMIF($F$1:$F332,$D333,J$1:J332)+SUMIF($F334:$F$512,$D333,J334:J$512),0))*'[1]Processer - data'!J333,"")*IF($C333&lt;&gt;"",IF($F333="Halm",Landbrug!E$16*Landbrug!E$17,IF(LEFT($D333,5)="Areal", IF($G333="Ton",Landbrug!E$18,1),1)),1)*IF($F333="Grøntsager",IF($A333="Grøntsager i drivhus",Landbrug!E$51,1-Landbrug!E$51),1)</f>
        <v>21659.446140123368</v>
      </c>
    </row>
    <row r="334" spans="1:10" x14ac:dyDescent="0.25">
      <c r="A334" t="str">
        <f>IF('[1]Processer - data'!A334&lt;&gt;"",'[1]Processer - data'!A334,"")</f>
        <v>Rapsmark</v>
      </c>
      <c r="B334" t="str">
        <f>IF('[1]Processer - data'!B334&lt;&gt;"",'[1]Processer - data'!B334,"")</f>
        <v>Økologisk</v>
      </c>
      <c r="C334" t="str">
        <f>IF('[1]Processer - data'!C334&lt;&gt;"",'[1]Processer - data'!C334,"")</f>
        <v>JB1-10</v>
      </c>
      <c r="D334" t="str">
        <f>IF('[1]Processer - data'!D334&lt;&gt;"",'[1]Processer - data'!D334,"")</f>
        <v>Areal-raps</v>
      </c>
      <c r="E334" t="str">
        <f>IF('[1]Processer - data'!E334&lt;&gt;"",'[1]Processer - data'!E334,"")</f>
        <v>Hektar</v>
      </c>
      <c r="F334" t="str">
        <f>IF('[1]Processer - data'!F334&lt;&gt;"",'[1]Processer - data'!F334,"")</f>
        <v>Halm</v>
      </c>
      <c r="G334" t="str">
        <f>IF('[1]Processer - data'!G334&lt;&gt;"",'[1]Processer - data'!G334,"")</f>
        <v>Ton</v>
      </c>
      <c r="H334" s="297">
        <f>IF($A334&lt;&gt;"",IF(VLOOKUP($A334,[1]!Table1[#All],2,FALSE)="Direkte input",IF($A334&lt;&gt;"Grøntsager i drivhus",SUMIFS('Direkte input'!G$3:G$230,'Direkte input'!$F$3:$F$230,$D334,'Direkte input'!$C$3:$C$230,$B334,'Direkte input'!$D$3:$D$230,$C334,'Direkte input'!$A$3:$A$230,$A$1),SUMIFS('Direkte input'!G$3:G$230,'Direkte input'!$F$3:$F$230,$D334,'Direkte input'!$C$3:$C$230,$B334,'Direkte input'!$A$3:$A$230,$A$1)),IF(VLOOKUP($A334,[1]!Table1[#All],2,FALSE)="Resultat",SUMIF($F$1:$F333,$D334,H$1:H333)+SUMIF($F335:$F$512,$D334,H335:H$512),0))*'[1]Processer - data'!H334,"")*IF($C334&lt;&gt;"",IF($F334="Halm",Landbrug!C$16*Landbrug!C$17,IF(LEFT($D334,5)="Areal", IF($G334="Ton",Landbrug!C$18,1),1)),1)*IF($F334="Grøntsager",IF($A334="Grøntsager i drivhus",Landbrug!C$51,1-Landbrug!C$51),1)</f>
        <v>6610.6331107553669</v>
      </c>
      <c r="I334" s="298">
        <f>IF($A334&lt;&gt;"",IF(VLOOKUP($A334,[1]!Table1[#All],2,FALSE)="Direkte input",IF($A334&lt;&gt;"Grøntsager i drivhus",SUMIFS('Direkte input'!H$3:H$230,'Direkte input'!$F$3:$F$230,$D334,'Direkte input'!$C$3:$C$230,$B334,'Direkte input'!$D$3:$D$230,$C334,'Direkte input'!$A$3:$A$230,$A$1),SUMIFS('Direkte input'!H$3:H$230,'Direkte input'!$F$3:$F$230,$D334,'Direkte input'!$C$3:$C$230,$B334,'Direkte input'!$A$3:$A$230,$A$1)),IF(VLOOKUP($A334,[1]!Table1[#All],2,FALSE)="Resultat",SUMIF($F$1:$F333,$D334,I$1:I333)+SUMIF($F335:$F$512,$D334,I335:I$512),0))*'[1]Processer - data'!I334,"")*IF($C334&lt;&gt;"",IF($F334="Halm",Landbrug!D$16*Landbrug!D$17,IF(LEFT($D334,5)="Areal", IF($G334="Ton",Landbrug!D$18,1),1)),1)*IF($F334="Grøntsager",IF($A334="Grøntsager i drivhus",Landbrug!D$51,1-Landbrug!D$51),1)</f>
        <v>7786.8786826996029</v>
      </c>
      <c r="J334" s="299">
        <f>IF($A334&lt;&gt;"",IF(VLOOKUP($A334,[1]!Table1[#All],2,FALSE)="Direkte input",IF($A334&lt;&gt;"Grøntsager i drivhus",SUMIFS('Direkte input'!I$3:I$230,'Direkte input'!$F$3:$F$230,$D334,'Direkte input'!$C$3:$C$230,$B334,'Direkte input'!$D$3:$D$230,$C334,'Direkte input'!$A$3:$A$230,$A$1),SUMIFS('Direkte input'!I$3:I$230,'Direkte input'!$F$3:$F$230,$D334,'Direkte input'!$C$3:$C$230,$B334,'Direkte input'!$A$3:$A$230,$A$1)),IF(VLOOKUP($A334,[1]!Table1[#All],2,FALSE)="Resultat",SUMIF($F$1:$F333,$D334,J$1:J333)+SUMIF($F335:$F$512,$D334,J335:J$512),0))*'[1]Processer - data'!J334,"")*IF($C334&lt;&gt;"",IF($F334="Halm",Landbrug!E$16*Landbrug!E$17,IF(LEFT($D334,5)="Areal", IF($G334="Ton",Landbrug!E$18,1),1)),1)*IF($F334="Grøntsager",IF($A334="Grøntsager i drivhus",Landbrug!E$51,1-Landbrug!E$51),1)</f>
        <v>10001.013826439572</v>
      </c>
    </row>
    <row r="335" spans="1:10" x14ac:dyDescent="0.25">
      <c r="A335" t="str">
        <f>IF('[1]Processer - data'!A335&lt;&gt;"",'[1]Processer - data'!A335,"")</f>
        <v>Rapsmark</v>
      </c>
      <c r="B335" t="str">
        <f>IF('[1]Processer - data'!B335&lt;&gt;"",'[1]Processer - data'!B335,"")</f>
        <v>Økologisk</v>
      </c>
      <c r="C335" t="str">
        <f>IF('[1]Processer - data'!C335&lt;&gt;"",'[1]Processer - data'!C335,"")</f>
        <v>JB1-10</v>
      </c>
      <c r="D335" t="str">
        <f>IF('[1]Processer - data'!D335&lt;&gt;"",'[1]Processer - data'!D335,"")</f>
        <v>Areal-raps</v>
      </c>
      <c r="E335" t="str">
        <f>IF('[1]Processer - data'!E335&lt;&gt;"",'[1]Processer - data'!E335,"")</f>
        <v>Hektar</v>
      </c>
      <c r="F335" t="str">
        <f>IF('[1]Processer - data'!F335&lt;&gt;"",'[1]Processer - data'!F335,"")</f>
        <v>Gødning</v>
      </c>
      <c r="G335" t="str">
        <f>IF('[1]Processer - data'!G335&lt;&gt;"",'[1]Processer - data'!G335,"")</f>
        <v>kg N</v>
      </c>
      <c r="H335" s="297">
        <f>IF($A335&lt;&gt;"",IF(VLOOKUP($A335,[1]!Table1[#All],2,FALSE)="Direkte input",IF($A335&lt;&gt;"Grøntsager i drivhus",SUMIFS('Direkte input'!G$3:G$230,'Direkte input'!$F$3:$F$230,$D335,'Direkte input'!$C$3:$C$230,$B335,'Direkte input'!$D$3:$D$230,$C335,'Direkte input'!$A$3:$A$230,$A$1),SUMIFS('Direkte input'!G$3:G$230,'Direkte input'!$F$3:$F$230,$D335,'Direkte input'!$C$3:$C$230,$B335,'Direkte input'!$A$3:$A$230,$A$1)),IF(VLOOKUP($A335,[1]!Table1[#All],2,FALSE)="Resultat",SUMIF($F$1:$F334,$D335,H$1:H334)+SUMIF($F336:$F$512,$D335,H336:H$512),0))*'[1]Processer - data'!H335,"")*IF($C335&lt;&gt;"",IF($F335="Halm",Landbrug!C$16*Landbrug!C$17,IF(LEFT($D335,5)="Areal", IF($G335="Ton",Landbrug!C$18,1),1)),1)*IF($F335="Grøntsager",IF($A335="Grøntsager i drivhus",Landbrug!C$51,1-Landbrug!C$51),1)</f>
        <v>-492268.20159731503</v>
      </c>
      <c r="I335" s="298">
        <f>IF($A335&lt;&gt;"",IF(VLOOKUP($A335,[1]!Table1[#All],2,FALSE)="Direkte input",IF($A335&lt;&gt;"Grøntsager i drivhus",SUMIFS('Direkte input'!H$3:H$230,'Direkte input'!$F$3:$F$230,$D335,'Direkte input'!$C$3:$C$230,$B335,'Direkte input'!$D$3:$D$230,$C335,'Direkte input'!$A$3:$A$230,$A$1),SUMIFS('Direkte input'!H$3:H$230,'Direkte input'!$F$3:$F$230,$D335,'Direkte input'!$C$3:$C$230,$B335,'Direkte input'!$A$3:$A$230,$A$1)),IF(VLOOKUP($A335,[1]!Table1[#All],2,FALSE)="Resultat",SUMIF($F$1:$F334,$D335,I$1:I334)+SUMIF($F336:$F$512,$D335,I336:I$512),0))*'[1]Processer - data'!I335,"")*IF($C335&lt;&gt;"",IF($F335="Halm",Landbrug!D$16*Landbrug!D$17,IF(LEFT($D335,5)="Areal", IF($G335="Ton",Landbrug!D$18,1),1)),1)*IF($F335="Grøntsager",IF($A335="Grøntsager i drivhus",Landbrug!D$51,1-Landbrug!D$51),1)</f>
        <v>-583249.34492057469</v>
      </c>
      <c r="J335" s="299">
        <f>IF($A335&lt;&gt;"",IF(VLOOKUP($A335,[1]!Table1[#All],2,FALSE)="Direkte input",IF($A335&lt;&gt;"Grøntsager i drivhus",SUMIFS('Direkte input'!I$3:I$230,'Direkte input'!$F$3:$F$230,$D335,'Direkte input'!$C$3:$C$230,$B335,'Direkte input'!$D$3:$D$230,$C335,'Direkte input'!$A$3:$A$230,$A$1),SUMIFS('Direkte input'!I$3:I$230,'Direkte input'!$F$3:$F$230,$D335,'Direkte input'!$C$3:$C$230,$B335,'Direkte input'!$A$3:$A$230,$A$1)),IF(VLOOKUP($A335,[1]!Table1[#All],2,FALSE)="Resultat",SUMIF($F$1:$F334,$D335,J$1:J334)+SUMIF($F336:$F$512,$D335,J336:J$512),0))*'[1]Processer - data'!J335,"")*IF($C335&lt;&gt;"",IF($F335="Halm",Landbrug!E$16*Landbrug!E$17,IF(LEFT($D335,5)="Areal", IF($G335="Ton",Landbrug!E$18,1),1)),1)*IF($F335="Grøntsager",IF($A335="Grøntsager i drivhus",Landbrug!E$51,1-Landbrug!E$51),1)</f>
        <v>-749091.51670387143</v>
      </c>
    </row>
    <row r="336" spans="1:10" x14ac:dyDescent="0.25">
      <c r="A336" t="str">
        <f>IF('[1]Processer - data'!A336&lt;&gt;"",'[1]Processer - data'!A336,"")</f>
        <v>Rapsmark</v>
      </c>
      <c r="B336" t="str">
        <f>IF('[1]Processer - data'!B336&lt;&gt;"",'[1]Processer - data'!B336,"")</f>
        <v>Økologisk</v>
      </c>
      <c r="C336" t="str">
        <f>IF('[1]Processer - data'!C336&lt;&gt;"",'[1]Processer - data'!C336,"")</f>
        <v>JB1-10</v>
      </c>
      <c r="D336" t="str">
        <f>IF('[1]Processer - data'!D336&lt;&gt;"",'[1]Processer - data'!D336,"")</f>
        <v>Areal-raps</v>
      </c>
      <c r="E336" t="str">
        <f>IF('[1]Processer - data'!E336&lt;&gt;"",'[1]Processer - data'!E336,"")</f>
        <v>Hektar</v>
      </c>
      <c r="F336" t="str">
        <f>IF('[1]Processer - data'!F336&lt;&gt;"",'[1]Processer - data'!F336,"")</f>
        <v>CO2 - atmosfære</v>
      </c>
      <c r="G336" t="str">
        <f>IF('[1]Processer - data'!G336&lt;&gt;"",'[1]Processer - data'!G336,"")</f>
        <v>t CO2-ækvivalenter</v>
      </c>
      <c r="H336" s="297">
        <f>IF($A336&lt;&gt;"",IF(VLOOKUP($A336,[1]!Table1[#All],2,FALSE)="Direkte input",IF($A336&lt;&gt;"Grøntsager i drivhus",SUMIFS('Direkte input'!G$3:G$230,'Direkte input'!$F$3:$F$230,$D336,'Direkte input'!$C$3:$C$230,$B336,'Direkte input'!$D$3:$D$230,$C336,'Direkte input'!$A$3:$A$230,$A$1),SUMIFS('Direkte input'!G$3:G$230,'Direkte input'!$F$3:$F$230,$D336,'Direkte input'!$C$3:$C$230,$B336,'Direkte input'!$A$3:$A$230,$A$1)),IF(VLOOKUP($A336,[1]!Table1[#All],2,FALSE)="Resultat",SUMIF($F$1:$F335,$D336,H$1:H335)+SUMIF($F337:$F$512,$D336,H337:H$512),0))*'[1]Processer - data'!H336,"")*IF($C336&lt;&gt;"",IF($F336="Halm",Landbrug!C$16*Landbrug!C$17,IF(LEFT($D336,5)="Areal", IF($G336="Ton",Landbrug!C$18,1),1)),1)*IF($F336="Grøntsager",IF($A336="Grøntsager i drivhus",Landbrug!C$51,1-Landbrug!C$51),1)</f>
        <v>11628.752594950776</v>
      </c>
      <c r="I336" s="298">
        <f>IF($A336&lt;&gt;"",IF(VLOOKUP($A336,[1]!Table1[#All],2,FALSE)="Direkte input",IF($A336&lt;&gt;"Grøntsager i drivhus",SUMIFS('Direkte input'!H$3:H$230,'Direkte input'!$F$3:$F$230,$D336,'Direkte input'!$C$3:$C$230,$B336,'Direkte input'!$D$3:$D$230,$C336,'Direkte input'!$A$3:$A$230,$A$1),SUMIFS('Direkte input'!H$3:H$230,'Direkte input'!$F$3:$F$230,$D336,'Direkte input'!$C$3:$C$230,$B336,'Direkte input'!$A$3:$A$230,$A$1)),IF(VLOOKUP($A336,[1]!Table1[#All],2,FALSE)="Resultat",SUMIF($F$1:$F335,$D336,I$1:I335)+SUMIF($F337:$F$512,$D336,I337:I$512),0))*'[1]Processer - data'!I336,"")*IF($C336&lt;&gt;"",IF($F336="Halm",Landbrug!D$16*Landbrug!D$17,IF(LEFT($D336,5)="Areal", IF($G336="Ton",Landbrug!D$18,1),1)),1)*IF($F336="Grøntsager",IF($A336="Grøntsager i drivhus",Landbrug!D$51,1-Landbrug!D$51),1)</f>
        <v>13777.981822186963</v>
      </c>
      <c r="J336" s="299">
        <f>IF($A336&lt;&gt;"",IF(VLOOKUP($A336,[1]!Table1[#All],2,FALSE)="Direkte input",IF($A336&lt;&gt;"Grøntsager i drivhus",SUMIFS('Direkte input'!I$3:I$230,'Direkte input'!$F$3:$F$230,$D336,'Direkte input'!$C$3:$C$230,$B336,'Direkte input'!$D$3:$D$230,$C336,'Direkte input'!$A$3:$A$230,$A$1),SUMIFS('Direkte input'!I$3:I$230,'Direkte input'!$F$3:$F$230,$D336,'Direkte input'!$C$3:$C$230,$B336,'Direkte input'!$A$3:$A$230,$A$1)),IF(VLOOKUP($A336,[1]!Table1[#All],2,FALSE)="Resultat",SUMIF($F$1:$F335,$D336,J$1:J335)+SUMIF($F337:$F$512,$D336,J337:J$512),0))*'[1]Processer - data'!J336,"")*IF($C336&lt;&gt;"",IF($F336="Halm",Landbrug!E$16*Landbrug!E$17,IF(LEFT($D336,5)="Areal", IF($G336="Ton",Landbrug!E$18,1),1)),1)*IF($F336="Grøntsager",IF($A336="Grøntsager i drivhus",Landbrug!E$51,1-Landbrug!E$51),1)</f>
        <v>17695.638049462163</v>
      </c>
    </row>
    <row r="337" spans="1:10" x14ac:dyDescent="0.25">
      <c r="A337" t="str">
        <f>IF('[1]Processer - data'!A337&lt;&gt;"",'[1]Processer - data'!A337,"")</f>
        <v>Rapsmark</v>
      </c>
      <c r="B337" t="str">
        <f>IF('[1]Processer - data'!B337&lt;&gt;"",'[1]Processer - data'!B337,"")</f>
        <v>Økologisk</v>
      </c>
      <c r="C337" t="str">
        <f>IF('[1]Processer - data'!C337&lt;&gt;"",'[1]Processer - data'!C337,"")</f>
        <v>OC6</v>
      </c>
      <c r="D337" t="str">
        <f>IF('[1]Processer - data'!D337&lt;&gt;"",'[1]Processer - data'!D337,"")</f>
        <v>Areal-raps</v>
      </c>
      <c r="E337" t="str">
        <f>IF('[1]Processer - data'!E337&lt;&gt;"",'[1]Processer - data'!E337,"")</f>
        <v>Hektar</v>
      </c>
      <c r="F337" t="str">
        <f>IF('[1]Processer - data'!F337&lt;&gt;"",'[1]Processer - data'!F337,"")</f>
        <v>Raps</v>
      </c>
      <c r="G337" t="str">
        <f>IF('[1]Processer - data'!G337&lt;&gt;"",'[1]Processer - data'!G337,"")</f>
        <v>Ton</v>
      </c>
      <c r="H337" s="297">
        <f>IF($A337&lt;&gt;"",IF(VLOOKUP($A337,[1]!Table1[#All],2,FALSE)="Direkte input",IF($A337&lt;&gt;"Grøntsager i drivhus",SUMIFS('Direkte input'!G$3:G$230,'Direkte input'!$F$3:$F$230,$D337,'Direkte input'!$C$3:$C$230,$B337,'Direkte input'!$D$3:$D$230,$C337,'Direkte input'!$A$3:$A$230,$A$1),SUMIFS('Direkte input'!G$3:G$230,'Direkte input'!$F$3:$F$230,$D337,'Direkte input'!$C$3:$C$230,$B337,'Direkte input'!$A$3:$A$230,$A$1)),IF(VLOOKUP($A337,[1]!Table1[#All],2,FALSE)="Resultat",SUMIF($F$1:$F336,$D337,H$1:H336)+SUMIF($F338:$F$512,$D337,H338:H$512),0))*'[1]Processer - data'!H337,"")*IF($C337&lt;&gt;"",IF($F337="Halm",Landbrug!C$16*Landbrug!C$17,IF(LEFT($D337,5)="Areal", IF($G337="Ton",Landbrug!C$18,1),1)),1)*IF($F337="Grøntsager",IF($A337="Grøntsager i drivhus",Landbrug!C$51,1-Landbrug!C$51),1)</f>
        <v>182.56571154116077</v>
      </c>
      <c r="I337" s="298">
        <f>IF($A337&lt;&gt;"",IF(VLOOKUP($A337,[1]!Table1[#All],2,FALSE)="Direkte input",IF($A337&lt;&gt;"Grøntsager i drivhus",SUMIFS('Direkte input'!H$3:H$230,'Direkte input'!$F$3:$F$230,$D337,'Direkte input'!$C$3:$C$230,$B337,'Direkte input'!$D$3:$D$230,$C337,'Direkte input'!$A$3:$A$230,$A$1),SUMIFS('Direkte input'!H$3:H$230,'Direkte input'!$F$3:$F$230,$D337,'Direkte input'!$C$3:$C$230,$B337,'Direkte input'!$A$3:$A$230,$A$1)),IF(VLOOKUP($A337,[1]!Table1[#All],2,FALSE)="Resultat",SUMIF($F$1:$F336,$D337,I$1:I336)+SUMIF($F338:$F$512,$D337,I338:I$512),0))*'[1]Processer - data'!I337,"")*IF($C337&lt;&gt;"",IF($F337="Halm",Landbrug!D$16*Landbrug!D$17,IF(LEFT($D337,5)="Areal", IF($G337="Ton",Landbrug!D$18,1),1)),1)*IF($F337="Grøntsager",IF($A337="Grøntsager i drivhus",Landbrug!D$51,1-Landbrug!D$51),1)</f>
        <v>216.0793324568856</v>
      </c>
      <c r="J337" s="299">
        <f>IF($A337&lt;&gt;"",IF(VLOOKUP($A337,[1]!Table1[#All],2,FALSE)="Direkte input",IF($A337&lt;&gt;"Grøntsager i drivhus",SUMIFS('Direkte input'!I$3:I$230,'Direkte input'!$F$3:$F$230,$D337,'Direkte input'!$C$3:$C$230,$B337,'Direkte input'!$D$3:$D$230,$C337,'Direkte input'!$A$3:$A$230,$A$1),SUMIFS('Direkte input'!I$3:I$230,'Direkte input'!$F$3:$F$230,$D337,'Direkte input'!$C$3:$C$230,$B337,'Direkte input'!$A$3:$A$230,$A$1)),IF(VLOOKUP($A337,[1]!Table1[#All],2,FALSE)="Resultat",SUMIF($F$1:$F336,$D337,J$1:J336)+SUMIF($F338:$F$512,$D337,J338:J$512),0))*'[1]Processer - data'!J337,"")*IF($C337&lt;&gt;"",IF($F337="Halm",Landbrug!E$16*Landbrug!E$17,IF(LEFT($D337,5)="Areal", IF($G337="Ton",Landbrug!E$18,1),1)),1)*IF($F337="Grøntsager",IF($A337="Grøntsager i drivhus",Landbrug!E$51,1-Landbrug!E$51),1)</f>
        <v>300.48345534099093</v>
      </c>
    </row>
    <row r="338" spans="1:10" x14ac:dyDescent="0.25">
      <c r="A338" t="str">
        <f>IF('[1]Processer - data'!A338&lt;&gt;"",'[1]Processer - data'!A338,"")</f>
        <v>Rapsmark</v>
      </c>
      <c r="B338" t="str">
        <f>IF('[1]Processer - data'!B338&lt;&gt;"",'[1]Processer - data'!B338,"")</f>
        <v>Økologisk</v>
      </c>
      <c r="C338" t="str">
        <f>IF('[1]Processer - data'!C338&lt;&gt;"",'[1]Processer - data'!C338,"")</f>
        <v>OC6</v>
      </c>
      <c r="D338" t="str">
        <f>IF('[1]Processer - data'!D338&lt;&gt;"",'[1]Processer - data'!D338,"")</f>
        <v>Areal-raps</v>
      </c>
      <c r="E338" t="str">
        <f>IF('[1]Processer - data'!E338&lt;&gt;"",'[1]Processer - data'!E338,"")</f>
        <v>Hektar</v>
      </c>
      <c r="F338" t="str">
        <f>IF('[1]Processer - data'!F338&lt;&gt;"",'[1]Processer - data'!F338,"")</f>
        <v>Halm</v>
      </c>
      <c r="G338" t="str">
        <f>IF('[1]Processer - data'!G338&lt;&gt;"",'[1]Processer - data'!G338,"")</f>
        <v>Ton</v>
      </c>
      <c r="H338" s="297">
        <f>IF($A338&lt;&gt;"",IF(VLOOKUP($A338,[1]!Table1[#All],2,FALSE)="Direkte input",IF($A338&lt;&gt;"Grøntsager i drivhus",SUMIFS('Direkte input'!G$3:G$230,'Direkte input'!$F$3:$F$230,$D338,'Direkte input'!$C$3:$C$230,$B338,'Direkte input'!$D$3:$D$230,$C338,'Direkte input'!$A$3:$A$230,$A$1),SUMIFS('Direkte input'!G$3:G$230,'Direkte input'!$F$3:$F$230,$D338,'Direkte input'!$C$3:$C$230,$B338,'Direkte input'!$A$3:$A$230,$A$1)),IF(VLOOKUP($A338,[1]!Table1[#All],2,FALSE)="Resultat",SUMIF($F$1:$F337,$D338,H$1:H337)+SUMIF($F339:$F$512,$D338,H339:H$512),0))*'[1]Processer - data'!H338,"")*IF($C338&lt;&gt;"",IF($F338="Halm",Landbrug!C$16*Landbrug!C$17,IF(LEFT($D338,5)="Areal", IF($G338="Ton",Landbrug!C$18,1),1)),1)*IF($F338="Grøntsager",IF($A338="Grøntsager i drivhus",Landbrug!C$51,1-Landbrug!C$51),1)</f>
        <v>97.509259362691665</v>
      </c>
      <c r="I338" s="298">
        <f>IF($A338&lt;&gt;"",IF(VLOOKUP($A338,[1]!Table1[#All],2,FALSE)="Direkte input",IF($A338&lt;&gt;"Grøntsager i drivhus",SUMIFS('Direkte input'!H$3:H$230,'Direkte input'!$F$3:$F$230,$D338,'Direkte input'!$C$3:$C$230,$B338,'Direkte input'!$D$3:$D$230,$C338,'Direkte input'!$A$3:$A$230,$A$1),SUMIFS('Direkte input'!H$3:H$230,'Direkte input'!$F$3:$F$230,$D338,'Direkte input'!$C$3:$C$230,$B338,'Direkte input'!$A$3:$A$230,$A$1)),IF(VLOOKUP($A338,[1]!Table1[#All],2,FALSE)="Resultat",SUMIF($F$1:$F337,$D338,I$1:I337)+SUMIF($F339:$F$512,$D338,I339:I$512),0))*'[1]Processer - data'!I338,"")*IF($C338&lt;&gt;"",IF($F338="Halm",Landbrug!D$16*Landbrug!D$17,IF(LEFT($D338,5)="Areal", IF($G338="Ton",Landbrug!D$18,1),1)),1)*IF($F338="Grøntsager",IF($A338="Grøntsager i drivhus",Landbrug!D$51,1-Landbrug!D$51),1)</f>
        <v>107.03183352108788</v>
      </c>
      <c r="J338" s="299">
        <f>IF($A338&lt;&gt;"",IF(VLOOKUP($A338,[1]!Table1[#All],2,FALSE)="Direkte input",IF($A338&lt;&gt;"Grøntsager i drivhus",SUMIFS('Direkte input'!I$3:I$230,'Direkte input'!$F$3:$F$230,$D338,'Direkte input'!$C$3:$C$230,$B338,'Direkte input'!$D$3:$D$230,$C338,'Direkte input'!$A$3:$A$230,$A$1),SUMIFS('Direkte input'!I$3:I$230,'Direkte input'!$F$3:$F$230,$D338,'Direkte input'!$C$3:$C$230,$B338,'Direkte input'!$A$3:$A$230,$A$1)),IF(VLOOKUP($A338,[1]!Table1[#All],2,FALSE)="Resultat",SUMIF($F$1:$F337,$D338,J$1:J337)+SUMIF($F339:$F$512,$D338,J339:J$512),0))*'[1]Processer - data'!J338,"")*IF($C338&lt;&gt;"",IF($F338="Halm",Landbrug!E$16*Landbrug!E$17,IF(LEFT($D338,5)="Areal", IF($G338="Ton",Landbrug!E$18,1),1)),1)*IF($F338="Grøntsager",IF($A338="Grøntsager i drivhus",Landbrug!E$51,1-Landbrug!E$51),1)</f>
        <v>138.74496937918795</v>
      </c>
    </row>
    <row r="339" spans="1:10" x14ac:dyDescent="0.25">
      <c r="A339" t="str">
        <f>IF('[1]Processer - data'!A339&lt;&gt;"",'[1]Processer - data'!A339,"")</f>
        <v>Rapsmark</v>
      </c>
      <c r="B339" t="str">
        <f>IF('[1]Processer - data'!B339&lt;&gt;"",'[1]Processer - data'!B339,"")</f>
        <v>Økologisk</v>
      </c>
      <c r="C339" t="str">
        <f>IF('[1]Processer - data'!C339&lt;&gt;"",'[1]Processer - data'!C339,"")</f>
        <v>OC6</v>
      </c>
      <c r="D339" t="str">
        <f>IF('[1]Processer - data'!D339&lt;&gt;"",'[1]Processer - data'!D339,"")</f>
        <v>Areal-raps</v>
      </c>
      <c r="E339" t="str">
        <f>IF('[1]Processer - data'!E339&lt;&gt;"",'[1]Processer - data'!E339,"")</f>
        <v>Hektar</v>
      </c>
      <c r="F339" t="str">
        <f>IF('[1]Processer - data'!F339&lt;&gt;"",'[1]Processer - data'!F339,"")</f>
        <v>Gødning</v>
      </c>
      <c r="G339" t="str">
        <f>IF('[1]Processer - data'!G339&lt;&gt;"",'[1]Processer - data'!G339,"")</f>
        <v>kg N</v>
      </c>
      <c r="H339" s="297">
        <f>IF($A339&lt;&gt;"",IF(VLOOKUP($A339,[1]!Table1[#All],2,FALSE)="Direkte input",IF($A339&lt;&gt;"Grøntsager i drivhus",SUMIFS('Direkte input'!G$3:G$230,'Direkte input'!$F$3:$F$230,$D339,'Direkte input'!$C$3:$C$230,$B339,'Direkte input'!$D$3:$D$230,$C339,'Direkte input'!$A$3:$A$230,$A$1),SUMIFS('Direkte input'!G$3:G$230,'Direkte input'!$F$3:$F$230,$D339,'Direkte input'!$C$3:$C$230,$B339,'Direkte input'!$A$3:$A$230,$A$1)),IF(VLOOKUP($A339,[1]!Table1[#All],2,FALSE)="Resultat",SUMIF($F$1:$F338,$D339,H$1:H338)+SUMIF($F340:$F$512,$D339,H340:H$512),0))*'[1]Processer - data'!H339,"")*IF($C339&lt;&gt;"",IF($F339="Halm",Landbrug!C$16*Landbrug!C$17,IF(LEFT($D339,5)="Areal", IF($G339="Ton",Landbrug!C$18,1),1)),1)*IF($F339="Grøntsager",IF($A339="Grøntsager i drivhus",Landbrug!C$51,1-Landbrug!C$51),1)</f>
        <v>-5013.6416995205127</v>
      </c>
      <c r="I339" s="298">
        <f>IF($A339&lt;&gt;"",IF(VLOOKUP($A339,[1]!Table1[#All],2,FALSE)="Direkte input",IF($A339&lt;&gt;"Grøntsager i drivhus",SUMIFS('Direkte input'!H$3:H$230,'Direkte input'!$F$3:$F$230,$D339,'Direkte input'!$C$3:$C$230,$B339,'Direkte input'!$D$3:$D$230,$C339,'Direkte input'!$A$3:$A$230,$A$1),SUMIFS('Direkte input'!H$3:H$230,'Direkte input'!$F$3:$F$230,$D339,'Direkte input'!$C$3:$C$230,$B339,'Direkte input'!$A$3:$A$230,$A$1)),IF(VLOOKUP($A339,[1]!Table1[#All],2,FALSE)="Resultat",SUMIF($F$1:$F338,$D339,I$1:I338)+SUMIF($F340:$F$512,$D339,I340:I$512),0))*'[1]Processer - data'!I339,"")*IF($C339&lt;&gt;"",IF($F339="Halm",Landbrug!D$16*Landbrug!D$17,IF(LEFT($D339,5)="Areal", IF($G339="Ton",Landbrug!D$18,1),1)),1)*IF($F339="Grøntsager",IF($A339="Grøntsager i drivhus",Landbrug!D$51,1-Landbrug!D$51),1)</f>
        <v>-5535.4447941839817</v>
      </c>
      <c r="J339" s="299">
        <f>IF($A339&lt;&gt;"",IF(VLOOKUP($A339,[1]!Table1[#All],2,FALSE)="Direkte input",IF($A339&lt;&gt;"Grøntsager i drivhus",SUMIFS('Direkte input'!I$3:I$230,'Direkte input'!$F$3:$F$230,$D339,'Direkte input'!$C$3:$C$230,$B339,'Direkte input'!$D$3:$D$230,$C339,'Direkte input'!$A$3:$A$230,$A$1),SUMIFS('Direkte input'!I$3:I$230,'Direkte input'!$F$3:$F$230,$D339,'Direkte input'!$C$3:$C$230,$B339,'Direkte input'!$A$3:$A$230,$A$1)),IF(VLOOKUP($A339,[1]!Table1[#All],2,FALSE)="Resultat",SUMIF($F$1:$F338,$D339,J$1:J338)+SUMIF($F340:$F$512,$D339,J340:J$512),0))*'[1]Processer - data'!J339,"")*IF($C339&lt;&gt;"",IF($F339="Halm",Landbrug!E$16*Landbrug!E$17,IF(LEFT($D339,5)="Areal", IF($G339="Ton",Landbrug!E$18,1),1)),1)*IF($F339="Grøntsager",IF($A339="Grøntsager i drivhus",Landbrug!E$51,1-Landbrug!E$51),1)</f>
        <v>-7175.5765850533071</v>
      </c>
    </row>
    <row r="340" spans="1:10" x14ac:dyDescent="0.25">
      <c r="A340" t="str">
        <f>IF('[1]Processer - data'!A340&lt;&gt;"",'[1]Processer - data'!A340,"")</f>
        <v>Rapsmark</v>
      </c>
      <c r="B340" t="str">
        <f>IF('[1]Processer - data'!B340&lt;&gt;"",'[1]Processer - data'!B340,"")</f>
        <v>Økologisk</v>
      </c>
      <c r="C340" t="str">
        <f>IF('[1]Processer - data'!C340&lt;&gt;"",'[1]Processer - data'!C340,"")</f>
        <v>OC6</v>
      </c>
      <c r="D340" t="str">
        <f>IF('[1]Processer - data'!D340&lt;&gt;"",'[1]Processer - data'!D340,"")</f>
        <v>Areal-raps</v>
      </c>
      <c r="E340" t="str">
        <f>IF('[1]Processer - data'!E340&lt;&gt;"",'[1]Processer - data'!E340,"")</f>
        <v>Hektar</v>
      </c>
      <c r="F340" t="str">
        <f>IF('[1]Processer - data'!F340&lt;&gt;"",'[1]Processer - data'!F340,"")</f>
        <v>CO2 - atmosfære</v>
      </c>
      <c r="G340" t="str">
        <f>IF('[1]Processer - data'!G340&lt;&gt;"",'[1]Processer - data'!G340,"")</f>
        <v>t CO2-ækvivalenter</v>
      </c>
      <c r="H340" s="297">
        <f>IF($A340&lt;&gt;"",IF(VLOOKUP($A340,[1]!Table1[#All],2,FALSE)="Direkte input",IF($A340&lt;&gt;"Grøntsager i drivhus",SUMIFS('Direkte input'!G$3:G$230,'Direkte input'!$F$3:$F$230,$D340,'Direkte input'!$C$3:$C$230,$B340,'Direkte input'!$D$3:$D$230,$C340,'Direkte input'!$A$3:$A$230,$A$1),SUMIFS('Direkte input'!G$3:G$230,'Direkte input'!$F$3:$F$230,$D340,'Direkte input'!$C$3:$C$230,$B340,'Direkte input'!$A$3:$A$230,$A$1)),IF(VLOOKUP($A340,[1]!Table1[#All],2,FALSE)="Resultat",SUMIF($F$1:$F339,$D340,H$1:H339)+SUMIF($F341:$F$512,$D340,H341:H$512),0))*'[1]Processer - data'!H340,"")*IF($C340&lt;&gt;"",IF($F340="Halm",Landbrug!C$16*Landbrug!C$17,IF(LEFT($D340,5)="Areal", IF($G340="Ton",Landbrug!C$18,1),1)),1)*IF($F340="Grøntsager",IF($A340="Grøntsager i drivhus",Landbrug!C$51,1-Landbrug!C$51),1)</f>
        <v>1005.3495388941996</v>
      </c>
      <c r="I340" s="298">
        <f>IF($A340&lt;&gt;"",IF(VLOOKUP($A340,[1]!Table1[#All],2,FALSE)="Direkte input",IF($A340&lt;&gt;"Grøntsager i drivhus",SUMIFS('Direkte input'!H$3:H$230,'Direkte input'!$F$3:$F$230,$D340,'Direkte input'!$C$3:$C$230,$B340,'Direkte input'!$D$3:$D$230,$C340,'Direkte input'!$A$3:$A$230,$A$1),SUMIFS('Direkte input'!H$3:H$230,'Direkte input'!$F$3:$F$230,$D340,'Direkte input'!$C$3:$C$230,$B340,'Direkte input'!$A$3:$A$230,$A$1)),IF(VLOOKUP($A340,[1]!Table1[#All],2,FALSE)="Resultat",SUMIF($F$1:$F339,$D340,I$1:I339)+SUMIF($F341:$F$512,$D340,I341:I$512),0))*'[1]Processer - data'!I340,"")*IF($C340&lt;&gt;"",IF($F340="Halm",Landbrug!D$16*Landbrug!D$17,IF(LEFT($D340,5)="Areal", IF($G340="Ton",Landbrug!D$18,1),1)),1)*IF($F340="Grøntsager",IF($A340="Grøntsager i drivhus",Landbrug!D$51,1-Landbrug!D$51),1)</f>
        <v>1109.9829634693251</v>
      </c>
      <c r="J340" s="299">
        <f>IF($A340&lt;&gt;"",IF(VLOOKUP($A340,[1]!Table1[#All],2,FALSE)="Direkte input",IF($A340&lt;&gt;"Grøntsager i drivhus",SUMIFS('Direkte input'!I$3:I$230,'Direkte input'!$F$3:$F$230,$D340,'Direkte input'!$C$3:$C$230,$B340,'Direkte input'!$D$3:$D$230,$C340,'Direkte input'!$A$3:$A$230,$A$1),SUMIFS('Direkte input'!I$3:I$230,'Direkte input'!$F$3:$F$230,$D340,'Direkte input'!$C$3:$C$230,$B340,'Direkte input'!$A$3:$A$230,$A$1)),IF(VLOOKUP($A340,[1]!Table1[#All],2,FALSE)="Resultat",SUMIF($F$1:$F339,$D340,J$1:J339)+SUMIF($F341:$F$512,$D340,J341:J$512),0))*'[1]Processer - data'!J340,"")*IF($C340&lt;&gt;"",IF($F340="Halm",Landbrug!E$16*Landbrug!E$17,IF(LEFT($D340,5)="Areal", IF($G340="Ton",Landbrug!E$18,1),1)),1)*IF($F340="Grøntsager",IF($A340="Grøntsager i drivhus",Landbrug!E$51,1-Landbrug!E$51),1)</f>
        <v>1438.8668044972728</v>
      </c>
    </row>
    <row r="341" spans="1:10" x14ac:dyDescent="0.25">
      <c r="A341" t="str">
        <f>IF('[1]Processer - data'!A341&lt;&gt;"",'[1]Processer - data'!A341,"")</f>
        <v>Rapsmark</v>
      </c>
      <c r="B341" t="str">
        <f>IF('[1]Processer - data'!B341&lt;&gt;"",'[1]Processer - data'!B341,"")</f>
        <v>Økologisk</v>
      </c>
      <c r="C341" t="str">
        <f>IF('[1]Processer - data'!C341&lt;&gt;"",'[1]Processer - data'!C341,"")</f>
        <v>OC12</v>
      </c>
      <c r="D341" t="str">
        <f>IF('[1]Processer - data'!D341&lt;&gt;"",'[1]Processer - data'!D341,"")</f>
        <v>Areal-raps</v>
      </c>
      <c r="E341" t="str">
        <f>IF('[1]Processer - data'!E341&lt;&gt;"",'[1]Processer - data'!E341,"")</f>
        <v>Hektar</v>
      </c>
      <c r="F341" t="str">
        <f>IF('[1]Processer - data'!F341&lt;&gt;"",'[1]Processer - data'!F341,"")</f>
        <v>Raps</v>
      </c>
      <c r="G341" t="str">
        <f>IF('[1]Processer - data'!G341&lt;&gt;"",'[1]Processer - data'!G341,"")</f>
        <v>Ton</v>
      </c>
      <c r="H341" s="297">
        <f>IF($A341&lt;&gt;"",IF(VLOOKUP($A341,[1]!Table1[#All],2,FALSE)="Direkte input",IF($A341&lt;&gt;"Grøntsager i drivhus",SUMIFS('Direkte input'!G$3:G$230,'Direkte input'!$F$3:$F$230,$D341,'Direkte input'!$C$3:$C$230,$B341,'Direkte input'!$D$3:$D$230,$C341,'Direkte input'!$A$3:$A$230,$A$1),SUMIFS('Direkte input'!G$3:G$230,'Direkte input'!$F$3:$F$230,$D341,'Direkte input'!$C$3:$C$230,$B341,'Direkte input'!$A$3:$A$230,$A$1)),IF(VLOOKUP($A341,[1]!Table1[#All],2,FALSE)="Resultat",SUMIF($F$1:$F340,$D341,H$1:H340)+SUMIF($F342:$F$512,$D341,H342:H$512),0))*'[1]Processer - data'!H341,"")*IF($C341&lt;&gt;"",IF($F341="Halm",Landbrug!C$16*Landbrug!C$17,IF(LEFT($D341,5)="Areal", IF($G341="Ton",Landbrug!C$18,1),1)),1)*IF($F341="Grøntsager",IF($A341="Grøntsager i drivhus",Landbrug!C$51,1-Landbrug!C$51),1)</f>
        <v>92.449127809576808</v>
      </c>
      <c r="I341" s="298">
        <f>IF($A341&lt;&gt;"",IF(VLOOKUP($A341,[1]!Table1[#All],2,FALSE)="Direkte input",IF($A341&lt;&gt;"Grøntsager i drivhus",SUMIFS('Direkte input'!H$3:H$230,'Direkte input'!$F$3:$F$230,$D341,'Direkte input'!$C$3:$C$230,$B341,'Direkte input'!$D$3:$D$230,$C341,'Direkte input'!$A$3:$A$230,$A$1),SUMIFS('Direkte input'!H$3:H$230,'Direkte input'!$F$3:$F$230,$D341,'Direkte input'!$C$3:$C$230,$B341,'Direkte input'!$A$3:$A$230,$A$1)),IF(VLOOKUP($A341,[1]!Table1[#All],2,FALSE)="Resultat",SUMIF($F$1:$F340,$D341,I$1:I340)+SUMIF($F342:$F$512,$D341,I342:I$512),0))*'[1]Processer - data'!I341,"")*IF($C341&lt;&gt;"",IF($F341="Halm",Landbrug!D$16*Landbrug!D$17,IF(LEFT($D341,5)="Areal", IF($G341="Ton",Landbrug!D$18,1),1)),1)*IF($F341="Grøntsager",IF($A341="Grøntsager i drivhus",Landbrug!D$51,1-Landbrug!D$51),1)</f>
        <v>110.28642381958436</v>
      </c>
      <c r="J341" s="299">
        <f>IF($A341&lt;&gt;"",IF(VLOOKUP($A341,[1]!Table1[#All],2,FALSE)="Direkte input",IF($A341&lt;&gt;"Grøntsager i drivhus",SUMIFS('Direkte input'!I$3:I$230,'Direkte input'!$F$3:$F$230,$D341,'Direkte input'!$C$3:$C$230,$B341,'Direkte input'!$D$3:$D$230,$C341,'Direkte input'!$A$3:$A$230,$A$1),SUMIFS('Direkte input'!I$3:I$230,'Direkte input'!$F$3:$F$230,$D341,'Direkte input'!$C$3:$C$230,$B341,'Direkte input'!$A$3:$A$230,$A$1)),IF(VLOOKUP($A341,[1]!Table1[#All],2,FALSE)="Resultat",SUMIF($F$1:$F340,$D341,J$1:J340)+SUMIF($F342:$F$512,$D341,J342:J$512),0))*'[1]Processer - data'!J341,"")*IF($C341&lt;&gt;"",IF($F341="Halm",Landbrug!E$16*Landbrug!E$17,IF(LEFT($D341,5)="Areal", IF($G341="Ton",Landbrug!E$18,1),1)),1)*IF($F341="Grøntsager",IF($A341="Grøntsager i drivhus",Landbrug!E$51,1-Landbrug!E$51),1)</f>
        <v>153.36610553960301</v>
      </c>
    </row>
    <row r="342" spans="1:10" x14ac:dyDescent="0.25">
      <c r="A342" t="str">
        <f>IF('[1]Processer - data'!A342&lt;&gt;"",'[1]Processer - data'!A342,"")</f>
        <v>Rapsmark</v>
      </c>
      <c r="B342" t="str">
        <f>IF('[1]Processer - data'!B342&lt;&gt;"",'[1]Processer - data'!B342,"")</f>
        <v>Økologisk</v>
      </c>
      <c r="C342" t="str">
        <f>IF('[1]Processer - data'!C342&lt;&gt;"",'[1]Processer - data'!C342,"")</f>
        <v>OC12</v>
      </c>
      <c r="D342" t="str">
        <f>IF('[1]Processer - data'!D342&lt;&gt;"",'[1]Processer - data'!D342,"")</f>
        <v>Areal-raps</v>
      </c>
      <c r="E342" t="str">
        <f>IF('[1]Processer - data'!E342&lt;&gt;"",'[1]Processer - data'!E342,"")</f>
        <v>Hektar</v>
      </c>
      <c r="F342" t="str">
        <f>IF('[1]Processer - data'!F342&lt;&gt;"",'[1]Processer - data'!F342,"")</f>
        <v>Halm</v>
      </c>
      <c r="G342" t="str">
        <f>IF('[1]Processer - data'!G342&lt;&gt;"",'[1]Processer - data'!G342,"")</f>
        <v>Ton</v>
      </c>
      <c r="H342" s="297">
        <f>IF($A342&lt;&gt;"",IF(VLOOKUP($A342,[1]!Table1[#All],2,FALSE)="Direkte input",IF($A342&lt;&gt;"Grøntsager i drivhus",SUMIFS('Direkte input'!G$3:G$230,'Direkte input'!$F$3:$F$230,$D342,'Direkte input'!$C$3:$C$230,$B342,'Direkte input'!$D$3:$D$230,$C342,'Direkte input'!$A$3:$A$230,$A$1),SUMIFS('Direkte input'!G$3:G$230,'Direkte input'!$F$3:$F$230,$D342,'Direkte input'!$C$3:$C$230,$B342,'Direkte input'!$A$3:$A$230,$A$1)),IF(VLOOKUP($A342,[1]!Table1[#All],2,FALSE)="Resultat",SUMIF($F$1:$F341,$D342,H$1:H341)+SUMIF($F343:$F$512,$D342,H343:H$512),0))*'[1]Processer - data'!H342,"")*IF($C342&lt;&gt;"",IF($F342="Halm",Landbrug!C$16*Landbrug!C$17,IF(LEFT($D342,5)="Areal", IF($G342="Ton",Landbrug!C$18,1),1)),1)*IF($F342="Grøntsager",IF($A342="Grøntsager i drivhus",Landbrug!C$51,1-Landbrug!C$51),1)</f>
        <v>49.377541408734018</v>
      </c>
      <c r="I342" s="298">
        <f>IF($A342&lt;&gt;"",IF(VLOOKUP($A342,[1]!Table1[#All],2,FALSE)="Direkte input",IF($A342&lt;&gt;"Grøntsager i drivhus",SUMIFS('Direkte input'!H$3:H$230,'Direkte input'!$F$3:$F$230,$D342,'Direkte input'!$C$3:$C$230,$B342,'Direkte input'!$D$3:$D$230,$C342,'Direkte input'!$A$3:$A$230,$A$1),SUMIFS('Direkte input'!H$3:H$230,'Direkte input'!$F$3:$F$230,$D342,'Direkte input'!$C$3:$C$230,$B342,'Direkte input'!$A$3:$A$230,$A$1)),IF(VLOOKUP($A342,[1]!Table1[#All],2,FALSE)="Resultat",SUMIF($F$1:$F341,$D342,I$1:I341)+SUMIF($F343:$F$512,$D342,I343:I$512),0))*'[1]Processer - data'!I342,"")*IF($C342&lt;&gt;"",IF($F342="Halm",Landbrug!D$16*Landbrug!D$17,IF(LEFT($D342,5)="Areal", IF($G342="Ton",Landbrug!D$18,1),1)),1)*IF($F342="Grøntsager",IF($A342="Grøntsager i drivhus",Landbrug!D$51,1-Landbrug!D$51),1)</f>
        <v>54.628816276305301</v>
      </c>
      <c r="J342" s="299">
        <f>IF($A342&lt;&gt;"",IF(VLOOKUP($A342,[1]!Table1[#All],2,FALSE)="Direkte input",IF($A342&lt;&gt;"Grøntsager i drivhus",SUMIFS('Direkte input'!I$3:I$230,'Direkte input'!$F$3:$F$230,$D342,'Direkte input'!$C$3:$C$230,$B342,'Direkte input'!$D$3:$D$230,$C342,'Direkte input'!$A$3:$A$230,$A$1),SUMIFS('Direkte input'!I$3:I$230,'Direkte input'!$F$3:$F$230,$D342,'Direkte input'!$C$3:$C$230,$B342,'Direkte input'!$A$3:$A$230,$A$1)),IF(VLOOKUP($A342,[1]!Table1[#All],2,FALSE)="Resultat",SUMIF($F$1:$F341,$D342,J$1:J341)+SUMIF($F343:$F$512,$D342,J343:J$512),0))*'[1]Processer - data'!J342,"")*IF($C342&lt;&gt;"",IF($F342="Halm",Landbrug!E$16*Landbrug!E$17,IF(LEFT($D342,5)="Areal", IF($G342="Ton",Landbrug!E$18,1),1)),1)*IF($F342="Grøntsager",IF($A342="Grøntsager i drivhus",Landbrug!E$51,1-Landbrug!E$51),1)</f>
        <v>70.815132210025382</v>
      </c>
    </row>
    <row r="343" spans="1:10" x14ac:dyDescent="0.25">
      <c r="A343" t="str">
        <f>IF('[1]Processer - data'!A343&lt;&gt;"",'[1]Processer - data'!A343,"")</f>
        <v>Rapsmark</v>
      </c>
      <c r="B343" t="str">
        <f>IF('[1]Processer - data'!B343&lt;&gt;"",'[1]Processer - data'!B343,"")</f>
        <v>Økologisk</v>
      </c>
      <c r="C343" t="str">
        <f>IF('[1]Processer - data'!C343&lt;&gt;"",'[1]Processer - data'!C343,"")</f>
        <v>OC12</v>
      </c>
      <c r="D343" t="str">
        <f>IF('[1]Processer - data'!D343&lt;&gt;"",'[1]Processer - data'!D343,"")</f>
        <v>Areal-raps</v>
      </c>
      <c r="E343" t="str">
        <f>IF('[1]Processer - data'!E343&lt;&gt;"",'[1]Processer - data'!E343,"")</f>
        <v>Hektar</v>
      </c>
      <c r="F343" t="str">
        <f>IF('[1]Processer - data'!F343&lt;&gt;"",'[1]Processer - data'!F343,"")</f>
        <v>Gødning</v>
      </c>
      <c r="G343" t="str">
        <f>IF('[1]Processer - data'!G343&lt;&gt;"",'[1]Processer - data'!G343,"")</f>
        <v>kg N</v>
      </c>
      <c r="H343" s="297">
        <f>IF($A343&lt;&gt;"",IF(VLOOKUP($A343,[1]!Table1[#All],2,FALSE)="Direkte input",IF($A343&lt;&gt;"Grøntsager i drivhus",SUMIFS('Direkte input'!G$3:G$230,'Direkte input'!$F$3:$F$230,$D343,'Direkte input'!$C$3:$C$230,$B343,'Direkte input'!$D$3:$D$230,$C343,'Direkte input'!$A$3:$A$230,$A$1),SUMIFS('Direkte input'!G$3:G$230,'Direkte input'!$F$3:$F$230,$D343,'Direkte input'!$C$3:$C$230,$B343,'Direkte input'!$A$3:$A$230,$A$1)),IF(VLOOKUP($A343,[1]!Table1[#All],2,FALSE)="Resultat",SUMIF($F$1:$F342,$D343,H$1:H342)+SUMIF($F344:$F$512,$D343,H344:H$512),0))*'[1]Processer - data'!H343,"")*IF($C343&lt;&gt;"",IF($F343="Halm",Landbrug!C$16*Landbrug!C$17,IF(LEFT($D343,5)="Areal", IF($G343="Ton",Landbrug!C$18,1),1)),1)*IF($F343="Grøntsager",IF($A343="Grøntsager i drivhus",Landbrug!C$51,1-Landbrug!C$51),1)</f>
        <v>-1725.9171587826841</v>
      </c>
      <c r="I343" s="298">
        <f>IF($A343&lt;&gt;"",IF(VLOOKUP($A343,[1]!Table1[#All],2,FALSE)="Direkte input",IF($A343&lt;&gt;"Grøntsager i drivhus",SUMIFS('Direkte input'!H$3:H$230,'Direkte input'!$F$3:$F$230,$D343,'Direkte input'!$C$3:$C$230,$B343,'Direkte input'!$D$3:$D$230,$C343,'Direkte input'!$A$3:$A$230,$A$1),SUMIFS('Direkte input'!H$3:H$230,'Direkte input'!$F$3:$F$230,$D343,'Direkte input'!$C$3:$C$230,$B343,'Direkte input'!$A$3:$A$230,$A$1)),IF(VLOOKUP($A343,[1]!Table1[#All],2,FALSE)="Resultat",SUMIF($F$1:$F342,$D343,I$1:I342)+SUMIF($F344:$F$512,$D343,I344:I$512),0))*'[1]Processer - data'!I343,"")*IF($C343&lt;&gt;"",IF($F343="Halm",Landbrug!D$16*Landbrug!D$17,IF(LEFT($D343,5)="Areal", IF($G343="Ton",Landbrug!D$18,1),1)),1)*IF($F343="Grøntsager",IF($A343="Grøntsager i drivhus",Landbrug!D$51,1-Landbrug!D$51),1)</f>
        <v>-1920.6330471100566</v>
      </c>
      <c r="J343" s="299">
        <f>IF($A343&lt;&gt;"",IF(VLOOKUP($A343,[1]!Table1[#All],2,FALSE)="Direkte input",IF($A343&lt;&gt;"Grøntsager i drivhus",SUMIFS('Direkte input'!I$3:I$230,'Direkte input'!$F$3:$F$230,$D343,'Direkte input'!$C$3:$C$230,$B343,'Direkte input'!$D$3:$D$230,$C343,'Direkte input'!$A$3:$A$230,$A$1),SUMIFS('Direkte input'!I$3:I$230,'Direkte input'!$F$3:$F$230,$D343,'Direkte input'!$C$3:$C$230,$B343,'Direkte input'!$A$3:$A$230,$A$1)),IF(VLOOKUP($A343,[1]!Table1[#All],2,FALSE)="Resultat",SUMIF($F$1:$F342,$D343,J$1:J342)+SUMIF($F344:$F$512,$D343,J344:J$512),0))*'[1]Processer - data'!J343,"")*IF($C343&lt;&gt;"",IF($F343="Halm",Landbrug!E$16*Landbrug!E$17,IF(LEFT($D343,5)="Areal", IF($G343="Ton",Landbrug!E$18,1),1)),1)*IF($F343="Grøntsager",IF($A343="Grøntsager i drivhus",Landbrug!E$51,1-Landbrug!E$51),1)</f>
        <v>-2489.7095055130362</v>
      </c>
    </row>
    <row r="344" spans="1:10" x14ac:dyDescent="0.25">
      <c r="A344" t="str">
        <f>IF('[1]Processer - data'!A344&lt;&gt;"",'[1]Processer - data'!A344,"")</f>
        <v>Rapsmark</v>
      </c>
      <c r="B344" t="str">
        <f>IF('[1]Processer - data'!B344&lt;&gt;"",'[1]Processer - data'!B344,"")</f>
        <v>Økologisk</v>
      </c>
      <c r="C344" t="str">
        <f>IF('[1]Processer - data'!C344&lt;&gt;"",'[1]Processer - data'!C344,"")</f>
        <v>OC12</v>
      </c>
      <c r="D344" t="str">
        <f>IF('[1]Processer - data'!D344&lt;&gt;"",'[1]Processer - data'!D344,"")</f>
        <v>Areal-raps</v>
      </c>
      <c r="E344" t="str">
        <f>IF('[1]Processer - data'!E344&lt;&gt;"",'[1]Processer - data'!E344,"")</f>
        <v>Hektar</v>
      </c>
      <c r="F344" t="str">
        <f>IF('[1]Processer - data'!F344&lt;&gt;"",'[1]Processer - data'!F344,"")</f>
        <v>CO2 - atmosfære</v>
      </c>
      <c r="G344" t="str">
        <f>IF('[1]Processer - data'!G344&lt;&gt;"",'[1]Processer - data'!G344,"")</f>
        <v>t CO2-ækvivalenter</v>
      </c>
      <c r="H344" s="297">
        <f>IF($A344&lt;&gt;"",IF(VLOOKUP($A344,[1]!Table1[#All],2,FALSE)="Direkte input",IF($A344&lt;&gt;"Grøntsager i drivhus",SUMIFS('Direkte input'!G$3:G$230,'Direkte input'!$F$3:$F$230,$D344,'Direkte input'!$C$3:$C$230,$B344,'Direkte input'!$D$3:$D$230,$C344,'Direkte input'!$A$3:$A$230,$A$1),SUMIFS('Direkte input'!G$3:G$230,'Direkte input'!$F$3:$F$230,$D344,'Direkte input'!$C$3:$C$230,$B344,'Direkte input'!$A$3:$A$230,$A$1)),IF(VLOOKUP($A344,[1]!Table1[#All],2,FALSE)="Resultat",SUMIF($F$1:$F343,$D344,H$1:H343)+SUMIF($F345:$F$512,$D344,H345:H$512),0))*'[1]Processer - data'!H344,"")*IF($C344&lt;&gt;"",IF($F344="Halm",Landbrug!C$16*Landbrug!C$17,IF(LEFT($D344,5)="Areal", IF($G344="Ton",Landbrug!C$18,1),1)),1)*IF($F344="Grøntsager",IF($A344="Grøntsager i drivhus",Landbrug!C$51,1-Landbrug!C$51),1)</f>
        <v>1117.4582132816968</v>
      </c>
      <c r="I344" s="298">
        <f>IF($A344&lt;&gt;"",IF(VLOOKUP($A344,[1]!Table1[#All],2,FALSE)="Direkte input",IF($A344&lt;&gt;"Grøntsager i drivhus",SUMIFS('Direkte input'!H$3:H$230,'Direkte input'!$F$3:$F$230,$D344,'Direkte input'!$C$3:$C$230,$B344,'Direkte input'!$D$3:$D$230,$C344,'Direkte input'!$A$3:$A$230,$A$1),SUMIFS('Direkte input'!H$3:H$230,'Direkte input'!$F$3:$F$230,$D344,'Direkte input'!$C$3:$C$230,$B344,'Direkte input'!$A$3:$A$230,$A$1)),IF(VLOOKUP($A344,[1]!Table1[#All],2,FALSE)="Resultat",SUMIF($F$1:$F343,$D344,I$1:I343)+SUMIF($F345:$F$512,$D344,I345:I$512),0))*'[1]Processer - data'!I344,"")*IF($C344&lt;&gt;"",IF($F344="Halm",Landbrug!D$16*Landbrug!D$17,IF(LEFT($D344,5)="Areal", IF($G344="Ton",Landbrug!D$18,1),1)),1)*IF($F344="Grøntsager",IF($A344="Grøntsager i drivhus",Landbrug!D$51,1-Landbrug!D$51),1)</f>
        <v>1243.5284986141237</v>
      </c>
      <c r="J344" s="299">
        <f>IF($A344&lt;&gt;"",IF(VLOOKUP($A344,[1]!Table1[#All],2,FALSE)="Direkte input",IF($A344&lt;&gt;"Grøntsager i drivhus",SUMIFS('Direkte input'!I$3:I$230,'Direkte input'!$F$3:$F$230,$D344,'Direkte input'!$C$3:$C$230,$B344,'Direkte input'!$D$3:$D$230,$C344,'Direkte input'!$A$3:$A$230,$A$1),SUMIFS('Direkte input'!I$3:I$230,'Direkte input'!$F$3:$F$230,$D344,'Direkte input'!$C$3:$C$230,$B344,'Direkte input'!$A$3:$A$230,$A$1)),IF(VLOOKUP($A344,[1]!Table1[#All],2,FALSE)="Resultat",SUMIF($F$1:$F343,$D344,J$1:J343)+SUMIF($F345:$F$512,$D344,J345:J$512),0))*'[1]Processer - data'!J344,"")*IF($C344&lt;&gt;"",IF($F344="Halm",Landbrug!E$16*Landbrug!E$17,IF(LEFT($D344,5)="Areal", IF($G344="Ton",Landbrug!E$18,1),1)),1)*IF($F344="Grøntsager",IF($A344="Grøntsager i drivhus",Landbrug!E$51,1-Landbrug!E$51),1)</f>
        <v>1611.9813870923822</v>
      </c>
    </row>
    <row r="345" spans="1:10" x14ac:dyDescent="0.25">
      <c r="A345" t="str">
        <f>IF('[1]Processer - data'!A345&lt;&gt;"",'[1]Processer - data'!A345,"")</f>
        <v>Frøgræsmark</v>
      </c>
      <c r="B345" t="str">
        <f>IF('[1]Processer - data'!B345&lt;&gt;"",'[1]Processer - data'!B345,"")</f>
        <v>Konventionel</v>
      </c>
      <c r="C345" t="str">
        <f>IF('[1]Processer - data'!C345&lt;&gt;"",'[1]Processer - data'!C345,"")</f>
        <v>JB1-10</v>
      </c>
      <c r="D345" t="str">
        <f>IF('[1]Processer - data'!D345&lt;&gt;"",'[1]Processer - data'!D345,"")</f>
        <v>Areal-frøgræs</v>
      </c>
      <c r="E345" t="str">
        <f>IF('[1]Processer - data'!E345&lt;&gt;"",'[1]Processer - data'!E345,"")</f>
        <v>Hektar</v>
      </c>
      <c r="F345" t="str">
        <f>IF('[1]Processer - data'!F345&lt;&gt;"",'[1]Processer - data'!F345,"")</f>
        <v>Frø</v>
      </c>
      <c r="G345" t="str">
        <f>IF('[1]Processer - data'!G345&lt;&gt;"",'[1]Processer - data'!G345,"")</f>
        <v>Ton</v>
      </c>
      <c r="H345" s="297">
        <f>IF($A345&lt;&gt;"",IF(VLOOKUP($A345,[1]!Table1[#All],2,FALSE)="Direkte input",IF($A345&lt;&gt;"Grøntsager i drivhus",SUMIFS('Direkte input'!G$3:G$230,'Direkte input'!$F$3:$F$230,$D345,'Direkte input'!$C$3:$C$230,$B345,'Direkte input'!$D$3:$D$230,$C345,'Direkte input'!$A$3:$A$230,$A$1),SUMIFS('Direkte input'!G$3:G$230,'Direkte input'!$F$3:$F$230,$D345,'Direkte input'!$C$3:$C$230,$B345,'Direkte input'!$A$3:$A$230,$A$1)),IF(VLOOKUP($A345,[1]!Table1[#All],2,FALSE)="Resultat",SUMIF($F$1:$F344,$D345,H$1:H344)+SUMIF($F346:$F$512,$D345,H346:H$512),0))*'[1]Processer - data'!H345,"")*IF($C345&lt;&gt;"",IF($F345="Halm",Landbrug!C$16*Landbrug!C$17,IF(LEFT($D345,5)="Areal", IF($G345="Ton",Landbrug!C$18,1),1)),1)*IF($F345="Grøntsager",IF($A345="Grøntsager i drivhus",Landbrug!C$51,1-Landbrug!C$51),1)</f>
        <v>527573.06517282699</v>
      </c>
      <c r="I345" s="298">
        <f>IF($A345&lt;&gt;"",IF(VLOOKUP($A345,[1]!Table1[#All],2,FALSE)="Direkte input",IF($A345&lt;&gt;"Grøntsager i drivhus",SUMIFS('Direkte input'!H$3:H$230,'Direkte input'!$F$3:$F$230,$D345,'Direkte input'!$C$3:$C$230,$B345,'Direkte input'!$D$3:$D$230,$C345,'Direkte input'!$A$3:$A$230,$A$1),SUMIFS('Direkte input'!H$3:H$230,'Direkte input'!$F$3:$F$230,$D345,'Direkte input'!$C$3:$C$230,$B345,'Direkte input'!$A$3:$A$230,$A$1)),IF(VLOOKUP($A345,[1]!Table1[#All],2,FALSE)="Resultat",SUMIF($F$1:$F344,$D345,I$1:I344)+SUMIF($F346:$F$512,$D345,I346:I$512),0))*'[1]Processer - data'!I345,"")*IF($C345&lt;&gt;"",IF($F345="Halm",Landbrug!D$16*Landbrug!D$17,IF(LEFT($D345,5)="Areal", IF($G345="Ton",Landbrug!D$18,1),1)),1)*IF($F345="Grøntsager",IF($A345="Grøntsager i drivhus",Landbrug!D$51,1-Landbrug!D$51),1)</f>
        <v>548974.35776007047</v>
      </c>
      <c r="J345" s="299">
        <f>IF($A345&lt;&gt;"",IF(VLOOKUP($A345,[1]!Table1[#All],2,FALSE)="Direkte input",IF($A345&lt;&gt;"Grøntsager i drivhus",SUMIFS('Direkte input'!I$3:I$230,'Direkte input'!$F$3:$F$230,$D345,'Direkte input'!$C$3:$C$230,$B345,'Direkte input'!$D$3:$D$230,$C345,'Direkte input'!$A$3:$A$230,$A$1),SUMIFS('Direkte input'!I$3:I$230,'Direkte input'!$F$3:$F$230,$D345,'Direkte input'!$C$3:$C$230,$B345,'Direkte input'!$A$3:$A$230,$A$1)),IF(VLOOKUP($A345,[1]!Table1[#All],2,FALSE)="Resultat",SUMIF($F$1:$F344,$D345,J$1:J344)+SUMIF($F346:$F$512,$D345,J346:J$512),0))*'[1]Processer - data'!J345,"")*IF($C345&lt;&gt;"",IF($F345="Halm",Landbrug!E$16*Landbrug!E$17,IF(LEFT($D345,5)="Areal", IF($G345="Ton",Landbrug!E$18,1),1)),1)*IF($F345="Grøntsager",IF($A345="Grøntsager i drivhus",Landbrug!E$51,1-Landbrug!E$51),1)</f>
        <v>556505.28658717766</v>
      </c>
    </row>
    <row r="346" spans="1:10" x14ac:dyDescent="0.25">
      <c r="A346" t="str">
        <f>IF('[1]Processer - data'!A346&lt;&gt;"",'[1]Processer - data'!A346,"")</f>
        <v>Frøgræsmark</v>
      </c>
      <c r="B346" t="str">
        <f>IF('[1]Processer - data'!B346&lt;&gt;"",'[1]Processer - data'!B346,"")</f>
        <v>Konventionel</v>
      </c>
      <c r="C346" t="str">
        <f>IF('[1]Processer - data'!C346&lt;&gt;"",'[1]Processer - data'!C346,"")</f>
        <v>JB1-10</v>
      </c>
      <c r="D346" t="str">
        <f>IF('[1]Processer - data'!D346&lt;&gt;"",'[1]Processer - data'!D346,"")</f>
        <v>Areal-frøgræs</v>
      </c>
      <c r="E346" t="str">
        <f>IF('[1]Processer - data'!E346&lt;&gt;"",'[1]Processer - data'!E346,"")</f>
        <v>Hektar</v>
      </c>
      <c r="F346" t="str">
        <f>IF('[1]Processer - data'!F346&lt;&gt;"",'[1]Processer - data'!F346,"")</f>
        <v>Halm</v>
      </c>
      <c r="G346" t="str">
        <f>IF('[1]Processer - data'!G346&lt;&gt;"",'[1]Processer - data'!G346,"")</f>
        <v>Ton</v>
      </c>
      <c r="H346" s="297">
        <f>IF($A346&lt;&gt;"",IF(VLOOKUP($A346,[1]!Table1[#All],2,FALSE)="Direkte input",IF($A346&lt;&gt;"Grøntsager i drivhus",SUMIFS('Direkte input'!G$3:G$230,'Direkte input'!$F$3:$F$230,$D346,'Direkte input'!$C$3:$C$230,$B346,'Direkte input'!$D$3:$D$230,$C346,'Direkte input'!$A$3:$A$230,$A$1),SUMIFS('Direkte input'!G$3:G$230,'Direkte input'!$F$3:$F$230,$D346,'Direkte input'!$C$3:$C$230,$B346,'Direkte input'!$A$3:$A$230,$A$1)),IF(VLOOKUP($A346,[1]!Table1[#All],2,FALSE)="Resultat",SUMIF($F$1:$F345,$D346,H$1:H345)+SUMIF($F347:$F$512,$D346,H347:H$512),0))*'[1]Processer - data'!H346,"")*IF($C346&lt;&gt;"",IF($F346="Halm",Landbrug!C$16*Landbrug!C$17,IF(LEFT($D346,5)="Areal", IF($G346="Ton",Landbrug!C$18,1),1)),1)*IF($F346="Grøntsager",IF($A346="Grøntsager i drivhus",Landbrug!C$51,1-Landbrug!C$51),1)</f>
        <v>87645.401770409182</v>
      </c>
      <c r="I346" s="298">
        <f>IF($A346&lt;&gt;"",IF(VLOOKUP($A346,[1]!Table1[#All],2,FALSE)="Direkte input",IF($A346&lt;&gt;"Grøntsager i drivhus",SUMIFS('Direkte input'!H$3:H$230,'Direkte input'!$F$3:$F$230,$D346,'Direkte input'!$C$3:$C$230,$B346,'Direkte input'!$D$3:$D$230,$C346,'Direkte input'!$A$3:$A$230,$A$1),SUMIFS('Direkte input'!H$3:H$230,'Direkte input'!$F$3:$F$230,$D346,'Direkte input'!$C$3:$C$230,$B346,'Direkte input'!$A$3:$A$230,$A$1)),IF(VLOOKUP($A346,[1]!Table1[#All],2,FALSE)="Resultat",SUMIF($F$1:$F345,$D346,I$1:I345)+SUMIF($F347:$F$512,$D346,I347:I$512),0))*'[1]Processer - data'!I346,"")*IF($C346&lt;&gt;"",IF($F346="Halm",Landbrug!D$16*Landbrug!D$17,IF(LEFT($D346,5)="Areal", IF($G346="Ton",Landbrug!D$18,1),1)),1)*IF($F346="Grøntsager",IF($A346="Grøntsager i drivhus",Landbrug!D$51,1-Landbrug!D$51),1)</f>
        <v>84580.777441073995</v>
      </c>
      <c r="J346" s="299">
        <f>IF($A346&lt;&gt;"",IF(VLOOKUP($A346,[1]!Table1[#All],2,FALSE)="Direkte input",IF($A346&lt;&gt;"Grøntsager i drivhus",SUMIFS('Direkte input'!I$3:I$230,'Direkte input'!$F$3:$F$230,$D346,'Direkte input'!$C$3:$C$230,$B346,'Direkte input'!$D$3:$D$230,$C346,'Direkte input'!$A$3:$A$230,$A$1),SUMIFS('Direkte input'!I$3:I$230,'Direkte input'!$F$3:$F$230,$D346,'Direkte input'!$C$3:$C$230,$B346,'Direkte input'!$A$3:$A$230,$A$1)),IF(VLOOKUP($A346,[1]!Table1[#All],2,FALSE)="Resultat",SUMIF($F$1:$F345,$D346,J$1:J345)+SUMIF($F347:$F$512,$D346,J347:J$512),0))*'[1]Processer - data'!J346,"")*IF($C346&lt;&gt;"",IF($F346="Halm",Landbrug!E$16*Landbrug!E$17,IF(LEFT($D346,5)="Areal", IF($G346="Ton",Landbrug!E$18,1),1)),1)*IF($F346="Grøntsager",IF($A346="Grøntsager i drivhus",Landbrug!E$51,1-Landbrug!E$51),1)</f>
        <v>79925.590348146099</v>
      </c>
    </row>
    <row r="347" spans="1:10" x14ac:dyDescent="0.25">
      <c r="A347" t="str">
        <f>IF('[1]Processer - data'!A347&lt;&gt;"",'[1]Processer - data'!A347,"")</f>
        <v>Frøgræsmark</v>
      </c>
      <c r="B347" t="str">
        <f>IF('[1]Processer - data'!B347&lt;&gt;"",'[1]Processer - data'!B347,"")</f>
        <v>Konventionel</v>
      </c>
      <c r="C347" t="str">
        <f>IF('[1]Processer - data'!C347&lt;&gt;"",'[1]Processer - data'!C347,"")</f>
        <v>JB1-10</v>
      </c>
      <c r="D347" t="str">
        <f>IF('[1]Processer - data'!D347&lt;&gt;"",'[1]Processer - data'!D347,"")</f>
        <v>Areal-frøgræs</v>
      </c>
      <c r="E347" t="str">
        <f>IF('[1]Processer - data'!E347&lt;&gt;"",'[1]Processer - data'!E347,"")</f>
        <v>Hektar</v>
      </c>
      <c r="F347" t="str">
        <f>IF('[1]Processer - data'!F347&lt;&gt;"",'[1]Processer - data'!F347,"")</f>
        <v>Gødning</v>
      </c>
      <c r="G347" t="str">
        <f>IF('[1]Processer - data'!G347&lt;&gt;"",'[1]Processer - data'!G347,"")</f>
        <v>kg N</v>
      </c>
      <c r="H347" s="297">
        <f>IF($A347&lt;&gt;"",IF(VLOOKUP($A347,[1]!Table1[#All],2,FALSE)="Direkte input",IF($A347&lt;&gt;"Grøntsager i drivhus",SUMIFS('Direkte input'!G$3:G$230,'Direkte input'!$F$3:$F$230,$D347,'Direkte input'!$C$3:$C$230,$B347,'Direkte input'!$D$3:$D$230,$C347,'Direkte input'!$A$3:$A$230,$A$1),SUMIFS('Direkte input'!G$3:G$230,'Direkte input'!$F$3:$F$230,$D347,'Direkte input'!$C$3:$C$230,$B347,'Direkte input'!$A$3:$A$230,$A$1)),IF(VLOOKUP($A347,[1]!Table1[#All],2,FALSE)="Resultat",SUMIF($F$1:$F346,$D347,H$1:H346)+SUMIF($F348:$F$512,$D347,H348:H$512),0))*'[1]Processer - data'!H347,"")*IF($C347&lt;&gt;"",IF($F347="Halm",Landbrug!C$16*Landbrug!C$17,IF(LEFT($D347,5)="Areal", IF($G347="Ton",Landbrug!C$18,1),1)),1)*IF($F347="Grøntsager",IF($A347="Grøntsager i drivhus",Landbrug!C$51,1-Landbrug!C$51),1)</f>
        <v>-5538297.3567955922</v>
      </c>
      <c r="I347" s="298">
        <f>IF($A347&lt;&gt;"",IF(VLOOKUP($A347,[1]!Table1[#All],2,FALSE)="Direkte input",IF($A347&lt;&gt;"Grøntsager i drivhus",SUMIFS('Direkte input'!H$3:H$230,'Direkte input'!$F$3:$F$230,$D347,'Direkte input'!$C$3:$C$230,$B347,'Direkte input'!$D$3:$D$230,$C347,'Direkte input'!$A$3:$A$230,$A$1),SUMIFS('Direkte input'!H$3:H$230,'Direkte input'!$F$3:$F$230,$D347,'Direkte input'!$C$3:$C$230,$B347,'Direkte input'!$A$3:$A$230,$A$1)),IF(VLOOKUP($A347,[1]!Table1[#All],2,FALSE)="Resultat",SUMIF($F$1:$F346,$D347,I$1:I346)+SUMIF($F348:$F$512,$D347,I348:I$512),0))*'[1]Processer - data'!I347,"")*IF($C347&lt;&gt;"",IF($F347="Halm",Landbrug!D$16*Landbrug!D$17,IF(LEFT($D347,5)="Areal", IF($G347="Ton",Landbrug!D$18,1),1)),1)*IF($F347="Grøntsager",IF($A347="Grøntsager i drivhus",Landbrug!D$51,1-Landbrug!D$51),1)</f>
        <v>-5375896.871254704</v>
      </c>
      <c r="J347" s="299">
        <f>IF($A347&lt;&gt;"",IF(VLOOKUP($A347,[1]!Table1[#All],2,FALSE)="Direkte input",IF($A347&lt;&gt;"Grøntsager i drivhus",SUMIFS('Direkte input'!I$3:I$230,'Direkte input'!$F$3:$F$230,$D347,'Direkte input'!$C$3:$C$230,$B347,'Direkte input'!$D$3:$D$230,$C347,'Direkte input'!$A$3:$A$230,$A$1),SUMIFS('Direkte input'!I$3:I$230,'Direkte input'!$F$3:$F$230,$D347,'Direkte input'!$C$3:$C$230,$B347,'Direkte input'!$A$3:$A$230,$A$1)),IF(VLOOKUP($A347,[1]!Table1[#All],2,FALSE)="Resultat",SUMIF($F$1:$F346,$D347,J$1:J346)+SUMIF($F348:$F$512,$D347,J348:J$512),0))*'[1]Processer - data'!J347,"")*IF($C347&lt;&gt;"",IF($F347="Halm",Landbrug!E$16*Landbrug!E$17,IF(LEFT($D347,5)="Areal", IF($G347="Ton",Landbrug!E$18,1),1)),1)*IF($F347="Grøntsager",IF($A347="Grøntsager i drivhus",Landbrug!E$51,1-Landbrug!E$51),1)</f>
        <v>-5080016.3356872527</v>
      </c>
    </row>
    <row r="348" spans="1:10" x14ac:dyDescent="0.25">
      <c r="A348" t="str">
        <f>IF('[1]Processer - data'!A348&lt;&gt;"",'[1]Processer - data'!A348,"")</f>
        <v>Frøgræsmark</v>
      </c>
      <c r="B348" t="str">
        <f>IF('[1]Processer - data'!B348&lt;&gt;"",'[1]Processer - data'!B348,"")</f>
        <v>Konventionel</v>
      </c>
      <c r="C348" t="str">
        <f>IF('[1]Processer - data'!C348&lt;&gt;"",'[1]Processer - data'!C348,"")</f>
        <v>JB1-10</v>
      </c>
      <c r="D348" t="str">
        <f>IF('[1]Processer - data'!D348&lt;&gt;"",'[1]Processer - data'!D348,"")</f>
        <v>Areal-frøgræs</v>
      </c>
      <c r="E348" t="str">
        <f>IF('[1]Processer - data'!E348&lt;&gt;"",'[1]Processer - data'!E348,"")</f>
        <v>Hektar</v>
      </c>
      <c r="F348" t="str">
        <f>IF('[1]Processer - data'!F348&lt;&gt;"",'[1]Processer - data'!F348,"")</f>
        <v>CO2 - atmosfære</v>
      </c>
      <c r="G348" t="str">
        <f>IF('[1]Processer - data'!G348&lt;&gt;"",'[1]Processer - data'!G348,"")</f>
        <v>t CO2-ækvivalenter</v>
      </c>
      <c r="H348" s="297">
        <f>IF($A348&lt;&gt;"",IF(VLOOKUP($A348,[1]!Table1[#All],2,FALSE)="Direkte input",IF($A348&lt;&gt;"Grøntsager i drivhus",SUMIFS('Direkte input'!G$3:G$230,'Direkte input'!$F$3:$F$230,$D348,'Direkte input'!$C$3:$C$230,$B348,'Direkte input'!$D$3:$D$230,$C348,'Direkte input'!$A$3:$A$230,$A$1),SUMIFS('Direkte input'!G$3:G$230,'Direkte input'!$F$3:$F$230,$D348,'Direkte input'!$C$3:$C$230,$B348,'Direkte input'!$A$3:$A$230,$A$1)),IF(VLOOKUP($A348,[1]!Table1[#All],2,FALSE)="Resultat",SUMIF($F$1:$F347,$D348,H$1:H347)+SUMIF($F349:$F$512,$D348,H349:H$512),0))*'[1]Processer - data'!H348,"")*IF($C348&lt;&gt;"",IF($F348="Halm",Landbrug!C$16*Landbrug!C$17,IF(LEFT($D348,5)="Areal", IF($G348="Ton",Landbrug!C$18,1),1)),1)*IF($F348="Grøntsager",IF($A348="Grøntsager i drivhus",Landbrug!C$51,1-Landbrug!C$51),1)</f>
        <v>83949.303370705005</v>
      </c>
      <c r="I348" s="298">
        <f>IF($A348&lt;&gt;"",IF(VLOOKUP($A348,[1]!Table1[#All],2,FALSE)="Direkte input",IF($A348&lt;&gt;"Grøntsager i drivhus",SUMIFS('Direkte input'!H$3:H$230,'Direkte input'!$F$3:$F$230,$D348,'Direkte input'!$C$3:$C$230,$B348,'Direkte input'!$D$3:$D$230,$C348,'Direkte input'!$A$3:$A$230,$A$1),SUMIFS('Direkte input'!H$3:H$230,'Direkte input'!$F$3:$F$230,$D348,'Direkte input'!$C$3:$C$230,$B348,'Direkte input'!$A$3:$A$230,$A$1)),IF(VLOOKUP($A348,[1]!Table1[#All],2,FALSE)="Resultat",SUMIF($F$1:$F347,$D348,I$1:I347)+SUMIF($F349:$F$512,$D348,I349:I$512),0))*'[1]Processer - data'!I348,"")*IF($C348&lt;&gt;"",IF($F348="Halm",Landbrug!D$16*Landbrug!D$17,IF(LEFT($D348,5)="Areal", IF($G348="Ton",Landbrug!D$18,1),1)),1)*IF($F348="Grøntsager",IF($A348="Grøntsager i drivhus",Landbrug!D$51,1-Landbrug!D$51),1)</f>
        <v>81487.642909030197</v>
      </c>
      <c r="J348" s="299">
        <f>IF($A348&lt;&gt;"",IF(VLOOKUP($A348,[1]!Table1[#All],2,FALSE)="Direkte input",IF($A348&lt;&gt;"Grøntsager i drivhus",SUMIFS('Direkte input'!I$3:I$230,'Direkte input'!$F$3:$F$230,$D348,'Direkte input'!$C$3:$C$230,$B348,'Direkte input'!$D$3:$D$230,$C348,'Direkte input'!$A$3:$A$230,$A$1),SUMIFS('Direkte input'!I$3:I$230,'Direkte input'!$F$3:$F$230,$D348,'Direkte input'!$C$3:$C$230,$B348,'Direkte input'!$A$3:$A$230,$A$1)),IF(VLOOKUP($A348,[1]!Table1[#All],2,FALSE)="Resultat",SUMIF($F$1:$F347,$D348,J$1:J347)+SUMIF($F349:$F$512,$D348,J349:J$512),0))*'[1]Processer - data'!J348,"")*IF($C348&lt;&gt;"",IF($F348="Halm",Landbrug!E$16*Landbrug!E$17,IF(LEFT($D348,5)="Areal", IF($G348="Ton",Landbrug!E$18,1),1)),1)*IF($F348="Grøntsager",IF($A348="Grøntsager i drivhus",Landbrug!E$51,1-Landbrug!E$51),1)</f>
        <v>77002.696861241566</v>
      </c>
    </row>
    <row r="349" spans="1:10" x14ac:dyDescent="0.25">
      <c r="A349" t="str">
        <f>IF('[1]Processer - data'!A349&lt;&gt;"",'[1]Processer - data'!A349,"")</f>
        <v>Frøgræsmark</v>
      </c>
      <c r="B349" t="str">
        <f>IF('[1]Processer - data'!B349&lt;&gt;"",'[1]Processer - data'!B349,"")</f>
        <v>Konventionel</v>
      </c>
      <c r="C349" t="str">
        <f>IF('[1]Processer - data'!C349&lt;&gt;"",'[1]Processer - data'!C349,"")</f>
        <v>OC6</v>
      </c>
      <c r="D349" t="str">
        <f>IF('[1]Processer - data'!D349&lt;&gt;"",'[1]Processer - data'!D349,"")</f>
        <v>Areal-frøgræs</v>
      </c>
      <c r="E349" t="str">
        <f>IF('[1]Processer - data'!E349&lt;&gt;"",'[1]Processer - data'!E349,"")</f>
        <v>Hektar</v>
      </c>
      <c r="F349" t="str">
        <f>IF('[1]Processer - data'!F349&lt;&gt;"",'[1]Processer - data'!F349,"")</f>
        <v>Frø</v>
      </c>
      <c r="G349" t="str">
        <f>IF('[1]Processer - data'!G349&lt;&gt;"",'[1]Processer - data'!G349,"")</f>
        <v>Ton</v>
      </c>
      <c r="H349" s="297">
        <f>IF($A349&lt;&gt;"",IF(VLOOKUP($A349,[1]!Table1[#All],2,FALSE)="Direkte input",IF($A349&lt;&gt;"Grøntsager i drivhus",SUMIFS('Direkte input'!G$3:G$230,'Direkte input'!$F$3:$F$230,$D349,'Direkte input'!$C$3:$C$230,$B349,'Direkte input'!$D$3:$D$230,$C349,'Direkte input'!$A$3:$A$230,$A$1),SUMIFS('Direkte input'!G$3:G$230,'Direkte input'!$F$3:$F$230,$D349,'Direkte input'!$C$3:$C$230,$B349,'Direkte input'!$A$3:$A$230,$A$1)),IF(VLOOKUP($A349,[1]!Table1[#All],2,FALSE)="Resultat",SUMIF($F$1:$F348,$D349,H$1:H348)+SUMIF($F350:$F$512,$D349,H350:H$512),0))*'[1]Processer - data'!H349,"")*IF($C349&lt;&gt;"",IF($F349="Halm",Landbrug!C$16*Landbrug!C$17,IF(LEFT($D349,5)="Areal", IF($G349="Ton",Landbrug!C$18,1),1)),1)*IF($F349="Grøntsager",IF($A349="Grøntsager i drivhus",Landbrug!C$51,1-Landbrug!C$51),1)</f>
        <v>26586.738772371802</v>
      </c>
      <c r="I349" s="298">
        <f>IF($A349&lt;&gt;"",IF(VLOOKUP($A349,[1]!Table1[#All],2,FALSE)="Direkte input",IF($A349&lt;&gt;"Grøntsager i drivhus",SUMIFS('Direkte input'!H$3:H$230,'Direkte input'!$F$3:$F$230,$D349,'Direkte input'!$C$3:$C$230,$B349,'Direkte input'!$D$3:$D$230,$C349,'Direkte input'!$A$3:$A$230,$A$1),SUMIFS('Direkte input'!H$3:H$230,'Direkte input'!$F$3:$F$230,$D349,'Direkte input'!$C$3:$C$230,$B349,'Direkte input'!$A$3:$A$230,$A$1)),IF(VLOOKUP($A349,[1]!Table1[#All],2,FALSE)="Resultat",SUMIF($F$1:$F348,$D349,I$1:I348)+SUMIF($F350:$F$512,$D349,I350:I$512),0))*'[1]Processer - data'!I349,"")*IF($C349&lt;&gt;"",IF($F349="Halm",Landbrug!D$16*Landbrug!D$17,IF(LEFT($D349,5)="Areal", IF($G349="Ton",Landbrug!D$18,1),1)),1)*IF($F349="Grøntsager",IF($A349="Grøntsager i drivhus",Landbrug!D$51,1-Landbrug!D$51),1)</f>
        <v>25779.902251146392</v>
      </c>
      <c r="J349" s="299">
        <f>IF($A349&lt;&gt;"",IF(VLOOKUP($A349,[1]!Table1[#All],2,FALSE)="Direkte input",IF($A349&lt;&gt;"Grøntsager i drivhus",SUMIFS('Direkte input'!I$3:I$230,'Direkte input'!$F$3:$F$230,$D349,'Direkte input'!$C$3:$C$230,$B349,'Direkte input'!$D$3:$D$230,$C349,'Direkte input'!$A$3:$A$230,$A$1),SUMIFS('Direkte input'!I$3:I$230,'Direkte input'!$F$3:$F$230,$D349,'Direkte input'!$C$3:$C$230,$B349,'Direkte input'!$A$3:$A$230,$A$1)),IF(VLOOKUP($A349,[1]!Table1[#All],2,FALSE)="Resultat",SUMIF($F$1:$F348,$D349,J$1:J348)+SUMIF($F350:$F$512,$D349,J350:J$512),0))*'[1]Processer - data'!J349,"")*IF($C349&lt;&gt;"",IF($F349="Halm",Landbrug!E$16*Landbrug!E$17,IF(LEFT($D349,5)="Areal", IF($G349="Ton",Landbrug!E$18,1),1)),1)*IF($F349="Grøntsager",IF($A349="Grøntsager i drivhus",Landbrug!E$51,1-Landbrug!E$51),1)</f>
        <v>26376.803404338643</v>
      </c>
    </row>
    <row r="350" spans="1:10" x14ac:dyDescent="0.25">
      <c r="A350" t="str">
        <f>IF('[1]Processer - data'!A350&lt;&gt;"",'[1]Processer - data'!A350,"")</f>
        <v>Frøgræsmark</v>
      </c>
      <c r="B350" t="str">
        <f>IF('[1]Processer - data'!B350&lt;&gt;"",'[1]Processer - data'!B350,"")</f>
        <v>Konventionel</v>
      </c>
      <c r="C350" t="str">
        <f>IF('[1]Processer - data'!C350&lt;&gt;"",'[1]Processer - data'!C350,"")</f>
        <v>OC6</v>
      </c>
      <c r="D350" t="str">
        <f>IF('[1]Processer - data'!D350&lt;&gt;"",'[1]Processer - data'!D350,"")</f>
        <v>Areal-frøgræs</v>
      </c>
      <c r="E350" t="str">
        <f>IF('[1]Processer - data'!E350&lt;&gt;"",'[1]Processer - data'!E350,"")</f>
        <v>Hektar</v>
      </c>
      <c r="F350" t="str">
        <f>IF('[1]Processer - data'!F350&lt;&gt;"",'[1]Processer - data'!F350,"")</f>
        <v>Halm</v>
      </c>
      <c r="G350" t="str">
        <f>IF('[1]Processer - data'!G350&lt;&gt;"",'[1]Processer - data'!G350,"")</f>
        <v>Ton</v>
      </c>
      <c r="H350" s="297">
        <f>IF($A350&lt;&gt;"",IF(VLOOKUP($A350,[1]!Table1[#All],2,FALSE)="Direkte input",IF($A350&lt;&gt;"Grøntsager i drivhus",SUMIFS('Direkte input'!G$3:G$230,'Direkte input'!$F$3:$F$230,$D350,'Direkte input'!$C$3:$C$230,$B350,'Direkte input'!$D$3:$D$230,$C350,'Direkte input'!$A$3:$A$230,$A$1),SUMIFS('Direkte input'!G$3:G$230,'Direkte input'!$F$3:$F$230,$D350,'Direkte input'!$C$3:$C$230,$B350,'Direkte input'!$A$3:$A$230,$A$1)),IF(VLOOKUP($A350,[1]!Table1[#All],2,FALSE)="Resultat",SUMIF($F$1:$F349,$D350,H$1:H349)+SUMIF($F351:$F$512,$D350,H351:H$512),0))*'[1]Processer - data'!H350,"")*IF($C350&lt;&gt;"",IF($F350="Halm",Landbrug!C$16*Landbrug!C$17,IF(LEFT($D350,5)="Areal", IF($G350="Ton",Landbrug!C$18,1),1)),1)*IF($F350="Grøntsager",IF($A350="Grøntsager i drivhus",Landbrug!C$51,1-Landbrug!C$51),1)</f>
        <v>4416.8392120361432</v>
      </c>
      <c r="I350" s="298">
        <f>IF($A350&lt;&gt;"",IF(VLOOKUP($A350,[1]!Table1[#All],2,FALSE)="Direkte input",IF($A350&lt;&gt;"Grøntsager i drivhus",SUMIFS('Direkte input'!H$3:H$230,'Direkte input'!$F$3:$F$230,$D350,'Direkte input'!$C$3:$C$230,$B350,'Direkte input'!$D$3:$D$230,$C350,'Direkte input'!$A$3:$A$230,$A$1),SUMIFS('Direkte input'!H$3:H$230,'Direkte input'!$F$3:$F$230,$D350,'Direkte input'!$C$3:$C$230,$B350,'Direkte input'!$A$3:$A$230,$A$1)),IF(VLOOKUP($A350,[1]!Table1[#All],2,FALSE)="Resultat",SUMIF($F$1:$F349,$D350,I$1:I349)+SUMIF($F351:$F$512,$D350,I351:I$512),0))*'[1]Processer - data'!I350,"")*IF($C350&lt;&gt;"",IF($F350="Halm",Landbrug!D$16*Landbrug!D$17,IF(LEFT($D350,5)="Areal", IF($G350="Ton",Landbrug!D$18,1),1)),1)*IF($F350="Grøntsager",IF($A350="Grøntsager i drivhus",Landbrug!D$51,1-Landbrug!D$51),1)</f>
        <v>3971.9235405706099</v>
      </c>
      <c r="J350" s="299">
        <f>IF($A350&lt;&gt;"",IF(VLOOKUP($A350,[1]!Table1[#All],2,FALSE)="Direkte input",IF($A350&lt;&gt;"Grøntsager i drivhus",SUMIFS('Direkte input'!I$3:I$230,'Direkte input'!$F$3:$F$230,$D350,'Direkte input'!$C$3:$C$230,$B350,'Direkte input'!$D$3:$D$230,$C350,'Direkte input'!$A$3:$A$230,$A$1),SUMIFS('Direkte input'!I$3:I$230,'Direkte input'!$F$3:$F$230,$D350,'Direkte input'!$C$3:$C$230,$B350,'Direkte input'!$A$3:$A$230,$A$1)),IF(VLOOKUP($A350,[1]!Table1[#All],2,FALSE)="Resultat",SUMIF($F$1:$F349,$D350,J$1:J349)+SUMIF($F351:$F$512,$D350,J351:J$512),0))*'[1]Processer - data'!J350,"")*IF($C350&lt;&gt;"",IF($F350="Halm",Landbrug!E$16*Landbrug!E$17,IF(LEFT($D350,5)="Areal", IF($G350="Ton",Landbrug!E$18,1),1)),1)*IF($F350="Grøntsager",IF($A350="Grøntsager i drivhus",Landbrug!E$51,1-Landbrug!E$51),1)</f>
        <v>3788.2507756887321</v>
      </c>
    </row>
    <row r="351" spans="1:10" x14ac:dyDescent="0.25">
      <c r="A351" t="str">
        <f>IF('[1]Processer - data'!A351&lt;&gt;"",'[1]Processer - data'!A351,"")</f>
        <v>Frøgræsmark</v>
      </c>
      <c r="B351" t="str">
        <f>IF('[1]Processer - data'!B351&lt;&gt;"",'[1]Processer - data'!B351,"")</f>
        <v>Konventionel</v>
      </c>
      <c r="C351" t="str">
        <f>IF('[1]Processer - data'!C351&lt;&gt;"",'[1]Processer - data'!C351,"")</f>
        <v>OC6</v>
      </c>
      <c r="D351" t="str">
        <f>IF('[1]Processer - data'!D351&lt;&gt;"",'[1]Processer - data'!D351,"")</f>
        <v>Areal-frøgræs</v>
      </c>
      <c r="E351" t="str">
        <f>IF('[1]Processer - data'!E351&lt;&gt;"",'[1]Processer - data'!E351,"")</f>
        <v>Hektar</v>
      </c>
      <c r="F351" t="str">
        <f>IF('[1]Processer - data'!F351&lt;&gt;"",'[1]Processer - data'!F351,"")</f>
        <v>Gødning</v>
      </c>
      <c r="G351" t="str">
        <f>IF('[1]Processer - data'!G351&lt;&gt;"",'[1]Processer - data'!G351,"")</f>
        <v>kg N</v>
      </c>
      <c r="H351" s="297">
        <f>IF($A351&lt;&gt;"",IF(VLOOKUP($A351,[1]!Table1[#All],2,FALSE)="Direkte input",IF($A351&lt;&gt;"Grøntsager i drivhus",SUMIFS('Direkte input'!G$3:G$230,'Direkte input'!$F$3:$F$230,$D351,'Direkte input'!$C$3:$C$230,$B351,'Direkte input'!$D$3:$D$230,$C351,'Direkte input'!$A$3:$A$230,$A$1),SUMIFS('Direkte input'!G$3:G$230,'Direkte input'!$F$3:$F$230,$D351,'Direkte input'!$C$3:$C$230,$B351,'Direkte input'!$A$3:$A$230,$A$1)),IF(VLOOKUP($A351,[1]!Table1[#All],2,FALSE)="Resultat",SUMIF($F$1:$F350,$D351,H$1:H350)+SUMIF($F352:$F$512,$D351,H352:H$512),0))*'[1]Processer - data'!H351,"")*IF($C351&lt;&gt;"",IF($F351="Halm",Landbrug!C$16*Landbrug!C$17,IF(LEFT($D351,5)="Areal", IF($G351="Ton",Landbrug!C$18,1),1)),1)*IF($F351="Grøntsager",IF($A351="Grøntsager i drivhus",Landbrug!C$51,1-Landbrug!C$51),1)</f>
        <v>-209324.4634569324</v>
      </c>
      <c r="I351" s="298">
        <f>IF($A351&lt;&gt;"",IF(VLOOKUP($A351,[1]!Table1[#All],2,FALSE)="Direkte input",IF($A351&lt;&gt;"Grøntsager i drivhus",SUMIFS('Direkte input'!H$3:H$230,'Direkte input'!$F$3:$F$230,$D351,'Direkte input'!$C$3:$C$230,$B351,'Direkte input'!$D$3:$D$230,$C351,'Direkte input'!$A$3:$A$230,$A$1),SUMIFS('Direkte input'!H$3:H$230,'Direkte input'!$F$3:$F$230,$D351,'Direkte input'!$C$3:$C$230,$B351,'Direkte input'!$A$3:$A$230,$A$1)),IF(VLOOKUP($A351,[1]!Table1[#All],2,FALSE)="Resultat",SUMIF($F$1:$F350,$D351,I$1:I350)+SUMIF($F352:$F$512,$D351,I352:I$512),0))*'[1]Processer - data'!I351,"")*IF($C351&lt;&gt;"",IF($F351="Halm",Landbrug!D$16*Landbrug!D$17,IF(LEFT($D351,5)="Areal", IF($G351="Ton",Landbrug!D$18,1),1)),1)*IF($F351="Grøntsager",IF($A351="Grøntsager i drivhus",Landbrug!D$51,1-Landbrug!D$51),1)</f>
        <v>-189339.57555686173</v>
      </c>
      <c r="J351" s="299">
        <f>IF($A351&lt;&gt;"",IF(VLOOKUP($A351,[1]!Table1[#All],2,FALSE)="Direkte input",IF($A351&lt;&gt;"Grøntsager i drivhus",SUMIFS('Direkte input'!I$3:I$230,'Direkte input'!$F$3:$F$230,$D351,'Direkte input'!$C$3:$C$230,$B351,'Direkte input'!$D$3:$D$230,$C351,'Direkte input'!$A$3:$A$230,$A$1),SUMIFS('Direkte input'!I$3:I$230,'Direkte input'!$F$3:$F$230,$D351,'Direkte input'!$C$3:$C$230,$B351,'Direkte input'!$A$3:$A$230,$A$1)),IF(VLOOKUP($A351,[1]!Table1[#All],2,FALSE)="Resultat",SUMIF($F$1:$F350,$D351,J$1:J350)+SUMIF($F352:$F$512,$D351,J352:J$512),0))*'[1]Processer - data'!J351,"")*IF($C351&lt;&gt;"",IF($F351="Halm",Landbrug!E$16*Landbrug!E$17,IF(LEFT($D351,5)="Areal", IF($G351="Ton",Landbrug!E$18,1),1)),1)*IF($F351="Grøntsager",IF($A351="Grøntsager i drivhus",Landbrug!E$51,1-Landbrug!E$51),1)</f>
        <v>-180583.98824787387</v>
      </c>
    </row>
    <row r="352" spans="1:10" x14ac:dyDescent="0.25">
      <c r="A352" t="str">
        <f>IF('[1]Processer - data'!A352&lt;&gt;"",'[1]Processer - data'!A352,"")</f>
        <v>Frøgræsmark</v>
      </c>
      <c r="B352" t="str">
        <f>IF('[1]Processer - data'!B352&lt;&gt;"",'[1]Processer - data'!B352,"")</f>
        <v>Konventionel</v>
      </c>
      <c r="C352" t="str">
        <f>IF('[1]Processer - data'!C352&lt;&gt;"",'[1]Processer - data'!C352,"")</f>
        <v>OC6</v>
      </c>
      <c r="D352" t="str">
        <f>IF('[1]Processer - data'!D352&lt;&gt;"",'[1]Processer - data'!D352,"")</f>
        <v>Areal-frøgræs</v>
      </c>
      <c r="E352" t="str">
        <f>IF('[1]Processer - data'!E352&lt;&gt;"",'[1]Processer - data'!E352,"")</f>
        <v>Hektar</v>
      </c>
      <c r="F352" t="str">
        <f>IF('[1]Processer - data'!F352&lt;&gt;"",'[1]Processer - data'!F352,"")</f>
        <v>CO2 - atmosfære</v>
      </c>
      <c r="G352" t="str">
        <f>IF('[1]Processer - data'!G352&lt;&gt;"",'[1]Processer - data'!G352,"")</f>
        <v>t CO2-ækvivalenter</v>
      </c>
      <c r="H352" s="297">
        <f>IF($A352&lt;&gt;"",IF(VLOOKUP($A352,[1]!Table1[#All],2,FALSE)="Direkte input",IF($A352&lt;&gt;"Grøntsager i drivhus",SUMIFS('Direkte input'!G$3:G$230,'Direkte input'!$F$3:$F$230,$D352,'Direkte input'!$C$3:$C$230,$B352,'Direkte input'!$D$3:$D$230,$C352,'Direkte input'!$A$3:$A$230,$A$1),SUMIFS('Direkte input'!G$3:G$230,'Direkte input'!$F$3:$F$230,$D352,'Direkte input'!$C$3:$C$230,$B352,'Direkte input'!$A$3:$A$230,$A$1)),IF(VLOOKUP($A352,[1]!Table1[#All],2,FALSE)="Resultat",SUMIF($F$1:$F351,$D352,H$1:H351)+SUMIF($F353:$F$512,$D352,H353:H$512),0))*'[1]Processer - data'!H352,"")*IF($C352&lt;&gt;"",IF($F352="Halm",Landbrug!C$16*Landbrug!C$17,IF(LEFT($D352,5)="Areal", IF($G352="Ton",Landbrug!C$18,1),1)),1)*IF($F352="Grøntsager",IF($A352="Grøntsager i drivhus",Landbrug!C$51,1-Landbrug!C$51),1)</f>
        <v>24795.946986971423</v>
      </c>
      <c r="I352" s="298">
        <f>IF($A352&lt;&gt;"",IF(VLOOKUP($A352,[1]!Table1[#All],2,FALSE)="Direkte input",IF($A352&lt;&gt;"Grøntsager i drivhus",SUMIFS('Direkte input'!H$3:H$230,'Direkte input'!$F$3:$F$230,$D352,'Direkte input'!$C$3:$C$230,$B352,'Direkte input'!$D$3:$D$230,$C352,'Direkte input'!$A$3:$A$230,$A$1),SUMIFS('Direkte input'!H$3:H$230,'Direkte input'!$F$3:$F$230,$D352,'Direkte input'!$C$3:$C$230,$B352,'Direkte input'!$A$3:$A$230,$A$1)),IF(VLOOKUP($A352,[1]!Table1[#All],2,FALSE)="Resultat",SUMIF($F$1:$F351,$D352,I$1:I351)+SUMIF($F353:$F$512,$D352,I353:I$512),0))*'[1]Processer - data'!I352,"")*IF($C352&lt;&gt;"",IF($F352="Halm",Landbrug!D$16*Landbrug!D$17,IF(LEFT($D352,5)="Areal", IF($G352="Ton",Landbrug!D$18,1),1)),1)*IF($F352="Grøntsager",IF($A352="Grøntsager i drivhus",Landbrug!D$51,1-Landbrug!D$51),1)</f>
        <v>22428.5972146278</v>
      </c>
      <c r="J352" s="299">
        <f>IF($A352&lt;&gt;"",IF(VLOOKUP($A352,[1]!Table1[#All],2,FALSE)="Direkte input",IF($A352&lt;&gt;"Grøntsager i drivhus",SUMIFS('Direkte input'!I$3:I$230,'Direkte input'!$F$3:$F$230,$D352,'Direkte input'!$C$3:$C$230,$B352,'Direkte input'!$D$3:$D$230,$C352,'Direkte input'!$A$3:$A$230,$A$1),SUMIFS('Direkte input'!I$3:I$230,'Direkte input'!$F$3:$F$230,$D352,'Direkte input'!$C$3:$C$230,$B352,'Direkte input'!$A$3:$A$230,$A$1)),IF(VLOOKUP($A352,[1]!Table1[#All],2,FALSE)="Resultat",SUMIF($F$1:$F351,$D352,J$1:J351)+SUMIF($F353:$F$512,$D352,J353:J$512),0))*'[1]Processer - data'!J352,"")*IF($C352&lt;&gt;"",IF($F352="Halm",Landbrug!E$16*Landbrug!E$17,IF(LEFT($D352,5)="Areal", IF($G352="Ton",Landbrug!E$18,1),1)),1)*IF($F352="Grøntsager",IF($A352="Grøntsager i drivhus",Landbrug!E$51,1-Landbrug!E$51),1)</f>
        <v>21391.436649789521</v>
      </c>
    </row>
    <row r="353" spans="1:10" x14ac:dyDescent="0.25">
      <c r="A353" t="str">
        <f>IF('[1]Processer - data'!A353&lt;&gt;"",'[1]Processer - data'!A353,"")</f>
        <v>Frøgræsmark</v>
      </c>
      <c r="B353" t="str">
        <f>IF('[1]Processer - data'!B353&lt;&gt;"",'[1]Processer - data'!B353,"")</f>
        <v>Konventionel</v>
      </c>
      <c r="C353" t="str">
        <f>IF('[1]Processer - data'!C353&lt;&gt;"",'[1]Processer - data'!C353,"")</f>
        <v>OC12</v>
      </c>
      <c r="D353" t="str">
        <f>IF('[1]Processer - data'!D353&lt;&gt;"",'[1]Processer - data'!D353,"")</f>
        <v>Areal-frøgræs</v>
      </c>
      <c r="E353" t="str">
        <f>IF('[1]Processer - data'!E353&lt;&gt;"",'[1]Processer - data'!E353,"")</f>
        <v>Hektar</v>
      </c>
      <c r="F353" t="str">
        <f>IF('[1]Processer - data'!F353&lt;&gt;"",'[1]Processer - data'!F353,"")</f>
        <v>Frø</v>
      </c>
      <c r="G353" t="str">
        <f>IF('[1]Processer - data'!G353&lt;&gt;"",'[1]Processer - data'!G353,"")</f>
        <v>Ton</v>
      </c>
      <c r="H353" s="297">
        <f>IF($A353&lt;&gt;"",IF(VLOOKUP($A353,[1]!Table1[#All],2,FALSE)="Direkte input",IF($A353&lt;&gt;"Grøntsager i drivhus",SUMIFS('Direkte input'!G$3:G$230,'Direkte input'!$F$3:$F$230,$D353,'Direkte input'!$C$3:$C$230,$B353,'Direkte input'!$D$3:$D$230,$C353,'Direkte input'!$A$3:$A$230,$A$1),SUMIFS('Direkte input'!G$3:G$230,'Direkte input'!$F$3:$F$230,$D353,'Direkte input'!$C$3:$C$230,$B353,'Direkte input'!$A$3:$A$230,$A$1)),IF(VLOOKUP($A353,[1]!Table1[#All],2,FALSE)="Resultat",SUMIF($F$1:$F352,$D353,H$1:H352)+SUMIF($F354:$F$512,$D353,H354:H$512),0))*'[1]Processer - data'!H353,"")*IF($C353&lt;&gt;"",IF($F353="Halm",Landbrug!C$16*Landbrug!C$17,IF(LEFT($D353,5)="Areal", IF($G353="Ton",Landbrug!C$18,1),1)),1)*IF($F353="Grøntsager",IF($A353="Grøntsager i drivhus",Landbrug!C$51,1-Landbrug!C$51),1)</f>
        <v>24138.992226269231</v>
      </c>
      <c r="I353" s="298">
        <f>IF($A353&lt;&gt;"",IF(VLOOKUP($A353,[1]!Table1[#All],2,FALSE)="Direkte input",IF($A353&lt;&gt;"Grøntsager i drivhus",SUMIFS('Direkte input'!H$3:H$230,'Direkte input'!$F$3:$F$230,$D353,'Direkte input'!$C$3:$C$230,$B353,'Direkte input'!$D$3:$D$230,$C353,'Direkte input'!$A$3:$A$230,$A$1),SUMIFS('Direkte input'!H$3:H$230,'Direkte input'!$F$3:$F$230,$D353,'Direkte input'!$C$3:$C$230,$B353,'Direkte input'!$A$3:$A$230,$A$1)),IF(VLOOKUP($A353,[1]!Table1[#All],2,FALSE)="Resultat",SUMIF($F$1:$F352,$D353,I$1:I352)+SUMIF($F354:$F$512,$D353,I354:I$512),0))*'[1]Processer - data'!I353,"")*IF($C353&lt;&gt;"",IF($F353="Halm",Landbrug!D$16*Landbrug!D$17,IF(LEFT($D353,5)="Areal", IF($G353="Ton",Landbrug!D$18,1),1)),1)*IF($F353="Grøntsager",IF($A353="Grøntsager i drivhus",Landbrug!D$51,1-Landbrug!D$51),1)</f>
        <v>23591.771518611426</v>
      </c>
      <c r="J353" s="299">
        <f>IF($A353&lt;&gt;"",IF(VLOOKUP($A353,[1]!Table1[#All],2,FALSE)="Direkte input",IF($A353&lt;&gt;"Grøntsager i drivhus",SUMIFS('Direkte input'!I$3:I$230,'Direkte input'!$F$3:$F$230,$D353,'Direkte input'!$C$3:$C$230,$B353,'Direkte input'!$D$3:$D$230,$C353,'Direkte input'!$A$3:$A$230,$A$1),SUMIFS('Direkte input'!I$3:I$230,'Direkte input'!$F$3:$F$230,$D353,'Direkte input'!$C$3:$C$230,$B353,'Direkte input'!$A$3:$A$230,$A$1)),IF(VLOOKUP($A353,[1]!Table1[#All],2,FALSE)="Resultat",SUMIF($F$1:$F352,$D353,J$1:J352)+SUMIF($F354:$F$512,$D353,J354:J$512),0))*'[1]Processer - data'!J353,"")*IF($C353&lt;&gt;"",IF($F353="Halm",Landbrug!E$16*Landbrug!E$17,IF(LEFT($D353,5)="Areal", IF($G353="Ton",Landbrug!E$18,1),1)),1)*IF($F353="Grøntsager",IF($A353="Grøntsager i drivhus",Landbrug!E$51,1-Landbrug!E$51),1)</f>
        <v>24138.009261800737</v>
      </c>
    </row>
    <row r="354" spans="1:10" x14ac:dyDescent="0.25">
      <c r="A354" t="str">
        <f>IF('[1]Processer - data'!A354&lt;&gt;"",'[1]Processer - data'!A354,"")</f>
        <v>Frøgræsmark</v>
      </c>
      <c r="B354" t="str">
        <f>IF('[1]Processer - data'!B354&lt;&gt;"",'[1]Processer - data'!B354,"")</f>
        <v>Konventionel</v>
      </c>
      <c r="C354" t="str">
        <f>IF('[1]Processer - data'!C354&lt;&gt;"",'[1]Processer - data'!C354,"")</f>
        <v>OC12</v>
      </c>
      <c r="D354" t="str">
        <f>IF('[1]Processer - data'!D354&lt;&gt;"",'[1]Processer - data'!D354,"")</f>
        <v>Areal-frøgræs</v>
      </c>
      <c r="E354" t="str">
        <f>IF('[1]Processer - data'!E354&lt;&gt;"",'[1]Processer - data'!E354,"")</f>
        <v>Hektar</v>
      </c>
      <c r="F354" t="str">
        <f>IF('[1]Processer - data'!F354&lt;&gt;"",'[1]Processer - data'!F354,"")</f>
        <v>Halm</v>
      </c>
      <c r="G354" t="str">
        <f>IF('[1]Processer - data'!G354&lt;&gt;"",'[1]Processer - data'!G354,"")</f>
        <v>Ton</v>
      </c>
      <c r="H354" s="297">
        <f>IF($A354&lt;&gt;"",IF(VLOOKUP($A354,[1]!Table1[#All],2,FALSE)="Direkte input",IF($A354&lt;&gt;"Grøntsager i drivhus",SUMIFS('Direkte input'!G$3:G$230,'Direkte input'!$F$3:$F$230,$D354,'Direkte input'!$C$3:$C$230,$B354,'Direkte input'!$D$3:$D$230,$C354,'Direkte input'!$A$3:$A$230,$A$1),SUMIFS('Direkte input'!G$3:G$230,'Direkte input'!$F$3:$F$230,$D354,'Direkte input'!$C$3:$C$230,$B354,'Direkte input'!$A$3:$A$230,$A$1)),IF(VLOOKUP($A354,[1]!Table1[#All],2,FALSE)="Resultat",SUMIF($F$1:$F353,$D354,H$1:H353)+SUMIF($F355:$F$512,$D354,H355:H$512),0))*'[1]Processer - data'!H354,"")*IF($C354&lt;&gt;"",IF($F354="Halm",Landbrug!C$16*Landbrug!C$17,IF(LEFT($D354,5)="Areal", IF($G354="Ton",Landbrug!C$18,1),1)),1)*IF($F354="Grøntsager",IF($A354="Grøntsager i drivhus",Landbrug!C$51,1-Landbrug!C$51),1)</f>
        <v>4010.1965237953927</v>
      </c>
      <c r="I354" s="298">
        <f>IF($A354&lt;&gt;"",IF(VLOOKUP($A354,[1]!Table1[#All],2,FALSE)="Direkte input",IF($A354&lt;&gt;"Grøntsager i drivhus",SUMIFS('Direkte input'!H$3:H$230,'Direkte input'!$F$3:$F$230,$D354,'Direkte input'!$C$3:$C$230,$B354,'Direkte input'!$D$3:$D$230,$C354,'Direkte input'!$A$3:$A$230,$A$1),SUMIFS('Direkte input'!H$3:H$230,'Direkte input'!$F$3:$F$230,$D354,'Direkte input'!$C$3:$C$230,$B354,'Direkte input'!$A$3:$A$230,$A$1)),IF(VLOOKUP($A354,[1]!Table1[#All],2,FALSE)="Resultat",SUMIF($F$1:$F353,$D354,I$1:I353)+SUMIF($F355:$F$512,$D354,I355:I$512),0))*'[1]Processer - data'!I354,"")*IF($C354&lt;&gt;"",IF($F354="Halm",Landbrug!D$16*Landbrug!D$17,IF(LEFT($D354,5)="Areal", IF($G354="Ton",Landbrug!D$18,1),1)),1)*IF($F354="Grøntsager",IF($A354="Grøntsager i drivhus",Landbrug!D$51,1-Landbrug!D$51),1)</f>
        <v>3634.7970502630228</v>
      </c>
      <c r="J354" s="299">
        <f>IF($A354&lt;&gt;"",IF(VLOOKUP($A354,[1]!Table1[#All],2,FALSE)="Direkte input",IF($A354&lt;&gt;"Grøntsager i drivhus",SUMIFS('Direkte input'!I$3:I$230,'Direkte input'!$F$3:$F$230,$D354,'Direkte input'!$C$3:$C$230,$B354,'Direkte input'!$D$3:$D$230,$C354,'Direkte input'!$A$3:$A$230,$A$1),SUMIFS('Direkte input'!I$3:I$230,'Direkte input'!$F$3:$F$230,$D354,'Direkte input'!$C$3:$C$230,$B354,'Direkte input'!$A$3:$A$230,$A$1)),IF(VLOOKUP($A354,[1]!Table1[#All],2,FALSE)="Resultat",SUMIF($F$1:$F353,$D354,J$1:J353)+SUMIF($F355:$F$512,$D354,J355:J$512),0))*'[1]Processer - data'!J354,"")*IF($C354&lt;&gt;"",IF($F354="Halm",Landbrug!E$16*Landbrug!E$17,IF(LEFT($D354,5)="Areal", IF($G354="Ton",Landbrug!E$18,1),1)),1)*IF($F354="Grøntsager",IF($A354="Grøntsager i drivhus",Landbrug!E$51,1-Landbrug!E$51),1)</f>
        <v>3466.7139496728255</v>
      </c>
    </row>
    <row r="355" spans="1:10" x14ac:dyDescent="0.25">
      <c r="A355" t="str">
        <f>IF('[1]Processer - data'!A355&lt;&gt;"",'[1]Processer - data'!A355,"")</f>
        <v>Frøgræsmark</v>
      </c>
      <c r="B355" t="str">
        <f>IF('[1]Processer - data'!B355&lt;&gt;"",'[1]Processer - data'!B355,"")</f>
        <v>Konventionel</v>
      </c>
      <c r="C355" t="str">
        <f>IF('[1]Processer - data'!C355&lt;&gt;"",'[1]Processer - data'!C355,"")</f>
        <v>OC12</v>
      </c>
      <c r="D355" t="str">
        <f>IF('[1]Processer - data'!D355&lt;&gt;"",'[1]Processer - data'!D355,"")</f>
        <v>Areal-frøgræs</v>
      </c>
      <c r="E355" t="str">
        <f>IF('[1]Processer - data'!E355&lt;&gt;"",'[1]Processer - data'!E355,"")</f>
        <v>Hektar</v>
      </c>
      <c r="F355" t="str">
        <f>IF('[1]Processer - data'!F355&lt;&gt;"",'[1]Processer - data'!F355,"")</f>
        <v>Gødning</v>
      </c>
      <c r="G355" t="str">
        <f>IF('[1]Processer - data'!G355&lt;&gt;"",'[1]Processer - data'!G355,"")</f>
        <v>kg N</v>
      </c>
      <c r="H355" s="297">
        <f>IF($A355&lt;&gt;"",IF(VLOOKUP($A355,[1]!Table1[#All],2,FALSE)="Direkte input",IF($A355&lt;&gt;"Grøntsager i drivhus",SUMIFS('Direkte input'!G$3:G$230,'Direkte input'!$F$3:$F$230,$D355,'Direkte input'!$C$3:$C$230,$B355,'Direkte input'!$D$3:$D$230,$C355,'Direkte input'!$A$3:$A$230,$A$1),SUMIFS('Direkte input'!G$3:G$230,'Direkte input'!$F$3:$F$230,$D355,'Direkte input'!$C$3:$C$230,$B355,'Direkte input'!$A$3:$A$230,$A$1)),IF(VLOOKUP($A355,[1]!Table1[#All],2,FALSE)="Resultat",SUMIF($F$1:$F354,$D355,H$1:H354)+SUMIF($F356:$F$512,$D355,H356:H$512),0))*'[1]Processer - data'!H355,"")*IF($C355&lt;&gt;"",IF($F355="Halm",Landbrug!C$16*Landbrug!C$17,IF(LEFT($D355,5)="Areal", IF($G355="Ton",Landbrug!C$18,1),1)),1)*IF($F355="Grøntsager",IF($A355="Grøntsager i drivhus",Landbrug!C$51,1-Landbrug!C$51),1)</f>
        <v>-144802.06024561197</v>
      </c>
      <c r="I355" s="298">
        <f>IF($A355&lt;&gt;"",IF(VLOOKUP($A355,[1]!Table1[#All],2,FALSE)="Direkte input",IF($A355&lt;&gt;"Grøntsager i drivhus",SUMIFS('Direkte input'!H$3:H$230,'Direkte input'!$F$3:$F$230,$D355,'Direkte input'!$C$3:$C$230,$B355,'Direkte input'!$D$3:$D$230,$C355,'Direkte input'!$A$3:$A$230,$A$1),SUMIFS('Direkte input'!H$3:H$230,'Direkte input'!$F$3:$F$230,$D355,'Direkte input'!$C$3:$C$230,$B355,'Direkte input'!$A$3:$A$230,$A$1)),IF(VLOOKUP($A355,[1]!Table1[#All],2,FALSE)="Resultat",SUMIF($F$1:$F354,$D355,I$1:I354)+SUMIF($F356:$F$512,$D355,I356:I$512),0))*'[1]Processer - data'!I355,"")*IF($C355&lt;&gt;"",IF($F355="Halm",Landbrug!D$16*Landbrug!D$17,IF(LEFT($D355,5)="Areal", IF($G355="Ton",Landbrug!D$18,1),1)),1)*IF($F355="Grøntsager",IF($A355="Grøntsager i drivhus",Landbrug!D$51,1-Landbrug!D$51),1)</f>
        <v>-132014.42071173209</v>
      </c>
      <c r="J355" s="299">
        <f>IF($A355&lt;&gt;"",IF(VLOOKUP($A355,[1]!Table1[#All],2,FALSE)="Direkte input",IF($A355&lt;&gt;"Grøntsager i drivhus",SUMIFS('Direkte input'!I$3:I$230,'Direkte input'!$F$3:$F$230,$D355,'Direkte input'!$C$3:$C$230,$B355,'Direkte input'!$D$3:$D$230,$C355,'Direkte input'!$A$3:$A$230,$A$1),SUMIFS('Direkte input'!I$3:I$230,'Direkte input'!$F$3:$F$230,$D355,'Direkte input'!$C$3:$C$230,$B355,'Direkte input'!$A$3:$A$230,$A$1)),IF(VLOOKUP($A355,[1]!Table1[#All],2,FALSE)="Resultat",SUMIF($F$1:$F354,$D355,J$1:J354)+SUMIF($F356:$F$512,$D355,J356:J$512),0))*'[1]Processer - data'!J355,"")*IF($C355&lt;&gt;"",IF($F355="Halm",Landbrug!E$16*Landbrug!E$17,IF(LEFT($D355,5)="Areal", IF($G355="Ton",Landbrug!E$18,1),1)),1)*IF($F355="Grøntsager",IF($A355="Grøntsager i drivhus",Landbrug!E$51,1-Landbrug!E$51),1)</f>
        <v>-125909.70761523581</v>
      </c>
    </row>
    <row r="356" spans="1:10" x14ac:dyDescent="0.25">
      <c r="A356" t="str">
        <f>IF('[1]Processer - data'!A356&lt;&gt;"",'[1]Processer - data'!A356,"")</f>
        <v>Frøgræsmark</v>
      </c>
      <c r="B356" t="str">
        <f>IF('[1]Processer - data'!B356&lt;&gt;"",'[1]Processer - data'!B356,"")</f>
        <v>Konventionel</v>
      </c>
      <c r="C356" t="str">
        <f>IF('[1]Processer - data'!C356&lt;&gt;"",'[1]Processer - data'!C356,"")</f>
        <v>OC12</v>
      </c>
      <c r="D356" t="str">
        <f>IF('[1]Processer - data'!D356&lt;&gt;"",'[1]Processer - data'!D356,"")</f>
        <v>Areal-frøgræs</v>
      </c>
      <c r="E356" t="str">
        <f>IF('[1]Processer - data'!E356&lt;&gt;"",'[1]Processer - data'!E356,"")</f>
        <v>Hektar</v>
      </c>
      <c r="F356" t="str">
        <f>IF('[1]Processer - data'!F356&lt;&gt;"",'[1]Processer - data'!F356,"")</f>
        <v>CO2 - atmosfære</v>
      </c>
      <c r="G356" t="str">
        <f>IF('[1]Processer - data'!G356&lt;&gt;"",'[1]Processer - data'!G356,"")</f>
        <v>t CO2-ækvivalenter</v>
      </c>
      <c r="H356" s="297">
        <f>IF($A356&lt;&gt;"",IF(VLOOKUP($A356,[1]!Table1[#All],2,FALSE)="Direkte input",IF($A356&lt;&gt;"Grøntsager i drivhus",SUMIFS('Direkte input'!G$3:G$230,'Direkte input'!$F$3:$F$230,$D356,'Direkte input'!$C$3:$C$230,$B356,'Direkte input'!$D$3:$D$230,$C356,'Direkte input'!$A$3:$A$230,$A$1),SUMIFS('Direkte input'!G$3:G$230,'Direkte input'!$F$3:$F$230,$D356,'Direkte input'!$C$3:$C$230,$B356,'Direkte input'!$A$3:$A$230,$A$1)),IF(VLOOKUP($A356,[1]!Table1[#All],2,FALSE)="Resultat",SUMIF($F$1:$F355,$D356,H$1:H355)+SUMIF($F357:$F$512,$D356,H357:H$512),0))*'[1]Processer - data'!H356,"")*IF($C356&lt;&gt;"",IF($F356="Halm",Landbrug!C$16*Landbrug!C$17,IF(LEFT($D356,5)="Areal", IF($G356="Ton",Landbrug!C$18,1),1)),1)*IF($F356="Grøntsager",IF($A356="Grøntsager i drivhus",Landbrug!C$51,1-Landbrug!C$51),1)</f>
        <v>49415.74762467097</v>
      </c>
      <c r="I356" s="298">
        <f>IF($A356&lt;&gt;"",IF(VLOOKUP($A356,[1]!Table1[#All],2,FALSE)="Direkte input",IF($A356&lt;&gt;"Grøntsager i drivhus",SUMIFS('Direkte input'!H$3:H$230,'Direkte input'!$F$3:$F$230,$D356,'Direkte input'!$C$3:$C$230,$B356,'Direkte input'!$D$3:$D$230,$C356,'Direkte input'!$A$3:$A$230,$A$1),SUMIFS('Direkte input'!H$3:H$230,'Direkte input'!$F$3:$F$230,$D356,'Direkte input'!$C$3:$C$230,$B356,'Direkte input'!$A$3:$A$230,$A$1)),IF(VLOOKUP($A356,[1]!Table1[#All],2,FALSE)="Resultat",SUMIF($F$1:$F355,$D356,I$1:I355)+SUMIF($F357:$F$512,$D356,I357:I$512),0))*'[1]Processer - data'!I356,"")*IF($C356&lt;&gt;"",IF($F356="Halm",Landbrug!D$16*Landbrug!D$17,IF(LEFT($D356,5)="Areal", IF($G356="Ton",Landbrug!D$18,1),1)),1)*IF($F356="Grøntsager",IF($A356="Grøntsager i drivhus",Landbrug!D$51,1-Landbrug!D$51),1)</f>
        <v>45051.785075729109</v>
      </c>
      <c r="J356" s="299">
        <f>IF($A356&lt;&gt;"",IF(VLOOKUP($A356,[1]!Table1[#All],2,FALSE)="Direkte input",IF($A356&lt;&gt;"Grøntsager i drivhus",SUMIFS('Direkte input'!I$3:I$230,'Direkte input'!$F$3:$F$230,$D356,'Direkte input'!$C$3:$C$230,$B356,'Direkte input'!$D$3:$D$230,$C356,'Direkte input'!$A$3:$A$230,$A$1),SUMIFS('Direkte input'!I$3:I$230,'Direkte input'!$F$3:$F$230,$D356,'Direkte input'!$C$3:$C$230,$B356,'Direkte input'!$A$3:$A$230,$A$1)),IF(VLOOKUP($A356,[1]!Table1[#All],2,FALSE)="Resultat",SUMIF($F$1:$F355,$D356,J$1:J355)+SUMIF($F357:$F$512,$D356,J357:J$512),0))*'[1]Processer - data'!J356,"")*IF($C356&lt;&gt;"",IF($F356="Halm",Landbrug!E$16*Landbrug!E$17,IF(LEFT($D356,5)="Areal", IF($G356="Ton",Landbrug!E$18,1),1)),1)*IF($F356="Grøntsager",IF($A356="Grøntsager i drivhus",Landbrug!E$51,1-Landbrug!E$51),1)</f>
        <v>42968.465534654933</v>
      </c>
    </row>
    <row r="357" spans="1:10" x14ac:dyDescent="0.25">
      <c r="A357" t="str">
        <f>IF('[1]Processer - data'!A357&lt;&gt;"",'[1]Processer - data'!A357,"")</f>
        <v>Frøgræsmark</v>
      </c>
      <c r="B357" t="str">
        <f>IF('[1]Processer - data'!B357&lt;&gt;"",'[1]Processer - data'!B357,"")</f>
        <v>Økologisk</v>
      </c>
      <c r="C357" t="str">
        <f>IF('[1]Processer - data'!C357&lt;&gt;"",'[1]Processer - data'!C357,"")</f>
        <v>JB1-10</v>
      </c>
      <c r="D357" t="str">
        <f>IF('[1]Processer - data'!D357&lt;&gt;"",'[1]Processer - data'!D357,"")</f>
        <v>Areal-frøgræs</v>
      </c>
      <c r="E357" t="str">
        <f>IF('[1]Processer - data'!E357&lt;&gt;"",'[1]Processer - data'!E357,"")</f>
        <v>Hektar</v>
      </c>
      <c r="F357" t="str">
        <f>IF('[1]Processer - data'!F357&lt;&gt;"",'[1]Processer - data'!F357,"")</f>
        <v>Frø</v>
      </c>
      <c r="G357" t="str">
        <f>IF('[1]Processer - data'!G357&lt;&gt;"",'[1]Processer - data'!G357,"")</f>
        <v>Ton</v>
      </c>
      <c r="H357" s="297">
        <f>IF($A357&lt;&gt;"",IF(VLOOKUP($A357,[1]!Table1[#All],2,FALSE)="Direkte input",IF($A357&lt;&gt;"Grøntsager i drivhus",SUMIFS('Direkte input'!G$3:G$230,'Direkte input'!$F$3:$F$230,$D357,'Direkte input'!$C$3:$C$230,$B357,'Direkte input'!$D$3:$D$230,$C357,'Direkte input'!$A$3:$A$230,$A$1),SUMIFS('Direkte input'!G$3:G$230,'Direkte input'!$F$3:$F$230,$D357,'Direkte input'!$C$3:$C$230,$B357,'Direkte input'!$A$3:$A$230,$A$1)),IF(VLOOKUP($A357,[1]!Table1[#All],2,FALSE)="Resultat",SUMIF($F$1:$F356,$D357,H$1:H356)+SUMIF($F358:$F$512,$D357,H358:H$512),0))*'[1]Processer - data'!H357,"")*IF($C357&lt;&gt;"",IF($F357="Halm",Landbrug!C$16*Landbrug!C$17,IF(LEFT($D357,5)="Areal", IF($G357="Ton",Landbrug!C$18,1),1)),1)*IF($F357="Grøntsager",IF($A357="Grøntsager i drivhus",Landbrug!C$51,1-Landbrug!C$51),1)</f>
        <v>38450.08587475212</v>
      </c>
      <c r="I357" s="298">
        <f>IF($A357&lt;&gt;"",IF(VLOOKUP($A357,[1]!Table1[#All],2,FALSE)="Direkte input",IF($A357&lt;&gt;"Grøntsager i drivhus",SUMIFS('Direkte input'!H$3:H$230,'Direkte input'!$F$3:$F$230,$D357,'Direkte input'!$C$3:$C$230,$B357,'Direkte input'!$D$3:$D$230,$C357,'Direkte input'!$A$3:$A$230,$A$1),SUMIFS('Direkte input'!H$3:H$230,'Direkte input'!$F$3:$F$230,$D357,'Direkte input'!$C$3:$C$230,$B357,'Direkte input'!$A$3:$A$230,$A$1)),IF(VLOOKUP($A357,[1]!Table1[#All],2,FALSE)="Resultat",SUMIF($F$1:$F356,$D357,I$1:I356)+SUMIF($F358:$F$512,$D357,I358:I$512),0))*'[1]Processer - data'!I357,"")*IF($C357&lt;&gt;"",IF($F357="Halm",Landbrug!D$16*Landbrug!D$17,IF(LEFT($D357,5)="Areal", IF($G357="Ton",Landbrug!D$18,1),1)),1)*IF($F357="Grøntsager",IF($A357="Grøntsager i drivhus",Landbrug!D$51,1-Landbrug!D$51),1)</f>
        <v>48836.505005361192</v>
      </c>
      <c r="J357" s="299">
        <f>IF($A357&lt;&gt;"",IF(VLOOKUP($A357,[1]!Table1[#All],2,FALSE)="Direkte input",IF($A357&lt;&gt;"Grøntsager i drivhus",SUMIFS('Direkte input'!I$3:I$230,'Direkte input'!$F$3:$F$230,$D357,'Direkte input'!$C$3:$C$230,$B357,'Direkte input'!$D$3:$D$230,$C357,'Direkte input'!$A$3:$A$230,$A$1),SUMIFS('Direkte input'!I$3:I$230,'Direkte input'!$F$3:$F$230,$D357,'Direkte input'!$C$3:$C$230,$B357,'Direkte input'!$A$3:$A$230,$A$1)),IF(VLOOKUP($A357,[1]!Table1[#All],2,FALSE)="Resultat",SUMIF($F$1:$F356,$D357,J$1:J356)+SUMIF($F358:$F$512,$D357,J358:J$512),0))*'[1]Processer - data'!J357,"")*IF($C357&lt;&gt;"",IF($F357="Halm",Landbrug!E$16*Landbrug!E$17,IF(LEFT($D357,5)="Areal", IF($G357="Ton",Landbrug!E$18,1),1)),1)*IF($F357="Grøntsager",IF($A357="Grøntsager i drivhus",Landbrug!E$51,1-Landbrug!E$51),1)</f>
        <v>67286.548287358761</v>
      </c>
    </row>
    <row r="358" spans="1:10" x14ac:dyDescent="0.25">
      <c r="A358" t="str">
        <f>IF('[1]Processer - data'!A358&lt;&gt;"",'[1]Processer - data'!A358,"")</f>
        <v>Frøgræsmark</v>
      </c>
      <c r="B358" t="str">
        <f>IF('[1]Processer - data'!B358&lt;&gt;"",'[1]Processer - data'!B358,"")</f>
        <v>Økologisk</v>
      </c>
      <c r="C358" t="str">
        <f>IF('[1]Processer - data'!C358&lt;&gt;"",'[1]Processer - data'!C358,"")</f>
        <v>JB1-10</v>
      </c>
      <c r="D358" t="str">
        <f>IF('[1]Processer - data'!D358&lt;&gt;"",'[1]Processer - data'!D358,"")</f>
        <v>Areal-frøgræs</v>
      </c>
      <c r="E358" t="str">
        <f>IF('[1]Processer - data'!E358&lt;&gt;"",'[1]Processer - data'!E358,"")</f>
        <v>Hektar</v>
      </c>
      <c r="F358" t="str">
        <f>IF('[1]Processer - data'!F358&lt;&gt;"",'[1]Processer - data'!F358,"")</f>
        <v>Halm</v>
      </c>
      <c r="G358" t="str">
        <f>IF('[1]Processer - data'!G358&lt;&gt;"",'[1]Processer - data'!G358,"")</f>
        <v>Ton</v>
      </c>
      <c r="H358" s="297">
        <f>IF($A358&lt;&gt;"",IF(VLOOKUP($A358,[1]!Table1[#All],2,FALSE)="Direkte input",IF($A358&lt;&gt;"Grøntsager i drivhus",SUMIFS('Direkte input'!G$3:G$230,'Direkte input'!$F$3:$F$230,$D358,'Direkte input'!$C$3:$C$230,$B358,'Direkte input'!$D$3:$D$230,$C358,'Direkte input'!$A$3:$A$230,$A$1),SUMIFS('Direkte input'!G$3:G$230,'Direkte input'!$F$3:$F$230,$D358,'Direkte input'!$C$3:$C$230,$B358,'Direkte input'!$A$3:$A$230,$A$1)),IF(VLOOKUP($A358,[1]!Table1[#All],2,FALSE)="Resultat",SUMIF($F$1:$F357,$D358,H$1:H357)+SUMIF($F359:$F$512,$D358,H359:H$512),0))*'[1]Processer - data'!H358,"")*IF($C358&lt;&gt;"",IF($F358="Halm",Landbrug!C$16*Landbrug!C$17,IF(LEFT($D358,5)="Areal", IF($G358="Ton",Landbrug!C$18,1),1)),1)*IF($F358="Grøntsager",IF($A358="Grøntsager i drivhus",Landbrug!C$51,1-Landbrug!C$51),1)</f>
        <v>6387.6900605140245</v>
      </c>
      <c r="I358" s="298">
        <f>IF($A358&lt;&gt;"",IF(VLOOKUP($A358,[1]!Table1[#All],2,FALSE)="Direkte input",IF($A358&lt;&gt;"Grøntsager i drivhus",SUMIFS('Direkte input'!H$3:H$230,'Direkte input'!$F$3:$F$230,$D358,'Direkte input'!$C$3:$C$230,$B358,'Direkte input'!$D$3:$D$230,$C358,'Direkte input'!$A$3:$A$230,$A$1),SUMIFS('Direkte input'!H$3:H$230,'Direkte input'!$F$3:$F$230,$D358,'Direkte input'!$C$3:$C$230,$B358,'Direkte input'!$A$3:$A$230,$A$1)),IF(VLOOKUP($A358,[1]!Table1[#All],2,FALSE)="Resultat",SUMIF($F$1:$F357,$D358,I$1:I357)+SUMIF($F359:$F$512,$D358,I359:I$512),0))*'[1]Processer - data'!I358,"")*IF($C358&lt;&gt;"",IF($F358="Halm",Landbrug!D$16*Landbrug!D$17,IF(LEFT($D358,5)="Areal", IF($G358="Ton",Landbrug!D$18,1),1)),1)*IF($F358="Grøntsager",IF($A358="Grøntsager i drivhus",Landbrug!D$51,1-Landbrug!D$51),1)</f>
        <v>7524.2668486597049</v>
      </c>
      <c r="J358" s="299">
        <f>IF($A358&lt;&gt;"",IF(VLOOKUP($A358,[1]!Table1[#All],2,FALSE)="Direkte input",IF($A358&lt;&gt;"Grøntsager i drivhus",SUMIFS('Direkte input'!I$3:I$230,'Direkte input'!$F$3:$F$230,$D358,'Direkte input'!$C$3:$C$230,$B358,'Direkte input'!$D$3:$D$230,$C358,'Direkte input'!$A$3:$A$230,$A$1),SUMIFS('Direkte input'!I$3:I$230,'Direkte input'!$F$3:$F$230,$D358,'Direkte input'!$C$3:$C$230,$B358,'Direkte input'!$A$3:$A$230,$A$1)),IF(VLOOKUP($A358,[1]!Table1[#All],2,FALSE)="Resultat",SUMIF($F$1:$F357,$D358,J$1:J357)+SUMIF($F359:$F$512,$D358,J359:J$512),0))*'[1]Processer - data'!J358,"")*IF($C358&lt;&gt;"",IF($F358="Halm",Landbrug!E$16*Landbrug!E$17,IF(LEFT($D358,5)="Areal", IF($G358="Ton",Landbrug!E$18,1),1)),1)*IF($F358="Grøntsager",IF($A358="Grøntsager i drivhus",Landbrug!E$51,1-Landbrug!E$51),1)</f>
        <v>9663.7304693667556</v>
      </c>
    </row>
    <row r="359" spans="1:10" x14ac:dyDescent="0.25">
      <c r="A359" t="str">
        <f>IF('[1]Processer - data'!A359&lt;&gt;"",'[1]Processer - data'!A359,"")</f>
        <v>Frøgræsmark</v>
      </c>
      <c r="B359" t="str">
        <f>IF('[1]Processer - data'!B359&lt;&gt;"",'[1]Processer - data'!B359,"")</f>
        <v>Økologisk</v>
      </c>
      <c r="C359" t="str">
        <f>IF('[1]Processer - data'!C359&lt;&gt;"",'[1]Processer - data'!C359,"")</f>
        <v>JB1-10</v>
      </c>
      <c r="D359" t="str">
        <f>IF('[1]Processer - data'!D359&lt;&gt;"",'[1]Processer - data'!D359,"")</f>
        <v>Areal-frøgræs</v>
      </c>
      <c r="E359" t="str">
        <f>IF('[1]Processer - data'!E359&lt;&gt;"",'[1]Processer - data'!E359,"")</f>
        <v>Hektar</v>
      </c>
      <c r="F359" t="str">
        <f>IF('[1]Processer - data'!F359&lt;&gt;"",'[1]Processer - data'!F359,"")</f>
        <v>Gødning</v>
      </c>
      <c r="G359" t="str">
        <f>IF('[1]Processer - data'!G359&lt;&gt;"",'[1]Processer - data'!G359,"")</f>
        <v>kg N</v>
      </c>
      <c r="H359" s="297">
        <f>IF($A359&lt;&gt;"",IF(VLOOKUP($A359,[1]!Table1[#All],2,FALSE)="Direkte input",IF($A359&lt;&gt;"Grøntsager i drivhus",SUMIFS('Direkte input'!G$3:G$230,'Direkte input'!$F$3:$F$230,$D359,'Direkte input'!$C$3:$C$230,$B359,'Direkte input'!$D$3:$D$230,$C359,'Direkte input'!$A$3:$A$230,$A$1),SUMIFS('Direkte input'!G$3:G$230,'Direkte input'!$F$3:$F$230,$D359,'Direkte input'!$C$3:$C$230,$B359,'Direkte input'!$A$3:$A$230,$A$1)),IF(VLOOKUP($A359,[1]!Table1[#All],2,FALSE)="Resultat",SUMIF($F$1:$F358,$D359,H$1:H358)+SUMIF($F360:$F$512,$D359,H360:H$512),0))*'[1]Processer - data'!H359,"")*IF($C359&lt;&gt;"",IF($F359="Halm",Landbrug!C$16*Landbrug!C$17,IF(LEFT($D359,5)="Areal", IF($G359="Ton",Landbrug!C$18,1),1)),1)*IF($F359="Grøntsager",IF($A359="Grøntsager i drivhus",Landbrug!C$51,1-Landbrug!C$51),1)</f>
        <v>-403636.99935845629</v>
      </c>
      <c r="I359" s="298">
        <f>IF($A359&lt;&gt;"",IF(VLOOKUP($A359,[1]!Table1[#All],2,FALSE)="Direkte input",IF($A359&lt;&gt;"Grøntsager i drivhus",SUMIFS('Direkte input'!H$3:H$230,'Direkte input'!$F$3:$F$230,$D359,'Direkte input'!$C$3:$C$230,$B359,'Direkte input'!$D$3:$D$230,$C359,'Direkte input'!$A$3:$A$230,$A$1),SUMIFS('Direkte input'!H$3:H$230,'Direkte input'!$F$3:$F$230,$D359,'Direkte input'!$C$3:$C$230,$B359,'Direkte input'!$A$3:$A$230,$A$1)),IF(VLOOKUP($A359,[1]!Table1[#All],2,FALSE)="Resultat",SUMIF($F$1:$F358,$D359,I$1:I358)+SUMIF($F360:$F$512,$D359,I360:I$512),0))*'[1]Processer - data'!I359,"")*IF($C359&lt;&gt;"",IF($F359="Halm",Landbrug!D$16*Landbrug!D$17,IF(LEFT($D359,5)="Areal", IF($G359="Ton",Landbrug!D$18,1),1)),1)*IF($F359="Grøntsager",IF($A359="Grøntsager i drivhus",Landbrug!D$51,1-Landbrug!D$51),1)</f>
        <v>-478237.29970294732</v>
      </c>
      <c r="J359" s="299">
        <f>IF($A359&lt;&gt;"",IF(VLOOKUP($A359,[1]!Table1[#All],2,FALSE)="Direkte input",IF($A359&lt;&gt;"Grøntsager i drivhus",SUMIFS('Direkte input'!I$3:I$230,'Direkte input'!$F$3:$F$230,$D359,'Direkte input'!$C$3:$C$230,$B359,'Direkte input'!$D$3:$D$230,$C359,'Direkte input'!$A$3:$A$230,$A$1),SUMIFS('Direkte input'!I$3:I$230,'Direkte input'!$F$3:$F$230,$D359,'Direkte input'!$C$3:$C$230,$B359,'Direkte input'!$A$3:$A$230,$A$1)),IF(VLOOKUP($A359,[1]!Table1[#All],2,FALSE)="Resultat",SUMIF($F$1:$F358,$D359,J$1:J358)+SUMIF($F360:$F$512,$D359,J360:J$512),0))*'[1]Processer - data'!J359,"")*IF($C359&lt;&gt;"",IF($F359="Halm",Landbrug!E$16*Landbrug!E$17,IF(LEFT($D359,5)="Areal", IF($G359="Ton",Landbrug!E$18,1),1)),1)*IF($F359="Grøntsager",IF($A359="Grøntsager i drivhus",Landbrug!E$51,1-Landbrug!E$51),1)</f>
        <v>-614220.15695127682</v>
      </c>
    </row>
    <row r="360" spans="1:10" x14ac:dyDescent="0.25">
      <c r="A360" t="str">
        <f>IF('[1]Processer - data'!A360&lt;&gt;"",'[1]Processer - data'!A360,"")</f>
        <v>Frøgræsmark</v>
      </c>
      <c r="B360" t="str">
        <f>IF('[1]Processer - data'!B360&lt;&gt;"",'[1]Processer - data'!B360,"")</f>
        <v>Økologisk</v>
      </c>
      <c r="C360" t="str">
        <f>IF('[1]Processer - data'!C360&lt;&gt;"",'[1]Processer - data'!C360,"")</f>
        <v>JB1-10</v>
      </c>
      <c r="D360" t="str">
        <f>IF('[1]Processer - data'!D360&lt;&gt;"",'[1]Processer - data'!D360,"")</f>
        <v>Areal-frøgræs</v>
      </c>
      <c r="E360" t="str">
        <f>IF('[1]Processer - data'!E360&lt;&gt;"",'[1]Processer - data'!E360,"")</f>
        <v>Hektar</v>
      </c>
      <c r="F360" t="str">
        <f>IF('[1]Processer - data'!F360&lt;&gt;"",'[1]Processer - data'!F360,"")</f>
        <v>CO2 - atmosfære</v>
      </c>
      <c r="G360" t="str">
        <f>IF('[1]Processer - data'!G360&lt;&gt;"",'[1]Processer - data'!G360,"")</f>
        <v>t CO2-ækvivalenter</v>
      </c>
      <c r="H360" s="297">
        <f>IF($A360&lt;&gt;"",IF(VLOOKUP($A360,[1]!Table1[#All],2,FALSE)="Direkte input",IF($A360&lt;&gt;"Grøntsager i drivhus",SUMIFS('Direkte input'!G$3:G$230,'Direkte input'!$F$3:$F$230,$D360,'Direkte input'!$C$3:$C$230,$B360,'Direkte input'!$D$3:$D$230,$C360,'Direkte input'!$A$3:$A$230,$A$1),SUMIFS('Direkte input'!G$3:G$230,'Direkte input'!$F$3:$F$230,$D360,'Direkte input'!$C$3:$C$230,$B360,'Direkte input'!$A$3:$A$230,$A$1)),IF(VLOOKUP($A360,[1]!Table1[#All],2,FALSE)="Resultat",SUMIF($F$1:$F359,$D360,H$1:H359)+SUMIF($F361:$F$512,$D360,H361:H$512),0))*'[1]Processer - data'!H360,"")*IF($C360&lt;&gt;"",IF($F360="Halm",Landbrug!C$16*Landbrug!C$17,IF(LEFT($D360,5)="Areal", IF($G360="Ton",Landbrug!C$18,1),1)),1)*IF($F360="Grøntsager",IF($A360="Grøntsager i drivhus",Landbrug!C$51,1-Landbrug!C$51),1)</f>
        <v>10733.885052047423</v>
      </c>
      <c r="I360" s="298">
        <f>IF($A360&lt;&gt;"",IF(VLOOKUP($A360,[1]!Table1[#All],2,FALSE)="Direkte input",IF($A360&lt;&gt;"Grøntsager i drivhus",SUMIFS('Direkte input'!H$3:H$230,'Direkte input'!$F$3:$F$230,$D360,'Direkte input'!$C$3:$C$230,$B360,'Direkte input'!$D$3:$D$230,$C360,'Direkte input'!$A$3:$A$230,$A$1),SUMIFS('Direkte input'!H$3:H$230,'Direkte input'!$F$3:$F$230,$D360,'Direkte input'!$C$3:$C$230,$B360,'Direkte input'!$A$3:$A$230,$A$1)),IF(VLOOKUP($A360,[1]!Table1[#All],2,FALSE)="Resultat",SUMIF($F$1:$F359,$D360,I$1:I359)+SUMIF($F361:$F$512,$D360,I361:I$512),0))*'[1]Processer - data'!I360,"")*IF($C360&lt;&gt;"",IF($F360="Halm",Landbrug!D$16*Landbrug!D$17,IF(LEFT($D360,5)="Areal", IF($G360="Ton",Landbrug!D$18,1),1)),1)*IF($F360="Grøntsager",IF($A360="Grøntsager i drivhus",Landbrug!D$51,1-Landbrug!D$51),1)</f>
        <v>12717.724615860207</v>
      </c>
      <c r="J360" s="299">
        <f>IF($A360&lt;&gt;"",IF(VLOOKUP($A360,[1]!Table1[#All],2,FALSE)="Direkte input",IF($A360&lt;&gt;"Grøntsager i drivhus",SUMIFS('Direkte input'!I$3:I$230,'Direkte input'!$F$3:$F$230,$D360,'Direkte input'!$C$3:$C$230,$B360,'Direkte input'!$D$3:$D$230,$C360,'Direkte input'!$A$3:$A$230,$A$1),SUMIFS('Direkte input'!I$3:I$230,'Direkte input'!$F$3:$F$230,$D360,'Direkte input'!$C$3:$C$230,$B360,'Direkte input'!$A$3:$A$230,$A$1)),IF(VLOOKUP($A360,[1]!Table1[#All],2,FALSE)="Resultat",SUMIF($F$1:$F359,$D360,J$1:J359)+SUMIF($F361:$F$512,$D360,J361:J$512),0))*'[1]Processer - data'!J360,"")*IF($C360&lt;&gt;"",IF($F360="Halm",Landbrug!E$16*Landbrug!E$17,IF(LEFT($D360,5)="Areal", IF($G360="Ton",Landbrug!E$18,1),1)),1)*IF($F360="Grøntsager",IF($A360="Grøntsager i drivhus",Landbrug!E$51,1-Landbrug!E$51),1)</f>
        <v>16333.905394808817</v>
      </c>
    </row>
    <row r="361" spans="1:10" x14ac:dyDescent="0.25">
      <c r="A361" t="str">
        <f>IF('[1]Processer - data'!A361&lt;&gt;"",'[1]Processer - data'!A361,"")</f>
        <v>Frøgræsmark</v>
      </c>
      <c r="B361" t="str">
        <f>IF('[1]Processer - data'!B361&lt;&gt;"",'[1]Processer - data'!B361,"")</f>
        <v>Økologisk</v>
      </c>
      <c r="C361" t="str">
        <f>IF('[1]Processer - data'!C361&lt;&gt;"",'[1]Processer - data'!C361,"")</f>
        <v>OC6</v>
      </c>
      <c r="D361" t="str">
        <f>IF('[1]Processer - data'!D361&lt;&gt;"",'[1]Processer - data'!D361,"")</f>
        <v>Areal-frøgræs</v>
      </c>
      <c r="E361" t="str">
        <f>IF('[1]Processer - data'!E361&lt;&gt;"",'[1]Processer - data'!E361,"")</f>
        <v>Hektar</v>
      </c>
      <c r="F361" t="str">
        <f>IF('[1]Processer - data'!F361&lt;&gt;"",'[1]Processer - data'!F361,"")</f>
        <v>Frø</v>
      </c>
      <c r="G361" t="str">
        <f>IF('[1]Processer - data'!G361&lt;&gt;"",'[1]Processer - data'!G361,"")</f>
        <v>Ton</v>
      </c>
      <c r="H361" s="297">
        <f>IF($A361&lt;&gt;"",IF(VLOOKUP($A361,[1]!Table1[#All],2,FALSE)="Direkte input",IF($A361&lt;&gt;"Grøntsager i drivhus",SUMIFS('Direkte input'!G$3:G$230,'Direkte input'!$F$3:$F$230,$D361,'Direkte input'!$C$3:$C$230,$B361,'Direkte input'!$D$3:$D$230,$C361,'Direkte input'!$A$3:$A$230,$A$1),SUMIFS('Direkte input'!G$3:G$230,'Direkte input'!$F$3:$F$230,$D361,'Direkte input'!$C$3:$C$230,$B361,'Direkte input'!$A$3:$A$230,$A$1)),IF(VLOOKUP($A361,[1]!Table1[#All],2,FALSE)="Resultat",SUMIF($F$1:$F360,$D361,H$1:H360)+SUMIF($F362:$F$512,$D361,H362:H$512),0))*'[1]Processer - data'!H361,"")*IF($C361&lt;&gt;"",IF($F361="Halm",Landbrug!C$16*Landbrug!C$17,IF(LEFT($D361,5)="Areal", IF($G361="Ton",Landbrug!C$18,1),1)),1)*IF($F361="Grøntsager",IF($A361="Grøntsager i drivhus",Landbrug!C$51,1-Landbrug!C$51),1)</f>
        <v>1937.6697872026807</v>
      </c>
      <c r="I361" s="298">
        <f>IF($A361&lt;&gt;"",IF(VLOOKUP($A361,[1]!Table1[#All],2,FALSE)="Direkte input",IF($A361&lt;&gt;"Grøntsager i drivhus",SUMIFS('Direkte input'!H$3:H$230,'Direkte input'!$F$3:$F$230,$D361,'Direkte input'!$C$3:$C$230,$B361,'Direkte input'!$D$3:$D$230,$C361,'Direkte input'!$A$3:$A$230,$A$1),SUMIFS('Direkte input'!H$3:H$230,'Direkte input'!$F$3:$F$230,$D361,'Direkte input'!$C$3:$C$230,$B361,'Direkte input'!$A$3:$A$230,$A$1)),IF(VLOOKUP($A361,[1]!Table1[#All],2,FALSE)="Resultat",SUMIF($F$1:$F360,$D361,I$1:I360)+SUMIF($F362:$F$512,$D361,I362:I$512),0))*'[1]Processer - data'!I361,"")*IF($C361&lt;&gt;"",IF($F361="Halm",Landbrug!D$16*Landbrug!D$17,IF(LEFT($D361,5)="Areal", IF($G361="Ton",Landbrug!D$18,1),1)),1)*IF($F361="Grøntsager",IF($A361="Grøntsager i drivhus",Landbrug!D$51,1-Landbrug!D$51),1)</f>
        <v>2293.3681829199013</v>
      </c>
      <c r="J361" s="299">
        <f>IF($A361&lt;&gt;"",IF(VLOOKUP($A361,[1]!Table1[#All],2,FALSE)="Direkte input",IF($A361&lt;&gt;"Grøntsager i drivhus",SUMIFS('Direkte input'!I$3:I$230,'Direkte input'!$F$3:$F$230,$D361,'Direkte input'!$C$3:$C$230,$B361,'Direkte input'!$D$3:$D$230,$C361,'Direkte input'!$A$3:$A$230,$A$1),SUMIFS('Direkte input'!I$3:I$230,'Direkte input'!$F$3:$F$230,$D361,'Direkte input'!$C$3:$C$230,$B361,'Direkte input'!$A$3:$A$230,$A$1)),IF(VLOOKUP($A361,[1]!Table1[#All],2,FALSE)="Resultat",SUMIF($F$1:$F360,$D361,J$1:J360)+SUMIF($F362:$F$512,$D361,J362:J$512),0))*'[1]Processer - data'!J361,"")*IF($C361&lt;&gt;"",IF($F361="Halm",Landbrug!E$16*Landbrug!E$17,IF(LEFT($D361,5)="Areal", IF($G361="Ton",Landbrug!E$18,1),1)),1)*IF($F361="Grøntsager",IF($A361="Grøntsager i drivhus",Landbrug!E$51,1-Landbrug!E$51),1)</f>
        <v>3189.1953207063993</v>
      </c>
    </row>
    <row r="362" spans="1:10" x14ac:dyDescent="0.25">
      <c r="A362" t="str">
        <f>IF('[1]Processer - data'!A362&lt;&gt;"",'[1]Processer - data'!A362,"")</f>
        <v>Frøgræsmark</v>
      </c>
      <c r="B362" t="str">
        <f>IF('[1]Processer - data'!B362&lt;&gt;"",'[1]Processer - data'!B362,"")</f>
        <v>Økologisk</v>
      </c>
      <c r="C362" t="str">
        <f>IF('[1]Processer - data'!C362&lt;&gt;"",'[1]Processer - data'!C362,"")</f>
        <v>OC6</v>
      </c>
      <c r="D362" t="str">
        <f>IF('[1]Processer - data'!D362&lt;&gt;"",'[1]Processer - data'!D362,"")</f>
        <v>Areal-frøgræs</v>
      </c>
      <c r="E362" t="str">
        <f>IF('[1]Processer - data'!E362&lt;&gt;"",'[1]Processer - data'!E362,"")</f>
        <v>Hektar</v>
      </c>
      <c r="F362" t="str">
        <f>IF('[1]Processer - data'!F362&lt;&gt;"",'[1]Processer - data'!F362,"")</f>
        <v>Halm</v>
      </c>
      <c r="G362" t="str">
        <f>IF('[1]Processer - data'!G362&lt;&gt;"",'[1]Processer - data'!G362,"")</f>
        <v>Ton</v>
      </c>
      <c r="H362" s="297">
        <f>IF($A362&lt;&gt;"",IF(VLOOKUP($A362,[1]!Table1[#All],2,FALSE)="Direkte input",IF($A362&lt;&gt;"Grøntsager i drivhus",SUMIFS('Direkte input'!G$3:G$230,'Direkte input'!$F$3:$F$230,$D362,'Direkte input'!$C$3:$C$230,$B362,'Direkte input'!$D$3:$D$230,$C362,'Direkte input'!$A$3:$A$230,$A$1),SUMIFS('Direkte input'!G$3:G$230,'Direkte input'!$F$3:$F$230,$D362,'Direkte input'!$C$3:$C$230,$B362,'Direkte input'!$A$3:$A$230,$A$1)),IF(VLOOKUP($A362,[1]!Table1[#All],2,FALSE)="Resultat",SUMIF($F$1:$F361,$D362,H$1:H361)+SUMIF($F363:$F$512,$D362,H363:H$512),0))*'[1]Processer - data'!H362,"")*IF($C362&lt;&gt;"",IF($F362="Halm",Landbrug!C$16*Landbrug!C$17,IF(LEFT($D362,5)="Areal", IF($G362="Ton",Landbrug!C$18,1),1)),1)*IF($F362="Grøntsager",IF($A362="Grøntsager i drivhus",Landbrug!C$51,1-Landbrug!C$51),1)</f>
        <v>321.90393749940313</v>
      </c>
      <c r="I362" s="298">
        <f>IF($A362&lt;&gt;"",IF(VLOOKUP($A362,[1]!Table1[#All],2,FALSE)="Direkte input",IF($A362&lt;&gt;"Grøntsager i drivhus",SUMIFS('Direkte input'!H$3:H$230,'Direkte input'!$F$3:$F$230,$D362,'Direkte input'!$C$3:$C$230,$B362,'Direkte input'!$D$3:$D$230,$C362,'Direkte input'!$A$3:$A$230,$A$1),SUMIFS('Direkte input'!H$3:H$230,'Direkte input'!$F$3:$F$230,$D362,'Direkte input'!$C$3:$C$230,$B362,'Direkte input'!$A$3:$A$230,$A$1)),IF(VLOOKUP($A362,[1]!Table1[#All],2,FALSE)="Resultat",SUMIF($F$1:$F361,$D362,I$1:I361)+SUMIF($F363:$F$512,$D362,I363:I$512),0))*'[1]Processer - data'!I362,"")*IF($C362&lt;&gt;"",IF($F362="Halm",Landbrug!D$16*Landbrug!D$17,IF(LEFT($D362,5)="Areal", IF($G362="Ton",Landbrug!D$18,1),1)),1)*IF($F362="Grøntsager",IF($A362="Grøntsager i drivhus",Landbrug!D$51,1-Landbrug!D$51),1)</f>
        <v>353.34048144151262</v>
      </c>
      <c r="J362" s="299">
        <f>IF($A362&lt;&gt;"",IF(VLOOKUP($A362,[1]!Table1[#All],2,FALSE)="Direkte input",IF($A362&lt;&gt;"Grøntsager i drivhus",SUMIFS('Direkte input'!I$3:I$230,'Direkte input'!$F$3:$F$230,$D362,'Direkte input'!$C$3:$C$230,$B362,'Direkte input'!$D$3:$D$230,$C362,'Direkte input'!$A$3:$A$230,$A$1),SUMIFS('Direkte input'!I$3:I$230,'Direkte input'!$F$3:$F$230,$D362,'Direkte input'!$C$3:$C$230,$B362,'Direkte input'!$A$3:$A$230,$A$1)),IF(VLOOKUP($A362,[1]!Table1[#All],2,FALSE)="Resultat",SUMIF($F$1:$F361,$D362,J$1:J361)+SUMIF($F363:$F$512,$D362,J363:J$512),0))*'[1]Processer - data'!J362,"")*IF($C362&lt;&gt;"",IF($F362="Halm",Landbrug!E$16*Landbrug!E$17,IF(LEFT($D362,5)="Areal", IF($G362="Ton",Landbrug!E$18,1),1)),1)*IF($F362="Grøntsager",IF($A362="Grøntsager i drivhus",Landbrug!E$51,1-Landbrug!E$51),1)</f>
        <v>458.03395742418303</v>
      </c>
    </row>
    <row r="363" spans="1:10" x14ac:dyDescent="0.25">
      <c r="A363" t="str">
        <f>IF('[1]Processer - data'!A363&lt;&gt;"",'[1]Processer - data'!A363,"")</f>
        <v>Frøgræsmark</v>
      </c>
      <c r="B363" t="str">
        <f>IF('[1]Processer - data'!B363&lt;&gt;"",'[1]Processer - data'!B363,"")</f>
        <v>Økologisk</v>
      </c>
      <c r="C363" t="str">
        <f>IF('[1]Processer - data'!C363&lt;&gt;"",'[1]Processer - data'!C363,"")</f>
        <v>OC6</v>
      </c>
      <c r="D363" t="str">
        <f>IF('[1]Processer - data'!D363&lt;&gt;"",'[1]Processer - data'!D363,"")</f>
        <v>Areal-frøgræs</v>
      </c>
      <c r="E363" t="str">
        <f>IF('[1]Processer - data'!E363&lt;&gt;"",'[1]Processer - data'!E363,"")</f>
        <v>Hektar</v>
      </c>
      <c r="F363" t="str">
        <f>IF('[1]Processer - data'!F363&lt;&gt;"",'[1]Processer - data'!F363,"")</f>
        <v>Gødning</v>
      </c>
      <c r="G363" t="str">
        <f>IF('[1]Processer - data'!G363&lt;&gt;"",'[1]Processer - data'!G363,"")</f>
        <v>kg N</v>
      </c>
      <c r="H363" s="297">
        <f>IF($A363&lt;&gt;"",IF(VLOOKUP($A363,[1]!Table1[#All],2,FALSE)="Direkte input",IF($A363&lt;&gt;"Grøntsager i drivhus",SUMIFS('Direkte input'!G$3:G$230,'Direkte input'!$F$3:$F$230,$D363,'Direkte input'!$C$3:$C$230,$B363,'Direkte input'!$D$3:$D$230,$C363,'Direkte input'!$A$3:$A$230,$A$1),SUMIFS('Direkte input'!G$3:G$230,'Direkte input'!$F$3:$F$230,$D363,'Direkte input'!$C$3:$C$230,$B363,'Direkte input'!$A$3:$A$230,$A$1)),IF(VLOOKUP($A363,[1]!Table1[#All],2,FALSE)="Resultat",SUMIF($F$1:$F362,$D363,H$1:H362)+SUMIF($F364:$F$512,$D363,H364:H$512),0))*'[1]Processer - data'!H363,"")*IF($C363&lt;&gt;"",IF($F363="Halm",Landbrug!C$16*Landbrug!C$17,IF(LEFT($D363,5)="Areal", IF($G363="Ton",Landbrug!C$18,1),1)),1)*IF($F363="Grøntsager",IF($A363="Grøntsager i drivhus",Landbrug!C$51,1-Landbrug!C$51),1)</f>
        <v>-15255.789438319507</v>
      </c>
      <c r="I363" s="298">
        <f>IF($A363&lt;&gt;"",IF(VLOOKUP($A363,[1]!Table1[#All],2,FALSE)="Direkte input",IF($A363&lt;&gt;"Grøntsager i drivhus",SUMIFS('Direkte input'!H$3:H$230,'Direkte input'!$F$3:$F$230,$D363,'Direkte input'!$C$3:$C$230,$B363,'Direkte input'!$D$3:$D$230,$C363,'Direkte input'!$A$3:$A$230,$A$1),SUMIFS('Direkte input'!H$3:H$230,'Direkte input'!$F$3:$F$230,$D363,'Direkte input'!$C$3:$C$230,$B363,'Direkte input'!$A$3:$A$230,$A$1)),IF(VLOOKUP($A363,[1]!Table1[#All],2,FALSE)="Resultat",SUMIF($F$1:$F362,$D363,I$1:I362)+SUMIF($F364:$F$512,$D363,I364:I$512),0))*'[1]Processer - data'!I363,"")*IF($C363&lt;&gt;"",IF($F363="Halm",Landbrug!D$16*Landbrug!D$17,IF(LEFT($D363,5)="Areal", IF($G363="Ton",Landbrug!D$18,1),1)),1)*IF($F363="Grøntsager",IF($A363="Grøntsager i drivhus",Landbrug!D$51,1-Landbrug!D$51),1)</f>
        <v>-16843.561085665326</v>
      </c>
      <c r="J363" s="299">
        <f>IF($A363&lt;&gt;"",IF(VLOOKUP($A363,[1]!Table1[#All],2,FALSE)="Direkte input",IF($A363&lt;&gt;"Grøntsager i drivhus",SUMIFS('Direkte input'!I$3:I$230,'Direkte input'!$F$3:$F$230,$D363,'Direkte input'!$C$3:$C$230,$B363,'Direkte input'!$D$3:$D$230,$C363,'Direkte input'!$A$3:$A$230,$A$1),SUMIFS('Direkte input'!I$3:I$230,'Direkte input'!$F$3:$F$230,$D363,'Direkte input'!$C$3:$C$230,$B363,'Direkte input'!$A$3:$A$230,$A$1)),IF(VLOOKUP($A363,[1]!Table1[#All],2,FALSE)="Resultat",SUMIF($F$1:$F362,$D363,J$1:J362)+SUMIF($F364:$F$512,$D363,J364:J$512),0))*'[1]Processer - data'!J363,"")*IF($C363&lt;&gt;"",IF($F363="Halm",Landbrug!E$16*Landbrug!E$17,IF(LEFT($D363,5)="Areal", IF($G363="Ton",Landbrug!E$18,1),1)),1)*IF($F363="Grøntsager",IF($A363="Grøntsager i drivhus",Landbrug!E$51,1-Landbrug!E$51),1)</f>
        <v>-21834.245851788386</v>
      </c>
    </row>
    <row r="364" spans="1:10" x14ac:dyDescent="0.25">
      <c r="A364" t="str">
        <f>IF('[1]Processer - data'!A364&lt;&gt;"",'[1]Processer - data'!A364,"")</f>
        <v>Frøgræsmark</v>
      </c>
      <c r="B364" t="str">
        <f>IF('[1]Processer - data'!B364&lt;&gt;"",'[1]Processer - data'!B364,"")</f>
        <v>Økologisk</v>
      </c>
      <c r="C364" t="str">
        <f>IF('[1]Processer - data'!C364&lt;&gt;"",'[1]Processer - data'!C364,"")</f>
        <v>OC6</v>
      </c>
      <c r="D364" t="str">
        <f>IF('[1]Processer - data'!D364&lt;&gt;"",'[1]Processer - data'!D364,"")</f>
        <v>Areal-frøgræs</v>
      </c>
      <c r="E364" t="str">
        <f>IF('[1]Processer - data'!E364&lt;&gt;"",'[1]Processer - data'!E364,"")</f>
        <v>Hektar</v>
      </c>
      <c r="F364" t="str">
        <f>IF('[1]Processer - data'!F364&lt;&gt;"",'[1]Processer - data'!F364,"")</f>
        <v>CO2 - atmosfære</v>
      </c>
      <c r="G364" t="str">
        <f>IF('[1]Processer - data'!G364&lt;&gt;"",'[1]Processer - data'!G364,"")</f>
        <v>t CO2-ækvivalenter</v>
      </c>
      <c r="H364" s="297">
        <f>IF($A364&lt;&gt;"",IF(VLOOKUP($A364,[1]!Table1[#All],2,FALSE)="Direkte input",IF($A364&lt;&gt;"Grøntsager i drivhus",SUMIFS('Direkte input'!G$3:G$230,'Direkte input'!$F$3:$F$230,$D364,'Direkte input'!$C$3:$C$230,$B364,'Direkte input'!$D$3:$D$230,$C364,'Direkte input'!$A$3:$A$230,$A$1),SUMIFS('Direkte input'!G$3:G$230,'Direkte input'!$F$3:$F$230,$D364,'Direkte input'!$C$3:$C$230,$B364,'Direkte input'!$A$3:$A$230,$A$1)),IF(VLOOKUP($A364,[1]!Table1[#All],2,FALSE)="Resultat",SUMIF($F$1:$F363,$D364,H$1:H363)+SUMIF($F365:$F$512,$D364,H365:H$512),0))*'[1]Processer - data'!H364,"")*IF($C364&lt;&gt;"",IF($F364="Halm",Landbrug!C$16*Landbrug!C$17,IF(LEFT($D364,5)="Areal", IF($G364="Ton",Landbrug!C$18,1),1)),1)*IF($F364="Grøntsager",IF($A364="Grøntsager i drivhus",Landbrug!C$51,1-Landbrug!C$51),1)</f>
        <v>3170.4473298546882</v>
      </c>
      <c r="I364" s="298">
        <f>IF($A364&lt;&gt;"",IF(VLOOKUP($A364,[1]!Table1[#All],2,FALSE)="Direkte input",IF($A364&lt;&gt;"Grøntsager i drivhus",SUMIFS('Direkte input'!H$3:H$230,'Direkte input'!$F$3:$F$230,$D364,'Direkte input'!$C$3:$C$230,$B364,'Direkte input'!$D$3:$D$230,$C364,'Direkte input'!$A$3:$A$230,$A$1),SUMIFS('Direkte input'!H$3:H$230,'Direkte input'!$F$3:$F$230,$D364,'Direkte input'!$C$3:$C$230,$B364,'Direkte input'!$A$3:$A$230,$A$1)),IF(VLOOKUP($A364,[1]!Table1[#All],2,FALSE)="Resultat",SUMIF($F$1:$F363,$D364,I$1:I363)+SUMIF($F365:$F$512,$D364,I365:I$512),0))*'[1]Processer - data'!I364,"")*IF($C364&lt;&gt;"",IF($F364="Halm",Landbrug!D$16*Landbrug!D$17,IF(LEFT($D364,5)="Areal", IF($G364="Ton",Landbrug!D$18,1),1)),1)*IF($F364="Grøntsager",IF($A364="Grøntsager i drivhus",Landbrug!D$51,1-Landbrug!D$51),1)</f>
        <v>3500.4169063291943</v>
      </c>
      <c r="J364" s="299">
        <f>IF($A364&lt;&gt;"",IF(VLOOKUP($A364,[1]!Table1[#All],2,FALSE)="Direkte input",IF($A364&lt;&gt;"Grøntsager i drivhus",SUMIFS('Direkte input'!I$3:I$230,'Direkte input'!$F$3:$F$230,$D364,'Direkte input'!$C$3:$C$230,$B364,'Direkte input'!$D$3:$D$230,$C364,'Direkte input'!$A$3:$A$230,$A$1),SUMIFS('Direkte input'!I$3:I$230,'Direkte input'!$F$3:$F$230,$D364,'Direkte input'!$C$3:$C$230,$B364,'Direkte input'!$A$3:$A$230,$A$1)),IF(VLOOKUP($A364,[1]!Table1[#All],2,FALSE)="Resultat",SUMIF($F$1:$F363,$D364,J$1:J363)+SUMIF($F365:$F$512,$D364,J365:J$512),0))*'[1]Processer - data'!J364,"")*IF($C364&lt;&gt;"",IF($F364="Halm",Landbrug!E$16*Landbrug!E$17,IF(LEFT($D364,5)="Areal", IF($G364="Ton",Landbrug!E$18,1),1)),1)*IF($F364="Grøntsager",IF($A364="Grøntsager i drivhus",Landbrug!E$51,1-Landbrug!E$51),1)</f>
        <v>4537.577471167474</v>
      </c>
    </row>
    <row r="365" spans="1:10" x14ac:dyDescent="0.25">
      <c r="A365" t="str">
        <f>IF('[1]Processer - data'!A365&lt;&gt;"",'[1]Processer - data'!A365,"")</f>
        <v>Frøgræsmark</v>
      </c>
      <c r="B365" t="str">
        <f>IF('[1]Processer - data'!B365&lt;&gt;"",'[1]Processer - data'!B365,"")</f>
        <v>Økologisk</v>
      </c>
      <c r="C365" t="str">
        <f>IF('[1]Processer - data'!C365&lt;&gt;"",'[1]Processer - data'!C365,"")</f>
        <v>OC12</v>
      </c>
      <c r="D365" t="str">
        <f>IF('[1]Processer - data'!D365&lt;&gt;"",'[1]Processer - data'!D365,"")</f>
        <v>Areal-frøgræs</v>
      </c>
      <c r="E365" t="str">
        <f>IF('[1]Processer - data'!E365&lt;&gt;"",'[1]Processer - data'!E365,"")</f>
        <v>Hektar</v>
      </c>
      <c r="F365" t="str">
        <f>IF('[1]Processer - data'!F365&lt;&gt;"",'[1]Processer - data'!F365,"")</f>
        <v>Frø</v>
      </c>
      <c r="G365" t="str">
        <f>IF('[1]Processer - data'!G365&lt;&gt;"",'[1]Processer - data'!G365,"")</f>
        <v>Ton</v>
      </c>
      <c r="H365" s="297">
        <f>IF($A365&lt;&gt;"",IF(VLOOKUP($A365,[1]!Table1[#All],2,FALSE)="Direkte input",IF($A365&lt;&gt;"Grøntsager i drivhus",SUMIFS('Direkte input'!G$3:G$230,'Direkte input'!$F$3:$F$230,$D365,'Direkte input'!$C$3:$C$230,$B365,'Direkte input'!$D$3:$D$230,$C365,'Direkte input'!$A$3:$A$230,$A$1),SUMIFS('Direkte input'!G$3:G$230,'Direkte input'!$F$3:$F$230,$D365,'Direkte input'!$C$3:$C$230,$B365,'Direkte input'!$A$3:$A$230,$A$1)),IF(VLOOKUP($A365,[1]!Table1[#All],2,FALSE)="Resultat",SUMIF($F$1:$F364,$D365,H$1:H364)+SUMIF($F366:$F$512,$D365,H366:H$512),0))*'[1]Processer - data'!H365,"")*IF($C365&lt;&gt;"",IF($F365="Halm",Landbrug!C$16*Landbrug!C$17,IF(LEFT($D365,5)="Areal", IF($G365="Ton",Landbrug!C$18,1),1)),1)*IF($F365="Grøntsager",IF($A365="Grøntsager i drivhus",Landbrug!C$51,1-Landbrug!C$51),1)</f>
        <v>1759.2754166211566</v>
      </c>
      <c r="I365" s="298">
        <f>IF($A365&lt;&gt;"",IF(VLOOKUP($A365,[1]!Table1[#All],2,FALSE)="Direkte input",IF($A365&lt;&gt;"Grøntsager i drivhus",SUMIFS('Direkte input'!H$3:H$230,'Direkte input'!$F$3:$F$230,$D365,'Direkte input'!$C$3:$C$230,$B365,'Direkte input'!$D$3:$D$230,$C365,'Direkte input'!$A$3:$A$230,$A$1),SUMIFS('Direkte input'!H$3:H$230,'Direkte input'!$F$3:$F$230,$D365,'Direkte input'!$C$3:$C$230,$B365,'Direkte input'!$A$3:$A$230,$A$1)),IF(VLOOKUP($A365,[1]!Table1[#All],2,FALSE)="Resultat",SUMIF($F$1:$F364,$D365,I$1:I364)+SUMIF($F366:$F$512,$D365,I366:I$512),0))*'[1]Processer - data'!I365,"")*IF($C365&lt;&gt;"",IF($F365="Halm",Landbrug!D$16*Landbrug!D$17,IF(LEFT($D365,5)="Areal", IF($G365="Ton",Landbrug!D$18,1),1)),1)*IF($F365="Grøntsager",IF($A365="Grøntsager i drivhus",Landbrug!D$51,1-Landbrug!D$51),1)</f>
        <v>2098.7130848059528</v>
      </c>
      <c r="J365" s="299">
        <f>IF($A365&lt;&gt;"",IF(VLOOKUP($A365,[1]!Table1[#All],2,FALSE)="Direkte input",IF($A365&lt;&gt;"Grøntsager i drivhus",SUMIFS('Direkte input'!I$3:I$230,'Direkte input'!$F$3:$F$230,$D365,'Direkte input'!$C$3:$C$230,$B365,'Direkte input'!$D$3:$D$230,$C365,'Direkte input'!$A$3:$A$230,$A$1),SUMIFS('Direkte input'!I$3:I$230,'Direkte input'!$F$3:$F$230,$D365,'Direkte input'!$C$3:$C$230,$B365,'Direkte input'!$A$3:$A$230,$A$1)),IF(VLOOKUP($A365,[1]!Table1[#All],2,FALSE)="Resultat",SUMIF($F$1:$F364,$D365,J$1:J364)+SUMIF($F366:$F$512,$D365,J366:J$512),0))*'[1]Processer - data'!J365,"")*IF($C365&lt;&gt;"",IF($F365="Halm",Landbrug!E$16*Landbrug!E$17,IF(LEFT($D365,5)="Areal", IF($G365="Ton",Landbrug!E$18,1),1)),1)*IF($F365="Grøntsager",IF($A365="Grøntsager i drivhus",Landbrug!E$51,1-Landbrug!E$51),1)</f>
        <v>2918.5047561995439</v>
      </c>
    </row>
    <row r="366" spans="1:10" x14ac:dyDescent="0.25">
      <c r="A366" t="str">
        <f>IF('[1]Processer - data'!A366&lt;&gt;"",'[1]Processer - data'!A366,"")</f>
        <v>Frøgræsmark</v>
      </c>
      <c r="B366" t="str">
        <f>IF('[1]Processer - data'!B366&lt;&gt;"",'[1]Processer - data'!B366,"")</f>
        <v>Økologisk</v>
      </c>
      <c r="C366" t="str">
        <f>IF('[1]Processer - data'!C366&lt;&gt;"",'[1]Processer - data'!C366,"")</f>
        <v>OC12</v>
      </c>
      <c r="D366" t="str">
        <f>IF('[1]Processer - data'!D366&lt;&gt;"",'[1]Processer - data'!D366,"")</f>
        <v>Areal-frøgræs</v>
      </c>
      <c r="E366" t="str">
        <f>IF('[1]Processer - data'!E366&lt;&gt;"",'[1]Processer - data'!E366,"")</f>
        <v>Hektar</v>
      </c>
      <c r="F366" t="str">
        <f>IF('[1]Processer - data'!F366&lt;&gt;"",'[1]Processer - data'!F366,"")</f>
        <v>Halm</v>
      </c>
      <c r="G366" t="str">
        <f>IF('[1]Processer - data'!G366&lt;&gt;"",'[1]Processer - data'!G366,"")</f>
        <v>Ton</v>
      </c>
      <c r="H366" s="297">
        <f>IF($A366&lt;&gt;"",IF(VLOOKUP($A366,[1]!Table1[#All],2,FALSE)="Direkte input",IF($A366&lt;&gt;"Grøntsager i drivhus",SUMIFS('Direkte input'!G$3:G$230,'Direkte input'!$F$3:$F$230,$D366,'Direkte input'!$C$3:$C$230,$B366,'Direkte input'!$D$3:$D$230,$C366,'Direkte input'!$A$3:$A$230,$A$1),SUMIFS('Direkte input'!G$3:G$230,'Direkte input'!$F$3:$F$230,$D366,'Direkte input'!$C$3:$C$230,$B366,'Direkte input'!$A$3:$A$230,$A$1)),IF(VLOOKUP($A366,[1]!Table1[#All],2,FALSE)="Resultat",SUMIF($F$1:$F365,$D366,H$1:H365)+SUMIF($F367:$F$512,$D366,H367:H$512),0))*'[1]Processer - data'!H366,"")*IF($C366&lt;&gt;"",IF($F366="Halm",Landbrug!C$16*Landbrug!C$17,IF(LEFT($D366,5)="Areal", IF($G366="Ton",Landbrug!C$18,1),1)),1)*IF($F366="Grøntsager",IF($A366="Grøntsager i drivhus",Landbrug!C$51,1-Landbrug!C$51),1)</f>
        <v>292.26738606159432</v>
      </c>
      <c r="I366" s="298">
        <f>IF($A366&lt;&gt;"",IF(VLOOKUP($A366,[1]!Table1[#All],2,FALSE)="Direkte input",IF($A366&lt;&gt;"Grøntsager i drivhus",SUMIFS('Direkte input'!H$3:H$230,'Direkte input'!$F$3:$F$230,$D366,'Direkte input'!$C$3:$C$230,$B366,'Direkte input'!$D$3:$D$230,$C366,'Direkte input'!$A$3:$A$230,$A$1),SUMIFS('Direkte input'!H$3:H$230,'Direkte input'!$F$3:$F$230,$D366,'Direkte input'!$C$3:$C$230,$B366,'Direkte input'!$A$3:$A$230,$A$1)),IF(VLOOKUP($A366,[1]!Table1[#All],2,FALSE)="Resultat",SUMIF($F$1:$F365,$D366,I$1:I365)+SUMIF($F367:$F$512,$D366,I367:I$512),0))*'[1]Processer - data'!I366,"")*IF($C366&lt;&gt;"",IF($F366="Halm",Landbrug!D$16*Landbrug!D$17,IF(LEFT($D366,5)="Areal", IF($G366="Ton",Landbrug!D$18,1),1)),1)*IF($F366="Grøntsager",IF($A366="Grøntsager i drivhus",Landbrug!D$51,1-Landbrug!D$51),1)</f>
        <v>323.34986476039262</v>
      </c>
      <c r="J366" s="299">
        <f>IF($A366&lt;&gt;"",IF(VLOOKUP($A366,[1]!Table1[#All],2,FALSE)="Direkte input",IF($A366&lt;&gt;"Grøntsager i drivhus",SUMIFS('Direkte input'!I$3:I$230,'Direkte input'!$F$3:$F$230,$D366,'Direkte input'!$C$3:$C$230,$B366,'Direkte input'!$D$3:$D$230,$C366,'Direkte input'!$A$3:$A$230,$A$1),SUMIFS('Direkte input'!I$3:I$230,'Direkte input'!$F$3:$F$230,$D366,'Direkte input'!$C$3:$C$230,$B366,'Direkte input'!$A$3:$A$230,$A$1)),IF(VLOOKUP($A366,[1]!Table1[#All],2,FALSE)="Resultat",SUMIF($F$1:$F365,$D366,J$1:J365)+SUMIF($F367:$F$512,$D366,J367:J$512),0))*'[1]Processer - data'!J366,"")*IF($C366&lt;&gt;"",IF($F366="Halm",Landbrug!E$16*Landbrug!E$17,IF(LEFT($D366,5)="Areal", IF($G366="Ton",Landbrug!E$18,1),1)),1)*IF($F366="Grøntsager",IF($A366="Grøntsager i drivhus",Landbrug!E$51,1-Landbrug!E$51),1)</f>
        <v>419.15723209680527</v>
      </c>
    </row>
    <row r="367" spans="1:10" x14ac:dyDescent="0.25">
      <c r="A367" t="str">
        <f>IF('[1]Processer - data'!A367&lt;&gt;"",'[1]Processer - data'!A367,"")</f>
        <v>Frøgræsmark</v>
      </c>
      <c r="B367" t="str">
        <f>IF('[1]Processer - data'!B367&lt;&gt;"",'[1]Processer - data'!B367,"")</f>
        <v>Økologisk</v>
      </c>
      <c r="C367" t="str">
        <f>IF('[1]Processer - data'!C367&lt;&gt;"",'[1]Processer - data'!C367,"")</f>
        <v>OC12</v>
      </c>
      <c r="D367" t="str">
        <f>IF('[1]Processer - data'!D367&lt;&gt;"",'[1]Processer - data'!D367,"")</f>
        <v>Areal-frøgræs</v>
      </c>
      <c r="E367" t="str">
        <f>IF('[1]Processer - data'!E367&lt;&gt;"",'[1]Processer - data'!E367,"")</f>
        <v>Hektar</v>
      </c>
      <c r="F367" t="str">
        <f>IF('[1]Processer - data'!F367&lt;&gt;"",'[1]Processer - data'!F367,"")</f>
        <v>Gødning</v>
      </c>
      <c r="G367" t="str">
        <f>IF('[1]Processer - data'!G367&lt;&gt;"",'[1]Processer - data'!G367,"")</f>
        <v>kg N</v>
      </c>
      <c r="H367" s="297">
        <f>IF($A367&lt;&gt;"",IF(VLOOKUP($A367,[1]!Table1[#All],2,FALSE)="Direkte input",IF($A367&lt;&gt;"Grøntsager i drivhus",SUMIFS('Direkte input'!G$3:G$230,'Direkte input'!$F$3:$F$230,$D367,'Direkte input'!$C$3:$C$230,$B367,'Direkte input'!$D$3:$D$230,$C367,'Direkte input'!$A$3:$A$230,$A$1),SUMIFS('Direkte input'!G$3:G$230,'Direkte input'!$F$3:$F$230,$D367,'Direkte input'!$C$3:$C$230,$B367,'Direkte input'!$A$3:$A$230,$A$1)),IF(VLOOKUP($A367,[1]!Table1[#All],2,FALSE)="Resultat",SUMIF($F$1:$F366,$D367,H$1:H366)+SUMIF($F368:$F$512,$D367,H368:H$512),0))*'[1]Processer - data'!H367,"")*IF($C367&lt;&gt;"",IF($F367="Halm",Landbrug!C$16*Landbrug!C$17,IF(LEFT($D367,5)="Areal", IF($G367="Ton",Landbrug!C$18,1),1)),1)*IF($F367="Grøntsager",IF($A367="Grøntsager i drivhus",Landbrug!C$51,1-Landbrug!C$51),1)</f>
        <v>-10553.328095817229</v>
      </c>
      <c r="I367" s="298">
        <f>IF($A367&lt;&gt;"",IF(VLOOKUP($A367,[1]!Table1[#All],2,FALSE)="Direkte input",IF($A367&lt;&gt;"Grøntsager i drivhus",SUMIFS('Direkte input'!H$3:H$230,'Direkte input'!$F$3:$F$230,$D367,'Direkte input'!$C$3:$C$230,$B367,'Direkte input'!$D$3:$D$230,$C367,'Direkte input'!$A$3:$A$230,$A$1),SUMIFS('Direkte input'!H$3:H$230,'Direkte input'!$F$3:$F$230,$D367,'Direkte input'!$C$3:$C$230,$B367,'Direkte input'!$A$3:$A$230,$A$1)),IF(VLOOKUP($A367,[1]!Table1[#All],2,FALSE)="Resultat",SUMIF($F$1:$F366,$D367,I$1:I366)+SUMIF($F368:$F$512,$D367,I368:I$512),0))*'[1]Processer - data'!I367,"")*IF($C367&lt;&gt;"",IF($F367="Halm",Landbrug!D$16*Landbrug!D$17,IF(LEFT($D367,5)="Areal", IF($G367="Ton",Landbrug!D$18,1),1)),1)*IF($F367="Grøntsager",IF($A367="Grøntsager i drivhus",Landbrug!D$51,1-Landbrug!D$51),1)</f>
        <v>-11743.94181938472</v>
      </c>
      <c r="J367" s="299">
        <f>IF($A367&lt;&gt;"",IF(VLOOKUP($A367,[1]!Table1[#All],2,FALSE)="Direkte input",IF($A367&lt;&gt;"Grøntsager i drivhus",SUMIFS('Direkte input'!I$3:I$230,'Direkte input'!$F$3:$F$230,$D367,'Direkte input'!$C$3:$C$230,$B367,'Direkte input'!$D$3:$D$230,$C367,'Direkte input'!$A$3:$A$230,$A$1),SUMIFS('Direkte input'!I$3:I$230,'Direkte input'!$F$3:$F$230,$D367,'Direkte input'!$C$3:$C$230,$B367,'Direkte input'!$A$3:$A$230,$A$1)),IF(VLOOKUP($A367,[1]!Table1[#All],2,FALSE)="Resultat",SUMIF($F$1:$F366,$D367,J$1:J366)+SUMIF($F368:$F$512,$D367,J368:J$512),0))*'[1]Processer - data'!J367,"")*IF($C367&lt;&gt;"",IF($F367="Halm",Landbrug!E$16*Landbrug!E$17,IF(LEFT($D367,5)="Areal", IF($G367="Ton",Landbrug!E$18,1),1)),1)*IF($F367="Grøntsager",IF($A367="Grøntsager i drivhus",Landbrug!E$51,1-Landbrug!E$51),1)</f>
        <v>-15223.6282843876</v>
      </c>
    </row>
    <row r="368" spans="1:10" x14ac:dyDescent="0.25">
      <c r="A368" t="str">
        <f>IF('[1]Processer - data'!A368&lt;&gt;"",'[1]Processer - data'!A368,"")</f>
        <v>Frøgræsmark</v>
      </c>
      <c r="B368" t="str">
        <f>IF('[1]Processer - data'!B368&lt;&gt;"",'[1]Processer - data'!B368,"")</f>
        <v>Økologisk</v>
      </c>
      <c r="C368" t="str">
        <f>IF('[1]Processer - data'!C368&lt;&gt;"",'[1]Processer - data'!C368,"")</f>
        <v>OC12</v>
      </c>
      <c r="D368" t="str">
        <f>IF('[1]Processer - data'!D368&lt;&gt;"",'[1]Processer - data'!D368,"")</f>
        <v>Areal-frøgræs</v>
      </c>
      <c r="E368" t="str">
        <f>IF('[1]Processer - data'!E368&lt;&gt;"",'[1]Processer - data'!E368,"")</f>
        <v>Hektar</v>
      </c>
      <c r="F368" t="str">
        <f>IF('[1]Processer - data'!F368&lt;&gt;"",'[1]Processer - data'!F368,"")</f>
        <v>CO2 - atmosfære</v>
      </c>
      <c r="G368" t="str">
        <f>IF('[1]Processer - data'!G368&lt;&gt;"",'[1]Processer - data'!G368,"")</f>
        <v>t CO2-ækvivalenter</v>
      </c>
      <c r="H368" s="297">
        <f>IF($A368&lt;&gt;"",IF(VLOOKUP($A368,[1]!Table1[#All],2,FALSE)="Direkte input",IF($A368&lt;&gt;"Grøntsager i drivhus",SUMIFS('Direkte input'!G$3:G$230,'Direkte input'!$F$3:$F$230,$D368,'Direkte input'!$C$3:$C$230,$B368,'Direkte input'!$D$3:$D$230,$C368,'Direkte input'!$A$3:$A$230,$A$1),SUMIFS('Direkte input'!G$3:G$230,'Direkte input'!$F$3:$F$230,$D368,'Direkte input'!$C$3:$C$230,$B368,'Direkte input'!$A$3:$A$230,$A$1)),IF(VLOOKUP($A368,[1]!Table1[#All],2,FALSE)="Resultat",SUMIF($F$1:$F367,$D368,H$1:H367)+SUMIF($F369:$F$512,$D368,H369:H$512),0))*'[1]Processer - data'!H368,"")*IF($C368&lt;&gt;"",IF($F368="Halm",Landbrug!C$16*Landbrug!C$17,IF(LEFT($D368,5)="Areal", IF($G368="Ton",Landbrug!C$18,1),1)),1)*IF($F368="Grøntsager",IF($A368="Grøntsager i drivhus",Landbrug!C$51,1-Landbrug!C$51),1)</f>
        <v>6318.3723207559133</v>
      </c>
      <c r="I368" s="298">
        <f>IF($A368&lt;&gt;"",IF(VLOOKUP($A368,[1]!Table1[#All],2,FALSE)="Direkte input",IF($A368&lt;&gt;"Grøntsager i drivhus",SUMIFS('Direkte input'!H$3:H$230,'Direkte input'!$F$3:$F$230,$D368,'Direkte input'!$C$3:$C$230,$B368,'Direkte input'!$D$3:$D$230,$C368,'Direkte input'!$A$3:$A$230,$A$1),SUMIFS('Direkte input'!H$3:H$230,'Direkte input'!$F$3:$F$230,$D368,'Direkte input'!$C$3:$C$230,$B368,'Direkte input'!$A$3:$A$230,$A$1)),IF(VLOOKUP($A368,[1]!Table1[#All],2,FALSE)="Resultat",SUMIF($F$1:$F367,$D368,I$1:I367)+SUMIF($F369:$F$512,$D368,I369:I$512),0))*'[1]Processer - data'!I368,"")*IF($C368&lt;&gt;"",IF($F368="Halm",Landbrug!D$16*Landbrug!D$17,IF(LEFT($D368,5)="Areal", IF($G368="Ton",Landbrug!D$18,1),1)),1)*IF($F368="Grøntsager",IF($A368="Grøntsager i drivhus",Landbrug!D$51,1-Landbrug!D$51),1)</f>
        <v>7031.2034511253523</v>
      </c>
      <c r="J368" s="299">
        <f>IF($A368&lt;&gt;"",IF(VLOOKUP($A368,[1]!Table1[#All],2,FALSE)="Direkte input",IF($A368&lt;&gt;"Grøntsager i drivhus",SUMIFS('Direkte input'!I$3:I$230,'Direkte input'!$F$3:$F$230,$D368,'Direkte input'!$C$3:$C$230,$B368,'Direkte input'!$D$3:$D$230,$C368,'Direkte input'!$A$3:$A$230,$A$1),SUMIFS('Direkte input'!I$3:I$230,'Direkte input'!$F$3:$F$230,$D368,'Direkte input'!$C$3:$C$230,$B368,'Direkte input'!$A$3:$A$230,$A$1)),IF(VLOOKUP($A368,[1]!Table1[#All],2,FALSE)="Resultat",SUMIF($F$1:$F367,$D368,J$1:J367)+SUMIF($F369:$F$512,$D368,J369:J$512),0))*'[1]Processer - data'!J368,"")*IF($C368&lt;&gt;"",IF($F368="Halm",Landbrug!E$16*Landbrug!E$17,IF(LEFT($D368,5)="Areal", IF($G368="Ton",Landbrug!E$18,1),1)),1)*IF($F368="Grøntsager",IF($A368="Grøntsager i drivhus",Landbrug!E$51,1-Landbrug!E$51),1)</f>
        <v>9114.5229921995324</v>
      </c>
    </row>
    <row r="369" spans="1:10" x14ac:dyDescent="0.25">
      <c r="A369" t="str">
        <f>IF('[1]Processer - data'!A369&lt;&gt;"",'[1]Processer - data'!A369,"")</f>
        <v>Juletræsmark</v>
      </c>
      <c r="B369" t="str">
        <f>IF('[1]Processer - data'!B369&lt;&gt;"",'[1]Processer - data'!B369,"")</f>
        <v>Konventionel</v>
      </c>
      <c r="C369" t="str">
        <f>IF('[1]Processer - data'!C369&lt;&gt;"",'[1]Processer - data'!C369,"")</f>
        <v>JB1-10</v>
      </c>
      <c r="D369" t="str">
        <f>IF('[1]Processer - data'!D369&lt;&gt;"",'[1]Processer - data'!D369,"")</f>
        <v>Areal-juletræer</v>
      </c>
      <c r="E369" t="str">
        <f>IF('[1]Processer - data'!E369&lt;&gt;"",'[1]Processer - data'!E369,"")</f>
        <v>Hektar</v>
      </c>
      <c r="F369" t="str">
        <f>IF('[1]Processer - data'!F369&lt;&gt;"",'[1]Processer - data'!F369,"")</f>
        <v>Juletræer</v>
      </c>
      <c r="G369" t="str">
        <f>IF('[1]Processer - data'!G369&lt;&gt;"",'[1]Processer - data'!G369,"")</f>
        <v>Ton</v>
      </c>
      <c r="H369" s="297">
        <f>IF($A369&lt;&gt;"",IF(VLOOKUP($A369,[1]!Table1[#All],2,FALSE)="Direkte input",IF($A369&lt;&gt;"Grøntsager i drivhus",SUMIFS('Direkte input'!G$3:G$230,'Direkte input'!$F$3:$F$230,$D369,'Direkte input'!$C$3:$C$230,$B369,'Direkte input'!$D$3:$D$230,$C369,'Direkte input'!$A$3:$A$230,$A$1),SUMIFS('Direkte input'!G$3:G$230,'Direkte input'!$F$3:$F$230,$D369,'Direkte input'!$C$3:$C$230,$B369,'Direkte input'!$A$3:$A$230,$A$1)),IF(VLOOKUP($A369,[1]!Table1[#All],2,FALSE)="Resultat",SUMIF($F$1:$F368,$D369,H$1:H368)+SUMIF($F370:$F$512,$D369,H370:H$512),0))*'[1]Processer - data'!H369,"")*IF($C369&lt;&gt;"",IF($F369="Halm",Landbrug!C$16*Landbrug!C$17,IF(LEFT($D369,5)="Areal", IF($G369="Ton",Landbrug!C$18,1),1)),1)*IF($F369="Grøntsager",IF($A369="Grøntsager i drivhus",Landbrug!C$51,1-Landbrug!C$51),1)</f>
        <v>130941.87431741141</v>
      </c>
      <c r="I369" s="298">
        <f>IF($A369&lt;&gt;"",IF(VLOOKUP($A369,[1]!Table1[#All],2,FALSE)="Direkte input",IF($A369&lt;&gt;"Grøntsager i drivhus",SUMIFS('Direkte input'!H$3:H$230,'Direkte input'!$F$3:$F$230,$D369,'Direkte input'!$C$3:$C$230,$B369,'Direkte input'!$D$3:$D$230,$C369,'Direkte input'!$A$3:$A$230,$A$1),SUMIFS('Direkte input'!H$3:H$230,'Direkte input'!$F$3:$F$230,$D369,'Direkte input'!$C$3:$C$230,$B369,'Direkte input'!$A$3:$A$230,$A$1)),IF(VLOOKUP($A369,[1]!Table1[#All],2,FALSE)="Resultat",SUMIF($F$1:$F368,$D369,I$1:I368)+SUMIF($F370:$F$512,$D369,I370:I$512),0))*'[1]Processer - data'!I369,"")*IF($C369&lt;&gt;"",IF($F369="Halm",Landbrug!D$16*Landbrug!D$17,IF(LEFT($D369,5)="Areal", IF($G369="Ton",Landbrug!D$18,1),1)),1)*IF($F369="Grøntsager",IF($A369="Grøntsager i drivhus",Landbrug!D$51,1-Landbrug!D$51),1)</f>
        <v>136253.60372359515</v>
      </c>
      <c r="J369" s="299">
        <f>IF($A369&lt;&gt;"",IF(VLOOKUP($A369,[1]!Table1[#All],2,FALSE)="Direkte input",IF($A369&lt;&gt;"Grøntsager i drivhus",SUMIFS('Direkte input'!I$3:I$230,'Direkte input'!$F$3:$F$230,$D369,'Direkte input'!$C$3:$C$230,$B369,'Direkte input'!$D$3:$D$230,$C369,'Direkte input'!$A$3:$A$230,$A$1),SUMIFS('Direkte input'!I$3:I$230,'Direkte input'!$F$3:$F$230,$D369,'Direkte input'!$C$3:$C$230,$B369,'Direkte input'!$A$3:$A$230,$A$1)),IF(VLOOKUP($A369,[1]!Table1[#All],2,FALSE)="Resultat",SUMIF($F$1:$F368,$D369,J$1:J368)+SUMIF($F370:$F$512,$D369,J370:J$512),0))*'[1]Processer - data'!J369,"")*IF($C369&lt;&gt;"",IF($F369="Halm",Landbrug!E$16*Landbrug!E$17,IF(LEFT($D369,5)="Areal", IF($G369="Ton",Landbrug!E$18,1),1)),1)*IF($F369="Grøntsager",IF($A369="Grøntsager i drivhus",Landbrug!E$51,1-Landbrug!E$51),1)</f>
        <v>138122.75512852785</v>
      </c>
    </row>
    <row r="370" spans="1:10" x14ac:dyDescent="0.25">
      <c r="A370" t="str">
        <f>IF('[1]Processer - data'!A370&lt;&gt;"",'[1]Processer - data'!A370,"")</f>
        <v>Juletræsmark</v>
      </c>
      <c r="B370" t="str">
        <f>IF('[1]Processer - data'!B370&lt;&gt;"",'[1]Processer - data'!B370,"")</f>
        <v>Konventionel</v>
      </c>
      <c r="C370" t="str">
        <f>IF('[1]Processer - data'!C370&lt;&gt;"",'[1]Processer - data'!C370,"")</f>
        <v>JB1-10</v>
      </c>
      <c r="D370" t="str">
        <f>IF('[1]Processer - data'!D370&lt;&gt;"",'[1]Processer - data'!D370,"")</f>
        <v>Areal-juletræer</v>
      </c>
      <c r="E370" t="str">
        <f>IF('[1]Processer - data'!E370&lt;&gt;"",'[1]Processer - data'!E370,"")</f>
        <v>Hektar</v>
      </c>
      <c r="F370" t="str">
        <f>IF('[1]Processer - data'!F370&lt;&gt;"",'[1]Processer - data'!F370,"")</f>
        <v>Gødning</v>
      </c>
      <c r="G370" t="str">
        <f>IF('[1]Processer - data'!G370&lt;&gt;"",'[1]Processer - data'!G370,"")</f>
        <v>kg N</v>
      </c>
      <c r="H370" s="297">
        <f>IF($A370&lt;&gt;"",IF(VLOOKUP($A370,[1]!Table1[#All],2,FALSE)="Direkte input",IF($A370&lt;&gt;"Grøntsager i drivhus",SUMIFS('Direkte input'!G$3:G$230,'Direkte input'!$F$3:$F$230,$D370,'Direkte input'!$C$3:$C$230,$B370,'Direkte input'!$D$3:$D$230,$C370,'Direkte input'!$A$3:$A$230,$A$1),SUMIFS('Direkte input'!G$3:G$230,'Direkte input'!$F$3:$F$230,$D370,'Direkte input'!$C$3:$C$230,$B370,'Direkte input'!$A$3:$A$230,$A$1)),IF(VLOOKUP($A370,[1]!Table1[#All],2,FALSE)="Resultat",SUMIF($F$1:$F369,$D370,H$1:H369)+SUMIF($F371:$F$512,$D370,H371:H$512),0))*'[1]Processer - data'!H370,"")*IF($C370&lt;&gt;"",IF($F370="Halm",Landbrug!C$16*Landbrug!C$17,IF(LEFT($D370,5)="Areal", IF($G370="Ton",Landbrug!C$18,1),1)),1)*IF($F370="Grøntsager",IF($A370="Grøntsager i drivhus",Landbrug!C$51,1-Landbrug!C$51),1)</f>
        <v>-288072.1234983051</v>
      </c>
      <c r="I370" s="298">
        <f>IF($A370&lt;&gt;"",IF(VLOOKUP($A370,[1]!Table1[#All],2,FALSE)="Direkte input",IF($A370&lt;&gt;"Grøntsager i drivhus",SUMIFS('Direkte input'!H$3:H$230,'Direkte input'!$F$3:$F$230,$D370,'Direkte input'!$C$3:$C$230,$B370,'Direkte input'!$D$3:$D$230,$C370,'Direkte input'!$A$3:$A$230,$A$1),SUMIFS('Direkte input'!H$3:H$230,'Direkte input'!$F$3:$F$230,$D370,'Direkte input'!$C$3:$C$230,$B370,'Direkte input'!$A$3:$A$230,$A$1)),IF(VLOOKUP($A370,[1]!Table1[#All],2,FALSE)="Resultat",SUMIF($F$1:$F369,$D370,I$1:I369)+SUMIF($F371:$F$512,$D370,I371:I$512),0))*'[1]Processer - data'!I370,"")*IF($C370&lt;&gt;"",IF($F370="Halm",Landbrug!D$16*Landbrug!D$17,IF(LEFT($D370,5)="Areal", IF($G370="Ton",Landbrug!D$18,1),1)),1)*IF($F370="Grøntsager",IF($A370="Grøntsager i drivhus",Landbrug!D$51,1-Landbrug!D$51),1)</f>
        <v>-279624.93301484076</v>
      </c>
      <c r="J370" s="299">
        <f>IF($A370&lt;&gt;"",IF(VLOOKUP($A370,[1]!Table1[#All],2,FALSE)="Direkte input",IF($A370&lt;&gt;"Grøntsager i drivhus",SUMIFS('Direkte input'!I$3:I$230,'Direkte input'!$F$3:$F$230,$D370,'Direkte input'!$C$3:$C$230,$B370,'Direkte input'!$D$3:$D$230,$C370,'Direkte input'!$A$3:$A$230,$A$1),SUMIFS('Direkte input'!I$3:I$230,'Direkte input'!$F$3:$F$230,$D370,'Direkte input'!$C$3:$C$230,$B370,'Direkte input'!$A$3:$A$230,$A$1)),IF(VLOOKUP($A370,[1]!Table1[#All],2,FALSE)="Resultat",SUMIF($F$1:$F369,$D370,J$1:J369)+SUMIF($F371:$F$512,$D370,J371:J$512),0))*'[1]Processer - data'!J370,"")*IF($C370&lt;&gt;"",IF($F370="Halm",Landbrug!E$16*Landbrug!E$17,IF(LEFT($D370,5)="Areal", IF($G370="Ton",Landbrug!E$18,1),1)),1)*IF($F370="Grøntsager",IF($A370="Grøntsager i drivhus",Landbrug!E$51,1-Landbrug!E$51),1)</f>
        <v>-264234.83589805325</v>
      </c>
    </row>
    <row r="371" spans="1:10" x14ac:dyDescent="0.25">
      <c r="A371" t="str">
        <f>IF('[1]Processer - data'!A371&lt;&gt;"",'[1]Processer - data'!A371,"")</f>
        <v>Juletræsmark</v>
      </c>
      <c r="B371" t="str">
        <f>IF('[1]Processer - data'!B371&lt;&gt;"",'[1]Processer - data'!B371,"")</f>
        <v>Konventionel</v>
      </c>
      <c r="C371" t="str">
        <f>IF('[1]Processer - data'!C371&lt;&gt;"",'[1]Processer - data'!C371,"")</f>
        <v>JB1-10</v>
      </c>
      <c r="D371" t="str">
        <f>IF('[1]Processer - data'!D371&lt;&gt;"",'[1]Processer - data'!D371,"")</f>
        <v>Areal-juletræer</v>
      </c>
      <c r="E371" t="str">
        <f>IF('[1]Processer - data'!E371&lt;&gt;"",'[1]Processer - data'!E371,"")</f>
        <v>Hektar</v>
      </c>
      <c r="F371" t="str">
        <f>IF('[1]Processer - data'!F371&lt;&gt;"",'[1]Processer - data'!F371,"")</f>
        <v>CO2 - atmosfære</v>
      </c>
      <c r="G371" t="str">
        <f>IF('[1]Processer - data'!G371&lt;&gt;"",'[1]Processer - data'!G371,"")</f>
        <v>t CO2-ækvivalenter</v>
      </c>
      <c r="H371" s="297">
        <f>IF($A371&lt;&gt;"",IF(VLOOKUP($A371,[1]!Table1[#All],2,FALSE)="Direkte input",IF($A371&lt;&gt;"Grøntsager i drivhus",SUMIFS('Direkte input'!G$3:G$230,'Direkte input'!$F$3:$F$230,$D371,'Direkte input'!$C$3:$C$230,$B371,'Direkte input'!$D$3:$D$230,$C371,'Direkte input'!$A$3:$A$230,$A$1),SUMIFS('Direkte input'!G$3:G$230,'Direkte input'!$F$3:$F$230,$D371,'Direkte input'!$C$3:$C$230,$B371,'Direkte input'!$A$3:$A$230,$A$1)),IF(VLOOKUP($A371,[1]!Table1[#All],2,FALSE)="Resultat",SUMIF($F$1:$F370,$D371,H$1:H370)+SUMIF($F372:$F$512,$D371,H372:H$512),0))*'[1]Processer - data'!H371,"")*IF($C371&lt;&gt;"",IF($F371="Halm",Landbrug!C$16*Landbrug!C$17,IF(LEFT($D371,5)="Areal", IF($G371="Ton",Landbrug!C$18,1),1)),1)*IF($F371="Grøntsager",IF($A371="Grøntsager i drivhus",Landbrug!C$51,1-Landbrug!C$51),1)</f>
        <v>5147.8340962744942</v>
      </c>
      <c r="I371" s="298">
        <f>IF($A371&lt;&gt;"",IF(VLOOKUP($A371,[1]!Table1[#All],2,FALSE)="Direkte input",IF($A371&lt;&gt;"Grøntsager i drivhus",SUMIFS('Direkte input'!H$3:H$230,'Direkte input'!$F$3:$F$230,$D371,'Direkte input'!$C$3:$C$230,$B371,'Direkte input'!$D$3:$D$230,$C371,'Direkte input'!$A$3:$A$230,$A$1),SUMIFS('Direkte input'!H$3:H$230,'Direkte input'!$F$3:$F$230,$D371,'Direkte input'!$C$3:$C$230,$B371,'Direkte input'!$A$3:$A$230,$A$1)),IF(VLOOKUP($A371,[1]!Table1[#All],2,FALSE)="Resultat",SUMIF($F$1:$F370,$D371,I$1:I370)+SUMIF($F372:$F$512,$D371,I372:I$512),0))*'[1]Processer - data'!I371,"")*IF($C371&lt;&gt;"",IF($F371="Halm",Landbrug!D$16*Landbrug!D$17,IF(LEFT($D371,5)="Areal", IF($G371="Ton",Landbrug!D$18,1),1)),1)*IF($F371="Grøntsager",IF($A371="Grøntsager i drivhus",Landbrug!D$51,1-Landbrug!D$51),1)</f>
        <v>4996.8832348706519</v>
      </c>
      <c r="J371" s="299">
        <f>IF($A371&lt;&gt;"",IF(VLOOKUP($A371,[1]!Table1[#All],2,FALSE)="Direkte input",IF($A371&lt;&gt;"Grøntsager i drivhus",SUMIFS('Direkte input'!I$3:I$230,'Direkte input'!$F$3:$F$230,$D371,'Direkte input'!$C$3:$C$230,$B371,'Direkte input'!$D$3:$D$230,$C371,'Direkte input'!$A$3:$A$230,$A$1),SUMIFS('Direkte input'!I$3:I$230,'Direkte input'!$F$3:$F$230,$D371,'Direkte input'!$C$3:$C$230,$B371,'Direkte input'!$A$3:$A$230,$A$1)),IF(VLOOKUP($A371,[1]!Table1[#All],2,FALSE)="Resultat",SUMIF($F$1:$F370,$D371,J$1:J370)+SUMIF($F372:$F$512,$D371,J372:J$512),0))*'[1]Processer - data'!J371,"")*IF($C371&lt;&gt;"",IF($F371="Halm",Landbrug!E$16*Landbrug!E$17,IF(LEFT($D371,5)="Areal", IF($G371="Ton",Landbrug!E$18,1),1)),1)*IF($F371="Grøntsager",IF($A371="Grøntsager i drivhus",Landbrug!E$51,1-Landbrug!E$51),1)</f>
        <v>4721.8629874386206</v>
      </c>
    </row>
    <row r="372" spans="1:10" x14ac:dyDescent="0.25">
      <c r="A372" t="str">
        <f>IF('[1]Processer - data'!A372&lt;&gt;"",'[1]Processer - data'!A372,"")</f>
        <v>Juletræsmark</v>
      </c>
      <c r="B372" t="str">
        <f>IF('[1]Processer - data'!B372&lt;&gt;"",'[1]Processer - data'!B372,"")</f>
        <v>Konventionel</v>
      </c>
      <c r="C372" t="str">
        <f>IF('[1]Processer - data'!C372&lt;&gt;"",'[1]Processer - data'!C372,"")</f>
        <v>OC6</v>
      </c>
      <c r="D372" t="str">
        <f>IF('[1]Processer - data'!D372&lt;&gt;"",'[1]Processer - data'!D372,"")</f>
        <v>Areal-juletræer</v>
      </c>
      <c r="E372" t="str">
        <f>IF('[1]Processer - data'!E372&lt;&gt;"",'[1]Processer - data'!E372,"")</f>
        <v>Hektar</v>
      </c>
      <c r="F372" t="str">
        <f>IF('[1]Processer - data'!F372&lt;&gt;"",'[1]Processer - data'!F372,"")</f>
        <v>Juletræer</v>
      </c>
      <c r="G372" t="str">
        <f>IF('[1]Processer - data'!G372&lt;&gt;"",'[1]Processer - data'!G372,"")</f>
        <v>Ton</v>
      </c>
      <c r="H372" s="297">
        <f>IF($A372&lt;&gt;"",IF(VLOOKUP($A372,[1]!Table1[#All],2,FALSE)="Direkte input",IF($A372&lt;&gt;"Grøntsager i drivhus",SUMIFS('Direkte input'!G$3:G$230,'Direkte input'!$F$3:$F$230,$D372,'Direkte input'!$C$3:$C$230,$B372,'Direkte input'!$D$3:$D$230,$C372,'Direkte input'!$A$3:$A$230,$A$1),SUMIFS('Direkte input'!G$3:G$230,'Direkte input'!$F$3:$F$230,$D372,'Direkte input'!$C$3:$C$230,$B372,'Direkte input'!$A$3:$A$230,$A$1)),IF(VLOOKUP($A372,[1]!Table1[#All],2,FALSE)="Resultat",SUMIF($F$1:$F371,$D372,H$1:H371)+SUMIF($F373:$F$512,$D372,H373:H$512),0))*'[1]Processer - data'!H372,"")*IF($C372&lt;&gt;"",IF($F372="Halm",Landbrug!C$16*Landbrug!C$17,IF(LEFT($D372,5)="Areal", IF($G372="Ton",Landbrug!C$18,1),1)),1)*IF($F372="Grøntsager",IF($A372="Grøntsager i drivhus",Landbrug!C$51,1-Landbrug!C$51),1)</f>
        <v>2812.181792642938</v>
      </c>
      <c r="I372" s="298">
        <f>IF($A372&lt;&gt;"",IF(VLOOKUP($A372,[1]!Table1[#All],2,FALSE)="Direkte input",IF($A372&lt;&gt;"Grøntsager i drivhus",SUMIFS('Direkte input'!H$3:H$230,'Direkte input'!$F$3:$F$230,$D372,'Direkte input'!$C$3:$C$230,$B372,'Direkte input'!$D$3:$D$230,$C372,'Direkte input'!$A$3:$A$230,$A$1),SUMIFS('Direkte input'!H$3:H$230,'Direkte input'!$F$3:$F$230,$D372,'Direkte input'!$C$3:$C$230,$B372,'Direkte input'!$A$3:$A$230,$A$1)),IF(VLOOKUP($A372,[1]!Table1[#All],2,FALSE)="Resultat",SUMIF($F$1:$F371,$D372,I$1:I371)+SUMIF($F373:$F$512,$D372,I373:I$512),0))*'[1]Processer - data'!I372,"")*IF($C372&lt;&gt;"",IF($F372="Halm",Landbrug!D$16*Landbrug!D$17,IF(LEFT($D372,5)="Areal", IF($G372="Ton",Landbrug!D$18,1),1)),1)*IF($F372="Grøntsager",IF($A372="Grøntsager i drivhus",Landbrug!D$51,1-Landbrug!D$51),1)</f>
        <v>2726.8395852343597</v>
      </c>
      <c r="J372" s="299">
        <f>IF($A372&lt;&gt;"",IF(VLOOKUP($A372,[1]!Table1[#All],2,FALSE)="Direkte input",IF($A372&lt;&gt;"Grøntsager i drivhus",SUMIFS('Direkte input'!I$3:I$230,'Direkte input'!$F$3:$F$230,$D372,'Direkte input'!$C$3:$C$230,$B372,'Direkte input'!$D$3:$D$230,$C372,'Direkte input'!$A$3:$A$230,$A$1),SUMIFS('Direkte input'!I$3:I$230,'Direkte input'!$F$3:$F$230,$D372,'Direkte input'!$C$3:$C$230,$B372,'Direkte input'!$A$3:$A$230,$A$1)),IF(VLOOKUP($A372,[1]!Table1[#All],2,FALSE)="Resultat",SUMIF($F$1:$F371,$D372,J$1:J371)+SUMIF($F373:$F$512,$D372,J373:J$512),0))*'[1]Processer - data'!J372,"")*IF($C372&lt;&gt;"",IF($F372="Halm",Landbrug!E$16*Landbrug!E$17,IF(LEFT($D372,5)="Areal", IF($G372="Ton",Landbrug!E$18,1),1)),1)*IF($F372="Grøntsager",IF($A372="Grøntsager i drivhus",Landbrug!E$51,1-Landbrug!E$51),1)</f>
        <v>2789.9761199325972</v>
      </c>
    </row>
    <row r="373" spans="1:10" x14ac:dyDescent="0.25">
      <c r="A373" t="str">
        <f>IF('[1]Processer - data'!A373&lt;&gt;"",'[1]Processer - data'!A373,"")</f>
        <v>Juletræsmark</v>
      </c>
      <c r="B373" t="str">
        <f>IF('[1]Processer - data'!B373&lt;&gt;"",'[1]Processer - data'!B373,"")</f>
        <v>Konventionel</v>
      </c>
      <c r="C373" t="str">
        <f>IF('[1]Processer - data'!C373&lt;&gt;"",'[1]Processer - data'!C373,"")</f>
        <v>OC6</v>
      </c>
      <c r="D373" t="str">
        <f>IF('[1]Processer - data'!D373&lt;&gt;"",'[1]Processer - data'!D373,"")</f>
        <v>Areal-juletræer</v>
      </c>
      <c r="E373" t="str">
        <f>IF('[1]Processer - data'!E373&lt;&gt;"",'[1]Processer - data'!E373,"")</f>
        <v>Hektar</v>
      </c>
      <c r="F373" t="str">
        <f>IF('[1]Processer - data'!F373&lt;&gt;"",'[1]Processer - data'!F373,"")</f>
        <v>Gødning</v>
      </c>
      <c r="G373" t="str">
        <f>IF('[1]Processer - data'!G373&lt;&gt;"",'[1]Processer - data'!G373,"")</f>
        <v>kg N</v>
      </c>
      <c r="H373" s="297">
        <f>IF($A373&lt;&gt;"",IF(VLOOKUP($A373,[1]!Table1[#All],2,FALSE)="Direkte input",IF($A373&lt;&gt;"Grøntsager i drivhus",SUMIFS('Direkte input'!G$3:G$230,'Direkte input'!$F$3:$F$230,$D373,'Direkte input'!$C$3:$C$230,$B373,'Direkte input'!$D$3:$D$230,$C373,'Direkte input'!$A$3:$A$230,$A$1),SUMIFS('Direkte input'!G$3:G$230,'Direkte input'!$F$3:$F$230,$D373,'Direkte input'!$C$3:$C$230,$B373,'Direkte input'!$A$3:$A$230,$A$1)),IF(VLOOKUP($A373,[1]!Table1[#All],2,FALSE)="Resultat",SUMIF($F$1:$F372,$D373,H$1:H372)+SUMIF($F374:$F$512,$D373,H374:H$512),0))*'[1]Processer - data'!H373,"")*IF($C373&lt;&gt;"",IF($F373="Halm",Landbrug!C$16*Landbrug!C$17,IF(LEFT($D373,5)="Areal", IF($G373="Ton",Landbrug!C$18,1),1)),1)*IF($F373="Grøntsager",IF($A373="Grøntsager i drivhus",Landbrug!C$51,1-Landbrug!C$51),1)</f>
        <v>-4686.9696544048975</v>
      </c>
      <c r="I373" s="298">
        <f>IF($A373&lt;&gt;"",IF(VLOOKUP($A373,[1]!Table1[#All],2,FALSE)="Direkte input",IF($A373&lt;&gt;"Grøntsager i drivhus",SUMIFS('Direkte input'!H$3:H$230,'Direkte input'!$F$3:$F$230,$D373,'Direkte input'!$C$3:$C$230,$B373,'Direkte input'!$D$3:$D$230,$C373,'Direkte input'!$A$3:$A$230,$A$1),SUMIFS('Direkte input'!H$3:H$230,'Direkte input'!$F$3:$F$230,$D373,'Direkte input'!$C$3:$C$230,$B373,'Direkte input'!$A$3:$A$230,$A$1)),IF(VLOOKUP($A373,[1]!Table1[#All],2,FALSE)="Resultat",SUMIF($F$1:$F372,$D373,I$1:I372)+SUMIF($F374:$F$512,$D373,I374:I$512),0))*'[1]Processer - data'!I373,"")*IF($C373&lt;&gt;"",IF($F373="Halm",Landbrug!D$16*Landbrug!D$17,IF(LEFT($D373,5)="Areal", IF($G373="Ton",Landbrug!D$18,1),1)),1)*IF($F373="Grøntsager",IF($A373="Grøntsager i drivhus",Landbrug!D$51,1-Landbrug!D$51),1)</f>
        <v>-4239.4894049041659</v>
      </c>
      <c r="J373" s="299">
        <f>IF($A373&lt;&gt;"",IF(VLOOKUP($A373,[1]!Table1[#All],2,FALSE)="Direkte input",IF($A373&lt;&gt;"Grøntsager i drivhus",SUMIFS('Direkte input'!I$3:I$230,'Direkte input'!$F$3:$F$230,$D373,'Direkte input'!$C$3:$C$230,$B373,'Direkte input'!$D$3:$D$230,$C373,'Direkte input'!$A$3:$A$230,$A$1),SUMIFS('Direkte input'!I$3:I$230,'Direkte input'!$F$3:$F$230,$D373,'Direkte input'!$C$3:$C$230,$B373,'Direkte input'!$A$3:$A$230,$A$1)),IF(VLOOKUP($A373,[1]!Table1[#All],2,FALSE)="Resultat",SUMIF($F$1:$F372,$D373,J$1:J372)+SUMIF($F374:$F$512,$D373,J374:J$512),0))*'[1]Processer - data'!J373,"")*IF($C373&lt;&gt;"",IF($F373="Halm",Landbrug!E$16*Landbrug!E$17,IF(LEFT($D373,5)="Areal", IF($G373="Ton",Landbrug!E$18,1),1)),1)*IF($F373="Grøntsager",IF($A373="Grøntsager i drivhus",Landbrug!E$51,1-Landbrug!E$51),1)</f>
        <v>-4043.4436520762274</v>
      </c>
    </row>
    <row r="374" spans="1:10" x14ac:dyDescent="0.25">
      <c r="A374" t="str">
        <f>IF('[1]Processer - data'!A374&lt;&gt;"",'[1]Processer - data'!A374,"")</f>
        <v>Juletræsmark</v>
      </c>
      <c r="B374" t="str">
        <f>IF('[1]Processer - data'!B374&lt;&gt;"",'[1]Processer - data'!B374,"")</f>
        <v>Konventionel</v>
      </c>
      <c r="C374" t="str">
        <f>IF('[1]Processer - data'!C374&lt;&gt;"",'[1]Processer - data'!C374,"")</f>
        <v>OC6</v>
      </c>
      <c r="D374" t="str">
        <f>IF('[1]Processer - data'!D374&lt;&gt;"",'[1]Processer - data'!D374,"")</f>
        <v>Areal-juletræer</v>
      </c>
      <c r="E374" t="str">
        <f>IF('[1]Processer - data'!E374&lt;&gt;"",'[1]Processer - data'!E374,"")</f>
        <v>Hektar</v>
      </c>
      <c r="F374" t="str">
        <f>IF('[1]Processer - data'!F374&lt;&gt;"",'[1]Processer - data'!F374,"")</f>
        <v>CO2 - atmosfære</v>
      </c>
      <c r="G374" t="str">
        <f>IF('[1]Processer - data'!G374&lt;&gt;"",'[1]Processer - data'!G374,"")</f>
        <v>t CO2-ækvivalenter</v>
      </c>
      <c r="H374" s="297">
        <f>IF($A374&lt;&gt;"",IF(VLOOKUP($A374,[1]!Table1[#All],2,FALSE)="Direkte input",IF($A374&lt;&gt;"Grøntsager i drivhus",SUMIFS('Direkte input'!G$3:G$230,'Direkte input'!$F$3:$F$230,$D374,'Direkte input'!$C$3:$C$230,$B374,'Direkte input'!$D$3:$D$230,$C374,'Direkte input'!$A$3:$A$230,$A$1),SUMIFS('Direkte input'!G$3:G$230,'Direkte input'!$F$3:$F$230,$D374,'Direkte input'!$C$3:$C$230,$B374,'Direkte input'!$A$3:$A$230,$A$1)),IF(VLOOKUP($A374,[1]!Table1[#All],2,FALSE)="Resultat",SUMIF($F$1:$F373,$D374,H$1:H373)+SUMIF($F375:$F$512,$D374,H375:H$512),0))*'[1]Processer - data'!H374,"")*IF($C374&lt;&gt;"",IF($F374="Halm",Landbrug!C$16*Landbrug!C$17,IF(LEFT($D374,5)="Areal", IF($G374="Ton",Landbrug!C$18,1),1)),1)*IF($F374="Grøntsager",IF($A374="Grøntsager i drivhus",Landbrug!C$51,1-Landbrug!C$51),1)</f>
        <v>499.71037964943969</v>
      </c>
      <c r="I374" s="298">
        <f>IF($A374&lt;&gt;"",IF(VLOOKUP($A374,[1]!Table1[#All],2,FALSE)="Direkte input",IF($A374&lt;&gt;"Grøntsager i drivhus",SUMIFS('Direkte input'!H$3:H$230,'Direkte input'!$F$3:$F$230,$D374,'Direkte input'!$C$3:$C$230,$B374,'Direkte input'!$D$3:$D$230,$C374,'Direkte input'!$A$3:$A$230,$A$1),SUMIFS('Direkte input'!H$3:H$230,'Direkte input'!$F$3:$F$230,$D374,'Direkte input'!$C$3:$C$230,$B374,'Direkte input'!$A$3:$A$230,$A$1)),IF(VLOOKUP($A374,[1]!Table1[#All],2,FALSE)="Resultat",SUMIF($F$1:$F373,$D374,I$1:I373)+SUMIF($F375:$F$512,$D374,I375:I$512),0))*'[1]Processer - data'!I374,"")*IF($C374&lt;&gt;"",IF($F374="Halm",Landbrug!D$16*Landbrug!D$17,IF(LEFT($D374,5)="Areal", IF($G374="Ton",Landbrug!D$18,1),1)),1)*IF($F374="Grøntsager",IF($A374="Grøntsager i drivhus",Landbrug!D$51,1-Landbrug!D$51),1)</f>
        <v>452.00140309281039</v>
      </c>
      <c r="J374" s="299">
        <f>IF($A374&lt;&gt;"",IF(VLOOKUP($A374,[1]!Table1[#All],2,FALSE)="Direkte input",IF($A374&lt;&gt;"Grøntsager i drivhus",SUMIFS('Direkte input'!I$3:I$230,'Direkte input'!$F$3:$F$230,$D374,'Direkte input'!$C$3:$C$230,$B374,'Direkte input'!$D$3:$D$230,$C374,'Direkte input'!$A$3:$A$230,$A$1),SUMIFS('Direkte input'!I$3:I$230,'Direkte input'!$F$3:$F$230,$D374,'Direkte input'!$C$3:$C$230,$B374,'Direkte input'!$A$3:$A$230,$A$1)),IF(VLOOKUP($A374,[1]!Table1[#All],2,FALSE)="Resultat",SUMIF($F$1:$F373,$D374,J$1:J373)+SUMIF($F375:$F$512,$D374,J375:J$512),0))*'[1]Processer - data'!J374,"")*IF($C374&lt;&gt;"",IF($F374="Halm",Landbrug!E$16*Landbrug!E$17,IF(LEFT($D374,5)="Areal", IF($G374="Ton",Landbrug!E$18,1),1)),1)*IF($F374="Grøntsager",IF($A374="Grøntsager i drivhus",Landbrug!E$51,1-Landbrug!E$51),1)</f>
        <v>431.09960410585961</v>
      </c>
    </row>
    <row r="375" spans="1:10" x14ac:dyDescent="0.25">
      <c r="A375" t="str">
        <f>IF('[1]Processer - data'!A375&lt;&gt;"",'[1]Processer - data'!A375,"")</f>
        <v>Juletræsmark</v>
      </c>
      <c r="B375" t="str">
        <f>IF('[1]Processer - data'!B375&lt;&gt;"",'[1]Processer - data'!B375,"")</f>
        <v>Konventionel</v>
      </c>
      <c r="C375" t="str">
        <f>IF('[1]Processer - data'!C375&lt;&gt;"",'[1]Processer - data'!C375,"")</f>
        <v>OC12</v>
      </c>
      <c r="D375" t="str">
        <f>IF('[1]Processer - data'!D375&lt;&gt;"",'[1]Processer - data'!D375,"")</f>
        <v>Areal-juletræer</v>
      </c>
      <c r="E375" t="str">
        <f>IF('[1]Processer - data'!E375&lt;&gt;"",'[1]Processer - data'!E375,"")</f>
        <v>Hektar</v>
      </c>
      <c r="F375" t="str">
        <f>IF('[1]Processer - data'!F375&lt;&gt;"",'[1]Processer - data'!F375,"")</f>
        <v>Juletræer</v>
      </c>
      <c r="G375" t="str">
        <f>IF('[1]Processer - data'!G375&lt;&gt;"",'[1]Processer - data'!G375,"")</f>
        <v>Ton</v>
      </c>
      <c r="H375" s="297">
        <f>IF($A375&lt;&gt;"",IF(VLOOKUP($A375,[1]!Table1[#All],2,FALSE)="Direkte input",IF($A375&lt;&gt;"Grøntsager i drivhus",SUMIFS('Direkte input'!G$3:G$230,'Direkte input'!$F$3:$F$230,$D375,'Direkte input'!$C$3:$C$230,$B375,'Direkte input'!$D$3:$D$230,$C375,'Direkte input'!$A$3:$A$230,$A$1),SUMIFS('Direkte input'!G$3:G$230,'Direkte input'!$F$3:$F$230,$D375,'Direkte input'!$C$3:$C$230,$B375,'Direkte input'!$A$3:$A$230,$A$1)),IF(VLOOKUP($A375,[1]!Table1[#All],2,FALSE)="Resultat",SUMIF($F$1:$F374,$D375,H$1:H374)+SUMIF($F376:$F$512,$D375,H376:H$512),0))*'[1]Processer - data'!H375,"")*IF($C375&lt;&gt;"",IF($F375="Halm",Landbrug!C$16*Landbrug!C$17,IF(LEFT($D375,5)="Areal", IF($G375="Ton",Landbrug!C$18,1),1)),1)*IF($F375="Grøntsager",IF($A375="Grøntsager i drivhus",Landbrug!C$51,1-Landbrug!C$51),1)</f>
        <v>1980.7969706765966</v>
      </c>
      <c r="I375" s="298">
        <f>IF($A375&lt;&gt;"",IF(VLOOKUP($A375,[1]!Table1[#All],2,FALSE)="Direkte input",IF($A375&lt;&gt;"Grøntsager i drivhus",SUMIFS('Direkte input'!H$3:H$230,'Direkte input'!$F$3:$F$230,$D375,'Direkte input'!$C$3:$C$230,$B375,'Direkte input'!$D$3:$D$230,$C375,'Direkte input'!$A$3:$A$230,$A$1),SUMIFS('Direkte input'!H$3:H$230,'Direkte input'!$F$3:$F$230,$D375,'Direkte input'!$C$3:$C$230,$B375,'Direkte input'!$A$3:$A$230,$A$1)),IF(VLOOKUP($A375,[1]!Table1[#All],2,FALSE)="Resultat",SUMIF($F$1:$F374,$D375,I$1:I374)+SUMIF($F376:$F$512,$D375,I376:I$512),0))*'[1]Processer - data'!I375,"")*IF($C375&lt;&gt;"",IF($F375="Halm",Landbrug!D$16*Landbrug!D$17,IF(LEFT($D375,5)="Areal", IF($G375="Ton",Landbrug!D$18,1),1)),1)*IF($F375="Grøntsager",IF($A375="Grøntsager i drivhus",Landbrug!D$51,1-Landbrug!D$51),1)</f>
        <v>1935.8931441266006</v>
      </c>
      <c r="J375" s="299">
        <f>IF($A375&lt;&gt;"",IF(VLOOKUP($A375,[1]!Table1[#All],2,FALSE)="Direkte input",IF($A375&lt;&gt;"Grøntsager i drivhus",SUMIFS('Direkte input'!I$3:I$230,'Direkte input'!$F$3:$F$230,$D375,'Direkte input'!$C$3:$C$230,$B375,'Direkte input'!$D$3:$D$230,$C375,'Direkte input'!$A$3:$A$230,$A$1),SUMIFS('Direkte input'!I$3:I$230,'Direkte input'!$F$3:$F$230,$D375,'Direkte input'!$C$3:$C$230,$B375,'Direkte input'!$A$3:$A$230,$A$1)),IF(VLOOKUP($A375,[1]!Table1[#All],2,FALSE)="Resultat",SUMIF($F$1:$F374,$D375,J$1:J374)+SUMIF($F376:$F$512,$D375,J376:J$512),0))*'[1]Processer - data'!J375,"")*IF($C375&lt;&gt;"",IF($F375="Halm",Landbrug!E$16*Landbrug!E$17,IF(LEFT($D375,5)="Areal", IF($G375="Ton",Landbrug!E$18,1),1)),1)*IF($F375="Grøntsager",IF($A375="Grøntsager i drivhus",Landbrug!E$51,1-Landbrug!E$51),1)</f>
        <v>1980.7163105967043</v>
      </c>
    </row>
    <row r="376" spans="1:10" x14ac:dyDescent="0.25">
      <c r="A376" t="str">
        <f>IF('[1]Processer - data'!A376&lt;&gt;"",'[1]Processer - data'!A376,"")</f>
        <v>Juletræsmark</v>
      </c>
      <c r="B376" t="str">
        <f>IF('[1]Processer - data'!B376&lt;&gt;"",'[1]Processer - data'!B376,"")</f>
        <v>Konventionel</v>
      </c>
      <c r="C376" t="str">
        <f>IF('[1]Processer - data'!C376&lt;&gt;"",'[1]Processer - data'!C376,"")</f>
        <v>OC12</v>
      </c>
      <c r="D376" t="str">
        <f>IF('[1]Processer - data'!D376&lt;&gt;"",'[1]Processer - data'!D376,"")</f>
        <v>Areal-juletræer</v>
      </c>
      <c r="E376" t="str">
        <f>IF('[1]Processer - data'!E376&lt;&gt;"",'[1]Processer - data'!E376,"")</f>
        <v>Hektar</v>
      </c>
      <c r="F376" t="str">
        <f>IF('[1]Processer - data'!F376&lt;&gt;"",'[1]Processer - data'!F376,"")</f>
        <v>Gødning</v>
      </c>
      <c r="G376" t="str">
        <f>IF('[1]Processer - data'!G376&lt;&gt;"",'[1]Processer - data'!G376,"")</f>
        <v>kg N</v>
      </c>
      <c r="H376" s="297">
        <f>IF($A376&lt;&gt;"",IF(VLOOKUP($A376,[1]!Table1[#All],2,FALSE)="Direkte input",IF($A376&lt;&gt;"Grøntsager i drivhus",SUMIFS('Direkte input'!G$3:G$230,'Direkte input'!$F$3:$F$230,$D376,'Direkte input'!$C$3:$C$230,$B376,'Direkte input'!$D$3:$D$230,$C376,'Direkte input'!$A$3:$A$230,$A$1),SUMIFS('Direkte input'!G$3:G$230,'Direkte input'!$F$3:$F$230,$D376,'Direkte input'!$C$3:$C$230,$B376,'Direkte input'!$A$3:$A$230,$A$1)),IF(VLOOKUP($A376,[1]!Table1[#All],2,FALSE)="Resultat",SUMIF($F$1:$F375,$D376,H$1:H375)+SUMIF($F377:$F$512,$D376,H377:H$512),0))*'[1]Processer - data'!H376,"")*IF($C376&lt;&gt;"",IF($F376="Halm",Landbrug!C$16*Landbrug!C$17,IF(LEFT($D376,5)="Areal", IF($G376="Ton",Landbrug!C$18,1),1)),1)*IF($F376="Grøntsager",IF($A376="Grøntsager i drivhus",Landbrug!C$51,1-Landbrug!C$51),1)</f>
        <v>-2546.7389622984815</v>
      </c>
      <c r="I376" s="298">
        <f>IF($A376&lt;&gt;"",IF(VLOOKUP($A376,[1]!Table1[#All],2,FALSE)="Direkte input",IF($A376&lt;&gt;"Grøntsager i drivhus",SUMIFS('Direkte input'!H$3:H$230,'Direkte input'!$F$3:$F$230,$D376,'Direkte input'!$C$3:$C$230,$B376,'Direkte input'!$D$3:$D$230,$C376,'Direkte input'!$A$3:$A$230,$A$1),SUMIFS('Direkte input'!H$3:H$230,'Direkte input'!$F$3:$F$230,$D376,'Direkte input'!$C$3:$C$230,$B376,'Direkte input'!$A$3:$A$230,$A$1)),IF(VLOOKUP($A376,[1]!Table1[#All],2,FALSE)="Resultat",SUMIF($F$1:$F375,$D376,I$1:I375)+SUMIF($F377:$F$512,$D376,I377:I$512),0))*'[1]Processer - data'!I376,"")*IF($C376&lt;&gt;"",IF($F376="Halm",Landbrug!D$16*Landbrug!D$17,IF(LEFT($D376,5)="Areal", IF($G376="Ton",Landbrug!D$18,1),1)),1)*IF($F376="Grøntsager",IF($A376="Grøntsager i drivhus",Landbrug!D$51,1-Landbrug!D$51),1)</f>
        <v>-2321.833461772309</v>
      </c>
      <c r="J376" s="299">
        <f>IF($A376&lt;&gt;"",IF(VLOOKUP($A376,[1]!Table1[#All],2,FALSE)="Direkte input",IF($A376&lt;&gt;"Grøntsager i drivhus",SUMIFS('Direkte input'!I$3:I$230,'Direkte input'!$F$3:$F$230,$D376,'Direkte input'!$C$3:$C$230,$B376,'Direkte input'!$D$3:$D$230,$C376,'Direkte input'!$A$3:$A$230,$A$1),SUMIFS('Direkte input'!I$3:I$230,'Direkte input'!$F$3:$F$230,$D376,'Direkte input'!$C$3:$C$230,$B376,'Direkte input'!$A$3:$A$230,$A$1)),IF(VLOOKUP($A376,[1]!Table1[#All],2,FALSE)="Resultat",SUMIF($F$1:$F375,$D376,J$1:J375)+SUMIF($F377:$F$512,$D376,J377:J$512),0))*'[1]Processer - data'!J376,"")*IF($C376&lt;&gt;"",IF($F376="Halm",Landbrug!E$16*Landbrug!E$17,IF(LEFT($D376,5)="Areal", IF($G376="Ton",Landbrug!E$18,1),1)),1)*IF($F376="Grøntsager",IF($A376="Grøntsager i drivhus",Landbrug!E$51,1-Landbrug!E$51),1)</f>
        <v>-2214.4654404186758</v>
      </c>
    </row>
    <row r="377" spans="1:10" x14ac:dyDescent="0.25">
      <c r="A377" t="str">
        <f>IF('[1]Processer - data'!A377&lt;&gt;"",'[1]Processer - data'!A377,"")</f>
        <v>Juletræsmark</v>
      </c>
      <c r="B377" t="str">
        <f>IF('[1]Processer - data'!B377&lt;&gt;"",'[1]Processer - data'!B377,"")</f>
        <v>Konventionel</v>
      </c>
      <c r="C377" t="str">
        <f>IF('[1]Processer - data'!C377&lt;&gt;"",'[1]Processer - data'!C377,"")</f>
        <v>OC12</v>
      </c>
      <c r="D377" t="str">
        <f>IF('[1]Processer - data'!D377&lt;&gt;"",'[1]Processer - data'!D377,"")</f>
        <v>Areal-juletræer</v>
      </c>
      <c r="E377" t="str">
        <f>IF('[1]Processer - data'!E377&lt;&gt;"",'[1]Processer - data'!E377,"")</f>
        <v>Hektar</v>
      </c>
      <c r="F377" t="str">
        <f>IF('[1]Processer - data'!F377&lt;&gt;"",'[1]Processer - data'!F377,"")</f>
        <v>CO2 - atmosfære</v>
      </c>
      <c r="G377" t="str">
        <f>IF('[1]Processer - data'!G377&lt;&gt;"",'[1]Processer - data'!G377,"")</f>
        <v>t CO2-ækvivalenter</v>
      </c>
      <c r="H377" s="297">
        <f>IF($A377&lt;&gt;"",IF(VLOOKUP($A377,[1]!Table1[#All],2,FALSE)="Direkte input",IF($A377&lt;&gt;"Grøntsager i drivhus",SUMIFS('Direkte input'!G$3:G$230,'Direkte input'!$F$3:$F$230,$D377,'Direkte input'!$C$3:$C$230,$B377,'Direkte input'!$D$3:$D$230,$C377,'Direkte input'!$A$3:$A$230,$A$1),SUMIFS('Direkte input'!G$3:G$230,'Direkte input'!$F$3:$F$230,$D377,'Direkte input'!$C$3:$C$230,$B377,'Direkte input'!$A$3:$A$230,$A$1)),IF(VLOOKUP($A377,[1]!Table1[#All],2,FALSE)="Resultat",SUMIF($F$1:$F376,$D377,H$1:H376)+SUMIF($F378:$F$512,$D377,H378:H$512),0))*'[1]Processer - data'!H377,"")*IF($C377&lt;&gt;"",IF($F377="Halm",Landbrug!C$16*Landbrug!C$17,IF(LEFT($D377,5)="Areal", IF($G377="Ton",Landbrug!C$18,1),1)),1)*IF($F377="Grøntsager",IF($A377="Grøntsager i drivhus",Landbrug!C$51,1-Landbrug!C$51),1)</f>
        <v>806.51528374664895</v>
      </c>
      <c r="I377" s="298">
        <f>IF($A377&lt;&gt;"",IF(VLOOKUP($A377,[1]!Table1[#All],2,FALSE)="Direkte input",IF($A377&lt;&gt;"Grøntsager i drivhus",SUMIFS('Direkte input'!H$3:H$230,'Direkte input'!$F$3:$F$230,$D377,'Direkte input'!$C$3:$C$230,$B377,'Direkte input'!$D$3:$D$230,$C377,'Direkte input'!$A$3:$A$230,$A$1),SUMIFS('Direkte input'!H$3:H$230,'Direkte input'!$F$3:$F$230,$D377,'Direkte input'!$C$3:$C$230,$B377,'Direkte input'!$A$3:$A$230,$A$1)),IF(VLOOKUP($A377,[1]!Table1[#All],2,FALSE)="Resultat",SUMIF($F$1:$F376,$D377,I$1:I376)+SUMIF($F378:$F$512,$D377,I378:I$512),0))*'[1]Processer - data'!I377,"")*IF($C377&lt;&gt;"",IF($F377="Halm",Landbrug!D$16*Landbrug!D$17,IF(LEFT($D377,5)="Areal", IF($G377="Ton",Landbrug!D$18,1),1)),1)*IF($F377="Grøntsager",IF($A377="Grøntsager i drivhus",Landbrug!D$51,1-Landbrug!D$51),1)</f>
        <v>735.29097444038996</v>
      </c>
      <c r="J377" s="299">
        <f>IF($A377&lt;&gt;"",IF(VLOOKUP($A377,[1]!Table1[#All],2,FALSE)="Direkte input",IF($A377&lt;&gt;"Grøntsager i drivhus",SUMIFS('Direkte input'!I$3:I$230,'Direkte input'!$F$3:$F$230,$D377,'Direkte input'!$C$3:$C$230,$B377,'Direkte input'!$D$3:$D$230,$C377,'Direkte input'!$A$3:$A$230,$A$1),SUMIFS('Direkte input'!I$3:I$230,'Direkte input'!$F$3:$F$230,$D377,'Direkte input'!$C$3:$C$230,$B377,'Direkte input'!$A$3:$A$230,$A$1)),IF(VLOOKUP($A377,[1]!Table1[#All],2,FALSE)="Resultat",SUMIF($F$1:$F376,$D377,J$1:J376)+SUMIF($F378:$F$512,$D377,J378:J$512),0))*'[1]Processer - data'!J377,"")*IF($C377&lt;&gt;"",IF($F377="Halm",Landbrug!E$16*Landbrug!E$17,IF(LEFT($D377,5)="Areal", IF($G377="Ton",Landbrug!E$18,1),1)),1)*IF($F377="Grøntsager",IF($A377="Grøntsager i drivhus",Landbrug!E$51,1-Landbrug!E$51),1)</f>
        <v>701.28907966857992</v>
      </c>
    </row>
    <row r="378" spans="1:10" x14ac:dyDescent="0.25">
      <c r="A378" t="str">
        <f>IF('[1]Processer - data'!A378&lt;&gt;"",'[1]Processer - data'!A378,"")</f>
        <v>Juletræsmark</v>
      </c>
      <c r="B378" t="str">
        <f>IF('[1]Processer - data'!B378&lt;&gt;"",'[1]Processer - data'!B378,"")</f>
        <v>Økologisk</v>
      </c>
      <c r="C378" t="str">
        <f>IF('[1]Processer - data'!C378&lt;&gt;"",'[1]Processer - data'!C378,"")</f>
        <v>JB1-10</v>
      </c>
      <c r="D378" t="str">
        <f>IF('[1]Processer - data'!D378&lt;&gt;"",'[1]Processer - data'!D378,"")</f>
        <v>Areal-juletræer</v>
      </c>
      <c r="E378" t="str">
        <f>IF('[1]Processer - data'!E378&lt;&gt;"",'[1]Processer - data'!E378,"")</f>
        <v>Hektar</v>
      </c>
      <c r="F378" t="str">
        <f>IF('[1]Processer - data'!F378&lt;&gt;"",'[1]Processer - data'!F378,"")</f>
        <v>Juletræer</v>
      </c>
      <c r="G378" t="str">
        <f>IF('[1]Processer - data'!G378&lt;&gt;"",'[1]Processer - data'!G378,"")</f>
        <v>Ton</v>
      </c>
      <c r="H378" s="297">
        <f>IF($A378&lt;&gt;"",IF(VLOOKUP($A378,[1]!Table1[#All],2,FALSE)="Direkte input",IF($A378&lt;&gt;"Grøntsager i drivhus",SUMIFS('Direkte input'!G$3:G$230,'Direkte input'!$F$3:$F$230,$D378,'Direkte input'!$C$3:$C$230,$B378,'Direkte input'!$D$3:$D$230,$C378,'Direkte input'!$A$3:$A$230,$A$1),SUMIFS('Direkte input'!G$3:G$230,'Direkte input'!$F$3:$F$230,$D378,'Direkte input'!$C$3:$C$230,$B378,'Direkte input'!$A$3:$A$230,$A$1)),IF(VLOOKUP($A378,[1]!Table1[#All],2,FALSE)="Resultat",SUMIF($F$1:$F377,$D378,H$1:H377)+SUMIF($F379:$F$512,$D378,H379:H$512),0))*'[1]Processer - data'!H378,"")*IF($C378&lt;&gt;"",IF($F378="Halm",Landbrug!C$16*Landbrug!C$17,IF(LEFT($D378,5)="Areal", IF($G378="Ton",Landbrug!C$18,1),1)),1)*IF($F378="Grøntsager",IF($A378="Grøntsager i drivhus",Landbrug!C$51,1-Landbrug!C$51),1)</f>
        <v>9543.1830100275256</v>
      </c>
      <c r="I378" s="298">
        <f>IF($A378&lt;&gt;"",IF(VLOOKUP($A378,[1]!Table1[#All],2,FALSE)="Direkte input",IF($A378&lt;&gt;"Grøntsager i drivhus",SUMIFS('Direkte input'!H$3:H$230,'Direkte input'!$F$3:$F$230,$D378,'Direkte input'!$C$3:$C$230,$B378,'Direkte input'!$D$3:$D$230,$C378,'Direkte input'!$A$3:$A$230,$A$1),SUMIFS('Direkte input'!H$3:H$230,'Direkte input'!$F$3:$F$230,$D378,'Direkte input'!$C$3:$C$230,$B378,'Direkte input'!$A$3:$A$230,$A$1)),IF(VLOOKUP($A378,[1]!Table1[#All],2,FALSE)="Resultat",SUMIF($F$1:$F377,$D378,I$1:I377)+SUMIF($F379:$F$512,$D378,I379:I$512),0))*'[1]Processer - data'!I378,"")*IF($C378&lt;&gt;"",IF($F378="Halm",Landbrug!D$16*Landbrug!D$17,IF(LEFT($D378,5)="Areal", IF($G378="Ton",Landbrug!D$18,1),1)),1)*IF($F378="Grøntsager",IF($A378="Grøntsager i drivhus",Landbrug!D$51,1-Landbrug!D$51),1)</f>
        <v>12121.057579804215</v>
      </c>
      <c r="J378" s="299">
        <f>IF($A378&lt;&gt;"",IF(VLOOKUP($A378,[1]!Table1[#All],2,FALSE)="Direkte input",IF($A378&lt;&gt;"Grøntsager i drivhus",SUMIFS('Direkte input'!I$3:I$230,'Direkte input'!$F$3:$F$230,$D378,'Direkte input'!$C$3:$C$230,$B378,'Direkte input'!$D$3:$D$230,$C378,'Direkte input'!$A$3:$A$230,$A$1),SUMIFS('Direkte input'!I$3:I$230,'Direkte input'!$F$3:$F$230,$D378,'Direkte input'!$C$3:$C$230,$B378,'Direkte input'!$A$3:$A$230,$A$1)),IF(VLOOKUP($A378,[1]!Table1[#All],2,FALSE)="Resultat",SUMIF($F$1:$F377,$D378,J$1:J377)+SUMIF($F379:$F$512,$D378,J379:J$512),0))*'[1]Processer - data'!J378,"")*IF($C378&lt;&gt;"",IF($F378="Halm",Landbrug!E$16*Landbrug!E$17,IF(LEFT($D378,5)="Areal", IF($G378="Ton",Landbrug!E$18,1),1)),1)*IF($F378="Grøntsager",IF($A378="Grøntsager i drivhus",Landbrug!E$51,1-Landbrug!E$51),1)</f>
        <v>16700.296756449272</v>
      </c>
    </row>
    <row r="379" spans="1:10" x14ac:dyDescent="0.25">
      <c r="A379" t="str">
        <f>IF('[1]Processer - data'!A379&lt;&gt;"",'[1]Processer - data'!A379,"")</f>
        <v>Juletræsmark</v>
      </c>
      <c r="B379" t="str">
        <f>IF('[1]Processer - data'!B379&lt;&gt;"",'[1]Processer - data'!B379,"")</f>
        <v>Økologisk</v>
      </c>
      <c r="C379" t="str">
        <f>IF('[1]Processer - data'!C379&lt;&gt;"",'[1]Processer - data'!C379,"")</f>
        <v>JB1-10</v>
      </c>
      <c r="D379" t="str">
        <f>IF('[1]Processer - data'!D379&lt;&gt;"",'[1]Processer - data'!D379,"")</f>
        <v>Areal-juletræer</v>
      </c>
      <c r="E379" t="str">
        <f>IF('[1]Processer - data'!E379&lt;&gt;"",'[1]Processer - data'!E379,"")</f>
        <v>Hektar</v>
      </c>
      <c r="F379" t="str">
        <f>IF('[1]Processer - data'!F379&lt;&gt;"",'[1]Processer - data'!F379,"")</f>
        <v>Gødning</v>
      </c>
      <c r="G379" t="str">
        <f>IF('[1]Processer - data'!G379&lt;&gt;"",'[1]Processer - data'!G379,"")</f>
        <v>kg N</v>
      </c>
      <c r="H379" s="297">
        <f>IF($A379&lt;&gt;"",IF(VLOOKUP($A379,[1]!Table1[#All],2,FALSE)="Direkte input",IF($A379&lt;&gt;"Grøntsager i drivhus",SUMIFS('Direkte input'!G$3:G$230,'Direkte input'!$F$3:$F$230,$D379,'Direkte input'!$C$3:$C$230,$B379,'Direkte input'!$D$3:$D$230,$C379,'Direkte input'!$A$3:$A$230,$A$1),SUMIFS('Direkte input'!G$3:G$230,'Direkte input'!$F$3:$F$230,$D379,'Direkte input'!$C$3:$C$230,$B379,'Direkte input'!$A$3:$A$230,$A$1)),IF(VLOOKUP($A379,[1]!Table1[#All],2,FALSE)="Resultat",SUMIF($F$1:$F378,$D379,H$1:H378)+SUMIF($F380:$F$512,$D379,H380:H$512),0))*'[1]Processer - data'!H379,"")*IF($C379&lt;&gt;"",IF($F379="Halm",Landbrug!C$16*Landbrug!C$17,IF(LEFT($D379,5)="Areal", IF($G379="Ton",Landbrug!C$18,1),1)),1)*IF($F379="Grøntsager",IF($A379="Grøntsager i drivhus",Landbrug!C$51,1-Landbrug!C$51),1)</f>
        <v>-20995.002622060558</v>
      </c>
      <c r="I379" s="298">
        <f>IF($A379&lt;&gt;"",IF(VLOOKUP($A379,[1]!Table1[#All],2,FALSE)="Direkte input",IF($A379&lt;&gt;"Grøntsager i drivhus",SUMIFS('Direkte input'!H$3:H$230,'Direkte input'!$F$3:$F$230,$D379,'Direkte input'!$C$3:$C$230,$B379,'Direkte input'!$D$3:$D$230,$C379,'Direkte input'!$A$3:$A$230,$A$1),SUMIFS('Direkte input'!H$3:H$230,'Direkte input'!$F$3:$F$230,$D379,'Direkte input'!$C$3:$C$230,$B379,'Direkte input'!$A$3:$A$230,$A$1)),IF(VLOOKUP($A379,[1]!Table1[#All],2,FALSE)="Resultat",SUMIF($F$1:$F378,$D379,I$1:I378)+SUMIF($F380:$F$512,$D379,I380:I$512),0))*'[1]Processer - data'!I379,"")*IF($C379&lt;&gt;"",IF($F379="Halm",Landbrug!D$16*Landbrug!D$17,IF(LEFT($D379,5)="Areal", IF($G379="Ton",Landbrug!D$18,1),1)),1)*IF($F379="Grøntsager",IF($A379="Grøntsager i drivhus",Landbrug!D$51,1-Landbrug!D$51),1)</f>
        <v>-24875.304734672831</v>
      </c>
      <c r="J379" s="299">
        <f>IF($A379&lt;&gt;"",IF(VLOOKUP($A379,[1]!Table1[#All],2,FALSE)="Direkte input",IF($A379&lt;&gt;"Grøntsager i drivhus",SUMIFS('Direkte input'!I$3:I$230,'Direkte input'!$F$3:$F$230,$D379,'Direkte input'!$C$3:$C$230,$B379,'Direkte input'!$D$3:$D$230,$C379,'Direkte input'!$A$3:$A$230,$A$1),SUMIFS('Direkte input'!I$3:I$230,'Direkte input'!$F$3:$F$230,$D379,'Direkte input'!$C$3:$C$230,$B379,'Direkte input'!$A$3:$A$230,$A$1)),IF(VLOOKUP($A379,[1]!Table1[#All],2,FALSE)="Resultat",SUMIF($F$1:$F378,$D379,J$1:J378)+SUMIF($F380:$F$512,$D379,J380:J$512),0))*'[1]Processer - data'!J379,"")*IF($C379&lt;&gt;"",IF($F379="Halm",Landbrug!E$16*Landbrug!E$17,IF(LEFT($D379,5)="Areal", IF($G379="Ton",Landbrug!E$18,1),1)),1)*IF($F379="Grøntsager",IF($A379="Grøntsager i drivhus",Landbrug!E$51,1-Landbrug!E$51),1)</f>
        <v>-31948.393794946438</v>
      </c>
    </row>
    <row r="380" spans="1:10" x14ac:dyDescent="0.25">
      <c r="A380" t="str">
        <f>IF('[1]Processer - data'!A380&lt;&gt;"",'[1]Processer - data'!A380,"")</f>
        <v>Juletræsmark</v>
      </c>
      <c r="B380" t="str">
        <f>IF('[1]Processer - data'!B380&lt;&gt;"",'[1]Processer - data'!B380,"")</f>
        <v>Økologisk</v>
      </c>
      <c r="C380" t="str">
        <f>IF('[1]Processer - data'!C380&lt;&gt;"",'[1]Processer - data'!C380,"")</f>
        <v>JB1-10</v>
      </c>
      <c r="D380" t="str">
        <f>IF('[1]Processer - data'!D380&lt;&gt;"",'[1]Processer - data'!D380,"")</f>
        <v>Areal-juletræer</v>
      </c>
      <c r="E380" t="str">
        <f>IF('[1]Processer - data'!E380&lt;&gt;"",'[1]Processer - data'!E380,"")</f>
        <v>Hektar</v>
      </c>
      <c r="F380" t="str">
        <f>IF('[1]Processer - data'!F380&lt;&gt;"",'[1]Processer - data'!F380,"")</f>
        <v>CO2 - atmosfære</v>
      </c>
      <c r="G380" t="str">
        <f>IF('[1]Processer - data'!G380&lt;&gt;"",'[1]Processer - data'!G380,"")</f>
        <v>t CO2-ækvivalenter</v>
      </c>
      <c r="H380" s="297">
        <f>IF($A380&lt;&gt;"",IF(VLOOKUP($A380,[1]!Table1[#All],2,FALSE)="Direkte input",IF($A380&lt;&gt;"Grøntsager i drivhus",SUMIFS('Direkte input'!G$3:G$230,'Direkte input'!$F$3:$F$230,$D380,'Direkte input'!$C$3:$C$230,$B380,'Direkte input'!$D$3:$D$230,$C380,'Direkte input'!$A$3:$A$230,$A$1),SUMIFS('Direkte input'!G$3:G$230,'Direkte input'!$F$3:$F$230,$D380,'Direkte input'!$C$3:$C$230,$B380,'Direkte input'!$A$3:$A$230,$A$1)),IF(VLOOKUP($A380,[1]!Table1[#All],2,FALSE)="Resultat",SUMIF($F$1:$F379,$D380,H$1:H379)+SUMIF($F381:$F$512,$D380,H381:H$512),0))*'[1]Processer - data'!H380,"")*IF($C380&lt;&gt;"",IF($F380="Halm",Landbrug!C$16*Landbrug!C$17,IF(LEFT($D380,5)="Areal", IF($G380="Ton",Landbrug!C$18,1),1)),1)*IF($F380="Grøntsager",IF($A380="Grøntsager i drivhus",Landbrug!C$51,1-Landbrug!C$51),1)</f>
        <v>658.20986283137029</v>
      </c>
      <c r="I380" s="298">
        <f>IF($A380&lt;&gt;"",IF(VLOOKUP($A380,[1]!Table1[#All],2,FALSE)="Direkte input",IF($A380&lt;&gt;"Grøntsager i drivhus",SUMIFS('Direkte input'!H$3:H$230,'Direkte input'!$F$3:$F$230,$D380,'Direkte input'!$C$3:$C$230,$B380,'Direkte input'!$D$3:$D$230,$C380,'Direkte input'!$A$3:$A$230,$A$1),SUMIFS('Direkte input'!H$3:H$230,'Direkte input'!$F$3:$F$230,$D380,'Direkte input'!$C$3:$C$230,$B380,'Direkte input'!$A$3:$A$230,$A$1)),IF(VLOOKUP($A380,[1]!Table1[#All],2,FALSE)="Resultat",SUMIF($F$1:$F379,$D380,I$1:I379)+SUMIF($F381:$F$512,$D380,I381:I$512),0))*'[1]Processer - data'!I380,"")*IF($C380&lt;&gt;"",IF($F380="Halm",Landbrug!D$16*Landbrug!D$17,IF(LEFT($D380,5)="Areal", IF($G380="Ton",Landbrug!D$18,1),1)),1)*IF($F380="Grøntsager",IF($A380="Grøntsager i drivhus",Landbrug!D$51,1-Landbrug!D$51),1)</f>
        <v>779.86038925726939</v>
      </c>
      <c r="J380" s="299">
        <f>IF($A380&lt;&gt;"",IF(VLOOKUP($A380,[1]!Table1[#All],2,FALSE)="Direkte input",IF($A380&lt;&gt;"Grøntsager i drivhus",SUMIFS('Direkte input'!I$3:I$230,'Direkte input'!$F$3:$F$230,$D380,'Direkte input'!$C$3:$C$230,$B380,'Direkte input'!$D$3:$D$230,$C380,'Direkte input'!$A$3:$A$230,$A$1),SUMIFS('Direkte input'!I$3:I$230,'Direkte input'!$F$3:$F$230,$D380,'Direkte input'!$C$3:$C$230,$B380,'Direkte input'!$A$3:$A$230,$A$1)),IF(VLOOKUP($A380,[1]!Table1[#All],2,FALSE)="Resultat",SUMIF($F$1:$F379,$D380,J$1:J379)+SUMIF($F381:$F$512,$D380,J381:J$512),0))*'[1]Processer - data'!J380,"")*IF($C380&lt;&gt;"",IF($F380="Halm",Landbrug!E$16*Landbrug!E$17,IF(LEFT($D380,5)="Areal", IF($G380="Ton",Landbrug!E$18,1),1)),1)*IF($F380="Grøntsager",IF($A380="Grøntsager i drivhus",Landbrug!E$51,1-Landbrug!E$51),1)</f>
        <v>1001.6073003657681</v>
      </c>
    </row>
    <row r="381" spans="1:10" x14ac:dyDescent="0.25">
      <c r="A381" t="str">
        <f>IF('[1]Processer - data'!A381&lt;&gt;"",'[1]Processer - data'!A381,"")</f>
        <v>Juletræsmark</v>
      </c>
      <c r="B381" t="str">
        <f>IF('[1]Processer - data'!B381&lt;&gt;"",'[1]Processer - data'!B381,"")</f>
        <v>Økologisk</v>
      </c>
      <c r="C381" t="str">
        <f>IF('[1]Processer - data'!C381&lt;&gt;"",'[1]Processer - data'!C381,"")</f>
        <v>OC6</v>
      </c>
      <c r="D381" t="str">
        <f>IF('[1]Processer - data'!D381&lt;&gt;"",'[1]Processer - data'!D381,"")</f>
        <v>Areal-juletræer</v>
      </c>
      <c r="E381" t="str">
        <f>IF('[1]Processer - data'!E381&lt;&gt;"",'[1]Processer - data'!E381,"")</f>
        <v>Hektar</v>
      </c>
      <c r="F381" t="str">
        <f>IF('[1]Processer - data'!F381&lt;&gt;"",'[1]Processer - data'!F381,"")</f>
        <v>Juletræer</v>
      </c>
      <c r="G381" t="str">
        <f>IF('[1]Processer - data'!G381&lt;&gt;"",'[1]Processer - data'!G381,"")</f>
        <v>Ton</v>
      </c>
      <c r="H381" s="297">
        <f>IF($A381&lt;&gt;"",IF(VLOOKUP($A381,[1]!Table1[#All],2,FALSE)="Direkte input",IF($A381&lt;&gt;"Grøntsager i drivhus",SUMIFS('Direkte input'!G$3:G$230,'Direkte input'!$F$3:$F$230,$D381,'Direkte input'!$C$3:$C$230,$B381,'Direkte input'!$D$3:$D$230,$C381,'Direkte input'!$A$3:$A$230,$A$1),SUMIFS('Direkte input'!G$3:G$230,'Direkte input'!$F$3:$F$230,$D381,'Direkte input'!$C$3:$C$230,$B381,'Direkte input'!$A$3:$A$230,$A$1)),IF(VLOOKUP($A381,[1]!Table1[#All],2,FALSE)="Resultat",SUMIF($F$1:$F380,$D381,H$1:H380)+SUMIF($F382:$F$512,$D381,H382:H$512),0))*'[1]Processer - data'!H381,"")*IF($C381&lt;&gt;"",IF($F381="Halm",Landbrug!C$16*Landbrug!C$17,IF(LEFT($D381,5)="Areal", IF($G381="Ton",Landbrug!C$18,1),1)),1)*IF($F381="Grøntsager",IF($A381="Grøntsager i drivhus",Landbrug!C$51,1-Landbrug!C$51),1)</f>
        <v>204.95479879571491</v>
      </c>
      <c r="I381" s="298">
        <f>IF($A381&lt;&gt;"",IF(VLOOKUP($A381,[1]!Table1[#All],2,FALSE)="Direkte input",IF($A381&lt;&gt;"Grøntsager i drivhus",SUMIFS('Direkte input'!H$3:H$230,'Direkte input'!$F$3:$F$230,$D381,'Direkte input'!$C$3:$C$230,$B381,'Direkte input'!$D$3:$D$230,$C381,'Direkte input'!$A$3:$A$230,$A$1),SUMIFS('Direkte input'!H$3:H$230,'Direkte input'!$F$3:$F$230,$D381,'Direkte input'!$C$3:$C$230,$B381,'Direkte input'!$A$3:$A$230,$A$1)),IF(VLOOKUP($A381,[1]!Table1[#All],2,FALSE)="Resultat",SUMIF($F$1:$F380,$D381,I$1:I380)+SUMIF($F382:$F$512,$D381,I382:I$512),0))*'[1]Processer - data'!I381,"")*IF($C381&lt;&gt;"",IF($F381="Halm",Landbrug!D$16*Landbrug!D$17,IF(LEFT($D381,5)="Areal", IF($G381="Ton",Landbrug!D$18,1),1)),1)*IF($F381="Grøntsager",IF($A381="Grøntsager i drivhus",Landbrug!D$51,1-Landbrug!D$51),1)</f>
        <v>242.57838853616644</v>
      </c>
      <c r="J381" s="299">
        <f>IF($A381&lt;&gt;"",IF(VLOOKUP($A381,[1]!Table1[#All],2,FALSE)="Direkte input",IF($A381&lt;&gt;"Grøntsager i drivhus",SUMIFS('Direkte input'!I$3:I$230,'Direkte input'!$F$3:$F$230,$D381,'Direkte input'!$C$3:$C$230,$B381,'Direkte input'!$D$3:$D$230,$C381,'Direkte input'!$A$3:$A$230,$A$1),SUMIFS('Direkte input'!I$3:I$230,'Direkte input'!$F$3:$F$230,$D381,'Direkte input'!$C$3:$C$230,$B381,'Direkte input'!$A$3:$A$230,$A$1)),IF(VLOOKUP($A381,[1]!Table1[#All],2,FALSE)="Resultat",SUMIF($F$1:$F380,$D381,J$1:J380)+SUMIF($F382:$F$512,$D381,J382:J$512),0))*'[1]Processer - data'!J381,"")*IF($C381&lt;&gt;"",IF($F381="Halm",Landbrug!E$16*Landbrug!E$17,IF(LEFT($D381,5)="Areal", IF($G381="Ton",Landbrug!E$18,1),1)),1)*IF($F381="Grøntsager",IF($A381="Grøntsager i drivhus",Landbrug!E$51,1-Landbrug!E$51),1)</f>
        <v>337.33347631912306</v>
      </c>
    </row>
    <row r="382" spans="1:10" x14ac:dyDescent="0.25">
      <c r="A382" t="str">
        <f>IF('[1]Processer - data'!A382&lt;&gt;"",'[1]Processer - data'!A382,"")</f>
        <v>Juletræsmark</v>
      </c>
      <c r="B382" t="str">
        <f>IF('[1]Processer - data'!B382&lt;&gt;"",'[1]Processer - data'!B382,"")</f>
        <v>Økologisk</v>
      </c>
      <c r="C382" t="str">
        <f>IF('[1]Processer - data'!C382&lt;&gt;"",'[1]Processer - data'!C382,"")</f>
        <v>OC6</v>
      </c>
      <c r="D382" t="str">
        <f>IF('[1]Processer - data'!D382&lt;&gt;"",'[1]Processer - data'!D382,"")</f>
        <v>Areal-juletræer</v>
      </c>
      <c r="E382" t="str">
        <f>IF('[1]Processer - data'!E382&lt;&gt;"",'[1]Processer - data'!E382,"")</f>
        <v>Hektar</v>
      </c>
      <c r="F382" t="str">
        <f>IF('[1]Processer - data'!F382&lt;&gt;"",'[1]Processer - data'!F382,"")</f>
        <v>Gødning</v>
      </c>
      <c r="G382" t="str">
        <f>IF('[1]Processer - data'!G382&lt;&gt;"",'[1]Processer - data'!G382,"")</f>
        <v>kg N</v>
      </c>
      <c r="H382" s="297">
        <f>IF($A382&lt;&gt;"",IF(VLOOKUP($A382,[1]!Table1[#All],2,FALSE)="Direkte input",IF($A382&lt;&gt;"Grøntsager i drivhus",SUMIFS('Direkte input'!G$3:G$230,'Direkte input'!$F$3:$F$230,$D382,'Direkte input'!$C$3:$C$230,$B382,'Direkte input'!$D$3:$D$230,$C382,'Direkte input'!$A$3:$A$230,$A$1),SUMIFS('Direkte input'!G$3:G$230,'Direkte input'!$F$3:$F$230,$D382,'Direkte input'!$C$3:$C$230,$B382,'Direkte input'!$A$3:$A$230,$A$1)),IF(VLOOKUP($A382,[1]!Table1[#All],2,FALSE)="Resultat",SUMIF($F$1:$F381,$D382,H$1:H381)+SUMIF($F383:$F$512,$D382,H383:H$512),0))*'[1]Processer - data'!H382,"")*IF($C382&lt;&gt;"",IF($F382="Halm",Landbrug!C$16*Landbrug!C$17,IF(LEFT($D382,5)="Areal", IF($G382="Ton",Landbrug!C$18,1),1)),1)*IF($F382="Grøntsager",IF($A382="Grøntsager i drivhus",Landbrug!C$51,1-Landbrug!C$51),1)</f>
        <v>-341.59133132619149</v>
      </c>
      <c r="I382" s="298">
        <f>IF($A382&lt;&gt;"",IF(VLOOKUP($A382,[1]!Table1[#All],2,FALSE)="Direkte input",IF($A382&lt;&gt;"Grøntsager i drivhus",SUMIFS('Direkte input'!H$3:H$230,'Direkte input'!$F$3:$F$230,$D382,'Direkte input'!$C$3:$C$230,$B382,'Direkte input'!$D$3:$D$230,$C382,'Direkte input'!$A$3:$A$230,$A$1),SUMIFS('Direkte input'!H$3:H$230,'Direkte input'!$F$3:$F$230,$D382,'Direkte input'!$C$3:$C$230,$B382,'Direkte input'!$A$3:$A$230,$A$1)),IF(VLOOKUP($A382,[1]!Table1[#All],2,FALSE)="Resultat",SUMIF($F$1:$F381,$D382,I$1:I381)+SUMIF($F383:$F$512,$D382,I383:I$512),0))*'[1]Processer - data'!I382,"")*IF($C382&lt;&gt;"",IF($F382="Halm",Landbrug!D$16*Landbrug!D$17,IF(LEFT($D382,5)="Areal", IF($G382="Ton",Landbrug!D$18,1),1)),1)*IF($F382="Grøntsager",IF($A382="Grøntsager i drivhus",Landbrug!D$51,1-Landbrug!D$51),1)</f>
        <v>-377.14301700274632</v>
      </c>
      <c r="J382" s="299">
        <f>IF($A382&lt;&gt;"",IF(VLOOKUP($A382,[1]!Table1[#All],2,FALSE)="Direkte input",IF($A382&lt;&gt;"Grøntsager i drivhus",SUMIFS('Direkte input'!I$3:I$230,'Direkte input'!$F$3:$F$230,$D382,'Direkte input'!$C$3:$C$230,$B382,'Direkte input'!$D$3:$D$230,$C382,'Direkte input'!$A$3:$A$230,$A$1),SUMIFS('Direkte input'!I$3:I$230,'Direkte input'!$F$3:$F$230,$D382,'Direkte input'!$C$3:$C$230,$B382,'Direkte input'!$A$3:$A$230,$A$1)),IF(VLOOKUP($A382,[1]!Table1[#All],2,FALSE)="Resultat",SUMIF($F$1:$F381,$D382,J$1:J381)+SUMIF($F383:$F$512,$D382,J383:J$512),0))*'[1]Processer - data'!J382,"")*IF($C382&lt;&gt;"",IF($F382="Halm",Landbrug!E$16*Landbrug!E$17,IF(LEFT($D382,5)="Areal", IF($G382="Ton",Landbrug!E$18,1),1)),1)*IF($F382="Grøntsager",IF($A382="Grøntsager i drivhus",Landbrug!E$51,1-Landbrug!E$51),1)</f>
        <v>-488.88909611467113</v>
      </c>
    </row>
    <row r="383" spans="1:10" x14ac:dyDescent="0.25">
      <c r="A383" t="str">
        <f>IF('[1]Processer - data'!A383&lt;&gt;"",'[1]Processer - data'!A383,"")</f>
        <v>Juletræsmark</v>
      </c>
      <c r="B383" t="str">
        <f>IF('[1]Processer - data'!B383&lt;&gt;"",'[1]Processer - data'!B383,"")</f>
        <v>Økologisk</v>
      </c>
      <c r="C383" t="str">
        <f>IF('[1]Processer - data'!C383&lt;&gt;"",'[1]Processer - data'!C383,"")</f>
        <v>OC6</v>
      </c>
      <c r="D383" t="str">
        <f>IF('[1]Processer - data'!D383&lt;&gt;"",'[1]Processer - data'!D383,"")</f>
        <v>Areal-juletræer</v>
      </c>
      <c r="E383" t="str">
        <f>IF('[1]Processer - data'!E383&lt;&gt;"",'[1]Processer - data'!E383,"")</f>
        <v>Hektar</v>
      </c>
      <c r="F383" t="str">
        <f>IF('[1]Processer - data'!F383&lt;&gt;"",'[1]Processer - data'!F383,"")</f>
        <v>CO2 - atmosfære</v>
      </c>
      <c r="G383" t="str">
        <f>IF('[1]Processer - data'!G383&lt;&gt;"",'[1]Processer - data'!G383,"")</f>
        <v>t CO2-ækvivalenter</v>
      </c>
      <c r="H383" s="297">
        <f>IF($A383&lt;&gt;"",IF(VLOOKUP($A383,[1]!Table1[#All],2,FALSE)="Direkte input",IF($A383&lt;&gt;"Grøntsager i drivhus",SUMIFS('Direkte input'!G$3:G$230,'Direkte input'!$F$3:$F$230,$D383,'Direkte input'!$C$3:$C$230,$B383,'Direkte input'!$D$3:$D$230,$C383,'Direkte input'!$A$3:$A$230,$A$1),SUMIFS('Direkte input'!G$3:G$230,'Direkte input'!$F$3:$F$230,$D383,'Direkte input'!$C$3:$C$230,$B383,'Direkte input'!$A$3:$A$230,$A$1)),IF(VLOOKUP($A383,[1]!Table1[#All],2,FALSE)="Resultat",SUMIF($F$1:$F382,$D383,H$1:H382)+SUMIF($F384:$F$512,$D383,H384:H$512),0))*'[1]Processer - data'!H383,"")*IF($C383&lt;&gt;"",IF($F383="Halm",Landbrug!C$16*Landbrug!C$17,IF(LEFT($D383,5)="Areal", IF($G383="Ton",Landbrug!C$18,1),1)),1)*IF($F383="Grøntsager",IF($A383="Grøntsager i drivhus",Landbrug!C$51,1-Landbrug!C$51),1)</f>
        <v>63.893725845303798</v>
      </c>
      <c r="I383" s="298">
        <f>IF($A383&lt;&gt;"",IF(VLOOKUP($A383,[1]!Table1[#All],2,FALSE)="Direkte input",IF($A383&lt;&gt;"Grøntsager i drivhus",SUMIFS('Direkte input'!H$3:H$230,'Direkte input'!$F$3:$F$230,$D383,'Direkte input'!$C$3:$C$230,$B383,'Direkte input'!$D$3:$D$230,$C383,'Direkte input'!$A$3:$A$230,$A$1),SUMIFS('Direkte input'!H$3:H$230,'Direkte input'!$F$3:$F$230,$D383,'Direkte input'!$C$3:$C$230,$B383,'Direkte input'!$A$3:$A$230,$A$1)),IF(VLOOKUP($A383,[1]!Table1[#All],2,FALSE)="Resultat",SUMIF($F$1:$F382,$D383,I$1:I382)+SUMIF($F384:$F$512,$D383,I384:I$512),0))*'[1]Processer - data'!I383,"")*IF($C383&lt;&gt;"",IF($F383="Halm",Landbrug!D$16*Landbrug!D$17,IF(LEFT($D383,5)="Areal", IF($G383="Ton",Landbrug!D$18,1),1)),1)*IF($F383="Grøntsager",IF($A383="Grøntsager i drivhus",Landbrug!D$51,1-Landbrug!D$51),1)</f>
        <v>70.543571580958854</v>
      </c>
      <c r="J383" s="299">
        <f>IF($A383&lt;&gt;"",IF(VLOOKUP($A383,[1]!Table1[#All],2,FALSE)="Direkte input",IF($A383&lt;&gt;"Grøntsager i drivhus",SUMIFS('Direkte input'!I$3:I$230,'Direkte input'!$F$3:$F$230,$D383,'Direkte input'!$C$3:$C$230,$B383,'Direkte input'!$D$3:$D$230,$C383,'Direkte input'!$A$3:$A$230,$A$1),SUMIFS('Direkte input'!I$3:I$230,'Direkte input'!$F$3:$F$230,$D383,'Direkte input'!$C$3:$C$230,$B383,'Direkte input'!$A$3:$A$230,$A$1)),IF(VLOOKUP($A383,[1]!Table1[#All],2,FALSE)="Resultat",SUMIF($F$1:$F382,$D383,J$1:J382)+SUMIF($F384:$F$512,$D383,J384:J$512),0))*'[1]Processer - data'!J383,"")*IF($C383&lt;&gt;"",IF($F383="Halm",Landbrug!E$16*Landbrug!E$17,IF(LEFT($D383,5)="Areal", IF($G383="Ton",Landbrug!E$18,1),1)),1)*IF($F383="Grøntsager",IF($A383="Grøntsager i drivhus",Landbrug!E$51,1-Landbrug!E$51),1)</f>
        <v>91.44537056790962</v>
      </c>
    </row>
    <row r="384" spans="1:10" x14ac:dyDescent="0.25">
      <c r="A384" t="str">
        <f>IF('[1]Processer - data'!A384&lt;&gt;"",'[1]Processer - data'!A384,"")</f>
        <v>Juletræsmark</v>
      </c>
      <c r="B384" t="str">
        <f>IF('[1]Processer - data'!B384&lt;&gt;"",'[1]Processer - data'!B384,"")</f>
        <v>Økologisk</v>
      </c>
      <c r="C384" t="str">
        <f>IF('[1]Processer - data'!C384&lt;&gt;"",'[1]Processer - data'!C384,"")</f>
        <v>OC12</v>
      </c>
      <c r="D384" t="str">
        <f>IF('[1]Processer - data'!D384&lt;&gt;"",'[1]Processer - data'!D384,"")</f>
        <v>Areal-juletræer</v>
      </c>
      <c r="E384" t="str">
        <f>IF('[1]Processer - data'!E384&lt;&gt;"",'[1]Processer - data'!E384,"")</f>
        <v>Hektar</v>
      </c>
      <c r="F384" t="str">
        <f>IF('[1]Processer - data'!F384&lt;&gt;"",'[1]Processer - data'!F384,"")</f>
        <v>Juletræer</v>
      </c>
      <c r="G384" t="str">
        <f>IF('[1]Processer - data'!G384&lt;&gt;"",'[1]Processer - data'!G384,"")</f>
        <v>Ton</v>
      </c>
      <c r="H384" s="297">
        <f>IF($A384&lt;&gt;"",IF(VLOOKUP($A384,[1]!Table1[#All],2,FALSE)="Direkte input",IF($A384&lt;&gt;"Grøntsager i drivhus",SUMIFS('Direkte input'!G$3:G$230,'Direkte input'!$F$3:$F$230,$D384,'Direkte input'!$C$3:$C$230,$B384,'Direkte input'!$D$3:$D$230,$C384,'Direkte input'!$A$3:$A$230,$A$1),SUMIFS('Direkte input'!G$3:G$230,'Direkte input'!$F$3:$F$230,$D384,'Direkte input'!$C$3:$C$230,$B384,'Direkte input'!$A$3:$A$230,$A$1)),IF(VLOOKUP($A384,[1]!Table1[#All],2,FALSE)="Resultat",SUMIF($F$1:$F383,$D384,H$1:H383)+SUMIF($F385:$F$512,$D384,H385:H$512),0))*'[1]Processer - data'!H384,"")*IF($C384&lt;&gt;"",IF($F384="Halm",Landbrug!C$16*Landbrug!C$17,IF(LEFT($D384,5)="Areal", IF($G384="Ton",Landbrug!C$18,1),1)),1)*IF($F384="Grøntsager",IF($A384="Grøntsager i drivhus",Landbrug!C$51,1-Landbrug!C$51),1)</f>
        <v>144.3625890908859</v>
      </c>
      <c r="I384" s="298">
        <f>IF($A384&lt;&gt;"",IF(VLOOKUP($A384,[1]!Table1[#All],2,FALSE)="Direkte input",IF($A384&lt;&gt;"Grøntsager i drivhus",SUMIFS('Direkte input'!H$3:H$230,'Direkte input'!$F$3:$F$230,$D384,'Direkte input'!$C$3:$C$230,$B384,'Direkte input'!$D$3:$D$230,$C384,'Direkte input'!$A$3:$A$230,$A$1),SUMIFS('Direkte input'!H$3:H$230,'Direkte input'!$F$3:$F$230,$D384,'Direkte input'!$C$3:$C$230,$B384,'Direkte input'!$A$3:$A$230,$A$1)),IF(VLOOKUP($A384,[1]!Table1[#All],2,FALSE)="Resultat",SUMIF($F$1:$F383,$D384,I$1:I383)+SUMIF($F385:$F$512,$D384,I385:I$512),0))*'[1]Processer - data'!I384,"")*IF($C384&lt;&gt;"",IF($F384="Halm",Landbrug!D$16*Landbrug!D$17,IF(LEFT($D384,5)="Areal", IF($G384="Ton",Landbrug!D$18,1),1)),1)*IF($F384="Grøntsager",IF($A384="Grøntsager i drivhus",Landbrug!D$51,1-Landbrug!D$51),1)</f>
        <v>172.2161588907999</v>
      </c>
      <c r="J384" s="299">
        <f>IF($A384&lt;&gt;"",IF(VLOOKUP($A384,[1]!Table1[#All],2,FALSE)="Direkte input",IF($A384&lt;&gt;"Grøntsager i drivhus",SUMIFS('Direkte input'!I$3:I$230,'Direkte input'!$F$3:$F$230,$D384,'Direkte input'!$C$3:$C$230,$B384,'Direkte input'!$D$3:$D$230,$C384,'Direkte input'!$A$3:$A$230,$A$1),SUMIFS('Direkte input'!I$3:I$230,'Direkte input'!$F$3:$F$230,$D384,'Direkte input'!$C$3:$C$230,$B384,'Direkte input'!$A$3:$A$230,$A$1)),IF(VLOOKUP($A384,[1]!Table1[#All],2,FALSE)="Resultat",SUMIF($F$1:$F383,$D384,J$1:J383)+SUMIF($F385:$F$512,$D384,J385:J$512),0))*'[1]Processer - data'!J384,"")*IF($C384&lt;&gt;"",IF($F384="Halm",Landbrug!E$16*Landbrug!E$17,IF(LEFT($D384,5)="Areal", IF($G384="Ton",Landbrug!E$18,1),1)),1)*IF($F384="Grøntsager",IF($A384="Grøntsager i drivhus",Landbrug!E$51,1-Landbrug!E$51),1)</f>
        <v>239.48660846305606</v>
      </c>
    </row>
    <row r="385" spans="1:10" x14ac:dyDescent="0.25">
      <c r="A385" t="str">
        <f>IF('[1]Processer - data'!A385&lt;&gt;"",'[1]Processer - data'!A385,"")</f>
        <v>Juletræsmark</v>
      </c>
      <c r="B385" t="str">
        <f>IF('[1]Processer - data'!B385&lt;&gt;"",'[1]Processer - data'!B385,"")</f>
        <v>Økologisk</v>
      </c>
      <c r="C385" t="str">
        <f>IF('[1]Processer - data'!C385&lt;&gt;"",'[1]Processer - data'!C385,"")</f>
        <v>OC12</v>
      </c>
      <c r="D385" t="str">
        <f>IF('[1]Processer - data'!D385&lt;&gt;"",'[1]Processer - data'!D385,"")</f>
        <v>Areal-juletræer</v>
      </c>
      <c r="E385" t="str">
        <f>IF('[1]Processer - data'!E385&lt;&gt;"",'[1]Processer - data'!E385,"")</f>
        <v>Hektar</v>
      </c>
      <c r="F385" t="str">
        <f>IF('[1]Processer - data'!F385&lt;&gt;"",'[1]Processer - data'!F385,"")</f>
        <v>Gødning</v>
      </c>
      <c r="G385" t="str">
        <f>IF('[1]Processer - data'!G385&lt;&gt;"",'[1]Processer - data'!G385,"")</f>
        <v>kg N</v>
      </c>
      <c r="H385" s="297">
        <f>IF($A385&lt;&gt;"",IF(VLOOKUP($A385,[1]!Table1[#All],2,FALSE)="Direkte input",IF($A385&lt;&gt;"Grøntsager i drivhus",SUMIFS('Direkte input'!G$3:G$230,'Direkte input'!$F$3:$F$230,$D385,'Direkte input'!$C$3:$C$230,$B385,'Direkte input'!$D$3:$D$230,$C385,'Direkte input'!$A$3:$A$230,$A$1),SUMIFS('Direkte input'!G$3:G$230,'Direkte input'!$F$3:$F$230,$D385,'Direkte input'!$C$3:$C$230,$B385,'Direkte input'!$A$3:$A$230,$A$1)),IF(VLOOKUP($A385,[1]!Table1[#All],2,FALSE)="Resultat",SUMIF($F$1:$F384,$D385,H$1:H384)+SUMIF($F386:$F$512,$D385,H386:H$512),0))*'[1]Processer - data'!H385,"")*IF($C385&lt;&gt;"",IF($F385="Halm",Landbrug!C$16*Landbrug!C$17,IF(LEFT($D385,5)="Areal", IF($G385="Ton",Landbrug!C$18,1),1)),1)*IF($F385="Grøntsager",IF($A385="Grøntsager i drivhus",Landbrug!C$51,1-Landbrug!C$51),1)</f>
        <v>-185.60904311685329</v>
      </c>
      <c r="I385" s="298">
        <f>IF($A385&lt;&gt;"",IF(VLOOKUP($A385,[1]!Table1[#All],2,FALSE)="Direkte input",IF($A385&lt;&gt;"Grøntsager i drivhus",SUMIFS('Direkte input'!H$3:H$230,'Direkte input'!$F$3:$F$230,$D385,'Direkte input'!$C$3:$C$230,$B385,'Direkte input'!$D$3:$D$230,$C385,'Direkte input'!$A$3:$A$230,$A$1),SUMIFS('Direkte input'!H$3:H$230,'Direkte input'!$F$3:$F$230,$D385,'Direkte input'!$C$3:$C$230,$B385,'Direkte input'!$A$3:$A$230,$A$1)),IF(VLOOKUP($A385,[1]!Table1[#All],2,FALSE)="Resultat",SUMIF($F$1:$F384,$D385,I$1:I384)+SUMIF($F386:$F$512,$D385,I386:I$512),0))*'[1]Processer - data'!I385,"")*IF($C385&lt;&gt;"",IF($F385="Halm",Landbrug!D$16*Landbrug!D$17,IF(LEFT($D385,5)="Areal", IF($G385="Ton",Landbrug!D$18,1),1)),1)*IF($F385="Grøntsager",IF($A385="Grøntsager i drivhus",Landbrug!D$51,1-Landbrug!D$51),1)</f>
        <v>-206.54923107905103</v>
      </c>
      <c r="J385" s="299">
        <f>IF($A385&lt;&gt;"",IF(VLOOKUP($A385,[1]!Table1[#All],2,FALSE)="Direkte input",IF($A385&lt;&gt;"Grøntsager i drivhus",SUMIFS('Direkte input'!I$3:I$230,'Direkte input'!$F$3:$F$230,$D385,'Direkte input'!$C$3:$C$230,$B385,'Direkte input'!$D$3:$D$230,$C385,'Direkte input'!$A$3:$A$230,$A$1),SUMIFS('Direkte input'!I$3:I$230,'Direkte input'!$F$3:$F$230,$D385,'Direkte input'!$C$3:$C$230,$B385,'Direkte input'!$A$3:$A$230,$A$1)),IF(VLOOKUP($A385,[1]!Table1[#All],2,FALSE)="Resultat",SUMIF($F$1:$F384,$D385,J$1:J384)+SUMIF($F386:$F$512,$D385,J386:J$512),0))*'[1]Processer - data'!J385,"")*IF($C385&lt;&gt;"",IF($F385="Halm",Landbrug!E$16*Landbrug!E$17,IF(LEFT($D385,5)="Areal", IF($G385="Ton",Landbrug!E$18,1),1)),1)*IF($F385="Grøntsager",IF($A385="Grøntsager i drivhus",Landbrug!E$51,1-Landbrug!E$51),1)</f>
        <v>-267.74900325062168</v>
      </c>
    </row>
    <row r="386" spans="1:10" x14ac:dyDescent="0.25">
      <c r="A386" t="str">
        <f>IF('[1]Processer - data'!A386&lt;&gt;"",'[1]Processer - data'!A386,"")</f>
        <v>Juletræsmark</v>
      </c>
      <c r="B386" t="str">
        <f>IF('[1]Processer - data'!B386&lt;&gt;"",'[1]Processer - data'!B386,"")</f>
        <v>Økologisk</v>
      </c>
      <c r="C386" t="str">
        <f>IF('[1]Processer - data'!C386&lt;&gt;"",'[1]Processer - data'!C386,"")</f>
        <v>OC12</v>
      </c>
      <c r="D386" t="str">
        <f>IF('[1]Processer - data'!D386&lt;&gt;"",'[1]Processer - data'!D386,"")</f>
        <v>Areal-juletræer</v>
      </c>
      <c r="E386" t="str">
        <f>IF('[1]Processer - data'!E386&lt;&gt;"",'[1]Processer - data'!E386,"")</f>
        <v>Hektar</v>
      </c>
      <c r="F386" t="str">
        <f>IF('[1]Processer - data'!F386&lt;&gt;"",'[1]Processer - data'!F386,"")</f>
        <v>CO2 - atmosfære</v>
      </c>
      <c r="G386" t="str">
        <f>IF('[1]Processer - data'!G386&lt;&gt;"",'[1]Processer - data'!G386,"")</f>
        <v>t CO2-ækvivalenter</v>
      </c>
      <c r="H386" s="297">
        <f>IF($A386&lt;&gt;"",IF(VLOOKUP($A386,[1]!Table1[#All],2,FALSE)="Direkte input",IF($A386&lt;&gt;"Grøntsager i drivhus",SUMIFS('Direkte input'!G$3:G$230,'Direkte input'!$F$3:$F$230,$D386,'Direkte input'!$C$3:$C$230,$B386,'Direkte input'!$D$3:$D$230,$C386,'Direkte input'!$A$3:$A$230,$A$1),SUMIFS('Direkte input'!G$3:G$230,'Direkte input'!$F$3:$F$230,$D386,'Direkte input'!$C$3:$C$230,$B386,'Direkte input'!$A$3:$A$230,$A$1)),IF(VLOOKUP($A386,[1]!Table1[#All],2,FALSE)="Resultat",SUMIF($F$1:$F385,$D386,H$1:H385)+SUMIF($F387:$F$512,$D386,H387:H$512),0))*'[1]Processer - data'!H386,"")*IF($C386&lt;&gt;"",IF($F386="Halm",Landbrug!C$16*Landbrug!C$17,IF(LEFT($D386,5)="Areal", IF($G386="Ton",Landbrug!C$18,1),1)),1)*IF($F386="Grøntsager",IF($A386="Grøntsager i drivhus",Landbrug!C$51,1-Landbrug!C$51),1)</f>
        <v>103.12226547286519</v>
      </c>
      <c r="I386" s="298">
        <f>IF($A386&lt;&gt;"",IF(VLOOKUP($A386,[1]!Table1[#All],2,FALSE)="Direkte input",IF($A386&lt;&gt;"Grøntsager i drivhus",SUMIFS('Direkte input'!H$3:H$230,'Direkte input'!$F$3:$F$230,$D386,'Direkte input'!$C$3:$C$230,$B386,'Direkte input'!$D$3:$D$230,$C386,'Direkte input'!$A$3:$A$230,$A$1),SUMIFS('Direkte input'!H$3:H$230,'Direkte input'!$F$3:$F$230,$D386,'Direkte input'!$C$3:$C$230,$B386,'Direkte input'!$A$3:$A$230,$A$1)),IF(VLOOKUP($A386,[1]!Table1[#All],2,FALSE)="Resultat",SUMIF($F$1:$F385,$D386,I$1:I385)+SUMIF($F387:$F$512,$D386,I387:I$512),0))*'[1]Processer - data'!I386,"")*IF($C386&lt;&gt;"",IF($F386="Halm",Landbrug!D$16*Landbrug!D$17,IF(LEFT($D386,5)="Areal", IF($G386="Ton",Landbrug!D$18,1),1)),1)*IF($F386="Grøntsager",IF($A386="Grøntsager i drivhus",Landbrug!D$51,1-Landbrug!D$51),1)</f>
        <v>114.75639485485854</v>
      </c>
      <c r="J386" s="299">
        <f>IF($A386&lt;&gt;"",IF(VLOOKUP($A386,[1]!Table1[#All],2,FALSE)="Direkte input",IF($A386&lt;&gt;"Grøntsager i drivhus",SUMIFS('Direkte input'!I$3:I$230,'Direkte input'!$F$3:$F$230,$D386,'Direkte input'!$C$3:$C$230,$B386,'Direkte input'!$D$3:$D$230,$C386,'Direkte input'!$A$3:$A$230,$A$1),SUMIFS('Direkte input'!I$3:I$230,'Direkte input'!$F$3:$F$230,$D386,'Direkte input'!$C$3:$C$230,$B386,'Direkte input'!$A$3:$A$230,$A$1)),IF(VLOOKUP($A386,[1]!Table1[#All],2,FALSE)="Resultat",SUMIF($F$1:$F385,$D386,J$1:J385)+SUMIF($F387:$F$512,$D386,J387:J$512),0))*'[1]Processer - data'!J386,"")*IF($C386&lt;&gt;"",IF($F386="Halm",Landbrug!E$16*Landbrug!E$17,IF(LEFT($D386,5)="Areal", IF($G386="Ton",Landbrug!E$18,1),1)),1)*IF($F386="Grøntsager",IF($A386="Grøntsager i drivhus",Landbrug!E$51,1-Landbrug!E$51),1)</f>
        <v>148.75828962666847</v>
      </c>
    </row>
    <row r="387" spans="1:10" x14ac:dyDescent="0.25">
      <c r="A387" t="str">
        <f>IF('[1]Processer - data'!A387&lt;&gt;"",'[1]Processer - data'!A387,"")</f>
        <v>Pil- og poppeldyrkning</v>
      </c>
      <c r="B387" t="str">
        <f>IF('[1]Processer - data'!B387&lt;&gt;"",'[1]Processer - data'!B387,"")</f>
        <v>Konventionel</v>
      </c>
      <c r="C387" t="str">
        <f>IF('[1]Processer - data'!C387&lt;&gt;"",'[1]Processer - data'!C387,"")</f>
        <v>JB1-10</v>
      </c>
      <c r="D387" t="str">
        <f>IF('[1]Processer - data'!D387&lt;&gt;"",'[1]Processer - data'!D387,"")</f>
        <v>Areal-pil-poppel</v>
      </c>
      <c r="E387" t="str">
        <f>IF('[1]Processer - data'!E387&lt;&gt;"",'[1]Processer - data'!E387,"")</f>
        <v>Hektar</v>
      </c>
      <c r="F387" t="str">
        <f>IF('[1]Processer - data'!F387&lt;&gt;"",'[1]Processer - data'!F387,"")</f>
        <v>Pil &amp; poppel</v>
      </c>
      <c r="G387" t="str">
        <f>IF('[1]Processer - data'!G387&lt;&gt;"",'[1]Processer - data'!G387,"")</f>
        <v>Ton</v>
      </c>
      <c r="H387" s="297">
        <f>IF($A387&lt;&gt;"",IF(VLOOKUP($A387,[1]!Table1[#All],2,FALSE)="Direkte input",IF($A387&lt;&gt;"Grøntsager i drivhus",SUMIFS('Direkte input'!G$3:G$230,'Direkte input'!$F$3:$F$230,$D387,'Direkte input'!$C$3:$C$230,$B387,'Direkte input'!$D$3:$D$230,$C387,'Direkte input'!$A$3:$A$230,$A$1),SUMIFS('Direkte input'!G$3:G$230,'Direkte input'!$F$3:$F$230,$D387,'Direkte input'!$C$3:$C$230,$B387,'Direkte input'!$A$3:$A$230,$A$1)),IF(VLOOKUP($A387,[1]!Table1[#All],2,FALSE)="Resultat",SUMIF($F$1:$F386,$D387,H$1:H386)+SUMIF($F388:$F$512,$D387,H388:H$512),0))*'[1]Processer - data'!H387,"")*IF($C387&lt;&gt;"",IF($F387="Halm",Landbrug!C$16*Landbrug!C$17,IF(LEFT($D387,5)="Areal", IF($G387="Ton",Landbrug!C$18,1),1)),1)*IF($F387="Grøntsager",IF($A387="Grøntsager i drivhus",Landbrug!C$51,1-Landbrug!C$51),1)</f>
        <v>30361.655095178983</v>
      </c>
      <c r="I387" s="298">
        <f>IF($A387&lt;&gt;"",IF(VLOOKUP($A387,[1]!Table1[#All],2,FALSE)="Direkte input",IF($A387&lt;&gt;"Grøntsager i drivhus",SUMIFS('Direkte input'!H$3:H$230,'Direkte input'!$F$3:$F$230,$D387,'Direkte input'!$C$3:$C$230,$B387,'Direkte input'!$D$3:$D$230,$C387,'Direkte input'!$A$3:$A$230,$A$1),SUMIFS('Direkte input'!H$3:H$230,'Direkte input'!$F$3:$F$230,$D387,'Direkte input'!$C$3:$C$230,$B387,'Direkte input'!$A$3:$A$230,$A$1)),IF(VLOOKUP($A387,[1]!Table1[#All],2,FALSE)="Resultat",SUMIF($F$1:$F386,$D387,I$1:I386)+SUMIF($F388:$F$512,$D387,I388:I$512),0))*'[1]Processer - data'!I387,"")*IF($C387&lt;&gt;"",IF($F387="Halm",Landbrug!D$16*Landbrug!D$17,IF(LEFT($D387,5)="Areal", IF($G387="Ton",Landbrug!D$18,1),1)),1)*IF($F387="Grøntsager",IF($A387="Grøntsager i drivhus",Landbrug!D$51,1-Landbrug!D$51),1)</f>
        <v>31593.29239249256</v>
      </c>
      <c r="J387" s="299">
        <f>IF($A387&lt;&gt;"",IF(VLOOKUP($A387,[1]!Table1[#All],2,FALSE)="Direkte input",IF($A387&lt;&gt;"Grøntsager i drivhus",SUMIFS('Direkte input'!I$3:I$230,'Direkte input'!$F$3:$F$230,$D387,'Direkte input'!$C$3:$C$230,$B387,'Direkte input'!$D$3:$D$230,$C387,'Direkte input'!$A$3:$A$230,$A$1),SUMIFS('Direkte input'!I$3:I$230,'Direkte input'!$F$3:$F$230,$D387,'Direkte input'!$C$3:$C$230,$B387,'Direkte input'!$A$3:$A$230,$A$1)),IF(VLOOKUP($A387,[1]!Table1[#All],2,FALSE)="Resultat",SUMIF($F$1:$F386,$D387,J$1:J386)+SUMIF($F388:$F$512,$D387,J388:J$512),0))*'[1]Processer - data'!J387,"")*IF($C387&lt;&gt;"",IF($F387="Halm",Landbrug!E$16*Landbrug!E$17,IF(LEFT($D387,5)="Areal", IF($G387="Ton",Landbrug!E$18,1),1)),1)*IF($F387="Grøntsager",IF($A387="Grøntsager i drivhus",Landbrug!E$51,1-Landbrug!E$51),1)</f>
        <v>32026.694851202359</v>
      </c>
    </row>
    <row r="388" spans="1:10" x14ac:dyDescent="0.25">
      <c r="A388" t="str">
        <f>IF('[1]Processer - data'!A388&lt;&gt;"",'[1]Processer - data'!A388,"")</f>
        <v>Pil- og poppeldyrkning</v>
      </c>
      <c r="B388" t="str">
        <f>IF('[1]Processer - data'!B388&lt;&gt;"",'[1]Processer - data'!B388,"")</f>
        <v>Konventionel</v>
      </c>
      <c r="C388" t="str">
        <f>IF('[1]Processer - data'!C388&lt;&gt;"",'[1]Processer - data'!C388,"")</f>
        <v>JB1-10</v>
      </c>
      <c r="D388" t="str">
        <f>IF('[1]Processer - data'!D388&lt;&gt;"",'[1]Processer - data'!D388,"")</f>
        <v>Areal-pil-poppel</v>
      </c>
      <c r="E388" t="str">
        <f>IF('[1]Processer - data'!E388&lt;&gt;"",'[1]Processer - data'!E388,"")</f>
        <v>Hektar</v>
      </c>
      <c r="F388" t="str">
        <f>IF('[1]Processer - data'!F388&lt;&gt;"",'[1]Processer - data'!F388,"")</f>
        <v>Gødning</v>
      </c>
      <c r="G388" t="str">
        <f>IF('[1]Processer - data'!G388&lt;&gt;"",'[1]Processer - data'!G388,"")</f>
        <v>kg N</v>
      </c>
      <c r="H388" s="297">
        <f>IF($A388&lt;&gt;"",IF(VLOOKUP($A388,[1]!Table1[#All],2,FALSE)="Direkte input",IF($A388&lt;&gt;"Grøntsager i drivhus",SUMIFS('Direkte input'!G$3:G$230,'Direkte input'!$F$3:$F$230,$D388,'Direkte input'!$C$3:$C$230,$B388,'Direkte input'!$D$3:$D$230,$C388,'Direkte input'!$A$3:$A$230,$A$1),SUMIFS('Direkte input'!G$3:G$230,'Direkte input'!$F$3:$F$230,$D388,'Direkte input'!$C$3:$C$230,$B388,'Direkte input'!$A$3:$A$230,$A$1)),IF(VLOOKUP($A388,[1]!Table1[#All],2,FALSE)="Resultat",SUMIF($F$1:$F387,$D388,H$1:H387)+SUMIF($F389:$F$512,$D388,H389:H$512),0))*'[1]Processer - data'!H388,"")*IF($C388&lt;&gt;"",IF($F388="Halm",Landbrug!C$16*Landbrug!C$17,IF(LEFT($D388,5)="Areal", IF($G388="Ton",Landbrug!C$18,1),1)),1)*IF($F388="Grøntsager",IF($A388="Grøntsager i drivhus",Landbrug!C$51,1-Landbrug!C$51),1)</f>
        <v>-149379.34306828058</v>
      </c>
      <c r="I388" s="298">
        <f>IF($A388&lt;&gt;"",IF(VLOOKUP($A388,[1]!Table1[#All],2,FALSE)="Direkte input",IF($A388&lt;&gt;"Grøntsager i drivhus",SUMIFS('Direkte input'!H$3:H$230,'Direkte input'!$F$3:$F$230,$D388,'Direkte input'!$C$3:$C$230,$B388,'Direkte input'!$D$3:$D$230,$C388,'Direkte input'!$A$3:$A$230,$A$1),SUMIFS('Direkte input'!H$3:H$230,'Direkte input'!$F$3:$F$230,$D388,'Direkte input'!$C$3:$C$230,$B388,'Direkte input'!$A$3:$A$230,$A$1)),IF(VLOOKUP($A388,[1]!Table1[#All],2,FALSE)="Resultat",SUMIF($F$1:$F387,$D388,I$1:I387)+SUMIF($F389:$F$512,$D388,I389:I$512),0))*'[1]Processer - data'!I388,"")*IF($C388&lt;&gt;"",IF($F388="Halm",Landbrug!D$16*Landbrug!D$17,IF(LEFT($D388,5)="Areal", IF($G388="Ton",Landbrug!D$18,1),1)),1)*IF($F388="Grøntsager",IF($A388="Grøntsager i drivhus",Landbrug!D$51,1-Landbrug!D$51),1)</f>
        <v>-144999.06583121585</v>
      </c>
      <c r="J388" s="299">
        <f>IF($A388&lt;&gt;"",IF(VLOOKUP($A388,[1]!Table1[#All],2,FALSE)="Direkte input",IF($A388&lt;&gt;"Grøntsager i drivhus",SUMIFS('Direkte input'!I$3:I$230,'Direkte input'!$F$3:$F$230,$D388,'Direkte input'!$C$3:$C$230,$B388,'Direkte input'!$D$3:$D$230,$C388,'Direkte input'!$A$3:$A$230,$A$1),SUMIFS('Direkte input'!I$3:I$230,'Direkte input'!$F$3:$F$230,$D388,'Direkte input'!$C$3:$C$230,$B388,'Direkte input'!$A$3:$A$230,$A$1)),IF(VLOOKUP($A388,[1]!Table1[#All],2,FALSE)="Resultat",SUMIF($F$1:$F387,$D388,J$1:J387)+SUMIF($F389:$F$512,$D388,J389:J$512),0))*'[1]Processer - data'!J388,"")*IF($C388&lt;&gt;"",IF($F388="Halm",Landbrug!E$16*Landbrug!E$17,IF(LEFT($D388,5)="Areal", IF($G388="Ton",Landbrug!E$18,1),1)),1)*IF($F388="Grøntsager",IF($A388="Grøntsager i drivhus",Landbrug!E$51,1-Landbrug!E$51),1)</f>
        <v>-137018.55536340488</v>
      </c>
    </row>
    <row r="389" spans="1:10" x14ac:dyDescent="0.25">
      <c r="A389" t="str">
        <f>IF('[1]Processer - data'!A389&lt;&gt;"",'[1]Processer - data'!A389,"")</f>
        <v>Pil- og poppeldyrkning</v>
      </c>
      <c r="B389" t="str">
        <f>IF('[1]Processer - data'!B389&lt;&gt;"",'[1]Processer - data'!B389,"")</f>
        <v>Konventionel</v>
      </c>
      <c r="C389" t="str">
        <f>IF('[1]Processer - data'!C389&lt;&gt;"",'[1]Processer - data'!C389,"")</f>
        <v>JB1-10</v>
      </c>
      <c r="D389" t="str">
        <f>IF('[1]Processer - data'!D389&lt;&gt;"",'[1]Processer - data'!D389,"")</f>
        <v>Areal-pil-poppel</v>
      </c>
      <c r="E389" t="str">
        <f>IF('[1]Processer - data'!E389&lt;&gt;"",'[1]Processer - data'!E389,"")</f>
        <v>Hektar</v>
      </c>
      <c r="F389" t="str">
        <f>IF('[1]Processer - data'!F389&lt;&gt;"",'[1]Processer - data'!F389,"")</f>
        <v>CO2 - atmosfære</v>
      </c>
      <c r="G389" t="str">
        <f>IF('[1]Processer - data'!G389&lt;&gt;"",'[1]Processer - data'!G389,"")</f>
        <v>t CO2-ækvivalenter</v>
      </c>
      <c r="H389" s="297">
        <f>IF($A389&lt;&gt;"",IF(VLOOKUP($A389,[1]!Table1[#All],2,FALSE)="Direkte input",IF($A389&lt;&gt;"Grøntsager i drivhus",SUMIFS('Direkte input'!G$3:G$230,'Direkte input'!$F$3:$F$230,$D389,'Direkte input'!$C$3:$C$230,$B389,'Direkte input'!$D$3:$D$230,$C389,'Direkte input'!$A$3:$A$230,$A$1),SUMIFS('Direkte input'!G$3:G$230,'Direkte input'!$F$3:$F$230,$D389,'Direkte input'!$C$3:$C$230,$B389,'Direkte input'!$A$3:$A$230,$A$1)),IF(VLOOKUP($A389,[1]!Table1[#All],2,FALSE)="Resultat",SUMIF($F$1:$F388,$D389,H$1:H388)+SUMIF($F390:$F$512,$D389,H390:H$512),0))*'[1]Processer - data'!H389,"")*IF($C389&lt;&gt;"",IF($F389="Halm",Landbrug!C$16*Landbrug!C$17,IF(LEFT($D389,5)="Areal", IF($G389="Ton",Landbrug!C$18,1),1)),1)*IF($F389="Grøntsager",IF($A389="Grøntsager i drivhus",Landbrug!C$51,1-Landbrug!C$51),1)</f>
        <v>2446.9511107333119</v>
      </c>
      <c r="I389" s="298">
        <f>IF($A389&lt;&gt;"",IF(VLOOKUP($A389,[1]!Table1[#All],2,FALSE)="Direkte input",IF($A389&lt;&gt;"Grøntsager i drivhus",SUMIFS('Direkte input'!H$3:H$230,'Direkte input'!$F$3:$F$230,$D389,'Direkte input'!$C$3:$C$230,$B389,'Direkte input'!$D$3:$D$230,$C389,'Direkte input'!$A$3:$A$230,$A$1),SUMIFS('Direkte input'!H$3:H$230,'Direkte input'!$F$3:$F$230,$D389,'Direkte input'!$C$3:$C$230,$B389,'Direkte input'!$A$3:$A$230,$A$1)),IF(VLOOKUP($A389,[1]!Table1[#All],2,FALSE)="Resultat",SUMIF($F$1:$F388,$D389,I$1:I388)+SUMIF($F390:$F$512,$D389,I390:I$512),0))*'[1]Processer - data'!I389,"")*IF($C389&lt;&gt;"",IF($F389="Halm",Landbrug!D$16*Landbrug!D$17,IF(LEFT($D389,5)="Areal", IF($G389="Ton",Landbrug!D$18,1),1)),1)*IF($F389="Grøntsager",IF($A389="Grøntsager i drivhus",Landbrug!D$51,1-Landbrug!D$51),1)</f>
        <v>2375.1987249589538</v>
      </c>
      <c r="J389" s="299">
        <f>IF($A389&lt;&gt;"",IF(VLOOKUP($A389,[1]!Table1[#All],2,FALSE)="Direkte input",IF($A389&lt;&gt;"Grøntsager i drivhus",SUMIFS('Direkte input'!I$3:I$230,'Direkte input'!$F$3:$F$230,$D389,'Direkte input'!$C$3:$C$230,$B389,'Direkte input'!$D$3:$D$230,$C389,'Direkte input'!$A$3:$A$230,$A$1),SUMIFS('Direkte input'!I$3:I$230,'Direkte input'!$F$3:$F$230,$D389,'Direkte input'!$C$3:$C$230,$B389,'Direkte input'!$A$3:$A$230,$A$1)),IF(VLOOKUP($A389,[1]!Table1[#All],2,FALSE)="Resultat",SUMIF($F$1:$F388,$D389,J$1:J388)+SUMIF($F390:$F$512,$D389,J390:J$512),0))*'[1]Processer - data'!J389,"")*IF($C389&lt;&gt;"",IF($F389="Halm",Landbrug!E$16*Landbrug!E$17,IF(LEFT($D389,5)="Areal", IF($G389="Ton",Landbrug!E$18,1),1)),1)*IF($F389="Grøntsager",IF($A389="Grøntsager i drivhus",Landbrug!E$51,1-Landbrug!E$51),1)</f>
        <v>2244.4716876569978</v>
      </c>
    </row>
    <row r="390" spans="1:10" x14ac:dyDescent="0.25">
      <c r="A390" t="str">
        <f>IF('[1]Processer - data'!A390&lt;&gt;"",'[1]Processer - data'!A390,"")</f>
        <v>Pil- og poppeldyrkning</v>
      </c>
      <c r="B390" t="str">
        <f>IF('[1]Processer - data'!B390&lt;&gt;"",'[1]Processer - data'!B390,"")</f>
        <v>Konventionel</v>
      </c>
      <c r="C390" t="str">
        <f>IF('[1]Processer - data'!C390&lt;&gt;"",'[1]Processer - data'!C390,"")</f>
        <v>OC6</v>
      </c>
      <c r="D390" t="str">
        <f>IF('[1]Processer - data'!D390&lt;&gt;"",'[1]Processer - data'!D390,"")</f>
        <v>Areal-pil-poppel</v>
      </c>
      <c r="E390" t="str">
        <f>IF('[1]Processer - data'!E390&lt;&gt;"",'[1]Processer - data'!E390,"")</f>
        <v>Hektar</v>
      </c>
      <c r="F390" t="str">
        <f>IF('[1]Processer - data'!F390&lt;&gt;"",'[1]Processer - data'!F390,"")</f>
        <v>Pil &amp; poppel</v>
      </c>
      <c r="G390" t="str">
        <f>IF('[1]Processer - data'!G390&lt;&gt;"",'[1]Processer - data'!G390,"")</f>
        <v>Ton</v>
      </c>
      <c r="H390" s="297">
        <f>IF($A390&lt;&gt;"",IF(VLOOKUP($A390,[1]!Table1[#All],2,FALSE)="Direkte input",IF($A390&lt;&gt;"Grøntsager i drivhus",SUMIFS('Direkte input'!G$3:G$230,'Direkte input'!$F$3:$F$230,$D390,'Direkte input'!$C$3:$C$230,$B390,'Direkte input'!$D$3:$D$230,$C390,'Direkte input'!$A$3:$A$230,$A$1),SUMIFS('Direkte input'!G$3:G$230,'Direkte input'!$F$3:$F$230,$D390,'Direkte input'!$C$3:$C$230,$B390,'Direkte input'!$A$3:$A$230,$A$1)),IF(VLOOKUP($A390,[1]!Table1[#All],2,FALSE)="Resultat",SUMIF($F$1:$F389,$D390,H$1:H389)+SUMIF($F391:$F$512,$D390,H391:H$512),0))*'[1]Processer - data'!H390,"")*IF($C390&lt;&gt;"",IF($F390="Halm",Landbrug!C$16*Landbrug!C$17,IF(LEFT($D390,5)="Areal", IF($G390="Ton",Landbrug!C$18,1),1)),1)*IF($F390="Grøntsager",IF($A390="Grøntsager i drivhus",Landbrug!C$51,1-Landbrug!C$51),1)</f>
        <v>2911.4634563358672</v>
      </c>
      <c r="I390" s="298">
        <f>IF($A390&lt;&gt;"",IF(VLOOKUP($A390,[1]!Table1[#All],2,FALSE)="Direkte input",IF($A390&lt;&gt;"Grøntsager i drivhus",SUMIFS('Direkte input'!H$3:H$230,'Direkte input'!$F$3:$F$230,$D390,'Direkte input'!$C$3:$C$230,$B390,'Direkte input'!$D$3:$D$230,$C390,'Direkte input'!$A$3:$A$230,$A$1),SUMIFS('Direkte input'!H$3:H$230,'Direkte input'!$F$3:$F$230,$D390,'Direkte input'!$C$3:$C$230,$B390,'Direkte input'!$A$3:$A$230,$A$1)),IF(VLOOKUP($A390,[1]!Table1[#All],2,FALSE)="Resultat",SUMIF($F$1:$F389,$D390,I$1:I389)+SUMIF($F391:$F$512,$D390,I391:I$512),0))*'[1]Processer - data'!I390,"")*IF($C390&lt;&gt;"",IF($F390="Halm",Landbrug!D$16*Landbrug!D$17,IF(LEFT($D390,5)="Areal", IF($G390="Ton",Landbrug!D$18,1),1)),1)*IF($F390="Grøntsager",IF($A390="Grøntsager i drivhus",Landbrug!D$51,1-Landbrug!D$51),1)</f>
        <v>2823.1083155682445</v>
      </c>
      <c r="J390" s="299">
        <f>IF($A390&lt;&gt;"",IF(VLOOKUP($A390,[1]!Table1[#All],2,FALSE)="Direkte input",IF($A390&lt;&gt;"Grøntsager i drivhus",SUMIFS('Direkte input'!I$3:I$230,'Direkte input'!$F$3:$F$230,$D390,'Direkte input'!$C$3:$C$230,$B390,'Direkte input'!$D$3:$D$230,$C390,'Direkte input'!$A$3:$A$230,$A$1),SUMIFS('Direkte input'!I$3:I$230,'Direkte input'!$F$3:$F$230,$D390,'Direkte input'!$C$3:$C$230,$B390,'Direkte input'!$A$3:$A$230,$A$1)),IF(VLOOKUP($A390,[1]!Table1[#All],2,FALSE)="Resultat",SUMIF($F$1:$F389,$D390,J$1:J389)+SUMIF($F391:$F$512,$D390,J391:J$512),0))*'[1]Processer - data'!J390,"")*IF($C390&lt;&gt;"",IF($F390="Halm",Landbrug!E$16*Landbrug!E$17,IF(LEFT($D390,5)="Areal", IF($G390="Ton",Landbrug!E$18,1),1)),1)*IF($F390="Grøntsager",IF($A390="Grøntsager i drivhus",Landbrug!E$51,1-Landbrug!E$51),1)</f>
        <v>2888.4738314159385</v>
      </c>
    </row>
    <row r="391" spans="1:10" x14ac:dyDescent="0.25">
      <c r="A391" t="str">
        <f>IF('[1]Processer - data'!A391&lt;&gt;"",'[1]Processer - data'!A391,"")</f>
        <v>Pil- og poppeldyrkning</v>
      </c>
      <c r="B391" t="str">
        <f>IF('[1]Processer - data'!B391&lt;&gt;"",'[1]Processer - data'!B391,"")</f>
        <v>Konventionel</v>
      </c>
      <c r="C391" t="str">
        <f>IF('[1]Processer - data'!C391&lt;&gt;"",'[1]Processer - data'!C391,"")</f>
        <v>OC6</v>
      </c>
      <c r="D391" t="str">
        <f>IF('[1]Processer - data'!D391&lt;&gt;"",'[1]Processer - data'!D391,"")</f>
        <v>Areal-pil-poppel</v>
      </c>
      <c r="E391" t="str">
        <f>IF('[1]Processer - data'!E391&lt;&gt;"",'[1]Processer - data'!E391,"")</f>
        <v>Hektar</v>
      </c>
      <c r="F391" t="str">
        <f>IF('[1]Processer - data'!F391&lt;&gt;"",'[1]Processer - data'!F391,"")</f>
        <v>Gødning</v>
      </c>
      <c r="G391" t="str">
        <f>IF('[1]Processer - data'!G391&lt;&gt;"",'[1]Processer - data'!G391,"")</f>
        <v>kg N</v>
      </c>
      <c r="H391" s="297">
        <f>IF($A391&lt;&gt;"",IF(VLOOKUP($A391,[1]!Table1[#All],2,FALSE)="Direkte input",IF($A391&lt;&gt;"Grøntsager i drivhus",SUMIFS('Direkte input'!G$3:G$230,'Direkte input'!$F$3:$F$230,$D391,'Direkte input'!$C$3:$C$230,$B391,'Direkte input'!$D$3:$D$230,$C391,'Direkte input'!$A$3:$A$230,$A$1),SUMIFS('Direkte input'!G$3:G$230,'Direkte input'!$F$3:$F$230,$D391,'Direkte input'!$C$3:$C$230,$B391,'Direkte input'!$A$3:$A$230,$A$1)),IF(VLOOKUP($A391,[1]!Table1[#All],2,FALSE)="Resultat",SUMIF($F$1:$F390,$D391,H$1:H390)+SUMIF($F392:$F$512,$D391,H392:H$512),0))*'[1]Processer - data'!H391,"")*IF($C391&lt;&gt;"",IF($F391="Halm",Landbrug!C$16*Landbrug!C$17,IF(LEFT($D391,5)="Areal", IF($G391="Ton",Landbrug!C$18,1),1)),1)*IF($F391="Grøntsager",IF($A391="Grøntsager i drivhus",Landbrug!C$51,1-Landbrug!C$51),1)</f>
        <v>-11937.000170977057</v>
      </c>
      <c r="I391" s="298">
        <f>IF($A391&lt;&gt;"",IF(VLOOKUP($A391,[1]!Table1[#All],2,FALSE)="Direkte input",IF($A391&lt;&gt;"Grøntsager i drivhus",SUMIFS('Direkte input'!H$3:H$230,'Direkte input'!$F$3:$F$230,$D391,'Direkte input'!$C$3:$C$230,$B391,'Direkte input'!$D$3:$D$230,$C391,'Direkte input'!$A$3:$A$230,$A$1),SUMIFS('Direkte input'!H$3:H$230,'Direkte input'!$F$3:$F$230,$D391,'Direkte input'!$C$3:$C$230,$B391,'Direkte input'!$A$3:$A$230,$A$1)),IF(VLOOKUP($A391,[1]!Table1[#All],2,FALSE)="Resultat",SUMIF($F$1:$F390,$D391,I$1:I390)+SUMIF($F392:$F$512,$D391,I392:I$512),0))*'[1]Processer - data'!I391,"")*IF($C391&lt;&gt;"",IF($F391="Halm",Landbrug!D$16*Landbrug!D$17,IF(LEFT($D391,5)="Areal", IF($G391="Ton",Landbrug!D$18,1),1)),1)*IF($F391="Grøntsager",IF($A391="Grøntsager i drivhus",Landbrug!D$51,1-Landbrug!D$51),1)</f>
        <v>-10797.335908423322</v>
      </c>
      <c r="J391" s="299">
        <f>IF($A391&lt;&gt;"",IF(VLOOKUP($A391,[1]!Table1[#All],2,FALSE)="Direkte input",IF($A391&lt;&gt;"Grøntsager i drivhus",SUMIFS('Direkte input'!I$3:I$230,'Direkte input'!$F$3:$F$230,$D391,'Direkte input'!$C$3:$C$230,$B391,'Direkte input'!$D$3:$D$230,$C391,'Direkte input'!$A$3:$A$230,$A$1),SUMIFS('Direkte input'!I$3:I$230,'Direkte input'!$F$3:$F$230,$D391,'Direkte input'!$C$3:$C$230,$B391,'Direkte input'!$A$3:$A$230,$A$1)),IF(VLOOKUP($A391,[1]!Table1[#All],2,FALSE)="Resultat",SUMIF($F$1:$F390,$D391,J$1:J390)+SUMIF($F392:$F$512,$D391,J392:J$512),0))*'[1]Processer - data'!J391,"")*IF($C391&lt;&gt;"",IF($F391="Halm",Landbrug!E$16*Landbrug!E$17,IF(LEFT($D391,5)="Areal", IF($G391="Ton",Landbrug!E$18,1),1)),1)*IF($F391="Grøntsager",IF($A391="Grøntsager i drivhus",Landbrug!E$51,1-Landbrug!E$51),1)</f>
        <v>-10298.037138091608</v>
      </c>
    </row>
    <row r="392" spans="1:10" x14ac:dyDescent="0.25">
      <c r="A392" t="str">
        <f>IF('[1]Processer - data'!A392&lt;&gt;"",'[1]Processer - data'!A392,"")</f>
        <v>Pil- og poppeldyrkning</v>
      </c>
      <c r="B392" t="str">
        <f>IF('[1]Processer - data'!B392&lt;&gt;"",'[1]Processer - data'!B392,"")</f>
        <v>Konventionel</v>
      </c>
      <c r="C392" t="str">
        <f>IF('[1]Processer - data'!C392&lt;&gt;"",'[1]Processer - data'!C392,"")</f>
        <v>OC6</v>
      </c>
      <c r="D392" t="str">
        <f>IF('[1]Processer - data'!D392&lt;&gt;"",'[1]Processer - data'!D392,"")</f>
        <v>Areal-pil-poppel</v>
      </c>
      <c r="E392" t="str">
        <f>IF('[1]Processer - data'!E392&lt;&gt;"",'[1]Processer - data'!E392,"")</f>
        <v>Hektar</v>
      </c>
      <c r="F392" t="str">
        <f>IF('[1]Processer - data'!F392&lt;&gt;"",'[1]Processer - data'!F392,"")</f>
        <v>CO2 - atmosfære</v>
      </c>
      <c r="G392" t="str">
        <f>IF('[1]Processer - data'!G392&lt;&gt;"",'[1]Processer - data'!G392,"")</f>
        <v>t CO2-ækvivalenter</v>
      </c>
      <c r="H392" s="297">
        <f>IF($A392&lt;&gt;"",IF(VLOOKUP($A392,[1]!Table1[#All],2,FALSE)="Direkte input",IF($A392&lt;&gt;"Grøntsager i drivhus",SUMIFS('Direkte input'!G$3:G$230,'Direkte input'!$F$3:$F$230,$D392,'Direkte input'!$C$3:$C$230,$B392,'Direkte input'!$D$3:$D$230,$C392,'Direkte input'!$A$3:$A$230,$A$1),SUMIFS('Direkte input'!G$3:G$230,'Direkte input'!$F$3:$F$230,$D392,'Direkte input'!$C$3:$C$230,$B392,'Direkte input'!$A$3:$A$230,$A$1)),IF(VLOOKUP($A392,[1]!Table1[#All],2,FALSE)="Resultat",SUMIF($F$1:$F391,$D392,H$1:H391)+SUMIF($F393:$F$512,$D392,H393:H$512),0))*'[1]Processer - data'!H392,"")*IF($C392&lt;&gt;"",IF($F392="Halm",Landbrug!C$16*Landbrug!C$17,IF(LEFT($D392,5)="Areal", IF($G392="Ton",Landbrug!C$18,1),1)),1)*IF($F392="Grøntsager",IF($A392="Grøntsager i drivhus",Landbrug!C$51,1-Landbrug!C$51),1)</f>
        <v>1060.5720623964924</v>
      </c>
      <c r="I392" s="298">
        <f>IF($A392&lt;&gt;"",IF(VLOOKUP($A392,[1]!Table1[#All],2,FALSE)="Direkte input",IF($A392&lt;&gt;"Grøntsager i drivhus",SUMIFS('Direkte input'!H$3:H$230,'Direkte input'!$F$3:$F$230,$D392,'Direkte input'!$C$3:$C$230,$B392,'Direkte input'!$D$3:$D$230,$C392,'Direkte input'!$A$3:$A$230,$A$1),SUMIFS('Direkte input'!H$3:H$230,'Direkte input'!$F$3:$F$230,$D392,'Direkte input'!$C$3:$C$230,$B392,'Direkte input'!$A$3:$A$230,$A$1)),IF(VLOOKUP($A392,[1]!Table1[#All],2,FALSE)="Resultat",SUMIF($F$1:$F391,$D392,I$1:I391)+SUMIF($F393:$F$512,$D392,I393:I$512),0))*'[1]Processer - data'!I392,"")*IF($C392&lt;&gt;"",IF($F392="Halm",Landbrug!D$16*Landbrug!D$17,IF(LEFT($D392,5)="Areal", IF($G392="Ton",Landbrug!D$18,1),1)),1)*IF($F392="Grøntsager",IF($A392="Grøntsager i drivhus",Landbrug!D$51,1-Landbrug!D$51),1)</f>
        <v>959.31579532237879</v>
      </c>
      <c r="J392" s="299">
        <f>IF($A392&lt;&gt;"",IF(VLOOKUP($A392,[1]!Table1[#All],2,FALSE)="Direkte input",IF($A392&lt;&gt;"Grøntsager i drivhus",SUMIFS('Direkte input'!I$3:I$230,'Direkte input'!$F$3:$F$230,$D392,'Direkte input'!$C$3:$C$230,$B392,'Direkte input'!$D$3:$D$230,$C392,'Direkte input'!$A$3:$A$230,$A$1),SUMIFS('Direkte input'!I$3:I$230,'Direkte input'!$F$3:$F$230,$D392,'Direkte input'!$C$3:$C$230,$B392,'Direkte input'!$A$3:$A$230,$A$1)),IF(VLOOKUP($A392,[1]!Table1[#All],2,FALSE)="Resultat",SUMIF($F$1:$F391,$D392,J$1:J391)+SUMIF($F393:$F$512,$D392,J393:J$512),0))*'[1]Processer - data'!J392,"")*IF($C392&lt;&gt;"",IF($F392="Halm",Landbrug!E$16*Landbrug!E$17,IF(LEFT($D392,5)="Areal", IF($G392="Ton",Landbrug!E$18,1),1)),1)*IF($F392="Grøntsager",IF($A392="Grøntsager i drivhus",Landbrug!E$51,1-Landbrug!E$51),1)</f>
        <v>914.95437126122829</v>
      </c>
    </row>
    <row r="393" spans="1:10" x14ac:dyDescent="0.25">
      <c r="A393" t="str">
        <f>IF('[1]Processer - data'!A393&lt;&gt;"",'[1]Processer - data'!A393,"")</f>
        <v>Pil- og poppeldyrkning</v>
      </c>
      <c r="B393" t="str">
        <f>IF('[1]Processer - data'!B393&lt;&gt;"",'[1]Processer - data'!B393,"")</f>
        <v>Konventionel</v>
      </c>
      <c r="C393" t="str">
        <f>IF('[1]Processer - data'!C393&lt;&gt;"",'[1]Processer - data'!C393,"")</f>
        <v>OC12</v>
      </c>
      <c r="D393" t="str">
        <f>IF('[1]Processer - data'!D393&lt;&gt;"",'[1]Processer - data'!D393,"")</f>
        <v>Areal-pil-poppel</v>
      </c>
      <c r="E393" t="str">
        <f>IF('[1]Processer - data'!E393&lt;&gt;"",'[1]Processer - data'!E393,"")</f>
        <v>Hektar</v>
      </c>
      <c r="F393" t="str">
        <f>IF('[1]Processer - data'!F393&lt;&gt;"",'[1]Processer - data'!F393,"")</f>
        <v>Pil &amp; poppel</v>
      </c>
      <c r="G393" t="str">
        <f>IF('[1]Processer - data'!G393&lt;&gt;"",'[1]Processer - data'!G393,"")</f>
        <v>Ton</v>
      </c>
      <c r="H393" s="297">
        <f>IF($A393&lt;&gt;"",IF(VLOOKUP($A393,[1]!Table1[#All],2,FALSE)="Direkte input",IF($A393&lt;&gt;"Grøntsager i drivhus",SUMIFS('Direkte input'!G$3:G$230,'Direkte input'!$F$3:$F$230,$D393,'Direkte input'!$C$3:$C$230,$B393,'Direkte input'!$D$3:$D$230,$C393,'Direkte input'!$A$3:$A$230,$A$1),SUMIFS('Direkte input'!G$3:G$230,'Direkte input'!$F$3:$F$230,$D393,'Direkte input'!$C$3:$C$230,$B393,'Direkte input'!$A$3:$A$230,$A$1)),IF(VLOOKUP($A393,[1]!Table1[#All],2,FALSE)="Resultat",SUMIF($F$1:$F392,$D393,H$1:H392)+SUMIF($F394:$F$512,$D393,H394:H$512),0))*'[1]Processer - data'!H393,"")*IF($C393&lt;&gt;"",IF($F393="Halm",Landbrug!C$16*Landbrug!C$17,IF(LEFT($D393,5)="Areal", IF($G393="Ton",Landbrug!C$18,1),1)),1)*IF($F393="Grøntsager",IF($A393="Grøntsager i drivhus",Landbrug!C$51,1-Landbrug!C$51),1)</f>
        <v>2947.4444962599664</v>
      </c>
      <c r="I393" s="298">
        <f>IF($A393&lt;&gt;"",IF(VLOOKUP($A393,[1]!Table1[#All],2,FALSE)="Direkte input",IF($A393&lt;&gt;"Grøntsager i drivhus",SUMIFS('Direkte input'!H$3:H$230,'Direkte input'!$F$3:$F$230,$D393,'Direkte input'!$C$3:$C$230,$B393,'Direkte input'!$D$3:$D$230,$C393,'Direkte input'!$A$3:$A$230,$A$1),SUMIFS('Direkte input'!H$3:H$230,'Direkte input'!$F$3:$F$230,$D393,'Direkte input'!$C$3:$C$230,$B393,'Direkte input'!$A$3:$A$230,$A$1)),IF(VLOOKUP($A393,[1]!Table1[#All],2,FALSE)="Resultat",SUMIF($F$1:$F392,$D393,I$1:I392)+SUMIF($F394:$F$512,$D393,I394:I$512),0))*'[1]Processer - data'!I393,"")*IF($C393&lt;&gt;"",IF($F393="Halm",Landbrug!D$16*Landbrug!D$17,IF(LEFT($D393,5)="Areal", IF($G393="Ton",Landbrug!D$18,1),1)),1)*IF($F393="Grøntsager",IF($A393="Grøntsager i drivhus",Landbrug!D$51,1-Landbrug!D$51),1)</f>
        <v>2880.6271806112104</v>
      </c>
      <c r="J393" s="299">
        <f>IF($A393&lt;&gt;"",IF(VLOOKUP($A393,[1]!Table1[#All],2,FALSE)="Direkte input",IF($A393&lt;&gt;"Grøntsager i drivhus",SUMIFS('Direkte input'!I$3:I$230,'Direkte input'!$F$3:$F$230,$D393,'Direkte input'!$C$3:$C$230,$B393,'Direkte input'!$D$3:$D$230,$C393,'Direkte input'!$A$3:$A$230,$A$1),SUMIFS('Direkte input'!I$3:I$230,'Direkte input'!$F$3:$F$230,$D393,'Direkte input'!$C$3:$C$230,$B393,'Direkte input'!$A$3:$A$230,$A$1)),IF(VLOOKUP($A393,[1]!Table1[#All],2,FALSE)="Resultat",SUMIF($F$1:$F392,$D393,J$1:J392)+SUMIF($F394:$F$512,$D393,J394:J$512),0))*'[1]Processer - data'!J393,"")*IF($C393&lt;&gt;"",IF($F393="Halm",Landbrug!E$16*Landbrug!E$17,IF(LEFT($D393,5)="Areal", IF($G393="Ton",Landbrug!E$18,1),1)),1)*IF($F393="Grøntsager",IF($A393="Grøntsager i drivhus",Landbrug!E$51,1-Landbrug!E$51),1)</f>
        <v>2947.3244733035172</v>
      </c>
    </row>
    <row r="394" spans="1:10" x14ac:dyDescent="0.25">
      <c r="A394" t="str">
        <f>IF('[1]Processer - data'!A394&lt;&gt;"",'[1]Processer - data'!A394,"")</f>
        <v>Pil- og poppeldyrkning</v>
      </c>
      <c r="B394" t="str">
        <f>IF('[1]Processer - data'!B394&lt;&gt;"",'[1]Processer - data'!B394,"")</f>
        <v>Konventionel</v>
      </c>
      <c r="C394" t="str">
        <f>IF('[1]Processer - data'!C394&lt;&gt;"",'[1]Processer - data'!C394,"")</f>
        <v>OC12</v>
      </c>
      <c r="D394" t="str">
        <f>IF('[1]Processer - data'!D394&lt;&gt;"",'[1]Processer - data'!D394,"")</f>
        <v>Areal-pil-poppel</v>
      </c>
      <c r="E394" t="str">
        <f>IF('[1]Processer - data'!E394&lt;&gt;"",'[1]Processer - data'!E394,"")</f>
        <v>Hektar</v>
      </c>
      <c r="F394" t="str">
        <f>IF('[1]Processer - data'!F394&lt;&gt;"",'[1]Processer - data'!F394,"")</f>
        <v>Gødning</v>
      </c>
      <c r="G394" t="str">
        <f>IF('[1]Processer - data'!G394&lt;&gt;"",'[1]Processer - data'!G394,"")</f>
        <v>kg N</v>
      </c>
      <c r="H394" s="297">
        <f>IF($A394&lt;&gt;"",IF(VLOOKUP($A394,[1]!Table1[#All],2,FALSE)="Direkte input",IF($A394&lt;&gt;"Grøntsager i drivhus",SUMIFS('Direkte input'!G$3:G$230,'Direkte input'!$F$3:$F$230,$D394,'Direkte input'!$C$3:$C$230,$B394,'Direkte input'!$D$3:$D$230,$C394,'Direkte input'!$A$3:$A$230,$A$1),SUMIFS('Direkte input'!G$3:G$230,'Direkte input'!$F$3:$F$230,$D394,'Direkte input'!$C$3:$C$230,$B394,'Direkte input'!$A$3:$A$230,$A$1)),IF(VLOOKUP($A394,[1]!Table1[#All],2,FALSE)="Resultat",SUMIF($F$1:$F393,$D394,H$1:H393)+SUMIF($F395:$F$512,$D394,H395:H$512),0))*'[1]Processer - data'!H394,"")*IF($C394&lt;&gt;"",IF($F394="Halm",Landbrug!C$16*Landbrug!C$17,IF(LEFT($D394,5)="Areal", IF($G394="Ton",Landbrug!C$18,1),1)),1)*IF($F394="Grøntsager",IF($A394="Grøntsager i drivhus",Landbrug!C$51,1-Landbrug!C$51),1)</f>
        <v>-10358.162086856455</v>
      </c>
      <c r="I394" s="298">
        <f>IF($A394&lt;&gt;"",IF(VLOOKUP($A394,[1]!Table1[#All],2,FALSE)="Direkte input",IF($A394&lt;&gt;"Grøntsager i drivhus",SUMIFS('Direkte input'!H$3:H$230,'Direkte input'!$F$3:$F$230,$D394,'Direkte input'!$C$3:$C$230,$B394,'Direkte input'!$D$3:$D$230,$C394,'Direkte input'!$A$3:$A$230,$A$1),SUMIFS('Direkte input'!H$3:H$230,'Direkte input'!$F$3:$F$230,$D394,'Direkte input'!$C$3:$C$230,$B394,'Direkte input'!$A$3:$A$230,$A$1)),IF(VLOOKUP($A394,[1]!Table1[#All],2,FALSE)="Resultat",SUMIF($F$1:$F393,$D394,I$1:I393)+SUMIF($F395:$F$512,$D394,I395:I$512),0))*'[1]Processer - data'!I394,"")*IF($C394&lt;&gt;"",IF($F394="Halm",Landbrug!D$16*Landbrug!D$17,IF(LEFT($D394,5)="Areal", IF($G394="Ton",Landbrug!D$18,1),1)),1)*IF($F394="Grøntsager",IF($A394="Grøntsager i drivhus",Landbrug!D$51,1-Landbrug!D$51),1)</f>
        <v>-9443.4206613853657</v>
      </c>
      <c r="J394" s="299">
        <f>IF($A394&lt;&gt;"",IF(VLOOKUP($A394,[1]!Table1[#All],2,FALSE)="Direkte input",IF($A394&lt;&gt;"Grøntsager i drivhus",SUMIFS('Direkte input'!I$3:I$230,'Direkte input'!$F$3:$F$230,$D394,'Direkte input'!$C$3:$C$230,$B394,'Direkte input'!$D$3:$D$230,$C394,'Direkte input'!$A$3:$A$230,$A$1),SUMIFS('Direkte input'!I$3:I$230,'Direkte input'!$F$3:$F$230,$D394,'Direkte input'!$C$3:$C$230,$B394,'Direkte input'!$A$3:$A$230,$A$1)),IF(VLOOKUP($A394,[1]!Table1[#All],2,FALSE)="Resultat",SUMIF($F$1:$F393,$D394,J$1:J393)+SUMIF($F395:$F$512,$D394,J395:J$512),0))*'[1]Processer - data'!J394,"")*IF($C394&lt;&gt;"",IF($F394="Halm",Landbrug!E$16*Landbrug!E$17,IF(LEFT($D394,5)="Areal", IF($G394="Ton",Landbrug!E$18,1),1)),1)*IF($F394="Grøntsager",IF($A394="Grøntsager i drivhus",Landbrug!E$51,1-Landbrug!E$51),1)</f>
        <v>-9006.730688604539</v>
      </c>
    </row>
    <row r="395" spans="1:10" x14ac:dyDescent="0.25">
      <c r="A395" t="str">
        <f>IF('[1]Processer - data'!A395&lt;&gt;"",'[1]Processer - data'!A395,"")</f>
        <v>Pil- og poppeldyrkning</v>
      </c>
      <c r="B395" t="str">
        <f>IF('[1]Processer - data'!B395&lt;&gt;"",'[1]Processer - data'!B395,"")</f>
        <v>Konventionel</v>
      </c>
      <c r="C395" t="str">
        <f>IF('[1]Processer - data'!C395&lt;&gt;"",'[1]Processer - data'!C395,"")</f>
        <v>OC12</v>
      </c>
      <c r="D395" t="str">
        <f>IF('[1]Processer - data'!D395&lt;&gt;"",'[1]Processer - data'!D395,"")</f>
        <v>Areal-pil-poppel</v>
      </c>
      <c r="E395" t="str">
        <f>IF('[1]Processer - data'!E395&lt;&gt;"",'[1]Processer - data'!E395,"")</f>
        <v>Hektar</v>
      </c>
      <c r="F395" t="str">
        <f>IF('[1]Processer - data'!F395&lt;&gt;"",'[1]Processer - data'!F395,"")</f>
        <v>CO2 - atmosfære</v>
      </c>
      <c r="G395" t="str">
        <f>IF('[1]Processer - data'!G395&lt;&gt;"",'[1]Processer - data'!G395,"")</f>
        <v>t CO2-ækvivalenter</v>
      </c>
      <c r="H395" s="297">
        <f>IF($A395&lt;&gt;"",IF(VLOOKUP($A395,[1]!Table1[#All],2,FALSE)="Direkte input",IF($A395&lt;&gt;"Grøntsager i drivhus",SUMIFS('Direkte input'!G$3:G$230,'Direkte input'!$F$3:$F$230,$D395,'Direkte input'!$C$3:$C$230,$B395,'Direkte input'!$D$3:$D$230,$C395,'Direkte input'!$A$3:$A$230,$A$1),SUMIFS('Direkte input'!G$3:G$230,'Direkte input'!$F$3:$F$230,$D395,'Direkte input'!$C$3:$C$230,$B395,'Direkte input'!$A$3:$A$230,$A$1)),IF(VLOOKUP($A395,[1]!Table1[#All],2,FALSE)="Resultat",SUMIF($F$1:$F394,$D395,H$1:H394)+SUMIF($F396:$F$512,$D395,H396:H$512),0))*'[1]Processer - data'!H395,"")*IF($C395&lt;&gt;"",IF($F395="Halm",Landbrug!C$16*Landbrug!C$17,IF(LEFT($D395,5)="Areal", IF($G395="Ton",Landbrug!C$18,1),1)),1)*IF($F395="Grøntsager",IF($A395="Grøntsager i drivhus",Landbrug!C$51,1-Landbrug!C$51),1)</f>
        <v>2460.2097500704845</v>
      </c>
      <c r="I395" s="298">
        <f>IF($A395&lt;&gt;"",IF(VLOOKUP($A395,[1]!Table1[#All],2,FALSE)="Direkte input",IF($A395&lt;&gt;"Grøntsager i drivhus",SUMIFS('Direkte input'!H$3:H$230,'Direkte input'!$F$3:$F$230,$D395,'Direkte input'!$C$3:$C$230,$B395,'Direkte input'!$D$3:$D$230,$C395,'Direkte input'!$A$3:$A$230,$A$1),SUMIFS('Direkte input'!H$3:H$230,'Direkte input'!$F$3:$F$230,$D395,'Direkte input'!$C$3:$C$230,$B395,'Direkte input'!$A$3:$A$230,$A$1)),IF(VLOOKUP($A395,[1]!Table1[#All],2,FALSE)="Resultat",SUMIF($F$1:$F394,$D395,I$1:I394)+SUMIF($F396:$F$512,$D395,I396:I$512),0))*'[1]Processer - data'!I395,"")*IF($C395&lt;&gt;"",IF($F395="Halm",Landbrug!D$16*Landbrug!D$17,IF(LEFT($D395,5)="Areal", IF($G395="Ton",Landbrug!D$18,1),1)),1)*IF($F395="Grøntsager",IF($A395="Grøntsager i drivhus",Landbrug!D$51,1-Landbrug!D$51),1)</f>
        <v>2242.9457456200262</v>
      </c>
      <c r="J395" s="299">
        <f>IF($A395&lt;&gt;"",IF(VLOOKUP($A395,[1]!Table1[#All],2,FALSE)="Direkte input",IF($A395&lt;&gt;"Grøntsager i drivhus",SUMIFS('Direkte input'!I$3:I$230,'Direkte input'!$F$3:$F$230,$D395,'Direkte input'!$C$3:$C$230,$B395,'Direkte input'!$D$3:$D$230,$C395,'Direkte input'!$A$3:$A$230,$A$1),SUMIFS('Direkte input'!I$3:I$230,'Direkte input'!$F$3:$F$230,$D395,'Direkte input'!$C$3:$C$230,$B395,'Direkte input'!$A$3:$A$230,$A$1)),IF(VLOOKUP($A395,[1]!Table1[#All],2,FALSE)="Resultat",SUMIF($F$1:$F394,$D395,J$1:J394)+SUMIF($F396:$F$512,$D395,J396:J$512),0))*'[1]Processer - data'!J395,"")*IF($C395&lt;&gt;"",IF($F395="Halm",Landbrug!E$16*Landbrug!E$17,IF(LEFT($D395,5)="Areal", IF($G395="Ton",Landbrug!E$18,1),1)),1)*IF($F395="Grøntsager",IF($A395="Grøntsager i drivhus",Landbrug!E$51,1-Landbrug!E$51),1)</f>
        <v>2139.2257111404874</v>
      </c>
    </row>
    <row r="396" spans="1:10" x14ac:dyDescent="0.25">
      <c r="A396" t="str">
        <f>IF('[1]Processer - data'!A396&lt;&gt;"",'[1]Processer - data'!A396,"")</f>
        <v>Pil- og poppeldyrkning</v>
      </c>
      <c r="B396" t="str">
        <f>IF('[1]Processer - data'!B396&lt;&gt;"",'[1]Processer - data'!B396,"")</f>
        <v>Økologisk</v>
      </c>
      <c r="C396" t="str">
        <f>IF('[1]Processer - data'!C396&lt;&gt;"",'[1]Processer - data'!C396,"")</f>
        <v>JB1-10</v>
      </c>
      <c r="D396" t="str">
        <f>IF('[1]Processer - data'!D396&lt;&gt;"",'[1]Processer - data'!D396,"")</f>
        <v>Areal-pil-poppel</v>
      </c>
      <c r="E396" t="str">
        <f>IF('[1]Processer - data'!E396&lt;&gt;"",'[1]Processer - data'!E396,"")</f>
        <v>Hektar</v>
      </c>
      <c r="F396" t="str">
        <f>IF('[1]Processer - data'!F396&lt;&gt;"",'[1]Processer - data'!F396,"")</f>
        <v>Pil &amp; poppel</v>
      </c>
      <c r="G396" t="str">
        <f>IF('[1]Processer - data'!G396&lt;&gt;"",'[1]Processer - data'!G396,"")</f>
        <v>Ton</v>
      </c>
      <c r="H396" s="297">
        <f>IF($A396&lt;&gt;"",IF(VLOOKUP($A396,[1]!Table1[#All],2,FALSE)="Direkte input",IF($A396&lt;&gt;"Grøntsager i drivhus",SUMIFS('Direkte input'!G$3:G$230,'Direkte input'!$F$3:$F$230,$D396,'Direkte input'!$C$3:$C$230,$B396,'Direkte input'!$D$3:$D$230,$C396,'Direkte input'!$A$3:$A$230,$A$1),SUMIFS('Direkte input'!G$3:G$230,'Direkte input'!$F$3:$F$230,$D396,'Direkte input'!$C$3:$C$230,$B396,'Direkte input'!$A$3:$A$230,$A$1)),IF(VLOOKUP($A396,[1]!Table1[#All],2,FALSE)="Resultat",SUMIF($F$1:$F395,$D396,H$1:H395)+SUMIF($F397:$F$512,$D396,H397:H$512),0))*'[1]Processer - data'!H396,"")*IF($C396&lt;&gt;"",IF($F396="Halm",Landbrug!C$16*Landbrug!C$17,IF(LEFT($D396,5)="Areal", IF($G396="Ton",Landbrug!C$18,1),1)),1)*IF($F396="Grøntsager",IF($A396="Grøntsager i drivhus",Landbrug!C$51,1-Landbrug!C$51),1)</f>
        <v>2212.7897020800474</v>
      </c>
      <c r="I396" s="298">
        <f>IF($A396&lt;&gt;"",IF(VLOOKUP($A396,[1]!Table1[#All],2,FALSE)="Direkte input",IF($A396&lt;&gt;"Grøntsager i drivhus",SUMIFS('Direkte input'!H$3:H$230,'Direkte input'!$F$3:$F$230,$D396,'Direkte input'!$C$3:$C$230,$B396,'Direkte input'!$D$3:$D$230,$C396,'Direkte input'!$A$3:$A$230,$A$1),SUMIFS('Direkte input'!H$3:H$230,'Direkte input'!$F$3:$F$230,$D396,'Direkte input'!$C$3:$C$230,$B396,'Direkte input'!$A$3:$A$230,$A$1)),IF(VLOOKUP($A396,[1]!Table1[#All],2,FALSE)="Resultat",SUMIF($F$1:$F395,$D396,I$1:I395)+SUMIF($F397:$F$512,$D396,I397:I$512),0))*'[1]Processer - data'!I396,"")*IF($C396&lt;&gt;"",IF($F396="Halm",Landbrug!D$16*Landbrug!D$17,IF(LEFT($D396,5)="Areal", IF($G396="Ton",Landbrug!D$18,1),1)),1)*IF($F396="Grøntsager",IF($A396="Grøntsager i drivhus",Landbrug!D$51,1-Landbrug!D$51),1)</f>
        <v>2810.5246816211588</v>
      </c>
      <c r="J396" s="299">
        <f>IF($A396&lt;&gt;"",IF(VLOOKUP($A396,[1]!Table1[#All],2,FALSE)="Direkte input",IF($A396&lt;&gt;"Grøntsager i drivhus",SUMIFS('Direkte input'!I$3:I$230,'Direkte input'!$F$3:$F$230,$D396,'Direkte input'!$C$3:$C$230,$B396,'Direkte input'!$D$3:$D$230,$C396,'Direkte input'!$A$3:$A$230,$A$1),SUMIFS('Direkte input'!I$3:I$230,'Direkte input'!$F$3:$F$230,$D396,'Direkte input'!$C$3:$C$230,$B396,'Direkte input'!$A$3:$A$230,$A$1)),IF(VLOOKUP($A396,[1]!Table1[#All],2,FALSE)="Resultat",SUMIF($F$1:$F395,$D396,J$1:J395)+SUMIF($F397:$F$512,$D396,J397:J$512),0))*'[1]Processer - data'!J396,"")*IF($C396&lt;&gt;"",IF($F396="Halm",Landbrug!E$16*Landbrug!E$17,IF(LEFT($D396,5)="Areal", IF($G396="Ton",Landbrug!E$18,1),1)),1)*IF($F396="Grøntsager",IF($A396="Grøntsager i drivhus",Landbrug!E$51,1-Landbrug!E$51),1)</f>
        <v>3872.318559281739</v>
      </c>
    </row>
    <row r="397" spans="1:10" x14ac:dyDescent="0.25">
      <c r="A397" t="str">
        <f>IF('[1]Processer - data'!A397&lt;&gt;"",'[1]Processer - data'!A397,"")</f>
        <v>Pil- og poppeldyrkning</v>
      </c>
      <c r="B397" t="str">
        <f>IF('[1]Processer - data'!B397&lt;&gt;"",'[1]Processer - data'!B397,"")</f>
        <v>Økologisk</v>
      </c>
      <c r="C397" t="str">
        <f>IF('[1]Processer - data'!C397&lt;&gt;"",'[1]Processer - data'!C397,"")</f>
        <v>JB1-10</v>
      </c>
      <c r="D397" t="str">
        <f>IF('[1]Processer - data'!D397&lt;&gt;"",'[1]Processer - data'!D397,"")</f>
        <v>Areal-pil-poppel</v>
      </c>
      <c r="E397" t="str">
        <f>IF('[1]Processer - data'!E397&lt;&gt;"",'[1]Processer - data'!E397,"")</f>
        <v>Hektar</v>
      </c>
      <c r="F397" t="str">
        <f>IF('[1]Processer - data'!F397&lt;&gt;"",'[1]Processer - data'!F397,"")</f>
        <v>Gødning</v>
      </c>
      <c r="G397" t="str">
        <f>IF('[1]Processer - data'!G397&lt;&gt;"",'[1]Processer - data'!G397,"")</f>
        <v>kg N</v>
      </c>
      <c r="H397" s="297">
        <f>IF($A397&lt;&gt;"",IF(VLOOKUP($A397,[1]!Table1[#All],2,FALSE)="Direkte input",IF($A397&lt;&gt;"Grøntsager i drivhus",SUMIFS('Direkte input'!G$3:G$230,'Direkte input'!$F$3:$F$230,$D397,'Direkte input'!$C$3:$C$230,$B397,'Direkte input'!$D$3:$D$230,$C397,'Direkte input'!$A$3:$A$230,$A$1),SUMIFS('Direkte input'!G$3:G$230,'Direkte input'!$F$3:$F$230,$D397,'Direkte input'!$C$3:$C$230,$B397,'Direkte input'!$A$3:$A$230,$A$1)),IF(VLOOKUP($A397,[1]!Table1[#All],2,FALSE)="Resultat",SUMIF($F$1:$F396,$D397,H$1:H396)+SUMIF($F398:$F$512,$D397,H398:H$512),0))*'[1]Processer - data'!H397,"")*IF($C397&lt;&gt;"",IF($F397="Halm",Landbrug!C$16*Landbrug!C$17,IF(LEFT($D397,5)="Areal", IF($G397="Ton",Landbrug!C$18,1),1)),1)*IF($F397="Grøntsager",IF($A397="Grøntsager i drivhus",Landbrug!C$51,1-Landbrug!C$51),1)</f>
        <v>-10886.925334233832</v>
      </c>
      <c r="I397" s="298">
        <f>IF($A397&lt;&gt;"",IF(VLOOKUP($A397,[1]!Table1[#All],2,FALSE)="Direkte input",IF($A397&lt;&gt;"Grøntsager i drivhus",SUMIFS('Direkte input'!H$3:H$230,'Direkte input'!$F$3:$F$230,$D397,'Direkte input'!$C$3:$C$230,$B397,'Direkte input'!$D$3:$D$230,$C397,'Direkte input'!$A$3:$A$230,$A$1),SUMIFS('Direkte input'!H$3:H$230,'Direkte input'!$F$3:$F$230,$D397,'Direkte input'!$C$3:$C$230,$B397,'Direkte input'!$A$3:$A$230,$A$1)),IF(VLOOKUP($A397,[1]!Table1[#All],2,FALSE)="Resultat",SUMIF($F$1:$F396,$D397,I$1:I396)+SUMIF($F398:$F$512,$D397,I398:I$512),0))*'[1]Processer - data'!I397,"")*IF($C397&lt;&gt;"",IF($F397="Halm",Landbrug!D$16*Landbrug!D$17,IF(LEFT($D397,5)="Areal", IF($G397="Ton",Landbrug!D$18,1),1)),1)*IF($F397="Grøntsager",IF($A397="Grøntsager i drivhus",Landbrug!D$51,1-Landbrug!D$51),1)</f>
        <v>-12899.049844753825</v>
      </c>
      <c r="J397" s="299">
        <f>IF($A397&lt;&gt;"",IF(VLOOKUP($A397,[1]!Table1[#All],2,FALSE)="Direkte input",IF($A397&lt;&gt;"Grøntsager i drivhus",SUMIFS('Direkte input'!I$3:I$230,'Direkte input'!$F$3:$F$230,$D397,'Direkte input'!$C$3:$C$230,$B397,'Direkte input'!$D$3:$D$230,$C397,'Direkte input'!$A$3:$A$230,$A$1),SUMIFS('Direkte input'!I$3:I$230,'Direkte input'!$F$3:$F$230,$D397,'Direkte input'!$C$3:$C$230,$B397,'Direkte input'!$A$3:$A$230,$A$1)),IF(VLOOKUP($A397,[1]!Table1[#All],2,FALSE)="Resultat",SUMIF($F$1:$F396,$D397,J$1:J396)+SUMIF($F398:$F$512,$D397,J398:J$512),0))*'[1]Processer - data'!J397,"")*IF($C397&lt;&gt;"",IF($F397="Halm",Landbrug!E$16*Landbrug!E$17,IF(LEFT($D397,5)="Areal", IF($G397="Ton",Landbrug!E$18,1),1)),1)*IF($F397="Grøntsager",IF($A397="Grøntsager i drivhus",Landbrug!E$51,1-Landbrug!E$51),1)</f>
        <v>-16566.788966666223</v>
      </c>
    </row>
    <row r="398" spans="1:10" x14ac:dyDescent="0.25">
      <c r="A398" t="str">
        <f>IF('[1]Processer - data'!A398&lt;&gt;"",'[1]Processer - data'!A398,"")</f>
        <v>Pil- og poppeldyrkning</v>
      </c>
      <c r="B398" t="str">
        <f>IF('[1]Processer - data'!B398&lt;&gt;"",'[1]Processer - data'!B398,"")</f>
        <v>Økologisk</v>
      </c>
      <c r="C398" t="str">
        <f>IF('[1]Processer - data'!C398&lt;&gt;"",'[1]Processer - data'!C398,"")</f>
        <v>JB1-10</v>
      </c>
      <c r="D398" t="str">
        <f>IF('[1]Processer - data'!D398&lt;&gt;"",'[1]Processer - data'!D398,"")</f>
        <v>Areal-pil-poppel</v>
      </c>
      <c r="E398" t="str">
        <f>IF('[1]Processer - data'!E398&lt;&gt;"",'[1]Processer - data'!E398,"")</f>
        <v>Hektar</v>
      </c>
      <c r="F398" t="str">
        <f>IF('[1]Processer - data'!F398&lt;&gt;"",'[1]Processer - data'!F398,"")</f>
        <v>CO2 - atmosfære</v>
      </c>
      <c r="G398" t="str">
        <f>IF('[1]Processer - data'!G398&lt;&gt;"",'[1]Processer - data'!G398,"")</f>
        <v>t CO2-ækvivalenter</v>
      </c>
      <c r="H398" s="297">
        <f>IF($A398&lt;&gt;"",IF(VLOOKUP($A398,[1]!Table1[#All],2,FALSE)="Direkte input",IF($A398&lt;&gt;"Grøntsager i drivhus",SUMIFS('Direkte input'!G$3:G$230,'Direkte input'!$F$3:$F$230,$D398,'Direkte input'!$C$3:$C$230,$B398,'Direkte input'!$D$3:$D$230,$C398,'Direkte input'!$A$3:$A$230,$A$1),SUMIFS('Direkte input'!G$3:G$230,'Direkte input'!$F$3:$F$230,$D398,'Direkte input'!$C$3:$C$230,$B398,'Direkte input'!$A$3:$A$230,$A$1)),IF(VLOOKUP($A398,[1]!Table1[#All],2,FALSE)="Resultat",SUMIF($F$1:$F397,$D398,H$1:H397)+SUMIF($F399:$F$512,$D398,H399:H$512),0))*'[1]Processer - data'!H398,"")*IF($C398&lt;&gt;"",IF($F398="Halm",Landbrug!C$16*Landbrug!C$17,IF(LEFT($D398,5)="Areal", IF($G398="Ton",Landbrug!C$18,1),1)),1)*IF($F398="Grøntsager",IF($A398="Grøntsager i drivhus",Landbrug!C$51,1-Landbrug!C$51),1)</f>
        <v>312.87087439675747</v>
      </c>
      <c r="I398" s="298">
        <f>IF($A398&lt;&gt;"",IF(VLOOKUP($A398,[1]!Table1[#All],2,FALSE)="Direkte input",IF($A398&lt;&gt;"Grøntsager i drivhus",SUMIFS('Direkte input'!H$3:H$230,'Direkte input'!$F$3:$F$230,$D398,'Direkte input'!$C$3:$C$230,$B398,'Direkte input'!$D$3:$D$230,$C398,'Direkte input'!$A$3:$A$230,$A$1),SUMIFS('Direkte input'!H$3:H$230,'Direkte input'!$F$3:$F$230,$D398,'Direkte input'!$C$3:$C$230,$B398,'Direkte input'!$A$3:$A$230,$A$1)),IF(VLOOKUP($A398,[1]!Table1[#All],2,FALSE)="Resultat",SUMIF($F$1:$F397,$D398,I$1:I397)+SUMIF($F399:$F$512,$D398,I399:I$512),0))*'[1]Processer - data'!I398,"")*IF($C398&lt;&gt;"",IF($F398="Halm",Landbrug!D$16*Landbrug!D$17,IF(LEFT($D398,5)="Areal", IF($G398="Ton",Landbrug!D$18,1),1)),1)*IF($F398="Grøntsager",IF($A398="Grøntsager i drivhus",Landbrug!D$51,1-Landbrug!D$51),1)</f>
        <v>370.69575476238015</v>
      </c>
      <c r="J398" s="299">
        <f>IF($A398&lt;&gt;"",IF(VLOOKUP($A398,[1]!Table1[#All],2,FALSE)="Direkte input",IF($A398&lt;&gt;"Grøntsager i drivhus",SUMIFS('Direkte input'!I$3:I$230,'Direkte input'!$F$3:$F$230,$D398,'Direkte input'!$C$3:$C$230,$B398,'Direkte input'!$D$3:$D$230,$C398,'Direkte input'!$A$3:$A$230,$A$1),SUMIFS('Direkte input'!I$3:I$230,'Direkte input'!$F$3:$F$230,$D398,'Direkte input'!$C$3:$C$230,$B398,'Direkte input'!$A$3:$A$230,$A$1)),IF(VLOOKUP($A398,[1]!Table1[#All],2,FALSE)="Resultat",SUMIF($F$1:$F397,$D398,J$1:J397)+SUMIF($F399:$F$512,$D398,J399:J$512),0))*'[1]Processer - data'!J398,"")*IF($C398&lt;&gt;"",IF($F398="Halm",Landbrug!E$16*Landbrug!E$17,IF(LEFT($D398,5)="Areal", IF($G398="Ton",Landbrug!E$18,1),1)),1)*IF($F398="Grøntsager",IF($A398="Grøntsager i drivhus",Landbrug!E$51,1-Landbrug!E$51),1)</f>
        <v>476.10005495754496</v>
      </c>
    </row>
    <row r="399" spans="1:10" x14ac:dyDescent="0.25">
      <c r="A399" t="str">
        <f>IF('[1]Processer - data'!A399&lt;&gt;"",'[1]Processer - data'!A399,"")</f>
        <v>Pil- og poppeldyrkning</v>
      </c>
      <c r="B399" t="str">
        <f>IF('[1]Processer - data'!B399&lt;&gt;"",'[1]Processer - data'!B399,"")</f>
        <v>Økologisk</v>
      </c>
      <c r="C399" t="str">
        <f>IF('[1]Processer - data'!C399&lt;&gt;"",'[1]Processer - data'!C399,"")</f>
        <v>OC6</v>
      </c>
      <c r="D399" t="str">
        <f>IF('[1]Processer - data'!D399&lt;&gt;"",'[1]Processer - data'!D399,"")</f>
        <v>Areal-pil-poppel</v>
      </c>
      <c r="E399" t="str">
        <f>IF('[1]Processer - data'!E399&lt;&gt;"",'[1]Processer - data'!E399,"")</f>
        <v>Hektar</v>
      </c>
      <c r="F399" t="str">
        <f>IF('[1]Processer - data'!F399&lt;&gt;"",'[1]Processer - data'!F399,"")</f>
        <v>Pil &amp; poppel</v>
      </c>
      <c r="G399" t="str">
        <f>IF('[1]Processer - data'!G399&lt;&gt;"",'[1]Processer - data'!G399,"")</f>
        <v>Ton</v>
      </c>
      <c r="H399" s="297">
        <f>IF($A399&lt;&gt;"",IF(VLOOKUP($A399,[1]!Table1[#All],2,FALSE)="Direkte input",IF($A399&lt;&gt;"Grøntsager i drivhus",SUMIFS('Direkte input'!G$3:G$230,'Direkte input'!$F$3:$F$230,$D399,'Direkte input'!$C$3:$C$230,$B399,'Direkte input'!$D$3:$D$230,$C399,'Direkte input'!$A$3:$A$230,$A$1),SUMIFS('Direkte input'!G$3:G$230,'Direkte input'!$F$3:$F$230,$D399,'Direkte input'!$C$3:$C$230,$B399,'Direkte input'!$A$3:$A$230,$A$1)),IF(VLOOKUP($A399,[1]!Table1[#All],2,FALSE)="Resultat",SUMIF($F$1:$F398,$D399,H$1:H398)+SUMIF($F400:$F$512,$D399,H400:H$512),0))*'[1]Processer - data'!H399,"")*IF($C399&lt;&gt;"",IF($F399="Halm",Landbrug!C$16*Landbrug!C$17,IF(LEFT($D399,5)="Areal", IF($G399="Ton",Landbrug!C$18,1),1)),1)*IF($F399="Grøntsager",IF($A399="Grøntsager i drivhus",Landbrug!C$51,1-Landbrug!C$51),1)</f>
        <v>212.19055199613814</v>
      </c>
      <c r="I399" s="298">
        <f>IF($A399&lt;&gt;"",IF(VLOOKUP($A399,[1]!Table1[#All],2,FALSE)="Direkte input",IF($A399&lt;&gt;"Grøntsager i drivhus",SUMIFS('Direkte input'!H$3:H$230,'Direkte input'!$F$3:$F$230,$D399,'Direkte input'!$C$3:$C$230,$B399,'Direkte input'!$D$3:$D$230,$C399,'Direkte input'!$A$3:$A$230,$A$1),SUMIFS('Direkte input'!H$3:H$230,'Direkte input'!$F$3:$F$230,$D399,'Direkte input'!$C$3:$C$230,$B399,'Direkte input'!$A$3:$A$230,$A$1)),IF(VLOOKUP($A399,[1]!Table1[#All],2,FALSE)="Resultat",SUMIF($F$1:$F398,$D399,I$1:I398)+SUMIF($F400:$F$512,$D399,I400:I$512),0))*'[1]Processer - data'!I399,"")*IF($C399&lt;&gt;"",IF($F399="Halm",Landbrug!D$16*Landbrug!D$17,IF(LEFT($D399,5)="Areal", IF($G399="Ton",Landbrug!D$18,1),1)),1)*IF($F399="Grøntsager",IF($A399="Grøntsager i drivhus",Landbrug!D$51,1-Landbrug!D$51),1)</f>
        <v>251.14241026933686</v>
      </c>
      <c r="J399" s="299">
        <f>IF($A399&lt;&gt;"",IF(VLOOKUP($A399,[1]!Table1[#All],2,FALSE)="Direkte input",IF($A399&lt;&gt;"Grøntsager i drivhus",SUMIFS('Direkte input'!I$3:I$230,'Direkte input'!$F$3:$F$230,$D399,'Direkte input'!$C$3:$C$230,$B399,'Direkte input'!$D$3:$D$230,$C399,'Direkte input'!$A$3:$A$230,$A$1),SUMIFS('Direkte input'!I$3:I$230,'Direkte input'!$F$3:$F$230,$D399,'Direkte input'!$C$3:$C$230,$B399,'Direkte input'!$A$3:$A$230,$A$1)),IF(VLOOKUP($A399,[1]!Table1[#All],2,FALSE)="Resultat",SUMIF($F$1:$F398,$D399,J$1:J398)+SUMIF($F400:$F$512,$D399,J400:J$512),0))*'[1]Processer - data'!J399,"")*IF($C399&lt;&gt;"",IF($F399="Halm",Landbrug!E$16*Landbrug!E$17,IF(LEFT($D399,5)="Areal", IF($G399="Ton",Landbrug!E$18,1),1)),1)*IF($F399="Grøntsager",IF($A399="Grøntsager i drivhus",Landbrug!E$51,1-Landbrug!E$51),1)</f>
        <v>349.24274507119975</v>
      </c>
    </row>
    <row r="400" spans="1:10" x14ac:dyDescent="0.25">
      <c r="A400" t="str">
        <f>IF('[1]Processer - data'!A400&lt;&gt;"",'[1]Processer - data'!A400,"")</f>
        <v>Pil- og poppeldyrkning</v>
      </c>
      <c r="B400" t="str">
        <f>IF('[1]Processer - data'!B400&lt;&gt;"",'[1]Processer - data'!B400,"")</f>
        <v>Økologisk</v>
      </c>
      <c r="C400" t="str">
        <f>IF('[1]Processer - data'!C400&lt;&gt;"",'[1]Processer - data'!C400,"")</f>
        <v>OC6</v>
      </c>
      <c r="D400" t="str">
        <f>IF('[1]Processer - data'!D400&lt;&gt;"",'[1]Processer - data'!D400,"")</f>
        <v>Areal-pil-poppel</v>
      </c>
      <c r="E400" t="str">
        <f>IF('[1]Processer - data'!E400&lt;&gt;"",'[1]Processer - data'!E400,"")</f>
        <v>Hektar</v>
      </c>
      <c r="F400" t="str">
        <f>IF('[1]Processer - data'!F400&lt;&gt;"",'[1]Processer - data'!F400,"")</f>
        <v>Gødning</v>
      </c>
      <c r="G400" t="str">
        <f>IF('[1]Processer - data'!G400&lt;&gt;"",'[1]Processer - data'!G400,"")</f>
        <v>kg N</v>
      </c>
      <c r="H400" s="297">
        <f>IF($A400&lt;&gt;"",IF(VLOOKUP($A400,[1]!Table1[#All],2,FALSE)="Direkte input",IF($A400&lt;&gt;"Grøntsager i drivhus",SUMIFS('Direkte input'!G$3:G$230,'Direkte input'!$F$3:$F$230,$D400,'Direkte input'!$C$3:$C$230,$B400,'Direkte input'!$D$3:$D$230,$C400,'Direkte input'!$A$3:$A$230,$A$1),SUMIFS('Direkte input'!G$3:G$230,'Direkte input'!$F$3:$F$230,$D400,'Direkte input'!$C$3:$C$230,$B400,'Direkte input'!$A$3:$A$230,$A$1)),IF(VLOOKUP($A400,[1]!Table1[#All],2,FALSE)="Resultat",SUMIF($F$1:$F399,$D400,H$1:H399)+SUMIF($F401:$F$512,$D400,H401:H$512),0))*'[1]Processer - data'!H400,"")*IF($C400&lt;&gt;"",IF($F400="Halm",Landbrug!C$16*Landbrug!C$17,IF(LEFT($D400,5)="Areal", IF($G400="Ton",Landbrug!C$18,1),1)),1)*IF($F400="Grøntsager",IF($A400="Grøntsager i drivhus",Landbrug!C$51,1-Landbrug!C$51),1)</f>
        <v>-869.98126318416644</v>
      </c>
      <c r="I400" s="298">
        <f>IF($A400&lt;&gt;"",IF(VLOOKUP($A400,[1]!Table1[#All],2,FALSE)="Direkte input",IF($A400&lt;&gt;"Grøntsager i drivhus",SUMIFS('Direkte input'!H$3:H$230,'Direkte input'!$F$3:$F$230,$D400,'Direkte input'!$C$3:$C$230,$B400,'Direkte input'!$D$3:$D$230,$C400,'Direkte input'!$A$3:$A$230,$A$1),SUMIFS('Direkte input'!H$3:H$230,'Direkte input'!$F$3:$F$230,$D400,'Direkte input'!$C$3:$C$230,$B400,'Direkte input'!$A$3:$A$230,$A$1)),IF(VLOOKUP($A400,[1]!Table1[#All],2,FALSE)="Resultat",SUMIF($F$1:$F399,$D400,I$1:I399)+SUMIF($F401:$F$512,$D400,I401:I$512),0))*'[1]Processer - data'!I400,"")*IF($C400&lt;&gt;"",IF($F400="Halm",Landbrug!D$16*Landbrug!D$17,IF(LEFT($D400,5)="Areal", IF($G400="Ton",Landbrug!D$18,1),1)),1)*IF($F400="Grøntsager",IF($A400="Grøntsager i drivhus",Landbrug!D$51,1-Landbrug!D$51),1)</f>
        <v>-960.52600942563538</v>
      </c>
      <c r="J400" s="299">
        <f>IF($A400&lt;&gt;"",IF(VLOOKUP($A400,[1]!Table1[#All],2,FALSE)="Direkte input",IF($A400&lt;&gt;"Grøntsager i drivhus",SUMIFS('Direkte input'!I$3:I$230,'Direkte input'!$F$3:$F$230,$D400,'Direkte input'!$C$3:$C$230,$B400,'Direkte input'!$D$3:$D$230,$C400,'Direkte input'!$A$3:$A$230,$A$1),SUMIFS('Direkte input'!I$3:I$230,'Direkte input'!$F$3:$F$230,$D400,'Direkte input'!$C$3:$C$230,$B400,'Direkte input'!$A$3:$A$230,$A$1)),IF(VLOOKUP($A400,[1]!Table1[#All],2,FALSE)="Resultat",SUMIF($F$1:$F399,$D400,J$1:J399)+SUMIF($F401:$F$512,$D400,J401:J$512),0))*'[1]Processer - data'!J400,"")*IF($C400&lt;&gt;"",IF($F400="Halm",Landbrug!E$16*Landbrug!E$17,IF(LEFT($D400,5)="Areal", IF($G400="Ton",Landbrug!E$18,1),1)),1)*IF($F400="Grøntsager",IF($A400="Grøntsager i drivhus",Landbrug!E$51,1-Landbrug!E$51),1)</f>
        <v>-1245.1263085147123</v>
      </c>
    </row>
    <row r="401" spans="1:10" x14ac:dyDescent="0.25">
      <c r="A401" t="str">
        <f>IF('[1]Processer - data'!A401&lt;&gt;"",'[1]Processer - data'!A401,"")</f>
        <v>Pil- og poppeldyrkning</v>
      </c>
      <c r="B401" t="str">
        <f>IF('[1]Processer - data'!B401&lt;&gt;"",'[1]Processer - data'!B401,"")</f>
        <v>Økologisk</v>
      </c>
      <c r="C401" t="str">
        <f>IF('[1]Processer - data'!C401&lt;&gt;"",'[1]Processer - data'!C401,"")</f>
        <v>OC6</v>
      </c>
      <c r="D401" t="str">
        <f>IF('[1]Processer - data'!D401&lt;&gt;"",'[1]Processer - data'!D401,"")</f>
        <v>Areal-pil-poppel</v>
      </c>
      <c r="E401" t="str">
        <f>IF('[1]Processer - data'!E401&lt;&gt;"",'[1]Processer - data'!E401,"")</f>
        <v>Hektar</v>
      </c>
      <c r="F401" t="str">
        <f>IF('[1]Processer - data'!F401&lt;&gt;"",'[1]Processer - data'!F401,"")</f>
        <v>CO2 - atmosfære</v>
      </c>
      <c r="G401" t="str">
        <f>IF('[1]Processer - data'!G401&lt;&gt;"",'[1]Processer - data'!G401,"")</f>
        <v>t CO2-ækvivalenter</v>
      </c>
      <c r="H401" s="297">
        <f>IF($A401&lt;&gt;"",IF(VLOOKUP($A401,[1]!Table1[#All],2,FALSE)="Direkte input",IF($A401&lt;&gt;"Grøntsager i drivhus",SUMIFS('Direkte input'!G$3:G$230,'Direkte input'!$F$3:$F$230,$D401,'Direkte input'!$C$3:$C$230,$B401,'Direkte input'!$D$3:$D$230,$C401,'Direkte input'!$A$3:$A$230,$A$1),SUMIFS('Direkte input'!G$3:G$230,'Direkte input'!$F$3:$F$230,$D401,'Direkte input'!$C$3:$C$230,$B401,'Direkte input'!$A$3:$A$230,$A$1)),IF(VLOOKUP($A401,[1]!Table1[#All],2,FALSE)="Resultat",SUMIF($F$1:$F400,$D401,H$1:H400)+SUMIF($F402:$F$512,$D401,H402:H$512),0))*'[1]Processer - data'!H401,"")*IF($C401&lt;&gt;"",IF($F401="Halm",Landbrug!C$16*Landbrug!C$17,IF(LEFT($D401,5)="Areal", IF($G401="Ton",Landbrug!C$18,1),1)),1)*IF($F401="Grøntsager",IF($A401="Grøntsager i drivhus",Landbrug!C$51,1-Landbrug!C$51),1)</f>
        <v>135.60634990509524</v>
      </c>
      <c r="I401" s="298">
        <f>IF($A401&lt;&gt;"",IF(VLOOKUP($A401,[1]!Table1[#All],2,FALSE)="Direkte input",IF($A401&lt;&gt;"Grøntsager i drivhus",SUMIFS('Direkte input'!H$3:H$230,'Direkte input'!$F$3:$F$230,$D401,'Direkte input'!$C$3:$C$230,$B401,'Direkte input'!$D$3:$D$230,$C401,'Direkte input'!$A$3:$A$230,$A$1),SUMIFS('Direkte input'!H$3:H$230,'Direkte input'!$F$3:$F$230,$D401,'Direkte input'!$C$3:$C$230,$B401,'Direkte input'!$A$3:$A$230,$A$1)),IF(VLOOKUP($A401,[1]!Table1[#All],2,FALSE)="Resultat",SUMIF($F$1:$F400,$D401,I$1:I400)+SUMIF($F402:$F$512,$D401,I402:I$512),0))*'[1]Processer - data'!I401,"")*IF($C401&lt;&gt;"",IF($F401="Halm",Landbrug!D$16*Landbrug!D$17,IF(LEFT($D401,5)="Areal", IF($G401="Ton",Landbrug!D$18,1),1)),1)*IF($F401="Grøntsager",IF($A401="Grøntsager i drivhus",Landbrug!D$51,1-Landbrug!D$51),1)</f>
        <v>149.71980620638283</v>
      </c>
      <c r="J401" s="299">
        <f>IF($A401&lt;&gt;"",IF(VLOOKUP($A401,[1]!Table1[#All],2,FALSE)="Direkte input",IF($A401&lt;&gt;"Grøntsager i drivhus",SUMIFS('Direkte input'!I$3:I$230,'Direkte input'!$F$3:$F$230,$D401,'Direkte input'!$C$3:$C$230,$B401,'Direkte input'!$D$3:$D$230,$C401,'Direkte input'!$A$3:$A$230,$A$1),SUMIFS('Direkte input'!I$3:I$230,'Direkte input'!$F$3:$F$230,$D401,'Direkte input'!$C$3:$C$230,$B401,'Direkte input'!$A$3:$A$230,$A$1)),IF(VLOOKUP($A401,[1]!Table1[#All],2,FALSE)="Resultat",SUMIF($F$1:$F400,$D401,J$1:J400)+SUMIF($F402:$F$512,$D401,J402:J$512),0))*'[1]Processer - data'!J401,"")*IF($C401&lt;&gt;"",IF($F401="Halm",Landbrug!E$16*Landbrug!E$17,IF(LEFT($D401,5)="Areal", IF($G401="Ton",Landbrug!E$18,1),1)),1)*IF($F401="Grøntsager",IF($A401="Grøntsager i drivhus",Landbrug!E$51,1-Landbrug!E$51),1)</f>
        <v>194.08123026753324</v>
      </c>
    </row>
    <row r="402" spans="1:10" x14ac:dyDescent="0.25">
      <c r="A402" t="str">
        <f>IF('[1]Processer - data'!A402&lt;&gt;"",'[1]Processer - data'!A402,"")</f>
        <v>Pil- og poppeldyrkning</v>
      </c>
      <c r="B402" t="str">
        <f>IF('[1]Processer - data'!B402&lt;&gt;"",'[1]Processer - data'!B402,"")</f>
        <v>Økologisk</v>
      </c>
      <c r="C402" t="str">
        <f>IF('[1]Processer - data'!C402&lt;&gt;"",'[1]Processer - data'!C402,"")</f>
        <v>OC12</v>
      </c>
      <c r="D402" t="str">
        <f>IF('[1]Processer - data'!D402&lt;&gt;"",'[1]Processer - data'!D402,"")</f>
        <v>Areal-pil-poppel</v>
      </c>
      <c r="E402" t="str">
        <f>IF('[1]Processer - data'!E402&lt;&gt;"",'[1]Processer - data'!E402,"")</f>
        <v>Hektar</v>
      </c>
      <c r="F402" t="str">
        <f>IF('[1]Processer - data'!F402&lt;&gt;"",'[1]Processer - data'!F402,"")</f>
        <v>Pil &amp; poppel</v>
      </c>
      <c r="G402" t="str">
        <f>IF('[1]Processer - data'!G402&lt;&gt;"",'[1]Processer - data'!G402,"")</f>
        <v>Ton</v>
      </c>
      <c r="H402" s="297">
        <f>IF($A402&lt;&gt;"",IF(VLOOKUP($A402,[1]!Table1[#All],2,FALSE)="Direkte input",IF($A402&lt;&gt;"Grøntsager i drivhus",SUMIFS('Direkte input'!G$3:G$230,'Direkte input'!$F$3:$F$230,$D402,'Direkte input'!$C$3:$C$230,$B402,'Direkte input'!$D$3:$D$230,$C402,'Direkte input'!$A$3:$A$230,$A$1),SUMIFS('Direkte input'!G$3:G$230,'Direkte input'!$F$3:$F$230,$D402,'Direkte input'!$C$3:$C$230,$B402,'Direkte input'!$A$3:$A$230,$A$1)),IF(VLOOKUP($A402,[1]!Table1[#All],2,FALSE)="Resultat",SUMIF($F$1:$F401,$D402,H$1:H401)+SUMIF($F403:$F$512,$D402,H403:H$512),0))*'[1]Processer - data'!H402,"")*IF($C402&lt;&gt;"",IF($F402="Halm",Landbrug!C$16*Landbrug!C$17,IF(LEFT($D402,5)="Areal", IF($G402="Ton",Landbrug!C$18,1),1)),1)*IF($F402="Grøntsager",IF($A402="Grøntsager i drivhus",Landbrug!C$51,1-Landbrug!C$51),1)</f>
        <v>214.81288843875251</v>
      </c>
      <c r="I402" s="298">
        <f>IF($A402&lt;&gt;"",IF(VLOOKUP($A402,[1]!Table1[#All],2,FALSE)="Direkte input",IF($A402&lt;&gt;"Grøntsager i drivhus",SUMIFS('Direkte input'!H$3:H$230,'Direkte input'!$F$3:$F$230,$D402,'Direkte input'!$C$3:$C$230,$B402,'Direkte input'!$D$3:$D$230,$C402,'Direkte input'!$A$3:$A$230,$A$1),SUMIFS('Direkte input'!H$3:H$230,'Direkte input'!$F$3:$F$230,$D402,'Direkte input'!$C$3:$C$230,$B402,'Direkte input'!$A$3:$A$230,$A$1)),IF(VLOOKUP($A402,[1]!Table1[#All],2,FALSE)="Resultat",SUMIF($F$1:$F401,$D402,I$1:I401)+SUMIF($F403:$F$512,$D402,I403:I$512),0))*'[1]Processer - data'!I402,"")*IF($C402&lt;&gt;"",IF($F402="Halm",Landbrug!D$16*Landbrug!D$17,IF(LEFT($D402,5)="Areal", IF($G402="Ton",Landbrug!D$18,1),1)),1)*IF($F402="Grøntsager",IF($A402="Grøntsager i drivhus",Landbrug!D$51,1-Landbrug!D$51),1)</f>
        <v>256.25926190524001</v>
      </c>
      <c r="J402" s="299">
        <f>IF($A402&lt;&gt;"",IF(VLOOKUP($A402,[1]!Table1[#All],2,FALSE)="Direkte input",IF($A402&lt;&gt;"Grøntsager i drivhus",SUMIFS('Direkte input'!I$3:I$230,'Direkte input'!$F$3:$F$230,$D402,'Direkte input'!$C$3:$C$230,$B402,'Direkte input'!$D$3:$D$230,$C402,'Direkte input'!$A$3:$A$230,$A$1),SUMIFS('Direkte input'!I$3:I$230,'Direkte input'!$F$3:$F$230,$D402,'Direkte input'!$C$3:$C$230,$B402,'Direkte input'!$A$3:$A$230,$A$1)),IF(VLOOKUP($A402,[1]!Table1[#All],2,FALSE)="Resultat",SUMIF($F$1:$F401,$D402,J$1:J401)+SUMIF($F403:$F$512,$D402,J403:J$512),0))*'[1]Processer - data'!J402,"")*IF($C402&lt;&gt;"",IF($F402="Halm",Landbrug!E$16*Landbrug!E$17,IF(LEFT($D402,5)="Areal", IF($G402="Ton",Landbrug!E$18,1),1)),1)*IF($F402="Grøntsager",IF($A402="Grøntsager i drivhus",Landbrug!E$51,1-Landbrug!E$51),1)</f>
        <v>356.35832268124341</v>
      </c>
    </row>
    <row r="403" spans="1:10" x14ac:dyDescent="0.25">
      <c r="A403" t="str">
        <f>IF('[1]Processer - data'!A403&lt;&gt;"",'[1]Processer - data'!A403,"")</f>
        <v>Pil- og poppeldyrkning</v>
      </c>
      <c r="B403" t="str">
        <f>IF('[1]Processer - data'!B403&lt;&gt;"",'[1]Processer - data'!B403,"")</f>
        <v>Økologisk</v>
      </c>
      <c r="C403" t="str">
        <f>IF('[1]Processer - data'!C403&lt;&gt;"",'[1]Processer - data'!C403,"")</f>
        <v>OC12</v>
      </c>
      <c r="D403" t="str">
        <f>IF('[1]Processer - data'!D403&lt;&gt;"",'[1]Processer - data'!D403,"")</f>
        <v>Areal-pil-poppel</v>
      </c>
      <c r="E403" t="str">
        <f>IF('[1]Processer - data'!E403&lt;&gt;"",'[1]Processer - data'!E403,"")</f>
        <v>Hektar</v>
      </c>
      <c r="F403" t="str">
        <f>IF('[1]Processer - data'!F403&lt;&gt;"",'[1]Processer - data'!F403,"")</f>
        <v>Gødning</v>
      </c>
      <c r="G403" t="str">
        <f>IF('[1]Processer - data'!G403&lt;&gt;"",'[1]Processer - data'!G403,"")</f>
        <v>kg N</v>
      </c>
      <c r="H403" s="297">
        <f>IF($A403&lt;&gt;"",IF(VLOOKUP($A403,[1]!Table1[#All],2,FALSE)="Direkte input",IF($A403&lt;&gt;"Grøntsager i drivhus",SUMIFS('Direkte input'!G$3:G$230,'Direkte input'!$F$3:$F$230,$D403,'Direkte input'!$C$3:$C$230,$B403,'Direkte input'!$D$3:$D$230,$C403,'Direkte input'!$A$3:$A$230,$A$1),SUMIFS('Direkte input'!G$3:G$230,'Direkte input'!$F$3:$F$230,$D403,'Direkte input'!$C$3:$C$230,$B403,'Direkte input'!$A$3:$A$230,$A$1)),IF(VLOOKUP($A403,[1]!Table1[#All],2,FALSE)="Resultat",SUMIF($F$1:$F402,$D403,H$1:H402)+SUMIF($F404:$F$512,$D403,H404:H$512),0))*'[1]Processer - data'!H403,"")*IF($C403&lt;&gt;"",IF($F403="Halm",Landbrug!C$16*Landbrug!C$17,IF(LEFT($D403,5)="Areal", IF($G403="Ton",Landbrug!C$18,1),1)),1)*IF($F403="Grøntsager",IF($A403="Grøntsager i drivhus",Landbrug!C$51,1-Landbrug!C$51),1)</f>
        <v>-754.91386508475898</v>
      </c>
      <c r="I403" s="298">
        <f>IF($A403&lt;&gt;"",IF(VLOOKUP($A403,[1]!Table1[#All],2,FALSE)="Direkte input",IF($A403&lt;&gt;"Grøntsager i drivhus",SUMIFS('Direkte input'!H$3:H$230,'Direkte input'!$F$3:$F$230,$D403,'Direkte input'!$C$3:$C$230,$B403,'Direkte input'!$D$3:$D$230,$C403,'Direkte input'!$A$3:$A$230,$A$1),SUMIFS('Direkte input'!H$3:H$230,'Direkte input'!$F$3:$F$230,$D403,'Direkte input'!$C$3:$C$230,$B403,'Direkte input'!$A$3:$A$230,$A$1)),IF(VLOOKUP($A403,[1]!Table1[#All],2,FALSE)="Resultat",SUMIF($F$1:$F402,$D403,I$1:I402)+SUMIF($F404:$F$512,$D403,I404:I$512),0))*'[1]Processer - data'!I403,"")*IF($C403&lt;&gt;"",IF($F403="Halm",Landbrug!D$16*Landbrug!D$17,IF(LEFT($D403,5)="Areal", IF($G403="Ton",Landbrug!D$18,1),1)),1)*IF($F403="Grøntsager",IF($A403="Grøntsager i drivhus",Landbrug!D$51,1-Landbrug!D$51),1)</f>
        <v>-840.08233513711423</v>
      </c>
      <c r="J403" s="299">
        <f>IF($A403&lt;&gt;"",IF(VLOOKUP($A403,[1]!Table1[#All],2,FALSE)="Direkte input",IF($A403&lt;&gt;"Grøntsager i drivhus",SUMIFS('Direkte input'!I$3:I$230,'Direkte input'!$F$3:$F$230,$D403,'Direkte input'!$C$3:$C$230,$B403,'Direkte input'!$D$3:$D$230,$C403,'Direkte input'!$A$3:$A$230,$A$1),SUMIFS('Direkte input'!I$3:I$230,'Direkte input'!$F$3:$F$230,$D403,'Direkte input'!$C$3:$C$230,$B403,'Direkte input'!$A$3:$A$230,$A$1)),IF(VLOOKUP($A403,[1]!Table1[#All],2,FALSE)="Resultat",SUMIF($F$1:$F402,$D403,J$1:J402)+SUMIF($F404:$F$512,$D403,J404:J$512),0))*'[1]Processer - data'!J403,"")*IF($C403&lt;&gt;"",IF($F403="Halm",Landbrug!E$16*Landbrug!E$17,IF(LEFT($D403,5)="Areal", IF($G403="Ton",Landbrug!E$18,1),1)),1)*IF($F403="Grøntsager",IF($A403="Grøntsager i drivhus",Landbrug!E$51,1-Landbrug!E$51),1)</f>
        <v>-1088.9956196221851</v>
      </c>
    </row>
    <row r="404" spans="1:10" x14ac:dyDescent="0.25">
      <c r="A404" t="str">
        <f>IF('[1]Processer - data'!A404&lt;&gt;"",'[1]Processer - data'!A404,"")</f>
        <v>Pil- og poppeldyrkning</v>
      </c>
      <c r="B404" t="str">
        <f>IF('[1]Processer - data'!B404&lt;&gt;"",'[1]Processer - data'!B404,"")</f>
        <v>Økologisk</v>
      </c>
      <c r="C404" t="str">
        <f>IF('[1]Processer - data'!C404&lt;&gt;"",'[1]Processer - data'!C404,"")</f>
        <v>OC12</v>
      </c>
      <c r="D404" t="str">
        <f>IF('[1]Processer - data'!D404&lt;&gt;"",'[1]Processer - data'!D404,"")</f>
        <v>Areal-pil-poppel</v>
      </c>
      <c r="E404" t="str">
        <f>IF('[1]Processer - data'!E404&lt;&gt;"",'[1]Processer - data'!E404,"")</f>
        <v>Hektar</v>
      </c>
      <c r="F404" t="str">
        <f>IF('[1]Processer - data'!F404&lt;&gt;"",'[1]Processer - data'!F404,"")</f>
        <v>CO2 - atmosfære</v>
      </c>
      <c r="G404" t="str">
        <f>IF('[1]Processer - data'!G404&lt;&gt;"",'[1]Processer - data'!G404,"")</f>
        <v>t CO2-ækvivalenter</v>
      </c>
      <c r="H404" s="297">
        <f>IF($A404&lt;&gt;"",IF(VLOOKUP($A404,[1]!Table1[#All],2,FALSE)="Direkte input",IF($A404&lt;&gt;"Grøntsager i drivhus",SUMIFS('Direkte input'!G$3:G$230,'Direkte input'!$F$3:$F$230,$D404,'Direkte input'!$C$3:$C$230,$B404,'Direkte input'!$D$3:$D$230,$C404,'Direkte input'!$A$3:$A$230,$A$1),SUMIFS('Direkte input'!G$3:G$230,'Direkte input'!$F$3:$F$230,$D404,'Direkte input'!$C$3:$C$230,$B404,'Direkte input'!$A$3:$A$230,$A$1)),IF(VLOOKUP($A404,[1]!Table1[#All],2,FALSE)="Resultat",SUMIF($F$1:$F403,$D404,H$1:H403)+SUMIF($F405:$F$512,$D404,H405:H$512),0))*'[1]Processer - data'!H404,"")*IF($C404&lt;&gt;"",IF($F404="Halm",Landbrug!C$16*Landbrug!C$17,IF(LEFT($D404,5)="Areal", IF($G404="Ton",Landbrug!C$18,1),1)),1)*IF($F404="Grøntsager",IF($A404="Grøntsager i drivhus",Landbrug!C$51,1-Landbrug!C$51),1)</f>
        <v>314.56614409975089</v>
      </c>
      <c r="I404" s="298">
        <f>IF($A404&lt;&gt;"",IF(VLOOKUP($A404,[1]!Table1[#All],2,FALSE)="Direkte input",IF($A404&lt;&gt;"Grøntsager i drivhus",SUMIFS('Direkte input'!H$3:H$230,'Direkte input'!$F$3:$F$230,$D404,'Direkte input'!$C$3:$C$230,$B404,'Direkte input'!$D$3:$D$230,$C404,'Direkte input'!$A$3:$A$230,$A$1),SUMIFS('Direkte input'!H$3:H$230,'Direkte input'!$F$3:$F$230,$D404,'Direkte input'!$C$3:$C$230,$B404,'Direkte input'!$A$3:$A$230,$A$1)),IF(VLOOKUP($A404,[1]!Table1[#All],2,FALSE)="Resultat",SUMIF($F$1:$F403,$D404,I$1:I403)+SUMIF($F405:$F$512,$D404,I405:I$512),0))*'[1]Processer - data'!I404,"")*IF($C404&lt;&gt;"",IF($F404="Halm",Landbrug!D$16*Landbrug!D$17,IF(LEFT($D404,5)="Areal", IF($G404="Ton",Landbrug!D$18,1),1)),1)*IF($F404="Grøntsager",IF($A404="Grøntsager i drivhus",Landbrug!D$51,1-Landbrug!D$51),1)</f>
        <v>350.05511636844341</v>
      </c>
      <c r="J404" s="299">
        <f>IF($A404&lt;&gt;"",IF(VLOOKUP($A404,[1]!Table1[#All],2,FALSE)="Direkte input",IF($A404&lt;&gt;"Grøntsager i drivhus",SUMIFS('Direkte input'!I$3:I$230,'Direkte input'!$F$3:$F$230,$D404,'Direkte input'!$C$3:$C$230,$B404,'Direkte input'!$D$3:$D$230,$C404,'Direkte input'!$A$3:$A$230,$A$1),SUMIFS('Direkte input'!I$3:I$230,'Direkte input'!$F$3:$F$230,$D404,'Direkte input'!$C$3:$C$230,$B404,'Direkte input'!$A$3:$A$230,$A$1)),IF(VLOOKUP($A404,[1]!Table1[#All],2,FALSE)="Resultat",SUMIF($F$1:$F403,$D404,J$1:J403)+SUMIF($F405:$F$512,$D404,J405:J$512),0))*'[1]Processer - data'!J404,"")*IF($C404&lt;&gt;"",IF($F404="Halm",Landbrug!E$16*Landbrug!E$17,IF(LEFT($D404,5)="Areal", IF($G404="Ton",Landbrug!E$18,1),1)),1)*IF($F404="Grøntsager",IF($A404="Grøntsager i drivhus",Landbrug!E$51,1-Landbrug!E$51),1)</f>
        <v>453.77515084798222</v>
      </c>
    </row>
    <row r="405" spans="1:10" x14ac:dyDescent="0.25">
      <c r="A405" t="str">
        <f>IF('[1]Processer - data'!A405&lt;&gt;"",'[1]Processer - data'!A405,"")</f>
        <v>Permanent græs</v>
      </c>
      <c r="B405" t="str">
        <f>IF('[1]Processer - data'!B405&lt;&gt;"",'[1]Processer - data'!B405,"")</f>
        <v>Konventionel</v>
      </c>
      <c r="C405" t="str">
        <f>IF('[1]Processer - data'!C405&lt;&gt;"",'[1]Processer - data'!C405,"")</f>
        <v>JB1-10</v>
      </c>
      <c r="D405" t="str">
        <f>IF('[1]Processer - data'!D405&lt;&gt;"",'[1]Processer - data'!D405,"")</f>
        <v>Areal-permanent græs</v>
      </c>
      <c r="E405" t="str">
        <f>IF('[1]Processer - data'!E405&lt;&gt;"",'[1]Processer - data'!E405,"")</f>
        <v>Hektar</v>
      </c>
      <c r="F405" t="str">
        <f>IF('[1]Processer - data'!F405&lt;&gt;"",'[1]Processer - data'!F405,"")</f>
        <v>Græs</v>
      </c>
      <c r="G405" t="str">
        <f>IF('[1]Processer - data'!G405&lt;&gt;"",'[1]Processer - data'!G405,"")</f>
        <v>Ton</v>
      </c>
      <c r="H405" s="297">
        <f>IF($A405&lt;&gt;"",IF(VLOOKUP($A405,[1]!Table1[#All],2,FALSE)="Direkte input",IF($A405&lt;&gt;"Grøntsager i drivhus",SUMIFS('Direkte input'!G$3:G$230,'Direkte input'!$F$3:$F$230,$D405,'Direkte input'!$C$3:$C$230,$B405,'Direkte input'!$D$3:$D$230,$C405,'Direkte input'!$A$3:$A$230,$A$1),SUMIFS('Direkte input'!G$3:G$230,'Direkte input'!$F$3:$F$230,$D405,'Direkte input'!$C$3:$C$230,$B405,'Direkte input'!$A$3:$A$230,$A$1)),IF(VLOOKUP($A405,[1]!Table1[#All],2,FALSE)="Resultat",SUMIF($F$1:$F404,$D405,H$1:H404)+SUMIF($F406:$F$512,$D405,H406:H$512),0))*'[1]Processer - data'!H405,"")*IF($C405&lt;&gt;"",IF($F405="Halm",Landbrug!C$16*Landbrug!C$17,IF(LEFT($D405,5)="Areal", IF($G405="Ton",Landbrug!C$18,1),1)),1)*IF($F405="Grøntsager",IF($A405="Grøntsager i drivhus",Landbrug!C$51,1-Landbrug!C$51),1)</f>
        <v>427561.52555997932</v>
      </c>
      <c r="I405" s="298">
        <f>IF($A405&lt;&gt;"",IF(VLOOKUP($A405,[1]!Table1[#All],2,FALSE)="Direkte input",IF($A405&lt;&gt;"Grøntsager i drivhus",SUMIFS('Direkte input'!H$3:H$230,'Direkte input'!$F$3:$F$230,$D405,'Direkte input'!$C$3:$C$230,$B405,'Direkte input'!$D$3:$D$230,$C405,'Direkte input'!$A$3:$A$230,$A$1),SUMIFS('Direkte input'!H$3:H$230,'Direkte input'!$F$3:$F$230,$D405,'Direkte input'!$C$3:$C$230,$B405,'Direkte input'!$A$3:$A$230,$A$1)),IF(VLOOKUP($A405,[1]!Table1[#All],2,FALSE)="Resultat",SUMIF($F$1:$F404,$D405,I$1:I404)+SUMIF($F406:$F$512,$D405,I406:I$512),0))*'[1]Processer - data'!I405,"")*IF($C405&lt;&gt;"",IF($F405="Halm",Landbrug!D$16*Landbrug!D$17,IF(LEFT($D405,5)="Areal", IF($G405="Ton",Landbrug!D$18,1),1)),1)*IF($F405="Grøntsager",IF($A405="Grøntsager i drivhus",Landbrug!D$51,1-Landbrug!D$51),1)</f>
        <v>444905.79484059504</v>
      </c>
      <c r="J405" s="299">
        <f>IF($A405&lt;&gt;"",IF(VLOOKUP($A405,[1]!Table1[#All],2,FALSE)="Direkte input",IF($A405&lt;&gt;"Grøntsager i drivhus",SUMIFS('Direkte input'!I$3:I$230,'Direkte input'!$F$3:$F$230,$D405,'Direkte input'!$C$3:$C$230,$B405,'Direkte input'!$D$3:$D$230,$C405,'Direkte input'!$A$3:$A$230,$A$1),SUMIFS('Direkte input'!I$3:I$230,'Direkte input'!$F$3:$F$230,$D405,'Direkte input'!$C$3:$C$230,$B405,'Direkte input'!$A$3:$A$230,$A$1)),IF(VLOOKUP($A405,[1]!Table1[#All],2,FALSE)="Resultat",SUMIF($F$1:$F404,$D405,J$1:J404)+SUMIF($F406:$F$512,$D405,J406:J$512),0))*'[1]Processer - data'!J405,"")*IF($C405&lt;&gt;"",IF($F405="Halm",Landbrug!E$16*Landbrug!E$17,IF(LEFT($D405,5)="Areal", IF($G405="Ton",Landbrug!E$18,1),1)),1)*IF($F405="Grøntsager",IF($A405="Grøntsager i drivhus",Landbrug!E$51,1-Landbrug!E$51),1)</f>
        <v>451009.09243245889</v>
      </c>
    </row>
    <row r="406" spans="1:10" x14ac:dyDescent="0.25">
      <c r="A406" t="str">
        <f>IF('[1]Processer - data'!A406&lt;&gt;"",'[1]Processer - data'!A406,"")</f>
        <v>Permanent græs</v>
      </c>
      <c r="B406" t="str">
        <f>IF('[1]Processer - data'!B406&lt;&gt;"",'[1]Processer - data'!B406,"")</f>
        <v>Konventionel</v>
      </c>
      <c r="C406" t="str">
        <f>IF('[1]Processer - data'!C406&lt;&gt;"",'[1]Processer - data'!C406,"")</f>
        <v>JB1-10</v>
      </c>
      <c r="D406" t="str">
        <f>IF('[1]Processer - data'!D406&lt;&gt;"",'[1]Processer - data'!D406,"")</f>
        <v>Areal-permanent græs</v>
      </c>
      <c r="E406" t="str">
        <f>IF('[1]Processer - data'!E406&lt;&gt;"",'[1]Processer - data'!E406,"")</f>
        <v>Hektar</v>
      </c>
      <c r="F406" t="str">
        <f>IF('[1]Processer - data'!F406&lt;&gt;"",'[1]Processer - data'!F406,"")</f>
        <v>Gødning</v>
      </c>
      <c r="G406" t="str">
        <f>IF('[1]Processer - data'!G406&lt;&gt;"",'[1]Processer - data'!G406,"")</f>
        <v>kg N</v>
      </c>
      <c r="H406" s="297">
        <f>IF($A406&lt;&gt;"",IF(VLOOKUP($A406,[1]!Table1[#All],2,FALSE)="Direkte input",IF($A406&lt;&gt;"Grøntsager i drivhus",SUMIFS('Direkte input'!G$3:G$230,'Direkte input'!$F$3:$F$230,$D406,'Direkte input'!$C$3:$C$230,$B406,'Direkte input'!$D$3:$D$230,$C406,'Direkte input'!$A$3:$A$230,$A$1),SUMIFS('Direkte input'!G$3:G$230,'Direkte input'!$F$3:$F$230,$D406,'Direkte input'!$C$3:$C$230,$B406,'Direkte input'!$A$3:$A$230,$A$1)),IF(VLOOKUP($A406,[1]!Table1[#All],2,FALSE)="Resultat",SUMIF($F$1:$F405,$D406,H$1:H405)+SUMIF($F407:$F$512,$D406,H407:H$512),0))*'[1]Processer - data'!H406,"")*IF($C406&lt;&gt;"",IF($F406="Halm",Landbrug!C$16*Landbrug!C$17,IF(LEFT($D406,5)="Areal", IF($G406="Ton",Landbrug!C$18,1),1)),1)*IF($F406="Grøntsager",IF($A406="Grøntsager i drivhus",Landbrug!C$51,1-Landbrug!C$51),1)</f>
        <v>-1550259.3385060888</v>
      </c>
      <c r="I406" s="298">
        <f>IF($A406&lt;&gt;"",IF(VLOOKUP($A406,[1]!Table1[#All],2,FALSE)="Direkte input",IF($A406&lt;&gt;"Grøntsager i drivhus",SUMIFS('Direkte input'!H$3:H$230,'Direkte input'!$F$3:$F$230,$D406,'Direkte input'!$C$3:$C$230,$B406,'Direkte input'!$D$3:$D$230,$C406,'Direkte input'!$A$3:$A$230,$A$1),SUMIFS('Direkte input'!H$3:H$230,'Direkte input'!$F$3:$F$230,$D406,'Direkte input'!$C$3:$C$230,$B406,'Direkte input'!$A$3:$A$230,$A$1)),IF(VLOOKUP($A406,[1]!Table1[#All],2,FALSE)="Resultat",SUMIF($F$1:$F405,$D406,I$1:I405)+SUMIF($F407:$F$512,$D406,I407:I$512),0))*'[1]Processer - data'!I406,"")*IF($C406&lt;&gt;"",IF($F406="Halm",Landbrug!D$16*Landbrug!D$17,IF(LEFT($D406,5)="Areal", IF($G406="Ton",Landbrug!D$18,1),1)),1)*IF($F406="Grøntsager",IF($A406="Grøntsager i drivhus",Landbrug!D$51,1-Landbrug!D$51),1)</f>
        <v>-1504800.8062048634</v>
      </c>
      <c r="J406" s="299">
        <f>IF($A406&lt;&gt;"",IF(VLOOKUP($A406,[1]!Table1[#All],2,FALSE)="Direkte input",IF($A406&lt;&gt;"Grøntsager i drivhus",SUMIFS('Direkte input'!I$3:I$230,'Direkte input'!$F$3:$F$230,$D406,'Direkte input'!$C$3:$C$230,$B406,'Direkte input'!$D$3:$D$230,$C406,'Direkte input'!$A$3:$A$230,$A$1),SUMIFS('Direkte input'!I$3:I$230,'Direkte input'!$F$3:$F$230,$D406,'Direkte input'!$C$3:$C$230,$B406,'Direkte input'!$A$3:$A$230,$A$1)),IF(VLOOKUP($A406,[1]!Table1[#All],2,FALSE)="Resultat",SUMIF($F$1:$F405,$D406,J$1:J405)+SUMIF($F407:$F$512,$D406,J407:J$512),0))*'[1]Processer - data'!J406,"")*IF($C406&lt;&gt;"",IF($F406="Halm",Landbrug!E$16*Landbrug!E$17,IF(LEFT($D406,5)="Areal", IF($G406="Ton",Landbrug!E$18,1),1)),1)*IF($F406="Grøntsager",IF($A406="Grøntsager i drivhus",Landbrug!E$51,1-Landbrug!E$51),1)</f>
        <v>-1421979.0409952356</v>
      </c>
    </row>
    <row r="407" spans="1:10" x14ac:dyDescent="0.25">
      <c r="A407" t="str">
        <f>IF('[1]Processer - data'!A407&lt;&gt;"",'[1]Processer - data'!A407,"")</f>
        <v>Permanent græs</v>
      </c>
      <c r="B407" t="str">
        <f>IF('[1]Processer - data'!B407&lt;&gt;"",'[1]Processer - data'!B407,"")</f>
        <v>Konventionel</v>
      </c>
      <c r="C407" t="str">
        <f>IF('[1]Processer - data'!C407&lt;&gt;"",'[1]Processer - data'!C407,"")</f>
        <v>JB1-10</v>
      </c>
      <c r="D407" t="str">
        <f>IF('[1]Processer - data'!D407&lt;&gt;"",'[1]Processer - data'!D407,"")</f>
        <v>Areal-permanent græs</v>
      </c>
      <c r="E407" t="str">
        <f>IF('[1]Processer - data'!E407&lt;&gt;"",'[1]Processer - data'!E407,"")</f>
        <v>Hektar</v>
      </c>
      <c r="F407" t="str">
        <f>IF('[1]Processer - data'!F407&lt;&gt;"",'[1]Processer - data'!F407,"")</f>
        <v>CO2 - atmosfære</v>
      </c>
      <c r="G407" t="str">
        <f>IF('[1]Processer - data'!G407&lt;&gt;"",'[1]Processer - data'!G407,"")</f>
        <v>t CO2-ækvivalenter</v>
      </c>
      <c r="H407" s="297">
        <f>IF($A407&lt;&gt;"",IF(VLOOKUP($A407,[1]!Table1[#All],2,FALSE)="Direkte input",IF($A407&lt;&gt;"Grøntsager i drivhus",SUMIFS('Direkte input'!G$3:G$230,'Direkte input'!$F$3:$F$230,$D407,'Direkte input'!$C$3:$C$230,$B407,'Direkte input'!$D$3:$D$230,$C407,'Direkte input'!$A$3:$A$230,$A$1),SUMIFS('Direkte input'!G$3:G$230,'Direkte input'!$F$3:$F$230,$D407,'Direkte input'!$C$3:$C$230,$B407,'Direkte input'!$A$3:$A$230,$A$1)),IF(VLOOKUP($A407,[1]!Table1[#All],2,FALSE)="Resultat",SUMIF($F$1:$F406,$D407,H$1:H406)+SUMIF($F408:$F$512,$D407,H408:H$512),0))*'[1]Processer - data'!H407,"")*IF($C407&lt;&gt;"",IF($F407="Halm",Landbrug!C$16*Landbrug!C$17,IF(LEFT($D407,5)="Areal", IF($G407="Ton",Landbrug!C$18,1),1)),1)*IF($F407="Grøntsager",IF($A407="Grøntsager i drivhus",Landbrug!C$51,1-Landbrug!C$51),1)</f>
        <v>60946.720996863092</v>
      </c>
      <c r="I407" s="298">
        <f>IF($A407&lt;&gt;"",IF(VLOOKUP($A407,[1]!Table1[#All],2,FALSE)="Direkte input",IF($A407&lt;&gt;"Grøntsager i drivhus",SUMIFS('Direkte input'!H$3:H$230,'Direkte input'!$F$3:$F$230,$D407,'Direkte input'!$C$3:$C$230,$B407,'Direkte input'!$D$3:$D$230,$C407,'Direkte input'!$A$3:$A$230,$A$1),SUMIFS('Direkte input'!H$3:H$230,'Direkte input'!$F$3:$F$230,$D407,'Direkte input'!$C$3:$C$230,$B407,'Direkte input'!$A$3:$A$230,$A$1)),IF(VLOOKUP($A407,[1]!Table1[#All],2,FALSE)="Resultat",SUMIF($F$1:$F406,$D407,I$1:I406)+SUMIF($F408:$F$512,$D407,I408:I$512),0))*'[1]Processer - data'!I407,"")*IF($C407&lt;&gt;"",IF($F407="Halm",Landbrug!D$16*Landbrug!D$17,IF(LEFT($D407,5)="Areal", IF($G407="Ton",Landbrug!D$18,1),1)),1)*IF($F407="Grøntsager",IF($A407="Grøntsager i drivhus",Landbrug!D$51,1-Landbrug!D$51),1)</f>
        <v>59159.569378889595</v>
      </c>
      <c r="J407" s="299">
        <f>IF($A407&lt;&gt;"",IF(VLOOKUP($A407,[1]!Table1[#All],2,FALSE)="Direkte input",IF($A407&lt;&gt;"Grøntsager i drivhus",SUMIFS('Direkte input'!I$3:I$230,'Direkte input'!$F$3:$F$230,$D407,'Direkte input'!$C$3:$C$230,$B407,'Direkte input'!$D$3:$D$230,$C407,'Direkte input'!$A$3:$A$230,$A$1),SUMIFS('Direkte input'!I$3:I$230,'Direkte input'!$F$3:$F$230,$D407,'Direkte input'!$C$3:$C$230,$B407,'Direkte input'!$A$3:$A$230,$A$1)),IF(VLOOKUP($A407,[1]!Table1[#All],2,FALSE)="Resultat",SUMIF($F$1:$F406,$D407,J$1:J406)+SUMIF($F408:$F$512,$D407,J408:J$512),0))*'[1]Processer - data'!J407,"")*IF($C407&lt;&gt;"",IF($F407="Halm",Landbrug!E$16*Landbrug!E$17,IF(LEFT($D407,5)="Areal", IF($G407="Ton",Landbrug!E$18,1),1)),1)*IF($F407="Grøntsager",IF($A407="Grøntsager i drivhus",Landbrug!E$51,1-Landbrug!E$51),1)</f>
        <v>55903.523831334234</v>
      </c>
    </row>
    <row r="408" spans="1:10" x14ac:dyDescent="0.25">
      <c r="A408" t="str">
        <f>IF('[1]Processer - data'!A408&lt;&gt;"",'[1]Processer - data'!A408,"")</f>
        <v>Permanent græs</v>
      </c>
      <c r="B408" t="str">
        <f>IF('[1]Processer - data'!B408&lt;&gt;"",'[1]Processer - data'!B408,"")</f>
        <v>Konventionel</v>
      </c>
      <c r="C408" t="str">
        <f>IF('[1]Processer - data'!C408&lt;&gt;"",'[1]Processer - data'!C408,"")</f>
        <v>OC6</v>
      </c>
      <c r="D408" t="str">
        <f>IF('[1]Processer - data'!D408&lt;&gt;"",'[1]Processer - data'!D408,"")</f>
        <v>Areal-permanent græs</v>
      </c>
      <c r="E408" t="str">
        <f>IF('[1]Processer - data'!E408&lt;&gt;"",'[1]Processer - data'!E408,"")</f>
        <v>Hektar</v>
      </c>
      <c r="F408" t="str">
        <f>IF('[1]Processer - data'!F408&lt;&gt;"",'[1]Processer - data'!F408,"")</f>
        <v>Græs</v>
      </c>
      <c r="G408" t="str">
        <f>IF('[1]Processer - data'!G408&lt;&gt;"",'[1]Processer - data'!G408,"")</f>
        <v>Ton</v>
      </c>
      <c r="H408" s="297">
        <f>IF($A408&lt;&gt;"",IF(VLOOKUP($A408,[1]!Table1[#All],2,FALSE)="Direkte input",IF($A408&lt;&gt;"Grøntsager i drivhus",SUMIFS('Direkte input'!G$3:G$230,'Direkte input'!$F$3:$F$230,$D408,'Direkte input'!$C$3:$C$230,$B408,'Direkte input'!$D$3:$D$230,$C408,'Direkte input'!$A$3:$A$230,$A$1),SUMIFS('Direkte input'!G$3:G$230,'Direkte input'!$F$3:$F$230,$D408,'Direkte input'!$C$3:$C$230,$B408,'Direkte input'!$A$3:$A$230,$A$1)),IF(VLOOKUP($A408,[1]!Table1[#All],2,FALSE)="Resultat",SUMIF($F$1:$F407,$D408,H$1:H407)+SUMIF($F409:$F$512,$D408,H409:H$512),0))*'[1]Processer - data'!H408,"")*IF($C408&lt;&gt;"",IF($F408="Halm",Landbrug!C$16*Landbrug!C$17,IF(LEFT($D408,5)="Areal", IF($G408="Ton",Landbrug!C$18,1),1)),1)*IF($F408="Grøntsager",IF($A408="Grøntsager i drivhus",Landbrug!C$51,1-Landbrug!C$51),1)</f>
        <v>48078.822564180715</v>
      </c>
      <c r="I408" s="298">
        <f>IF($A408&lt;&gt;"",IF(VLOOKUP($A408,[1]!Table1[#All],2,FALSE)="Direkte input",IF($A408&lt;&gt;"Grøntsager i drivhus",SUMIFS('Direkte input'!H$3:H$230,'Direkte input'!$F$3:$F$230,$D408,'Direkte input'!$C$3:$C$230,$B408,'Direkte input'!$D$3:$D$230,$C408,'Direkte input'!$A$3:$A$230,$A$1),SUMIFS('Direkte input'!H$3:H$230,'Direkte input'!$F$3:$F$230,$D408,'Direkte input'!$C$3:$C$230,$B408,'Direkte input'!$A$3:$A$230,$A$1)),IF(VLOOKUP($A408,[1]!Table1[#All],2,FALSE)="Resultat",SUMIF($F$1:$F407,$D408,I$1:I407)+SUMIF($F409:$F$512,$D408,I409:I$512),0))*'[1]Processer - data'!I408,"")*IF($C408&lt;&gt;"",IF($F408="Halm",Landbrug!D$16*Landbrug!D$17,IF(LEFT($D408,5)="Areal", IF($G408="Ton",Landbrug!D$18,1),1)),1)*IF($F408="Grøntsager",IF($A408="Grøntsager i drivhus",Landbrug!D$51,1-Landbrug!D$51),1)</f>
        <v>46258.963628978956</v>
      </c>
      <c r="J408" s="299">
        <f>IF($A408&lt;&gt;"",IF(VLOOKUP($A408,[1]!Table1[#All],2,FALSE)="Direkte input",IF($A408&lt;&gt;"Grøntsager i drivhus",SUMIFS('Direkte input'!I$3:I$230,'Direkte input'!$F$3:$F$230,$D408,'Direkte input'!$C$3:$C$230,$B408,'Direkte input'!$D$3:$D$230,$C408,'Direkte input'!$A$3:$A$230,$A$1),SUMIFS('Direkte input'!I$3:I$230,'Direkte input'!$F$3:$F$230,$D408,'Direkte input'!$C$3:$C$230,$B408,'Direkte input'!$A$3:$A$230,$A$1)),IF(VLOOKUP($A408,[1]!Table1[#All],2,FALSE)="Resultat",SUMIF($F$1:$F407,$D408,J$1:J407)+SUMIF($F409:$F$512,$D408,J409:J$512),0))*'[1]Processer - data'!J408,"")*IF($C408&lt;&gt;"",IF($F408="Halm",Landbrug!E$16*Landbrug!E$17,IF(LEFT($D408,5)="Areal", IF($G408="Ton",Landbrug!E$18,1),1)),1)*IF($F408="Grøntsager",IF($A408="Grøntsager i drivhus",Landbrug!E$51,1-Landbrug!E$51),1)</f>
        <v>47330.031644156865</v>
      </c>
    </row>
    <row r="409" spans="1:10" x14ac:dyDescent="0.25">
      <c r="A409" t="str">
        <f>IF('[1]Processer - data'!A409&lt;&gt;"",'[1]Processer - data'!A409,"")</f>
        <v>Permanent græs</v>
      </c>
      <c r="B409" t="str">
        <f>IF('[1]Processer - data'!B409&lt;&gt;"",'[1]Processer - data'!B409,"")</f>
        <v>Konventionel</v>
      </c>
      <c r="C409" t="str">
        <f>IF('[1]Processer - data'!C409&lt;&gt;"",'[1]Processer - data'!C409,"")</f>
        <v>OC6</v>
      </c>
      <c r="D409" t="str">
        <f>IF('[1]Processer - data'!D409&lt;&gt;"",'[1]Processer - data'!D409,"")</f>
        <v>Areal-permanent græs</v>
      </c>
      <c r="E409" t="str">
        <f>IF('[1]Processer - data'!E409&lt;&gt;"",'[1]Processer - data'!E409,"")</f>
        <v>Hektar</v>
      </c>
      <c r="F409" t="str">
        <f>IF('[1]Processer - data'!F409&lt;&gt;"",'[1]Processer - data'!F409,"")</f>
        <v>Gødning</v>
      </c>
      <c r="G409" t="str">
        <f>IF('[1]Processer - data'!G409&lt;&gt;"",'[1]Processer - data'!G409,"")</f>
        <v>kg N</v>
      </c>
      <c r="H409" s="297">
        <f>IF($A409&lt;&gt;"",IF(VLOOKUP($A409,[1]!Table1[#All],2,FALSE)="Direkte input",IF($A409&lt;&gt;"Grøntsager i drivhus",SUMIFS('Direkte input'!G$3:G$230,'Direkte input'!$F$3:$F$230,$D409,'Direkte input'!$C$3:$C$230,$B409,'Direkte input'!$D$3:$D$230,$C409,'Direkte input'!$A$3:$A$230,$A$1),SUMIFS('Direkte input'!G$3:G$230,'Direkte input'!$F$3:$F$230,$D409,'Direkte input'!$C$3:$C$230,$B409,'Direkte input'!$A$3:$A$230,$A$1)),IF(VLOOKUP($A409,[1]!Table1[#All],2,FALSE)="Resultat",SUMIF($F$1:$F408,$D409,H$1:H408)+SUMIF($F410:$F$512,$D409,H410:H$512),0))*'[1]Processer - data'!H409,"")*IF($C409&lt;&gt;"",IF($F409="Halm",Landbrug!C$16*Landbrug!C$17,IF(LEFT($D409,5)="Areal", IF($G409="Ton",Landbrug!C$18,1),1)),1)*IF($F409="Grøntsager",IF($A409="Grøntsager i drivhus",Landbrug!C$51,1-Landbrug!C$51),1)</f>
        <v>-145270.79575834153</v>
      </c>
      <c r="I409" s="298">
        <f>IF($A409&lt;&gt;"",IF(VLOOKUP($A409,[1]!Table1[#All],2,FALSE)="Direkte input",IF($A409&lt;&gt;"Grøntsager i drivhus",SUMIFS('Direkte input'!H$3:H$230,'Direkte input'!$F$3:$F$230,$D409,'Direkte input'!$C$3:$C$230,$B409,'Direkte input'!$D$3:$D$230,$C409,'Direkte input'!$A$3:$A$230,$A$1),SUMIFS('Direkte input'!H$3:H$230,'Direkte input'!$F$3:$F$230,$D409,'Direkte input'!$C$3:$C$230,$B409,'Direkte input'!$A$3:$A$230,$A$1)),IF(VLOOKUP($A409,[1]!Table1[#All],2,FALSE)="Resultat",SUMIF($F$1:$F408,$D409,I$1:I408)+SUMIF($F410:$F$512,$D409,I410:I$512),0))*'[1]Processer - data'!I409,"")*IF($C409&lt;&gt;"",IF($F409="Halm",Landbrug!D$16*Landbrug!D$17,IF(LEFT($D409,5)="Areal", IF($G409="Ton",Landbrug!D$18,1),1)),1)*IF($F409="Grøntsager",IF($A409="Grøntsager i drivhus",Landbrug!D$51,1-Landbrug!D$51),1)</f>
        <v>-130384.39180147054</v>
      </c>
      <c r="J409" s="299">
        <f>IF($A409&lt;&gt;"",IF(VLOOKUP($A409,[1]!Table1[#All],2,FALSE)="Direkte input",IF($A409&lt;&gt;"Grøntsager i drivhus",SUMIFS('Direkte input'!I$3:I$230,'Direkte input'!$F$3:$F$230,$D409,'Direkte input'!$C$3:$C$230,$B409,'Direkte input'!$D$3:$D$230,$C409,'Direkte input'!$A$3:$A$230,$A$1),SUMIFS('Direkte input'!I$3:I$230,'Direkte input'!$F$3:$F$230,$D409,'Direkte input'!$C$3:$C$230,$B409,'Direkte input'!$A$3:$A$230,$A$1)),IF(VLOOKUP($A409,[1]!Table1[#All],2,FALSE)="Resultat",SUMIF($F$1:$F408,$D409,J$1:J408)+SUMIF($F410:$F$512,$D409,J410:J$512),0))*'[1]Processer - data'!J409,"")*IF($C409&lt;&gt;"",IF($F409="Halm",Landbrug!E$16*Landbrug!E$17,IF(LEFT($D409,5)="Areal", IF($G409="Ton",Landbrug!E$18,1),1)),1)*IF($F409="Grøntsager",IF($A409="Grøntsager i drivhus",Landbrug!E$51,1-Landbrug!E$51),1)</f>
        <v>-124355.05576440833</v>
      </c>
    </row>
    <row r="410" spans="1:10" x14ac:dyDescent="0.25">
      <c r="A410" t="str">
        <f>IF('[1]Processer - data'!A410&lt;&gt;"",'[1]Processer - data'!A410,"")</f>
        <v>Permanent græs</v>
      </c>
      <c r="B410" t="str">
        <f>IF('[1]Processer - data'!B410&lt;&gt;"",'[1]Processer - data'!B410,"")</f>
        <v>Konventionel</v>
      </c>
      <c r="C410" t="str">
        <f>IF('[1]Processer - data'!C410&lt;&gt;"",'[1]Processer - data'!C410,"")</f>
        <v>OC6</v>
      </c>
      <c r="D410" t="str">
        <f>IF('[1]Processer - data'!D410&lt;&gt;"",'[1]Processer - data'!D410,"")</f>
        <v>Areal-permanent græs</v>
      </c>
      <c r="E410" t="str">
        <f>IF('[1]Processer - data'!E410&lt;&gt;"",'[1]Processer - data'!E410,"")</f>
        <v>Hektar</v>
      </c>
      <c r="F410" t="str">
        <f>IF('[1]Processer - data'!F410&lt;&gt;"",'[1]Processer - data'!F410,"")</f>
        <v>CO2 - atmosfære</v>
      </c>
      <c r="G410" t="str">
        <f>IF('[1]Processer - data'!G410&lt;&gt;"",'[1]Processer - data'!G410,"")</f>
        <v>t CO2-ækvivalenter</v>
      </c>
      <c r="H410" s="297">
        <f>IF($A410&lt;&gt;"",IF(VLOOKUP($A410,[1]!Table1[#All],2,FALSE)="Direkte input",IF($A410&lt;&gt;"Grøntsager i drivhus",SUMIFS('Direkte input'!G$3:G$230,'Direkte input'!$F$3:$F$230,$D410,'Direkte input'!$C$3:$C$230,$B410,'Direkte input'!$D$3:$D$230,$C410,'Direkte input'!$A$3:$A$230,$A$1),SUMIFS('Direkte input'!G$3:G$230,'Direkte input'!$F$3:$F$230,$D410,'Direkte input'!$C$3:$C$230,$B410,'Direkte input'!$A$3:$A$230,$A$1)),IF(VLOOKUP($A410,[1]!Table1[#All],2,FALSE)="Resultat",SUMIF($F$1:$F409,$D410,H$1:H409)+SUMIF($F411:$F$512,$D410,H411:H$512),0))*'[1]Processer - data'!H410,"")*IF($C410&lt;&gt;"",IF($F410="Halm",Landbrug!C$16*Landbrug!C$17,IF(LEFT($D410,5)="Areal", IF($G410="Ton",Landbrug!C$18,1),1)),1)*IF($F410="Grøntsager",IF($A410="Grøntsager i drivhus",Landbrug!C$51,1-Landbrug!C$51),1)</f>
        <v>30976.656497936812</v>
      </c>
      <c r="I410" s="298">
        <f>IF($A410&lt;&gt;"",IF(VLOOKUP($A410,[1]!Table1[#All],2,FALSE)="Direkte input",IF($A410&lt;&gt;"Grøntsager i drivhus",SUMIFS('Direkte input'!H$3:H$230,'Direkte input'!$F$3:$F$230,$D410,'Direkte input'!$C$3:$C$230,$B410,'Direkte input'!$D$3:$D$230,$C410,'Direkte input'!$A$3:$A$230,$A$1),SUMIFS('Direkte input'!H$3:H$230,'Direkte input'!$F$3:$F$230,$D410,'Direkte input'!$C$3:$C$230,$B410,'Direkte input'!$A$3:$A$230,$A$1)),IF(VLOOKUP($A410,[1]!Table1[#All],2,FALSE)="Resultat",SUMIF($F$1:$F409,$D410,I$1:I409)+SUMIF($F411:$F$512,$D410,I411:I$512),0))*'[1]Processer - data'!I410,"")*IF($C410&lt;&gt;"",IF($F410="Halm",Landbrug!D$16*Landbrug!D$17,IF(LEFT($D410,5)="Areal", IF($G410="Ton",Landbrug!D$18,1),1)),1)*IF($F410="Grøntsager",IF($A410="Grøntsager i drivhus",Landbrug!D$51,1-Landbrug!D$51),1)</f>
        <v>27802.370713555119</v>
      </c>
      <c r="J410" s="299">
        <f>IF($A410&lt;&gt;"",IF(VLOOKUP($A410,[1]!Table1[#All],2,FALSE)="Direkte input",IF($A410&lt;&gt;"Grøntsager i drivhus",SUMIFS('Direkte input'!I$3:I$230,'Direkte input'!$F$3:$F$230,$D410,'Direkte input'!$C$3:$C$230,$B410,'Direkte input'!$D$3:$D$230,$C410,'Direkte input'!$A$3:$A$230,$A$1),SUMIFS('Direkte input'!I$3:I$230,'Direkte input'!$F$3:$F$230,$D410,'Direkte input'!$C$3:$C$230,$B410,'Direkte input'!$A$3:$A$230,$A$1)),IF(VLOOKUP($A410,[1]!Table1[#All],2,FALSE)="Resultat",SUMIF($F$1:$F409,$D410,J$1:J409)+SUMIF($F411:$F$512,$D410,J411:J$512),0))*'[1]Processer - data'!J410,"")*IF($C410&lt;&gt;"",IF($F410="Halm",Landbrug!E$16*Landbrug!E$17,IF(LEFT($D410,5)="Areal", IF($G410="Ton",Landbrug!E$18,1),1)),1)*IF($F410="Grøntsager",IF($A410="Grøntsager i drivhus",Landbrug!E$51,1-Landbrug!E$51),1)</f>
        <v>26516.711952234655</v>
      </c>
    </row>
    <row r="411" spans="1:10" x14ac:dyDescent="0.25">
      <c r="A411" t="str">
        <f>IF('[1]Processer - data'!A411&lt;&gt;"",'[1]Processer - data'!A411,"")</f>
        <v>Permanent græs</v>
      </c>
      <c r="B411" t="str">
        <f>IF('[1]Processer - data'!B411&lt;&gt;"",'[1]Processer - data'!B411,"")</f>
        <v>Konventionel</v>
      </c>
      <c r="C411" t="str">
        <f>IF('[1]Processer - data'!C411&lt;&gt;"",'[1]Processer - data'!C411,"")</f>
        <v>OC12</v>
      </c>
      <c r="D411" t="str">
        <f>IF('[1]Processer - data'!D411&lt;&gt;"",'[1]Processer - data'!D411,"")</f>
        <v>Areal-permanent græs</v>
      </c>
      <c r="E411" t="str">
        <f>IF('[1]Processer - data'!E411&lt;&gt;"",'[1]Processer - data'!E411,"")</f>
        <v>Hektar</v>
      </c>
      <c r="F411" t="str">
        <f>IF('[1]Processer - data'!F411&lt;&gt;"",'[1]Processer - data'!F411,"")</f>
        <v>Græs</v>
      </c>
      <c r="G411" t="str">
        <f>IF('[1]Processer - data'!G411&lt;&gt;"",'[1]Processer - data'!G411,"")</f>
        <v>Ton</v>
      </c>
      <c r="H411" s="297">
        <f>IF($A411&lt;&gt;"",IF(VLOOKUP($A411,[1]!Table1[#All],2,FALSE)="Direkte input",IF($A411&lt;&gt;"Grøntsager i drivhus",SUMIFS('Direkte input'!G$3:G$230,'Direkte input'!$F$3:$F$230,$D411,'Direkte input'!$C$3:$C$230,$B411,'Direkte input'!$D$3:$D$230,$C411,'Direkte input'!$A$3:$A$230,$A$1),SUMIFS('Direkte input'!G$3:G$230,'Direkte input'!$F$3:$F$230,$D411,'Direkte input'!$C$3:$C$230,$B411,'Direkte input'!$A$3:$A$230,$A$1)),IF(VLOOKUP($A411,[1]!Table1[#All],2,FALSE)="Resultat",SUMIF($F$1:$F410,$D411,H$1:H410)+SUMIF($F412:$F$512,$D411,H412:H$512),0))*'[1]Processer - data'!H411,"")*IF($C411&lt;&gt;"",IF($F411="Halm",Landbrug!C$16*Landbrug!C$17,IF(LEFT($D411,5)="Areal", IF($G411="Ton",Landbrug!C$18,1),1)),1)*IF($F411="Grøntsager",IF($A411="Grøntsager i drivhus",Landbrug!C$51,1-Landbrug!C$51),1)</f>
        <v>63689.355134828103</v>
      </c>
      <c r="I411" s="298">
        <f>IF($A411&lt;&gt;"",IF(VLOOKUP($A411,[1]!Table1[#All],2,FALSE)="Direkte input",IF($A411&lt;&gt;"Grøntsager i drivhus",SUMIFS('Direkte input'!H$3:H$230,'Direkte input'!$F$3:$F$230,$D411,'Direkte input'!$C$3:$C$230,$B411,'Direkte input'!$D$3:$D$230,$C411,'Direkte input'!$A$3:$A$230,$A$1),SUMIFS('Direkte input'!H$3:H$230,'Direkte input'!$F$3:$F$230,$D411,'Direkte input'!$C$3:$C$230,$B411,'Direkte input'!$A$3:$A$230,$A$1)),IF(VLOOKUP($A411,[1]!Table1[#All],2,FALSE)="Resultat",SUMIF($F$1:$F410,$D411,I$1:I410)+SUMIF($F412:$F$512,$D411,I412:I$512),0))*'[1]Processer - data'!I411,"")*IF($C411&lt;&gt;"",IF($F411="Halm",Landbrug!D$16*Landbrug!D$17,IF(LEFT($D411,5)="Areal", IF($G411="Ton",Landbrug!D$18,1),1)),1)*IF($F411="Grøntsager",IF($A411="Grøntsager i drivhus",Landbrug!D$51,1-Landbrug!D$51),1)</f>
        <v>56639.458258193183</v>
      </c>
      <c r="J411" s="299">
        <f>IF($A411&lt;&gt;"",IF(VLOOKUP($A411,[1]!Table1[#All],2,FALSE)="Direkte input",IF($A411&lt;&gt;"Grøntsager i drivhus",SUMIFS('Direkte input'!I$3:I$230,'Direkte input'!$F$3:$F$230,$D411,'Direkte input'!$C$3:$C$230,$B411,'Direkte input'!$D$3:$D$230,$C411,'Direkte input'!$A$3:$A$230,$A$1),SUMIFS('Direkte input'!I$3:I$230,'Direkte input'!$F$3:$F$230,$D411,'Direkte input'!$C$3:$C$230,$B411,'Direkte input'!$A$3:$A$230,$A$1)),IF(VLOOKUP($A411,[1]!Table1[#All],2,FALSE)="Resultat",SUMIF($F$1:$F410,$D411,J$1:J410)+SUMIF($F412:$F$512,$D411,J412:J$512),0))*'[1]Processer - data'!J411,"")*IF($C411&lt;&gt;"",IF($F411="Halm",Landbrug!E$16*Landbrug!E$17,IF(LEFT($D411,5)="Areal", IF($G411="Ton",Landbrug!E$18,1),1)),1)*IF($F411="Grøntsager",IF($A411="Grøntsager i drivhus",Landbrug!E$51,1-Landbrug!E$51),1)</f>
        <v>57950.87354678283</v>
      </c>
    </row>
    <row r="412" spans="1:10" x14ac:dyDescent="0.25">
      <c r="A412" t="str">
        <f>IF('[1]Processer - data'!A412&lt;&gt;"",'[1]Processer - data'!A412,"")</f>
        <v>Permanent græs</v>
      </c>
      <c r="B412" t="str">
        <f>IF('[1]Processer - data'!B412&lt;&gt;"",'[1]Processer - data'!B412,"")</f>
        <v>Konventionel</v>
      </c>
      <c r="C412" t="str">
        <f>IF('[1]Processer - data'!C412&lt;&gt;"",'[1]Processer - data'!C412,"")</f>
        <v>OC12</v>
      </c>
      <c r="D412" t="str">
        <f>IF('[1]Processer - data'!D412&lt;&gt;"",'[1]Processer - data'!D412,"")</f>
        <v>Areal-permanent græs</v>
      </c>
      <c r="E412" t="str">
        <f>IF('[1]Processer - data'!E412&lt;&gt;"",'[1]Processer - data'!E412,"")</f>
        <v>Hektar</v>
      </c>
      <c r="F412" t="str">
        <f>IF('[1]Processer - data'!F412&lt;&gt;"",'[1]Processer - data'!F412,"")</f>
        <v>Gødning</v>
      </c>
      <c r="G412" t="str">
        <f>IF('[1]Processer - data'!G412&lt;&gt;"",'[1]Processer - data'!G412,"")</f>
        <v>kg N</v>
      </c>
      <c r="H412" s="297">
        <f>IF($A412&lt;&gt;"",IF(VLOOKUP($A412,[1]!Table1[#All],2,FALSE)="Direkte input",IF($A412&lt;&gt;"Grøntsager i drivhus",SUMIFS('Direkte input'!G$3:G$230,'Direkte input'!$F$3:$F$230,$D412,'Direkte input'!$C$3:$C$230,$B412,'Direkte input'!$D$3:$D$230,$C412,'Direkte input'!$A$3:$A$230,$A$1),SUMIFS('Direkte input'!G$3:G$230,'Direkte input'!$F$3:$F$230,$D412,'Direkte input'!$C$3:$C$230,$B412,'Direkte input'!$A$3:$A$230,$A$1)),IF(VLOOKUP($A412,[1]!Table1[#All],2,FALSE)="Resultat",SUMIF($F$1:$F411,$D412,H$1:H411)+SUMIF($F413:$F$512,$D412,H413:H$512),0))*'[1]Processer - data'!H412,"")*IF($C412&lt;&gt;"",IF($F412="Halm",Landbrug!C$16*Landbrug!C$17,IF(LEFT($D412,5)="Areal", IF($G412="Ton",Landbrug!C$18,1),1)),1)*IF($F412="Grøntsager",IF($A412="Grøntsager i drivhus",Landbrug!C$51,1-Landbrug!C$51),1)</f>
        <v>-164947.05048903992</v>
      </c>
      <c r="I412" s="298">
        <f>IF($A412&lt;&gt;"",IF(VLOOKUP($A412,[1]!Table1[#All],2,FALSE)="Direkte input",IF($A412&lt;&gt;"Grøntsager i drivhus",SUMIFS('Direkte input'!H$3:H$230,'Direkte input'!$F$3:$F$230,$D412,'Direkte input'!$C$3:$C$230,$B412,'Direkte input'!$D$3:$D$230,$C412,'Direkte input'!$A$3:$A$230,$A$1),SUMIFS('Direkte input'!H$3:H$230,'Direkte input'!$F$3:$F$230,$D412,'Direkte input'!$C$3:$C$230,$B412,'Direkte input'!$A$3:$A$230,$A$1)),IF(VLOOKUP($A412,[1]!Table1[#All],2,FALSE)="Resultat",SUMIF($F$1:$F411,$D412,I$1:I411)+SUMIF($F413:$F$512,$D412,I413:I$512),0))*'[1]Processer - data'!I412,"")*IF($C412&lt;&gt;"",IF($F412="Halm",Landbrug!D$16*Landbrug!D$17,IF(LEFT($D412,5)="Areal", IF($G412="Ton",Landbrug!D$18,1),1)),1)*IF($F412="Grøntsager",IF($A412="Grøntsager i drivhus",Landbrug!D$51,1-Landbrug!D$51),1)</f>
        <v>-136836.51595193025</v>
      </c>
      <c r="J412" s="299">
        <f>IF($A412&lt;&gt;"",IF(VLOOKUP($A412,[1]!Table1[#All],2,FALSE)="Direkte input",IF($A412&lt;&gt;"Grøntsager i drivhus",SUMIFS('Direkte input'!I$3:I$230,'Direkte input'!$F$3:$F$230,$D412,'Direkte input'!$C$3:$C$230,$B412,'Direkte input'!$D$3:$D$230,$C412,'Direkte input'!$A$3:$A$230,$A$1),SUMIFS('Direkte input'!I$3:I$230,'Direkte input'!$F$3:$F$230,$D412,'Direkte input'!$C$3:$C$230,$B412,'Direkte input'!$A$3:$A$230,$A$1)),IF(VLOOKUP($A412,[1]!Table1[#All],2,FALSE)="Resultat",SUMIF($F$1:$F411,$D412,J$1:J411)+SUMIF($F413:$F$512,$D412,J413:J$512),0))*'[1]Processer - data'!J412,"")*IF($C412&lt;&gt;"",IF($F412="Halm",Landbrug!E$16*Landbrug!E$17,IF(LEFT($D412,5)="Areal", IF($G412="Ton",Landbrug!E$18,1),1)),1)*IF($F412="Grøntsager",IF($A412="Grøntsager i drivhus",Landbrug!E$51,1-Landbrug!E$51),1)</f>
        <v>-130508.81579230343</v>
      </c>
    </row>
    <row r="413" spans="1:10" x14ac:dyDescent="0.25">
      <c r="A413" t="str">
        <f>IF('[1]Processer - data'!A413&lt;&gt;"",'[1]Processer - data'!A413,"")</f>
        <v>Permanent græs</v>
      </c>
      <c r="B413" t="str">
        <f>IF('[1]Processer - data'!B413&lt;&gt;"",'[1]Processer - data'!B413,"")</f>
        <v>Konventionel</v>
      </c>
      <c r="C413" t="str">
        <f>IF('[1]Processer - data'!C413&lt;&gt;"",'[1]Processer - data'!C413,"")</f>
        <v>OC12</v>
      </c>
      <c r="D413" t="str">
        <f>IF('[1]Processer - data'!D413&lt;&gt;"",'[1]Processer - data'!D413,"")</f>
        <v>Areal-permanent græs</v>
      </c>
      <c r="E413" t="str">
        <f>IF('[1]Processer - data'!E413&lt;&gt;"",'[1]Processer - data'!E413,"")</f>
        <v>Hektar</v>
      </c>
      <c r="F413" t="str">
        <f>IF('[1]Processer - data'!F413&lt;&gt;"",'[1]Processer - data'!F413,"")</f>
        <v>CO2 - atmosfære</v>
      </c>
      <c r="G413" t="str">
        <f>IF('[1]Processer - data'!G413&lt;&gt;"",'[1]Processer - data'!G413,"")</f>
        <v>t CO2-ækvivalenter</v>
      </c>
      <c r="H413" s="297">
        <f>IF($A413&lt;&gt;"",IF(VLOOKUP($A413,[1]!Table1[#All],2,FALSE)="Direkte input",IF($A413&lt;&gt;"Grøntsager i drivhus",SUMIFS('Direkte input'!G$3:G$230,'Direkte input'!$F$3:$F$230,$D413,'Direkte input'!$C$3:$C$230,$B413,'Direkte input'!$D$3:$D$230,$C413,'Direkte input'!$A$3:$A$230,$A$1),SUMIFS('Direkte input'!G$3:G$230,'Direkte input'!$F$3:$F$230,$D413,'Direkte input'!$C$3:$C$230,$B413,'Direkte input'!$A$3:$A$230,$A$1)),IF(VLOOKUP($A413,[1]!Table1[#All],2,FALSE)="Resultat",SUMIF($F$1:$F412,$D413,H$1:H412)+SUMIF($F414:$F$512,$D413,H414:H$512),0))*'[1]Processer - data'!H413,"")*IF($C413&lt;&gt;"",IF($F413="Halm",Landbrug!C$16*Landbrug!C$17,IF(LEFT($D413,5)="Areal", IF($G413="Ton",Landbrug!C$18,1),1)),1)*IF($F413="Grøntsager",IF($A413="Grøntsager i drivhus",Landbrug!C$51,1-Landbrug!C$51),1)</f>
        <v>94025.408397136198</v>
      </c>
      <c r="I413" s="298">
        <f>IF($A413&lt;&gt;"",IF(VLOOKUP($A413,[1]!Table1[#All],2,FALSE)="Direkte input",IF($A413&lt;&gt;"Grøntsager i drivhus",SUMIFS('Direkte input'!H$3:H$230,'Direkte input'!$F$3:$F$230,$D413,'Direkte input'!$C$3:$C$230,$B413,'Direkte input'!$D$3:$D$230,$C413,'Direkte input'!$A$3:$A$230,$A$1),SUMIFS('Direkte input'!H$3:H$230,'Direkte input'!$F$3:$F$230,$D413,'Direkte input'!$C$3:$C$230,$B413,'Direkte input'!$A$3:$A$230,$A$1)),IF(VLOOKUP($A413,[1]!Table1[#All],2,FALSE)="Resultat",SUMIF($F$1:$F412,$D413,I$1:I412)+SUMIF($F414:$F$512,$D413,I414:I$512),0))*'[1]Processer - data'!I413,"")*IF($C413&lt;&gt;"",IF($F413="Halm",Landbrug!D$16*Landbrug!D$17,IF(LEFT($D413,5)="Areal", IF($G413="Ton",Landbrug!D$18,1),1)),1)*IF($F413="Grøntsager",IF($A413="Grøntsager i drivhus",Landbrug!D$51,1-Landbrug!D$51),1)</f>
        <v>78001.451119469319</v>
      </c>
      <c r="J413" s="299">
        <f>IF($A413&lt;&gt;"",IF(VLOOKUP($A413,[1]!Table1[#All],2,FALSE)="Direkte input",IF($A413&lt;&gt;"Grøntsager i drivhus",SUMIFS('Direkte input'!I$3:I$230,'Direkte input'!$F$3:$F$230,$D413,'Direkte input'!$C$3:$C$230,$B413,'Direkte input'!$D$3:$D$230,$C413,'Direkte input'!$A$3:$A$230,$A$1),SUMIFS('Direkte input'!I$3:I$230,'Direkte input'!$F$3:$F$230,$D413,'Direkte input'!$C$3:$C$230,$B413,'Direkte input'!$A$3:$A$230,$A$1)),IF(VLOOKUP($A413,[1]!Table1[#All],2,FALSE)="Resultat",SUMIF($F$1:$F412,$D413,J$1:J412)+SUMIF($F414:$F$512,$D413,J414:J$512),0))*'[1]Processer - data'!J413,"")*IF($C413&lt;&gt;"",IF($F413="Halm",Landbrug!E$16*Landbrug!E$17,IF(LEFT($D413,5)="Areal", IF($G413="Ton",Landbrug!E$18,1),1)),1)*IF($F413="Grøntsager",IF($A413="Grøntsager i drivhus",Landbrug!E$51,1-Landbrug!E$51),1)</f>
        <v>74394.447599493855</v>
      </c>
    </row>
    <row r="414" spans="1:10" x14ac:dyDescent="0.25">
      <c r="A414" t="str">
        <f>IF('[1]Processer - data'!A414&lt;&gt;"",'[1]Processer - data'!A414,"")</f>
        <v>Permanent græs</v>
      </c>
      <c r="B414" t="str">
        <f>IF('[1]Processer - data'!B414&lt;&gt;"",'[1]Processer - data'!B414,"")</f>
        <v>Økologisk</v>
      </c>
      <c r="C414" t="str">
        <f>IF('[1]Processer - data'!C414&lt;&gt;"",'[1]Processer - data'!C414,"")</f>
        <v>JB1-10</v>
      </c>
      <c r="D414" t="str">
        <f>IF('[1]Processer - data'!D414&lt;&gt;"",'[1]Processer - data'!D414,"")</f>
        <v>Areal-permanent græs</v>
      </c>
      <c r="E414" t="str">
        <f>IF('[1]Processer - data'!E414&lt;&gt;"",'[1]Processer - data'!E414,"")</f>
        <v>Hektar</v>
      </c>
      <c r="F414" t="str">
        <f>IF('[1]Processer - data'!F414&lt;&gt;"",'[1]Processer - data'!F414,"")</f>
        <v>Græs</v>
      </c>
      <c r="G414" t="str">
        <f>IF('[1]Processer - data'!G414&lt;&gt;"",'[1]Processer - data'!G414,"")</f>
        <v>Ton</v>
      </c>
      <c r="H414" s="297">
        <f>IF($A414&lt;&gt;"",IF(VLOOKUP($A414,[1]!Table1[#All],2,FALSE)="Direkte input",IF($A414&lt;&gt;"Grøntsager i drivhus",SUMIFS('Direkte input'!G$3:G$230,'Direkte input'!$F$3:$F$230,$D414,'Direkte input'!$C$3:$C$230,$B414,'Direkte input'!$D$3:$D$230,$C414,'Direkte input'!$A$3:$A$230,$A$1),SUMIFS('Direkte input'!G$3:G$230,'Direkte input'!$F$3:$F$230,$D414,'Direkte input'!$C$3:$C$230,$B414,'Direkte input'!$A$3:$A$230,$A$1)),IF(VLOOKUP($A414,[1]!Table1[#All],2,FALSE)="Resultat",SUMIF($F$1:$F413,$D414,H$1:H413)+SUMIF($F415:$F$512,$D414,H415:H$512),0))*'[1]Processer - data'!H414,"")*IF($C414&lt;&gt;"",IF($F414="Halm",Landbrug!C$16*Landbrug!C$17,IF(LEFT($D414,5)="Areal", IF($G414="Ton",Landbrug!C$18,1),1)),1)*IF($F414="Grøntsager",IF($A414="Grøntsager i drivhus",Landbrug!C$51,1-Landbrug!C$51),1)</f>
        <v>54668.664107585333</v>
      </c>
      <c r="I414" s="298">
        <f>IF($A414&lt;&gt;"",IF(VLOOKUP($A414,[1]!Table1[#All],2,FALSE)="Direkte input",IF($A414&lt;&gt;"Grøntsager i drivhus",SUMIFS('Direkte input'!H$3:H$230,'Direkte input'!$F$3:$F$230,$D414,'Direkte input'!$C$3:$C$230,$B414,'Direkte input'!$D$3:$D$230,$C414,'Direkte input'!$A$3:$A$230,$A$1),SUMIFS('Direkte input'!H$3:H$230,'Direkte input'!$F$3:$F$230,$D414,'Direkte input'!$C$3:$C$230,$B414,'Direkte input'!$A$3:$A$230,$A$1)),IF(VLOOKUP($A414,[1]!Table1[#All],2,FALSE)="Resultat",SUMIF($F$1:$F413,$D414,I$1:I413)+SUMIF($F415:$F$512,$D414,I415:I$512),0))*'[1]Processer - data'!I414,"")*IF($C414&lt;&gt;"",IF($F414="Halm",Landbrug!D$16*Landbrug!D$17,IF(LEFT($D414,5)="Areal", IF($G414="Ton",Landbrug!D$18,1),1)),1)*IF($F414="Grøntsager",IF($A414="Grøntsager i drivhus",Landbrug!D$51,1-Landbrug!D$51),1)</f>
        <v>69436.164512694028</v>
      </c>
      <c r="J414" s="299">
        <f>IF($A414&lt;&gt;"",IF(VLOOKUP($A414,[1]!Table1[#All],2,FALSE)="Direkte input",IF($A414&lt;&gt;"Grøntsager i drivhus",SUMIFS('Direkte input'!I$3:I$230,'Direkte input'!$F$3:$F$230,$D414,'Direkte input'!$C$3:$C$230,$B414,'Direkte input'!$D$3:$D$230,$C414,'Direkte input'!$A$3:$A$230,$A$1),SUMIFS('Direkte input'!I$3:I$230,'Direkte input'!$F$3:$F$230,$D414,'Direkte input'!$C$3:$C$230,$B414,'Direkte input'!$A$3:$A$230,$A$1)),IF(VLOOKUP($A414,[1]!Table1[#All],2,FALSE)="Resultat",SUMIF($F$1:$F413,$D414,J$1:J413)+SUMIF($F415:$F$512,$D414,J415:J$512),0))*'[1]Processer - data'!J414,"")*IF($C414&lt;&gt;"",IF($F414="Halm",Landbrug!E$16*Landbrug!E$17,IF(LEFT($D414,5)="Areal", IF($G414="Ton",Landbrug!E$18,1),1)),1)*IF($F414="Grøntsager",IF($A414="Grøntsager i drivhus",Landbrug!E$51,1-Landbrug!E$51),1)</f>
        <v>95668.595364460954</v>
      </c>
    </row>
    <row r="415" spans="1:10" x14ac:dyDescent="0.25">
      <c r="A415" t="str">
        <f>IF('[1]Processer - data'!A415&lt;&gt;"",'[1]Processer - data'!A415,"")</f>
        <v>Permanent græs</v>
      </c>
      <c r="B415" t="str">
        <f>IF('[1]Processer - data'!B415&lt;&gt;"",'[1]Processer - data'!B415,"")</f>
        <v>Økologisk</v>
      </c>
      <c r="C415" t="str">
        <f>IF('[1]Processer - data'!C415&lt;&gt;"",'[1]Processer - data'!C415,"")</f>
        <v>JB1-10</v>
      </c>
      <c r="D415" t="str">
        <f>IF('[1]Processer - data'!D415&lt;&gt;"",'[1]Processer - data'!D415,"")</f>
        <v>Areal-permanent græs</v>
      </c>
      <c r="E415" t="str">
        <f>IF('[1]Processer - data'!E415&lt;&gt;"",'[1]Processer - data'!E415,"")</f>
        <v>Hektar</v>
      </c>
      <c r="F415" t="str">
        <f>IF('[1]Processer - data'!F415&lt;&gt;"",'[1]Processer - data'!F415,"")</f>
        <v>Gødning</v>
      </c>
      <c r="G415" t="str">
        <f>IF('[1]Processer - data'!G415&lt;&gt;"",'[1]Processer - data'!G415,"")</f>
        <v>kg N</v>
      </c>
      <c r="H415" s="297">
        <f>IF($A415&lt;&gt;"",IF(VLOOKUP($A415,[1]!Table1[#All],2,FALSE)="Direkte input",IF($A415&lt;&gt;"Grøntsager i drivhus",SUMIFS('Direkte input'!G$3:G$230,'Direkte input'!$F$3:$F$230,$D415,'Direkte input'!$C$3:$C$230,$B415,'Direkte input'!$D$3:$D$230,$C415,'Direkte input'!$A$3:$A$230,$A$1),SUMIFS('Direkte input'!G$3:G$230,'Direkte input'!$F$3:$F$230,$D415,'Direkte input'!$C$3:$C$230,$B415,'Direkte input'!$A$3:$A$230,$A$1)),IF(VLOOKUP($A415,[1]!Table1[#All],2,FALSE)="Resultat",SUMIF($F$1:$F414,$D415,H$1:H414)+SUMIF($F416:$F$512,$D415,H416:H$512),0))*'[1]Processer - data'!H415,"")*IF($C415&lt;&gt;"",IF($F415="Halm",Landbrug!C$16*Landbrug!C$17,IF(LEFT($D415,5)="Areal", IF($G415="Ton",Landbrug!C$18,1),1)),1)*IF($F415="Grøntsager",IF($A415="Grøntsager i drivhus",Landbrug!C$51,1-Landbrug!C$51),1)</f>
        <v>-198218.50655397147</v>
      </c>
      <c r="I415" s="298">
        <f>IF($A415&lt;&gt;"",IF(VLOOKUP($A415,[1]!Table1[#All],2,FALSE)="Direkte input",IF($A415&lt;&gt;"Grøntsager i drivhus",SUMIFS('Direkte input'!H$3:H$230,'Direkte input'!$F$3:$F$230,$D415,'Direkte input'!$C$3:$C$230,$B415,'Direkte input'!$D$3:$D$230,$C415,'Direkte input'!$A$3:$A$230,$A$1),SUMIFS('Direkte input'!H$3:H$230,'Direkte input'!$F$3:$F$230,$D415,'Direkte input'!$C$3:$C$230,$B415,'Direkte input'!$A$3:$A$230,$A$1)),IF(VLOOKUP($A415,[1]!Table1[#All],2,FALSE)="Resultat",SUMIF($F$1:$F414,$D415,I$1:I414)+SUMIF($F416:$F$512,$D415,I416:I$512),0))*'[1]Processer - data'!I415,"")*IF($C415&lt;&gt;"",IF($F415="Halm",Landbrug!D$16*Landbrug!D$17,IF(LEFT($D415,5)="Areal", IF($G415="Ton",Landbrug!D$18,1),1)),1)*IF($F415="Grøntsager",IF($A415="Grøntsager i drivhus",Landbrug!D$51,1-Landbrug!D$51),1)</f>
        <v>-234853.30501463186</v>
      </c>
      <c r="J415" s="299">
        <f>IF($A415&lt;&gt;"",IF(VLOOKUP($A415,[1]!Table1[#All],2,FALSE)="Direkte input",IF($A415&lt;&gt;"Grøntsager i drivhus",SUMIFS('Direkte input'!I$3:I$230,'Direkte input'!$F$3:$F$230,$D415,'Direkte input'!$C$3:$C$230,$B415,'Direkte input'!$D$3:$D$230,$C415,'Direkte input'!$A$3:$A$230,$A$1),SUMIFS('Direkte input'!I$3:I$230,'Direkte input'!$F$3:$F$230,$D415,'Direkte input'!$C$3:$C$230,$B415,'Direkte input'!$A$3:$A$230,$A$1)),IF(VLOOKUP($A415,[1]!Table1[#All],2,FALSE)="Resultat",SUMIF($F$1:$F414,$D415,J$1:J414)+SUMIF($F416:$F$512,$D415,J416:J$512),0))*'[1]Processer - data'!J415,"")*IF($C415&lt;&gt;"",IF($F415="Halm",Landbrug!E$16*Landbrug!E$17,IF(LEFT($D415,5)="Areal", IF($G415="Ton",Landbrug!E$18,1),1)),1)*IF($F415="Grøntsager",IF($A415="Grøntsager i drivhus",Landbrug!E$51,1-Landbrug!E$51),1)</f>
        <v>-301631.91778686817</v>
      </c>
    </row>
    <row r="416" spans="1:10" x14ac:dyDescent="0.25">
      <c r="A416" t="str">
        <f>IF('[1]Processer - data'!A416&lt;&gt;"",'[1]Processer - data'!A416,"")</f>
        <v>Permanent græs</v>
      </c>
      <c r="B416" t="str">
        <f>IF('[1]Processer - data'!B416&lt;&gt;"",'[1]Processer - data'!B416,"")</f>
        <v>Økologisk</v>
      </c>
      <c r="C416" t="str">
        <f>IF('[1]Processer - data'!C416&lt;&gt;"",'[1]Processer - data'!C416,"")</f>
        <v>JB1-10</v>
      </c>
      <c r="D416" t="str">
        <f>IF('[1]Processer - data'!D416&lt;&gt;"",'[1]Processer - data'!D416,"")</f>
        <v>Areal-permanent græs</v>
      </c>
      <c r="E416" t="str">
        <f>IF('[1]Processer - data'!E416&lt;&gt;"",'[1]Processer - data'!E416,"")</f>
        <v>Hektar</v>
      </c>
      <c r="F416" t="str">
        <f>IF('[1]Processer - data'!F416&lt;&gt;"",'[1]Processer - data'!F416,"")</f>
        <v>CO2 - atmosfære</v>
      </c>
      <c r="G416" t="str">
        <f>IF('[1]Processer - data'!G416&lt;&gt;"",'[1]Processer - data'!G416,"")</f>
        <v>t CO2-ækvivalenter</v>
      </c>
      <c r="H416" s="297">
        <f>IF($A416&lt;&gt;"",IF(VLOOKUP($A416,[1]!Table1[#All],2,FALSE)="Direkte input",IF($A416&lt;&gt;"Grøntsager i drivhus",SUMIFS('Direkte input'!G$3:G$230,'Direkte input'!$F$3:$F$230,$D416,'Direkte input'!$C$3:$C$230,$B416,'Direkte input'!$D$3:$D$230,$C416,'Direkte input'!$A$3:$A$230,$A$1),SUMIFS('Direkte input'!G$3:G$230,'Direkte input'!$F$3:$F$230,$D416,'Direkte input'!$C$3:$C$230,$B416,'Direkte input'!$A$3:$A$230,$A$1)),IF(VLOOKUP($A416,[1]!Table1[#All],2,FALSE)="Resultat",SUMIF($F$1:$F415,$D416,H$1:H415)+SUMIF($F417:$F$512,$D416,H417:H$512),0))*'[1]Processer - data'!H416,"")*IF($C416&lt;&gt;"",IF($F416="Halm",Landbrug!C$16*Landbrug!C$17,IF(LEFT($D416,5)="Areal", IF($G416="Ton",Landbrug!C$18,1),1)),1)*IF($F416="Grøntsager",IF($A416="Grøntsager i drivhus",Landbrug!C$51,1-Landbrug!C$51),1)</f>
        <v>7792.7400372904312</v>
      </c>
      <c r="I416" s="298">
        <f>IF($A416&lt;&gt;"",IF(VLOOKUP($A416,[1]!Table1[#All],2,FALSE)="Direkte input",IF($A416&lt;&gt;"Grøntsager i drivhus",SUMIFS('Direkte input'!H$3:H$230,'Direkte input'!$F$3:$F$230,$D416,'Direkte input'!$C$3:$C$230,$B416,'Direkte input'!$D$3:$D$230,$C416,'Direkte input'!$A$3:$A$230,$A$1),SUMIFS('Direkte input'!H$3:H$230,'Direkte input'!$F$3:$F$230,$D416,'Direkte input'!$C$3:$C$230,$B416,'Direkte input'!$A$3:$A$230,$A$1)),IF(VLOOKUP($A416,[1]!Table1[#All],2,FALSE)="Resultat",SUMIF($F$1:$F415,$D416,I$1:I415)+SUMIF($F417:$F$512,$D416,I417:I$512),0))*'[1]Processer - data'!I416,"")*IF($C416&lt;&gt;"",IF($F416="Halm",Landbrug!D$16*Landbrug!D$17,IF(LEFT($D416,5)="Areal", IF($G416="Ton",Landbrug!D$18,1),1)),1)*IF($F416="Grøntsager",IF($A416="Grøntsager i drivhus",Landbrug!D$51,1-Landbrug!D$51),1)</f>
        <v>9232.9963770521335</v>
      </c>
      <c r="J416" s="299">
        <f>IF($A416&lt;&gt;"",IF(VLOOKUP($A416,[1]!Table1[#All],2,FALSE)="Direkte input",IF($A416&lt;&gt;"Grøntsager i drivhus",SUMIFS('Direkte input'!I$3:I$230,'Direkte input'!$F$3:$F$230,$D416,'Direkte input'!$C$3:$C$230,$B416,'Direkte input'!$D$3:$D$230,$C416,'Direkte input'!$A$3:$A$230,$A$1),SUMIFS('Direkte input'!I$3:I$230,'Direkte input'!$F$3:$F$230,$D416,'Direkte input'!$C$3:$C$230,$B416,'Direkte input'!$A$3:$A$230,$A$1)),IF(VLOOKUP($A416,[1]!Table1[#All],2,FALSE)="Resultat",SUMIF($F$1:$F415,$D416,J$1:J415)+SUMIF($F417:$F$512,$D416,J417:J$512),0))*'[1]Processer - data'!J416,"")*IF($C416&lt;&gt;"",IF($F416="Halm",Landbrug!E$16*Landbrug!E$17,IF(LEFT($D416,5)="Areal", IF($G416="Ton",Landbrug!E$18,1),1)),1)*IF($F416="Grøntsager",IF($A416="Grøntsager i drivhus",Landbrug!E$51,1-Landbrug!E$51),1)</f>
        <v>11858.323236949684</v>
      </c>
    </row>
    <row r="417" spans="1:10" x14ac:dyDescent="0.25">
      <c r="A417" t="str">
        <f>IF('[1]Processer - data'!A417&lt;&gt;"",'[1]Processer - data'!A417,"")</f>
        <v>Permanent græs</v>
      </c>
      <c r="B417" t="str">
        <f>IF('[1]Processer - data'!B417&lt;&gt;"",'[1]Processer - data'!B417,"")</f>
        <v>Økologisk</v>
      </c>
      <c r="C417" t="str">
        <f>IF('[1]Processer - data'!C417&lt;&gt;"",'[1]Processer - data'!C417,"")</f>
        <v>OC6</v>
      </c>
      <c r="D417" t="str">
        <f>IF('[1]Processer - data'!D417&lt;&gt;"",'[1]Processer - data'!D417,"")</f>
        <v>Areal-permanent græs</v>
      </c>
      <c r="E417" t="str">
        <f>IF('[1]Processer - data'!E417&lt;&gt;"",'[1]Processer - data'!E417,"")</f>
        <v>Hektar</v>
      </c>
      <c r="F417" t="str">
        <f>IF('[1]Processer - data'!F417&lt;&gt;"",'[1]Processer - data'!F417,"")</f>
        <v>Græs</v>
      </c>
      <c r="G417" t="str">
        <f>IF('[1]Processer - data'!G417&lt;&gt;"",'[1]Processer - data'!G417,"")</f>
        <v>Ton</v>
      </c>
      <c r="H417" s="297">
        <f>IF($A417&lt;&gt;"",IF(VLOOKUP($A417,[1]!Table1[#All],2,FALSE)="Direkte input",IF($A417&lt;&gt;"Grøntsager i drivhus",SUMIFS('Direkte input'!G$3:G$230,'Direkte input'!$F$3:$F$230,$D417,'Direkte input'!$C$3:$C$230,$B417,'Direkte input'!$D$3:$D$230,$C417,'Direkte input'!$A$3:$A$230,$A$1),SUMIFS('Direkte input'!G$3:G$230,'Direkte input'!$F$3:$F$230,$D417,'Direkte input'!$C$3:$C$230,$B417,'Direkte input'!$A$3:$A$230,$A$1)),IF(VLOOKUP($A417,[1]!Table1[#All],2,FALSE)="Resultat",SUMIF($F$1:$F416,$D417,H$1:H416)+SUMIF($F418:$F$512,$D417,H418:H$512),0))*'[1]Processer - data'!H417,"")*IF($C417&lt;&gt;"",IF($F417="Halm",Landbrug!C$16*Landbrug!C$17,IF(LEFT($D417,5)="Areal", IF($G417="Ton",Landbrug!C$18,1),1)),1)*IF($F417="Grøntsager",IF($A417="Grøntsager i drivhus",Landbrug!C$51,1-Landbrug!C$51),1)</f>
        <v>6147.4310580376841</v>
      </c>
      <c r="I417" s="298">
        <f>IF($A417&lt;&gt;"",IF(VLOOKUP($A417,[1]!Table1[#All],2,FALSE)="Direkte input",IF($A417&lt;&gt;"Grøntsager i drivhus",SUMIFS('Direkte input'!H$3:H$230,'Direkte input'!$F$3:$F$230,$D417,'Direkte input'!$C$3:$C$230,$B417,'Direkte input'!$D$3:$D$230,$C417,'Direkte input'!$A$3:$A$230,$A$1),SUMIFS('Direkte input'!H$3:H$230,'Direkte input'!$F$3:$F$230,$D417,'Direkte input'!$C$3:$C$230,$B417,'Direkte input'!$A$3:$A$230,$A$1)),IF(VLOOKUP($A417,[1]!Table1[#All],2,FALSE)="Resultat",SUMIF($F$1:$F416,$D417,I$1:I416)+SUMIF($F418:$F$512,$D417,I418:I$512),0))*'[1]Processer - data'!I417,"")*IF($C417&lt;&gt;"",IF($F417="Halm",Landbrug!D$16*Landbrug!D$17,IF(LEFT($D417,5)="Areal", IF($G417="Ton",Landbrug!D$18,1),1)),1)*IF($F417="Grøntsager",IF($A417="Grøntsager i drivhus",Landbrug!D$51,1-Landbrug!D$51),1)</f>
        <v>7219.6070403608792</v>
      </c>
      <c r="J417" s="299">
        <f>IF($A417&lt;&gt;"",IF(VLOOKUP($A417,[1]!Table1[#All],2,FALSE)="Direkte input",IF($A417&lt;&gt;"Grøntsager i drivhus",SUMIFS('Direkte input'!I$3:I$230,'Direkte input'!$F$3:$F$230,$D417,'Direkte input'!$C$3:$C$230,$B417,'Direkte input'!$D$3:$D$230,$C417,'Direkte input'!$A$3:$A$230,$A$1),SUMIFS('Direkte input'!I$3:I$230,'Direkte input'!$F$3:$F$230,$D417,'Direkte input'!$C$3:$C$230,$B417,'Direkte input'!$A$3:$A$230,$A$1)),IF(VLOOKUP($A417,[1]!Table1[#All],2,FALSE)="Resultat",SUMIF($F$1:$F416,$D417,J$1:J416)+SUMIF($F418:$F$512,$D417,J418:J$512),0))*'[1]Processer - data'!J417,"")*IF($C417&lt;&gt;"",IF($F417="Halm",Landbrug!E$16*Landbrug!E$17,IF(LEFT($D417,5)="Areal", IF($G417="Ton",Landbrug!E$18,1),1)),1)*IF($F417="Grøntsager",IF($A417="Grøntsager i drivhus",Landbrug!E$51,1-Landbrug!E$51),1)</f>
        <v>10039.703682093879</v>
      </c>
    </row>
    <row r="418" spans="1:10" x14ac:dyDescent="0.25">
      <c r="A418" t="str">
        <f>IF('[1]Processer - data'!A418&lt;&gt;"",'[1]Processer - data'!A418,"")</f>
        <v>Permanent græs</v>
      </c>
      <c r="B418" t="str">
        <f>IF('[1]Processer - data'!B418&lt;&gt;"",'[1]Processer - data'!B418,"")</f>
        <v>Økologisk</v>
      </c>
      <c r="C418" t="str">
        <f>IF('[1]Processer - data'!C418&lt;&gt;"",'[1]Processer - data'!C418,"")</f>
        <v>OC6</v>
      </c>
      <c r="D418" t="str">
        <f>IF('[1]Processer - data'!D418&lt;&gt;"",'[1]Processer - data'!D418,"")</f>
        <v>Areal-permanent græs</v>
      </c>
      <c r="E418" t="str">
        <f>IF('[1]Processer - data'!E418&lt;&gt;"",'[1]Processer - data'!E418,"")</f>
        <v>Hektar</v>
      </c>
      <c r="F418" t="str">
        <f>IF('[1]Processer - data'!F418&lt;&gt;"",'[1]Processer - data'!F418,"")</f>
        <v>Gødning</v>
      </c>
      <c r="G418" t="str">
        <f>IF('[1]Processer - data'!G418&lt;&gt;"",'[1]Processer - data'!G418,"")</f>
        <v>kg N</v>
      </c>
      <c r="H418" s="297">
        <f>IF($A418&lt;&gt;"",IF(VLOOKUP($A418,[1]!Table1[#All],2,FALSE)="Direkte input",IF($A418&lt;&gt;"Grøntsager i drivhus",SUMIFS('Direkte input'!G$3:G$230,'Direkte input'!$F$3:$F$230,$D418,'Direkte input'!$C$3:$C$230,$B418,'Direkte input'!$D$3:$D$230,$C418,'Direkte input'!$A$3:$A$230,$A$1),SUMIFS('Direkte input'!G$3:G$230,'Direkte input'!$F$3:$F$230,$D418,'Direkte input'!$C$3:$C$230,$B418,'Direkte input'!$A$3:$A$230,$A$1)),IF(VLOOKUP($A418,[1]!Table1[#All],2,FALSE)="Resultat",SUMIF($F$1:$F417,$D418,H$1:H417)+SUMIF($F419:$F$512,$D418,H419:H$512),0))*'[1]Processer - data'!H418,"")*IF($C418&lt;&gt;"",IF($F418="Halm",Landbrug!C$16*Landbrug!C$17,IF(LEFT($D418,5)="Areal", IF($G418="Ton",Landbrug!C$18,1),1)),1)*IF($F418="Grøntsager",IF($A418="Grøntsager i drivhus",Landbrug!C$51,1-Landbrug!C$51),1)</f>
        <v>-18574.543926872382</v>
      </c>
      <c r="I418" s="298">
        <f>IF($A418&lt;&gt;"",IF(VLOOKUP($A418,[1]!Table1[#All],2,FALSE)="Direkte input",IF($A418&lt;&gt;"Grøntsager i drivhus",SUMIFS('Direkte input'!H$3:H$230,'Direkte input'!$F$3:$F$230,$D418,'Direkte input'!$C$3:$C$230,$B418,'Direkte input'!$D$3:$D$230,$C418,'Direkte input'!$A$3:$A$230,$A$1),SUMIFS('Direkte input'!H$3:H$230,'Direkte input'!$F$3:$F$230,$D418,'Direkte input'!$C$3:$C$230,$B418,'Direkte input'!$A$3:$A$230,$A$1)),IF(VLOOKUP($A418,[1]!Table1[#All],2,FALSE)="Resultat",SUMIF($F$1:$F417,$D418,I$1:I417)+SUMIF($F419:$F$512,$D418,I419:I$512),0))*'[1]Processer - data'!I418,"")*IF($C418&lt;&gt;"",IF($F418="Halm",Landbrug!D$16*Landbrug!D$17,IF(LEFT($D418,5)="Areal", IF($G418="Ton",Landbrug!D$18,1),1)),1)*IF($F418="Grøntsager",IF($A418="Grøntsager i drivhus",Landbrug!D$51,1-Landbrug!D$51),1)</f>
        <v>-20349.009125085002</v>
      </c>
      <c r="J418" s="299">
        <f>IF($A418&lt;&gt;"",IF(VLOOKUP($A418,[1]!Table1[#All],2,FALSE)="Direkte input",IF($A418&lt;&gt;"Grøntsager i drivhus",SUMIFS('Direkte input'!I$3:I$230,'Direkte input'!$F$3:$F$230,$D418,'Direkte input'!$C$3:$C$230,$B418,'Direkte input'!$D$3:$D$230,$C418,'Direkte input'!$A$3:$A$230,$A$1),SUMIFS('Direkte input'!I$3:I$230,'Direkte input'!$F$3:$F$230,$D418,'Direkte input'!$C$3:$C$230,$B418,'Direkte input'!$A$3:$A$230,$A$1)),IF(VLOOKUP($A418,[1]!Table1[#All],2,FALSE)="Resultat",SUMIF($F$1:$F417,$D418,J$1:J417)+SUMIF($F419:$F$512,$D418,J419:J$512),0))*'[1]Processer - data'!J418,"")*IF($C418&lt;&gt;"",IF($F418="Halm",Landbrug!E$16*Landbrug!E$17,IF(LEFT($D418,5)="Areal", IF($G418="Ton",Landbrug!E$18,1),1)),1)*IF($F418="Grøntsager",IF($A418="Grøntsager i drivhus",Landbrug!E$51,1-Landbrug!E$51),1)</f>
        <v>-26378.34516214722</v>
      </c>
    </row>
    <row r="419" spans="1:10" x14ac:dyDescent="0.25">
      <c r="A419" t="str">
        <f>IF('[1]Processer - data'!A419&lt;&gt;"",'[1]Processer - data'!A419,"")</f>
        <v>Permanent græs</v>
      </c>
      <c r="B419" t="str">
        <f>IF('[1]Processer - data'!B419&lt;&gt;"",'[1]Processer - data'!B419,"")</f>
        <v>Økologisk</v>
      </c>
      <c r="C419" t="str">
        <f>IF('[1]Processer - data'!C419&lt;&gt;"",'[1]Processer - data'!C419,"")</f>
        <v>OC6</v>
      </c>
      <c r="D419" t="str">
        <f>IF('[1]Processer - data'!D419&lt;&gt;"",'[1]Processer - data'!D419,"")</f>
        <v>Areal-permanent græs</v>
      </c>
      <c r="E419" t="str">
        <f>IF('[1]Processer - data'!E419&lt;&gt;"",'[1]Processer - data'!E419,"")</f>
        <v>Hektar</v>
      </c>
      <c r="F419" t="str">
        <f>IF('[1]Processer - data'!F419&lt;&gt;"",'[1]Processer - data'!F419,"")</f>
        <v>CO2 - atmosfære</v>
      </c>
      <c r="G419" t="str">
        <f>IF('[1]Processer - data'!G419&lt;&gt;"",'[1]Processer - data'!G419,"")</f>
        <v>t CO2-ækvivalenter</v>
      </c>
      <c r="H419" s="297">
        <f>IF($A419&lt;&gt;"",IF(VLOOKUP($A419,[1]!Table1[#All],2,FALSE)="Direkte input",IF($A419&lt;&gt;"Grøntsager i drivhus",SUMIFS('Direkte input'!G$3:G$230,'Direkte input'!$F$3:$F$230,$D419,'Direkte input'!$C$3:$C$230,$B419,'Direkte input'!$D$3:$D$230,$C419,'Direkte input'!$A$3:$A$230,$A$1),SUMIFS('Direkte input'!G$3:G$230,'Direkte input'!$F$3:$F$230,$D419,'Direkte input'!$C$3:$C$230,$B419,'Direkte input'!$A$3:$A$230,$A$1)),IF(VLOOKUP($A419,[1]!Table1[#All],2,FALSE)="Resultat",SUMIF($F$1:$F418,$D419,H$1:H418)+SUMIF($F420:$F$512,$D419,H420:H$512),0))*'[1]Processer - data'!H419,"")*IF($C419&lt;&gt;"",IF($F419="Halm",Landbrug!C$16*Landbrug!C$17,IF(LEFT($D419,5)="Areal", IF($G419="Ton",Landbrug!C$18,1),1)),1)*IF($F419="Grøntsager",IF($A419="Grøntsager i drivhus",Landbrug!C$51,1-Landbrug!C$51),1)</f>
        <v>3960.7222072749314</v>
      </c>
      <c r="I419" s="298">
        <f>IF($A419&lt;&gt;"",IF(VLOOKUP($A419,[1]!Table1[#All],2,FALSE)="Direkte input",IF($A419&lt;&gt;"Grøntsager i drivhus",SUMIFS('Direkte input'!H$3:H$230,'Direkte input'!$F$3:$F$230,$D419,'Direkte input'!$C$3:$C$230,$B419,'Direkte input'!$D$3:$D$230,$C419,'Direkte input'!$A$3:$A$230,$A$1),SUMIFS('Direkte input'!H$3:H$230,'Direkte input'!$F$3:$F$230,$D419,'Direkte input'!$C$3:$C$230,$B419,'Direkte input'!$A$3:$A$230,$A$1)),IF(VLOOKUP($A419,[1]!Table1[#All],2,FALSE)="Resultat",SUMIF($F$1:$F418,$D419,I$1:I418)+SUMIF($F420:$F$512,$D419,I420:I$512),0))*'[1]Processer - data'!I419,"")*IF($C419&lt;&gt;"",IF($F419="Halm",Landbrug!D$16*Landbrug!D$17,IF(LEFT($D419,5)="Areal", IF($G419="Ton",Landbrug!D$18,1),1)),1)*IF($F419="Grøntsager",IF($A419="Grøntsager i drivhus",Landbrug!D$51,1-Landbrug!D$51),1)</f>
        <v>4339.0983194565806</v>
      </c>
      <c r="J419" s="299">
        <f>IF($A419&lt;&gt;"",IF(VLOOKUP($A419,[1]!Table1[#All],2,FALSE)="Direkte input",IF($A419&lt;&gt;"Grøntsager i drivhus",SUMIFS('Direkte input'!I$3:I$230,'Direkte input'!$F$3:$F$230,$D419,'Direkte input'!$C$3:$C$230,$B419,'Direkte input'!$D$3:$D$230,$C419,'Direkte input'!$A$3:$A$230,$A$1),SUMIFS('Direkte input'!I$3:I$230,'Direkte input'!$F$3:$F$230,$D419,'Direkte input'!$C$3:$C$230,$B419,'Direkte input'!$A$3:$A$230,$A$1)),IF(VLOOKUP($A419,[1]!Table1[#All],2,FALSE)="Resultat",SUMIF($F$1:$F418,$D419,J$1:J418)+SUMIF($F420:$F$512,$D419,J420:J$512),0))*'[1]Processer - data'!J419,"")*IF($C419&lt;&gt;"",IF($F419="Halm",Landbrug!E$16*Landbrug!E$17,IF(LEFT($D419,5)="Areal", IF($G419="Ton",Landbrug!E$18,1),1)),1)*IF($F419="Grøntsager",IF($A419="Grøntsager i drivhus",Landbrug!E$51,1-Landbrug!E$51),1)</f>
        <v>5624.7570807770471</v>
      </c>
    </row>
    <row r="420" spans="1:10" x14ac:dyDescent="0.25">
      <c r="A420" t="str">
        <f>IF('[1]Processer - data'!A420&lt;&gt;"",'[1]Processer - data'!A420,"")</f>
        <v>Permanent græs</v>
      </c>
      <c r="B420" t="str">
        <f>IF('[1]Processer - data'!B420&lt;&gt;"",'[1]Processer - data'!B420,"")</f>
        <v>Økologisk</v>
      </c>
      <c r="C420" t="str">
        <f>IF('[1]Processer - data'!C420&lt;&gt;"",'[1]Processer - data'!C420,"")</f>
        <v>OC12</v>
      </c>
      <c r="D420" t="str">
        <f>IF('[1]Processer - data'!D420&lt;&gt;"",'[1]Processer - data'!D420,"")</f>
        <v>Areal-permanent græs</v>
      </c>
      <c r="E420" t="str">
        <f>IF('[1]Processer - data'!E420&lt;&gt;"",'[1]Processer - data'!E420,"")</f>
        <v>Hektar</v>
      </c>
      <c r="F420" t="str">
        <f>IF('[1]Processer - data'!F420&lt;&gt;"",'[1]Processer - data'!F420,"")</f>
        <v>Græs</v>
      </c>
      <c r="G420" t="str">
        <f>IF('[1]Processer - data'!G420&lt;&gt;"",'[1]Processer - data'!G420,"")</f>
        <v>Ton</v>
      </c>
      <c r="H420" s="297">
        <f>IF($A420&lt;&gt;"",IF(VLOOKUP($A420,[1]!Table1[#All],2,FALSE)="Direkte input",IF($A420&lt;&gt;"Grøntsager i drivhus",SUMIFS('Direkte input'!G$3:G$230,'Direkte input'!$F$3:$F$230,$D420,'Direkte input'!$C$3:$C$230,$B420,'Direkte input'!$D$3:$D$230,$C420,'Direkte input'!$A$3:$A$230,$A$1),SUMIFS('Direkte input'!G$3:G$230,'Direkte input'!$F$3:$F$230,$D420,'Direkte input'!$C$3:$C$230,$B420,'Direkte input'!$A$3:$A$230,$A$1)),IF(VLOOKUP($A420,[1]!Table1[#All],2,FALSE)="Resultat",SUMIF($F$1:$F419,$D420,H$1:H419)+SUMIF($F421:$F$512,$D420,H421:H$512),0))*'[1]Processer - data'!H420,"")*IF($C420&lt;&gt;"",IF($F420="Halm",Landbrug!C$16*Landbrug!C$17,IF(LEFT($D420,5)="Areal", IF($G420="Ton",Landbrug!C$18,1),1)),1)*IF($F420="Grøntsager",IF($A420="Grøntsager i drivhus",Landbrug!C$51,1-Landbrug!C$51),1)</f>
        <v>8143.4173912970482</v>
      </c>
      <c r="I420" s="298">
        <f>IF($A420&lt;&gt;"",IF(VLOOKUP($A420,[1]!Table1[#All],2,FALSE)="Direkte input",IF($A420&lt;&gt;"Grøntsager i drivhus",SUMIFS('Direkte input'!H$3:H$230,'Direkte input'!$F$3:$F$230,$D420,'Direkte input'!$C$3:$C$230,$B420,'Direkte input'!$D$3:$D$230,$C420,'Direkte input'!$A$3:$A$230,$A$1),SUMIFS('Direkte input'!H$3:H$230,'Direkte input'!$F$3:$F$230,$D420,'Direkte input'!$C$3:$C$230,$B420,'Direkte input'!$A$3:$A$230,$A$1)),IF(VLOOKUP($A420,[1]!Table1[#All],2,FALSE)="Resultat",SUMIF($F$1:$F419,$D420,I$1:I419)+SUMIF($F421:$F$512,$D420,I421:I$512),0))*'[1]Processer - data'!I420,"")*IF($C420&lt;&gt;"",IF($F420="Halm",Landbrug!D$16*Landbrug!D$17,IF(LEFT($D420,5)="Areal", IF($G420="Ton",Landbrug!D$18,1),1)),1)*IF($F420="Grøntsager",IF($A420="Grøntsager i drivhus",Landbrug!D$51,1-Landbrug!D$51),1)</f>
        <v>8839.6842368278394</v>
      </c>
      <c r="J420" s="299">
        <f>IF($A420&lt;&gt;"",IF(VLOOKUP($A420,[1]!Table1[#All],2,FALSE)="Direkte input",IF($A420&lt;&gt;"Grøntsager i drivhus",SUMIFS('Direkte input'!I$3:I$230,'Direkte input'!$F$3:$F$230,$D420,'Direkte input'!$C$3:$C$230,$B420,'Direkte input'!$D$3:$D$230,$C420,'Direkte input'!$A$3:$A$230,$A$1),SUMIFS('Direkte input'!I$3:I$230,'Direkte input'!$F$3:$F$230,$D420,'Direkte input'!$C$3:$C$230,$B420,'Direkte input'!$A$3:$A$230,$A$1)),IF(VLOOKUP($A420,[1]!Table1[#All],2,FALSE)="Resultat",SUMIF($F$1:$F419,$D420,J$1:J419)+SUMIF($F421:$F$512,$D420,J421:J$512),0))*'[1]Processer - data'!J420,"")*IF($C420&lt;&gt;"",IF($F420="Halm",Landbrug!E$16*Landbrug!E$17,IF(LEFT($D420,5)="Areal", IF($G420="Ton",Landbrug!E$18,1),1)),1)*IF($F420="Grøntsager",IF($A420="Grøntsager i drivhus",Landbrug!E$51,1-Landbrug!E$51),1)</f>
        <v>12292.609540226662</v>
      </c>
    </row>
    <row r="421" spans="1:10" x14ac:dyDescent="0.25">
      <c r="A421" t="str">
        <f>IF('[1]Processer - data'!A421&lt;&gt;"",'[1]Processer - data'!A421,"")</f>
        <v>Permanent græs</v>
      </c>
      <c r="B421" t="str">
        <f>IF('[1]Processer - data'!B421&lt;&gt;"",'[1]Processer - data'!B421,"")</f>
        <v>Økologisk</v>
      </c>
      <c r="C421" t="str">
        <f>IF('[1]Processer - data'!C421&lt;&gt;"",'[1]Processer - data'!C421,"")</f>
        <v>OC12</v>
      </c>
      <c r="D421" t="str">
        <f>IF('[1]Processer - data'!D421&lt;&gt;"",'[1]Processer - data'!D421,"")</f>
        <v>Areal-permanent græs</v>
      </c>
      <c r="E421" t="str">
        <f>IF('[1]Processer - data'!E421&lt;&gt;"",'[1]Processer - data'!E421,"")</f>
        <v>Hektar</v>
      </c>
      <c r="F421" t="str">
        <f>IF('[1]Processer - data'!F421&lt;&gt;"",'[1]Processer - data'!F421,"")</f>
        <v>Gødning</v>
      </c>
      <c r="G421" t="str">
        <f>IF('[1]Processer - data'!G421&lt;&gt;"",'[1]Processer - data'!G421,"")</f>
        <v>kg N</v>
      </c>
      <c r="H421" s="297">
        <f>IF($A421&lt;&gt;"",IF(VLOOKUP($A421,[1]!Table1[#All],2,FALSE)="Direkte input",IF($A421&lt;&gt;"Grøntsager i drivhus",SUMIFS('Direkte input'!G$3:G$230,'Direkte input'!$F$3:$F$230,$D421,'Direkte input'!$C$3:$C$230,$B421,'Direkte input'!$D$3:$D$230,$C421,'Direkte input'!$A$3:$A$230,$A$1),SUMIFS('Direkte input'!G$3:G$230,'Direkte input'!$F$3:$F$230,$D421,'Direkte input'!$C$3:$C$230,$B421,'Direkte input'!$A$3:$A$230,$A$1)),IF(VLOOKUP($A421,[1]!Table1[#All],2,FALSE)="Resultat",SUMIF($F$1:$F420,$D421,H$1:H420)+SUMIF($F422:$F$512,$D421,H422:H$512),0))*'[1]Processer - data'!H421,"")*IF($C421&lt;&gt;"",IF($F421="Halm",Landbrug!C$16*Landbrug!C$17,IF(LEFT($D421,5)="Areal", IF($G421="Ton",Landbrug!C$18,1),1)),1)*IF($F421="Grøntsager",IF($A421="Grøntsager i drivhus",Landbrug!C$51,1-Landbrug!C$51),1)</f>
        <v>-21090.379652173026</v>
      </c>
      <c r="I421" s="298">
        <f>IF($A421&lt;&gt;"",IF(VLOOKUP($A421,[1]!Table1[#All],2,FALSE)="Direkte input",IF($A421&lt;&gt;"Grøntsager i drivhus",SUMIFS('Direkte input'!H$3:H$230,'Direkte input'!$F$3:$F$230,$D421,'Direkte input'!$C$3:$C$230,$B421,'Direkte input'!$D$3:$D$230,$C421,'Direkte input'!$A$3:$A$230,$A$1),SUMIFS('Direkte input'!H$3:H$230,'Direkte input'!$F$3:$F$230,$D421,'Direkte input'!$C$3:$C$230,$B421,'Direkte input'!$A$3:$A$230,$A$1)),IF(VLOOKUP($A421,[1]!Table1[#All],2,FALSE)="Resultat",SUMIF($F$1:$F420,$D421,I$1:I420)+SUMIF($F422:$F$512,$D421,I422:I$512),0))*'[1]Processer - data'!I421,"")*IF($C421&lt;&gt;"",IF($F421="Halm",Landbrug!D$16*Landbrug!D$17,IF(LEFT($D421,5)="Areal", IF($G421="Ton",Landbrug!D$18,1),1)),1)*IF($F421="Grøntsager",IF($A421="Grøntsager i drivhus",Landbrug!D$51,1-Landbrug!D$51),1)</f>
        <v>-21355.988038740561</v>
      </c>
      <c r="J421" s="299">
        <f>IF($A421&lt;&gt;"",IF(VLOOKUP($A421,[1]!Table1[#All],2,FALSE)="Direkte input",IF($A421&lt;&gt;"Grøntsager i drivhus",SUMIFS('Direkte input'!I$3:I$230,'Direkte input'!$F$3:$F$230,$D421,'Direkte input'!$C$3:$C$230,$B421,'Direkte input'!$D$3:$D$230,$C421,'Direkte input'!$A$3:$A$230,$A$1),SUMIFS('Direkte input'!I$3:I$230,'Direkte input'!$F$3:$F$230,$D421,'Direkte input'!$C$3:$C$230,$B421,'Direkte input'!$A$3:$A$230,$A$1)),IF(VLOOKUP($A421,[1]!Table1[#All],2,FALSE)="Resultat",SUMIF($F$1:$F420,$D421,J$1:J420)+SUMIF($F422:$F$512,$D421,J422:J$512),0))*'[1]Processer - data'!J421,"")*IF($C421&lt;&gt;"",IF($F421="Halm",Landbrug!E$16*Landbrug!E$17,IF(LEFT($D421,5)="Areal", IF($G421="Ton",Landbrug!E$18,1),1)),1)*IF($F421="Grøntsager",IF($A421="Grøntsager i drivhus",Landbrug!E$51,1-Landbrug!E$51),1)</f>
        <v>-27683.688198367396</v>
      </c>
    </row>
    <row r="422" spans="1:10" x14ac:dyDescent="0.25">
      <c r="A422" t="str">
        <f>IF('[1]Processer - data'!A422&lt;&gt;"",'[1]Processer - data'!A422,"")</f>
        <v>Permanent græs</v>
      </c>
      <c r="B422" t="str">
        <f>IF('[1]Processer - data'!B422&lt;&gt;"",'[1]Processer - data'!B422,"")</f>
        <v>Økologisk</v>
      </c>
      <c r="C422" t="str">
        <f>IF('[1]Processer - data'!C422&lt;&gt;"",'[1]Processer - data'!C422,"")</f>
        <v>OC12</v>
      </c>
      <c r="D422" t="str">
        <f>IF('[1]Processer - data'!D422&lt;&gt;"",'[1]Processer - data'!D422,"")</f>
        <v>Areal-permanent græs</v>
      </c>
      <c r="E422" t="str">
        <f>IF('[1]Processer - data'!E422&lt;&gt;"",'[1]Processer - data'!E422,"")</f>
        <v>Hektar</v>
      </c>
      <c r="F422" t="str">
        <f>IF('[1]Processer - data'!F422&lt;&gt;"",'[1]Processer - data'!F422,"")</f>
        <v>CO2 - atmosfære</v>
      </c>
      <c r="G422" t="str">
        <f>IF('[1]Processer - data'!G422&lt;&gt;"",'[1]Processer - data'!G422,"")</f>
        <v>t CO2-ækvivalenter</v>
      </c>
      <c r="H422" s="297">
        <f>IF($A422&lt;&gt;"",IF(VLOOKUP($A422,[1]!Table1[#All],2,FALSE)="Direkte input",IF($A422&lt;&gt;"Grøntsager i drivhus",SUMIFS('Direkte input'!G$3:G$230,'Direkte input'!$F$3:$F$230,$D422,'Direkte input'!$C$3:$C$230,$B422,'Direkte input'!$D$3:$D$230,$C422,'Direkte input'!$A$3:$A$230,$A$1),SUMIFS('Direkte input'!G$3:G$230,'Direkte input'!$F$3:$F$230,$D422,'Direkte input'!$C$3:$C$230,$B422,'Direkte input'!$A$3:$A$230,$A$1)),IF(VLOOKUP($A422,[1]!Table1[#All],2,FALSE)="Resultat",SUMIF($F$1:$F421,$D422,H$1:H421)+SUMIF($F423:$F$512,$D422,H423:H$512),0))*'[1]Processer - data'!H422,"")*IF($C422&lt;&gt;"",IF($F422="Halm",Landbrug!C$16*Landbrug!C$17,IF(LEFT($D422,5)="Areal", IF($G422="Ton",Landbrug!C$18,1),1)),1)*IF($F422="Grøntsager",IF($A422="Grøntsager i drivhus",Landbrug!C$51,1-Landbrug!C$51),1)</f>
        <v>12022.2310988094</v>
      </c>
      <c r="I422" s="298">
        <f>IF($A422&lt;&gt;"",IF(VLOOKUP($A422,[1]!Table1[#All],2,FALSE)="Direkte input",IF($A422&lt;&gt;"Grøntsager i drivhus",SUMIFS('Direkte input'!H$3:H$230,'Direkte input'!$F$3:$F$230,$D422,'Direkte input'!$C$3:$C$230,$B422,'Direkte input'!$D$3:$D$230,$C422,'Direkte input'!$A$3:$A$230,$A$1),SUMIFS('Direkte input'!H$3:H$230,'Direkte input'!$F$3:$F$230,$D422,'Direkte input'!$C$3:$C$230,$B422,'Direkte input'!$A$3:$A$230,$A$1)),IF(VLOOKUP($A422,[1]!Table1[#All],2,FALSE)="Resultat",SUMIF($F$1:$F421,$D422,I$1:I421)+SUMIF($F423:$F$512,$D422,I423:I$512),0))*'[1]Processer - data'!I422,"")*IF($C422&lt;&gt;"",IF($F422="Halm",Landbrug!D$16*Landbrug!D$17,IF(LEFT($D422,5)="Areal", IF($G422="Ton",Landbrug!D$18,1),1)),1)*IF($F422="Grøntsager",IF($A422="Grøntsager i drivhus",Landbrug!D$51,1-Landbrug!D$51),1)</f>
        <v>12173.636879917178</v>
      </c>
      <c r="J422" s="299">
        <f>IF($A422&lt;&gt;"",IF(VLOOKUP($A422,[1]!Table1[#All],2,FALSE)="Direkte input",IF($A422&lt;&gt;"Grøntsager i drivhus",SUMIFS('Direkte input'!I$3:I$230,'Direkte input'!$F$3:$F$230,$D422,'Direkte input'!$C$3:$C$230,$B422,'Direkte input'!$D$3:$D$230,$C422,'Direkte input'!$A$3:$A$230,$A$1),SUMIFS('Direkte input'!I$3:I$230,'Direkte input'!$F$3:$F$230,$D422,'Direkte input'!$C$3:$C$230,$B422,'Direkte input'!$A$3:$A$230,$A$1)),IF(VLOOKUP($A422,[1]!Table1[#All],2,FALSE)="Resultat",SUMIF($F$1:$F421,$D422,J$1:J421)+SUMIF($F423:$F$512,$D422,J423:J$512),0))*'[1]Processer - data'!J422,"")*IF($C422&lt;&gt;"",IF($F422="Halm",Landbrug!E$16*Landbrug!E$17,IF(LEFT($D422,5)="Areal", IF($G422="Ton",Landbrug!E$18,1),1)),1)*IF($F422="Grøntsager",IF($A422="Grøntsager i drivhus",Landbrug!E$51,1-Landbrug!E$51),1)</f>
        <v>15780.640399892638</v>
      </c>
    </row>
    <row r="423" spans="1:10" x14ac:dyDescent="0.25">
      <c r="A423" t="str">
        <f>IF('[1]Processer - data'!A423&lt;&gt;"",'[1]Processer - data'!A423,"")</f>
        <v>Tømmerproduktion</v>
      </c>
      <c r="B423" t="str">
        <f>IF('[1]Processer - data'!B423&lt;&gt;"",'[1]Processer - data'!B423,"")</f>
        <v/>
      </c>
      <c r="C423" t="str">
        <f>IF('[1]Processer - data'!C423&lt;&gt;"",'[1]Processer - data'!C423,"")</f>
        <v/>
      </c>
      <c r="D423" t="str">
        <f>IF('[1]Processer - data'!D423&lt;&gt;"",'[1]Processer - data'!D423,"")</f>
        <v>Træer</v>
      </c>
      <c r="E423" t="str">
        <f>IF('[1]Processer - data'!E423&lt;&gt;"",'[1]Processer - data'!E423,"")</f>
        <v>m3</v>
      </c>
      <c r="F423" t="str">
        <f>IF('[1]Processer - data'!F423&lt;&gt;"",'[1]Processer - data'!F423,"")</f>
        <v>Træmaterialer</v>
      </c>
      <c r="G423" t="str">
        <f>IF('[1]Processer - data'!G423&lt;&gt;"",'[1]Processer - data'!G423,"")</f>
        <v>m3</v>
      </c>
      <c r="H423" s="297">
        <f ca="1">IF($A423&lt;&gt;"",IF(VLOOKUP($A423,[1]!Table1[#All],2,FALSE)="Direkte input",IF($A423&lt;&gt;"Grøntsager i drivhus",SUMIFS('Direkte input'!G$3:G$230,'Direkte input'!$F$3:$F$230,$D423,'Direkte input'!$C$3:$C$230,$B423,'Direkte input'!$D$3:$D$230,$C423,'Direkte input'!$A$3:$A$230,$A$1),SUMIFS('Direkte input'!G$3:G$230,'Direkte input'!$F$3:$F$230,$D423,'Direkte input'!$C$3:$C$230,$B423,'Direkte input'!$A$3:$A$230,$A$1)),IF(VLOOKUP($A423,[1]!Table1[#All],2,FALSE)="Resultat",SUMIF($F$1:$F422,$D423,H$1:H422)+SUMIF($F424:$F$512,$D423,H424:H$512),0))*'[1]Processer - data'!H423,"")*IF($C423&lt;&gt;"",IF($F423="Halm",Landbrug!C$16*Landbrug!C$17,IF(LEFT($D423,5)="Areal", IF($G423="Ton",Landbrug!C$18,1),1)),1)*IF($F423="Grøntsager",IF($A423="Grøntsager i drivhus",Landbrug!C$51,1-Landbrug!C$51),1)</f>
        <v>187416.40966897184</v>
      </c>
      <c r="I423" s="298">
        <f ca="1">IF($A423&lt;&gt;"",IF(VLOOKUP($A423,[1]!Table1[#All],2,FALSE)="Direkte input",IF($A423&lt;&gt;"Grøntsager i drivhus",SUMIFS('Direkte input'!H$3:H$230,'Direkte input'!$F$3:$F$230,$D423,'Direkte input'!$C$3:$C$230,$B423,'Direkte input'!$D$3:$D$230,$C423,'Direkte input'!$A$3:$A$230,$A$1),SUMIFS('Direkte input'!H$3:H$230,'Direkte input'!$F$3:$F$230,$D423,'Direkte input'!$C$3:$C$230,$B423,'Direkte input'!$A$3:$A$230,$A$1)),IF(VLOOKUP($A423,[1]!Table1[#All],2,FALSE)="Resultat",SUMIF($F$1:$F422,$D423,I$1:I422)+SUMIF($F424:$F$512,$D423,I424:I$512),0))*'[1]Processer - data'!I423,"")*IF($C423&lt;&gt;"",IF($F423="Halm",Landbrug!D$16*Landbrug!D$17,IF(LEFT($D423,5)="Areal", IF($G423="Ton",Landbrug!D$18,1),1)),1)*IF($F423="Grøntsager",IF($A423="Grøntsager i drivhus",Landbrug!D$51,1-Landbrug!D$51),1)</f>
        <v>177362.37762242398</v>
      </c>
      <c r="J423" s="299">
        <f ca="1">IF($A423&lt;&gt;"",IF(VLOOKUP($A423,[1]!Table1[#All],2,FALSE)="Direkte input",IF($A423&lt;&gt;"Grøntsager i drivhus",SUMIFS('Direkte input'!I$3:I$230,'Direkte input'!$F$3:$F$230,$D423,'Direkte input'!$C$3:$C$230,$B423,'Direkte input'!$D$3:$D$230,$C423,'Direkte input'!$A$3:$A$230,$A$1),SUMIFS('Direkte input'!I$3:I$230,'Direkte input'!$F$3:$F$230,$D423,'Direkte input'!$C$3:$C$230,$B423,'Direkte input'!$A$3:$A$230,$A$1)),IF(VLOOKUP($A423,[1]!Table1[#All],2,FALSE)="Resultat",SUMIF($F$1:$F422,$D423,J$1:J422)+SUMIF($F424:$F$512,$D423,J424:J$512),0))*'[1]Processer - data'!J423,"")*IF($C423&lt;&gt;"",IF($F423="Halm",Landbrug!E$16*Landbrug!E$17,IF(LEFT($D423,5)="Areal", IF($G423="Ton",Landbrug!E$18,1),1)),1)*IF($F423="Grøntsager",IF($A423="Grøntsager i drivhus",Landbrug!E$51,1-Landbrug!E$51),1)</f>
        <v>161253.53800096706</v>
      </c>
    </row>
    <row r="424" spans="1:10" ht="15.75" thickBot="1" x14ac:dyDescent="0.3">
      <c r="A424" t="str">
        <f>IF('[1]Processer - data'!A424&lt;&gt;"",'[1]Processer - data'!A424,"")</f>
        <v>Tømmerproduktion</v>
      </c>
      <c r="B424" t="str">
        <f>IF('[1]Processer - data'!B424&lt;&gt;"",'[1]Processer - data'!B424,"")</f>
        <v/>
      </c>
      <c r="C424" t="str">
        <f>IF('[1]Processer - data'!C424&lt;&gt;"",'[1]Processer - data'!C424,"")</f>
        <v/>
      </c>
      <c r="D424" t="str">
        <f>IF('[1]Processer - data'!D424&lt;&gt;"",'[1]Processer - data'!D424,"")</f>
        <v>Træer</v>
      </c>
      <c r="E424" t="str">
        <f>IF('[1]Processer - data'!E424&lt;&gt;"",'[1]Processer - data'!E424,"")</f>
        <v>m3</v>
      </c>
      <c r="F424" t="str">
        <f>IF('[1]Processer - data'!F424&lt;&gt;"",'[1]Processer - data'!F424,"")</f>
        <v>Træ til energi</v>
      </c>
      <c r="G424" t="str">
        <f>IF('[1]Processer - data'!G424&lt;&gt;"",'[1]Processer - data'!G424,"")</f>
        <v>m3</v>
      </c>
      <c r="H424" s="297">
        <f ca="1">IF($A424&lt;&gt;"",IF(VLOOKUP($A424,[1]!Table1[#All],2,FALSE)="Direkte input",IF($A424&lt;&gt;"Grøntsager i drivhus",SUMIFS('Direkte input'!G$3:G$230,'Direkte input'!$F$3:$F$230,$D424,'Direkte input'!$C$3:$C$230,$B424,'Direkte input'!$D$3:$D$230,$C424,'Direkte input'!$A$3:$A$230,$A$1),SUMIFS('Direkte input'!G$3:G$230,'Direkte input'!$F$3:$F$230,$D424,'Direkte input'!$C$3:$C$230,$B424,'Direkte input'!$A$3:$A$230,$A$1)),IF(VLOOKUP($A424,[1]!Table1[#All],2,FALSE)="Resultat",SUMIF($F$1:$F423,$D424,H$1:H423)+SUMIF($F426:$F$512,$D424,H426:H$512),0))*'[1]Processer - data'!H424,"")*IF($C424&lt;&gt;"",IF($F424="Halm",Landbrug!C$16*Landbrug!C$17,IF(LEFT($D424,5)="Areal", IF($G424="Ton",Landbrug!C$18,1),1)),1)*IF($F424="Grøntsager",IF($A424="Grøntsager i drivhus",Landbrug!C$51,1-Landbrug!C$51),1)</f>
        <v>203034.44380805286</v>
      </c>
      <c r="I424" s="298">
        <f ca="1">IF($A424&lt;&gt;"",IF(VLOOKUP($A424,[1]!Table1[#All],2,FALSE)="Direkte input",IF($A424&lt;&gt;"Grøntsager i drivhus",SUMIFS('Direkte input'!H$3:H$230,'Direkte input'!$F$3:$F$230,$D424,'Direkte input'!$C$3:$C$230,$B424,'Direkte input'!$D$3:$D$230,$C424,'Direkte input'!$A$3:$A$230,$A$1),SUMIFS('Direkte input'!H$3:H$230,'Direkte input'!$F$3:$F$230,$D424,'Direkte input'!$C$3:$C$230,$B424,'Direkte input'!$A$3:$A$230,$A$1)),IF(VLOOKUP($A424,[1]!Table1[#All],2,FALSE)="Resultat",SUMIF($F$1:$F423,$D424,I$1:I423)+SUMIF($F426:$F$512,$D424,I426:I$512),0))*'[1]Processer - data'!I424,"")*IF($C424&lt;&gt;"",IF($F424="Halm",Landbrug!D$16*Landbrug!D$17,IF(LEFT($D424,5)="Areal", IF($G424="Ton",Landbrug!D$18,1),1)),1)*IF($F424="Grøntsager",IF($A424="Grøntsager i drivhus",Landbrug!D$51,1-Landbrug!D$51),1)</f>
        <v>192142.57575762598</v>
      </c>
      <c r="J424" s="299">
        <f ca="1">IF($A424&lt;&gt;"",IF(VLOOKUP($A424,[1]!Table1[#All],2,FALSE)="Direkte input",IF($A424&lt;&gt;"Grøntsager i drivhus",SUMIFS('Direkte input'!I$3:I$230,'Direkte input'!$F$3:$F$230,$D424,'Direkte input'!$C$3:$C$230,$B424,'Direkte input'!$D$3:$D$230,$C424,'Direkte input'!$A$3:$A$230,$A$1),SUMIFS('Direkte input'!I$3:I$230,'Direkte input'!$F$3:$F$230,$D424,'Direkte input'!$C$3:$C$230,$B424,'Direkte input'!$A$3:$A$230,$A$1)),IF(VLOOKUP($A424,[1]!Table1[#All],2,FALSE)="Resultat",SUMIF($F$1:$F423,$D424,J$1:J423)+SUMIF($F426:$F$512,$D424,J426:J$512),0))*'[1]Processer - data'!J424,"")*IF($C424&lt;&gt;"",IF($F424="Halm",Landbrug!E$16*Landbrug!E$17,IF(LEFT($D424,5)="Areal", IF($G424="Ton",Landbrug!E$18,1),1)),1)*IF($F424="Grøntsager",IF($A424="Grøntsager i drivhus",Landbrug!E$51,1-Landbrug!E$51),1)</f>
        <v>174691.33283438097</v>
      </c>
    </row>
    <row r="425" spans="1:10" s="168" customFormat="1" ht="15.75" thickBot="1" x14ac:dyDescent="0.3">
      <c r="A425" s="168" t="str">
        <f>IF('[1]Processer - data'!A425&lt;&gt;"",'[1]Processer - data'!A425,"")</f>
        <v>Tømmerproduktion</v>
      </c>
      <c r="B425" s="168" t="str">
        <f>IF('[1]Processer - data'!B425&lt;&gt;"",'[1]Processer - data'!B425,"")</f>
        <v/>
      </c>
      <c r="C425" s="168" t="str">
        <f>IF('[1]Processer - data'!C425&lt;&gt;"",'[1]Processer - data'!C425,"")</f>
        <v/>
      </c>
      <c r="D425" s="168" t="str">
        <f>IF('[1]Processer - data'!D425&lt;&gt;"",'[1]Processer - data'!D425,"")</f>
        <v>CO2 - HWP</v>
      </c>
      <c r="E425" s="168" t="str">
        <f>IF('[1]Processer - data'!E425&lt;&gt;"",'[1]Processer - data'!E425,"")</f>
        <v>t CO2-ækvivalenter</v>
      </c>
      <c r="F425" s="168" t="str">
        <f>IF('[1]Processer - data'!F425&lt;&gt;"",'[1]Processer - data'!F425,"")</f>
        <v>CO2 - atmosfære</v>
      </c>
      <c r="G425" s="168" t="str">
        <f>IF('[1]Processer - data'!G425&lt;&gt;"",'[1]Processer - data'!G425,"")</f>
        <v>t CO2-ækvivalenter</v>
      </c>
      <c r="H425" s="337">
        <f ca="1">SUMIFS(H3:H424,$F$3:$F$424,$D$425)*H423/SUM(H423:H424)</f>
        <v>-137317.43481230648</v>
      </c>
      <c r="I425" s="338">
        <f t="shared" ref="I425:J425" ca="1" si="0">SUMIFS(I3:I424,$F$3:$F$424,$D$425)*I423/SUM(I423:I424)</f>
        <v>-129950.98332286018</v>
      </c>
      <c r="J425" s="339">
        <f t="shared" ca="1" si="0"/>
        <v>-121876.74474075671</v>
      </c>
    </row>
    <row r="426" spans="1:10" x14ac:dyDescent="0.25">
      <c r="A426" t="str">
        <f>IF('[1]Processer - data'!A426&lt;&gt;"",'[1]Processer - data'!A426,"")</f>
        <v>Mejeri</v>
      </c>
      <c r="B426" t="str">
        <f>IF('[1]Processer - data'!B426&lt;&gt;"",'[1]Processer - data'!B426,"")</f>
        <v/>
      </c>
      <c r="C426" t="str">
        <f>IF('[1]Processer - data'!C426&lt;&gt;"",'[1]Processer - data'!C426,"")</f>
        <v/>
      </c>
      <c r="D426" t="str">
        <f>IF('[1]Processer - data'!D426&lt;&gt;"",'[1]Processer - data'!D426,"")</f>
        <v>Råmælk</v>
      </c>
      <c r="E426" t="str">
        <f>IF('[1]Processer - data'!E426&lt;&gt;"",'[1]Processer - data'!E426,"")</f>
        <v>Ton</v>
      </c>
      <c r="F426" t="str">
        <f>IF('[1]Processer - data'!F426&lt;&gt;"",'[1]Processer - data'!F426,"")</f>
        <v>Mejeriprodukter</v>
      </c>
      <c r="G426" t="str">
        <f>IF('[1]Processer - data'!G426&lt;&gt;"",'[1]Processer - data'!G426,"")</f>
        <v>Ton</v>
      </c>
      <c r="H426" s="297">
        <f>IF($A426&lt;&gt;"",IF(VLOOKUP($A426,[1]!Table1[#All],2,FALSE)="Direkte input",IF($A426&lt;&gt;"Grøntsager i drivhus",SUMIFS('Direkte input'!G$3:G$230,'Direkte input'!$F$3:$F$230,$D426,'Direkte input'!$C$3:$C$230,$B426,'Direkte input'!$D$3:$D$230,$C426,'Direkte input'!$A$3:$A$230,$A$1),SUMIFS('Direkte input'!G$3:G$230,'Direkte input'!$F$3:$F$230,$D426,'Direkte input'!$C$3:$C$230,$B426,'Direkte input'!$A$3:$A$230,$A$1)),IF(VLOOKUP($A426,[1]!Table1[#All],2,FALSE)="Resultat",SUMIF($F$1:$F424,$D426,H$1:H424)+SUMIF($F427:$F$512,$D426,H427:H$512),0))*'[1]Processer - data'!H426,"")*IF($C426&lt;&gt;"",IF($F426="Halm",Landbrug!C$16*Landbrug!C$17,IF(LEFT($D426,5)="Areal", IF($G426="Ton",Landbrug!C$18,1),1)),1)*IF($F426="Grøntsager",IF($A426="Grøntsager i drivhus",Landbrug!C$51,1-Landbrug!C$51),1)</f>
        <v>222833.98833453824</v>
      </c>
      <c r="I426" s="298">
        <f>IF($A426&lt;&gt;"",IF(VLOOKUP($A426,[1]!Table1[#All],2,FALSE)="Direkte input",IF($A426&lt;&gt;"Grøntsager i drivhus",SUMIFS('Direkte input'!H$3:H$230,'Direkte input'!$F$3:$F$230,$D426,'Direkte input'!$C$3:$C$230,$B426,'Direkte input'!$D$3:$D$230,$C426,'Direkte input'!$A$3:$A$230,$A$1),SUMIFS('Direkte input'!H$3:H$230,'Direkte input'!$F$3:$F$230,$D426,'Direkte input'!$C$3:$C$230,$B426,'Direkte input'!$A$3:$A$230,$A$1)),IF(VLOOKUP($A426,[1]!Table1[#All],2,FALSE)="Resultat",SUMIF($F$1:$F424,$D426,I$1:I424)+SUMIF($F427:$F$512,$D426,I427:I$512),0))*'[1]Processer - data'!I426,"")*IF($C426&lt;&gt;"",IF($F426="Halm",Landbrug!D$16*Landbrug!D$17,IF(LEFT($D426,5)="Areal", IF($G426="Ton",Landbrug!D$18,1),1)),1)*IF($F426="Grøntsager",IF($A426="Grøntsager i drivhus",Landbrug!D$51,1-Landbrug!D$51),1)</f>
        <v>266755.84485045663</v>
      </c>
      <c r="J426" s="299">
        <f>IF($A426&lt;&gt;"",IF(VLOOKUP($A426,[1]!Table1[#All],2,FALSE)="Direkte input",IF($A426&lt;&gt;"Grøntsager i drivhus",SUMIFS('Direkte input'!I$3:I$230,'Direkte input'!$F$3:$F$230,$D426,'Direkte input'!$C$3:$C$230,$B426,'Direkte input'!$D$3:$D$230,$C426,'Direkte input'!$A$3:$A$230,$A$1),SUMIFS('Direkte input'!I$3:I$230,'Direkte input'!$F$3:$F$230,$D426,'Direkte input'!$C$3:$C$230,$B426,'Direkte input'!$A$3:$A$230,$A$1)),IF(VLOOKUP($A426,[1]!Table1[#All],2,FALSE)="Resultat",SUMIF($F$1:$F424,$D426,J$1:J424)+SUMIF($F427:$F$512,$D426,J427:J$512),0))*'[1]Processer - data'!J426,"")*IF($C426&lt;&gt;"",IF($F426="Halm",Landbrug!E$16*Landbrug!E$17,IF(LEFT($D426,5)="Areal", IF($G426="Ton",Landbrug!E$18,1),1)),1)*IF($F426="Grøntsager",IF($A426="Grøntsager i drivhus",Landbrug!E$51,1-Landbrug!E$51),1)</f>
        <v>261800.78357255683</v>
      </c>
    </row>
    <row r="427" spans="1:10" x14ac:dyDescent="0.25">
      <c r="A427" t="str">
        <f>IF('[1]Processer - data'!A427&lt;&gt;"",'[1]Processer - data'!A427,"")</f>
        <v>Mejeri</v>
      </c>
      <c r="B427" t="str">
        <f>IF('[1]Processer - data'!B427&lt;&gt;"",'[1]Processer - data'!B427,"")</f>
        <v/>
      </c>
      <c r="C427" t="str">
        <f>IF('[1]Processer - data'!C427&lt;&gt;"",'[1]Processer - data'!C427,"")</f>
        <v/>
      </c>
      <c r="D427" t="str">
        <f>IF('[1]Processer - data'!D427&lt;&gt;"",'[1]Processer - data'!D427,"")</f>
        <v>Råmælk</v>
      </c>
      <c r="E427" t="str">
        <f>IF('[1]Processer - data'!E427&lt;&gt;"",'[1]Processer - data'!E427,"")</f>
        <v>Ton</v>
      </c>
      <c r="F427" t="str">
        <f>IF('[1]Processer - data'!F427&lt;&gt;"",'[1]Processer - data'!F427,"")</f>
        <v>Spildevandsslam</v>
      </c>
      <c r="G427" t="str">
        <f>IF('[1]Processer - data'!G427&lt;&gt;"",'[1]Processer - data'!G427,"")</f>
        <v>Ton</v>
      </c>
      <c r="H427" s="297">
        <f>IF($A427&lt;&gt;"",IF(VLOOKUP($A427,[1]!Table1[#All],2,FALSE)="Direkte input",IF($A427&lt;&gt;"Grøntsager i drivhus",SUMIFS('Direkte input'!G$3:G$230,'Direkte input'!$F$3:$F$230,$D427,'Direkte input'!$C$3:$C$230,$B427,'Direkte input'!$D$3:$D$230,$C427,'Direkte input'!$A$3:$A$230,$A$1),SUMIFS('Direkte input'!G$3:G$230,'Direkte input'!$F$3:$F$230,$D427,'Direkte input'!$C$3:$C$230,$B427,'Direkte input'!$A$3:$A$230,$A$1)),IF(VLOOKUP($A427,[1]!Table1[#All],2,FALSE)="Resultat",SUMIF($F$1:$F426,$D427,H$1:H426)+SUMIF($F429:$F$512,$D427,H429:H$512),0))*'[1]Processer - data'!H427,"")*IF($C427&lt;&gt;"",IF($F427="Halm",Landbrug!C$16*Landbrug!C$17,IF(LEFT($D427,5)="Areal", IF($G427="Ton",Landbrug!C$18,1),1)),1)*IF($F427="Grøntsager",IF($A427="Grøntsager i drivhus",Landbrug!C$51,1-Landbrug!C$51),1)</f>
        <v>8674.9504905317481</v>
      </c>
      <c r="I427" s="298">
        <f>IF($A427&lt;&gt;"",IF(VLOOKUP($A427,[1]!Table1[#All],2,FALSE)="Direkte input",IF($A427&lt;&gt;"Grøntsager i drivhus",SUMIFS('Direkte input'!H$3:H$230,'Direkte input'!$F$3:$F$230,$D427,'Direkte input'!$C$3:$C$230,$B427,'Direkte input'!$D$3:$D$230,$C427,'Direkte input'!$A$3:$A$230,$A$1),SUMIFS('Direkte input'!H$3:H$230,'Direkte input'!$F$3:$F$230,$D427,'Direkte input'!$C$3:$C$230,$B427,'Direkte input'!$A$3:$A$230,$A$1)),IF(VLOOKUP($A427,[1]!Table1[#All],2,FALSE)="Resultat",SUMIF($F$1:$F426,$D427,I$1:I426)+SUMIF($F429:$F$512,$D427,I429:I$512),0))*'[1]Processer - data'!I427,"")*IF($C427&lt;&gt;"",IF($F427="Halm",Landbrug!D$16*Landbrug!D$17,IF(LEFT($D427,5)="Areal", IF($G427="Ton",Landbrug!D$18,1),1)),1)*IF($F427="Grøntsager",IF($A427="Grøntsager i drivhus",Landbrug!D$51,1-Landbrug!D$51),1)</f>
        <v>10384.832962122258</v>
      </c>
      <c r="J427" s="299">
        <f>IF($A427&lt;&gt;"",IF(VLOOKUP($A427,[1]!Table1[#All],2,FALSE)="Direkte input",IF($A427&lt;&gt;"Grøntsager i drivhus",SUMIFS('Direkte input'!I$3:I$230,'Direkte input'!$F$3:$F$230,$D427,'Direkte input'!$C$3:$C$230,$B427,'Direkte input'!$D$3:$D$230,$C427,'Direkte input'!$A$3:$A$230,$A$1),SUMIFS('Direkte input'!I$3:I$230,'Direkte input'!$F$3:$F$230,$D427,'Direkte input'!$C$3:$C$230,$B427,'Direkte input'!$A$3:$A$230,$A$1)),IF(VLOOKUP($A427,[1]!Table1[#All],2,FALSE)="Resultat",SUMIF($F$1:$F426,$D427,J$1:J426)+SUMIF($F429:$F$512,$D427,J429:J$512),0))*'[1]Processer - data'!J427,"")*IF($C427&lt;&gt;"",IF($F427="Halm",Landbrug!E$16*Landbrug!E$17,IF(LEFT($D427,5)="Areal", IF($G427="Ton",Landbrug!E$18,1),1)),1)*IF($F427="Grøntsager",IF($A427="Grøntsager i drivhus",Landbrug!E$51,1-Landbrug!E$51),1)</f>
        <v>10191.931907913244</v>
      </c>
    </row>
    <row r="428" spans="1:10" s="168" customFormat="1" x14ac:dyDescent="0.25">
      <c r="A428" s="168" t="str">
        <f>IF('[1]Processer - data'!A428&lt;&gt;"",'[1]Processer - data'!A428,"")</f>
        <v>Mejeri</v>
      </c>
      <c r="B428" s="168" t="str">
        <f>IF('[1]Processer - data'!B428&lt;&gt;"",'[1]Processer - data'!B428,"")</f>
        <v/>
      </c>
      <c r="C428" s="168" t="str">
        <f>IF('[1]Processer - data'!C428&lt;&gt;"",'[1]Processer - data'!C428,"")</f>
        <v/>
      </c>
      <c r="D428" s="168" t="str">
        <f>IF('[1]Processer - data'!D428&lt;&gt;"",'[1]Processer - data'!D428,"")</f>
        <v>Råmælk</v>
      </c>
      <c r="E428" s="168" t="str">
        <f>IF('[1]Processer - data'!E428&lt;&gt;"",'[1]Processer - data'!E428,"")</f>
        <v>Ton</v>
      </c>
      <c r="F428" s="168" t="str">
        <f>IF('[1]Processer - data'!F428&lt;&gt;"",'[1]Processer - data'!F428,"")</f>
        <v>Industriaffald</v>
      </c>
      <c r="G428" s="168" t="str">
        <f>IF('[1]Processer - data'!G428&lt;&gt;"",'[1]Processer - data'!G428,"")</f>
        <v>Ton</v>
      </c>
      <c r="H428" s="297">
        <f>IF($A428&lt;&gt;"",IF(VLOOKUP($A428,[1]!Table1[#All],2,FALSE)="Direkte input",IF($A428&lt;&gt;"Grøntsager i drivhus",SUMIFS('Direkte input'!G$3:G$230,'Direkte input'!$F$3:$F$230,$D428,'Direkte input'!$C$3:$C$230,$B428,'Direkte input'!$D$3:$D$230,$C428,'Direkte input'!$A$3:$A$230,$A$1),SUMIFS('Direkte input'!G$3:G$230,'Direkte input'!$F$3:$F$230,$D428,'Direkte input'!$C$3:$C$230,$B428,'Direkte input'!$A$3:$A$230,$A$1)),IF(VLOOKUP($A428,[1]!Table1[#All],2,FALSE)="Resultat",SUMIF($F$1:$F427,$D428,H$1:H427)+SUMIF($F430:$F$512,$D428,H430:H$512),0))*'[1]Processer - data'!H428,"")*IF($C428&lt;&gt;"",IF($F428="Halm",Landbrug!C$16*Landbrug!C$17,IF(LEFT($D428,5)="Areal", IF($G428="Ton",Landbrug!C$18,1),1)),1)*IF($F428="Grøntsager",IF($A428="Grøntsager i drivhus",Landbrug!C$51,1-Landbrug!C$51),1)</f>
        <v>1139.8884944558718</v>
      </c>
      <c r="I428" s="298">
        <f>IF($A428&lt;&gt;"",IF(VLOOKUP($A428,[1]!Table1[#All],2,FALSE)="Direkte input",IF($A428&lt;&gt;"Grøntsager i drivhus",SUMIFS('Direkte input'!H$3:H$230,'Direkte input'!$F$3:$F$230,$D428,'Direkte input'!$C$3:$C$230,$B428,'Direkte input'!$D$3:$D$230,$C428,'Direkte input'!$A$3:$A$230,$A$1),SUMIFS('Direkte input'!H$3:H$230,'Direkte input'!$F$3:$F$230,$D428,'Direkte input'!$C$3:$C$230,$B428,'Direkte input'!$A$3:$A$230,$A$1)),IF(VLOOKUP($A428,[1]!Table1[#All],2,FALSE)="Resultat",SUMIF($F$1:$F427,$D428,I$1:I427)+SUMIF($F430:$F$512,$D428,I430:I$512),0))*'[1]Processer - data'!I428,"")*IF($C428&lt;&gt;"",IF($F428="Halm",Landbrug!D$16*Landbrug!D$17,IF(LEFT($D428,5)="Areal", IF($G428="Ton",Landbrug!D$18,1),1)),1)*IF($F428="Grøntsager",IF($A428="Grøntsager i drivhus",Landbrug!D$51,1-Landbrug!D$51),1)</f>
        <v>1364.5670512228648</v>
      </c>
      <c r="J428" s="299">
        <f>IF($A428&lt;&gt;"",IF(VLOOKUP($A428,[1]!Table1[#All],2,FALSE)="Direkte input",IF($A428&lt;&gt;"Grøntsager i drivhus",SUMIFS('Direkte input'!I$3:I$230,'Direkte input'!$F$3:$F$230,$D428,'Direkte input'!$C$3:$C$230,$B428,'Direkte input'!$D$3:$D$230,$C428,'Direkte input'!$A$3:$A$230,$A$1),SUMIFS('Direkte input'!I$3:I$230,'Direkte input'!$F$3:$F$230,$D428,'Direkte input'!$C$3:$C$230,$B428,'Direkte input'!$A$3:$A$230,$A$1)),IF(VLOOKUP($A428,[1]!Table1[#All],2,FALSE)="Resultat",SUMIF($F$1:$F427,$D428,J$1:J427)+SUMIF($F430:$F$512,$D428,J430:J$512),0))*'[1]Processer - data'!J428,"")*IF($C428&lt;&gt;"",IF($F428="Halm",Landbrug!E$16*Landbrug!E$17,IF(LEFT($D428,5)="Areal", IF($G428="Ton",Landbrug!E$18,1),1)),1)*IF($F428="Grøntsager",IF($A428="Grøntsager i drivhus",Landbrug!E$51,1-Landbrug!E$51),1)</f>
        <v>1339.2198526998002</v>
      </c>
    </row>
    <row r="429" spans="1:10" x14ac:dyDescent="0.25">
      <c r="A429" t="str">
        <f>IF('[1]Processer - data'!A429&lt;&gt;"",'[1]Processer - data'!A429,"")</f>
        <v>Mejeri</v>
      </c>
      <c r="B429" t="str">
        <f>IF('[1]Processer - data'!B429&lt;&gt;"",'[1]Processer - data'!B429,"")</f>
        <v/>
      </c>
      <c r="C429" t="str">
        <f>IF('[1]Processer - data'!C429&lt;&gt;"",'[1]Processer - data'!C429,"")</f>
        <v/>
      </c>
      <c r="D429" t="str">
        <f>IF('[1]Processer - data'!D429&lt;&gt;"",'[1]Processer - data'!D429,"")</f>
        <v>Råmælk</v>
      </c>
      <c r="E429" t="str">
        <f>IF('[1]Processer - data'!E429&lt;&gt;"",'[1]Processer - data'!E429,"")</f>
        <v>Ton</v>
      </c>
      <c r="F429" t="str">
        <f>IF('[1]Processer - data'!F429&lt;&gt;"",'[1]Processer - data'!F429,"")</f>
        <v>Mælk til foder</v>
      </c>
      <c r="G429" t="str">
        <f>IF('[1]Processer - data'!G429&lt;&gt;"",'[1]Processer - data'!G429,"")</f>
        <v>Ton</v>
      </c>
      <c r="H429" s="297">
        <f>IF($A429&lt;&gt;"",IF(VLOOKUP($A429,[1]!Table1[#All],2,FALSE)="Direkte input",IF($A429&lt;&gt;"Grøntsager i drivhus",SUMIFS('Direkte input'!G$3:G$230,'Direkte input'!$F$3:$F$230,$D429,'Direkte input'!$C$3:$C$230,$B429,'Direkte input'!$D$3:$D$230,$C429,'Direkte input'!$A$3:$A$230,$A$1),SUMIFS('Direkte input'!G$3:G$230,'Direkte input'!$F$3:$F$230,$D429,'Direkte input'!$C$3:$C$230,$B429,'Direkte input'!$A$3:$A$230,$A$1)),IF(VLOOKUP($A429,[1]!Table1[#All],2,FALSE)="Resultat",SUMIF($F$1:$F427,$D429,H$1:H427)+SUMIF($F430:$F$512,$D429,H430:H$512),0))*'[1]Processer - data'!H429,"")*IF($C429&lt;&gt;"",IF($F429="Halm",Landbrug!C$16*Landbrug!C$17,IF(LEFT($D429,5)="Areal", IF($G429="Ton",Landbrug!C$18,1),1)),1)*IF($F429="Grøntsager",IF($A429="Grøntsager i drivhus",Landbrug!C$51,1-Landbrug!C$51),1)</f>
        <v>115489.08079619991</v>
      </c>
      <c r="I429" s="298">
        <f>IF($A429&lt;&gt;"",IF(VLOOKUP($A429,[1]!Table1[#All],2,FALSE)="Direkte input",IF($A429&lt;&gt;"Grøntsager i drivhus",SUMIFS('Direkte input'!H$3:H$230,'Direkte input'!$F$3:$F$230,$D429,'Direkte input'!$C$3:$C$230,$B429,'Direkte input'!$D$3:$D$230,$C429,'Direkte input'!$A$3:$A$230,$A$1),SUMIFS('Direkte input'!H$3:H$230,'Direkte input'!$F$3:$F$230,$D429,'Direkte input'!$C$3:$C$230,$B429,'Direkte input'!$A$3:$A$230,$A$1)),IF(VLOOKUP($A429,[1]!Table1[#All],2,FALSE)="Resultat",SUMIF($F$1:$F427,$D429,I$1:I427)+SUMIF($F430:$F$512,$D429,I430:I$512),0))*'[1]Processer - data'!I429,"")*IF($C429&lt;&gt;"",IF($F429="Halm",Landbrug!D$16*Landbrug!D$17,IF(LEFT($D429,5)="Areal", IF($G429="Ton",Landbrug!D$18,1),1)),1)*IF($F429="Grøntsager",IF($A429="Grøntsager i drivhus",Landbrug!D$51,1-Landbrug!D$51),1)</f>
        <v>138252.64067231142</v>
      </c>
      <c r="J429" s="299">
        <f>IF($A429&lt;&gt;"",IF(VLOOKUP($A429,[1]!Table1[#All],2,FALSE)="Direkte input",IF($A429&lt;&gt;"Grøntsager i drivhus",SUMIFS('Direkte input'!I$3:I$230,'Direkte input'!$F$3:$F$230,$D429,'Direkte input'!$C$3:$C$230,$B429,'Direkte input'!$D$3:$D$230,$C429,'Direkte input'!$A$3:$A$230,$A$1),SUMIFS('Direkte input'!I$3:I$230,'Direkte input'!$F$3:$F$230,$D429,'Direkte input'!$C$3:$C$230,$B429,'Direkte input'!$A$3:$A$230,$A$1)),IF(VLOOKUP($A429,[1]!Table1[#All],2,FALSE)="Resultat",SUMIF($F$1:$F427,$D429,J$1:J427)+SUMIF($F430:$F$512,$D429,J430:J$512),0))*'[1]Processer - data'!J429,"")*IF($C429&lt;&gt;"",IF($F429="Halm",Landbrug!E$16*Landbrug!E$17,IF(LEFT($D429,5)="Areal", IF($G429="Ton",Landbrug!E$18,1),1)),1)*IF($F429="Grøntsager",IF($A429="Grøntsager i drivhus",Landbrug!E$51,1-Landbrug!E$51),1)</f>
        <v>135684.56083605965</v>
      </c>
    </row>
    <row r="430" spans="1:10" x14ac:dyDescent="0.25">
      <c r="A430" t="str">
        <f>IF('[1]Processer - data'!A430&lt;&gt;"",'[1]Processer - data'!A430,"")</f>
        <v>Slagteri</v>
      </c>
      <c r="B430" t="str">
        <f>IF('[1]Processer - data'!B430&lt;&gt;"",'[1]Processer - data'!B430,"")</f>
        <v/>
      </c>
      <c r="C430" t="str">
        <f>IF('[1]Processer - data'!C430&lt;&gt;"",'[1]Processer - data'!C430,"")</f>
        <v/>
      </c>
      <c r="D430" t="str">
        <f>IF('[1]Processer - data'!D430&lt;&gt;"",'[1]Processer - data'!D430,"")</f>
        <v>Slagtesvin</v>
      </c>
      <c r="E430" t="str">
        <f>IF('[1]Processer - data'!E430&lt;&gt;"",'[1]Processer - data'!E430,"")</f>
        <v>Antal</v>
      </c>
      <c r="F430" t="str">
        <f>IF('[1]Processer - data'!F430&lt;&gt;"",'[1]Processer - data'!F430,"")</f>
        <v>Svinekød</v>
      </c>
      <c r="G430" t="str">
        <f>IF('[1]Processer - data'!G430&lt;&gt;"",'[1]Processer - data'!G430,"")</f>
        <v>Ton</v>
      </c>
      <c r="H430" s="297">
        <f>IF($A430&lt;&gt;"",IF(VLOOKUP($A430,[1]!Table1[#All],2,FALSE)="Direkte input",IF($A430&lt;&gt;"Grøntsager i drivhus",SUMIFS('Direkte input'!G$3:G$230,'Direkte input'!$F$3:$F$230,$D430,'Direkte input'!$C$3:$C$230,$B430,'Direkte input'!$D$3:$D$230,$C430,'Direkte input'!$A$3:$A$230,$A$1),SUMIFS('Direkte input'!G$3:G$230,'Direkte input'!$F$3:$F$230,$D430,'Direkte input'!$C$3:$C$230,$B430,'Direkte input'!$A$3:$A$230,$A$1)),IF(VLOOKUP($A430,[1]!Table1[#All],2,FALSE)="Resultat",SUMIF($F$1:$F429,$D430,H$1:H429)+SUMIF($F431:$F$512,$D430,H431:H$512),0))*'[1]Processer - data'!H430,"")*IF($C430&lt;&gt;"",IF($F430="Halm",Landbrug!C$16*Landbrug!C$17,IF(LEFT($D430,5)="Areal", IF($G430="Ton",Landbrug!C$18,1),1)),1)*IF($F430="Grøntsager",IF($A430="Grøntsager i drivhus",Landbrug!C$51,1-Landbrug!C$51),1)</f>
        <v>206750.71206041813</v>
      </c>
      <c r="I430" s="298">
        <f>IF($A430&lt;&gt;"",IF(VLOOKUP($A430,[1]!Table1[#All],2,FALSE)="Direkte input",IF($A430&lt;&gt;"Grøntsager i drivhus",SUMIFS('Direkte input'!H$3:H$230,'Direkte input'!$F$3:$F$230,$D430,'Direkte input'!$C$3:$C$230,$B430,'Direkte input'!$D$3:$D$230,$C430,'Direkte input'!$A$3:$A$230,$A$1),SUMIFS('Direkte input'!H$3:H$230,'Direkte input'!$F$3:$F$230,$D430,'Direkte input'!$C$3:$C$230,$B430,'Direkte input'!$A$3:$A$230,$A$1)),IF(VLOOKUP($A430,[1]!Table1[#All],2,FALSE)="Resultat",SUMIF($F$1:$F429,$D430,I$1:I429)+SUMIF($F431:$F$512,$D430,I431:I$512),0))*'[1]Processer - data'!I430,"")*IF($C430&lt;&gt;"",IF($F430="Halm",Landbrug!D$16*Landbrug!D$17,IF(LEFT($D430,5)="Areal", IF($G430="Ton",Landbrug!D$18,1),1)),1)*IF($F430="Grøntsager",IF($A430="Grøntsager i drivhus",Landbrug!D$51,1-Landbrug!D$51),1)</f>
        <v>239604.1344339604</v>
      </c>
      <c r="J430" s="299">
        <f>IF($A430&lt;&gt;"",IF(VLOOKUP($A430,[1]!Table1[#All],2,FALSE)="Direkte input",IF($A430&lt;&gt;"Grøntsager i drivhus",SUMIFS('Direkte input'!I$3:I$230,'Direkte input'!$F$3:$F$230,$D430,'Direkte input'!$C$3:$C$230,$B430,'Direkte input'!$D$3:$D$230,$C430,'Direkte input'!$A$3:$A$230,$A$1),SUMIFS('Direkte input'!I$3:I$230,'Direkte input'!$F$3:$F$230,$D430,'Direkte input'!$C$3:$C$230,$B430,'Direkte input'!$A$3:$A$230,$A$1)),IF(VLOOKUP($A430,[1]!Table1[#All],2,FALSE)="Resultat",SUMIF($F$1:$F429,$D430,J$1:J429)+SUMIF($F431:$F$512,$D430,J431:J$512),0))*'[1]Processer - data'!J430,"")*IF($C430&lt;&gt;"",IF($F430="Halm",Landbrug!E$16*Landbrug!E$17,IF(LEFT($D430,5)="Areal", IF($G430="Ton",Landbrug!E$18,1),1)),1)*IF($F430="Grøntsager",IF($A430="Grøntsager i drivhus",Landbrug!E$51,1-Landbrug!E$51),1)</f>
        <v>233020.79470926209</v>
      </c>
    </row>
    <row r="431" spans="1:10" x14ac:dyDescent="0.25">
      <c r="A431" t="str">
        <f>IF('[1]Processer - data'!A431&lt;&gt;"",'[1]Processer - data'!A431,"")</f>
        <v>Slagteri</v>
      </c>
      <c r="B431" t="str">
        <f>IF('[1]Processer - data'!B431&lt;&gt;"",'[1]Processer - data'!B431,"")</f>
        <v/>
      </c>
      <c r="C431" t="str">
        <f>IF('[1]Processer - data'!C431&lt;&gt;"",'[1]Processer - data'!C431,"")</f>
        <v/>
      </c>
      <c r="D431" t="str">
        <f>IF('[1]Processer - data'!D431&lt;&gt;"",'[1]Processer - data'!D431,"")</f>
        <v>Slagtesvin</v>
      </c>
      <c r="E431" t="str">
        <f>IF('[1]Processer - data'!E431&lt;&gt;"",'[1]Processer - data'!E431,"")</f>
        <v>Antal</v>
      </c>
      <c r="F431" t="str">
        <f>IF('[1]Processer - data'!F431&lt;&gt;"",'[1]Processer - data'!F431,"")</f>
        <v>Industriaffald</v>
      </c>
      <c r="G431" t="str">
        <f>IF('[1]Processer - data'!G431&lt;&gt;"",'[1]Processer - data'!G431,"")</f>
        <v>Ton</v>
      </c>
      <c r="H431" s="297">
        <f>IF($A431&lt;&gt;"",IF(VLOOKUP($A431,[1]!Table1[#All],2,FALSE)="Direkte input",IF($A431&lt;&gt;"Grøntsager i drivhus",SUMIFS('Direkte input'!G$3:G$230,'Direkte input'!$F$3:$F$230,$D431,'Direkte input'!$C$3:$C$230,$B431,'Direkte input'!$D$3:$D$230,$C431,'Direkte input'!$A$3:$A$230,$A$1),SUMIFS('Direkte input'!G$3:G$230,'Direkte input'!$F$3:$F$230,$D431,'Direkte input'!$C$3:$C$230,$B431,'Direkte input'!$A$3:$A$230,$A$1)),IF(VLOOKUP($A431,[1]!Table1[#All],2,FALSE)="Resultat",SUMIF($F$1:$F430,$D431,H$1:H430)+SUMIF($F432:$F$512,$D431,H432:H$512),0))*'[1]Processer - data'!H431,"")*IF($C431&lt;&gt;"",IF($F431="Halm",Landbrug!C$16*Landbrug!C$17,IF(LEFT($D431,5)="Areal", IF($G431="Ton",Landbrug!C$18,1),1)),1)*IF($F431="Grøntsager",IF($A431="Grøntsager i drivhus",Landbrug!C$51,1-Landbrug!C$51),1)</f>
        <v>2934.8675209995276</v>
      </c>
      <c r="I431" s="298">
        <f>IF($A431&lt;&gt;"",IF(VLOOKUP($A431,[1]!Table1[#All],2,FALSE)="Direkte input",IF($A431&lt;&gt;"Grøntsager i drivhus",SUMIFS('Direkte input'!H$3:H$230,'Direkte input'!$F$3:$F$230,$D431,'Direkte input'!$C$3:$C$230,$B431,'Direkte input'!$D$3:$D$230,$C431,'Direkte input'!$A$3:$A$230,$A$1),SUMIFS('Direkte input'!H$3:H$230,'Direkte input'!$F$3:$F$230,$D431,'Direkte input'!$C$3:$C$230,$B431,'Direkte input'!$A$3:$A$230,$A$1)),IF(VLOOKUP($A431,[1]!Table1[#All],2,FALSE)="Resultat",SUMIF($F$1:$F430,$D431,I$1:I430)+SUMIF($F432:$F$512,$D431,I432:I$512),0))*'[1]Processer - data'!I431,"")*IF($C431&lt;&gt;"",IF($F431="Halm",Landbrug!D$16*Landbrug!D$17,IF(LEFT($D431,5)="Areal", IF($G431="Ton",Landbrug!D$18,1),1)),1)*IF($F431="Grøntsager",IF($A431="Grøntsager i drivhus",Landbrug!D$51,1-Landbrug!D$51),1)</f>
        <v>4590.438994634248</v>
      </c>
      <c r="J431" s="299">
        <f>IF($A431&lt;&gt;"",IF(VLOOKUP($A431,[1]!Table1[#All],2,FALSE)="Direkte input",IF($A431&lt;&gt;"Grøntsager i drivhus",SUMIFS('Direkte input'!I$3:I$230,'Direkte input'!$F$3:$F$230,$D431,'Direkte input'!$C$3:$C$230,$B431,'Direkte input'!$D$3:$D$230,$C431,'Direkte input'!$A$3:$A$230,$A$1),SUMIFS('Direkte input'!I$3:I$230,'Direkte input'!$F$3:$F$230,$D431,'Direkte input'!$C$3:$C$230,$B431,'Direkte input'!$A$3:$A$230,$A$1)),IF(VLOOKUP($A431,[1]!Table1[#All],2,FALSE)="Resultat",SUMIF($F$1:$F430,$D431,J$1:J430)+SUMIF($F432:$F$512,$D431,J432:J$512),0))*'[1]Processer - data'!J431,"")*IF($C431&lt;&gt;"",IF($F431="Halm",Landbrug!E$16*Landbrug!E$17,IF(LEFT($D431,5)="Areal", IF($G431="Ton",Landbrug!E$18,1),1)),1)*IF($F431="Grøntsager",IF($A431="Grøntsager i drivhus",Landbrug!E$51,1-Landbrug!E$51),1)</f>
        <v>4464.3125425236767</v>
      </c>
    </row>
    <row r="432" spans="1:10" x14ac:dyDescent="0.25">
      <c r="A432" t="str">
        <f>IF('[1]Processer - data'!A432&lt;&gt;"",'[1]Processer - data'!A432,"")</f>
        <v>Slagteri</v>
      </c>
      <c r="B432" t="str">
        <f>IF('[1]Processer - data'!B432&lt;&gt;"",'[1]Processer - data'!B432,"")</f>
        <v/>
      </c>
      <c r="C432" t="str">
        <f>IF('[1]Processer - data'!C432&lt;&gt;"",'[1]Processer - data'!C432,"")</f>
        <v/>
      </c>
      <c r="D432" t="str">
        <f>IF('[1]Processer - data'!D432&lt;&gt;"",'[1]Processer - data'!D432,"")</f>
        <v>Slagtesvin</v>
      </c>
      <c r="E432" t="str">
        <f>IF('[1]Processer - data'!E432&lt;&gt;"",'[1]Processer - data'!E432,"")</f>
        <v>Antal</v>
      </c>
      <c r="F432" t="str">
        <f>IF('[1]Processer - data'!F432&lt;&gt;"",'[1]Processer - data'!F432,"")</f>
        <v>Slagteriaffald til foder</v>
      </c>
      <c r="G432" t="str">
        <f>IF('[1]Processer - data'!G432&lt;&gt;"",'[1]Processer - data'!G432,"")</f>
        <v>Ton</v>
      </c>
      <c r="H432" s="297">
        <f>IF($A432&lt;&gt;"",IF(VLOOKUP($A432,[1]!Table1[#All],2,FALSE)="Direkte input",IF($A432&lt;&gt;"Grøntsager i drivhus",SUMIFS('Direkte input'!G$3:G$230,'Direkte input'!$F$3:$F$230,$D432,'Direkte input'!$C$3:$C$230,$B432,'Direkte input'!$D$3:$D$230,$C432,'Direkte input'!$A$3:$A$230,$A$1),SUMIFS('Direkte input'!G$3:G$230,'Direkte input'!$F$3:$F$230,$D432,'Direkte input'!$C$3:$C$230,$B432,'Direkte input'!$A$3:$A$230,$A$1)),IF(VLOOKUP($A432,[1]!Table1[#All],2,FALSE)="Resultat",SUMIF($F$1:$F431,$D432,H$1:H431)+SUMIF($F433:$F$512,$D432,H433:H$512),0))*'[1]Processer - data'!H432,"")*IF($C432&lt;&gt;"",IF($F432="Halm",Landbrug!C$16*Landbrug!C$17,IF(LEFT($D432,5)="Areal", IF($G432="Ton",Landbrug!C$18,1),1)),1)*IF($F432="Grøntsager",IF($A432="Grøntsager i drivhus",Landbrug!C$51,1-Landbrug!C$51),1)</f>
        <v>18438.823741508058</v>
      </c>
      <c r="I432" s="298">
        <f>IF($A432&lt;&gt;"",IF(VLOOKUP($A432,[1]!Table1[#All],2,FALSE)="Direkte input",IF($A432&lt;&gt;"Grøntsager i drivhus",SUMIFS('Direkte input'!H$3:H$230,'Direkte input'!$F$3:$F$230,$D432,'Direkte input'!$C$3:$C$230,$B432,'Direkte input'!$D$3:$D$230,$C432,'Direkte input'!$A$3:$A$230,$A$1),SUMIFS('Direkte input'!H$3:H$230,'Direkte input'!$F$3:$F$230,$D432,'Direkte input'!$C$3:$C$230,$B432,'Direkte input'!$A$3:$A$230,$A$1)),IF(VLOOKUP($A432,[1]!Table1[#All],2,FALSE)="Resultat",SUMIF($F$1:$F431,$D432,I$1:I431)+SUMIF($F433:$F$512,$D432,I433:I$512),0))*'[1]Processer - data'!I432,"")*IF($C432&lt;&gt;"",IF($F432="Halm",Landbrug!D$16*Landbrug!D$17,IF(LEFT($D432,5)="Areal", IF($G432="Ton",Landbrug!D$18,1),1)),1)*IF($F432="Grøntsager",IF($A432="Grøntsager i drivhus",Landbrug!D$51,1-Landbrug!D$51),1)</f>
        <v>21368.818315234308</v>
      </c>
      <c r="J432" s="299">
        <f>IF($A432&lt;&gt;"",IF(VLOOKUP($A432,[1]!Table1[#All],2,FALSE)="Direkte input",IF($A432&lt;&gt;"Grøntsager i drivhus",SUMIFS('Direkte input'!I$3:I$230,'Direkte input'!$F$3:$F$230,$D432,'Direkte input'!$C$3:$C$230,$B432,'Direkte input'!$D$3:$D$230,$C432,'Direkte input'!$A$3:$A$230,$A$1),SUMIFS('Direkte input'!I$3:I$230,'Direkte input'!$F$3:$F$230,$D432,'Direkte input'!$C$3:$C$230,$B432,'Direkte input'!$A$3:$A$230,$A$1)),IF(VLOOKUP($A432,[1]!Table1[#All],2,FALSE)="Resultat",SUMIF($F$1:$F431,$D432,J$1:J431)+SUMIF($F433:$F$512,$D432,J433:J$512),0))*'[1]Processer - data'!J432,"")*IF($C432&lt;&gt;"",IF($F432="Halm",Landbrug!E$16*Landbrug!E$17,IF(LEFT($D432,5)="Areal", IF($G432="Ton",Landbrug!E$18,1),1)),1)*IF($F432="Grøntsager",IF($A432="Grøntsager i drivhus",Landbrug!E$51,1-Landbrug!E$51),1)</f>
        <v>20781.690756618176</v>
      </c>
    </row>
    <row r="433" spans="1:10" x14ac:dyDescent="0.25">
      <c r="A433" t="str">
        <f>IF('[1]Processer - data'!A433&lt;&gt;"",'[1]Processer - data'!A433,"")</f>
        <v>Slagteri</v>
      </c>
      <c r="B433" t="str">
        <f>IF('[1]Processer - data'!B433&lt;&gt;"",'[1]Processer - data'!B433,"")</f>
        <v/>
      </c>
      <c r="C433" t="str">
        <f>IF('[1]Processer - data'!C433&lt;&gt;"",'[1]Processer - data'!C433,"")</f>
        <v/>
      </c>
      <c r="D433" t="str">
        <f>IF('[1]Processer - data'!D433&lt;&gt;"",'[1]Processer - data'!D433,"")</f>
        <v>Slagtesvin</v>
      </c>
      <c r="E433" t="str">
        <f>IF('[1]Processer - data'!E433&lt;&gt;"",'[1]Processer - data'!E433,"")</f>
        <v>Antal</v>
      </c>
      <c r="F433" t="str">
        <f>IF('[1]Processer - data'!F433&lt;&gt;"",'[1]Processer - data'!F433,"")</f>
        <v>Slagteriaffald til andet</v>
      </c>
      <c r="G433" t="str">
        <f>IF('[1]Processer - data'!G433&lt;&gt;"",'[1]Processer - data'!G433,"")</f>
        <v>Ton</v>
      </c>
      <c r="H433" s="297">
        <f>IF($A433&lt;&gt;"",IF(VLOOKUP($A433,[1]!Table1[#All],2,FALSE)="Direkte input",IF($A433&lt;&gt;"Grøntsager i drivhus",SUMIFS('Direkte input'!G$3:G$230,'Direkte input'!$F$3:$F$230,$D433,'Direkte input'!$C$3:$C$230,$B433,'Direkte input'!$D$3:$D$230,$C433,'Direkte input'!$A$3:$A$230,$A$1),SUMIFS('Direkte input'!G$3:G$230,'Direkte input'!$F$3:$F$230,$D433,'Direkte input'!$C$3:$C$230,$B433,'Direkte input'!$A$3:$A$230,$A$1)),IF(VLOOKUP($A433,[1]!Table1[#All],2,FALSE)="Resultat",SUMIF($F$1:$F432,$D433,H$1:H432)+SUMIF($F434:$F$512,$D433,H434:H$512),0))*'[1]Processer - data'!H433,"")*IF($C433&lt;&gt;"",IF($F433="Halm",Landbrug!C$16*Landbrug!C$17,IF(LEFT($D433,5)="Areal", IF($G433="Ton",Landbrug!C$18,1),1)),1)*IF($F433="Grøntsager",IF($A433="Grøntsager i drivhus",Landbrug!C$51,1-Landbrug!C$51),1)</f>
        <v>18193.595560018719</v>
      </c>
      <c r="I433" s="298">
        <f>IF($A433&lt;&gt;"",IF(VLOOKUP($A433,[1]!Table1[#All],2,FALSE)="Direkte input",IF($A433&lt;&gt;"Grøntsager i drivhus",SUMIFS('Direkte input'!H$3:H$230,'Direkte input'!$F$3:$F$230,$D433,'Direkte input'!$C$3:$C$230,$B433,'Direkte input'!$D$3:$D$230,$C433,'Direkte input'!$A$3:$A$230,$A$1),SUMIFS('Direkte input'!H$3:H$230,'Direkte input'!$F$3:$F$230,$D433,'Direkte input'!$C$3:$C$230,$B433,'Direkte input'!$A$3:$A$230,$A$1)),IF(VLOOKUP($A433,[1]!Table1[#All],2,FALSE)="Resultat",SUMIF($F$1:$F432,$D433,I$1:I432)+SUMIF($F434:$F$512,$D433,I434:I$512),0))*'[1]Processer - data'!I433,"")*IF($C433&lt;&gt;"",IF($F433="Halm",Landbrug!D$16*Landbrug!D$17,IF(LEFT($D433,5)="Areal", IF($G433="Ton",Landbrug!D$18,1),1)),1)*IF($F433="Grøntsager",IF($A433="Grøntsager i drivhus",Landbrug!D$51,1-Landbrug!D$51),1)</f>
        <v>21084.62250483537</v>
      </c>
      <c r="J433" s="299">
        <f>IF($A433&lt;&gt;"",IF(VLOOKUP($A433,[1]!Table1[#All],2,FALSE)="Direkte input",IF($A433&lt;&gt;"Grøntsager i drivhus",SUMIFS('Direkte input'!I$3:I$230,'Direkte input'!$F$3:$F$230,$D433,'Direkte input'!$C$3:$C$230,$B433,'Direkte input'!$D$3:$D$230,$C433,'Direkte input'!$A$3:$A$230,$A$1),SUMIFS('Direkte input'!I$3:I$230,'Direkte input'!$F$3:$F$230,$D433,'Direkte input'!$C$3:$C$230,$B433,'Direkte input'!$A$3:$A$230,$A$1)),IF(VLOOKUP($A433,[1]!Table1[#All],2,FALSE)="Resultat",SUMIF($F$1:$F432,$D433,J$1:J432)+SUMIF($F434:$F$512,$D433,J434:J$512),0))*'[1]Processer - data'!J433,"")*IF($C433&lt;&gt;"",IF($F433="Halm",Landbrug!E$16*Landbrug!E$17,IF(LEFT($D433,5)="Areal", IF($G433="Ton",Landbrug!E$18,1),1)),1)*IF($F433="Grøntsager",IF($A433="Grøntsager i drivhus",Landbrug!E$51,1-Landbrug!E$51),1)</f>
        <v>20505.303482464293</v>
      </c>
    </row>
    <row r="434" spans="1:10" x14ac:dyDescent="0.25">
      <c r="A434" t="str">
        <f>IF('[1]Processer - data'!A434&lt;&gt;"",'[1]Processer - data'!A434,"")</f>
        <v>Slagteri</v>
      </c>
      <c r="B434" t="str">
        <f>IF('[1]Processer - data'!B434&lt;&gt;"",'[1]Processer - data'!B434,"")</f>
        <v/>
      </c>
      <c r="C434" t="str">
        <f>IF('[1]Processer - data'!C434&lt;&gt;"",'[1]Processer - data'!C434,"")</f>
        <v/>
      </c>
      <c r="D434" t="str">
        <f>IF('[1]Processer - data'!D434&lt;&gt;"",'[1]Processer - data'!D434,"")</f>
        <v>Slagtekøer</v>
      </c>
      <c r="E434" t="str">
        <f>IF('[1]Processer - data'!E434&lt;&gt;"",'[1]Processer - data'!E434,"")</f>
        <v>Antal</v>
      </c>
      <c r="F434" t="str">
        <f>IF('[1]Processer - data'!F434&lt;&gt;"",'[1]Processer - data'!F434,"")</f>
        <v>Oksekød</v>
      </c>
      <c r="G434" t="str">
        <f>IF('[1]Processer - data'!G434&lt;&gt;"",'[1]Processer - data'!G434,"")</f>
        <v>Ton</v>
      </c>
      <c r="H434" s="297">
        <f>IF($A434&lt;&gt;"",IF(VLOOKUP($A434,[1]!Table1[#All],2,FALSE)="Direkte input",IF($A434&lt;&gt;"Grøntsager i drivhus",SUMIFS('Direkte input'!G$3:G$230,'Direkte input'!$F$3:$F$230,$D434,'Direkte input'!$C$3:$C$230,$B434,'Direkte input'!$D$3:$D$230,$C434,'Direkte input'!$A$3:$A$230,$A$1),SUMIFS('Direkte input'!G$3:G$230,'Direkte input'!$F$3:$F$230,$D434,'Direkte input'!$C$3:$C$230,$B434,'Direkte input'!$A$3:$A$230,$A$1)),IF(VLOOKUP($A434,[1]!Table1[#All],2,FALSE)="Resultat",SUMIF($F$1:$F433,$D434,H$1:H433)+SUMIF($F435:$F$512,$D434,H435:H$512),0))*'[1]Processer - data'!H434,"")*IF($C434&lt;&gt;"",IF($F434="Halm",Landbrug!C$16*Landbrug!C$17,IF(LEFT($D434,5)="Areal", IF($G434="Ton",Landbrug!C$18,1),1)),1)*IF($F434="Grøntsager",IF($A434="Grøntsager i drivhus",Landbrug!C$51,1-Landbrug!C$51),1)</f>
        <v>7577.0634215631153</v>
      </c>
      <c r="I434" s="298">
        <f>IF($A434&lt;&gt;"",IF(VLOOKUP($A434,[1]!Table1[#All],2,FALSE)="Direkte input",IF($A434&lt;&gt;"Grøntsager i drivhus",SUMIFS('Direkte input'!H$3:H$230,'Direkte input'!$F$3:$F$230,$D434,'Direkte input'!$C$3:$C$230,$B434,'Direkte input'!$D$3:$D$230,$C434,'Direkte input'!$A$3:$A$230,$A$1),SUMIFS('Direkte input'!H$3:H$230,'Direkte input'!$F$3:$F$230,$D434,'Direkte input'!$C$3:$C$230,$B434,'Direkte input'!$A$3:$A$230,$A$1)),IF(VLOOKUP($A434,[1]!Table1[#All],2,FALSE)="Resultat",SUMIF($F$1:$F433,$D434,I$1:I433)+SUMIF($F435:$F$512,$D434,I435:I$512),0))*'[1]Processer - data'!I434,"")*IF($C434&lt;&gt;"",IF($F434="Halm",Landbrug!D$16*Landbrug!D$17,IF(LEFT($D434,5)="Areal", IF($G434="Ton",Landbrug!D$18,1),1)),1)*IF($F434="Grøntsager",IF($A434="Grøntsager i drivhus",Landbrug!D$51,1-Landbrug!D$51),1)</f>
        <v>9054.9543846077213</v>
      </c>
      <c r="J434" s="299">
        <f>IF($A434&lt;&gt;"",IF(VLOOKUP($A434,[1]!Table1[#All],2,FALSE)="Direkte input",IF($A434&lt;&gt;"Grøntsager i drivhus",SUMIFS('Direkte input'!I$3:I$230,'Direkte input'!$F$3:$F$230,$D434,'Direkte input'!$C$3:$C$230,$B434,'Direkte input'!$D$3:$D$230,$C434,'Direkte input'!$A$3:$A$230,$A$1),SUMIFS('Direkte input'!I$3:I$230,'Direkte input'!$F$3:$F$230,$D434,'Direkte input'!$C$3:$C$230,$B434,'Direkte input'!$A$3:$A$230,$A$1)),IF(VLOOKUP($A434,[1]!Table1[#All],2,FALSE)="Resultat",SUMIF($F$1:$F433,$D434,J$1:J433)+SUMIF($F435:$F$512,$D434,J435:J$512),0))*'[1]Processer - data'!J434,"")*IF($C434&lt;&gt;"",IF($F434="Halm",Landbrug!E$16*Landbrug!E$17,IF(LEFT($D434,5)="Areal", IF($G434="Ton",Landbrug!E$18,1),1)),1)*IF($F434="Grøntsager",IF($A434="Grøntsager i drivhus",Landbrug!E$51,1-Landbrug!E$51),1)</f>
        <v>8766.6762558976552</v>
      </c>
    </row>
    <row r="435" spans="1:10" x14ac:dyDescent="0.25">
      <c r="A435" t="str">
        <f>IF('[1]Processer - data'!A435&lt;&gt;"",'[1]Processer - data'!A435,"")</f>
        <v>Slagteri</v>
      </c>
      <c r="B435" t="str">
        <f>IF('[1]Processer - data'!B435&lt;&gt;"",'[1]Processer - data'!B435,"")</f>
        <v/>
      </c>
      <c r="C435" t="str">
        <f>IF('[1]Processer - data'!C435&lt;&gt;"",'[1]Processer - data'!C435,"")</f>
        <v/>
      </c>
      <c r="D435" t="str">
        <f>IF('[1]Processer - data'!D435&lt;&gt;"",'[1]Processer - data'!D435,"")</f>
        <v>Slagtekøer</v>
      </c>
      <c r="E435" t="str">
        <f>IF('[1]Processer - data'!E435&lt;&gt;"",'[1]Processer - data'!E435,"")</f>
        <v>Antal</v>
      </c>
      <c r="F435" t="str">
        <f>IF('[1]Processer - data'!F435&lt;&gt;"",'[1]Processer - data'!F435,"")</f>
        <v>Industriaffald</v>
      </c>
      <c r="G435" t="str">
        <f>IF('[1]Processer - data'!G435&lt;&gt;"",'[1]Processer - data'!G435,"")</f>
        <v>Ton</v>
      </c>
      <c r="H435" s="297">
        <f>IF($A435&lt;&gt;"",IF(VLOOKUP($A435,[1]!Table1[#All],2,FALSE)="Direkte input",IF($A435&lt;&gt;"Grøntsager i drivhus",SUMIFS('Direkte input'!G$3:G$230,'Direkte input'!$F$3:$F$230,$D435,'Direkte input'!$C$3:$C$230,$B435,'Direkte input'!$D$3:$D$230,$C435,'Direkte input'!$A$3:$A$230,$A$1),SUMIFS('Direkte input'!G$3:G$230,'Direkte input'!$F$3:$F$230,$D435,'Direkte input'!$C$3:$C$230,$B435,'Direkte input'!$A$3:$A$230,$A$1)),IF(VLOOKUP($A435,[1]!Table1[#All],2,FALSE)="Resultat",SUMIF($F$1:$F434,$D435,H$1:H434)+SUMIF($F436:$F$512,$D435,H436:H$512),0))*'[1]Processer - data'!H435,"")*IF($C435&lt;&gt;"",IF($F435="Halm",Landbrug!C$16*Landbrug!C$17,IF(LEFT($D435,5)="Areal", IF($G435="Ton",Landbrug!C$18,1),1)),1)*IF($F435="Grøntsager",IF($A435="Grøntsager i drivhus",Landbrug!C$51,1-Landbrug!C$51),1)</f>
        <v>3275.6676732725955</v>
      </c>
      <c r="I435" s="298">
        <f>IF($A435&lt;&gt;"",IF(VLOOKUP($A435,[1]!Table1[#All],2,FALSE)="Direkte input",IF($A435&lt;&gt;"Grøntsager i drivhus",SUMIFS('Direkte input'!H$3:H$230,'Direkte input'!$F$3:$F$230,$D435,'Direkte input'!$C$3:$C$230,$B435,'Direkte input'!$D$3:$D$230,$C435,'Direkte input'!$A$3:$A$230,$A$1),SUMIFS('Direkte input'!H$3:H$230,'Direkte input'!$F$3:$F$230,$D435,'Direkte input'!$C$3:$C$230,$B435,'Direkte input'!$A$3:$A$230,$A$1)),IF(VLOOKUP($A435,[1]!Table1[#All],2,FALSE)="Resultat",SUMIF($F$1:$F434,$D435,I$1:I434)+SUMIF($F436:$F$512,$D435,I436:I$512),0))*'[1]Processer - data'!I435,"")*IF($C435&lt;&gt;"",IF($F435="Halm",Landbrug!D$16*Landbrug!D$17,IF(LEFT($D435,5)="Areal", IF($G435="Ton",Landbrug!D$18,1),1)),1)*IF($F435="Grøntsager",IF($A435="Grøntsager i drivhus",Landbrug!D$51,1-Landbrug!D$51),1)</f>
        <v>4391.7262554195477</v>
      </c>
      <c r="J435" s="299">
        <f>IF($A435&lt;&gt;"",IF(VLOOKUP($A435,[1]!Table1[#All],2,FALSE)="Direkte input",IF($A435&lt;&gt;"Grøntsager i drivhus",SUMIFS('Direkte input'!I$3:I$230,'Direkte input'!$F$3:$F$230,$D435,'Direkte input'!$C$3:$C$230,$B435,'Direkte input'!$D$3:$D$230,$C435,'Direkte input'!$A$3:$A$230,$A$1),SUMIFS('Direkte input'!I$3:I$230,'Direkte input'!$F$3:$F$230,$D435,'Direkte input'!$C$3:$C$230,$B435,'Direkte input'!$A$3:$A$230,$A$1)),IF(VLOOKUP($A435,[1]!Table1[#All],2,FALSE)="Resultat",SUMIF($F$1:$F434,$D435,J$1:J434)+SUMIF($F436:$F$512,$D435,J436:J$512),0))*'[1]Processer - data'!J435,"")*IF($C435&lt;&gt;"",IF($F435="Halm",Landbrug!E$16*Landbrug!E$17,IF(LEFT($D435,5)="Areal", IF($G435="Ton",Landbrug!E$18,1),1)),1)*IF($F435="Grøntsager",IF($A435="Grøntsager i drivhus",Landbrug!E$51,1-Landbrug!E$51),1)</f>
        <v>4251.9090268677046</v>
      </c>
    </row>
    <row r="436" spans="1:10" x14ac:dyDescent="0.25">
      <c r="A436" t="str">
        <f>IF('[1]Processer - data'!A436&lt;&gt;"",'[1]Processer - data'!A436,"")</f>
        <v>Slagteri</v>
      </c>
      <c r="B436" t="str">
        <f>IF('[1]Processer - data'!B436&lt;&gt;"",'[1]Processer - data'!B436,"")</f>
        <v/>
      </c>
      <c r="C436" t="str">
        <f>IF('[1]Processer - data'!C436&lt;&gt;"",'[1]Processer - data'!C436,"")</f>
        <v/>
      </c>
      <c r="D436" t="str">
        <f>IF('[1]Processer - data'!D436&lt;&gt;"",'[1]Processer - data'!D436,"")</f>
        <v>Slagtekøer</v>
      </c>
      <c r="E436" t="str">
        <f>IF('[1]Processer - data'!E436&lt;&gt;"",'[1]Processer - data'!E436,"")</f>
        <v>Antal</v>
      </c>
      <c r="F436" t="str">
        <f>IF('[1]Processer - data'!F436&lt;&gt;"",'[1]Processer - data'!F436,"")</f>
        <v>Slagteriaffald til foder</v>
      </c>
      <c r="G436" t="str">
        <f>IF('[1]Processer - data'!G436&lt;&gt;"",'[1]Processer - data'!G436,"")</f>
        <v>Ton</v>
      </c>
      <c r="H436" s="297">
        <f>IF($A436&lt;&gt;"",IF(VLOOKUP($A436,[1]!Table1[#All],2,FALSE)="Direkte input",IF($A436&lt;&gt;"Grøntsager i drivhus",SUMIFS('Direkte input'!G$3:G$230,'Direkte input'!$F$3:$F$230,$D436,'Direkte input'!$C$3:$C$230,$B436,'Direkte input'!$D$3:$D$230,$C436,'Direkte input'!$A$3:$A$230,$A$1),SUMIFS('Direkte input'!G$3:G$230,'Direkte input'!$F$3:$F$230,$D436,'Direkte input'!$C$3:$C$230,$B436,'Direkte input'!$A$3:$A$230,$A$1)),IF(VLOOKUP($A436,[1]!Table1[#All],2,FALSE)="Resultat",SUMIF($F$1:$F435,$D436,H$1:H435)+SUMIF($F437:$F$512,$D436,H437:H$512),0))*'[1]Processer - data'!H436,"")*IF($C436&lt;&gt;"",IF($F436="Halm",Landbrug!C$16*Landbrug!C$17,IF(LEFT($D436,5)="Areal", IF($G436="Ton",Landbrug!C$18,1),1)),1)*IF($F436="Grøntsager",IF($A436="Grøntsager i drivhus",Landbrug!C$51,1-Landbrug!C$51),1)</f>
        <v>485.07942488126918</v>
      </c>
      <c r="I436" s="298">
        <f>IF($A436&lt;&gt;"",IF(VLOOKUP($A436,[1]!Table1[#All],2,FALSE)="Direkte input",IF($A436&lt;&gt;"Grøntsager i drivhus",SUMIFS('Direkte input'!H$3:H$230,'Direkte input'!$F$3:$F$230,$D436,'Direkte input'!$C$3:$C$230,$B436,'Direkte input'!$D$3:$D$230,$C436,'Direkte input'!$A$3:$A$230,$A$1),SUMIFS('Direkte input'!H$3:H$230,'Direkte input'!$F$3:$F$230,$D436,'Direkte input'!$C$3:$C$230,$B436,'Direkte input'!$A$3:$A$230,$A$1)),IF(VLOOKUP($A436,[1]!Table1[#All],2,FALSE)="Resultat",SUMIF($F$1:$F435,$D436,I$1:I435)+SUMIF($F437:$F$512,$D436,I437:I$512),0))*'[1]Processer - data'!I436,"")*IF($C436&lt;&gt;"",IF($F436="Halm",Landbrug!D$16*Landbrug!D$17,IF(LEFT($D436,5)="Areal", IF($G436="Ton",Landbrug!D$18,1),1)),1)*IF($F436="Grøntsager",IF($A436="Grøntsager i drivhus",Landbrug!D$51,1-Landbrug!D$51),1)</f>
        <v>579.69318993841989</v>
      </c>
      <c r="J436" s="299">
        <f>IF($A436&lt;&gt;"",IF(VLOOKUP($A436,[1]!Table1[#All],2,FALSE)="Direkte input",IF($A436&lt;&gt;"Grøntsager i drivhus",SUMIFS('Direkte input'!I$3:I$230,'Direkte input'!$F$3:$F$230,$D436,'Direkte input'!$C$3:$C$230,$B436,'Direkte input'!$D$3:$D$230,$C436,'Direkte input'!$A$3:$A$230,$A$1),SUMIFS('Direkte input'!I$3:I$230,'Direkte input'!$F$3:$F$230,$D436,'Direkte input'!$C$3:$C$230,$B436,'Direkte input'!$A$3:$A$230,$A$1)),IF(VLOOKUP($A436,[1]!Table1[#All],2,FALSE)="Resultat",SUMIF($F$1:$F435,$D436,J$1:J435)+SUMIF($F437:$F$512,$D436,J437:J$512),0))*'[1]Processer - data'!J436,"")*IF($C436&lt;&gt;"",IF($F436="Halm",Landbrug!E$16*Landbrug!E$17,IF(LEFT($D436,5)="Areal", IF($G436="Ton",Landbrug!E$18,1),1)),1)*IF($F436="Grøntsager",IF($A436="Grøntsager i drivhus",Landbrug!E$51,1-Landbrug!E$51),1)</f>
        <v>561.23778299506876</v>
      </c>
    </row>
    <row r="437" spans="1:10" x14ac:dyDescent="0.25">
      <c r="A437" t="str">
        <f>IF('[1]Processer - data'!A437&lt;&gt;"",'[1]Processer - data'!A437,"")</f>
        <v>Slagteri</v>
      </c>
      <c r="B437" t="str">
        <f>IF('[1]Processer - data'!B437&lt;&gt;"",'[1]Processer - data'!B437,"")</f>
        <v/>
      </c>
      <c r="C437" t="str">
        <f>IF('[1]Processer - data'!C437&lt;&gt;"",'[1]Processer - data'!C437,"")</f>
        <v/>
      </c>
      <c r="D437" t="str">
        <f>IF('[1]Processer - data'!D437&lt;&gt;"",'[1]Processer - data'!D437,"")</f>
        <v>Slagtekøer</v>
      </c>
      <c r="E437" t="str">
        <f>IF('[1]Processer - data'!E437&lt;&gt;"",'[1]Processer - data'!E437,"")</f>
        <v>Antal</v>
      </c>
      <c r="F437" t="str">
        <f>IF('[1]Processer - data'!F437&lt;&gt;"",'[1]Processer - data'!F437,"")</f>
        <v>Slagteriaffald til andet</v>
      </c>
      <c r="G437" t="str">
        <f>IF('[1]Processer - data'!G437&lt;&gt;"",'[1]Processer - data'!G437,"")</f>
        <v>Ton</v>
      </c>
      <c r="H437" s="297">
        <f>IF($A437&lt;&gt;"",IF(VLOOKUP($A437,[1]!Table1[#All],2,FALSE)="Direkte input",IF($A437&lt;&gt;"Grøntsager i drivhus",SUMIFS('Direkte input'!G$3:G$230,'Direkte input'!$F$3:$F$230,$D437,'Direkte input'!$C$3:$C$230,$B437,'Direkte input'!$D$3:$D$230,$C437,'Direkte input'!$A$3:$A$230,$A$1),SUMIFS('Direkte input'!G$3:G$230,'Direkte input'!$F$3:$F$230,$D437,'Direkte input'!$C$3:$C$230,$B437,'Direkte input'!$A$3:$A$230,$A$1)),IF(VLOOKUP($A437,[1]!Table1[#All],2,FALSE)="Resultat",SUMIF($F$1:$F436,$D437,H$1:H436)+SUMIF($F438:$F$512,$D437,H438:H$512),0))*'[1]Processer - data'!H437,"")*IF($C437&lt;&gt;"",IF($F437="Halm",Landbrug!C$16*Landbrug!C$17,IF(LEFT($D437,5)="Areal", IF($G437="Ton",Landbrug!C$18,1),1)),1)*IF($F437="Grøntsager",IF($A437="Grøntsager i drivhus",Landbrug!C$51,1-Landbrug!C$51),1)</f>
        <v>4985.8796582732966</v>
      </c>
      <c r="I437" s="298">
        <f>IF($A437&lt;&gt;"",IF(VLOOKUP($A437,[1]!Table1[#All],2,FALSE)="Direkte input",IF($A437&lt;&gt;"Grøntsager i drivhus",SUMIFS('Direkte input'!H$3:H$230,'Direkte input'!$F$3:$F$230,$D437,'Direkte input'!$C$3:$C$230,$B437,'Direkte input'!$D$3:$D$230,$C437,'Direkte input'!$A$3:$A$230,$A$1),SUMIFS('Direkte input'!H$3:H$230,'Direkte input'!$F$3:$F$230,$D437,'Direkte input'!$C$3:$C$230,$B437,'Direkte input'!$A$3:$A$230,$A$1)),IF(VLOOKUP($A437,[1]!Table1[#All],2,FALSE)="Resultat",SUMIF($F$1:$F436,$D437,I$1:I436)+SUMIF($F438:$F$512,$D437,I438:I$512),0))*'[1]Processer - data'!I437,"")*IF($C437&lt;&gt;"",IF($F437="Halm",Landbrug!D$16*Landbrug!D$17,IF(LEFT($D437,5)="Areal", IF($G437="Ton",Landbrug!D$18,1),1)),1)*IF($F437="Grøntsager",IF($A437="Grøntsager i drivhus",Landbrug!D$51,1-Landbrug!D$51),1)</f>
        <v>5958.3654459493264</v>
      </c>
      <c r="J437" s="299">
        <f>IF($A437&lt;&gt;"",IF(VLOOKUP($A437,[1]!Table1[#All],2,FALSE)="Direkte input",IF($A437&lt;&gt;"Grøntsager i drivhus",SUMIFS('Direkte input'!I$3:I$230,'Direkte input'!$F$3:$F$230,$D437,'Direkte input'!$C$3:$C$230,$B437,'Direkte input'!$D$3:$D$230,$C437,'Direkte input'!$A$3:$A$230,$A$1),SUMIFS('Direkte input'!I$3:I$230,'Direkte input'!$F$3:$F$230,$D437,'Direkte input'!$C$3:$C$230,$B437,'Direkte input'!$A$3:$A$230,$A$1)),IF(VLOOKUP($A437,[1]!Table1[#All],2,FALSE)="Resultat",SUMIF($F$1:$F436,$D437,J$1:J436)+SUMIF($F438:$F$512,$D437,J438:J$512),0))*'[1]Processer - data'!J437,"")*IF($C437&lt;&gt;"",IF($F437="Halm",Landbrug!E$16*Landbrug!E$17,IF(LEFT($D437,5)="Areal", IF($G437="Ton",Landbrug!E$18,1),1)),1)*IF($F437="Grøntsager",IF($A437="Grøntsager i drivhus",Landbrug!E$51,1-Landbrug!E$51),1)</f>
        <v>5768.671896101212</v>
      </c>
    </row>
    <row r="438" spans="1:10" x14ac:dyDescent="0.25">
      <c r="A438" t="str">
        <f>IF('[1]Processer - data'!A438&lt;&gt;"",'[1]Processer - data'!A438,"")</f>
        <v>Slagteri</v>
      </c>
      <c r="B438" t="str">
        <f>IF('[1]Processer - data'!B438&lt;&gt;"",'[1]Processer - data'!B438,"")</f>
        <v/>
      </c>
      <c r="C438" t="str">
        <f>IF('[1]Processer - data'!C438&lt;&gt;"",'[1]Processer - data'!C438,"")</f>
        <v/>
      </c>
      <c r="D438" t="str">
        <f>IF('[1]Processer - data'!D438&lt;&gt;"",'[1]Processer - data'!D438,"")</f>
        <v>Slagtefjerkræ</v>
      </c>
      <c r="E438" t="str">
        <f>IF('[1]Processer - data'!E438&lt;&gt;"",'[1]Processer - data'!E438,"")</f>
        <v>Antal</v>
      </c>
      <c r="F438" t="str">
        <f>IF('[1]Processer - data'!F438&lt;&gt;"",'[1]Processer - data'!F438,"")</f>
        <v>Fjerkrækød</v>
      </c>
      <c r="G438" t="str">
        <f>IF('[1]Processer - data'!G438&lt;&gt;"",'[1]Processer - data'!G438,"")</f>
        <v>Ton</v>
      </c>
      <c r="H438" s="297">
        <f>IF($A438&lt;&gt;"",IF(VLOOKUP($A438,[1]!Table1[#All],2,FALSE)="Direkte input",IF($A438&lt;&gt;"Grøntsager i drivhus",SUMIFS('Direkte input'!G$3:G$230,'Direkte input'!$F$3:$F$230,$D438,'Direkte input'!$C$3:$C$230,$B438,'Direkte input'!$D$3:$D$230,$C438,'Direkte input'!$A$3:$A$230,$A$1),SUMIFS('Direkte input'!G$3:G$230,'Direkte input'!$F$3:$F$230,$D438,'Direkte input'!$C$3:$C$230,$B438,'Direkte input'!$A$3:$A$230,$A$1)),IF(VLOOKUP($A438,[1]!Table1[#All],2,FALSE)="Resultat",SUMIF($F$1:$F437,$D438,H$1:H437)+SUMIF($F439:$F$512,$D438,H439:H$512),0))*'[1]Processer - data'!H438,"")*IF($C438&lt;&gt;"",IF($F438="Halm",Landbrug!C$16*Landbrug!C$17,IF(LEFT($D438,5)="Areal", IF($G438="Ton",Landbrug!C$18,1),1)),1)*IF($F438="Grøntsager",IF($A438="Grøntsager i drivhus",Landbrug!C$51,1-Landbrug!C$51),1)</f>
        <v>15969.006082579654</v>
      </c>
      <c r="I438" s="298">
        <f>IF($A438&lt;&gt;"",IF(VLOOKUP($A438,[1]!Table1[#All],2,FALSE)="Direkte input",IF($A438&lt;&gt;"Grøntsager i drivhus",SUMIFS('Direkte input'!H$3:H$230,'Direkte input'!$F$3:$F$230,$D438,'Direkte input'!$C$3:$C$230,$B438,'Direkte input'!$D$3:$D$230,$C438,'Direkte input'!$A$3:$A$230,$A$1),SUMIFS('Direkte input'!H$3:H$230,'Direkte input'!$F$3:$F$230,$D438,'Direkte input'!$C$3:$C$230,$B438,'Direkte input'!$A$3:$A$230,$A$1)),IF(VLOOKUP($A438,[1]!Table1[#All],2,FALSE)="Resultat",SUMIF($F$1:$F437,$D438,I$1:I437)+SUMIF($F439:$F$512,$D438,I439:I$512),0))*'[1]Processer - data'!I438,"")*IF($C438&lt;&gt;"",IF($F438="Halm",Landbrug!D$16*Landbrug!D$17,IF(LEFT($D438,5)="Areal", IF($G438="Ton",Landbrug!D$18,1),1)),1)*IF($F438="Grøntsager",IF($A438="Grøntsager i drivhus",Landbrug!D$51,1-Landbrug!D$51),1)</f>
        <v>18292.854791513339</v>
      </c>
      <c r="J438" s="299">
        <f>IF($A438&lt;&gt;"",IF(VLOOKUP($A438,[1]!Table1[#All],2,FALSE)="Direkte input",IF($A438&lt;&gt;"Grøntsager i drivhus",SUMIFS('Direkte input'!I$3:I$230,'Direkte input'!$F$3:$F$230,$D438,'Direkte input'!$C$3:$C$230,$B438,'Direkte input'!$D$3:$D$230,$C438,'Direkte input'!$A$3:$A$230,$A$1),SUMIFS('Direkte input'!I$3:I$230,'Direkte input'!$F$3:$F$230,$D438,'Direkte input'!$C$3:$C$230,$B438,'Direkte input'!$A$3:$A$230,$A$1)),IF(VLOOKUP($A438,[1]!Table1[#All],2,FALSE)="Resultat",SUMIF($F$1:$F437,$D438,J$1:J437)+SUMIF($F439:$F$512,$D438,J439:J$512),0))*'[1]Processer - data'!J438,"")*IF($C438&lt;&gt;"",IF($F438="Halm",Landbrug!E$16*Landbrug!E$17,IF(LEFT($D438,5)="Areal", IF($G438="Ton",Landbrug!E$18,1),1)),1)*IF($F438="Grøntsager",IF($A438="Grøntsager i drivhus",Landbrug!E$51,1-Landbrug!E$51),1)</f>
        <v>17490.137871374405</v>
      </c>
    </row>
    <row r="439" spans="1:10" ht="15.75" thickBot="1" x14ac:dyDescent="0.3">
      <c r="A439" t="str">
        <f>IF('[1]Processer - data'!A439&lt;&gt;"",'[1]Processer - data'!A439,"")</f>
        <v>Slagteri</v>
      </c>
      <c r="B439" t="str">
        <f>IF('[1]Processer - data'!B439&lt;&gt;"",'[1]Processer - data'!B439,"")</f>
        <v/>
      </c>
      <c r="C439" t="str">
        <f>IF('[1]Processer - data'!C439&lt;&gt;"",'[1]Processer - data'!C439,"")</f>
        <v/>
      </c>
      <c r="D439" t="str">
        <f>IF('[1]Processer - data'!D439&lt;&gt;"",'[1]Processer - data'!D439,"")</f>
        <v>Slagtefjerkræ</v>
      </c>
      <c r="E439" t="str">
        <f>IF('[1]Processer - data'!E439&lt;&gt;"",'[1]Processer - data'!E439,"")</f>
        <v>Antal</v>
      </c>
      <c r="F439" t="str">
        <f>IF('[1]Processer - data'!F439&lt;&gt;"",'[1]Processer - data'!F439,"")</f>
        <v>Industriaffald</v>
      </c>
      <c r="G439" t="str">
        <f>IF('[1]Processer - data'!G439&lt;&gt;"",'[1]Processer - data'!G439,"")</f>
        <v>Ton</v>
      </c>
      <c r="H439" s="303">
        <f>IF($A439&lt;&gt;"",IF(VLOOKUP($A439,[1]!Table1[#All],2,FALSE)="Direkte input",IF($A439&lt;&gt;"Grøntsager i drivhus",SUMIFS('Direkte input'!G$3:G$230,'Direkte input'!$F$3:$F$230,$D439,'Direkte input'!$C$3:$C$230,$B439,'Direkte input'!$D$3:$D$230,$C439,'Direkte input'!$A$3:$A$230,$A$1),SUMIFS('Direkte input'!G$3:G$230,'Direkte input'!$F$3:$F$230,$D439,'Direkte input'!$C$3:$C$230,$B439,'Direkte input'!$A$3:$A$230,$A$1)),IF(VLOOKUP($A439,[1]!Table1[#All],2,FALSE)="Resultat",SUMIF($F$1:$F438,$D439,H$1:H438)+SUMIF($F440:$F$512,$D439,H440:H$512),0))*'[1]Processer - data'!H439,"")*IF($C439&lt;&gt;"",IF($F439="Halm",Landbrug!C$16*Landbrug!C$17,IF(LEFT($D439,5)="Areal", IF($G439="Ton",Landbrug!C$18,1),1)),1)*IF($F439="Grøntsager",IF($A439="Grøntsager i drivhus",Landbrug!C$51,1-Landbrug!C$51),1)</f>
        <v>43.642267650662333</v>
      </c>
      <c r="I439" s="304">
        <f>IF($A439&lt;&gt;"",IF(VLOOKUP($A439,[1]!Table1[#All],2,FALSE)="Direkte input",IF($A439&lt;&gt;"Grøntsager i drivhus",SUMIFS('Direkte input'!H$3:H$230,'Direkte input'!$F$3:$F$230,$D439,'Direkte input'!$C$3:$C$230,$B439,'Direkte input'!$D$3:$D$230,$C439,'Direkte input'!$A$3:$A$230,$A$1),SUMIFS('Direkte input'!H$3:H$230,'Direkte input'!$F$3:$F$230,$D439,'Direkte input'!$C$3:$C$230,$B439,'Direkte input'!$A$3:$A$230,$A$1)),IF(VLOOKUP($A439,[1]!Table1[#All],2,FALSE)="Resultat",SUMIF($F$1:$F438,$D439,I$1:I438)+SUMIF($F440:$F$512,$D439,I440:I$512),0))*'[1]Processer - data'!I439,"")*IF($C439&lt;&gt;"",IF($F439="Halm",Landbrug!D$16*Landbrug!D$17,IF(LEFT($D439,5)="Areal", IF($G439="Ton",Landbrug!D$18,1),1)),1)*IF($F439="Grøntsager",IF($A439="Grøntsager i drivhus",Landbrug!D$51,1-Landbrug!D$51),1)</f>
        <v>67.472893287329939</v>
      </c>
      <c r="J439" s="305">
        <f>IF($A439&lt;&gt;"",IF(VLOOKUP($A439,[1]!Table1[#All],2,FALSE)="Direkte input",IF($A439&lt;&gt;"Grøntsager i drivhus",SUMIFS('Direkte input'!I$3:I$230,'Direkte input'!$F$3:$F$230,$D439,'Direkte input'!$C$3:$C$230,$B439,'Direkte input'!$D$3:$D$230,$C439,'Direkte input'!$A$3:$A$230,$A$1),SUMIFS('Direkte input'!I$3:I$230,'Direkte input'!$F$3:$F$230,$D439,'Direkte input'!$C$3:$C$230,$B439,'Direkte input'!$A$3:$A$230,$A$1)),IF(VLOOKUP($A439,[1]!Table1[#All],2,FALSE)="Resultat",SUMIF($F$1:$F438,$D439,J$1:J438)+SUMIF($F440:$F$512,$D439,J440:J$512),0))*'[1]Processer - data'!J439,"")*IF($C439&lt;&gt;"",IF($F439="Halm",Landbrug!E$16*Landbrug!E$17,IF(LEFT($D439,5)="Areal", IF($G439="Ton",Landbrug!E$18,1),1)),1)*IF($F439="Grøntsager",IF($A439="Grøntsager i drivhus",Landbrug!E$51,1-Landbrug!E$51),1)</f>
        <v>64.512085162531633</v>
      </c>
    </row>
    <row r="440" spans="1:10" x14ac:dyDescent="0.25">
      <c r="A440" t="str">
        <f>IF('[1]Processer - data'!A440&lt;&gt;"",'[1]Processer - data'!A440,"")</f>
        <v>Foderproduktion</v>
      </c>
      <c r="B440" t="str">
        <f>IF('[1]Processer - data'!B440&lt;&gt;"",'[1]Processer - data'!B440,"")</f>
        <v/>
      </c>
      <c r="C440" t="str">
        <f>IF('[1]Processer - data'!C440&lt;&gt;"",'[1]Processer - data'!C440,"")</f>
        <v/>
      </c>
      <c r="D440" t="str">
        <f>IF('[1]Processer - data'!D440&lt;&gt;"",'[1]Processer - data'!D440,"")</f>
        <v>Korn</v>
      </c>
      <c r="E440" t="str">
        <f>IF('[1]Processer - data'!E440&lt;&gt;"",'[1]Processer - data'!E440,"")</f>
        <v>Ton</v>
      </c>
      <c r="F440" t="str">
        <f>IF('[1]Processer - data'!F440&lt;&gt;"",'[1]Processer - data'!F440,"")</f>
        <v>Foder</v>
      </c>
      <c r="G440" t="str">
        <f>IF('[1]Processer - data'!G440&lt;&gt;"",'[1]Processer - data'!G440,"")</f>
        <v>FE</v>
      </c>
      <c r="H440" s="272">
        <f>SUMIFS('Forbrug af biomasse'!$E$1:$E$425,'Forbrug af biomasse'!$A$1:$A$425,$F440,'Forbrug af biomasse'!$C$1:$C$425,$D440,'Forbrug af biomasse'!$B$1:$B$425,$A$1,'Forbrug af biomasse'!$D$1:$D$425,H$2)*'[1]Processer - data'!H440</f>
        <v>649382479.82762504</v>
      </c>
      <c r="I440" s="273">
        <f>SUMIFS('Forbrug af biomasse'!$E$1:$E$425,'Forbrug af biomasse'!$A$1:$A$425,$F440,'Forbrug af biomasse'!$C$1:$C$425,$D440,'Forbrug af biomasse'!$B$1:$B$425,$A$1,'Forbrug af biomasse'!$D$1:$D$425,I$2)*'[1]Processer - data'!I440</f>
        <v>779258975.79314995</v>
      </c>
      <c r="J440" s="274">
        <f>SUMIFS('Forbrug af biomasse'!$E$1:$E$425,'Forbrug af biomasse'!$A$1:$A$425,$F440,'Forbrug af biomasse'!$C$1:$C$425,$D440,'Forbrug af biomasse'!$B$1:$B$425,$A$1,'Forbrug af biomasse'!$D$1:$D$425,J$2)*'[1]Processer - data'!J440</f>
        <v>779258975.79315019</v>
      </c>
    </row>
    <row r="441" spans="1:10" x14ac:dyDescent="0.25">
      <c r="A441" t="str">
        <f>IF('[1]Processer - data'!A441&lt;&gt;"",'[1]Processer - data'!A441,"")</f>
        <v>Foderproduktion</v>
      </c>
      <c r="B441" t="str">
        <f>IF('[1]Processer - data'!B441&lt;&gt;"",'[1]Processer - data'!B441,"")</f>
        <v/>
      </c>
      <c r="C441" t="str">
        <f>IF('[1]Processer - data'!C441&lt;&gt;"",'[1]Processer - data'!C441,"")</f>
        <v/>
      </c>
      <c r="D441" t="str">
        <f>IF('[1]Processer - data'!D441&lt;&gt;"",'[1]Processer - data'!D441,"")</f>
        <v>Halm</v>
      </c>
      <c r="E441" t="str">
        <f>IF('[1]Processer - data'!E441&lt;&gt;"",'[1]Processer - data'!E441,"")</f>
        <v>Ton</v>
      </c>
      <c r="F441" t="str">
        <f>IF('[1]Processer - data'!F441&lt;&gt;"",'[1]Processer - data'!F441,"")</f>
        <v>Foder</v>
      </c>
      <c r="G441" t="str">
        <f>IF('[1]Processer - data'!G441&lt;&gt;"",'[1]Processer - data'!G441,"")</f>
        <v>FE</v>
      </c>
      <c r="H441" s="275">
        <f>SUMIFS('Forbrug af biomasse'!$E$1:$E$425,'Forbrug af biomasse'!$A$1:$A$425,$F441,'Forbrug af biomasse'!$C$1:$C$425,$D441,'Forbrug af biomasse'!$B$1:$B$425,$A$1,'Forbrug af biomasse'!$D$1:$D$425,H$2)*'[1]Processer - data'!H441</f>
        <v>18032293.716852441</v>
      </c>
      <c r="I441" s="276">
        <f>SUMIFS('Forbrug af biomasse'!$E$1:$E$425,'Forbrug af biomasse'!$A$1:$A$425,$F441,'Forbrug af biomasse'!$C$1:$C$425,$D441,'Forbrug af biomasse'!$B$1:$B$425,$A$1,'Forbrug af biomasse'!$D$1:$D$425,I$2)*'[1]Processer - data'!I441</f>
        <v>21638752.460222926</v>
      </c>
      <c r="J441" s="277">
        <f>SUMIFS('Forbrug af biomasse'!$E$1:$E$425,'Forbrug af biomasse'!$A$1:$A$425,$F441,'Forbrug af biomasse'!$C$1:$C$425,$D441,'Forbrug af biomasse'!$B$1:$B$425,$A$1,'Forbrug af biomasse'!$D$1:$D$425,J$2)*'[1]Processer - data'!J441</f>
        <v>21638752.460222933</v>
      </c>
    </row>
    <row r="442" spans="1:10" x14ac:dyDescent="0.25">
      <c r="A442" t="str">
        <f>IF('[1]Processer - data'!A442&lt;&gt;"",'[1]Processer - data'!A442,"")</f>
        <v>Foderproduktion</v>
      </c>
      <c r="B442" t="str">
        <f>IF('[1]Processer - data'!B442&lt;&gt;"",'[1]Processer - data'!B442,"")</f>
        <v/>
      </c>
      <c r="C442" t="str">
        <f>IF('[1]Processer - data'!C442&lt;&gt;"",'[1]Processer - data'!C442,"")</f>
        <v/>
      </c>
      <c r="D442" t="str">
        <f>IF('[1]Processer - data'!D442&lt;&gt;"",'[1]Processer - data'!D442,"")</f>
        <v>Kartofler</v>
      </c>
      <c r="E442" t="str">
        <f>IF('[1]Processer - data'!E442&lt;&gt;"",'[1]Processer - data'!E442,"")</f>
        <v>Ton</v>
      </c>
      <c r="F442" t="str">
        <f>IF('[1]Processer - data'!F442&lt;&gt;"",'[1]Processer - data'!F442,"")</f>
        <v>Foder</v>
      </c>
      <c r="G442" t="str">
        <f>IF('[1]Processer - data'!G442&lt;&gt;"",'[1]Processer - data'!G442,"")</f>
        <v>FE</v>
      </c>
      <c r="H442" s="275">
        <f>SUMIFS('Forbrug af biomasse'!$E$1:$E$425,'Forbrug af biomasse'!$A$1:$A$425,$F442,'Forbrug af biomasse'!$C$1:$C$425,$D442,'Forbrug af biomasse'!$B$1:$B$425,$A$1,'Forbrug af biomasse'!$D$1:$D$425,H$2)*'[1]Processer - data'!H442</f>
        <v>0</v>
      </c>
      <c r="I442" s="276">
        <f>SUMIFS('Forbrug af biomasse'!$E$1:$E$425,'Forbrug af biomasse'!$A$1:$A$425,$F442,'Forbrug af biomasse'!$C$1:$C$425,$D442,'Forbrug af biomasse'!$B$1:$B$425,$A$1,'Forbrug af biomasse'!$D$1:$D$425,I$2)*'[1]Processer - data'!I442</f>
        <v>0</v>
      </c>
      <c r="J442" s="277">
        <f>SUMIFS('Forbrug af biomasse'!$E$1:$E$425,'Forbrug af biomasse'!$A$1:$A$425,$F442,'Forbrug af biomasse'!$C$1:$C$425,$D442,'Forbrug af biomasse'!$B$1:$B$425,$A$1,'Forbrug af biomasse'!$D$1:$D$425,J$2)*'[1]Processer - data'!J442</f>
        <v>0</v>
      </c>
    </row>
    <row r="443" spans="1:10" x14ac:dyDescent="0.25">
      <c r="A443" t="str">
        <f>IF('[1]Processer - data'!A443&lt;&gt;"",'[1]Processer - data'!A443,"")</f>
        <v>Foderproduktion</v>
      </c>
      <c r="B443" t="str">
        <f>IF('[1]Processer - data'!B443&lt;&gt;"",'[1]Processer - data'!B443,"")</f>
        <v/>
      </c>
      <c r="C443" t="str">
        <f>IF('[1]Processer - data'!C443&lt;&gt;"",'[1]Processer - data'!C443,"")</f>
        <v/>
      </c>
      <c r="D443" t="str">
        <f>IF('[1]Processer - data'!D443&lt;&gt;"",'[1]Processer - data'!D443,"")</f>
        <v>Bælgsæd</v>
      </c>
      <c r="E443" t="str">
        <f>IF('[1]Processer - data'!E443&lt;&gt;"",'[1]Processer - data'!E443,"")</f>
        <v>Ton</v>
      </c>
      <c r="F443" t="str">
        <f>IF('[1]Processer - data'!F443&lt;&gt;"",'[1]Processer - data'!F443,"")</f>
        <v>Foder</v>
      </c>
      <c r="G443" t="str">
        <f>IF('[1]Processer - data'!G443&lt;&gt;"",'[1]Processer - data'!G443,"")</f>
        <v>FE</v>
      </c>
      <c r="H443" s="275">
        <f>SUMIFS('Forbrug af biomasse'!$E$1:$E$425,'Forbrug af biomasse'!$A$1:$A$425,$F443,'Forbrug af biomasse'!$C$1:$C$425,$D443,'Forbrug af biomasse'!$B$1:$B$425,$A$1,'Forbrug af biomasse'!$D$1:$D$425,H$2)*'[1]Processer - data'!H443</f>
        <v>8576334.816551771</v>
      </c>
      <c r="I443" s="276">
        <f>SUMIFS('Forbrug af biomasse'!$E$1:$E$425,'Forbrug af biomasse'!$A$1:$A$425,$F443,'Forbrug af biomasse'!$C$1:$C$425,$D443,'Forbrug af biomasse'!$B$1:$B$425,$A$1,'Forbrug af biomasse'!$D$1:$D$425,I$2)*'[1]Processer - data'!I443</f>
        <v>10291601.779862123</v>
      </c>
      <c r="J443" s="277">
        <f>SUMIFS('Forbrug af biomasse'!$E$1:$E$425,'Forbrug af biomasse'!$A$1:$A$425,$F443,'Forbrug af biomasse'!$C$1:$C$425,$D443,'Forbrug af biomasse'!$B$1:$B$425,$A$1,'Forbrug af biomasse'!$D$1:$D$425,J$2)*'[1]Processer - data'!J443</f>
        <v>10291601.779862126</v>
      </c>
    </row>
    <row r="444" spans="1:10" x14ac:dyDescent="0.25">
      <c r="A444" t="str">
        <f>IF('[1]Processer - data'!A444&lt;&gt;"",'[1]Processer - data'!A444,"")</f>
        <v>Foderproduktion</v>
      </c>
      <c r="B444" t="str">
        <f>IF('[1]Processer - data'!B444&lt;&gt;"",'[1]Processer - data'!B444,"")</f>
        <v/>
      </c>
      <c r="C444" t="str">
        <f>IF('[1]Processer - data'!C444&lt;&gt;"",'[1]Processer - data'!C444,"")</f>
        <v/>
      </c>
      <c r="D444" t="str">
        <f>IF('[1]Processer - data'!D444&lt;&gt;"",'[1]Processer - data'!D444,"")</f>
        <v>Roer</v>
      </c>
      <c r="E444" t="str">
        <f>IF('[1]Processer - data'!E444&lt;&gt;"",'[1]Processer - data'!E444,"")</f>
        <v>Ton</v>
      </c>
      <c r="F444" t="str">
        <f>IF('[1]Processer - data'!F444&lt;&gt;"",'[1]Processer - data'!F444,"")</f>
        <v>Foder</v>
      </c>
      <c r="G444" t="str">
        <f>IF('[1]Processer - data'!G444&lt;&gt;"",'[1]Processer - data'!G444,"")</f>
        <v>FE</v>
      </c>
      <c r="H444" s="275">
        <f>SUMIFS('Forbrug af biomasse'!$E$1:$E$425,'Forbrug af biomasse'!$A$1:$A$425,$F444,'Forbrug af biomasse'!$C$1:$C$425,$D444,'Forbrug af biomasse'!$B$1:$B$425,$A$1,'Forbrug af biomasse'!$D$1:$D$425,H$2)*'[1]Processer - data'!H444</f>
        <v>15723280.49701158</v>
      </c>
      <c r="I444" s="276">
        <f>SUMIFS('Forbrug af biomasse'!$E$1:$E$425,'Forbrug af biomasse'!$A$1:$A$425,$F444,'Forbrug af biomasse'!$C$1:$C$425,$D444,'Forbrug af biomasse'!$B$1:$B$425,$A$1,'Forbrug af biomasse'!$D$1:$D$425,I$2)*'[1]Processer - data'!I444</f>
        <v>18867936.596413892</v>
      </c>
      <c r="J444" s="277">
        <f>SUMIFS('Forbrug af biomasse'!$E$1:$E$425,'Forbrug af biomasse'!$A$1:$A$425,$F444,'Forbrug af biomasse'!$C$1:$C$425,$D444,'Forbrug af biomasse'!$B$1:$B$425,$A$1,'Forbrug af biomasse'!$D$1:$D$425,J$2)*'[1]Processer - data'!J444</f>
        <v>18867936.596413899</v>
      </c>
    </row>
    <row r="445" spans="1:10" x14ac:dyDescent="0.25">
      <c r="A445" t="str">
        <f>IF('[1]Processer - data'!A445&lt;&gt;"",'[1]Processer - data'!A445,"")</f>
        <v>Foderproduktion</v>
      </c>
      <c r="B445" t="str">
        <f>IF('[1]Processer - data'!B445&lt;&gt;"",'[1]Processer - data'!B445,"")</f>
        <v/>
      </c>
      <c r="C445" t="str">
        <f>IF('[1]Processer - data'!C445&lt;&gt;"",'[1]Processer - data'!C445,"")</f>
        <v/>
      </c>
      <c r="D445" t="str">
        <f>IF('[1]Processer - data'!D445&lt;&gt;"",'[1]Processer - data'!D445,"")</f>
        <v>Majs</v>
      </c>
      <c r="E445" t="str">
        <f>IF('[1]Processer - data'!E445&lt;&gt;"",'[1]Processer - data'!E445,"")</f>
        <v>Ton</v>
      </c>
      <c r="F445" t="str">
        <f>IF('[1]Processer - data'!F445&lt;&gt;"",'[1]Processer - data'!F445,"")</f>
        <v>Foder</v>
      </c>
      <c r="G445" t="str">
        <f>IF('[1]Processer - data'!G445&lt;&gt;"",'[1]Processer - data'!G445,"")</f>
        <v>FE</v>
      </c>
      <c r="H445" s="275">
        <f>SUMIFS('Forbrug af biomasse'!$E$1:$E$425,'Forbrug af biomasse'!$A$1:$A$425,$F445,'Forbrug af biomasse'!$C$1:$C$425,$D445,'Forbrug af biomasse'!$B$1:$B$425,$A$1,'Forbrug af biomasse'!$D$1:$D$425,H$2)*'[1]Processer - data'!H445</f>
        <v>183951386.51398861</v>
      </c>
      <c r="I445" s="276">
        <f>SUMIFS('Forbrug af biomasse'!$E$1:$E$425,'Forbrug af biomasse'!$A$1:$A$425,$F445,'Forbrug af biomasse'!$C$1:$C$425,$D445,'Forbrug af biomasse'!$B$1:$B$425,$A$1,'Forbrug af biomasse'!$D$1:$D$425,I$2)*'[1]Processer - data'!I445</f>
        <v>220741663.81678632</v>
      </c>
      <c r="J445" s="277">
        <f>SUMIFS('Forbrug af biomasse'!$E$1:$E$425,'Forbrug af biomasse'!$A$1:$A$425,$F445,'Forbrug af biomasse'!$C$1:$C$425,$D445,'Forbrug af biomasse'!$B$1:$B$425,$A$1,'Forbrug af biomasse'!$D$1:$D$425,J$2)*'[1]Processer - data'!J445</f>
        <v>220741663.81678635</v>
      </c>
    </row>
    <row r="446" spans="1:10" x14ac:dyDescent="0.25">
      <c r="A446" t="str">
        <f>IF('[1]Processer - data'!A446&lt;&gt;"",'[1]Processer - data'!A446,"")</f>
        <v>Foderproduktion</v>
      </c>
      <c r="B446" t="str">
        <f>IF('[1]Processer - data'!B446&lt;&gt;"",'[1]Processer - data'!B446,"")</f>
        <v/>
      </c>
      <c r="C446" t="str">
        <f>IF('[1]Processer - data'!C446&lt;&gt;"",'[1]Processer - data'!C446,"")</f>
        <v/>
      </c>
      <c r="D446" t="str">
        <f>IF('[1]Processer - data'!D446&lt;&gt;"",'[1]Processer - data'!D446,"")</f>
        <v>Rapskage</v>
      </c>
      <c r="E446" t="str">
        <f>IF('[1]Processer - data'!E446&lt;&gt;"",'[1]Processer - data'!E446,"")</f>
        <v>Ton</v>
      </c>
      <c r="F446" t="str">
        <f>IF('[1]Processer - data'!F446&lt;&gt;"",'[1]Processer - data'!F446,"")</f>
        <v>Foder</v>
      </c>
      <c r="G446" t="str">
        <f>IF('[1]Processer - data'!G446&lt;&gt;"",'[1]Processer - data'!G446,"")</f>
        <v>FE</v>
      </c>
      <c r="H446" s="275">
        <f>SUMIFS('Forbrug af biomasse'!$E$1:$E$425,'Forbrug af biomasse'!$A$1:$A$425,$F446,'Forbrug af biomasse'!$C$1:$C$425,$D446,'Forbrug af biomasse'!$B$1:$B$425,$A$1,'Forbrug af biomasse'!$D$1:$D$425,H$2)*'[1]Processer - data'!H446</f>
        <v>26498675.522935595</v>
      </c>
      <c r="I446" s="276">
        <f>SUMIFS('Forbrug af biomasse'!$E$1:$E$425,'Forbrug af biomasse'!$A$1:$A$425,$F446,'Forbrug af biomasse'!$C$1:$C$425,$D446,'Forbrug af biomasse'!$B$1:$B$425,$A$1,'Forbrug af biomasse'!$D$1:$D$425,I$2)*'[1]Processer - data'!I446</f>
        <v>31798410.627522714</v>
      </c>
      <c r="J446" s="277">
        <f>SUMIFS('Forbrug af biomasse'!$E$1:$E$425,'Forbrug af biomasse'!$A$1:$A$425,$F446,'Forbrug af biomasse'!$C$1:$C$425,$D446,'Forbrug af biomasse'!$B$1:$B$425,$A$1,'Forbrug af biomasse'!$D$1:$D$425,J$2)*'[1]Processer - data'!J446</f>
        <v>31798410.627522722</v>
      </c>
    </row>
    <row r="447" spans="1:10" x14ac:dyDescent="0.25">
      <c r="A447" t="str">
        <f>IF('[1]Processer - data'!A447&lt;&gt;"",'[1]Processer - data'!A447,"")</f>
        <v>Foderproduktion</v>
      </c>
      <c r="B447" t="str">
        <f>IF('[1]Processer - data'!B447&lt;&gt;"",'[1]Processer - data'!B447,"")</f>
        <v/>
      </c>
      <c r="C447" t="str">
        <f>IF('[1]Processer - data'!C447&lt;&gt;"",'[1]Processer - data'!C447,"")</f>
        <v/>
      </c>
      <c r="D447" t="str">
        <f>IF('[1]Processer - data'!D447&lt;&gt;"",'[1]Processer - data'!D447,"")</f>
        <v>Tang</v>
      </c>
      <c r="E447" t="str">
        <f>IF('[1]Processer - data'!E447&lt;&gt;"",'[1]Processer - data'!E447,"")</f>
        <v>Ton</v>
      </c>
      <c r="F447" t="str">
        <f>IF('[1]Processer - data'!F447&lt;&gt;"",'[1]Processer - data'!F447,"")</f>
        <v>Foder</v>
      </c>
      <c r="G447" t="str">
        <f>IF('[1]Processer - data'!G447&lt;&gt;"",'[1]Processer - data'!G447,"")</f>
        <v>FE</v>
      </c>
      <c r="H447" s="275">
        <f>SUMIFS('Forbrug af biomasse'!$E$1:$E$425,'Forbrug af biomasse'!$A$1:$A$425,$F447,'Forbrug af biomasse'!$C$1:$C$425,$D447,'Forbrug af biomasse'!$B$1:$B$425,$A$1,'Forbrug af biomasse'!$D$1:$D$425,H$2)*'[1]Processer - data'!H447</f>
        <v>0</v>
      </c>
      <c r="I447" s="276">
        <f>SUMIFS('Forbrug af biomasse'!$E$1:$E$425,'Forbrug af biomasse'!$A$1:$A$425,$F447,'Forbrug af biomasse'!$C$1:$C$425,$D447,'Forbrug af biomasse'!$B$1:$B$425,$A$1,'Forbrug af biomasse'!$D$1:$D$425,I$2)*'[1]Processer - data'!I447</f>
        <v>0</v>
      </c>
      <c r="J447" s="277">
        <f>SUMIFS('Forbrug af biomasse'!$E$1:$E$425,'Forbrug af biomasse'!$A$1:$A$425,$F447,'Forbrug af biomasse'!$C$1:$C$425,$D447,'Forbrug af biomasse'!$B$1:$B$425,$A$1,'Forbrug af biomasse'!$D$1:$D$425,J$2)*'[1]Processer - data'!J447</f>
        <v>0</v>
      </c>
    </row>
    <row r="448" spans="1:10" x14ac:dyDescent="0.25">
      <c r="A448" t="str">
        <f>IF('[1]Processer - data'!A448&lt;&gt;"",'[1]Processer - data'!A448,"")</f>
        <v>Foderproduktion</v>
      </c>
      <c r="B448" t="str">
        <f>IF('[1]Processer - data'!B448&lt;&gt;"",'[1]Processer - data'!B448,"")</f>
        <v/>
      </c>
      <c r="C448" t="str">
        <f>IF('[1]Processer - data'!C448&lt;&gt;"",'[1]Processer - data'!C448,"")</f>
        <v/>
      </c>
      <c r="D448" t="str">
        <f>IF('[1]Processer - data'!D448&lt;&gt;"",'[1]Processer - data'!D448,"")</f>
        <v>Muslinger</v>
      </c>
      <c r="E448" t="str">
        <f>IF('[1]Processer - data'!E448&lt;&gt;"",'[1]Processer - data'!E448,"")</f>
        <v>Ton</v>
      </c>
      <c r="F448" t="str">
        <f>IF('[1]Processer - data'!F448&lt;&gt;"",'[1]Processer - data'!F448,"")</f>
        <v>Foder</v>
      </c>
      <c r="G448" t="str">
        <f>IF('[1]Processer - data'!G448&lt;&gt;"",'[1]Processer - data'!G448,"")</f>
        <v>FE</v>
      </c>
      <c r="H448" s="275">
        <f>SUMIFS('Forbrug af biomasse'!$E$1:$E$425,'Forbrug af biomasse'!$A$1:$A$425,$F448,'Forbrug af biomasse'!$C$1:$C$425,$D448,'Forbrug af biomasse'!$B$1:$B$425,$A$1,'Forbrug af biomasse'!$D$1:$D$425,H$2)*'[1]Processer - data'!H448</f>
        <v>0</v>
      </c>
      <c r="I448" s="276">
        <f>SUMIFS('Forbrug af biomasse'!$E$1:$E$425,'Forbrug af biomasse'!$A$1:$A$425,$F448,'Forbrug af biomasse'!$C$1:$C$425,$D448,'Forbrug af biomasse'!$B$1:$B$425,$A$1,'Forbrug af biomasse'!$D$1:$D$425,I$2)*'[1]Processer - data'!I448</f>
        <v>0</v>
      </c>
      <c r="J448" s="277">
        <f>SUMIFS('Forbrug af biomasse'!$E$1:$E$425,'Forbrug af biomasse'!$A$1:$A$425,$F448,'Forbrug af biomasse'!$C$1:$C$425,$D448,'Forbrug af biomasse'!$B$1:$B$425,$A$1,'Forbrug af biomasse'!$D$1:$D$425,J$2)*'[1]Processer - data'!J448</f>
        <v>0</v>
      </c>
    </row>
    <row r="449" spans="1:10" x14ac:dyDescent="0.25">
      <c r="A449" t="str">
        <f>IF('[1]Processer - data'!A449&lt;&gt;"",'[1]Processer - data'!A449,"")</f>
        <v>Foderproduktion</v>
      </c>
      <c r="B449" t="str">
        <f>IF('[1]Processer - data'!B449&lt;&gt;"",'[1]Processer - data'!B449,"")</f>
        <v/>
      </c>
      <c r="C449" t="str">
        <f>IF('[1]Processer - data'!C449&lt;&gt;"",'[1]Processer - data'!C449,"")</f>
        <v/>
      </c>
      <c r="D449" t="str">
        <f>IF('[1]Processer - data'!D449&lt;&gt;"",'[1]Processer - data'!D449,"")</f>
        <v>Græs</v>
      </c>
      <c r="E449" t="str">
        <f>IF('[1]Processer - data'!E449&lt;&gt;"",'[1]Processer - data'!E449,"")</f>
        <v>Ton</v>
      </c>
      <c r="F449" t="str">
        <f>IF('[1]Processer - data'!F449&lt;&gt;"",'[1]Processer - data'!F449,"")</f>
        <v>Foder</v>
      </c>
      <c r="G449" t="str">
        <f>IF('[1]Processer - data'!G449&lt;&gt;"",'[1]Processer - data'!G449,"")</f>
        <v>FE</v>
      </c>
      <c r="H449" s="275">
        <f>SUMIFS('Forbrug af biomasse'!$E$1:$E$425,'Forbrug af biomasse'!$A$1:$A$425,$F449,'Forbrug af biomasse'!$C$1:$C$425,$D449,'Forbrug af biomasse'!$B$1:$B$425,$A$1,'Forbrug af biomasse'!$D$1:$D$425,H$2)*'[1]Processer - data'!H449</f>
        <v>249813239.78468746</v>
      </c>
      <c r="I449" s="276">
        <f>SUMIFS('Forbrug af biomasse'!$E$1:$E$425,'Forbrug af biomasse'!$A$1:$A$425,$F449,'Forbrug af biomasse'!$C$1:$C$425,$D449,'Forbrug af biomasse'!$B$1:$B$425,$A$1,'Forbrug af biomasse'!$D$1:$D$425,I$2)*'[1]Processer - data'!I449</f>
        <v>299775887.74162489</v>
      </c>
      <c r="J449" s="277">
        <f>SUMIFS('Forbrug af biomasse'!$E$1:$E$425,'Forbrug af biomasse'!$A$1:$A$425,$F449,'Forbrug af biomasse'!$C$1:$C$425,$D449,'Forbrug af biomasse'!$B$1:$B$425,$A$1,'Forbrug af biomasse'!$D$1:$D$425,J$2)*'[1]Processer - data'!J449</f>
        <v>299775887.74162501</v>
      </c>
    </row>
    <row r="450" spans="1:10" x14ac:dyDescent="0.25">
      <c r="A450" t="str">
        <f>IF('[1]Processer - data'!A450&lt;&gt;"",'[1]Processer - data'!A450,"")</f>
        <v>Foderproduktion</v>
      </c>
      <c r="B450" t="str">
        <f>IF('[1]Processer - data'!B450&lt;&gt;"",'[1]Processer - data'!B450,"")</f>
        <v/>
      </c>
      <c r="C450" t="str">
        <f>IF('[1]Processer - data'!C450&lt;&gt;"",'[1]Processer - data'!C450,"")</f>
        <v/>
      </c>
      <c r="D450" t="str">
        <f>IF('[1]Processer - data'!D450&lt;&gt;"",'[1]Processer - data'!D450,"")</f>
        <v>Mælk til foder</v>
      </c>
      <c r="E450" t="str">
        <f>IF('[1]Processer - data'!E450&lt;&gt;"",'[1]Processer - data'!E450,"")</f>
        <v>Ton</v>
      </c>
      <c r="F450" t="str">
        <f>IF('[1]Processer - data'!F450&lt;&gt;"",'[1]Processer - data'!F450,"")</f>
        <v>Foder</v>
      </c>
      <c r="G450" t="str">
        <f>IF('[1]Processer - data'!G450&lt;&gt;"",'[1]Processer - data'!G450,"")</f>
        <v>FE</v>
      </c>
      <c r="H450" s="275">
        <f>SUMIFS('Forbrug af biomasse'!$E$1:$E$425,'Forbrug af biomasse'!$A$1:$A$425,$F450,'Forbrug af biomasse'!$C$1:$C$425,$D450,'Forbrug af biomasse'!$B$1:$B$425,$A$1,'Forbrug af biomasse'!$D$1:$D$425,H$2)*'[1]Processer - data'!H450</f>
        <v>17922340.706383828</v>
      </c>
      <c r="I450" s="276">
        <f>SUMIFS('Forbrug af biomasse'!$E$1:$E$425,'Forbrug af biomasse'!$A$1:$A$425,$F450,'Forbrug af biomasse'!$C$1:$C$425,$D450,'Forbrug af biomasse'!$B$1:$B$425,$A$1,'Forbrug af biomasse'!$D$1:$D$425,I$2)*'[1]Processer - data'!I450</f>
        <v>21506808.84766059</v>
      </c>
      <c r="J450" s="277">
        <f>SUMIFS('Forbrug af biomasse'!$E$1:$E$425,'Forbrug af biomasse'!$A$1:$A$425,$F450,'Forbrug af biomasse'!$C$1:$C$425,$D450,'Forbrug af biomasse'!$B$1:$B$425,$A$1,'Forbrug af biomasse'!$D$1:$D$425,J$2)*'[1]Processer - data'!J450</f>
        <v>21506808.847660597</v>
      </c>
    </row>
    <row r="451" spans="1:10" x14ac:dyDescent="0.25">
      <c r="A451" t="str">
        <f>IF('[1]Processer - data'!A451&lt;&gt;"",'[1]Processer - data'!A451,"")</f>
        <v>Foderproduktion</v>
      </c>
      <c r="B451" t="str">
        <f>IF('[1]Processer - data'!B451&lt;&gt;"",'[1]Processer - data'!B451,"")</f>
        <v/>
      </c>
      <c r="C451" t="str">
        <f>IF('[1]Processer - data'!C451&lt;&gt;"",'[1]Processer - data'!C451,"")</f>
        <v/>
      </c>
      <c r="D451" t="str">
        <f>IF('[1]Processer - data'!D451&lt;&gt;"",'[1]Processer - data'!D451,"")</f>
        <v>Fiberfraktion</v>
      </c>
      <c r="E451" t="str">
        <f>IF('[1]Processer - data'!E451&lt;&gt;"",'[1]Processer - data'!E451,"")</f>
        <v>Ton</v>
      </c>
      <c r="F451" t="str">
        <f>IF('[1]Processer - data'!F451&lt;&gt;"",'[1]Processer - data'!F451,"")</f>
        <v>Foder</v>
      </c>
      <c r="G451" t="str">
        <f>IF('[1]Processer - data'!G451&lt;&gt;"",'[1]Processer - data'!G451,"")</f>
        <v>FE</v>
      </c>
      <c r="H451" s="275">
        <f>SUMIFS('Forbrug af biomasse'!$E$1:$E$425,'Forbrug af biomasse'!$A$1:$A$425,$F451,'Forbrug af biomasse'!$C$1:$C$425,$D451,'Forbrug af biomasse'!$B$1:$B$425,$A$1,'Forbrug af biomasse'!$D$1:$D$425,H$2)*'[1]Processer - data'!H451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SUMIFS('Forbrug af biomasse'!$E$1:$E$425,'Forbrug af biomasse'!$A$1:$A$425,$F451,'Forbrug af biomasse'!$C$1:$C$425,$D451,'Forbrug af biomasse'!$B$1:$B$425,$A$1,'Forbrug af biomasse'!$D$1:$D$425,J$2)*'[1]Processer - data'!J451</f>
        <v>0</v>
      </c>
    </row>
    <row r="452" spans="1:10" x14ac:dyDescent="0.25">
      <c r="A452" t="str">
        <f>IF('[1]Processer - data'!A452&lt;&gt;"",'[1]Processer - data'!A452,"")</f>
        <v>Foderproduktion</v>
      </c>
      <c r="B452" t="str">
        <f>IF('[1]Processer - data'!B452&lt;&gt;"",'[1]Processer - data'!B452,"")</f>
        <v/>
      </c>
      <c r="C452" t="str">
        <f>IF('[1]Processer - data'!C452&lt;&gt;"",'[1]Processer - data'!C452,"")</f>
        <v/>
      </c>
      <c r="D452" t="str">
        <f>IF('[1]Processer - data'!D452&lt;&gt;"",'[1]Processer - data'!D452,"")</f>
        <v>Græsprotein</v>
      </c>
      <c r="E452" t="str">
        <f>IF('[1]Processer - data'!E452&lt;&gt;"",'[1]Processer - data'!E452,"")</f>
        <v>Ton</v>
      </c>
      <c r="F452" t="str">
        <f>IF('[1]Processer - data'!F452&lt;&gt;"",'[1]Processer - data'!F452,"")</f>
        <v>Foder</v>
      </c>
      <c r="G452" t="str">
        <f>IF('[1]Processer - data'!G452&lt;&gt;"",'[1]Processer - data'!G452,"")</f>
        <v>FE</v>
      </c>
      <c r="H452" s="275">
        <f>SUMIFS('Forbrug af biomasse'!$E$1:$E$425,'Forbrug af biomasse'!$A$1:$A$425,$F452,'Forbrug af biomasse'!$C$1:$C$425,$D452,'Forbrug af biomasse'!$B$1:$B$425,$A$1,'Forbrug af biomasse'!$D$1:$D$425,H$2)*'[1]Processer - data'!H452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SUMIFS('Forbrug af biomasse'!$E$1:$E$425,'Forbrug af biomasse'!$A$1:$A$425,$F452,'Forbrug af biomasse'!$C$1:$C$425,$D452,'Forbrug af biomasse'!$B$1:$B$425,$A$1,'Forbrug af biomasse'!$D$1:$D$425,J$2)*'[1]Processer - data'!J452</f>
        <v>0</v>
      </c>
    </row>
    <row r="453" spans="1:10" x14ac:dyDescent="0.25">
      <c r="A453" t="str">
        <f>IF('[1]Processer - data'!A453&lt;&gt;"",'[1]Processer - data'!A453,"")</f>
        <v>Foderproduktion</v>
      </c>
      <c r="B453" t="str">
        <f>IF('[1]Processer - data'!B453&lt;&gt;"",'[1]Processer - data'!B453,"")</f>
        <v/>
      </c>
      <c r="C453" t="str">
        <f>IF('[1]Processer - data'!C453&lt;&gt;"",'[1]Processer - data'!C453,"")</f>
        <v/>
      </c>
      <c r="D453" t="str">
        <f>IF('[1]Processer - data'!D453&lt;&gt;"",'[1]Processer - data'!D453,"")</f>
        <v>Slagteriaffald til foder</v>
      </c>
      <c r="E453" t="str">
        <f>IF('[1]Processer - data'!E453&lt;&gt;"",'[1]Processer - data'!E453,"")</f>
        <v>Ton</v>
      </c>
      <c r="F453" t="str">
        <f>IF('[1]Processer - data'!F453&lt;&gt;"",'[1]Processer - data'!F453,"")</f>
        <v>Foder</v>
      </c>
      <c r="G453" t="str">
        <f>IF('[1]Processer - data'!G453&lt;&gt;"",'[1]Processer - data'!G453,"")</f>
        <v>FE</v>
      </c>
      <c r="H453" s="275">
        <f>SUMIFS('Forbrug af biomasse'!$E$1:$E$425,'Forbrug af biomasse'!$A$1:$A$425,$F453,'Forbrug af biomasse'!$C$1:$C$425,$D453,'Forbrug af biomasse'!$B$1:$B$425,$A$1,'Forbrug af biomasse'!$D$1:$D$425,H$2)*'[1]Processer - data'!H453</f>
        <v>13304314.266702106</v>
      </c>
      <c r="I453" s="276">
        <f>SUMIFS('Forbrug af biomasse'!$E$1:$E$425,'Forbrug af biomasse'!$A$1:$A$425,$F453,'Forbrug af biomasse'!$C$1:$C$425,$D453,'Forbrug af biomasse'!$B$1:$B$425,$A$1,'Forbrug af biomasse'!$D$1:$D$425,I$2)*'[1]Processer - data'!I453</f>
        <v>15965177.120042527</v>
      </c>
      <c r="J453" s="277">
        <f>SUMIFS('Forbrug af biomasse'!$E$1:$E$425,'Forbrug af biomasse'!$A$1:$A$425,$F453,'Forbrug af biomasse'!$C$1:$C$425,$D453,'Forbrug af biomasse'!$B$1:$B$425,$A$1,'Forbrug af biomasse'!$D$1:$D$425,J$2)*'[1]Processer - data'!J453</f>
        <v>15965177.120042531</v>
      </c>
    </row>
    <row r="454" spans="1:10" x14ac:dyDescent="0.25">
      <c r="A454" t="str">
        <f>IF('[1]Processer - data'!A454&lt;&gt;"",'[1]Processer - data'!A454,"")</f>
        <v>Foderproduktion</v>
      </c>
      <c r="B454" t="str">
        <f>IF('[1]Processer - data'!B454&lt;&gt;"",'[1]Processer - data'!B454,"")</f>
        <v/>
      </c>
      <c r="C454" t="str">
        <f>IF('[1]Processer - data'!C454&lt;&gt;"",'[1]Processer - data'!C454,"")</f>
        <v/>
      </c>
      <c r="D454" t="str">
        <f>IF('[1]Processer - data'!D454&lt;&gt;"",'[1]Processer - data'!D454,"")</f>
        <v>Import af foder</v>
      </c>
      <c r="E454" t="str">
        <f>IF('[1]Processer - data'!E454&lt;&gt;"",'[1]Processer - data'!E454,"")</f>
        <v>Ton</v>
      </c>
      <c r="F454" t="str">
        <f>IF('[1]Processer - data'!F454&lt;&gt;"",'[1]Processer - data'!F454,"")</f>
        <v>Foder</v>
      </c>
      <c r="G454" t="str">
        <f>IF('[1]Processer - data'!G454&lt;&gt;"",'[1]Processer - data'!G454,"")</f>
        <v>FE</v>
      </c>
      <c r="H454" s="275">
        <f>SUMIFS('Forbrug af biomasse'!$E$1:$E$425,'Forbrug af biomasse'!$A$1:$A$425,$F454,'Forbrug af biomasse'!$C$1:$C$425,$D454,'Forbrug af biomasse'!$B$1:$B$425,$A$1,'Forbrug af biomasse'!$D$1:$D$425,H$2)*'[1]Processer - data'!H454</f>
        <v>440471759.93726146</v>
      </c>
      <c r="I454" s="276">
        <f>SUMIFS('Forbrug af biomasse'!$E$1:$E$425,'Forbrug af biomasse'!$A$1:$A$425,$F454,'Forbrug af biomasse'!$C$1:$C$425,$D454,'Forbrug af biomasse'!$B$1:$B$425,$A$1,'Forbrug af biomasse'!$D$1:$D$425,I$2)*'[1]Processer - data'!I454</f>
        <v>528566111.92471373</v>
      </c>
      <c r="J454" s="277">
        <f>SUMIFS('Forbrug af biomasse'!$E$1:$E$425,'Forbrug af biomasse'!$A$1:$A$425,$F454,'Forbrug af biomasse'!$C$1:$C$425,$D454,'Forbrug af biomasse'!$B$1:$B$425,$A$1,'Forbrug af biomasse'!$D$1:$D$425,J$2)*'[1]Processer - data'!J454</f>
        <v>528566111.92471385</v>
      </c>
    </row>
    <row r="455" spans="1:10" x14ac:dyDescent="0.25">
      <c r="A455" t="str">
        <f>IF('[1]Processer - data'!A455&lt;&gt;"",'[1]Processer - data'!A455,"")</f>
        <v>Biogasanlæg</v>
      </c>
      <c r="B455" t="str">
        <f>IF('[1]Processer - data'!B455&lt;&gt;"",'[1]Processer - data'!B455,"")</f>
        <v/>
      </c>
      <c r="C455" t="str">
        <f>IF('[1]Processer - data'!C455&lt;&gt;"",'[1]Processer - data'!C455,"")</f>
        <v/>
      </c>
      <c r="D455" t="str">
        <f>IF('[1]Processer - data'!D455&lt;&gt;"",'[1]Processer - data'!D455,"")</f>
        <v>Halm</v>
      </c>
      <c r="E455" t="str">
        <f>IF('[1]Processer - data'!E455&lt;&gt;"",'[1]Processer - data'!E455,"")</f>
        <v>Ton</v>
      </c>
      <c r="F455" t="str">
        <f>IF('[1]Processer - data'!F455&lt;&gt;"",'[1]Processer - data'!F455,"")</f>
        <v>Biogas</v>
      </c>
      <c r="G455" t="str">
        <f>IF('[1]Processer - data'!G455&lt;&gt;"",'[1]Processer - data'!G455,"")</f>
        <v>Nm3 CH4</v>
      </c>
      <c r="H455" s="275">
        <f>SUMIFS('Forbrug af biomasse'!$E$1:$E$425,'Forbrug af biomasse'!$A$1:$A$425,$F455,'Forbrug af biomasse'!$C$1:$C$425,$D455,'Forbrug af biomasse'!$B$1:$B$425,$A$1,'Forbrug af biomasse'!$D$1:$D$425,H$2)*'[1]Processer - data'!H455*IFERROR(VLOOKUP($D455,Biogasanlæg!$F$3:$G$8,2,FALSE),1)</f>
        <v>3651898.7201453252</v>
      </c>
      <c r="I455" s="276">
        <f>SUMIFS('Forbrug af biomasse'!$E$1:$E$425,'Forbrug af biomasse'!$A$1:$A$425,$F455,'Forbrug af biomasse'!$C$1:$C$425,$D455,'Forbrug af biomasse'!$B$1:$B$425,$A$1,'Forbrug af biomasse'!$D$1:$D$425,I$2)*'[1]Processer - data'!I455*IFERROR(VLOOKUP($D455,Biogasanlæg!$F$3:$G$8,2,FALSE),1)</f>
        <v>3826959.3711727438</v>
      </c>
      <c r="J455" s="277">
        <f>SUMIFS('Forbrug af biomasse'!$E$1:$E$425,'Forbrug af biomasse'!$A$1:$A$425,$F455,'Forbrug af biomasse'!$C$1:$C$425,$D455,'Forbrug af biomasse'!$B$1:$B$425,$A$1,'Forbrug af biomasse'!$D$1:$D$425,J$2)*'[1]Processer - data'!J455*IFERROR(VLOOKUP($D455,Biogasanlæg!$F$3:$G$8,2,FALSE),1)</f>
        <v>3877319.775875167</v>
      </c>
    </row>
    <row r="456" spans="1:10" x14ac:dyDescent="0.25">
      <c r="A456" t="str">
        <f>IF('[1]Processer - data'!A456&lt;&gt;"",'[1]Processer - data'!A456,"")</f>
        <v>Biogasanlæg</v>
      </c>
      <c r="B456" t="str">
        <f>IF('[1]Processer - data'!B456&lt;&gt;"",'[1]Processer - data'!B456,"")</f>
        <v/>
      </c>
      <c r="C456" t="str">
        <f>IF('[1]Processer - data'!C456&lt;&gt;"",'[1]Processer - data'!C456,"")</f>
        <v/>
      </c>
      <c r="D456" t="str">
        <f>IF('[1]Processer - data'!D456&lt;&gt;"",'[1]Processer - data'!D456,"")</f>
        <v>Korn</v>
      </c>
      <c r="E456" t="str">
        <f>IF('[1]Processer - data'!E456&lt;&gt;"",'[1]Processer - data'!E456,"")</f>
        <v>Ton</v>
      </c>
      <c r="F456" t="str">
        <f>IF('[1]Processer - data'!F456&lt;&gt;"",'[1]Processer - data'!F456,"")</f>
        <v>Biogas</v>
      </c>
      <c r="G456" t="str">
        <f>IF('[1]Processer - data'!G456&lt;&gt;"",'[1]Processer - data'!G456,"")</f>
        <v>Nm3 CH4</v>
      </c>
      <c r="H456" s="275">
        <f>SUMIFS('Forbrug af biomasse'!$E$1:$E$425,'Forbrug af biomasse'!$A$1:$A$425,$F456,'Forbrug af biomasse'!$C$1:$C$425,$D456,'Forbrug af biomasse'!$B$1:$B$425,$A$1,'Forbrug af biomasse'!$D$1:$D$425,H$2)*'[1]Processer - data'!H456*IFERROR(VLOOKUP($D456,Biogasanlæg!$F$3:$G$8,2,FALSE),1)</f>
        <v>89924.65763816431</v>
      </c>
      <c r="I456" s="276">
        <f>SUMIFS('Forbrug af biomasse'!$E$1:$E$425,'Forbrug af biomasse'!$A$1:$A$425,$F456,'Forbrug af biomasse'!$C$1:$C$425,$D456,'Forbrug af biomasse'!$B$1:$B$425,$A$1,'Forbrug af biomasse'!$D$1:$D$425,I$2)*'[1]Processer - data'!I456*IFERROR(VLOOKUP($D456,Biogasanlæg!$F$3:$G$8,2,FALSE),1)</f>
        <v>90356.61638652379</v>
      </c>
      <c r="J456" s="277">
        <f>SUMIFS('Forbrug af biomasse'!$E$1:$E$425,'Forbrug af biomasse'!$A$1:$A$425,$F456,'Forbrug af biomasse'!$C$1:$C$425,$D456,'Forbrug af biomasse'!$B$1:$B$425,$A$1,'Forbrug af biomasse'!$D$1:$D$425,J$2)*'[1]Processer - data'!J456*IFERROR(VLOOKUP($D456,Biogasanlæg!$F$3:$G$8,2,FALSE),1)</f>
        <v>90920.740167029988</v>
      </c>
    </row>
    <row r="457" spans="1:10" x14ac:dyDescent="0.25">
      <c r="A457" t="str">
        <f>IF('[1]Processer - data'!A457&lt;&gt;"",'[1]Processer - data'!A457,"")</f>
        <v>Biogasanlæg</v>
      </c>
      <c r="B457" t="str">
        <f>IF('[1]Processer - data'!B457&lt;&gt;"",'[1]Processer - data'!B457,"")</f>
        <v/>
      </c>
      <c r="C457" t="str">
        <f>IF('[1]Processer - data'!C457&lt;&gt;"",'[1]Processer - data'!C457,"")</f>
        <v/>
      </c>
      <c r="D457" t="str">
        <f>IF('[1]Processer - data'!D457&lt;&gt;"",'[1]Processer - data'!D457,"")</f>
        <v>Græs</v>
      </c>
      <c r="E457" t="str">
        <f>IF('[1]Processer - data'!E457&lt;&gt;"",'[1]Processer - data'!E457,"")</f>
        <v>Ton</v>
      </c>
      <c r="F457" t="str">
        <f>IF('[1]Processer - data'!F457&lt;&gt;"",'[1]Processer - data'!F457,"")</f>
        <v>Biogas</v>
      </c>
      <c r="G457" t="str">
        <f>IF('[1]Processer - data'!G457&lt;&gt;"",'[1]Processer - data'!G457,"")</f>
        <v>Nm3 CH4</v>
      </c>
      <c r="H457" s="275">
        <f>SUMIFS('Forbrug af biomasse'!$E$1:$E$425,'Forbrug af biomasse'!$A$1:$A$425,$F457,'Forbrug af biomasse'!$C$1:$C$425,$D457,'Forbrug af biomasse'!$B$1:$B$425,$A$1,'Forbrug af biomasse'!$D$1:$D$425,H$2)*'[1]Processer - data'!H457*IFERROR(VLOOKUP($D457,Biogasanlæg!$F$3:$G$8,2,FALSE),1)</f>
        <v>526738.87713689636</v>
      </c>
      <c r="I457" s="276">
        <f>SUMIFS('Forbrug af biomasse'!$E$1:$E$425,'Forbrug af biomasse'!$A$1:$A$425,$F457,'Forbrug af biomasse'!$C$1:$C$425,$D457,'Forbrug af biomasse'!$B$1:$B$425,$A$1,'Forbrug af biomasse'!$D$1:$D$425,I$2)*'[1]Processer - data'!I457*IFERROR(VLOOKUP($D457,Biogasanlæg!$F$3:$G$8,2,FALSE),1)</f>
        <v>531239.97198612941</v>
      </c>
      <c r="J457" s="277">
        <f>SUMIFS('Forbrug af biomasse'!$E$1:$E$425,'Forbrug af biomasse'!$A$1:$A$425,$F457,'Forbrug af biomasse'!$C$1:$C$425,$D457,'Forbrug af biomasse'!$B$1:$B$425,$A$1,'Forbrug af biomasse'!$D$1:$D$425,J$2)*'[1]Processer - data'!J457*IFERROR(VLOOKUP($D457,Biogasanlæg!$F$3:$G$8,2,FALSE),1)</f>
        <v>534703.0506543722</v>
      </c>
    </row>
    <row r="458" spans="1:10" x14ac:dyDescent="0.25">
      <c r="A458" t="str">
        <f>IF('[1]Processer - data'!A458&lt;&gt;"",'[1]Processer - data'!A458,"")</f>
        <v>Biogasanlæg</v>
      </c>
      <c r="B458" t="str">
        <f>IF('[1]Processer - data'!B458&lt;&gt;"",'[1]Processer - data'!B458,"")</f>
        <v/>
      </c>
      <c r="C458" t="str">
        <f>IF('[1]Processer - data'!C458&lt;&gt;"",'[1]Processer - data'!C458,"")</f>
        <v/>
      </c>
      <c r="D458" t="str">
        <f>IF('[1]Processer - data'!D458&lt;&gt;"",'[1]Processer - data'!D458,"")</f>
        <v>Svinegylle</v>
      </c>
      <c r="E458" t="str">
        <f>IF('[1]Processer - data'!E458&lt;&gt;"",'[1]Processer - data'!E458,"")</f>
        <v>Ton</v>
      </c>
      <c r="F458" t="str">
        <f>IF('[1]Processer - data'!F458&lt;&gt;"",'[1]Processer - data'!F458,"")</f>
        <v>Biogas</v>
      </c>
      <c r="G458" t="str">
        <f>IF('[1]Processer - data'!G458&lt;&gt;"",'[1]Processer - data'!G458,"")</f>
        <v>Nm3 CH4</v>
      </c>
      <c r="H458" s="275">
        <f>SUMIFS('Forbrug af biomasse'!$E$1:$E$425,'Forbrug af biomasse'!$A$1:$A$425,$F458,'Forbrug af biomasse'!$C$1:$C$425,$D458,'Forbrug af biomasse'!$B$1:$B$425,$A$1,'Forbrug af biomasse'!$D$1:$D$425,H$2)*'[1]Processer - data'!H458*IFERROR(VLOOKUP($D458,Biogasanlæg!$F$3:$G$8,2,FALSE),1)</f>
        <v>4565127.1242733356</v>
      </c>
      <c r="I458" s="276">
        <f>SUMIFS('Forbrug af biomasse'!$E$1:$E$425,'Forbrug af biomasse'!$A$1:$A$425,$F458,'Forbrug af biomasse'!$C$1:$C$425,$D458,'Forbrug af biomasse'!$B$1:$B$425,$A$1,'Forbrug af biomasse'!$D$1:$D$425,I$2)*'[1]Processer - data'!I458*IFERROR(VLOOKUP($D458,Biogasanlæg!$F$3:$G$8,2,FALSE),1)</f>
        <v>16670576.363943003</v>
      </c>
      <c r="J458" s="277">
        <f>SUMIFS('Forbrug af biomasse'!$E$1:$E$425,'Forbrug af biomasse'!$A$1:$A$425,$F458,'Forbrug af biomasse'!$C$1:$C$425,$D458,'Forbrug af biomasse'!$B$1:$B$425,$A$1,'Forbrug af biomasse'!$D$1:$D$425,J$2)*'[1]Processer - data'!J458*IFERROR(VLOOKUP($D458,Biogasanlæg!$F$3:$G$8,2,FALSE),1)</f>
        <v>15960018.874575645</v>
      </c>
    </row>
    <row r="459" spans="1:10" s="168" customFormat="1" x14ac:dyDescent="0.25">
      <c r="A459" s="168" t="str">
        <f>IF('[1]Processer - data'!A459&lt;&gt;"",'[1]Processer - data'!A459,"")</f>
        <v>Biogasanlæg</v>
      </c>
      <c r="B459" s="168" t="str">
        <f>IF('[1]Processer - data'!B459&lt;&gt;"",'[1]Processer - data'!B459,"")</f>
        <v/>
      </c>
      <c r="C459" s="168" t="str">
        <f>IF('[1]Processer - data'!C459&lt;&gt;"",'[1]Processer - data'!C459,"")</f>
        <v/>
      </c>
      <c r="D459" s="168" t="str">
        <f>IF('[1]Processer - data'!D459&lt;&gt;"",'[1]Processer - data'!D459,"")</f>
        <v>Svinegylle</v>
      </c>
      <c r="E459" s="168" t="str">
        <f>IF('[1]Processer - data'!E459&lt;&gt;"",'[1]Processer - data'!E459,"")</f>
        <v>Ton</v>
      </c>
      <c r="F459" s="168" t="str">
        <f>IF('[1]Processer - data'!F459&lt;&gt;"",'[1]Processer - data'!F459,"")</f>
        <v>CO2 - atmosfære</v>
      </c>
      <c r="G459" s="168" t="str">
        <f>IF('[1]Processer - data'!G459&lt;&gt;"",'[1]Processer - data'!G459,"")</f>
        <v>t CO2-ækvivalenter</v>
      </c>
      <c r="H459" s="281">
        <f>SUMIFS('Forbrug af biomasse'!$E$1:$E$425,'Forbrug af biomasse'!$A$1:$A$425,"Biogas",'Forbrug af biomasse'!$C$1:$C$425,$D459,'Forbrug af biomasse'!$B$1:$B$425,$A$1,'Forbrug af biomasse'!$D$1:$D$425,H$2)*'[1]Processer - data'!H459*IFERROR(VLOOKUP($D459,Biogasanlæg!$F$3:$G$8,2,FALSE),1)</f>
        <v>-4841.9260160802014</v>
      </c>
      <c r="I459" s="282">
        <f>SUMIFS('Forbrug af biomasse'!$E$1:$E$425,'Forbrug af biomasse'!$A$1:$A$425,"Biogas",'Forbrug af biomasse'!$C$1:$C$425,$D459,'Forbrug af biomasse'!$B$1:$B$425,$A$1,'Forbrug af biomasse'!$D$1:$D$425,I$2)*'[1]Processer - data'!I459*IFERROR(VLOOKUP($D459,Biogasanlæg!$F$3:$G$8,2,FALSE),1)</f>
        <v>-17681.369040183239</v>
      </c>
      <c r="J459" s="283">
        <f>SUMIFS('Forbrug af biomasse'!$E$1:$E$425,'Forbrug af biomasse'!$A$1:$A$425,"Biogas",'Forbrug af biomasse'!$C$1:$C$425,$D459,'Forbrug af biomasse'!$B$1:$B$425,$A$1,'Forbrug af biomasse'!$D$1:$D$425,J$2)*'[1]Processer - data'!J459*IFERROR(VLOOKUP($D459,Biogasanlæg!$F$3:$G$8,2,FALSE),1)</f>
        <v>-16927.728079037806</v>
      </c>
    </row>
    <row r="460" spans="1:10" x14ac:dyDescent="0.25">
      <c r="A460" s="168" t="str">
        <f>IF('[1]Processer - data'!A460&lt;&gt;"",'[1]Processer - data'!A460,"")</f>
        <v>Biogasanlæg</v>
      </c>
      <c r="B460" s="168" t="str">
        <f>IF('[1]Processer - data'!B460&lt;&gt;"",'[1]Processer - data'!B460,"")</f>
        <v/>
      </c>
      <c r="C460" s="168" t="str">
        <f>IF('[1]Processer - data'!C460&lt;&gt;"",'[1]Processer - data'!C460,"")</f>
        <v/>
      </c>
      <c r="D460" s="168" t="str">
        <f>IF('[1]Processer - data'!D460&lt;&gt;"",'[1]Processer - data'!D460,"")</f>
        <v>Kvæggylle</v>
      </c>
      <c r="E460" s="168" t="str">
        <f>IF('[1]Processer - data'!E460&lt;&gt;"",'[1]Processer - data'!E460,"")</f>
        <v>Ton</v>
      </c>
      <c r="F460" s="168" t="str">
        <f>IF('[1]Processer - data'!F460&lt;&gt;"",'[1]Processer - data'!F460,"")</f>
        <v>Biogas</v>
      </c>
      <c r="G460" s="168" t="str">
        <f>IF('[1]Processer - data'!G460&lt;&gt;"",'[1]Processer - data'!G460,"")</f>
        <v>Nm3 CH4</v>
      </c>
      <c r="H460" s="275">
        <f>SUMIFS('Forbrug af biomasse'!$E$1:$E$425,'Forbrug af biomasse'!$A$1:$A$425,$F460,'Forbrug af biomasse'!$C$1:$C$425,$D460,'Forbrug af biomasse'!$B$1:$B$425,$A$1,'Forbrug af biomasse'!$D$1:$D$425,H$2)*'[1]Processer - data'!H460*IFERROR(VLOOKUP($D460,Biogasanlæg!$F$3:$G$8,2,FALSE),1)</f>
        <v>4041695.3438886409</v>
      </c>
      <c r="I460" s="276">
        <f>SUMIFS('Forbrug af biomasse'!$E$1:$E$425,'Forbrug af biomasse'!$A$1:$A$425,$F460,'Forbrug af biomasse'!$C$1:$C$425,$D460,'Forbrug af biomasse'!$B$1:$B$425,$A$1,'Forbrug af biomasse'!$D$1:$D$425,I$2)*'[1]Processer - data'!I460*IFERROR(VLOOKUP($D460,Biogasanlæg!$F$3:$G$8,2,FALSE),1)</f>
        <v>11866330.529149313</v>
      </c>
      <c r="J460" s="277">
        <f>SUMIFS('Forbrug af biomasse'!$E$1:$E$425,'Forbrug af biomasse'!$A$1:$A$425,$F460,'Forbrug af biomasse'!$C$1:$C$425,$D460,'Forbrug af biomasse'!$B$1:$B$425,$A$1,'Forbrug af biomasse'!$D$1:$D$425,J$2)*'[1]Processer - data'!J460*IFERROR(VLOOKUP($D460,Biogasanlæg!$F$3:$G$8,2,FALSE),1)</f>
        <v>11639587.265454443</v>
      </c>
    </row>
    <row r="461" spans="1:10" s="168" customFormat="1" x14ac:dyDescent="0.25">
      <c r="A461" s="168" t="str">
        <f>IF('[1]Processer - data'!A461&lt;&gt;"",'[1]Processer - data'!A461,"")</f>
        <v>Biogasanlæg</v>
      </c>
      <c r="B461" s="168" t="str">
        <f>IF('[1]Processer - data'!B461&lt;&gt;"",'[1]Processer - data'!B461,"")</f>
        <v/>
      </c>
      <c r="C461" s="168" t="str">
        <f>IF('[1]Processer - data'!C461&lt;&gt;"",'[1]Processer - data'!C461,"")</f>
        <v/>
      </c>
      <c r="D461" s="168" t="str">
        <f>IF('[1]Processer - data'!D461&lt;&gt;"",'[1]Processer - data'!D461,"")</f>
        <v>Kvæggylle</v>
      </c>
      <c r="E461" s="168" t="str">
        <f>IF('[1]Processer - data'!E461&lt;&gt;"",'[1]Processer - data'!E461,"")</f>
        <v>Ton</v>
      </c>
      <c r="F461" s="168" t="str">
        <f>IF('[1]Processer - data'!F461&lt;&gt;"",'[1]Processer - data'!F461,"")</f>
        <v>CO2 - atmosfære</v>
      </c>
      <c r="G461" s="168" t="str">
        <f>IF('[1]Processer - data'!G461&lt;&gt;"",'[1]Processer - data'!G461,"")</f>
        <v>t CO2-ækvivalenter</v>
      </c>
      <c r="H461" s="281">
        <f>SUMIFS('Forbrug af biomasse'!$E$1:$E$425,'Forbrug af biomasse'!$A$1:$A$425,"Biogas",'Forbrug af biomasse'!$C$1:$C$425,$D461,'Forbrug af biomasse'!$B$1:$B$425,$A$1,'Forbrug af biomasse'!$D$1:$D$425,H$2)*'[1]Processer - data'!H461*IFERROR(VLOOKUP($D461,Biogasanlæg!$F$3:$G$8,2,FALSE),1)</f>
        <v>-8434.9192170182378</v>
      </c>
      <c r="I461" s="282">
        <f>SUMIFS('Forbrug af biomasse'!$E$1:$E$425,'Forbrug af biomasse'!$A$1:$A$425,"Biogas",'Forbrug af biomasse'!$C$1:$C$425,$D461,'Forbrug af biomasse'!$B$1:$B$425,$A$1,'Forbrug af biomasse'!$D$1:$D$425,I$2)*'[1]Processer - data'!I461*IFERROR(VLOOKUP($D461,Biogasanlæg!$F$3:$G$8,2,FALSE),1)</f>
        <v>-24764.741253236207</v>
      </c>
      <c r="J461" s="283">
        <f>SUMIFS('Forbrug af biomasse'!$E$1:$E$425,'Forbrug af biomasse'!$A$1:$A$425,"Biogas",'Forbrug af biomasse'!$C$1:$C$425,$D461,'Forbrug af biomasse'!$B$1:$B$425,$A$1,'Forbrug af biomasse'!$D$1:$D$425,J$2)*'[1]Processer - data'!J461*IFERROR(VLOOKUP($D461,Biogasanlæg!$F$3:$G$8,2,FALSE),1)</f>
        <v>-24291.533613981253</v>
      </c>
    </row>
    <row r="462" spans="1:10" x14ac:dyDescent="0.25">
      <c r="A462" t="str">
        <f>IF('[1]Processer - data'!A462&lt;&gt;"",'[1]Processer - data'!A462,"")</f>
        <v>Biogasanlæg</v>
      </c>
      <c r="B462" t="str">
        <f>IF('[1]Processer - data'!B462&lt;&gt;"",'[1]Processer - data'!B462,"")</f>
        <v/>
      </c>
      <c r="C462" t="str">
        <f>IF('[1]Processer - data'!C462&lt;&gt;"",'[1]Processer - data'!C462,"")</f>
        <v/>
      </c>
      <c r="D462" t="str">
        <f>IF('[1]Processer - data'!D462&lt;&gt;"",'[1]Processer - data'!D462,"")</f>
        <v>Fjerkrægylle</v>
      </c>
      <c r="E462" t="str">
        <f>IF('[1]Processer - data'!E462&lt;&gt;"",'[1]Processer - data'!E462,"")</f>
        <v>Ton</v>
      </c>
      <c r="F462" t="str">
        <f>IF('[1]Processer - data'!F462&lt;&gt;"",'[1]Processer - data'!F462,"")</f>
        <v>Biogas</v>
      </c>
      <c r="G462" t="str">
        <f>IF('[1]Processer - data'!G462&lt;&gt;"",'[1]Processer - data'!G462,"")</f>
        <v>Nm3 CH4</v>
      </c>
      <c r="H462" s="275">
        <f>SUMIFS('Forbrug af biomasse'!$E$1:$E$425,'Forbrug af biomasse'!$A$1:$A$425,$F462,'Forbrug af biomasse'!$C$1:$C$425,$D462,'Forbrug af biomasse'!$B$1:$B$425,$A$1,'Forbrug af biomasse'!$D$1:$D$425,H$2)*'[1]Processer - data'!H462*IFERROR(VLOOKUP($D462,Biogasanlæg!$F$3:$G$8,2,FALSE),1)</f>
        <v>4423.7890675769768</v>
      </c>
      <c r="I462" s="276">
        <f>SUMIFS('Forbrug af biomasse'!$E$1:$E$425,'Forbrug af biomasse'!$A$1:$A$425,$F462,'Forbrug af biomasse'!$C$1:$C$425,$D462,'Forbrug af biomasse'!$B$1:$B$425,$A$1,'Forbrug af biomasse'!$D$1:$D$425,I$2)*'[1]Processer - data'!I462*IFERROR(VLOOKUP($D462,Biogasanlæg!$F$3:$G$8,2,FALSE),1)</f>
        <v>5503.5871317014371</v>
      </c>
      <c r="J462" s="277">
        <f>SUMIFS('Forbrug af biomasse'!$E$1:$E$425,'Forbrug af biomasse'!$A$1:$A$425,$F462,'Forbrug af biomasse'!$C$1:$C$425,$D462,'Forbrug af biomasse'!$B$1:$B$425,$A$1,'Forbrug af biomasse'!$D$1:$D$425,J$2)*'[1]Processer - data'!J462*IFERROR(VLOOKUP($D462,Biogasanlæg!$F$3:$G$8,2,FALSE),1)</f>
        <v>5683.5534033168269</v>
      </c>
    </row>
    <row r="463" spans="1:10" x14ac:dyDescent="0.25">
      <c r="A463" t="str">
        <f>IF('[1]Processer - data'!A463&lt;&gt;"",'[1]Processer - data'!A463,"")</f>
        <v>Biogasanlæg</v>
      </c>
      <c r="B463" t="str">
        <f>IF('[1]Processer - data'!B463&lt;&gt;"",'[1]Processer - data'!B463,"")</f>
        <v/>
      </c>
      <c r="C463" t="str">
        <f>IF('[1]Processer - data'!C463&lt;&gt;"",'[1]Processer - data'!C463,"")</f>
        <v/>
      </c>
      <c r="D463" t="str">
        <f>IF('[1]Processer - data'!D463&lt;&gt;"",'[1]Processer - data'!D463,"")</f>
        <v>Dybstrøelse</v>
      </c>
      <c r="E463" t="str">
        <f>IF('[1]Processer - data'!E463&lt;&gt;"",'[1]Processer - data'!E463,"")</f>
        <v>Ton</v>
      </c>
      <c r="F463" t="str">
        <f>IF('[1]Processer - data'!F463&lt;&gt;"",'[1]Processer - data'!F463,"")</f>
        <v>Biogas</v>
      </c>
      <c r="G463" t="str">
        <f>IF('[1]Processer - data'!G463&lt;&gt;"",'[1]Processer - data'!G463,"")</f>
        <v>Nm3 CH4</v>
      </c>
      <c r="H463" s="275">
        <f>SUMIFS('Forbrug af biomasse'!$E$1:$E$425,'Forbrug af biomasse'!$A$1:$A$425,$F463,'Forbrug af biomasse'!$C$1:$C$425,$D463,'Forbrug af biomasse'!$B$1:$B$425,$A$1,'Forbrug af biomasse'!$D$1:$D$425,H$2)*'[1]Processer - data'!H463*IFERROR(VLOOKUP($D463,Biogasanlæg!$F$3:$G$8,2,FALSE),1)</f>
        <v>5153539.7069824543</v>
      </c>
      <c r="I463" s="276">
        <f>SUMIFS('Forbrug af biomasse'!$E$1:$E$425,'Forbrug af biomasse'!$A$1:$A$425,$F463,'Forbrug af biomasse'!$C$1:$C$425,$D463,'Forbrug af biomasse'!$B$1:$B$425,$A$1,'Forbrug af biomasse'!$D$1:$D$425,I$2)*'[1]Processer - data'!I463*IFERROR(VLOOKUP($D463,Biogasanlæg!$F$3:$G$8,2,FALSE),1)</f>
        <v>12889983.945318531</v>
      </c>
      <c r="J463" s="277">
        <f>SUMIFS('Forbrug af biomasse'!$E$1:$E$425,'Forbrug af biomasse'!$A$1:$A$425,$F463,'Forbrug af biomasse'!$C$1:$C$425,$D463,'Forbrug af biomasse'!$B$1:$B$425,$A$1,'Forbrug af biomasse'!$D$1:$D$425,J$2)*'[1]Processer - data'!J463*IFERROR(VLOOKUP($D463,Biogasanlæg!$F$3:$G$8,2,FALSE),1)</f>
        <v>13574091.852575995</v>
      </c>
    </row>
    <row r="464" spans="1:10" x14ac:dyDescent="0.25">
      <c r="A464" t="str">
        <f>IF('[1]Processer - data'!A464&lt;&gt;"",'[1]Processer - data'!A464,"")</f>
        <v>Biogasanlæg</v>
      </c>
      <c r="B464" t="str">
        <f>IF('[1]Processer - data'!B464&lt;&gt;"",'[1]Processer - data'!B464,"")</f>
        <v/>
      </c>
      <c r="C464" t="str">
        <f>IF('[1]Processer - data'!C464&lt;&gt;"",'[1]Processer - data'!C464,"")</f>
        <v/>
      </c>
      <c r="D464" t="str">
        <f>IF('[1]Processer - data'!D464&lt;&gt;"",'[1]Processer - data'!D464,"")</f>
        <v>Majs</v>
      </c>
      <c r="E464" t="str">
        <f>IF('[1]Processer - data'!E464&lt;&gt;"",'[1]Processer - data'!E464,"")</f>
        <v>Ton</v>
      </c>
      <c r="F464" t="str">
        <f>IF('[1]Processer - data'!F464&lt;&gt;"",'[1]Processer - data'!F464,"")</f>
        <v>Biogas</v>
      </c>
      <c r="G464" t="str">
        <f>IF('[1]Processer - data'!G464&lt;&gt;"",'[1]Processer - data'!G464,"")</f>
        <v>Nm3 CH4</v>
      </c>
      <c r="H464" s="275">
        <f>SUMIFS('Forbrug af biomasse'!$E$1:$E$425,'Forbrug af biomasse'!$A$1:$A$425,$F464,'Forbrug af biomasse'!$C$1:$C$425,$D464,'Forbrug af biomasse'!$B$1:$B$425,$A$1,'Forbrug af biomasse'!$D$1:$D$425,H$2)*'[1]Processer - data'!H464*IFERROR(VLOOKUP($D464,Biogasanlæg!$F$3:$G$8,2,FALSE),1)</f>
        <v>1515105.3724986184</v>
      </c>
      <c r="I464" s="276">
        <f>SUMIFS('Forbrug af biomasse'!$E$1:$E$425,'Forbrug af biomasse'!$A$1:$A$425,$F464,'Forbrug af biomasse'!$C$1:$C$425,$D464,'Forbrug af biomasse'!$B$1:$B$425,$A$1,'Forbrug af biomasse'!$D$1:$D$425,I$2)*'[1]Processer - data'!I464*IFERROR(VLOOKUP($D464,Biogasanlæg!$F$3:$G$8,2,FALSE),1)</f>
        <v>1524399.0880599462</v>
      </c>
      <c r="J464" s="277">
        <f>SUMIFS('Forbrug af biomasse'!$E$1:$E$425,'Forbrug af biomasse'!$A$1:$A$425,$F464,'Forbrug af biomasse'!$C$1:$C$425,$D464,'Forbrug af biomasse'!$B$1:$B$425,$A$1,'Forbrug af biomasse'!$D$1:$D$425,J$2)*'[1]Processer - data'!J464*IFERROR(VLOOKUP($D464,Biogasanlæg!$F$3:$G$8,2,FALSE),1)</f>
        <v>1536451.9148894225</v>
      </c>
    </row>
    <row r="465" spans="1:10" x14ac:dyDescent="0.25">
      <c r="A465" t="str">
        <f>IF('[1]Processer - data'!A465&lt;&gt;"",'[1]Processer - data'!A465,"")</f>
        <v>Biogasanlæg</v>
      </c>
      <c r="B465" t="str">
        <f>IF('[1]Processer - data'!B465&lt;&gt;"",'[1]Processer - data'!B465,"")</f>
        <v/>
      </c>
      <c r="C465" t="str">
        <f>IF('[1]Processer - data'!C465&lt;&gt;"",'[1]Processer - data'!C465,"")</f>
        <v/>
      </c>
      <c r="D465" t="str">
        <f>IF('[1]Processer - data'!D465&lt;&gt;"",'[1]Processer - data'!D465,"")</f>
        <v>Roer</v>
      </c>
      <c r="E465" t="str">
        <f>IF('[1]Processer - data'!E465&lt;&gt;"",'[1]Processer - data'!E465,"")</f>
        <v>Ton</v>
      </c>
      <c r="F465" t="str">
        <f>IF('[1]Processer - data'!F465&lt;&gt;"",'[1]Processer - data'!F465,"")</f>
        <v>Biogas</v>
      </c>
      <c r="G465" t="str">
        <f>IF('[1]Processer - data'!G465&lt;&gt;"",'[1]Processer - data'!G465,"")</f>
        <v>Nm3 CH4</v>
      </c>
      <c r="H465" s="275">
        <f>SUMIFS('Forbrug af biomasse'!$E$1:$E$425,'Forbrug af biomasse'!$A$1:$A$425,$F465,'Forbrug af biomasse'!$C$1:$C$425,$D465,'Forbrug af biomasse'!$B$1:$B$425,$A$1,'Forbrug af biomasse'!$D$1:$D$425,H$2)*'[1]Processer - data'!H465*IFERROR(VLOOKUP($D465,Biogasanlæg!$F$3:$G$8,2,FALSE),1)</f>
        <v>1852429.2214462431</v>
      </c>
      <c r="I465" s="276">
        <f>SUMIFS('Forbrug af biomasse'!$E$1:$E$425,'Forbrug af biomasse'!$A$1:$A$425,$F465,'Forbrug af biomasse'!$C$1:$C$425,$D465,'Forbrug af biomasse'!$B$1:$B$425,$A$1,'Forbrug af biomasse'!$D$1:$D$425,I$2)*'[1]Processer - data'!I465*IFERROR(VLOOKUP($D465,Biogasanlæg!$F$3:$G$8,2,FALSE),1)</f>
        <v>1853830.793014637</v>
      </c>
      <c r="J465" s="277">
        <f>SUMIFS('Forbrug af biomasse'!$E$1:$E$425,'Forbrug af biomasse'!$A$1:$A$425,$F465,'Forbrug af biomasse'!$C$1:$C$425,$D465,'Forbrug af biomasse'!$B$1:$B$425,$A$1,'Forbrug af biomasse'!$D$1:$D$425,J$2)*'[1]Processer - data'!J465*IFERROR(VLOOKUP($D465,Biogasanlæg!$F$3:$G$8,2,FALSE),1)</f>
        <v>1856144.8755523276</v>
      </c>
    </row>
    <row r="466" spans="1:10" x14ac:dyDescent="0.25">
      <c r="A466" t="str">
        <f>IF('[1]Processer - data'!A466&lt;&gt;"",'[1]Processer - data'!A466,"")</f>
        <v>Biogasanlæg</v>
      </c>
      <c r="B466" t="str">
        <f>IF('[1]Processer - data'!B466&lt;&gt;"",'[1]Processer - data'!B466,"")</f>
        <v/>
      </c>
      <c r="C466" t="str">
        <f>IF('[1]Processer - data'!C466&lt;&gt;"",'[1]Processer - data'!C466,"")</f>
        <v/>
      </c>
      <c r="D466" t="str">
        <f>IF('[1]Processer - data'!D466&lt;&gt;"",'[1]Processer - data'!D466,"")</f>
        <v>Bioaffald</v>
      </c>
      <c r="E466" t="str">
        <f>IF('[1]Processer - data'!E466&lt;&gt;"",'[1]Processer - data'!E466,"")</f>
        <v>Ton</v>
      </c>
      <c r="F466" t="str">
        <f>IF('[1]Processer - data'!F466&lt;&gt;"",'[1]Processer - data'!F466,"")</f>
        <v>Biogas</v>
      </c>
      <c r="G466" t="str">
        <f>IF('[1]Processer - data'!G466&lt;&gt;"",'[1]Processer - data'!G466,"")</f>
        <v>Nm3 CH4</v>
      </c>
      <c r="H466" s="275">
        <f ca="1">SUMIFS('Forbrug af biomasse'!$E$1:$E$425,'Forbrug af biomasse'!$A$1:$A$425,$F466,'Forbrug af biomasse'!$C$1:$C$425,$D466,'Forbrug af biomasse'!$B$1:$B$425,$A$1,'Forbrug af biomasse'!$D$1:$D$425,H$2)*'[1]Processer - data'!H466*IFERROR(VLOOKUP($D466,Biogasanlæg!$F$3:$G$8,2,FALSE),1)</f>
        <v>31847524.758986317</v>
      </c>
      <c r="I466" s="276">
        <f ca="1">SUMIFS('Forbrug af biomasse'!$E$1:$E$425,'Forbrug af biomasse'!$A$1:$A$425,$F466,'Forbrug af biomasse'!$C$1:$C$425,$D466,'Forbrug af biomasse'!$B$1:$B$425,$A$1,'Forbrug af biomasse'!$D$1:$D$425,I$2)*'[1]Processer - data'!I466*IFERROR(VLOOKUP($D466,Biogasanlæg!$F$3:$G$8,2,FALSE),1)</f>
        <v>16029820.816877825</v>
      </c>
      <c r="J466" s="277">
        <f ca="1">SUMIFS('Forbrug af biomasse'!$E$1:$E$425,'Forbrug af biomasse'!$A$1:$A$425,$F466,'Forbrug af biomasse'!$C$1:$C$425,$D466,'Forbrug af biomasse'!$B$1:$B$425,$A$1,'Forbrug af biomasse'!$D$1:$D$425,J$2)*'[1]Processer - data'!J466*IFERROR(VLOOKUP($D466,Biogasanlæg!$F$3:$G$8,2,FALSE),1)</f>
        <v>16350583.536771111</v>
      </c>
    </row>
    <row r="467" spans="1:10" x14ac:dyDescent="0.25">
      <c r="A467" t="str">
        <f>IF('[1]Processer - data'!A467&lt;&gt;"",'[1]Processer - data'!A467,"")</f>
        <v>Biogasanlæg</v>
      </c>
      <c r="B467" t="str">
        <f>IF('[1]Processer - data'!B467&lt;&gt;"",'[1]Processer - data'!B467,"")</f>
        <v/>
      </c>
      <c r="C467" t="str">
        <f>IF('[1]Processer - data'!C467&lt;&gt;"",'[1]Processer - data'!C467,"")</f>
        <v/>
      </c>
      <c r="D467" t="str">
        <f>IF('[1]Processer - data'!D467&lt;&gt;"",'[1]Processer - data'!D467,"")</f>
        <v>Industriaffald</v>
      </c>
      <c r="E467" t="str">
        <f>IF('[1]Processer - data'!E467&lt;&gt;"",'[1]Processer - data'!E467,"")</f>
        <v>Ton</v>
      </c>
      <c r="F467" t="str">
        <f>IF('[1]Processer - data'!F467&lt;&gt;"",'[1]Processer - data'!F467,"")</f>
        <v>Biogas</v>
      </c>
      <c r="G467" t="str">
        <f>IF('[1]Processer - data'!G467&lt;&gt;"",'[1]Processer - data'!G467,"")</f>
        <v>Nm3 CH4</v>
      </c>
      <c r="H467" s="275">
        <f>SUMIFS('Forbrug af biomasse'!$E$1:$E$425,'Forbrug af biomasse'!$A$1:$A$425,$F467,'Forbrug af biomasse'!$C$1:$C$425,$D467,'Forbrug af biomasse'!$B$1:$B$425,$A$1,'Forbrug af biomasse'!$D$1:$D$425,H$2)*'[1]Processer - data'!H467*IFERROR(VLOOKUP($D467,Biogasanlæg!$F$3:$G$8,2,FALSE),1)</f>
        <v>28680457.689898066</v>
      </c>
      <c r="I467" s="276">
        <f>SUMIFS('Forbrug af biomasse'!$E$1:$E$425,'Forbrug af biomasse'!$A$1:$A$425,$F467,'Forbrug af biomasse'!$C$1:$C$425,$D467,'Forbrug af biomasse'!$B$1:$B$425,$A$1,'Forbrug af biomasse'!$D$1:$D$425,I$2)*'[1]Processer - data'!I467*IFERROR(VLOOKUP($D467,Biogasanlæg!$F$3:$G$8,2,FALSE),1)</f>
        <v>19597924.825494852</v>
      </c>
      <c r="J467" s="277">
        <f>SUMIFS('Forbrug af biomasse'!$E$1:$E$425,'Forbrug af biomasse'!$A$1:$A$425,$F467,'Forbrug af biomasse'!$C$1:$C$425,$D467,'Forbrug af biomasse'!$B$1:$B$425,$A$1,'Forbrug af biomasse'!$D$1:$D$425,J$2)*'[1]Processer - data'!J467*IFERROR(VLOOKUP($D467,Biogasanlæg!$F$3:$G$8,2,FALSE),1)</f>
        <v>19639903.432966735</v>
      </c>
    </row>
    <row r="468" spans="1:10" x14ac:dyDescent="0.25">
      <c r="A468" t="str">
        <f>IF('[1]Processer - data'!A468&lt;&gt;"",'[1]Processer - data'!A468,"")</f>
        <v>Biogasanlæg</v>
      </c>
      <c r="B468" t="str">
        <f>IF('[1]Processer - data'!B468&lt;&gt;"",'[1]Processer - data'!B468,"")</f>
        <v/>
      </c>
      <c r="C468" t="str">
        <f>IF('[1]Processer - data'!C468&lt;&gt;"",'[1]Processer - data'!C468,"")</f>
        <v/>
      </c>
      <c r="D468" t="str">
        <f>IF('[1]Processer - data'!D468&lt;&gt;"",'[1]Processer - data'!D468,"")</f>
        <v>Muslinger</v>
      </c>
      <c r="E468" t="str">
        <f>IF('[1]Processer - data'!E468&lt;&gt;"",'[1]Processer - data'!E468,"")</f>
        <v>Ton</v>
      </c>
      <c r="F468" t="str">
        <f>IF('[1]Processer - data'!F468&lt;&gt;"",'[1]Processer - data'!F468,"")</f>
        <v>Biogas</v>
      </c>
      <c r="G468" t="str">
        <f>IF('[1]Processer - data'!G468&lt;&gt;"",'[1]Processer - data'!G468,"")</f>
        <v>Nm3 CH4</v>
      </c>
      <c r="H468" s="275">
        <f>SUMIFS('Forbrug af biomasse'!$E$1:$E$425,'Forbrug af biomasse'!$A$1:$A$425,$F468,'Forbrug af biomasse'!$C$1:$C$425,$D468,'Forbrug af biomasse'!$B$1:$B$425,$A$1,'Forbrug af biomasse'!$D$1:$D$425,H$2)*'[1]Processer - data'!H468*IFERROR(VLOOKUP($D468,Biogasanlæg!$F$3:$G$8,2,FALSE),1)</f>
        <v>0</v>
      </c>
      <c r="I468" s="276">
        <f>SUMIFS('Forbrug af biomasse'!$E$1:$E$425,'Forbrug af biomasse'!$A$1:$A$425,$F468,'Forbrug af biomasse'!$C$1:$C$425,$D468,'Forbrug af biomasse'!$B$1:$B$425,$A$1,'Forbrug af biomasse'!$D$1:$D$425,I$2)*'[1]Processer - data'!I468*IFERROR(VLOOKUP($D468,Biogasanlæg!$F$3:$G$8,2,FALSE),1)</f>
        <v>0</v>
      </c>
      <c r="J468" s="277">
        <f>SUMIFS('Forbrug af biomasse'!$E$1:$E$425,'Forbrug af biomasse'!$A$1:$A$425,$F468,'Forbrug af biomasse'!$C$1:$C$425,$D468,'Forbrug af biomasse'!$B$1:$B$425,$A$1,'Forbrug af biomasse'!$D$1:$D$425,J$2)*'[1]Processer - data'!J468*IFERROR(VLOOKUP($D468,Biogasanlæg!$F$3:$G$8,2,FALSE),1)</f>
        <v>0</v>
      </c>
    </row>
    <row r="469" spans="1:10" x14ac:dyDescent="0.25">
      <c r="A469" t="str">
        <f>IF('[1]Processer - data'!A469&lt;&gt;"",'[1]Processer - data'!A469,"")</f>
        <v>Biogasanlæg</v>
      </c>
      <c r="B469" t="str">
        <f>IF('[1]Processer - data'!B469&lt;&gt;"",'[1]Processer - data'!B469,"")</f>
        <v/>
      </c>
      <c r="C469" t="str">
        <f>IF('[1]Processer - data'!C469&lt;&gt;"",'[1]Processer - data'!C469,"")</f>
        <v/>
      </c>
      <c r="D469" t="str">
        <f>IF('[1]Processer - data'!D469&lt;&gt;"",'[1]Processer - data'!D469,"")</f>
        <v>Tang</v>
      </c>
      <c r="E469" t="str">
        <f>IF('[1]Processer - data'!E469&lt;&gt;"",'[1]Processer - data'!E469,"")</f>
        <v>Ton</v>
      </c>
      <c r="F469" t="str">
        <f>IF('[1]Processer - data'!F469&lt;&gt;"",'[1]Processer - data'!F469,"")</f>
        <v>Biogas</v>
      </c>
      <c r="G469" t="str">
        <f>IF('[1]Processer - data'!G469&lt;&gt;"",'[1]Processer - data'!G469,"")</f>
        <v>Nm3 CH4</v>
      </c>
      <c r="H469" s="275">
        <f>SUMIFS('Forbrug af biomasse'!$E$1:$E$425,'Forbrug af biomasse'!$A$1:$A$425,$F469,'Forbrug af biomasse'!$C$1:$C$425,$D469,'Forbrug af biomasse'!$B$1:$B$425,$A$1,'Forbrug af biomasse'!$D$1:$D$425,H$2)*'[1]Processer - data'!H469*IFERROR(VLOOKUP($D469,Biogasanlæg!$F$3:$G$8,2,FALSE),1)</f>
        <v>0</v>
      </c>
      <c r="I469" s="276">
        <f>SUMIFS('Forbrug af biomasse'!$E$1:$E$425,'Forbrug af biomasse'!$A$1:$A$425,$F469,'Forbrug af biomasse'!$C$1:$C$425,$D469,'Forbrug af biomasse'!$B$1:$B$425,$A$1,'Forbrug af biomasse'!$D$1:$D$425,I$2)*'[1]Processer - data'!I469*IFERROR(VLOOKUP($D469,Biogasanlæg!$F$3:$G$8,2,FALSE),1)</f>
        <v>0</v>
      </c>
      <c r="J469" s="277">
        <f>SUMIFS('Forbrug af biomasse'!$E$1:$E$425,'Forbrug af biomasse'!$A$1:$A$425,$F469,'Forbrug af biomasse'!$C$1:$C$425,$D469,'Forbrug af biomasse'!$B$1:$B$425,$A$1,'Forbrug af biomasse'!$D$1:$D$425,J$2)*'[1]Processer - data'!J469*IFERROR(VLOOKUP($D469,Biogasanlæg!$F$3:$G$8,2,FALSE),1)</f>
        <v>0</v>
      </c>
    </row>
    <row r="470" spans="1:10" x14ac:dyDescent="0.25">
      <c r="A470" t="str">
        <f>IF('[1]Processer - data'!A470&lt;&gt;"",'[1]Processer - data'!A470,"")</f>
        <v>Biogasanlæg</v>
      </c>
      <c r="B470" t="str">
        <f>IF('[1]Processer - data'!B470&lt;&gt;"",'[1]Processer - data'!B470,"")</f>
        <v/>
      </c>
      <c r="C470" t="str">
        <f>IF('[1]Processer - data'!C470&lt;&gt;"",'[1]Processer - data'!C470,"")</f>
        <v/>
      </c>
      <c r="D470" t="str">
        <f>IF('[1]Processer - data'!D470&lt;&gt;"",'[1]Processer - data'!D470,"")</f>
        <v>Have/parkaffald</v>
      </c>
      <c r="E470" t="str">
        <f>IF('[1]Processer - data'!E470&lt;&gt;"",'[1]Processer - data'!E470,"")</f>
        <v>Ton</v>
      </c>
      <c r="F470" t="str">
        <f>IF('[1]Processer - data'!F470&lt;&gt;"",'[1]Processer - data'!F470,"")</f>
        <v>Biogas</v>
      </c>
      <c r="G470" t="str">
        <f>IF('[1]Processer - data'!G470&lt;&gt;"",'[1]Processer - data'!G470,"")</f>
        <v>Nm3 CH4</v>
      </c>
      <c r="H470" s="275">
        <f>SUMIFS('Forbrug af biomasse'!$E$1:$E$425,'Forbrug af biomasse'!$A$1:$A$425,$F470,'Forbrug af biomasse'!$C$1:$C$425,$D470,'Forbrug af biomasse'!$B$1:$B$425,$A$1,'Forbrug af biomasse'!$D$1:$D$425,H$2)*'[1]Processer - data'!H470*IFERROR(VLOOKUP($D470,Biogasanlæg!$F$3:$G$8,2,FALSE),1)</f>
        <v>1698.0788969358161</v>
      </c>
      <c r="I470" s="276">
        <f>SUMIFS('Forbrug af biomasse'!$E$1:$E$425,'Forbrug af biomasse'!$A$1:$A$425,$F470,'Forbrug af biomasse'!$C$1:$C$425,$D470,'Forbrug af biomasse'!$B$1:$B$425,$A$1,'Forbrug af biomasse'!$D$1:$D$425,I$2)*'[1]Processer - data'!I470*IFERROR(VLOOKUP($D470,Biogasanlæg!$F$3:$G$8,2,FALSE),1)</f>
        <v>1712.0749806438052</v>
      </c>
      <c r="J470" s="277">
        <f>SUMIFS('Forbrug af biomasse'!$E$1:$E$425,'Forbrug af biomasse'!$A$1:$A$425,$F470,'Forbrug af biomasse'!$C$1:$C$425,$D470,'Forbrug af biomasse'!$B$1:$B$425,$A$1,'Forbrug af biomasse'!$D$1:$D$425,J$2)*'[1]Processer - data'!J470*IFERROR(VLOOKUP($D470,Biogasanlæg!$F$3:$G$8,2,FALSE),1)</f>
        <v>1719.0277723236602</v>
      </c>
    </row>
    <row r="471" spans="1:10" x14ac:dyDescent="0.25">
      <c r="A471" t="str">
        <f>IF('[1]Processer - data'!A471&lt;&gt;"",'[1]Processer - data'!A471,"")</f>
        <v>Biogasanlæg</v>
      </c>
      <c r="B471" t="str">
        <f>IF('[1]Processer - data'!B471&lt;&gt;"",'[1]Processer - data'!B471,"")</f>
        <v/>
      </c>
      <c r="C471" t="str">
        <f>IF('[1]Processer - data'!C471&lt;&gt;"",'[1]Processer - data'!C471,"")</f>
        <v/>
      </c>
      <c r="D471" t="str">
        <f>IF('[1]Processer - data'!D471&lt;&gt;"",'[1]Processer - data'!D471,"")</f>
        <v>Brun saft</v>
      </c>
      <c r="E471" t="str">
        <f>IF('[1]Processer - data'!E471&lt;&gt;"",'[1]Processer - data'!E471,"")</f>
        <v>PJ</v>
      </c>
      <c r="F471" t="str">
        <f>IF('[1]Processer - data'!F471&lt;&gt;"",'[1]Processer - data'!F471,"")</f>
        <v>Biogas</v>
      </c>
      <c r="G471" t="str">
        <f>IF('[1]Processer - data'!G471&lt;&gt;"",'[1]Processer - data'!G471,"")</f>
        <v>Nm3 CH4</v>
      </c>
      <c r="H471" s="275">
        <f>SUMIFS('Forbrug af biomasse'!$E$1:$E$425,'Forbrug af biomasse'!$A$1:$A$425,$F471,'Forbrug af biomasse'!$C$1:$C$425,$D471,'Forbrug af biomasse'!$B$1:$B$425,$A$1,'Forbrug af biomasse'!$D$1:$D$425,H$2)*'[1]Processer - data'!H471*IFERROR(VLOOKUP($D471,Biogasanlæg!$F$3:$G$8,2,FALSE),1)</f>
        <v>0</v>
      </c>
      <c r="I471" s="276">
        <f>SUMIFS('Forbrug af biomasse'!$E$1:$E$425,'Forbrug af biomasse'!$A$1:$A$425,$F471,'Forbrug af biomasse'!$C$1:$C$425,$D471,'Forbrug af biomasse'!$B$1:$B$425,$A$1,'Forbrug af biomasse'!$D$1:$D$425,I$2)*'[1]Processer - data'!I471*IFERROR(VLOOKUP($D471,Biogasanlæg!$F$3:$G$8,2,FALSE),1)</f>
        <v>0</v>
      </c>
      <c r="J471" s="277">
        <f>SUMIFS('Forbrug af biomasse'!$E$1:$E$425,'Forbrug af biomasse'!$A$1:$A$425,$F471,'Forbrug af biomasse'!$C$1:$C$425,$D471,'Forbrug af biomasse'!$B$1:$B$425,$A$1,'Forbrug af biomasse'!$D$1:$D$425,J$2)*'[1]Processer - data'!J471*IFERROR(VLOOKUP($D471,Biogasanlæg!$F$3:$G$8,2,FALSE),1)</f>
        <v>0</v>
      </c>
    </row>
    <row r="472" spans="1:10" x14ac:dyDescent="0.25">
      <c r="A472" t="str">
        <f>IF('[1]Processer - data'!A472&lt;&gt;"",'[1]Processer - data'!A472,"")</f>
        <v>Biogasanlæg</v>
      </c>
      <c r="B472" t="str">
        <f>IF('[1]Processer - data'!B472&lt;&gt;"",'[1]Processer - data'!B472,"")</f>
        <v/>
      </c>
      <c r="C472" t="str">
        <f>IF('[1]Processer - data'!C472&lt;&gt;"",'[1]Processer - data'!C472,"")</f>
        <v/>
      </c>
      <c r="D472" t="str">
        <f>IF('[1]Processer - data'!D472&lt;&gt;"",'[1]Processer - data'!D472,"")</f>
        <v>Glycerin</v>
      </c>
      <c r="E472" t="str">
        <f>IF('[1]Processer - data'!E472&lt;&gt;"",'[1]Processer - data'!E472,"")</f>
        <v>Ton</v>
      </c>
      <c r="F472" t="str">
        <f>IF('[1]Processer - data'!F472&lt;&gt;"",'[1]Processer - data'!F472,"")</f>
        <v>Biogas</v>
      </c>
      <c r="G472" t="str">
        <f>IF('[1]Processer - data'!G472&lt;&gt;"",'[1]Processer - data'!G472,"")</f>
        <v>Nm3 CH4</v>
      </c>
      <c r="H472" s="275">
        <f>SUMIFS('Forbrug af biomasse'!$E$1:$E$425,'Forbrug af biomasse'!$A$1:$A$425,$F472,'Forbrug af biomasse'!$C$1:$C$425,$D472,'Forbrug af biomasse'!$B$1:$B$425,$A$1,'Forbrug af biomasse'!$D$1:$D$425,H$2)*'[1]Processer - data'!H472*IFERROR(VLOOKUP($D472,Biogasanlæg!$F$3:$G$8,2,FALSE),1)</f>
        <v>12086250.624000002</v>
      </c>
      <c r="I472" s="276">
        <f>SUMIFS('Forbrug af biomasse'!$E$1:$E$425,'Forbrug af biomasse'!$A$1:$A$425,$F472,'Forbrug af biomasse'!$C$1:$C$425,$D472,'Forbrug af biomasse'!$B$1:$B$425,$A$1,'Forbrug af biomasse'!$D$1:$D$425,I$2)*'[1]Processer - data'!I472*IFERROR(VLOOKUP($D472,Biogasanlæg!$F$3:$G$8,2,FALSE),1)</f>
        <v>12086250.624000002</v>
      </c>
      <c r="J472" s="277">
        <f>SUMIFS('Forbrug af biomasse'!$E$1:$E$425,'Forbrug af biomasse'!$A$1:$A$425,$F472,'Forbrug af biomasse'!$C$1:$C$425,$D472,'Forbrug af biomasse'!$B$1:$B$425,$A$1,'Forbrug af biomasse'!$D$1:$D$425,J$2)*'[1]Processer - data'!J472*IFERROR(VLOOKUP($D472,Biogasanlæg!$F$3:$G$8,2,FALSE),1)</f>
        <v>12086250.624000002</v>
      </c>
    </row>
    <row r="473" spans="1:10" x14ac:dyDescent="0.25">
      <c r="A473" t="str">
        <f>IF('[1]Processer - data'!A473&lt;&gt;"",'[1]Processer - data'!A473,"")</f>
        <v>Biogasanlæg</v>
      </c>
      <c r="B473" t="str">
        <f>IF('[1]Processer - data'!B473&lt;&gt;"",'[1]Processer - data'!B473,"")</f>
        <v/>
      </c>
      <c r="C473" t="str">
        <f>IF('[1]Processer - data'!C473&lt;&gt;"",'[1]Processer - data'!C473,"")</f>
        <v/>
      </c>
      <c r="D473" t="str">
        <f>IF('[1]Processer - data'!D473&lt;&gt;"",'[1]Processer - data'!D473,"")</f>
        <v>Spildevandsslam</v>
      </c>
      <c r="E473" t="str">
        <f>IF('[1]Processer - data'!E473&lt;&gt;"",'[1]Processer - data'!E473,"")</f>
        <v>Ton</v>
      </c>
      <c r="F473" t="str">
        <f>IF('[1]Processer - data'!F473&lt;&gt;"",'[1]Processer - data'!F473,"")</f>
        <v>Biogas</v>
      </c>
      <c r="G473" t="str">
        <f>IF('[1]Processer - data'!G473&lt;&gt;"",'[1]Processer - data'!G473,"")</f>
        <v>Nm3 CH4</v>
      </c>
      <c r="H473" s="275">
        <f>SUMIFS('Forbrug af biomasse'!$E$1:$E$425,'Forbrug af biomasse'!$A$1:$A$425,$F473,'Forbrug af biomasse'!$C$1:$C$425,$D473,'Forbrug af biomasse'!$B$1:$B$425,$A$1,'Forbrug af biomasse'!$D$1:$D$425,H$2)*'[1]Processer - data'!H473*IFERROR(VLOOKUP($D473,Biogasanlæg!$F$3:$G$8,2,FALSE),1)</f>
        <v>16800254.634225141</v>
      </c>
      <c r="I473" s="276">
        <f>SUMIFS('Forbrug af biomasse'!$E$1:$E$425,'Forbrug af biomasse'!$A$1:$A$425,$F473,'Forbrug af biomasse'!$C$1:$C$425,$D473,'Forbrug af biomasse'!$B$1:$B$425,$A$1,'Forbrug af biomasse'!$D$1:$D$425,I$2)*'[1]Processer - data'!I473*IFERROR(VLOOKUP($D473,Biogasanlæg!$F$3:$G$8,2,FALSE),1)</f>
        <v>17637502.257990435</v>
      </c>
      <c r="J473" s="277">
        <f>SUMIFS('Forbrug af biomasse'!$E$1:$E$425,'Forbrug af biomasse'!$A$1:$A$425,$F473,'Forbrug af biomasse'!$C$1:$C$425,$D473,'Forbrug af biomasse'!$B$1:$B$425,$A$1,'Forbrug af biomasse'!$D$1:$D$425,J$2)*'[1]Processer - data'!J473*IFERROR(VLOOKUP($D473,Biogasanlæg!$F$3:$G$8,2,FALSE),1)</f>
        <v>18460894.728164304</v>
      </c>
    </row>
    <row r="474" spans="1:10" x14ac:dyDescent="0.25">
      <c r="A474" t="str">
        <f>IF('[1]Processer - data'!A474&lt;&gt;"",'[1]Processer - data'!A474,"")</f>
        <v>Biogasanlæg</v>
      </c>
      <c r="B474" t="str">
        <f>IF('[1]Processer - data'!B474&lt;&gt;"",'[1]Processer - data'!B474,"")</f>
        <v/>
      </c>
      <c r="C474" t="str">
        <f>IF('[1]Processer - data'!C474&lt;&gt;"",'[1]Processer - data'!C474,"")</f>
        <v/>
      </c>
      <c r="D474" t="str">
        <f>IF('[1]Processer - data'!D474&lt;&gt;"",'[1]Processer - data'!D474,"")</f>
        <v>Total til biogas</v>
      </c>
      <c r="E474" t="str">
        <f>IF('[1]Processer - data'!E474&lt;&gt;"",'[1]Processer - data'!E474,"")</f>
        <v>Ton</v>
      </c>
      <c r="F474" t="str">
        <f>IF('[1]Processer - data'!F474&lt;&gt;"",'[1]Processer - data'!F474,"")</f>
        <v>Biogasgylle</v>
      </c>
      <c r="G474" t="str">
        <f>IF('[1]Processer - data'!G474&lt;&gt;"",'[1]Processer - data'!G474,"")</f>
        <v>Ton</v>
      </c>
      <c r="H474" s="281">
        <f ca="1">SUMIFS('Forbrug af biomasse'!$E$1:$E$425,'Forbrug af biomasse'!$A$1:$A$425,"Biogas",'Forbrug af biomasse'!$B$1:$B$425,$A$1,'Forbrug af biomasse'!$D$1:$D$425,H$2)*'[1]Processer - data'!H474</f>
        <v>2463073.3914116896</v>
      </c>
      <c r="I474" s="282">
        <f ca="1">SUMIFS('Forbrug af biomasse'!$E$1:$E$425,'Forbrug af biomasse'!$A$1:$A$425,"Biogas",'Forbrug af biomasse'!$B$1:$B$425,$A$1,'Forbrug af biomasse'!$D$1:$D$425,I$2)*'[1]Processer - data'!I474</f>
        <v>3841169.7786713694</v>
      </c>
      <c r="J474" s="283">
        <f ca="1">SUMIFS('Forbrug af biomasse'!$E$1:$E$425,'Forbrug af biomasse'!$A$1:$A$425,"Biogas",'Forbrug af biomasse'!$B$1:$B$425,$A$1,'Forbrug af biomasse'!$D$1:$D$425,J$2)*'[1]Processer - data'!J474</f>
        <v>3840880.8617539103</v>
      </c>
    </row>
    <row r="475" spans="1:10" x14ac:dyDescent="0.25">
      <c r="A475" t="str">
        <f>IF('[1]Processer - data'!A475&lt;&gt;"",'[1]Processer - data'!A475,"")</f>
        <v>Gødning</v>
      </c>
      <c r="B475" t="str">
        <f>IF('[1]Processer - data'!B475&lt;&gt;"",'[1]Processer - data'!B475,"")</f>
        <v/>
      </c>
      <c r="C475" t="str">
        <f>IF('[1]Processer - data'!C475&lt;&gt;"",'[1]Processer - data'!C475,"")</f>
        <v/>
      </c>
      <c r="D475" t="str">
        <f>IF('[1]Processer - data'!D475&lt;&gt;"",'[1]Processer - data'!D475,"")</f>
        <v>Svinegylle</v>
      </c>
      <c r="E475" t="str">
        <f>IF('[1]Processer - data'!E475&lt;&gt;"",'[1]Processer - data'!E475,"")</f>
        <v>Ton</v>
      </c>
      <c r="F475" t="str">
        <f>IF('[1]Processer - data'!F475&lt;&gt;"",'[1]Processer - data'!F475,"")</f>
        <v>Gødning</v>
      </c>
      <c r="G475" t="str">
        <f>IF('[1]Processer - data'!G475&lt;&gt;"",'[1]Processer - data'!G475,"")</f>
        <v>kg N</v>
      </c>
      <c r="H475" s="281">
        <f>(1-IF(VLOOKUP($D475,Biogasanlæg!$A$3:$D$7,MATCH(H$2,Biogasanlæg!$A$2:$D$2,0),FALSE)&gt;1,1,VLOOKUP($D475,Biogasanlæg!$A$3:$D$7,MATCH(H$2,Biogasanlæg!$A$2:$D$2,0),FALSE)))*SUMIFS('Resultater - Østdanmark'!H$3:H$504,'Resultater - Østdanmark'!$F$3:$F$504,'Resultater - Østdanmark'!$D475)*'[1]Processer - data'!H475</f>
        <v>10197381.433584651</v>
      </c>
      <c r="I475" s="282">
        <f>(1-IF(VLOOKUP($D475,Biogasanlæg!$A$3:$D$7,MATCH(I$2,Biogasanlæg!$A$2:$D$2,0),FALSE)&gt;1,1,VLOOKUP($D475,Biogasanlæg!$A$3:$D$7,MATCH(I$2,Biogasanlæg!$A$2:$D$2,0),FALSE)))*SUMIFS('Resultater - Østdanmark'!I$3:I$504,'Resultater - Østdanmark'!$F$3:$F$504,'Resultater - Østdanmark'!$D475)*'[1]Processer - data'!I475</f>
        <v>6529309.0758776739</v>
      </c>
      <c r="J475" s="283">
        <f>(1-IF(VLOOKUP($D475,Biogasanlæg!$A$3:$D$7,MATCH(J$2,Biogasanlæg!$A$2:$D$2,0),FALSE)&gt;1,1,VLOOKUP($D475,Biogasanlæg!$A$3:$D$7,MATCH(J$2,Biogasanlæg!$A$2:$D$2,0),FALSE)))*SUMIFS('Resultater - Østdanmark'!J$3:J$504,'Resultater - Østdanmark'!$F$3:$F$504,'Resultater - Østdanmark'!$D475)*'[1]Processer - data'!J475</f>
        <v>6251007.3925421275</v>
      </c>
    </row>
    <row r="476" spans="1:10" x14ac:dyDescent="0.25">
      <c r="A476" t="str">
        <f>IF('[1]Processer - data'!A476&lt;&gt;"",'[1]Processer - data'!A476,"")</f>
        <v>Gødning</v>
      </c>
      <c r="B476" t="str">
        <f>IF('[1]Processer - data'!B476&lt;&gt;"",'[1]Processer - data'!B476,"")</f>
        <v/>
      </c>
      <c r="C476" t="str">
        <f>IF('[1]Processer - data'!C476&lt;&gt;"",'[1]Processer - data'!C476,"")</f>
        <v/>
      </c>
      <c r="D476" t="str">
        <f>IF('[1]Processer - data'!D476&lt;&gt;"",'[1]Processer - data'!D476,"")</f>
        <v>Kvæggylle</v>
      </c>
      <c r="E476" t="str">
        <f>IF('[1]Processer - data'!E476&lt;&gt;"",'[1]Processer - data'!E476,"")</f>
        <v>Ton</v>
      </c>
      <c r="F476" t="str">
        <f>IF('[1]Processer - data'!F476&lt;&gt;"",'[1]Processer - data'!F476,"")</f>
        <v>Gødning</v>
      </c>
      <c r="G476" t="str">
        <f>IF('[1]Processer - data'!G476&lt;&gt;"",'[1]Processer - data'!G476,"")</f>
        <v>kg N</v>
      </c>
      <c r="H476" s="281">
        <f>(1-IF(VLOOKUP($D476,Biogasanlæg!$A$3:$D$7,MATCH(H$2,Biogasanlæg!$A$2:$D$2,0),FALSE)&gt;1,1,VLOOKUP($D476,Biogasanlæg!$A$3:$D$7,MATCH(H$2,Biogasanlæg!$A$2:$D$2,0),FALSE)))*SUMIFS('Resultater - Østdanmark'!H$3:H$504,'Resultater - Østdanmark'!$F$3:$F$504,'Resultater - Østdanmark'!$D476)*'[1]Processer - data'!H476</f>
        <v>5107513.2750334088</v>
      </c>
      <c r="I476" s="282">
        <f>(1-IF(VLOOKUP($D476,Biogasanlæg!$A$3:$D$7,MATCH(I$2,Biogasanlæg!$A$2:$D$2,0),FALSE)&gt;1,1,VLOOKUP($D476,Biogasanlæg!$A$3:$D$7,MATCH(I$2,Biogasanlæg!$A$2:$D$2,0),FALSE)))*SUMIFS('Resultater - Østdanmark'!I$3:I$504,'Resultater - Østdanmark'!$F$3:$F$504,'Resultater - Østdanmark'!$D476)*'[1]Processer - data'!I476</f>
        <v>2126106.2538229451</v>
      </c>
      <c r="J476" s="283">
        <f>(1-IF(VLOOKUP($D476,Biogasanlæg!$A$3:$D$7,MATCH(J$2,Biogasanlæg!$A$2:$D$2,0),FALSE)&gt;1,1,VLOOKUP($D476,Biogasanlæg!$A$3:$D$7,MATCH(J$2,Biogasanlæg!$A$2:$D$2,0),FALSE)))*SUMIFS('Resultater - Østdanmark'!J$3:J$504,'Resultater - Østdanmark'!$F$3:$F$504,'Resultater - Østdanmark'!$D476)*'[1]Processer - data'!J476</f>
        <v>2085480.3611116584</v>
      </c>
    </row>
    <row r="477" spans="1:10" x14ac:dyDescent="0.25">
      <c r="A477" t="str">
        <f>IF('[1]Processer - data'!A477&lt;&gt;"",'[1]Processer - data'!A477,"")</f>
        <v>Gødning</v>
      </c>
      <c r="B477" t="str">
        <f>IF('[1]Processer - data'!B477&lt;&gt;"",'[1]Processer - data'!B477,"")</f>
        <v/>
      </c>
      <c r="C477" t="str">
        <f>IF('[1]Processer - data'!C477&lt;&gt;"",'[1]Processer - data'!C477,"")</f>
        <v/>
      </c>
      <c r="D477" t="str">
        <f>IF('[1]Processer - data'!D477&lt;&gt;"",'[1]Processer - data'!D477,"")</f>
        <v>Fjerkrægylle</v>
      </c>
      <c r="E477" t="str">
        <f>IF('[1]Processer - data'!E477&lt;&gt;"",'[1]Processer - data'!E477,"")</f>
        <v>Ton</v>
      </c>
      <c r="F477" t="str">
        <f>IF('[1]Processer - data'!F477&lt;&gt;"",'[1]Processer - data'!F477,"")</f>
        <v>Gødning</v>
      </c>
      <c r="G477" t="str">
        <f>IF('[1]Processer - data'!G477&lt;&gt;"",'[1]Processer - data'!G477,"")</f>
        <v>kg N</v>
      </c>
      <c r="H477" s="281">
        <f>(1-IF(VLOOKUP($D477,Biogasanlæg!$A$3:$D$7,MATCH(H$2,Biogasanlæg!$A$2:$D$2,0),FALSE)&gt;1,1,VLOOKUP($D477,Biogasanlæg!$A$3:$D$7,MATCH(H$2,Biogasanlæg!$A$2:$D$2,0),FALSE)))*SUMIFS('Resultater - Østdanmark'!H$3:H$504,'Resultater - Østdanmark'!$F$3:$F$504,'Resultater - Østdanmark'!$D477)*'[1]Processer - data'!H477</f>
        <v>2363.8567536670871</v>
      </c>
      <c r="I477" s="282">
        <f>(1-IF(VLOOKUP($D477,Biogasanlæg!$A$3:$D$7,MATCH(I$2,Biogasanlæg!$A$2:$D$2,0),FALSE)&gt;1,1,VLOOKUP($D477,Biogasanlæg!$A$3:$D$7,MATCH(I$2,Biogasanlæg!$A$2:$D$2,0),FALSE)))*SUMIFS('Resultater - Østdanmark'!I$3:I$504,'Resultater - Østdanmark'!$F$3:$F$504,'Resultater - Østdanmark'!$D477)*'[1]Processer - data'!I477</f>
        <v>2940.8480856419892</v>
      </c>
      <c r="J477" s="283">
        <f>(1-IF(VLOOKUP($D477,Biogasanlæg!$A$3:$D$7,MATCH(J$2,Biogasanlæg!$A$2:$D$2,0),FALSE)&gt;1,1,VLOOKUP($D477,Biogasanlæg!$A$3:$D$7,MATCH(J$2,Biogasanlæg!$A$2:$D$2,0),FALSE)))*SUMIFS('Resultater - Østdanmark'!J$3:J$504,'Resultater - Østdanmark'!$F$3:$F$504,'Resultater - Østdanmark'!$D477)*'[1]Processer - data'!J477</f>
        <v>3037.0132689479228</v>
      </c>
    </row>
    <row r="478" spans="1:10" x14ac:dyDescent="0.25">
      <c r="A478" t="str">
        <f>IF('[1]Processer - data'!A478&lt;&gt;"",'[1]Processer - data'!A478,"")</f>
        <v>Gødning</v>
      </c>
      <c r="B478" t="str">
        <f>IF('[1]Processer - data'!B478&lt;&gt;"",'[1]Processer - data'!B478,"")</f>
        <v/>
      </c>
      <c r="C478" t="str">
        <f>IF('[1]Processer - data'!C478&lt;&gt;"",'[1]Processer - data'!C478,"")</f>
        <v/>
      </c>
      <c r="D478" t="str">
        <f>IF('[1]Processer - data'!D478&lt;&gt;"",'[1]Processer - data'!D478,"")</f>
        <v>Dybstrøelse</v>
      </c>
      <c r="E478" t="str">
        <f>IF('[1]Processer - data'!E478&lt;&gt;"",'[1]Processer - data'!E478,"")</f>
        <v>Ton</v>
      </c>
      <c r="F478" t="str">
        <f>IF('[1]Processer - data'!F478&lt;&gt;"",'[1]Processer - data'!F478,"")</f>
        <v>Gødning</v>
      </c>
      <c r="G478" t="str">
        <f>IF('[1]Processer - data'!G478&lt;&gt;"",'[1]Processer - data'!G478,"")</f>
        <v>kg N</v>
      </c>
      <c r="H478" s="281">
        <f>(1-IF(VLOOKUP($D478,Biogasanlæg!$A$3:$D$7,MATCH(H$2,Biogasanlæg!$A$2:$D$2,0),FALSE)&gt;1,1,VLOOKUP($D478,Biogasanlæg!$A$3:$D$7,MATCH(H$2,Biogasanlæg!$A$2:$D$2,0),FALSE)))*SUMIFS('Resultater - Østdanmark'!H$3:H$504,'Resultater - Østdanmark'!$F$3:$F$504,'Resultater - Østdanmark'!$D478)*'[1]Processer - data'!H$475</f>
        <v>1308398.2509883197</v>
      </c>
      <c r="I478" s="282">
        <f>(1-IF(VLOOKUP($D478,Biogasanlæg!$A$3:$D$7,MATCH(I$2,Biogasanlæg!$A$2:$D$2,0),FALSE)&gt;1,1,VLOOKUP($D478,Biogasanlæg!$A$3:$D$7,MATCH(I$2,Biogasanlæg!$A$2:$D$2,0),FALSE)))*SUMIFS('Resultater - Østdanmark'!I$3:I$504,'Resultater - Østdanmark'!$F$3:$F$504,'Resultater - Østdanmark'!$D478)*'[1]Processer - data'!I$475</f>
        <v>1138615.2485031369</v>
      </c>
      <c r="J478" s="283">
        <f>(1-IF(VLOOKUP($D478,Biogasanlæg!$A$3:$D$7,MATCH(J$2,Biogasanlæg!$A$2:$D$2,0),FALSE)&gt;1,1,VLOOKUP($D478,Biogasanlæg!$A$3:$D$7,MATCH(J$2,Biogasanlæg!$A$2:$D$2,0),FALSE)))*SUMIFS('Resultater - Østdanmark'!J$3:J$504,'Resultater - Østdanmark'!$F$3:$F$504,'Resultater - Østdanmark'!$D478)*'[1]Processer - data'!J$475</f>
        <v>1199044.7803108795</v>
      </c>
    </row>
    <row r="479" spans="1:10" x14ac:dyDescent="0.25">
      <c r="A479" t="str">
        <f>IF('[1]Processer - data'!A479&lt;&gt;"",'[1]Processer - data'!A479,"")</f>
        <v>Gødning</v>
      </c>
      <c r="B479" t="str">
        <f>IF('[1]Processer - data'!B479&lt;&gt;"",'[1]Processer - data'!B479,"")</f>
        <v/>
      </c>
      <c r="C479" t="str">
        <f>IF('[1]Processer - data'!C479&lt;&gt;"",'[1]Processer - data'!C479,"")</f>
        <v/>
      </c>
      <c r="D479" t="str">
        <f>IF('[1]Processer - data'!D479&lt;&gt;"",'[1]Processer - data'!D479,"")</f>
        <v>Biogasgylle</v>
      </c>
      <c r="E479" t="str">
        <f>IF('[1]Processer - data'!E479&lt;&gt;"",'[1]Processer - data'!E479,"")</f>
        <v>Ton</v>
      </c>
      <c r="F479" t="str">
        <f>IF('[1]Processer - data'!F479&lt;&gt;"",'[1]Processer - data'!F479,"")</f>
        <v>Gødning</v>
      </c>
      <c r="G479" t="str">
        <f>IF('[1]Processer - data'!G479&lt;&gt;"",'[1]Processer - data'!G479,"")</f>
        <v>kg N</v>
      </c>
      <c r="H479" s="281">
        <f ca="1">H474*'[1]Processer - data'!H$479*Biogasanlæg!AA$3</f>
        <v>12613034.84027173</v>
      </c>
      <c r="I479" s="282">
        <f ca="1">I474*'[1]Processer - data'!I$479*Biogasanlæg!AB$3</f>
        <v>24056823.66634145</v>
      </c>
      <c r="J479" s="283">
        <f ca="1">J474*'[1]Processer - data'!J$479*Biogasanlæg!AC$3</f>
        <v>23870118.99953945</v>
      </c>
    </row>
    <row r="480" spans="1:10" x14ac:dyDescent="0.25">
      <c r="A480" t="str">
        <f>IF('[1]Processer - data'!A480&lt;&gt;"",'[1]Processer - data'!A480,"")</f>
        <v>Gødning</v>
      </c>
      <c r="B480" t="str">
        <f>IF('[1]Processer - data'!B480&lt;&gt;"",'[1]Processer - data'!B480,"")</f>
        <v/>
      </c>
      <c r="C480" t="str">
        <f>IF('[1]Processer - data'!C480&lt;&gt;"",'[1]Processer - data'!C480,"")</f>
        <v/>
      </c>
      <c r="D480" t="str">
        <f>IF('[1]Processer - data'!D480&lt;&gt;"",'[1]Processer - data'!D480,"")</f>
        <v>Kunstgødning</v>
      </c>
      <c r="E480" t="str">
        <f>IF('[1]Processer - data'!E480&lt;&gt;"",'[1]Processer - data'!E480,"")</f>
        <v>Ton</v>
      </c>
      <c r="F480" t="str">
        <f>IF('[1]Processer - data'!F480&lt;&gt;"",'[1]Processer - data'!F480,"")</f>
        <v>Gødning</v>
      </c>
      <c r="G480" t="str">
        <f>IF('[1]Processer - data'!G480&lt;&gt;"",'[1]Processer - data'!G480,"")</f>
        <v>kg N</v>
      </c>
      <c r="H480" s="281">
        <f ca="1">-SUMIFS('Resultater - Østdanmark'!H$3:H$504,'Resultater - Østdanmark'!$F$3:$F$504,"Gødning",'Resultater - Østdanmark'!$A$3:$A$504,"&lt;&gt;Gødning")-SUM(H475:H479)</f>
        <v>59971256.963903613</v>
      </c>
      <c r="I480" s="282">
        <f ca="1">-SUMIFS('Resultater - Østdanmark'!I$3:I$504,'Resultater - Østdanmark'!$F$3:$F$504,"Gødning",'Resultater - Østdanmark'!$A$3:$A$504,"&lt;&gt;Gødning")-SUM(I475:I479)</f>
        <v>54027001.49059628</v>
      </c>
      <c r="J480" s="283">
        <f ca="1">-SUMIFS('Resultater - Østdanmark'!J$3:J$504,'Resultater - Østdanmark'!$F$3:$F$504,"Gødning",'Resultater - Østdanmark'!$A$3:$A$504,"&lt;&gt;Gødning")-SUM(J475:J479)</f>
        <v>52398846.321539447</v>
      </c>
    </row>
    <row r="481" spans="1:10" x14ac:dyDescent="0.25">
      <c r="A481" t="str">
        <f>IF('[1]Processer - data'!A481&lt;&gt;"",'[1]Processer - data'!A481,"")</f>
        <v>Til energi</v>
      </c>
      <c r="B481" t="str">
        <f>IF('[1]Processer - data'!B481&lt;&gt;"",'[1]Processer - data'!B481,"")</f>
        <v/>
      </c>
      <c r="C481" t="str">
        <f>IF('[1]Processer - data'!C481&lt;&gt;"",'[1]Processer - data'!C481,"")</f>
        <v/>
      </c>
      <c r="D481" t="str">
        <f>IF('[1]Processer - data'!D481&lt;&gt;"",'[1]Processer - data'!D481,"")</f>
        <v>Halm</v>
      </c>
      <c r="E481" t="str">
        <f>IF('[1]Processer - data'!E481&lt;&gt;"",'[1]Processer - data'!E481,"")</f>
        <v>Ton</v>
      </c>
      <c r="F481" t="str">
        <f>IF('[1]Processer - data'!F481&lt;&gt;"",'[1]Processer - data'!F481,"")</f>
        <v>Energi</v>
      </c>
      <c r="G481" t="str">
        <f>IF('[1]Processer - data'!G481&lt;&gt;"",'[1]Processer - data'!G481,"")</f>
        <v>PJ</v>
      </c>
      <c r="H481" s="284">
        <f>SUMIFS('Forbrug af biomasse'!$E$1:$E$425,'Forbrug af biomasse'!$A$1:$A$425,$F481,'Forbrug af biomasse'!$C$1:$C$425,$D481,'Forbrug af biomasse'!$B$1:$B$425,$A$1,'Forbrug af biomasse'!$D$1:$D$425,H$2)*'[1]Processer - data'!H481</f>
        <v>7.5725862730126234</v>
      </c>
      <c r="I481" s="286">
        <f>SUMIFS('Forbrug af biomasse'!$E$1:$E$425,'Forbrug af biomasse'!$A$1:$A$425,$F481,'Forbrug af biomasse'!$C$1:$C$425,$D481,'Forbrug af biomasse'!$B$1:$B$425,$A$1,'Forbrug af biomasse'!$D$1:$D$425,I$2)*'[1]Processer - data'!I481</f>
        <v>6.9505633103355136</v>
      </c>
      <c r="J481" s="287">
        <f>SUMIFS('Forbrug af biomasse'!$E$1:$E$425,'Forbrug af biomasse'!$A$1:$A$425,$F481,'Forbrug af biomasse'!$C$1:$C$425,$D481,'Forbrug af biomasse'!$B$1:$B$425,$A$1,'Forbrug af biomasse'!$D$1:$D$425,J$2)*'[1]Processer - data'!J481</f>
        <v>6.7241830736137214</v>
      </c>
    </row>
    <row r="482" spans="1:10" x14ac:dyDescent="0.25">
      <c r="A482" t="str">
        <f>IF('[1]Processer - data'!A482&lt;&gt;"",'[1]Processer - data'!A482,"")</f>
        <v>Til energi</v>
      </c>
      <c r="B482" t="str">
        <f>IF('[1]Processer - data'!B482&lt;&gt;"",'[1]Processer - data'!B482,"")</f>
        <v/>
      </c>
      <c r="C482" t="str">
        <f>IF('[1]Processer - data'!C482&lt;&gt;"",'[1]Processer - data'!C482,"")</f>
        <v/>
      </c>
      <c r="D482" t="str">
        <f>IF('[1]Processer - data'!D482&lt;&gt;"",'[1]Processer - data'!D482,"")</f>
        <v>Rapsolie</v>
      </c>
      <c r="E482" t="str">
        <f>IF('[1]Processer - data'!E482&lt;&gt;"",'[1]Processer - data'!E482,"")</f>
        <v>Ton</v>
      </c>
      <c r="F482" t="str">
        <f>IF('[1]Processer - data'!F482&lt;&gt;"",'[1]Processer - data'!F482,"")</f>
        <v>Energi</v>
      </c>
      <c r="G482" t="str">
        <f>IF('[1]Processer - data'!G482&lt;&gt;"",'[1]Processer - data'!G482,"")</f>
        <v>PJ</v>
      </c>
      <c r="H482" s="284">
        <f>SUMIFS('Forbrug af biomasse'!$E$1:$E$425,'Forbrug af biomasse'!$A$1:$A$425,$F482,'Forbrug af biomasse'!$C$1:$C$425,$D482,'Forbrug af biomasse'!$B$1:$B$425,$A$1,'Forbrug af biomasse'!$D$1:$D$425,H$2)*'[1]Processer - data'!H482</f>
        <v>1.1214882290282282</v>
      </c>
      <c r="I482" s="286">
        <f>SUMIFS('Forbrug af biomasse'!$E$1:$E$425,'Forbrug af biomasse'!$A$1:$A$425,$F482,'Forbrug af biomasse'!$C$1:$C$425,$D482,'Forbrug af biomasse'!$B$1:$B$425,$A$1,'Forbrug af biomasse'!$D$1:$D$425,I$2)*'[1]Processer - data'!I482</f>
        <v>2.2734759288099871</v>
      </c>
      <c r="J482" s="287">
        <f>SUMIFS('Forbrug af biomasse'!$E$1:$E$425,'Forbrug af biomasse'!$A$1:$A$425,$F482,'Forbrug af biomasse'!$C$1:$C$425,$D482,'Forbrug af biomasse'!$B$1:$B$425,$A$1,'Forbrug af biomasse'!$D$1:$D$425,J$2)*'[1]Processer - data'!J482</f>
        <v>2.3705452991476244</v>
      </c>
    </row>
    <row r="483" spans="1:10" x14ac:dyDescent="0.25">
      <c r="A483" t="str">
        <f>IF('[1]Processer - data'!A483&lt;&gt;"",'[1]Processer - data'!A483,"")</f>
        <v>Til energi</v>
      </c>
      <c r="B483" t="str">
        <f>IF('[1]Processer - data'!B483&lt;&gt;"",'[1]Processer - data'!B483,"")</f>
        <v/>
      </c>
      <c r="C483" t="str">
        <f>IF('[1]Processer - data'!C483&lt;&gt;"",'[1]Processer - data'!C483,"")</f>
        <v/>
      </c>
      <c r="D483" t="str">
        <f>IF('[1]Processer - data'!D483&lt;&gt;"",'[1]Processer - data'!D483,"")</f>
        <v>Pil &amp; poppel</v>
      </c>
      <c r="E483" t="str">
        <f>IF('[1]Processer - data'!E483&lt;&gt;"",'[1]Processer - data'!E483,"")</f>
        <v>Ton</v>
      </c>
      <c r="F483" t="str">
        <f>IF('[1]Processer - data'!F483&lt;&gt;"",'[1]Processer - data'!F483,"")</f>
        <v>Energi</v>
      </c>
      <c r="G483" t="str">
        <f>IF('[1]Processer - data'!G483&lt;&gt;"",'[1]Processer - data'!G483,"")</f>
        <v>PJ</v>
      </c>
      <c r="H483" s="284">
        <f>SUMIFS('Forbrug af biomasse'!$E$1:$E$425,'Forbrug af biomasse'!$A$1:$A$425,$F483,'Forbrug af biomasse'!$C$1:$C$425,$D483,'Forbrug af biomasse'!$B$1:$B$425,$A$1,'Forbrug af biomasse'!$D$1:$D$425,H$2)*'[1]Processer - data'!H483</f>
        <v>0.71503055390133141</v>
      </c>
      <c r="I483" s="286">
        <f>SUMIFS('Forbrug af biomasse'!$E$1:$E$425,'Forbrug af biomasse'!$A$1:$A$425,$F483,'Forbrug af biomasse'!$C$1:$C$425,$D483,'Forbrug af biomasse'!$B$1:$B$425,$A$1,'Forbrug af biomasse'!$D$1:$D$425,I$2)*'[1]Processer - data'!I483</f>
        <v>0.74731515806140647</v>
      </c>
      <c r="J483" s="287">
        <f>SUMIFS('Forbrug af biomasse'!$E$1:$E$425,'Forbrug af biomasse'!$A$1:$A$425,$F483,'Forbrug af biomasse'!$C$1:$C$425,$D483,'Forbrug af biomasse'!$B$1:$B$425,$A$1,'Forbrug af biomasse'!$D$1:$D$425,J$2)*'[1]Processer - data'!J483</f>
        <v>0.78090359520639019</v>
      </c>
    </row>
    <row r="484" spans="1:10" x14ac:dyDescent="0.25">
      <c r="A484" t="str">
        <f>IF('[1]Processer - data'!A484&lt;&gt;"",'[1]Processer - data'!A484,"")</f>
        <v>Til energi</v>
      </c>
      <c r="B484" t="str">
        <f>IF('[1]Processer - data'!B484&lt;&gt;"",'[1]Processer - data'!B484,"")</f>
        <v/>
      </c>
      <c r="C484" t="str">
        <f>IF('[1]Processer - data'!C484&lt;&gt;"",'[1]Processer - data'!C484,"")</f>
        <v/>
      </c>
      <c r="D484" t="str">
        <f>IF('[1]Processer - data'!D484&lt;&gt;"",'[1]Processer - data'!D484,"")</f>
        <v>Træ til energi</v>
      </c>
      <c r="E484" t="str">
        <f>IF('[1]Processer - data'!E484&lt;&gt;"",'[1]Processer - data'!E484,"")</f>
        <v>m3</v>
      </c>
      <c r="F484" t="str">
        <f>IF('[1]Processer - data'!F484&lt;&gt;"",'[1]Processer - data'!F484,"")</f>
        <v>Energi</v>
      </c>
      <c r="G484" t="str">
        <f>IF('[1]Processer - data'!G484&lt;&gt;"",'[1]Processer - data'!G484,"")</f>
        <v>PJ</v>
      </c>
      <c r="H484" s="284">
        <f ca="1">SUMIFS('Forbrug af biomasse'!$E$1:$E$425,'Forbrug af biomasse'!$A$1:$A$425,$F484,'Forbrug af biomasse'!$C$1:$C$425,$D484,'Forbrug af biomasse'!$B$1:$B$425,$A$1,'Forbrug af biomasse'!$D$1:$D$425,H$2)*'[1]Processer - data'!H484</f>
        <v>9.8790337317585379</v>
      </c>
      <c r="I484" s="286">
        <f ca="1">SUMIFS('Forbrug af biomasse'!$E$1:$E$425,'Forbrug af biomasse'!$A$1:$A$425,$F484,'Forbrug af biomasse'!$C$1:$C$425,$D484,'Forbrug af biomasse'!$B$1:$B$425,$A$1,'Forbrug af biomasse'!$D$1:$D$425,I$2)*'[1]Processer - data'!I484</f>
        <v>9.3490688161811804</v>
      </c>
      <c r="J484" s="287">
        <f ca="1">SUMIFS('Forbrug af biomasse'!$E$1:$E$425,'Forbrug af biomasse'!$A$1:$A$425,$F484,'Forbrug af biomasse'!$C$1:$C$425,$D484,'Forbrug af biomasse'!$B$1:$B$425,$A$1,'Forbrug af biomasse'!$D$1:$D$425,J$2)*'[1]Processer - data'!J484</f>
        <v>8.4827499410238172</v>
      </c>
    </row>
    <row r="485" spans="1:10" x14ac:dyDescent="0.25">
      <c r="A485" t="str">
        <f>IF('[1]Processer - data'!A485&lt;&gt;"",'[1]Processer - data'!A485,"")</f>
        <v>Til energi</v>
      </c>
      <c r="B485" t="str">
        <f>IF('[1]Processer - data'!B485&lt;&gt;"",'[1]Processer - data'!B485,"")</f>
        <v/>
      </c>
      <c r="C485" t="str">
        <f>IF('[1]Processer - data'!C485&lt;&gt;"",'[1]Processer - data'!C485,"")</f>
        <v/>
      </c>
      <c r="D485" t="str">
        <f>IF('[1]Processer - data'!D485&lt;&gt;"",'[1]Processer - data'!D485,"")</f>
        <v>Have/parkaffald</v>
      </c>
      <c r="E485" t="str">
        <f>IF('[1]Processer - data'!E485&lt;&gt;"",'[1]Processer - data'!E485,"")</f>
        <v>Ton</v>
      </c>
      <c r="F485" t="str">
        <f>IF('[1]Processer - data'!F485&lt;&gt;"",'[1]Processer - data'!F485,"")</f>
        <v>Energi</v>
      </c>
      <c r="G485" t="str">
        <f>IF('[1]Processer - data'!G485&lt;&gt;"",'[1]Processer - data'!G485,"")</f>
        <v>PJ</v>
      </c>
      <c r="H485" s="284">
        <f>SUMIFS('Forbrug af biomasse'!$E$1:$E$425,'Forbrug af biomasse'!$A$1:$A$425,$F485,'Forbrug af biomasse'!$C$1:$C$425,$D485,'Forbrug af biomasse'!$B$1:$B$425,$A$1,'Forbrug af biomasse'!$D$1:$D$425,H$2)*'[1]Processer - data'!H485</f>
        <v>8.0747487919351268</v>
      </c>
      <c r="I485" s="286">
        <f>SUMIFS('Forbrug af biomasse'!$E$1:$E$425,'Forbrug af biomasse'!$A$1:$A$425,$F485,'Forbrug af biomasse'!$C$1:$C$425,$D485,'Forbrug af biomasse'!$B$1:$B$425,$A$1,'Forbrug af biomasse'!$D$1:$D$425,I$2)*'[1]Processer - data'!I485</f>
        <v>8.1413033320197155</v>
      </c>
      <c r="J485" s="287">
        <f>SUMIFS('Forbrug af biomasse'!$E$1:$E$425,'Forbrug af biomasse'!$A$1:$A$425,$F485,'Forbrug af biomasse'!$C$1:$C$425,$D485,'Forbrug af biomasse'!$B$1:$B$425,$A$1,'Forbrug af biomasse'!$D$1:$D$425,J$2)*'[1]Processer - data'!J485</f>
        <v>8.1743654272608701</v>
      </c>
    </row>
    <row r="486" spans="1:10" x14ac:dyDescent="0.25">
      <c r="A486" t="str">
        <f>IF('[1]Processer - data'!A486&lt;&gt;"",'[1]Processer - data'!A486,"")</f>
        <v>Til energi</v>
      </c>
      <c r="B486" t="str">
        <f>IF('[1]Processer - data'!B486&lt;&gt;"",'[1]Processer - data'!B486,"")</f>
        <v/>
      </c>
      <c r="C486" t="str">
        <f>IF('[1]Processer - data'!C486&lt;&gt;"",'[1]Processer - data'!C486,"")</f>
        <v/>
      </c>
      <c r="D486" t="str">
        <f>IF('[1]Processer - data'!D486&lt;&gt;"",'[1]Processer - data'!D486,"")</f>
        <v>Bioaffald</v>
      </c>
      <c r="E486" t="str">
        <f>IF('[1]Processer - data'!E486&lt;&gt;"",'[1]Processer - data'!E486,"")</f>
        <v>Ton</v>
      </c>
      <c r="F486" t="str">
        <f>IF('[1]Processer - data'!F486&lt;&gt;"",'[1]Processer - data'!F486,"")</f>
        <v>Energi</v>
      </c>
      <c r="G486" t="str">
        <f>IF('[1]Processer - data'!G486&lt;&gt;"",'[1]Processer - data'!G486,"")</f>
        <v>PJ</v>
      </c>
      <c r="H486" s="284">
        <f ca="1">SUMIFS('Forbrug af biomasse'!$E$1:$E$425,'Forbrug af biomasse'!$A$1:$A$425,$F486,'Forbrug af biomasse'!$C$1:$C$425,$D486,'Forbrug af biomasse'!$B$1:$B$425,$A$1,'Forbrug af biomasse'!$D$1:$D$425,H$2)*'[1]Processer - data'!H486</f>
        <v>0</v>
      </c>
      <c r="I486" s="286">
        <f ca="1">SUMIFS('Forbrug af biomasse'!$E$1:$E$425,'Forbrug af biomasse'!$A$1:$A$425,$F486,'Forbrug af biomasse'!$C$1:$C$425,$D486,'Forbrug af biomasse'!$B$1:$B$425,$A$1,'Forbrug af biomasse'!$D$1:$D$425,I$2)*'[1]Processer - data'!I486</f>
        <v>0</v>
      </c>
      <c r="J486" s="287">
        <f ca="1">SUMIFS('Forbrug af biomasse'!$E$1:$E$425,'Forbrug af biomasse'!$A$1:$A$425,$F486,'Forbrug af biomasse'!$C$1:$C$425,$D486,'Forbrug af biomasse'!$B$1:$B$425,$A$1,'Forbrug af biomasse'!$D$1:$D$425,J$2)*'[1]Processer - data'!J486</f>
        <v>0</v>
      </c>
    </row>
    <row r="487" spans="1:10" s="168" customFormat="1" x14ac:dyDescent="0.25">
      <c r="A487" s="168" t="str">
        <f>IF('[1]Processer - data'!A487&lt;&gt;"",'[1]Processer - data'!A487,"")</f>
        <v>Til energi</v>
      </c>
      <c r="B487" s="168" t="str">
        <f>IF('[1]Processer - data'!B487&lt;&gt;"",'[1]Processer - data'!B487,"")</f>
        <v/>
      </c>
      <c r="C487" s="168" t="str">
        <f>IF('[1]Processer - data'!C487&lt;&gt;"",'[1]Processer - data'!C487,"")</f>
        <v/>
      </c>
      <c r="D487" s="168" t="str">
        <f>IF('[1]Processer - data'!D487&lt;&gt;"",'[1]Processer - data'!D487,"")</f>
        <v>Pyrolyseolie</v>
      </c>
      <c r="E487" s="168" t="str">
        <f>IF('[1]Processer - data'!E487&lt;&gt;"",'[1]Processer - data'!E487,"")</f>
        <v>Ton</v>
      </c>
      <c r="F487" s="168" t="str">
        <f>IF('[1]Processer - data'!F487&lt;&gt;"",'[1]Processer - data'!F487,"")</f>
        <v>Energi</v>
      </c>
      <c r="G487" s="168" t="str">
        <f>IF('[1]Processer - data'!G487&lt;&gt;"",'[1]Processer - data'!G487,"")</f>
        <v>PJ</v>
      </c>
      <c r="H487" s="284">
        <f>SUMIFS('Forbrug af biomasse'!$E$1:$E$425,'Forbrug af biomasse'!$A$1:$A$425,$F487,'Forbrug af biomasse'!$C$1:$C$425,$D487,'Forbrug af biomasse'!$B$1:$B$425,$A$1,'Forbrug af biomasse'!$D$1:$D$425,H$2)*'[1]Processer - data'!H487</f>
        <v>0</v>
      </c>
      <c r="I487" s="286">
        <f>SUMIFS('Forbrug af biomasse'!$E$1:$E$425,'Forbrug af biomasse'!$A$1:$A$425,$F487,'Forbrug af biomasse'!$C$1:$C$425,$D487,'Forbrug af biomasse'!$B$1:$B$425,$A$1,'Forbrug af biomasse'!$D$1:$D$425,I$2)*'[1]Processer - data'!I487</f>
        <v>0</v>
      </c>
      <c r="J487" s="287">
        <f>SUMIFS('Forbrug af biomasse'!$E$1:$E$425,'Forbrug af biomasse'!$A$1:$A$425,$F487,'Forbrug af biomasse'!$C$1:$C$425,$D487,'Forbrug af biomasse'!$B$1:$B$425,$A$1,'Forbrug af biomasse'!$D$1:$D$425,J$2)*'[1]Processer - data'!J487</f>
        <v>0</v>
      </c>
    </row>
    <row r="488" spans="1:10" s="168" customFormat="1" x14ac:dyDescent="0.25">
      <c r="A488" s="168" t="str">
        <f>IF('[1]Processer - data'!A488&lt;&gt;"",'[1]Processer - data'!A488,"")</f>
        <v>Til energi</v>
      </c>
      <c r="B488" s="168" t="str">
        <f>IF('[1]Processer - data'!B488&lt;&gt;"",'[1]Processer - data'!B488,"")</f>
        <v/>
      </c>
      <c r="C488" s="168" t="str">
        <f>IF('[1]Processer - data'!C488&lt;&gt;"",'[1]Processer - data'!C488,"")</f>
        <v/>
      </c>
      <c r="D488" s="168" t="str">
        <f>IF('[1]Processer - data'!D488&lt;&gt;"",'[1]Processer - data'!D488,"")</f>
        <v>Pyrolysegas</v>
      </c>
      <c r="E488" s="168" t="str">
        <f>IF('[1]Processer - data'!E488&lt;&gt;"",'[1]Processer - data'!E488,"")</f>
        <v>Ton</v>
      </c>
      <c r="F488" s="168" t="str">
        <f>IF('[1]Processer - data'!F488&lt;&gt;"",'[1]Processer - data'!F488,"")</f>
        <v>Energi</v>
      </c>
      <c r="G488" s="168" t="str">
        <f>IF('[1]Processer - data'!G488&lt;&gt;"",'[1]Processer - data'!G488,"")</f>
        <v>PJ</v>
      </c>
      <c r="H488" s="284">
        <f>SUMIFS('Forbrug af biomasse'!$E$1:$E$425,'Forbrug af biomasse'!$A$1:$A$425,$F488,'Forbrug af biomasse'!$C$1:$C$425,$D488,'Forbrug af biomasse'!$B$1:$B$425,$A$1,'Forbrug af biomasse'!$D$1:$D$425,H$2)*'[1]Processer - data'!H488</f>
        <v>0</v>
      </c>
      <c r="I488" s="286">
        <f>SUMIFS('Forbrug af biomasse'!$E$1:$E$425,'Forbrug af biomasse'!$A$1:$A$425,$F488,'Forbrug af biomasse'!$C$1:$C$425,$D488,'Forbrug af biomasse'!$B$1:$B$425,$A$1,'Forbrug af biomasse'!$D$1:$D$425,I$2)*'[1]Processer - data'!I488</f>
        <v>0</v>
      </c>
      <c r="J488" s="287">
        <f>SUMIFS('Forbrug af biomasse'!$E$1:$E$425,'Forbrug af biomasse'!$A$1:$A$425,$F488,'Forbrug af biomasse'!$C$1:$C$425,$D488,'Forbrug af biomasse'!$B$1:$B$425,$A$1,'Forbrug af biomasse'!$D$1:$D$425,J$2)*'[1]Processer - data'!J488</f>
        <v>0</v>
      </c>
    </row>
    <row r="489" spans="1:10" x14ac:dyDescent="0.25">
      <c r="A489" t="str">
        <f>IF('[1]Processer - data'!A489&lt;&gt;"",'[1]Processer - data'!A489,"")</f>
        <v>Til energi</v>
      </c>
      <c r="B489" t="str">
        <f>IF('[1]Processer - data'!B489&lt;&gt;"",'[1]Processer - data'!B489,"")</f>
        <v/>
      </c>
      <c r="C489" t="str">
        <f>IF('[1]Processer - data'!C489&lt;&gt;"",'[1]Processer - data'!C489,"")</f>
        <v/>
      </c>
      <c r="D489" t="str">
        <f>IF('[1]Processer - data'!D489&lt;&gt;"",'[1]Processer - data'!D489,"")</f>
        <v>Biogas</v>
      </c>
      <c r="E489" t="str">
        <f>IF('[1]Processer - data'!E489&lt;&gt;"",'[1]Processer - data'!E489,"")</f>
        <v>Nm3 CH4</v>
      </c>
      <c r="F489" t="str">
        <f>IF('[1]Processer - data'!F489&lt;&gt;"",'[1]Processer - data'!F489,"")</f>
        <v>Energi</v>
      </c>
      <c r="G489" t="str">
        <f>IF('[1]Processer - data'!G489&lt;&gt;"",'[1]Processer - data'!G489,"")</f>
        <v>PJ</v>
      </c>
      <c r="H489" s="281">
        <f ca="1">SUM(H455:H473)*'[1]Processer - data'!$H$489</f>
        <v>3.9778561239632375</v>
      </c>
      <c r="I489" s="282">
        <f ca="1">SUM(I455:I473)*'[1]Processer - data'!$H$489</f>
        <v>4.1130610167121429</v>
      </c>
      <c r="J489" s="283">
        <f ca="1">SUM(J455:J473)*'[1]Processer - data'!$H$489</f>
        <v>4.1490726382815382</v>
      </c>
    </row>
    <row r="490" spans="1:10" x14ac:dyDescent="0.25">
      <c r="A490" s="103" t="str">
        <f>IF('[1]Processer - data'!A490&lt;&gt;"",'[1]Processer - data'!A490,"")</f>
        <v>Proteinproces</v>
      </c>
      <c r="B490" s="103" t="str">
        <f>IF('[1]Processer - data'!B490&lt;&gt;"",'[1]Processer - data'!B490,"")</f>
        <v/>
      </c>
      <c r="C490" s="103" t="str">
        <f>IF('[1]Processer - data'!C490&lt;&gt;"",'[1]Processer - data'!C490,"")</f>
        <v/>
      </c>
      <c r="D490" s="103" t="str">
        <f>IF('[1]Processer - data'!D490&lt;&gt;"",'[1]Processer - data'!D490,"")</f>
        <v>Græs</v>
      </c>
      <c r="E490" s="103" t="str">
        <f>IF('[1]Processer - data'!E490&lt;&gt;"",'[1]Processer - data'!E490,"")</f>
        <v>Ton</v>
      </c>
      <c r="F490" s="103" t="str">
        <f>IF('[1]Processer - data'!F490&lt;&gt;"",'[1]Processer - data'!F490,"")</f>
        <v>Græsprotein</v>
      </c>
      <c r="G490" s="103" t="str">
        <f>IF('[1]Processer - data'!G490&lt;&gt;"",'[1]Processer - data'!G490,"")</f>
        <v>Ton</v>
      </c>
      <c r="H490" s="275">
        <f>SUMIFS('Forbrug af biomasse'!$E$1:$E$425,'Forbrug af biomasse'!$A$1:$A$425,$A490,'Forbrug af biomasse'!$C$1:$C$425,$D490,'Forbrug af biomasse'!$B$1:$B$425,$A$1,'Forbrug af biomasse'!$D$1:$D$425,H$2)*'[1]Processer - data'!H490</f>
        <v>0</v>
      </c>
      <c r="I490" s="276">
        <f>SUMIFS('Forbrug af biomasse'!$E$1:$E$425,'Forbrug af biomasse'!$A$1:$A$425,$A490,'Forbrug af biomasse'!$C$1:$C$425,$D490,'Forbrug af biomasse'!$B$1:$B$425,$A$1,'Forbrug af biomasse'!$D$1:$D$425,I$2)*'[1]Processer - data'!I490</f>
        <v>0</v>
      </c>
      <c r="J490" s="277">
        <f>SUMIFS('Forbrug af biomasse'!$E$1:$E$425,'Forbrug af biomasse'!$A$1:$A$425,$A490,'Forbrug af biomasse'!$C$1:$C$425,$D490,'Forbrug af biomasse'!$B$1:$B$425,$A$1,'Forbrug af biomasse'!$D$1:$D$425,J$2)*'[1]Processer - data'!J490</f>
        <v>0</v>
      </c>
    </row>
    <row r="491" spans="1:10" x14ac:dyDescent="0.25">
      <c r="A491" s="103" t="str">
        <f>IF('[1]Processer - data'!A491&lt;&gt;"",'[1]Processer - data'!A491,"")</f>
        <v>Proteinproces</v>
      </c>
      <c r="B491" s="103" t="str">
        <f>IF('[1]Processer - data'!B491&lt;&gt;"",'[1]Processer - data'!B491,"")</f>
        <v/>
      </c>
      <c r="C491" s="103" t="str">
        <f>IF('[1]Processer - data'!C491&lt;&gt;"",'[1]Processer - data'!C491,"")</f>
        <v/>
      </c>
      <c r="D491" s="103" t="str">
        <f>IF('[1]Processer - data'!D491&lt;&gt;"",'[1]Processer - data'!D491,"")</f>
        <v>Græs</v>
      </c>
      <c r="E491" s="103" t="str">
        <f>IF('[1]Processer - data'!E491&lt;&gt;"",'[1]Processer - data'!E491,"")</f>
        <v>Ton</v>
      </c>
      <c r="F491" s="103" t="str">
        <f>IF('[1]Processer - data'!F491&lt;&gt;"",'[1]Processer - data'!F491,"")</f>
        <v>Fiberfraktion</v>
      </c>
      <c r="G491" s="103" t="str">
        <f>IF('[1]Processer - data'!G491&lt;&gt;"",'[1]Processer - data'!G491,"")</f>
        <v>Ton</v>
      </c>
      <c r="H491" s="275">
        <f>SUMIFS('Forbrug af biomasse'!$E$1:$E$425,'Forbrug af biomasse'!$A$1:$A$425,$A491,'Forbrug af biomasse'!$C$1:$C$425,$D491,'Forbrug af biomasse'!$B$1:$B$425,$A$1,'Forbrug af biomasse'!$D$1:$D$425,H$2)*'[1]Processer - data'!H491</f>
        <v>0</v>
      </c>
      <c r="I491" s="276">
        <f>SUMIFS('Forbrug af biomasse'!$E$1:$E$425,'Forbrug af biomasse'!$A$1:$A$425,$A491,'Forbrug af biomasse'!$C$1:$C$425,$D491,'Forbrug af biomasse'!$B$1:$B$425,$A$1,'Forbrug af biomasse'!$D$1:$D$425,I$2)*'[1]Processer - data'!I491</f>
        <v>0</v>
      </c>
      <c r="J491" s="277">
        <f>SUMIFS('Forbrug af biomasse'!$E$1:$E$425,'Forbrug af biomasse'!$A$1:$A$425,$A491,'Forbrug af biomasse'!$C$1:$C$425,$D491,'Forbrug af biomasse'!$B$1:$B$425,$A$1,'Forbrug af biomasse'!$D$1:$D$425,J$2)*'[1]Processer - data'!J491</f>
        <v>0</v>
      </c>
    </row>
    <row r="492" spans="1:10" ht="15.75" thickBot="1" x14ac:dyDescent="0.3">
      <c r="A492" s="103" t="str">
        <f>IF('[1]Processer - data'!A492&lt;&gt;"",'[1]Processer - data'!A492,"")</f>
        <v>Proteinproces</v>
      </c>
      <c r="B492" s="103" t="str">
        <f>IF('[1]Processer - data'!B492&lt;&gt;"",'[1]Processer - data'!B492,"")</f>
        <v/>
      </c>
      <c r="C492" s="103" t="str">
        <f>IF('[1]Processer - data'!C492&lt;&gt;"",'[1]Processer - data'!C492,"")</f>
        <v/>
      </c>
      <c r="D492" s="103" t="str">
        <f>IF('[1]Processer - data'!D492&lt;&gt;"",'[1]Processer - data'!D492,"")</f>
        <v>Græs</v>
      </c>
      <c r="E492" s="103" t="str">
        <f>IF('[1]Processer - data'!E492&lt;&gt;"",'[1]Processer - data'!E492,"")</f>
        <v>Ton</v>
      </c>
      <c r="F492" s="103" t="str">
        <f>IF('[1]Processer - data'!F492&lt;&gt;"",'[1]Processer - data'!F492,"")</f>
        <v>Brun saft</v>
      </c>
      <c r="G492" s="103" t="str">
        <f>IF('[1]Processer - data'!G492&lt;&gt;"",'[1]Processer - data'!G492,"")</f>
        <v>PJ</v>
      </c>
      <c r="H492" s="275">
        <f>SUMIFS('Forbrug af biomasse'!$E$1:$E$425,'Forbrug af biomasse'!$A$1:$A$425,$A492,'Forbrug af biomasse'!$C$1:$C$425,$D492,'Forbrug af biomasse'!$B$1:$B$425,$A$1,'Forbrug af biomasse'!$D$1:$D$425,H$2)*'[1]Processer - data'!H492</f>
        <v>0</v>
      </c>
      <c r="I492" s="276">
        <f>SUMIFS('Forbrug af biomasse'!$E$1:$E$425,'Forbrug af biomasse'!$A$1:$A$425,$A492,'Forbrug af biomasse'!$C$1:$C$425,$D492,'Forbrug af biomasse'!$B$1:$B$425,$A$1,'Forbrug af biomasse'!$D$1:$D$425,I$2)*'[1]Processer - data'!I492</f>
        <v>0</v>
      </c>
      <c r="J492" s="277">
        <f>SUMIFS('Forbrug af biomasse'!$E$1:$E$425,'Forbrug af biomasse'!$A$1:$A$425,$A492,'Forbrug af biomasse'!$C$1:$C$425,$D492,'Forbrug af biomasse'!$B$1:$B$425,$A$1,'Forbrug af biomasse'!$D$1:$D$425,J$2)*'[1]Processer - data'!J492</f>
        <v>0</v>
      </c>
    </row>
    <row r="493" spans="1:10" x14ac:dyDescent="0.25">
      <c r="A493" s="103" t="str">
        <f>IF('[1]Processer - data'!A493&lt;&gt;"",'[1]Processer - data'!A493,"")</f>
        <v>Rapskageproduktion</v>
      </c>
      <c r="B493" s="103" t="str">
        <f>IF('[1]Processer - data'!B493&lt;&gt;"",'[1]Processer - data'!B493,"")</f>
        <v/>
      </c>
      <c r="C493" s="103" t="str">
        <f>IF('[1]Processer - data'!C493&lt;&gt;"",'[1]Processer - data'!C493,"")</f>
        <v/>
      </c>
      <c r="D493" s="103" t="str">
        <f>IF('[1]Processer - data'!D493&lt;&gt;"",'[1]Processer - data'!D493,"")</f>
        <v>Raps</v>
      </c>
      <c r="E493" s="103" t="str">
        <f>IF('[1]Processer - data'!E493&lt;&gt;"",'[1]Processer - data'!E493,"")</f>
        <v>Ton</v>
      </c>
      <c r="F493" s="103" t="str">
        <f>IF('[1]Processer - data'!F493&lt;&gt;"",'[1]Processer - data'!F493,"")</f>
        <v>Rapskage</v>
      </c>
      <c r="G493" s="103" t="str">
        <f>IF('[1]Processer - data'!G493&lt;&gt;"",'[1]Processer - data'!G493,"")</f>
        <v>Ton</v>
      </c>
      <c r="H493" s="300">
        <f>IF($A493&lt;&gt;"",IF(VLOOKUP($A493,[1]!Table1[#All],2,FALSE)="Direkte input",IF($A493&lt;&gt;"Grøntsager i drivhus",SUMIFS('Direkte input'!G$3:G$230,'Direkte input'!$F$3:$F$230,$D493,'Direkte input'!$C$3:$C$230,$B493,'Direkte input'!$D$3:$D$230,$C493,'Direkte input'!$A$3:$A$230,$A$1),SUMIFS('Direkte input'!G$3:G$230,'Direkte input'!$F$3:$F$230,$D493,'Direkte input'!$C$3:$C$230,$B493,'Direkte input'!$A$3:$A$230,$A$1)),IF(VLOOKUP($A493,[1]!Table1[#All],2,FALSE)="Resultat",SUMIF($F$1:$F492,$D493,H$1:H492)+SUMIF($F494:$F$512,$D493,H494:H$512),0))*'[1]Processer - data'!H493,"")*IF($C493&lt;&gt;"",IF($F493="Halm",Landbrug!C$16*Landbrug!C$17,IF(LEFT($D493,5)="Areal", IF($G493="Ton",Landbrug!C$18,1),1)),1)*IF($F493="Grøntsager",IF($A493="Grøntsager i drivhus",Landbrug!C$51,1-Landbrug!C$51),1)</f>
        <v>96281.613069044324</v>
      </c>
      <c r="I493" s="301">
        <f>IF($A493&lt;&gt;"",IF(VLOOKUP($A493,[1]!Table1[#All],2,FALSE)="Direkte input",IF($A493&lt;&gt;"Grøntsager i drivhus",SUMIFS('Direkte input'!H$3:H$230,'Direkte input'!$F$3:$F$230,$D493,'Direkte input'!$C$3:$C$230,$B493,'Direkte input'!$D$3:$D$230,$C493,'Direkte input'!$A$3:$A$230,$A$1),SUMIFS('Direkte input'!H$3:H$230,'Direkte input'!$F$3:$F$230,$D493,'Direkte input'!$C$3:$C$230,$B493,'Direkte input'!$A$3:$A$230,$A$1)),IF(VLOOKUP($A493,[1]!Table1[#All],2,FALSE)="Resultat",SUMIF($F$1:$F492,$D493,I$1:I492)+SUMIF($F494:$F$512,$D493,I494:I$512),0))*'[1]Processer - data'!I493,"")*IF($C493&lt;&gt;"",IF($F493="Halm",Landbrug!D$16*Landbrug!D$17,IF(LEFT($D493,5)="Areal", IF($G493="Ton",Landbrug!D$18,1),1)),1)*IF($F493="Grøntsager",IF($A493="Grøntsager i drivhus",Landbrug!D$51,1-Landbrug!D$51),1)</f>
        <v>101494.46110758871</v>
      </c>
      <c r="J493" s="302">
        <f>IF($A493&lt;&gt;"",IF(VLOOKUP($A493,[1]!Table1[#All],2,FALSE)="Direkte input",IF($A493&lt;&gt;"Grøntsager i drivhus",SUMIFS('Direkte input'!I$3:I$230,'Direkte input'!$F$3:$F$230,$D493,'Direkte input'!$C$3:$C$230,$B493,'Direkte input'!$D$3:$D$230,$C493,'Direkte input'!$A$3:$A$230,$A$1),SUMIFS('Direkte input'!I$3:I$230,'Direkte input'!$F$3:$F$230,$D493,'Direkte input'!$C$3:$C$230,$B493,'Direkte input'!$A$3:$A$230,$A$1)),IF(VLOOKUP($A493,[1]!Table1[#All],2,FALSE)="Resultat",SUMIF($F$1:$F492,$D493,J$1:J492)+SUMIF($F494:$F$512,$D493,J494:J$512),0))*'[1]Processer - data'!J493,"")*IF($C493&lt;&gt;"",IF($F493="Halm",Landbrug!E$16*Landbrug!E$17,IF(LEFT($D493,5)="Areal", IF($G493="Ton",Landbrug!E$18,1),1)),1)*IF($F493="Grøntsager",IF($A493="Grøntsager i drivhus",Landbrug!E$51,1-Landbrug!E$51),1)</f>
        <v>105827.91514051896</v>
      </c>
    </row>
    <row r="494" spans="1:10" ht="15.75" thickBot="1" x14ac:dyDescent="0.3">
      <c r="A494" s="103" t="str">
        <f>IF('[1]Processer - data'!A494&lt;&gt;"",'[1]Processer - data'!A494,"")</f>
        <v>Rapskageproduktion</v>
      </c>
      <c r="B494" s="103" t="str">
        <f>IF('[1]Processer - data'!B494&lt;&gt;"",'[1]Processer - data'!B494,"")</f>
        <v/>
      </c>
      <c r="C494" s="103" t="str">
        <f>IF('[1]Processer - data'!C494&lt;&gt;"",'[1]Processer - data'!C494,"")</f>
        <v/>
      </c>
      <c r="D494" s="103" t="str">
        <f>IF('[1]Processer - data'!D494&lt;&gt;"",'[1]Processer - data'!D494,"")</f>
        <v>Raps</v>
      </c>
      <c r="E494" s="103" t="str">
        <f>IF('[1]Processer - data'!E494&lt;&gt;"",'[1]Processer - data'!E494,"")</f>
        <v>Ton</v>
      </c>
      <c r="F494" s="103" t="str">
        <f>IF('[1]Processer - data'!F494&lt;&gt;"",'[1]Processer - data'!F494,"")</f>
        <v>Rapsolie</v>
      </c>
      <c r="G494" s="103" t="str">
        <f>IF('[1]Processer - data'!G494&lt;&gt;"",'[1]Processer - data'!G494,"")</f>
        <v>Ton</v>
      </c>
      <c r="H494" s="297">
        <f>IF($A494&lt;&gt;"",IF(VLOOKUP($A494,[1]!Table1[#All],2,FALSE)="Direkte input",IF($A494&lt;&gt;"Grøntsager i drivhus",SUMIFS('Direkte input'!G$3:G$230,'Direkte input'!$F$3:$F$230,$D494,'Direkte input'!$C$3:$C$230,$B494,'Direkte input'!$D$3:$D$230,$C494,'Direkte input'!$A$3:$A$230,$A$1),SUMIFS('Direkte input'!G$3:G$230,'Direkte input'!$F$3:$F$230,$D494,'Direkte input'!$C$3:$C$230,$B494,'Direkte input'!$A$3:$A$230,$A$1)),IF(VLOOKUP($A494,[1]!Table1[#All],2,FALSE)="Resultat",SUMIF($F$1:$F493,$D494,H$1:H493)+SUMIF($F495:$F$512,$D494,H495:H$512),0))*'[1]Processer - data'!H494,"")*IF($C494&lt;&gt;"",IF($F494="Halm",Landbrug!C$16*Landbrug!C$17,IF(LEFT($D494,5)="Areal", IF($G494="Ton",Landbrug!C$18,1),1)),1)*IF($F494="Grøntsager",IF($A494="Grøntsager i drivhus",Landbrug!C$51,1-Landbrug!C$51),1)</f>
        <v>61620.23236418837</v>
      </c>
      <c r="I494" s="298">
        <f>IF($A494&lt;&gt;"",IF(VLOOKUP($A494,[1]!Table1[#All],2,FALSE)="Direkte input",IF($A494&lt;&gt;"Grøntsager i drivhus",SUMIFS('Direkte input'!H$3:H$230,'Direkte input'!$F$3:$F$230,$D494,'Direkte input'!$C$3:$C$230,$B494,'Direkte input'!$D$3:$D$230,$C494,'Direkte input'!$A$3:$A$230,$A$1),SUMIFS('Direkte input'!H$3:H$230,'Direkte input'!$F$3:$F$230,$D494,'Direkte input'!$C$3:$C$230,$B494,'Direkte input'!$A$3:$A$230,$A$1)),IF(VLOOKUP($A494,[1]!Table1[#All],2,FALSE)="Resultat",SUMIF($F$1:$F493,$D494,I$1:I493)+SUMIF($F495:$F$512,$D494,I495:I$512),0))*'[1]Processer - data'!I494,"")*IF($C494&lt;&gt;"",IF($F494="Halm",Landbrug!D$16*Landbrug!D$17,IF(LEFT($D494,5)="Areal", IF($G494="Ton",Landbrug!D$18,1),1)),1)*IF($F494="Grøntsager",IF($A494="Grøntsager i drivhus",Landbrug!D$51,1-Landbrug!D$51),1)</f>
        <v>64956.455108856775</v>
      </c>
      <c r="J494" s="299">
        <f>IF($A494&lt;&gt;"",IF(VLOOKUP($A494,[1]!Table1[#All],2,FALSE)="Direkte input",IF($A494&lt;&gt;"Grøntsager i drivhus",SUMIFS('Direkte input'!I$3:I$230,'Direkte input'!$F$3:$F$230,$D494,'Direkte input'!$C$3:$C$230,$B494,'Direkte input'!$D$3:$D$230,$C494,'Direkte input'!$A$3:$A$230,$A$1),SUMIFS('Direkte input'!I$3:I$230,'Direkte input'!$F$3:$F$230,$D494,'Direkte input'!$C$3:$C$230,$B494,'Direkte input'!$A$3:$A$230,$A$1)),IF(VLOOKUP($A494,[1]!Table1[#All],2,FALSE)="Resultat",SUMIF($F$1:$F493,$D494,J$1:J493)+SUMIF($F495:$F$512,$D494,J495:J$512),0))*'[1]Processer - data'!J494,"")*IF($C494&lt;&gt;"",IF($F494="Halm",Landbrug!E$16*Landbrug!E$17,IF(LEFT($D494,5)="Areal", IF($G494="Ton",Landbrug!E$18,1),1)),1)*IF($F494="Grøntsager",IF($A494="Grøntsager i drivhus",Landbrug!E$51,1-Landbrug!E$51),1)</f>
        <v>67729.865689932136</v>
      </c>
    </row>
    <row r="495" spans="1:10" x14ac:dyDescent="0.25">
      <c r="A495" s="103" t="str">
        <f>IF('[1]Processer - data'!A495&lt;&gt;"",'[1]Processer - data'!A495,"")</f>
        <v>Pyrolyseproces</v>
      </c>
      <c r="B495" s="103" t="str">
        <f>IF('[1]Processer - data'!B495&lt;&gt;"",'[1]Processer - data'!B495,"")</f>
        <v/>
      </c>
      <c r="C495" s="103" t="str">
        <f>IF('[1]Processer - data'!C495&lt;&gt;"",'[1]Processer - data'!C495,"")</f>
        <v/>
      </c>
      <c r="D495" s="103" t="str">
        <f>IF('[1]Processer - data'!D495&lt;&gt;"",'[1]Processer - data'!D495,"")</f>
        <v>Halm</v>
      </c>
      <c r="E495" s="103" t="str">
        <f>IF('[1]Processer - data'!E495&lt;&gt;"",'[1]Processer - data'!E495,"")</f>
        <v>Ton</v>
      </c>
      <c r="F495" s="103" t="str">
        <f>IF('[1]Processer - data'!F495&lt;&gt;"",'[1]Processer - data'!F495,"")</f>
        <v>CO2 - atmosfære</v>
      </c>
      <c r="G495" s="103" t="str">
        <f>IF('[1]Processer - data'!G495&lt;&gt;"",'[1]Processer - data'!G495,"")</f>
        <v>t CO2-ækvivalenter</v>
      </c>
      <c r="H495" s="272">
        <f>SUMIFS('Forbrug af biomasse'!$E$1:$E$425,'Forbrug af biomasse'!$A$1:$A$425,$A495,'Forbrug af biomasse'!$C$1:$C$425,$D495,'Forbrug af biomasse'!$B$1:$B$425,$A$1,'Forbrug af biomasse'!$D$1:$D$425,H$2)*'[1]Processer - data'!H495</f>
        <v>0</v>
      </c>
      <c r="I495" s="273">
        <f>SUMIFS('Forbrug af biomasse'!$E$1:$E$425,'Forbrug af biomasse'!$A$1:$A$425,$A495,'Forbrug af biomasse'!$C$1:$C$425,$D495,'Forbrug af biomasse'!$B$1:$B$425,$A$1,'Forbrug af biomasse'!$D$1:$D$425,I$2)*'[1]Processer - data'!I495</f>
        <v>0</v>
      </c>
      <c r="J495" s="274">
        <f>SUMIFS('Forbrug af biomasse'!$E$1:$E$425,'Forbrug af biomasse'!$A$1:$A$425,$A495,'Forbrug af biomasse'!$C$1:$C$425,$D495,'Forbrug af biomasse'!$B$1:$B$425,$A$1,'Forbrug af biomasse'!$D$1:$D$425,J$2)*'[1]Processer - data'!J495</f>
        <v>0</v>
      </c>
    </row>
    <row r="496" spans="1:10" x14ac:dyDescent="0.25">
      <c r="A496" s="103" t="str">
        <f>IF('[1]Processer - data'!A496&lt;&gt;"",'[1]Processer - data'!A496,"")</f>
        <v>Pyrolyseproces</v>
      </c>
      <c r="B496" s="103" t="str">
        <f>IF('[1]Processer - data'!B496&lt;&gt;"",'[1]Processer - data'!B496,"")</f>
        <v/>
      </c>
      <c r="C496" s="103" t="str">
        <f>IF('[1]Processer - data'!C496&lt;&gt;"",'[1]Processer - data'!C496,"")</f>
        <v/>
      </c>
      <c r="D496" s="103" t="str">
        <f>IF('[1]Processer - data'!D496&lt;&gt;"",'[1]Processer - data'!D496,"")</f>
        <v>Halm</v>
      </c>
      <c r="E496" s="103" t="str">
        <f>IF('[1]Processer - data'!E496&lt;&gt;"",'[1]Processer - data'!E496,"")</f>
        <v>Ton</v>
      </c>
      <c r="F496" s="103" t="str">
        <f>IF('[1]Processer - data'!F496&lt;&gt;"",'[1]Processer - data'!F496,"")</f>
        <v>Pyrolyseolie</v>
      </c>
      <c r="G496" s="103" t="str">
        <f>IF('[1]Processer - data'!G496&lt;&gt;"",'[1]Processer - data'!G496,"")</f>
        <v>Ton</v>
      </c>
      <c r="H496" s="275">
        <f>SUMIFS('Forbrug af biomasse'!$E$1:$E$425,'Forbrug af biomasse'!$A$1:$A$425,$A496,'Forbrug af biomasse'!$C$1:$C$425,$D496,'Forbrug af biomasse'!$B$1:$B$425,$A$1,'Forbrug af biomasse'!$D$1:$D$425,H$2)*'[1]Processer - data'!H496</f>
        <v>0</v>
      </c>
      <c r="I496" s="276">
        <f>SUMIFS('Forbrug af biomasse'!$E$1:$E$425,'Forbrug af biomasse'!$A$1:$A$425,$A496,'Forbrug af biomasse'!$C$1:$C$425,$D496,'Forbrug af biomasse'!$B$1:$B$425,$A$1,'Forbrug af biomasse'!$D$1:$D$425,I$2)*'[1]Processer - data'!I496</f>
        <v>0</v>
      </c>
      <c r="J496" s="277">
        <f>SUMIFS('Forbrug af biomasse'!$E$1:$E$425,'Forbrug af biomasse'!$A$1:$A$425,$A496,'Forbrug af biomasse'!$C$1:$C$425,$D496,'Forbrug af biomasse'!$B$1:$B$425,$A$1,'Forbrug af biomasse'!$D$1:$D$425,J$2)*'[1]Processer - data'!J496</f>
        <v>0</v>
      </c>
    </row>
    <row r="497" spans="1:10" ht="15.75" thickBot="1" x14ac:dyDescent="0.3">
      <c r="A497" s="103" t="str">
        <f>IF('[1]Processer - data'!A497&lt;&gt;"",'[1]Processer - data'!A497,"")</f>
        <v>Pyrolyseproces</v>
      </c>
      <c r="B497" s="103" t="str">
        <f>IF('[1]Processer - data'!B497&lt;&gt;"",'[1]Processer - data'!B497,"")</f>
        <v/>
      </c>
      <c r="C497" s="103" t="str">
        <f>IF('[1]Processer - data'!C497&lt;&gt;"",'[1]Processer - data'!C497,"")</f>
        <v/>
      </c>
      <c r="D497" s="103" t="str">
        <f>IF('[1]Processer - data'!D497&lt;&gt;"",'[1]Processer - data'!D497,"")</f>
        <v>Halm</v>
      </c>
      <c r="E497" s="103" t="str">
        <f>IF('[1]Processer - data'!E497&lt;&gt;"",'[1]Processer - data'!E497,"")</f>
        <v>Ton</v>
      </c>
      <c r="F497" s="103" t="str">
        <f>IF('[1]Processer - data'!F497&lt;&gt;"",'[1]Processer - data'!F497,"")</f>
        <v>Pyrolysegas</v>
      </c>
      <c r="G497" s="103" t="str">
        <f>IF('[1]Processer - data'!G497&lt;&gt;"",'[1]Processer - data'!G497,"")</f>
        <v>Ton</v>
      </c>
      <c r="H497" s="278">
        <f>SUMIFS('Forbrug af biomasse'!$E$1:$E$425,'Forbrug af biomasse'!$A$1:$A$425,$A497,'Forbrug af biomasse'!$C$1:$C$425,$D497,'Forbrug af biomasse'!$B$1:$B$425,$A$1,'Forbrug af biomasse'!$D$1:$D$425,H$2)*'[1]Processer - data'!H497</f>
        <v>0</v>
      </c>
      <c r="I497" s="279">
        <f>SUMIFS('Forbrug af biomasse'!$E$1:$E$425,'Forbrug af biomasse'!$A$1:$A$425,$A497,'Forbrug af biomasse'!$C$1:$C$425,$D497,'Forbrug af biomasse'!$B$1:$B$425,$A$1,'Forbrug af biomasse'!$D$1:$D$425,I$2)*'[1]Processer - data'!I497</f>
        <v>0</v>
      </c>
      <c r="J497" s="280">
        <f>SUMIFS('Forbrug af biomasse'!$E$1:$E$425,'Forbrug af biomasse'!$A$1:$A$425,$A497,'Forbrug af biomasse'!$C$1:$C$425,$D497,'Forbrug af biomasse'!$B$1:$B$425,$A$1,'Forbrug af biomasse'!$D$1:$D$425,J$2)*'[1]Processer - data'!J497</f>
        <v>0</v>
      </c>
    </row>
    <row r="498" spans="1:10" x14ac:dyDescent="0.25">
      <c r="H498" s="97"/>
      <c r="I498" s="97"/>
      <c r="J498" s="97"/>
    </row>
    <row r="499" spans="1:10" x14ac:dyDescent="0.25">
      <c r="H499" s="97"/>
      <c r="I499" s="97"/>
      <c r="J499" s="97"/>
    </row>
    <row r="500" spans="1:10" x14ac:dyDescent="0.25">
      <c r="H500" s="97"/>
      <c r="I500" s="97"/>
      <c r="J500" s="97"/>
    </row>
    <row r="501" spans="1:10" x14ac:dyDescent="0.25">
      <c r="H501" s="97"/>
      <c r="I501" s="97"/>
      <c r="J501" s="97"/>
    </row>
    <row r="502" spans="1:10" x14ac:dyDescent="0.25">
      <c r="H502" s="97"/>
      <c r="I502" s="97"/>
      <c r="J502" s="97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69478-A184-4362-901E-6AC334CD2ACE}">
  <sheetPr codeName="Sheet28">
    <tabColor rgb="FFFF0000"/>
  </sheetPr>
  <dimension ref="A1:U511"/>
  <sheetViews>
    <sheetView topLeftCell="A455" zoomScale="80" zoomScaleNormal="80" workbookViewId="0">
      <selection activeCell="J7" sqref="J7"/>
    </sheetView>
  </sheetViews>
  <sheetFormatPr defaultRowHeight="15" x14ac:dyDescent="0.25"/>
  <cols>
    <col min="1" max="1" width="27.85546875" bestFit="1" customWidth="1"/>
    <col min="2" max="2" width="19.28515625" bestFit="1" customWidth="1"/>
    <col min="3" max="3" width="12.28515625" bestFit="1" customWidth="1"/>
    <col min="4" max="4" width="18.42578125" bestFit="1" customWidth="1"/>
    <col min="5" max="5" width="6" bestFit="1" customWidth="1"/>
    <col min="6" max="6" width="26.42578125" customWidth="1"/>
    <col min="7" max="7" width="16" bestFit="1" customWidth="1"/>
    <col min="8" max="8" width="35.140625" bestFit="1" customWidth="1"/>
    <col min="9" max="9" width="17.42578125" customWidth="1"/>
    <col min="10" max="10" width="15.85546875" customWidth="1"/>
    <col min="11" max="11" width="4.42578125" bestFit="1" customWidth="1"/>
    <col min="12" max="12" width="12.42578125" bestFit="1" customWidth="1"/>
    <col min="13" max="13" width="11.28515625" customWidth="1"/>
    <col min="14" max="14" width="12.28515625" customWidth="1"/>
    <col min="15" max="15" width="11.140625" customWidth="1"/>
    <col min="17" max="17" width="16.140625" customWidth="1"/>
  </cols>
  <sheetData>
    <row r="1" spans="1:21" x14ac:dyDescent="0.25">
      <c r="B1" t="str">
        <f>IF('[1]Processer - data'!B1&lt;&gt;"",'[1]Processer - data'!B1,"")</f>
        <v/>
      </c>
      <c r="C1" t="str">
        <f>IF('[1]Processer - data'!C1&lt;&gt;"",'[1]Processer - data'!C1,"")</f>
        <v/>
      </c>
      <c r="D1" t="str">
        <f>IF('[1]Processer - data'!D1&lt;&gt;"",'[1]Processer - data'!D1,"")</f>
        <v/>
      </c>
      <c r="E1" t="str">
        <f>IF('[1]Processer - data'!E1&lt;&gt;"",'[1]Processer - data'!E1,"")</f>
        <v/>
      </c>
      <c r="F1" t="str">
        <f>IF('[1]Processer - data'!F1&lt;&gt;"",'[1]Processer - data'!F1,"")</f>
        <v/>
      </c>
      <c r="G1" t="str">
        <f>IF('[1]Processer - data'!G1&lt;&gt;"",'[1]Processer - data'!G1,"")</f>
        <v/>
      </c>
      <c r="H1" t="s">
        <v>100</v>
      </c>
      <c r="I1" t="str">
        <f>IF('[1]Processer - data'!I1&lt;&gt;"",'[1]Processer - data'!I1,"")</f>
        <v/>
      </c>
      <c r="J1" t="str">
        <f>IF('[1]Processer - data'!J1&lt;&gt;"",'[1]Processer - data'!J1,"")</f>
        <v/>
      </c>
      <c r="K1" t="str">
        <f>IF('[1]Processer - data'!K1&lt;&gt;"",'[1]Processer - data'!K1,"")</f>
        <v/>
      </c>
      <c r="R1" t="str">
        <f>IF('[1]Processer - data'!$A$1&lt;&gt;"",'[1]Processer - data'!$A$1,"")</f>
        <v/>
      </c>
    </row>
    <row r="2" spans="1:21" ht="15.75" thickBot="1" x14ac:dyDescent="0.3">
      <c r="A2" s="98" t="str">
        <f>'Resultater - Vestdanmark'!A2</f>
        <v>Processer</v>
      </c>
      <c r="B2" s="98" t="str">
        <f>'Resultater - Vestdanmark'!B2</f>
        <v>Konventionel/økologisk</v>
      </c>
      <c r="C2" s="98" t="str">
        <f>'Resultater - Vestdanmark'!C2</f>
        <v>Jordbundstype</v>
      </c>
      <c r="D2" s="98" t="str">
        <f>'Resultater - Vestdanmark'!D2</f>
        <v>Input</v>
      </c>
      <c r="E2" s="98" t="str">
        <f>'Resultater - Vestdanmark'!E2</f>
        <v>Enhed</v>
      </c>
      <c r="F2" s="98" t="str">
        <f>'Resultater - Vestdanmark'!F2</f>
        <v>Output</v>
      </c>
      <c r="G2" s="98" t="str">
        <f>'Resultater - Vestdanmark'!G2</f>
        <v>Enhed</v>
      </c>
      <c r="H2" s="98">
        <f>'Resultater - Vestdanmark'!H2</f>
        <v>2019</v>
      </c>
      <c r="I2" s="98">
        <f>'Resultater - Vestdanmark'!I2</f>
        <v>2030</v>
      </c>
      <c r="J2" s="98">
        <f>'Resultater - Vestdanmark'!J2</f>
        <v>2050</v>
      </c>
      <c r="K2" t="str">
        <f>IF('[1]Processer - data'!K2&lt;&gt;"",'[1]Processer - data'!K2,"")</f>
        <v>Kilde</v>
      </c>
      <c r="M2">
        <v>2019</v>
      </c>
      <c r="N2">
        <v>2030</v>
      </c>
      <c r="O2">
        <v>2050</v>
      </c>
    </row>
    <row r="3" spans="1:21" x14ac:dyDescent="0.25">
      <c r="A3" s="98" t="str">
        <f>'Resultater - Vestdanmark'!A3</f>
        <v>Spildevandsproduktion</v>
      </c>
      <c r="B3" s="98" t="str">
        <f>'Resultater - Vestdanmark'!B3</f>
        <v/>
      </c>
      <c r="C3" s="98" t="str">
        <f>'Resultater - Vestdanmark'!C3</f>
        <v/>
      </c>
      <c r="D3" s="98" t="str">
        <f>'Resultater - Vestdanmark'!D3</f>
        <v>Befolkning</v>
      </c>
      <c r="E3" s="98" t="str">
        <f>'Resultater - Vestdanmark'!E3</f>
        <v>Antal</v>
      </c>
      <c r="F3" s="98" t="str">
        <f>'Resultater - Vestdanmark'!F3</f>
        <v>Spildevandsslam</v>
      </c>
      <c r="G3" s="98" t="str">
        <f>'Resultater - Vestdanmark'!G3</f>
        <v>Ton</v>
      </c>
      <c r="H3" s="272">
        <f>'Resultater - Vestdanmark'!H3+'Resultater - Østdanmark'!H3</f>
        <v>6905432.901678659</v>
      </c>
      <c r="I3" s="273">
        <f>'Resultater - Vestdanmark'!I3+'Resultater - Østdanmark'!I3</f>
        <v>7187550.2724163011</v>
      </c>
      <c r="J3" s="274">
        <f>'Resultater - Vestdanmark'!J3+'Resultater - Østdanmark'!J3</f>
        <v>7494121.763909651</v>
      </c>
      <c r="L3" s="98" t="s">
        <v>111</v>
      </c>
      <c r="M3" s="98">
        <f ca="1">SUMIF($F$3:$F$509,$L$3,H$3:H$509)</f>
        <v>13910380.018766832</v>
      </c>
      <c r="N3" s="98">
        <f ca="1">SUMIF($F$3:$F$509,$L$3,I$3:I$509)</f>
        <v>14095072.364473</v>
      </c>
      <c r="O3" s="98">
        <f ca="1">SUMIF($F$3:$F$509,$L$3,J$3:J$509)</f>
        <v>13146383.529220717</v>
      </c>
      <c r="Q3" s="98"/>
      <c r="U3" s="98"/>
    </row>
    <row r="4" spans="1:21" x14ac:dyDescent="0.25">
      <c r="A4" s="98" t="str">
        <f>'Resultater - Vestdanmark'!A4</f>
        <v>Bioaffaldsproduktion</v>
      </c>
      <c r="B4" s="98" t="str">
        <f>'Resultater - Vestdanmark'!B4</f>
        <v/>
      </c>
      <c r="C4" s="98" t="str">
        <f>'Resultater - Vestdanmark'!C4</f>
        <v/>
      </c>
      <c r="D4" s="98" t="str">
        <f>'Resultater - Vestdanmark'!D4</f>
        <v>Befolkning</v>
      </c>
      <c r="E4" s="98" t="str">
        <f>'Resultater - Vestdanmark'!E4</f>
        <v>Antal</v>
      </c>
      <c r="F4" s="98" t="str">
        <f>'Resultater - Vestdanmark'!F4</f>
        <v>Bioaffald</v>
      </c>
      <c r="G4" s="98" t="str">
        <f>'Resultater - Vestdanmark'!G4</f>
        <v>Ton</v>
      </c>
      <c r="H4" s="275">
        <f ca="1">'Resultater - Vestdanmark'!H4+'Resultater - Østdanmark'!H4</f>
        <v>358674.32551850227</v>
      </c>
      <c r="I4" s="276">
        <f ca="1">'Resultater - Vestdanmark'!I4+'Resultater - Østdanmark'!I4</f>
        <v>363994.97174274386</v>
      </c>
      <c r="J4" s="277">
        <f ca="1">'Resultater - Vestdanmark'!J4+'Resultater - Østdanmark'!J4</f>
        <v>369776.8151095995</v>
      </c>
      <c r="L4" s="98" t="s">
        <v>167</v>
      </c>
      <c r="M4" s="98">
        <f t="shared" ref="M4:O6" si="0">SUMIFS(H$3:H$509,$F$3:$F$509,$L$3,$A$3:$A$509,$L4)</f>
        <v>1383287.873779177</v>
      </c>
      <c r="N4" s="98">
        <f t="shared" si="0"/>
        <v>1663522.2436124503</v>
      </c>
      <c r="O4" s="98">
        <f t="shared" si="0"/>
        <v>1670135.6275611275</v>
      </c>
    </row>
    <row r="5" spans="1:21" x14ac:dyDescent="0.25">
      <c r="A5" s="98" t="str">
        <f>'Resultater - Vestdanmark'!A5</f>
        <v>Bioaffaldsproduktion</v>
      </c>
      <c r="B5" s="98" t="str">
        <f>'Resultater - Vestdanmark'!B5</f>
        <v/>
      </c>
      <c r="C5" s="98" t="str">
        <f>'Resultater - Vestdanmark'!C5</f>
        <v/>
      </c>
      <c r="D5" s="98" t="str">
        <f>'Resultater - Vestdanmark'!D5</f>
        <v>Befolkning</v>
      </c>
      <c r="E5" s="98" t="str">
        <f>'Resultater - Vestdanmark'!E5</f>
        <v>Antal</v>
      </c>
      <c r="F5" s="98" t="str">
        <f>'Resultater - Vestdanmark'!F5</f>
        <v>Have/parkaffald</v>
      </c>
      <c r="G5" s="98" t="str">
        <f>'Resultater - Vestdanmark'!G5</f>
        <v>Ton</v>
      </c>
      <c r="H5" s="275">
        <f>'Resultater - Vestdanmark'!H5+'Resultater - Østdanmark'!H5</f>
        <v>982809</v>
      </c>
      <c r="I5" s="276">
        <f>'Resultater - Vestdanmark'!I5+'Resultater - Østdanmark'!I5</f>
        <v>982809</v>
      </c>
      <c r="J5" s="277">
        <f>'Resultater - Vestdanmark'!J5+'Resultater - Østdanmark'!J5</f>
        <v>982809</v>
      </c>
      <c r="L5" s="98" t="s">
        <v>168</v>
      </c>
      <c r="M5" s="98">
        <f t="shared" si="0"/>
        <v>4119285.0829287488</v>
      </c>
      <c r="N5" s="98">
        <f t="shared" si="0"/>
        <v>4925188.5637275875</v>
      </c>
      <c r="O5" s="98">
        <f t="shared" si="0"/>
        <v>4891993.0289472733</v>
      </c>
    </row>
    <row r="6" spans="1:21" s="168" customFormat="1" x14ac:dyDescent="0.25">
      <c r="A6" s="98" t="str">
        <f>'Resultater - Vestdanmark'!A6</f>
        <v>Bioaffaldsproduktion</v>
      </c>
      <c r="B6" s="98" t="str">
        <f>'Resultater - Vestdanmark'!B6</f>
        <v/>
      </c>
      <c r="C6" s="98" t="str">
        <f>'Resultater - Vestdanmark'!C6</f>
        <v/>
      </c>
      <c r="D6" s="98" t="str">
        <f>'Resultater - Vestdanmark'!D6</f>
        <v>Befolkning</v>
      </c>
      <c r="E6" s="98" t="str">
        <f>'Resultater - Vestdanmark'!E6</f>
        <v>Antal</v>
      </c>
      <c r="F6" s="98" t="str">
        <f>'Resultater - Vestdanmark'!F6</f>
        <v>Industriaffald</v>
      </c>
      <c r="G6" s="98" t="str">
        <f>'Resultater - Vestdanmark'!G6</f>
        <v>Ton</v>
      </c>
      <c r="H6" s="275">
        <f>'Resultater - Vestdanmark'!H6+'Resultater - Østdanmark'!H6</f>
        <v>355018</v>
      </c>
      <c r="I6" s="276">
        <f>'Resultater - Vestdanmark'!I6+'Resultater - Østdanmark'!I6</f>
        <v>355018</v>
      </c>
      <c r="J6" s="277">
        <f>'Resultater - Vestdanmark'!J6+'Resultater - Østdanmark'!J6</f>
        <v>355018</v>
      </c>
      <c r="L6" s="98" t="s">
        <v>169</v>
      </c>
      <c r="M6" s="98">
        <f t="shared" si="0"/>
        <v>16688.944028790498</v>
      </c>
      <c r="N6" s="98">
        <f t="shared" si="0"/>
        <v>20069.450906402981</v>
      </c>
      <c r="O6" s="98">
        <f t="shared" si="0"/>
        <v>20148.435305733627</v>
      </c>
    </row>
    <row r="7" spans="1:21" x14ac:dyDescent="0.25">
      <c r="A7" s="98" t="str">
        <f>'Resultater - Vestdanmark'!A7</f>
        <v>Muslingefarm</v>
      </c>
      <c r="B7" s="98" t="str">
        <f>'Resultater - Vestdanmark'!B7</f>
        <v/>
      </c>
      <c r="C7" s="98" t="str">
        <f>'Resultater - Vestdanmark'!C7</f>
        <v/>
      </c>
      <c r="D7" s="98" t="str">
        <f>'Resultater - Vestdanmark'!D7</f>
        <v>Muslingeareal</v>
      </c>
      <c r="E7" s="98" t="str">
        <f>'Resultater - Vestdanmark'!E7</f>
        <v>Hektar</v>
      </c>
      <c r="F7" s="98" t="str">
        <f>'Resultater - Vestdanmark'!F7</f>
        <v>Muslinger</v>
      </c>
      <c r="G7" s="98" t="str">
        <f>'Resultater - Vestdanmark'!G7</f>
        <v>Ton</v>
      </c>
      <c r="H7" s="275">
        <f>'Resultater - Vestdanmark'!H7+'Resultater - Østdanmark'!H7</f>
        <v>880.09999999999991</v>
      </c>
      <c r="I7" s="276">
        <f>'Resultater - Vestdanmark'!I7+'Resultater - Østdanmark'!I7</f>
        <v>279460.19505556813</v>
      </c>
      <c r="J7" s="277">
        <f>'Resultater - Vestdanmark'!J7+'Resultater - Østdanmark'!J7</f>
        <v>279460.19505556813</v>
      </c>
      <c r="L7" s="98" t="s">
        <v>42</v>
      </c>
      <c r="M7" s="98">
        <f>SUMIFS(H$3:H$509,$F$3:$F$509,$L$3,$C$3:$C$509,$L7)+SUMIFS(H$3:H$509,$F$3:$F$509,$L$3,$C$3:$C$509,"",$A$3:$A$509,"Grøntsager I drivhus")</f>
        <v>5792.400747147125</v>
      </c>
      <c r="N7" s="98">
        <f>SUMIFS(I$3:I$509,$F$3:$F$509,$L$3,$C$3:$C$509,$L7)+SUMIFS(I$3:I$509,$F$3:$F$509,$L$3,$C$3:$C$509,"",$A$3:$A$509,"Grøntsager I drivhus")</f>
        <v>5739.8794854532734</v>
      </c>
      <c r="O7" s="98">
        <f>SUMIFS(J$3:J$509,$F$3:$F$509,$L$3,$C$3:$C$509,$L7)+SUMIFS(J$3:J$509,$F$3:$F$509,$L$3,$C$3:$C$509,"",$A$3:$A$509,"Grøntsager I drivhus")</f>
        <v>5654.9827018456008</v>
      </c>
    </row>
    <row r="8" spans="1:21" x14ac:dyDescent="0.25">
      <c r="A8" s="98" t="str">
        <f>'Resultater - Vestdanmark'!A8</f>
        <v>Muslingefarm</v>
      </c>
      <c r="B8" s="98" t="str">
        <f>'Resultater - Vestdanmark'!B8</f>
        <v/>
      </c>
      <c r="C8" s="98" t="str">
        <f>'Resultater - Vestdanmark'!C8</f>
        <v/>
      </c>
      <c r="D8" s="98" t="str">
        <f>'Resultater - Vestdanmark'!D8</f>
        <v>Muslingeareal</v>
      </c>
      <c r="E8" s="98" t="str">
        <f>'Resultater - Vestdanmark'!E8</f>
        <v>Hektar</v>
      </c>
      <c r="F8" s="98" t="str">
        <f>'Resultater - Vestdanmark'!F8</f>
        <v>CO2 - atmosfære</v>
      </c>
      <c r="G8" s="98" t="str">
        <f>'Resultater - Vestdanmark'!G8</f>
        <v>t CO2-ækvivalenter</v>
      </c>
      <c r="H8" s="275">
        <f>'Resultater - Vestdanmark'!H8+'Resultater - Østdanmark'!H8</f>
        <v>-142.57619999999997</v>
      </c>
      <c r="I8" s="276">
        <f>'Resultater - Vestdanmark'!I8+'Resultater - Østdanmark'!I8</f>
        <v>-45272.551599002036</v>
      </c>
      <c r="J8" s="277">
        <f>'Resultater - Vestdanmark'!J8+'Resultater - Østdanmark'!J8</f>
        <v>-45272.551599002036</v>
      </c>
      <c r="L8" s="98" t="s">
        <v>41</v>
      </c>
      <c r="M8" s="98">
        <f>SUMIFS(H$3:H$509,$F$3:$F$509,$L$3,$C$3:$C$509,$L8)+SUMIFS(H$3:H$509,$F$3:$F$509,$L$3,$C$3:$C$509,"",$A$3:$A$509,"Grøntsager I drivhus")</f>
        <v>1473136.3400311922</v>
      </c>
      <c r="N8" s="98">
        <f>SUMIFS(I$3:I$509,$F$3:$F$509,$L$3,$C$3:$C$509,$L8)+SUMIFS(I$3:I$509,$F$3:$F$509,$L$3,$C$3:$C$509,"",$A$3:$A$509,"Grøntsager I drivhus")</f>
        <v>1363675.1710503832</v>
      </c>
      <c r="O8" s="98">
        <f>SUMIFS(J$3:J$509,$F$3:$F$509,$L$3,$C$3:$C$509,$L8)</f>
        <v>1357935.2915649298</v>
      </c>
    </row>
    <row r="9" spans="1:21" x14ac:dyDescent="0.25">
      <c r="A9" s="98" t="str">
        <f>'Resultater - Vestdanmark'!A9</f>
        <v>Tangfarm</v>
      </c>
      <c r="B9" s="98" t="str">
        <f>'Resultater - Vestdanmark'!B9</f>
        <v/>
      </c>
      <c r="C9" s="98" t="str">
        <f>'Resultater - Vestdanmark'!C9</f>
        <v/>
      </c>
      <c r="D9" s="98" t="str">
        <f>'Resultater - Vestdanmark'!D9</f>
        <v>Tangfarmareal</v>
      </c>
      <c r="E9" s="98" t="str">
        <f>'Resultater - Vestdanmark'!E9</f>
        <v>Hektar</v>
      </c>
      <c r="F9" s="98" t="str">
        <f>'Resultater - Vestdanmark'!F9</f>
        <v>Tang</v>
      </c>
      <c r="G9" s="98" t="str">
        <f>'Resultater - Vestdanmark'!G9</f>
        <v>Ton</v>
      </c>
      <c r="H9" s="275">
        <f>'Resultater - Vestdanmark'!H9+'Resultater - Østdanmark'!H9</f>
        <v>76.5</v>
      </c>
      <c r="I9" s="276">
        <f>'Resultater - Vestdanmark'!I9+'Resultater - Østdanmark'!I9</f>
        <v>120600</v>
      </c>
      <c r="J9" s="277">
        <f>'Resultater - Vestdanmark'!J9+'Resultater - Østdanmark'!J9</f>
        <v>120600</v>
      </c>
      <c r="L9" s="98" t="s">
        <v>40</v>
      </c>
      <c r="M9" s="98">
        <f>SUMIFS(H$3:H$509,$F$3:$F$509,$L$3,$C$3:$C$509,$L9)+SUMIFS(H$3:H$509,$F$3:$F$509,$L$3,$C$3:$C$509,"",$A$3:$A$509,"Grøntsager I drivhus")</f>
        <v>2862788.0827837912</v>
      </c>
      <c r="N9" s="98">
        <f>SUMIFS(I$3:I$509,$F$3:$F$509,$L$3,$C$3:$C$509,$L9)+SUMIFS(I$3:I$509,$F$3:$F$509,$L$3,$C$3:$C$509,"",$A$3:$A$509,"Grøntsager I drivhus")</f>
        <v>2591274.9767722865</v>
      </c>
      <c r="O9" s="98">
        <f>SUMIFS(J$3:J$509,$F$3:$F$509,$L$3,$C$3:$C$509,$L9)</f>
        <v>2585535.0972868335</v>
      </c>
    </row>
    <row r="10" spans="1:21" x14ac:dyDescent="0.25">
      <c r="A10" s="98" t="str">
        <f>'Resultater - Vestdanmark'!A10</f>
        <v>Tangfarm</v>
      </c>
      <c r="B10" s="98" t="str">
        <f>'Resultater - Vestdanmark'!B10</f>
        <v/>
      </c>
      <c r="C10" s="98" t="str">
        <f>'Resultater - Vestdanmark'!C10</f>
        <v/>
      </c>
      <c r="D10" s="98" t="str">
        <f>'Resultater - Vestdanmark'!D10</f>
        <v>Tangfarmareal</v>
      </c>
      <c r="E10" s="98" t="str">
        <f>'Resultater - Vestdanmark'!E10</f>
        <v>Hektar</v>
      </c>
      <c r="F10" s="98" t="str">
        <f>'Resultater - Vestdanmark'!F10</f>
        <v>CO2 - atmosfære</v>
      </c>
      <c r="G10" s="98" t="str">
        <f>'Resultater - Vestdanmark'!G10</f>
        <v>t CO2-ækvivalenter</v>
      </c>
      <c r="H10" s="275">
        <f>'Resultater - Vestdanmark'!H10+'Resultater - Østdanmark'!H10</f>
        <v>-15.861000000000001</v>
      </c>
      <c r="I10" s="276">
        <f>'Resultater - Vestdanmark'!I10+'Resultater - Østdanmark'!I10</f>
        <v>-5000.880000000001</v>
      </c>
      <c r="J10" s="277">
        <f>'Resultater - Vestdanmark'!J10+'Resultater - Østdanmark'!J10</f>
        <v>-5000.880000000001</v>
      </c>
    </row>
    <row r="11" spans="1:21" x14ac:dyDescent="0.25">
      <c r="A11" s="98" t="str">
        <f>'Resultater - Vestdanmark'!A11</f>
        <v>Skovproduktion</v>
      </c>
      <c r="B11" s="98" t="str">
        <f>'Resultater - Vestdanmark'!B11</f>
        <v/>
      </c>
      <c r="C11" s="98" t="str">
        <f>'Resultater - Vestdanmark'!C11</f>
        <v>Basisskov</v>
      </c>
      <c r="D11" s="98" t="str">
        <f>'Resultater - Vestdanmark'!D11</f>
        <v>Areal-basisskov</v>
      </c>
      <c r="E11" s="98" t="str">
        <f>'Resultater - Vestdanmark'!E11</f>
        <v>Hektar</v>
      </c>
      <c r="F11" s="98" t="str">
        <f>'Resultater - Vestdanmark'!F11</f>
        <v>Træer</v>
      </c>
      <c r="G11" s="98" t="str">
        <f>'Resultater - Vestdanmark'!G11</f>
        <v>m3</v>
      </c>
      <c r="H11" s="275">
        <f>'Resultater - Vestdanmark'!H11+'Resultater - Østdanmark'!H11</f>
        <v>1724391.5316257188</v>
      </c>
      <c r="I11" s="276">
        <f>'Resultater - Vestdanmark'!I11+'Resultater - Østdanmark'!I11</f>
        <v>1631885.8233455163</v>
      </c>
      <c r="J11" s="277">
        <f>'Resultater - Vestdanmark'!J11+'Resultater - Østdanmark'!J11</f>
        <v>1476221.0184099278</v>
      </c>
    </row>
    <row r="12" spans="1:21" x14ac:dyDescent="0.25">
      <c r="A12" s="98" t="str">
        <f>'Resultater - Vestdanmark'!A12</f>
        <v>Skovproduktion</v>
      </c>
      <c r="B12" s="98" t="str">
        <f>'Resultater - Vestdanmark'!B12</f>
        <v/>
      </c>
      <c r="C12" s="98" t="str">
        <f>'Resultater - Vestdanmark'!C12</f>
        <v>Basisskov</v>
      </c>
      <c r="D12" s="98" t="str">
        <f>'Resultater - Vestdanmark'!D12</f>
        <v>Areal-basisskov</v>
      </c>
      <c r="E12" s="98" t="str">
        <f>'Resultater - Vestdanmark'!E12</f>
        <v>Hektar</v>
      </c>
      <c r="F12" s="98" t="str">
        <f>'Resultater - Vestdanmark'!F12</f>
        <v>Træ til energi</v>
      </c>
      <c r="G12" s="98" t="str">
        <f>'Resultater - Vestdanmark'!G12</f>
        <v>m3</v>
      </c>
      <c r="H12" s="275">
        <f>'Resultater - Vestdanmark'!H12+'Resultater - Østdanmark'!H12</f>
        <v>2113608.4683742807</v>
      </c>
      <c r="I12" s="276">
        <f>'Resultater - Vestdanmark'!I12+'Resultater - Østdanmark'!I12</f>
        <v>2000223.0539784776</v>
      </c>
      <c r="J12" s="277">
        <f>'Resultater - Vestdanmark'!J12+'Resultater - Østdanmark'!J12</f>
        <v>1809422.7375158332</v>
      </c>
    </row>
    <row r="13" spans="1:21" x14ac:dyDescent="0.25">
      <c r="A13" s="98" t="str">
        <f>'Resultater - Vestdanmark'!A13</f>
        <v>Skovproduktion</v>
      </c>
      <c r="B13" s="98" t="str">
        <f>'Resultater - Vestdanmark'!B13</f>
        <v/>
      </c>
      <c r="C13" s="98" t="str">
        <f>'Resultater - Vestdanmark'!C13</f>
        <v>Basisskov</v>
      </c>
      <c r="D13" s="98" t="str">
        <f>'Resultater - Vestdanmark'!D13</f>
        <v>Areal-basisskov</v>
      </c>
      <c r="E13" s="98" t="str">
        <f>'Resultater - Vestdanmark'!E13</f>
        <v>Hektar</v>
      </c>
      <c r="F13" s="98" t="str">
        <f>'Resultater - Vestdanmark'!F13</f>
        <v>CO2 - atmosfære</v>
      </c>
      <c r="G13" s="98" t="str">
        <f>'Resultater - Vestdanmark'!G13</f>
        <v>t CO2-ækvivalenter</v>
      </c>
      <c r="H13" s="275">
        <f>'Resultater - Vestdanmark'!H13+'Resultater - Østdanmark'!H13</f>
        <v>-562410</v>
      </c>
      <c r="I13" s="276">
        <f>'Resultater - Vestdanmark'!I13+'Resultater - Østdanmark'!I13</f>
        <v>-532239.27923287847</v>
      </c>
      <c r="J13" s="277">
        <f>'Resultater - Vestdanmark'!J13+'Resultater - Østdanmark'!J13</f>
        <v>-481469.23000787059</v>
      </c>
    </row>
    <row r="14" spans="1:21" s="168" customFormat="1" x14ac:dyDescent="0.25">
      <c r="A14" s="98" t="str">
        <f>'Resultater - Vestdanmark'!A14</f>
        <v>Skovproduktion</v>
      </c>
      <c r="B14" s="98" t="str">
        <f>'Resultater - Vestdanmark'!B14</f>
        <v/>
      </c>
      <c r="C14" s="98" t="str">
        <f>'Resultater - Vestdanmark'!C14</f>
        <v>Basisskov</v>
      </c>
      <c r="D14" s="98" t="str">
        <f>'Resultater - Vestdanmark'!D14</f>
        <v>Areal-basisskov</v>
      </c>
      <c r="E14" s="98" t="str">
        <f>'Resultater - Vestdanmark'!E14</f>
        <v>Hektar</v>
      </c>
      <c r="F14" s="98" t="str">
        <f>'Resultater - Vestdanmark'!F14</f>
        <v>CO2 - HWP</v>
      </c>
      <c r="G14" s="98" t="str">
        <f>'Resultater - Vestdanmark'!G14</f>
        <v>t CO2-ækvivalenter</v>
      </c>
      <c r="H14" s="275">
        <f>'Resultater - Vestdanmark'!H14+'Resultater - Østdanmark'!H14</f>
        <v>-1263438.0423418714</v>
      </c>
      <c r="I14" s="276">
        <f>'Resultater - Vestdanmark'!I14+'Resultater - Østdanmark'!I14</f>
        <v>-1195660.3776807606</v>
      </c>
      <c r="J14" s="277">
        <f>'Resultater - Vestdanmark'!J14+'Resultater - Østdanmark'!J14</f>
        <v>-1081606.9084991238</v>
      </c>
    </row>
    <row r="15" spans="1:21" x14ac:dyDescent="0.25">
      <c r="A15" s="98" t="str">
        <f>'Resultater - Vestdanmark'!A15</f>
        <v>Skovproduktion</v>
      </c>
      <c r="B15" s="98" t="str">
        <f>'Resultater - Vestdanmark'!B15</f>
        <v/>
      </c>
      <c r="C15" s="98" t="str">
        <f>'Resultater - Vestdanmark'!C15</f>
        <v>Skovtype1</v>
      </c>
      <c r="D15" s="98" t="str">
        <f>'Resultater - Vestdanmark'!D15</f>
        <v>Areal-skovtype1-10</v>
      </c>
      <c r="E15" s="98" t="str">
        <f>'Resultater - Vestdanmark'!E15</f>
        <v>Hektar</v>
      </c>
      <c r="F15" s="98" t="str">
        <f>'Resultater - Vestdanmark'!F15</f>
        <v>Træer</v>
      </c>
      <c r="G15" s="98" t="str">
        <f>'Resultater - Vestdanmark'!G15</f>
        <v>m3</v>
      </c>
      <c r="H15" s="275">
        <f ca="1">'Resultater - Vestdanmark'!H15+'Resultater - Østdanmark'!H15</f>
        <v>0</v>
      </c>
      <c r="I15" s="276">
        <f ca="1">'Resultater - Vestdanmark'!I15+'Resultater - Østdanmark'!I15</f>
        <v>0</v>
      </c>
      <c r="J15" s="277">
        <f ca="1">'Resultater - Vestdanmark'!J15+'Resultater - Østdanmark'!J15</f>
        <v>0</v>
      </c>
    </row>
    <row r="16" spans="1:21" x14ac:dyDescent="0.25">
      <c r="A16" s="98" t="str">
        <f>'Resultater - Vestdanmark'!A16</f>
        <v>Skovproduktion</v>
      </c>
      <c r="B16" s="98" t="str">
        <f>'Resultater - Vestdanmark'!B16</f>
        <v/>
      </c>
      <c r="C16" s="98" t="str">
        <f>'Resultater - Vestdanmark'!C16</f>
        <v>Skovtype1</v>
      </c>
      <c r="D16" s="98" t="str">
        <f>'Resultater - Vestdanmark'!D16</f>
        <v>Areal-skovtype1-10</v>
      </c>
      <c r="E16" s="98" t="str">
        <f>'Resultater - Vestdanmark'!E16</f>
        <v>Hektar</v>
      </c>
      <c r="F16" s="98" t="str">
        <f>'Resultater - Vestdanmark'!F16</f>
        <v>Træ til energi</v>
      </c>
      <c r="G16" s="98" t="str">
        <f>'Resultater - Vestdanmark'!G16</f>
        <v>m3</v>
      </c>
      <c r="H16" s="275">
        <f ca="1">'Resultater - Vestdanmark'!H16+'Resultater - Østdanmark'!H16</f>
        <v>0</v>
      </c>
      <c r="I16" s="276">
        <f ca="1">'Resultater - Vestdanmark'!I16+'Resultater - Østdanmark'!I16</f>
        <v>0</v>
      </c>
      <c r="J16" s="277">
        <f ca="1">'Resultater - Vestdanmark'!J16+'Resultater - Østdanmark'!J16</f>
        <v>0</v>
      </c>
    </row>
    <row r="17" spans="1:10" x14ac:dyDescent="0.25">
      <c r="A17" s="98" t="str">
        <f>'Resultater - Vestdanmark'!A17</f>
        <v>Skovproduktion</v>
      </c>
      <c r="B17" s="98" t="str">
        <f>'Resultater - Vestdanmark'!B17</f>
        <v/>
      </c>
      <c r="C17" s="98" t="str">
        <f>'Resultater - Vestdanmark'!C17</f>
        <v>Skovtype1</v>
      </c>
      <c r="D17" s="98" t="str">
        <f>'Resultater - Vestdanmark'!D17</f>
        <v>Areal-skovtype1-10</v>
      </c>
      <c r="E17" s="98" t="str">
        <f>'Resultater - Vestdanmark'!E17</f>
        <v>Hektar</v>
      </c>
      <c r="F17" s="98" t="str">
        <f>'Resultater - Vestdanmark'!F17</f>
        <v>CO2 - atmosfære</v>
      </c>
      <c r="G17" s="98" t="str">
        <f>'Resultater - Vestdanmark'!G17</f>
        <v>t CO2-ækvivalenter</v>
      </c>
      <c r="H17" s="275">
        <f ca="1">'Resultater - Vestdanmark'!H17+'Resultater - Østdanmark'!H17</f>
        <v>0</v>
      </c>
      <c r="I17" s="276">
        <f ca="1">'Resultater - Vestdanmark'!I17+'Resultater - Østdanmark'!I17</f>
        <v>-115896.67691780378</v>
      </c>
      <c r="J17" s="277">
        <f ca="1">'Resultater - Vestdanmark'!J17+'Resultater - Østdanmark'!J17</f>
        <v>-109411.20010420645</v>
      </c>
    </row>
    <row r="18" spans="1:10" s="168" customFormat="1" x14ac:dyDescent="0.25">
      <c r="A18" s="98" t="str">
        <f>'Resultater - Vestdanmark'!A18</f>
        <v>Skovproduktion</v>
      </c>
      <c r="B18" s="98" t="str">
        <f>'Resultater - Vestdanmark'!B18</f>
        <v/>
      </c>
      <c r="C18" s="98" t="str">
        <f>'Resultater - Vestdanmark'!C18</f>
        <v>Skovtype1</v>
      </c>
      <c r="D18" s="98" t="str">
        <f>'Resultater - Vestdanmark'!D18</f>
        <v>Areal-skovtype1-10</v>
      </c>
      <c r="E18" s="98" t="str">
        <f>'Resultater - Vestdanmark'!E18</f>
        <v>Hektar</v>
      </c>
      <c r="F18" s="98" t="str">
        <f>'Resultater - Vestdanmark'!F18</f>
        <v>CO2 - HWP</v>
      </c>
      <c r="G18" s="98" t="str">
        <f>'Resultater - Vestdanmark'!G18</f>
        <v>t CO2-ækvivalenter</v>
      </c>
      <c r="H18" s="275">
        <f ca="1">'Resultater - Vestdanmark'!H18+'Resultater - Østdanmark'!H18</f>
        <v>0</v>
      </c>
      <c r="I18" s="276">
        <f ca="1">'Resultater - Vestdanmark'!I18+'Resultater - Østdanmark'!I18</f>
        <v>0</v>
      </c>
      <c r="J18" s="277">
        <f ca="1">'Resultater - Vestdanmark'!J18+'Resultater - Østdanmark'!J18</f>
        <v>0</v>
      </c>
    </row>
    <row r="19" spans="1:10" x14ac:dyDescent="0.25">
      <c r="A19" s="98" t="str">
        <f>'Resultater - Vestdanmark'!A19</f>
        <v>Skovproduktion</v>
      </c>
      <c r="B19" s="98" t="str">
        <f>'Resultater - Vestdanmark'!B19</f>
        <v/>
      </c>
      <c r="C19" s="98" t="str">
        <f>'Resultater - Vestdanmark'!C19</f>
        <v>Skovtype1</v>
      </c>
      <c r="D19" s="98" t="str">
        <f>'Resultater - Vestdanmark'!D19</f>
        <v>Areal-skovtype1-20</v>
      </c>
      <c r="E19" s="98" t="str">
        <f>'Resultater - Vestdanmark'!E19</f>
        <v>Hektar</v>
      </c>
      <c r="F19" s="98" t="str">
        <f>'Resultater - Vestdanmark'!F19</f>
        <v>Træer</v>
      </c>
      <c r="G19" s="98" t="str">
        <f>'Resultater - Vestdanmark'!G19</f>
        <v>m3</v>
      </c>
      <c r="H19" s="275">
        <f ca="1">'Resultater - Vestdanmark'!H19+'Resultater - Østdanmark'!H19</f>
        <v>0</v>
      </c>
      <c r="I19" s="276">
        <f ca="1">'Resultater - Vestdanmark'!I19+'Resultater - Østdanmark'!I19</f>
        <v>0</v>
      </c>
      <c r="J19" s="277">
        <f ca="1">'Resultater - Vestdanmark'!J19+'Resultater - Østdanmark'!J19</f>
        <v>0</v>
      </c>
    </row>
    <row r="20" spans="1:10" x14ac:dyDescent="0.25">
      <c r="A20" s="98" t="str">
        <f>'Resultater - Vestdanmark'!A20</f>
        <v>Skovproduktion</v>
      </c>
      <c r="B20" s="98" t="str">
        <f>'Resultater - Vestdanmark'!B20</f>
        <v/>
      </c>
      <c r="C20" s="98" t="str">
        <f>'Resultater - Vestdanmark'!C20</f>
        <v>Skovtype1</v>
      </c>
      <c r="D20" s="98" t="str">
        <f>'Resultater - Vestdanmark'!D20</f>
        <v>Areal-skovtype1-20</v>
      </c>
      <c r="E20" s="98" t="str">
        <f>'Resultater - Vestdanmark'!E20</f>
        <v>Hektar</v>
      </c>
      <c r="F20" s="98" t="str">
        <f>'Resultater - Vestdanmark'!F20</f>
        <v>Træ til energi</v>
      </c>
      <c r="G20" s="98" t="str">
        <f>'Resultater - Vestdanmark'!G20</f>
        <v>m3</v>
      </c>
      <c r="H20" s="275">
        <f ca="1">'Resultater - Vestdanmark'!H20+'Resultater - Østdanmark'!H20</f>
        <v>0</v>
      </c>
      <c r="I20" s="276">
        <f ca="1">'Resultater - Vestdanmark'!I20+'Resultater - Østdanmark'!I20</f>
        <v>0</v>
      </c>
      <c r="J20" s="277">
        <f ca="1">'Resultater - Vestdanmark'!J20+'Resultater - Østdanmark'!J20</f>
        <v>0</v>
      </c>
    </row>
    <row r="21" spans="1:10" x14ac:dyDescent="0.25">
      <c r="A21" s="98" t="str">
        <f>'Resultater - Vestdanmark'!A21</f>
        <v>Skovproduktion</v>
      </c>
      <c r="B21" s="98" t="str">
        <f>'Resultater - Vestdanmark'!B21</f>
        <v/>
      </c>
      <c r="C21" s="98" t="str">
        <f>'Resultater - Vestdanmark'!C21</f>
        <v>Skovtype1</v>
      </c>
      <c r="D21" s="98" t="str">
        <f>'Resultater - Vestdanmark'!D21</f>
        <v>Areal-skovtype1-20</v>
      </c>
      <c r="E21" s="98" t="str">
        <f>'Resultater - Vestdanmark'!E21</f>
        <v>Hektar</v>
      </c>
      <c r="F21" s="98" t="str">
        <f>'Resultater - Vestdanmark'!F21</f>
        <v>CO2 - atmosfære</v>
      </c>
      <c r="G21" s="98" t="str">
        <f>'Resultater - Vestdanmark'!G21</f>
        <v>t CO2-ækvivalenter</v>
      </c>
      <c r="H21" s="275">
        <f ca="1">'Resultater - Vestdanmark'!H21+'Resultater - Østdanmark'!H21</f>
        <v>0</v>
      </c>
      <c r="I21" s="276">
        <f ca="1">'Resultater - Vestdanmark'!I21+'Resultater - Østdanmark'!I21</f>
        <v>-25916.275000000016</v>
      </c>
      <c r="J21" s="277">
        <f ca="1">'Resultater - Vestdanmark'!J21+'Resultater - Østdanmark'!J21</f>
        <v>-247616.09907477809</v>
      </c>
    </row>
    <row r="22" spans="1:10" s="168" customFormat="1" x14ac:dyDescent="0.25">
      <c r="A22" s="98" t="str">
        <f>'Resultater - Vestdanmark'!A22</f>
        <v>Skovproduktion</v>
      </c>
      <c r="B22" s="98" t="str">
        <f>'Resultater - Vestdanmark'!B22</f>
        <v/>
      </c>
      <c r="C22" s="98" t="str">
        <f>'Resultater - Vestdanmark'!C22</f>
        <v>Skovtype1</v>
      </c>
      <c r="D22" s="98" t="str">
        <f>'Resultater - Vestdanmark'!D22</f>
        <v>Areal-skovtype1-20</v>
      </c>
      <c r="E22" s="98" t="str">
        <f>'Resultater - Vestdanmark'!E22</f>
        <v>Hektar</v>
      </c>
      <c r="F22" s="98" t="str">
        <f>'Resultater - Vestdanmark'!F22</f>
        <v>CO2 - HWP</v>
      </c>
      <c r="G22" s="98" t="str">
        <f>'Resultater - Vestdanmark'!G22</f>
        <v>t CO2-ækvivalenter</v>
      </c>
      <c r="H22" s="275">
        <f ca="1">'Resultater - Vestdanmark'!H22+'Resultater - Østdanmark'!H22</f>
        <v>0</v>
      </c>
      <c r="I22" s="276">
        <f ca="1">'Resultater - Vestdanmark'!I22+'Resultater - Østdanmark'!I22</f>
        <v>0</v>
      </c>
      <c r="J22" s="277">
        <f ca="1">'Resultater - Vestdanmark'!J22+'Resultater - Østdanmark'!J22</f>
        <v>0</v>
      </c>
    </row>
    <row r="23" spans="1:10" x14ac:dyDescent="0.25">
      <c r="A23" s="98" t="str">
        <f>'Resultater - Vestdanmark'!A23</f>
        <v>Skovproduktion</v>
      </c>
      <c r="B23" s="98" t="str">
        <f>'Resultater - Vestdanmark'!B23</f>
        <v/>
      </c>
      <c r="C23" s="98" t="str">
        <f>'Resultater - Vestdanmark'!C23</f>
        <v>Skovtype1</v>
      </c>
      <c r="D23" s="98" t="str">
        <f>'Resultater - Vestdanmark'!D23</f>
        <v>Areal-skovtype1-30</v>
      </c>
      <c r="E23" s="98" t="str">
        <f>'Resultater - Vestdanmark'!E23</f>
        <v>Hektar</v>
      </c>
      <c r="F23" s="98" t="str">
        <f>'Resultater - Vestdanmark'!F23</f>
        <v>Træer</v>
      </c>
      <c r="G23" s="98" t="str">
        <f>'Resultater - Vestdanmark'!G23</f>
        <v>m3</v>
      </c>
      <c r="H23" s="275">
        <f ca="1">'Resultater - Vestdanmark'!H23+'Resultater - Østdanmark'!H23</f>
        <v>0</v>
      </c>
      <c r="I23" s="276">
        <f ca="1">'Resultater - Vestdanmark'!I23+'Resultater - Østdanmark'!I23</f>
        <v>0</v>
      </c>
      <c r="J23" s="277">
        <f ca="1">'Resultater - Vestdanmark'!J23+'Resultater - Østdanmark'!J23</f>
        <v>0</v>
      </c>
    </row>
    <row r="24" spans="1:10" x14ac:dyDescent="0.25">
      <c r="A24" s="98" t="str">
        <f>'Resultater - Vestdanmark'!A24</f>
        <v>Skovproduktion</v>
      </c>
      <c r="B24" s="98" t="str">
        <f>'Resultater - Vestdanmark'!B24</f>
        <v/>
      </c>
      <c r="C24" s="98" t="str">
        <f>'Resultater - Vestdanmark'!C24</f>
        <v>Skovtype1</v>
      </c>
      <c r="D24" s="98" t="str">
        <f>'Resultater - Vestdanmark'!D24</f>
        <v>Areal-skovtype1-30</v>
      </c>
      <c r="E24" s="98" t="str">
        <f>'Resultater - Vestdanmark'!E24</f>
        <v>Hektar</v>
      </c>
      <c r="F24" s="98" t="str">
        <f>'Resultater - Vestdanmark'!F24</f>
        <v>Træ til energi</v>
      </c>
      <c r="G24" s="98" t="str">
        <f>'Resultater - Vestdanmark'!G24</f>
        <v>m3</v>
      </c>
      <c r="H24" s="275">
        <f ca="1">'Resultater - Vestdanmark'!H24+'Resultater - Østdanmark'!H24</f>
        <v>0</v>
      </c>
      <c r="I24" s="276">
        <f ca="1">'Resultater - Vestdanmark'!I24+'Resultater - Østdanmark'!I24</f>
        <v>0</v>
      </c>
      <c r="J24" s="277">
        <f ca="1">'Resultater - Vestdanmark'!J24+'Resultater - Østdanmark'!J24</f>
        <v>0</v>
      </c>
    </row>
    <row r="25" spans="1:10" x14ac:dyDescent="0.25">
      <c r="A25" s="98" t="str">
        <f>'Resultater - Vestdanmark'!A25</f>
        <v>Skovproduktion</v>
      </c>
      <c r="B25" s="98" t="str">
        <f>'Resultater - Vestdanmark'!B25</f>
        <v/>
      </c>
      <c r="C25" s="98" t="str">
        <f>'Resultater - Vestdanmark'!C25</f>
        <v>Skovtype1</v>
      </c>
      <c r="D25" s="98" t="str">
        <f>'Resultater - Vestdanmark'!D25</f>
        <v>Areal-skovtype1-30</v>
      </c>
      <c r="E25" s="98" t="str">
        <f>'Resultater - Vestdanmark'!E25</f>
        <v>Hektar</v>
      </c>
      <c r="F25" s="98" t="str">
        <f>'Resultater - Vestdanmark'!F25</f>
        <v>CO2 - atmosfære</v>
      </c>
      <c r="G25" s="98" t="str">
        <f>'Resultater - Vestdanmark'!G25</f>
        <v>t CO2-ækvivalenter</v>
      </c>
      <c r="H25" s="275">
        <f ca="1">'Resultater - Vestdanmark'!H25+'Resultater - Østdanmark'!H25</f>
        <v>0</v>
      </c>
      <c r="I25" s="276">
        <f ca="1">'Resultater - Vestdanmark'!I25+'Resultater - Østdanmark'!I25</f>
        <v>0</v>
      </c>
      <c r="J25" s="277">
        <f ca="1">'Resultater - Vestdanmark'!J25+'Resultater - Østdanmark'!J25</f>
        <v>-649021.39073970111</v>
      </c>
    </row>
    <row r="26" spans="1:10" s="168" customFormat="1" x14ac:dyDescent="0.25">
      <c r="A26" s="98" t="str">
        <f>'Resultater - Vestdanmark'!A26</f>
        <v>Skovproduktion</v>
      </c>
      <c r="B26" s="98" t="str">
        <f>'Resultater - Vestdanmark'!B26</f>
        <v/>
      </c>
      <c r="C26" s="98" t="str">
        <f>'Resultater - Vestdanmark'!C26</f>
        <v>Skovtype1</v>
      </c>
      <c r="D26" s="98" t="str">
        <f>'Resultater - Vestdanmark'!D26</f>
        <v>Areal-skovtype1-30</v>
      </c>
      <c r="E26" s="98" t="str">
        <f>'Resultater - Vestdanmark'!E26</f>
        <v>Hektar</v>
      </c>
      <c r="F26" s="98" t="str">
        <f>'Resultater - Vestdanmark'!F26</f>
        <v>CO2 - HWP</v>
      </c>
      <c r="G26" s="98" t="str">
        <f>'Resultater - Vestdanmark'!G26</f>
        <v>t CO2-ækvivalenter</v>
      </c>
      <c r="H26" s="275">
        <f ca="1">'Resultater - Vestdanmark'!H26+'Resultater - Østdanmark'!H26</f>
        <v>0</v>
      </c>
      <c r="I26" s="276">
        <f ca="1">'Resultater - Vestdanmark'!I26+'Resultater - Østdanmark'!I26</f>
        <v>0</v>
      </c>
      <c r="J26" s="277">
        <f ca="1">'Resultater - Vestdanmark'!J26+'Resultater - Østdanmark'!J26</f>
        <v>0</v>
      </c>
    </row>
    <row r="27" spans="1:10" x14ac:dyDescent="0.25">
      <c r="A27" s="98" t="str">
        <f>'Resultater - Vestdanmark'!A27</f>
        <v>Skovproduktion</v>
      </c>
      <c r="B27" s="98" t="str">
        <f>'Resultater - Vestdanmark'!B27</f>
        <v/>
      </c>
      <c r="C27" s="98" t="str">
        <f>'Resultater - Vestdanmark'!C27</f>
        <v>Skovtype1</v>
      </c>
      <c r="D27" s="98" t="str">
        <f>'Resultater - Vestdanmark'!D27</f>
        <v>Areal-skovtype1-40</v>
      </c>
      <c r="E27" s="98" t="str">
        <f>'Resultater - Vestdanmark'!E27</f>
        <v>Hektar</v>
      </c>
      <c r="F27" s="98" t="str">
        <f>'Resultater - Vestdanmark'!F27</f>
        <v>Træer</v>
      </c>
      <c r="G27" s="98" t="str">
        <f>'Resultater - Vestdanmark'!G27</f>
        <v>m3</v>
      </c>
      <c r="H27" s="275">
        <f ca="1">'Resultater - Vestdanmark'!H27+'Resultater - Østdanmark'!H27</f>
        <v>0</v>
      </c>
      <c r="I27" s="276">
        <f ca="1">'Resultater - Vestdanmark'!I27+'Resultater - Østdanmark'!I27</f>
        <v>0</v>
      </c>
      <c r="J27" s="277">
        <f ca="1">'Resultater - Vestdanmark'!J27+'Resultater - Østdanmark'!J27</f>
        <v>8958.472821517822</v>
      </c>
    </row>
    <row r="28" spans="1:10" x14ac:dyDescent="0.25">
      <c r="A28" s="98" t="str">
        <f>'Resultater - Vestdanmark'!A28</f>
        <v>Skovproduktion</v>
      </c>
      <c r="B28" s="98" t="str">
        <f>'Resultater - Vestdanmark'!B28</f>
        <v/>
      </c>
      <c r="C28" s="98" t="str">
        <f>'Resultater - Vestdanmark'!C28</f>
        <v>Skovtype1</v>
      </c>
      <c r="D28" s="98" t="str">
        <f>'Resultater - Vestdanmark'!D28</f>
        <v>Areal-skovtype1-40</v>
      </c>
      <c r="E28" s="98" t="str">
        <f>'Resultater - Vestdanmark'!E28</f>
        <v>Hektar</v>
      </c>
      <c r="F28" s="98" t="str">
        <f>'Resultater - Vestdanmark'!F28</f>
        <v>Træ til energi</v>
      </c>
      <c r="G28" s="98" t="str">
        <f>'Resultater - Vestdanmark'!G28</f>
        <v>m3</v>
      </c>
      <c r="H28" s="275">
        <f ca="1">'Resultater - Vestdanmark'!H28+'Resultater - Østdanmark'!H28</f>
        <v>0</v>
      </c>
      <c r="I28" s="276">
        <f ca="1">'Resultater - Vestdanmark'!I28+'Resultater - Østdanmark'!I28</f>
        <v>0</v>
      </c>
      <c r="J28" s="277">
        <f ca="1">'Resultater - Vestdanmark'!J28+'Resultater - Østdanmark'!J28</f>
        <v>4679.7992351212506</v>
      </c>
    </row>
    <row r="29" spans="1:10" x14ac:dyDescent="0.25">
      <c r="A29" s="98" t="str">
        <f>'Resultater - Vestdanmark'!A29</f>
        <v>Skovproduktion</v>
      </c>
      <c r="B29" s="98" t="str">
        <f>'Resultater - Vestdanmark'!B29</f>
        <v/>
      </c>
      <c r="C29" s="98" t="str">
        <f>'Resultater - Vestdanmark'!C29</f>
        <v>Skovtype1</v>
      </c>
      <c r="D29" s="98" t="str">
        <f>'Resultater - Vestdanmark'!D29</f>
        <v>Areal-skovtype1-40</v>
      </c>
      <c r="E29" s="98" t="str">
        <f>'Resultater - Vestdanmark'!E29</f>
        <v>Hektar</v>
      </c>
      <c r="F29" s="98" t="str">
        <f>'Resultater - Vestdanmark'!F29</f>
        <v>CO2 - atmosfære</v>
      </c>
      <c r="G29" s="98" t="str">
        <f>'Resultater - Vestdanmark'!G29</f>
        <v>t CO2-ækvivalenter</v>
      </c>
      <c r="H29" s="275">
        <f ca="1">'Resultater - Vestdanmark'!H29+'Resultater - Østdanmark'!H29</f>
        <v>0</v>
      </c>
      <c r="I29" s="276">
        <f ca="1">'Resultater - Vestdanmark'!I29+'Resultater - Østdanmark'!I29</f>
        <v>0</v>
      </c>
      <c r="J29" s="277">
        <f ca="1">'Resultater - Vestdanmark'!J29+'Resultater - Østdanmark'!J29</f>
        <v>-68099.398779255367</v>
      </c>
    </row>
    <row r="30" spans="1:10" s="168" customFormat="1" x14ac:dyDescent="0.25">
      <c r="A30" s="98" t="str">
        <f>'Resultater - Vestdanmark'!A30</f>
        <v>Skovproduktion</v>
      </c>
      <c r="B30" s="98" t="str">
        <f>'Resultater - Vestdanmark'!B30</f>
        <v/>
      </c>
      <c r="C30" s="98" t="str">
        <f>'Resultater - Vestdanmark'!C30</f>
        <v>Skovtype1</v>
      </c>
      <c r="D30" s="98" t="str">
        <f>'Resultater - Vestdanmark'!D30</f>
        <v>Areal-skovtype1-40</v>
      </c>
      <c r="E30" s="98" t="str">
        <f>'Resultater - Vestdanmark'!E30</f>
        <v>Hektar</v>
      </c>
      <c r="F30" s="98" t="str">
        <f>'Resultater - Vestdanmark'!F30</f>
        <v>CO2 - HWP</v>
      </c>
      <c r="G30" s="98" t="str">
        <f>'Resultater - Vestdanmark'!G30</f>
        <v>t CO2-ækvivalenter</v>
      </c>
      <c r="H30" s="275">
        <f ca="1">'Resultater - Vestdanmark'!H30+'Resultater - Østdanmark'!H30</f>
        <v>0</v>
      </c>
      <c r="I30" s="276">
        <f ca="1">'Resultater - Vestdanmark'!I30+'Resultater - Østdanmark'!I30</f>
        <v>0</v>
      </c>
      <c r="J30" s="277">
        <f ca="1">'Resultater - Vestdanmark'!J30+'Resultater - Østdanmark'!J30</f>
        <v>-47816.920643851721</v>
      </c>
    </row>
    <row r="31" spans="1:10" x14ac:dyDescent="0.25">
      <c r="A31" s="98" t="str">
        <f>'Resultater - Vestdanmark'!A31</f>
        <v>Skovproduktion</v>
      </c>
      <c r="B31" s="98" t="str">
        <f>'Resultater - Vestdanmark'!B31</f>
        <v/>
      </c>
      <c r="C31" s="98" t="str">
        <f>'Resultater - Vestdanmark'!C31</f>
        <v>Skovtype2</v>
      </c>
      <c r="D31" s="98" t="str">
        <f>'Resultater - Vestdanmark'!D31</f>
        <v>Areal-skovtype2-10</v>
      </c>
      <c r="E31" s="98" t="str">
        <f>'Resultater - Vestdanmark'!E31</f>
        <v>Hektar</v>
      </c>
      <c r="F31" s="98" t="str">
        <f>'Resultater - Vestdanmark'!F31</f>
        <v>Træer</v>
      </c>
      <c r="G31" s="98" t="str">
        <f>'Resultater - Vestdanmark'!G31</f>
        <v>m3</v>
      </c>
      <c r="H31" s="275">
        <f ca="1">'Resultater - Vestdanmark'!H31+'Resultater - Østdanmark'!H31</f>
        <v>0</v>
      </c>
      <c r="I31" s="276">
        <f ca="1">'Resultater - Vestdanmark'!I31+'Resultater - Østdanmark'!I31</f>
        <v>0</v>
      </c>
      <c r="J31" s="277">
        <f ca="1">'Resultater - Vestdanmark'!J31+'Resultater - Østdanmark'!J31</f>
        <v>0</v>
      </c>
    </row>
    <row r="32" spans="1:10" x14ac:dyDescent="0.25">
      <c r="A32" s="98" t="str">
        <f>'Resultater - Vestdanmark'!A32</f>
        <v>Skovproduktion</v>
      </c>
      <c r="B32" s="98" t="str">
        <f>'Resultater - Vestdanmark'!B32</f>
        <v/>
      </c>
      <c r="C32" s="98" t="str">
        <f>'Resultater - Vestdanmark'!C32</f>
        <v>Skovtype2</v>
      </c>
      <c r="D32" s="98" t="str">
        <f>'Resultater - Vestdanmark'!D32</f>
        <v>Areal-skovtype2-10</v>
      </c>
      <c r="E32" s="98" t="str">
        <f>'Resultater - Vestdanmark'!E32</f>
        <v>Hektar</v>
      </c>
      <c r="F32" s="98" t="str">
        <f>'Resultater - Vestdanmark'!F32</f>
        <v>Træ til energi</v>
      </c>
      <c r="G32" s="98" t="str">
        <f>'Resultater - Vestdanmark'!G32</f>
        <v>m3</v>
      </c>
      <c r="H32" s="275">
        <f ca="1">'Resultater - Vestdanmark'!H32+'Resultater - Østdanmark'!H32</f>
        <v>0</v>
      </c>
      <c r="I32" s="276">
        <f ca="1">'Resultater - Vestdanmark'!I32+'Resultater - Østdanmark'!I32</f>
        <v>0</v>
      </c>
      <c r="J32" s="277">
        <f ca="1">'Resultater - Vestdanmark'!J32+'Resultater - Østdanmark'!J32</f>
        <v>0</v>
      </c>
    </row>
    <row r="33" spans="1:10" x14ac:dyDescent="0.25">
      <c r="A33" s="98" t="str">
        <f>'Resultater - Vestdanmark'!A33</f>
        <v>Skovproduktion</v>
      </c>
      <c r="B33" s="98" t="str">
        <f>'Resultater - Vestdanmark'!B33</f>
        <v/>
      </c>
      <c r="C33" s="98" t="str">
        <f>'Resultater - Vestdanmark'!C33</f>
        <v>Skovtype2</v>
      </c>
      <c r="D33" s="98" t="str">
        <f>'Resultater - Vestdanmark'!D33</f>
        <v>Areal-skovtype2-10</v>
      </c>
      <c r="E33" s="98" t="str">
        <f>'Resultater - Vestdanmark'!E33</f>
        <v>Hektar</v>
      </c>
      <c r="F33" s="98" t="str">
        <f>'Resultater - Vestdanmark'!F33</f>
        <v>CO2 - atmosfære</v>
      </c>
      <c r="G33" s="98" t="str">
        <f>'Resultater - Vestdanmark'!G33</f>
        <v>t CO2-ækvivalenter</v>
      </c>
      <c r="H33" s="275">
        <f ca="1">'Resultater - Vestdanmark'!H33+'Resultater - Østdanmark'!H33</f>
        <v>0</v>
      </c>
      <c r="I33" s="276">
        <f ca="1">'Resultater - Vestdanmark'!I33+'Resultater - Østdanmark'!I33</f>
        <v>0</v>
      </c>
      <c r="J33" s="277">
        <f ca="1">'Resultater - Vestdanmark'!J33+'Resultater - Østdanmark'!J33</f>
        <v>0</v>
      </c>
    </row>
    <row r="34" spans="1:10" s="168" customFormat="1" x14ac:dyDescent="0.25">
      <c r="A34" s="98" t="str">
        <f>'Resultater - Vestdanmark'!A34</f>
        <v>Skovproduktion</v>
      </c>
      <c r="B34" s="98" t="str">
        <f>'Resultater - Vestdanmark'!B34</f>
        <v/>
      </c>
      <c r="C34" s="98" t="str">
        <f>'Resultater - Vestdanmark'!C34</f>
        <v>Skovtype2</v>
      </c>
      <c r="D34" s="98" t="str">
        <f>'Resultater - Vestdanmark'!D34</f>
        <v>Areal-skovtype2-10</v>
      </c>
      <c r="E34" s="98" t="str">
        <f>'Resultater - Vestdanmark'!E34</f>
        <v>Hektar</v>
      </c>
      <c r="F34" s="98" t="str">
        <f>'Resultater - Vestdanmark'!F34</f>
        <v>CO2 - HWP</v>
      </c>
      <c r="G34" s="98" t="str">
        <f>'Resultater - Vestdanmark'!G34</f>
        <v>t CO2-ækvivalenter</v>
      </c>
      <c r="H34" s="275">
        <f ca="1">'Resultater - Vestdanmark'!H34+'Resultater - Østdanmark'!H34</f>
        <v>0</v>
      </c>
      <c r="I34" s="276">
        <f ca="1">'Resultater - Vestdanmark'!I34+'Resultater - Østdanmark'!I34</f>
        <v>0</v>
      </c>
      <c r="J34" s="277">
        <f ca="1">'Resultater - Vestdanmark'!J34+'Resultater - Østdanmark'!J34</f>
        <v>0</v>
      </c>
    </row>
    <row r="35" spans="1:10" x14ac:dyDescent="0.25">
      <c r="A35" s="98" t="str">
        <f>'Resultater - Vestdanmark'!A35</f>
        <v>Skovproduktion</v>
      </c>
      <c r="B35" s="98" t="str">
        <f>'Resultater - Vestdanmark'!B35</f>
        <v/>
      </c>
      <c r="C35" s="98" t="str">
        <f>'Resultater - Vestdanmark'!C35</f>
        <v>Skovtype2</v>
      </c>
      <c r="D35" s="98" t="str">
        <f>'Resultater - Vestdanmark'!D35</f>
        <v>Areal-skovtype2-20</v>
      </c>
      <c r="E35" s="98" t="str">
        <f>'Resultater - Vestdanmark'!E35</f>
        <v>Hektar</v>
      </c>
      <c r="F35" s="98" t="str">
        <f>'Resultater - Vestdanmark'!F35</f>
        <v>Træer</v>
      </c>
      <c r="G35" s="98" t="str">
        <f>'Resultater - Vestdanmark'!G35</f>
        <v>m3</v>
      </c>
      <c r="H35" s="275">
        <f ca="1">'Resultater - Vestdanmark'!H35+'Resultater - Østdanmark'!H35</f>
        <v>0</v>
      </c>
      <c r="I35" s="276">
        <f ca="1">'Resultater - Vestdanmark'!I35+'Resultater - Østdanmark'!I35</f>
        <v>0</v>
      </c>
      <c r="J35" s="277">
        <f ca="1">'Resultater - Vestdanmark'!J35+'Resultater - Østdanmark'!J35</f>
        <v>0</v>
      </c>
    </row>
    <row r="36" spans="1:10" x14ac:dyDescent="0.25">
      <c r="A36" s="98" t="str">
        <f>'Resultater - Vestdanmark'!A36</f>
        <v>Skovproduktion</v>
      </c>
      <c r="B36" s="98" t="str">
        <f>'Resultater - Vestdanmark'!B36</f>
        <v/>
      </c>
      <c r="C36" s="98" t="str">
        <f>'Resultater - Vestdanmark'!C36</f>
        <v>Skovtype2</v>
      </c>
      <c r="D36" s="98" t="str">
        <f>'Resultater - Vestdanmark'!D36</f>
        <v>Areal-skovtype2-20</v>
      </c>
      <c r="E36" s="98" t="str">
        <f>'Resultater - Vestdanmark'!E36</f>
        <v>Hektar</v>
      </c>
      <c r="F36" s="98" t="str">
        <f>'Resultater - Vestdanmark'!F36</f>
        <v>Træ til energi</v>
      </c>
      <c r="G36" s="98" t="str">
        <f>'Resultater - Vestdanmark'!G36</f>
        <v>m3</v>
      </c>
      <c r="H36" s="275">
        <f ca="1">'Resultater - Vestdanmark'!H36+'Resultater - Østdanmark'!H36</f>
        <v>0</v>
      </c>
      <c r="I36" s="276">
        <f ca="1">'Resultater - Vestdanmark'!I36+'Resultater - Østdanmark'!I36</f>
        <v>0</v>
      </c>
      <c r="J36" s="277">
        <f ca="1">'Resultater - Vestdanmark'!J36+'Resultater - Østdanmark'!J36</f>
        <v>0</v>
      </c>
    </row>
    <row r="37" spans="1:10" x14ac:dyDescent="0.25">
      <c r="A37" s="98" t="str">
        <f>'Resultater - Vestdanmark'!A37</f>
        <v>Skovproduktion</v>
      </c>
      <c r="B37" s="98" t="str">
        <f>'Resultater - Vestdanmark'!B37</f>
        <v/>
      </c>
      <c r="C37" s="98" t="str">
        <f>'Resultater - Vestdanmark'!C37</f>
        <v>Skovtype2</v>
      </c>
      <c r="D37" s="98" t="str">
        <f>'Resultater - Vestdanmark'!D37</f>
        <v>Areal-skovtype2-20</v>
      </c>
      <c r="E37" s="98" t="str">
        <f>'Resultater - Vestdanmark'!E37</f>
        <v>Hektar</v>
      </c>
      <c r="F37" s="98" t="str">
        <f>'Resultater - Vestdanmark'!F37</f>
        <v>CO2 - atmosfære</v>
      </c>
      <c r="G37" s="98" t="str">
        <f>'Resultater - Vestdanmark'!G37</f>
        <v>t CO2-ækvivalenter</v>
      </c>
      <c r="H37" s="275">
        <f ca="1">'Resultater - Vestdanmark'!H37+'Resultater - Østdanmark'!H37</f>
        <v>0</v>
      </c>
      <c r="I37" s="276">
        <f ca="1">'Resultater - Vestdanmark'!I37+'Resultater - Østdanmark'!I37</f>
        <v>0</v>
      </c>
      <c r="J37" s="277">
        <f ca="1">'Resultater - Vestdanmark'!J37+'Resultater - Østdanmark'!J37</f>
        <v>0</v>
      </c>
    </row>
    <row r="38" spans="1:10" s="168" customFormat="1" x14ac:dyDescent="0.25">
      <c r="A38" s="98" t="str">
        <f>'Resultater - Vestdanmark'!A38</f>
        <v>Skovproduktion</v>
      </c>
      <c r="B38" s="98" t="str">
        <f>'Resultater - Vestdanmark'!B38</f>
        <v/>
      </c>
      <c r="C38" s="98" t="str">
        <f>'Resultater - Vestdanmark'!C38</f>
        <v>Skovtype2</v>
      </c>
      <c r="D38" s="98" t="str">
        <f>'Resultater - Vestdanmark'!D38</f>
        <v>Areal-skovtype2-20</v>
      </c>
      <c r="E38" s="98" t="str">
        <f>'Resultater - Vestdanmark'!E38</f>
        <v>Hektar</v>
      </c>
      <c r="F38" s="98" t="str">
        <f>'Resultater - Vestdanmark'!F38</f>
        <v>CO2 - HWP</v>
      </c>
      <c r="G38" s="98" t="str">
        <f>'Resultater - Vestdanmark'!G38</f>
        <v>t CO2-ækvivalenter</v>
      </c>
      <c r="H38" s="275">
        <f ca="1">'Resultater - Vestdanmark'!H38+'Resultater - Østdanmark'!H38</f>
        <v>0</v>
      </c>
      <c r="I38" s="276">
        <f ca="1">'Resultater - Vestdanmark'!I38+'Resultater - Østdanmark'!I38</f>
        <v>0</v>
      </c>
      <c r="J38" s="277">
        <f ca="1">'Resultater - Vestdanmark'!J38+'Resultater - Østdanmark'!J38</f>
        <v>0</v>
      </c>
    </row>
    <row r="39" spans="1:10" x14ac:dyDescent="0.25">
      <c r="A39" s="98" t="str">
        <f>'Resultater - Vestdanmark'!A39</f>
        <v>Skovproduktion</v>
      </c>
      <c r="B39" s="98" t="str">
        <f>'Resultater - Vestdanmark'!B39</f>
        <v/>
      </c>
      <c r="C39" s="98" t="str">
        <f>'Resultater - Vestdanmark'!C39</f>
        <v>Skovtype2</v>
      </c>
      <c r="D39" s="98" t="str">
        <f>'Resultater - Vestdanmark'!D39</f>
        <v>Areal-skovtype2-30</v>
      </c>
      <c r="E39" s="98" t="str">
        <f>'Resultater - Vestdanmark'!E39</f>
        <v>Hektar</v>
      </c>
      <c r="F39" s="98" t="str">
        <f>'Resultater - Vestdanmark'!F39</f>
        <v>Træer</v>
      </c>
      <c r="G39" s="98" t="str">
        <f>'Resultater - Vestdanmark'!G39</f>
        <v>m3</v>
      </c>
      <c r="H39" s="275">
        <f ca="1">'Resultater - Vestdanmark'!H39+'Resultater - Østdanmark'!H39</f>
        <v>0</v>
      </c>
      <c r="I39" s="276">
        <f ca="1">'Resultater - Vestdanmark'!I39+'Resultater - Østdanmark'!I39</f>
        <v>0</v>
      </c>
      <c r="J39" s="277">
        <f ca="1">'Resultater - Vestdanmark'!J39+'Resultater - Østdanmark'!J39</f>
        <v>0</v>
      </c>
    </row>
    <row r="40" spans="1:10" x14ac:dyDescent="0.25">
      <c r="A40" s="98" t="str">
        <f>'Resultater - Vestdanmark'!A40</f>
        <v>Skovproduktion</v>
      </c>
      <c r="B40" s="98" t="str">
        <f>'Resultater - Vestdanmark'!B40</f>
        <v/>
      </c>
      <c r="C40" s="98" t="str">
        <f>'Resultater - Vestdanmark'!C40</f>
        <v>Skovtype2</v>
      </c>
      <c r="D40" s="98" t="str">
        <f>'Resultater - Vestdanmark'!D40</f>
        <v>Areal-skovtype2-30</v>
      </c>
      <c r="E40" s="98" t="str">
        <f>'Resultater - Vestdanmark'!E40</f>
        <v>Hektar</v>
      </c>
      <c r="F40" s="98" t="str">
        <f>'Resultater - Vestdanmark'!F40</f>
        <v>Træ til energi</v>
      </c>
      <c r="G40" s="98" t="str">
        <f>'Resultater - Vestdanmark'!G40</f>
        <v>m3</v>
      </c>
      <c r="H40" s="275">
        <f ca="1">'Resultater - Vestdanmark'!H40+'Resultater - Østdanmark'!H40</f>
        <v>0</v>
      </c>
      <c r="I40" s="276">
        <f ca="1">'Resultater - Vestdanmark'!I40+'Resultater - Østdanmark'!I40</f>
        <v>0</v>
      </c>
      <c r="J40" s="277">
        <f ca="1">'Resultater - Vestdanmark'!J40+'Resultater - Østdanmark'!J40</f>
        <v>0</v>
      </c>
    </row>
    <row r="41" spans="1:10" x14ac:dyDescent="0.25">
      <c r="A41" s="98" t="str">
        <f>'Resultater - Vestdanmark'!A41</f>
        <v>Skovproduktion</v>
      </c>
      <c r="B41" s="98" t="str">
        <f>'Resultater - Vestdanmark'!B41</f>
        <v/>
      </c>
      <c r="C41" s="98" t="str">
        <f>'Resultater - Vestdanmark'!C41</f>
        <v>Skovtype2</v>
      </c>
      <c r="D41" s="98" t="str">
        <f>'Resultater - Vestdanmark'!D41</f>
        <v>Areal-skovtype2-30</v>
      </c>
      <c r="E41" s="98" t="str">
        <f>'Resultater - Vestdanmark'!E41</f>
        <v>Hektar</v>
      </c>
      <c r="F41" s="98" t="str">
        <f>'Resultater - Vestdanmark'!F41</f>
        <v>CO2 - atmosfære</v>
      </c>
      <c r="G41" s="98" t="str">
        <f>'Resultater - Vestdanmark'!G41</f>
        <v>t CO2-ækvivalenter</v>
      </c>
      <c r="H41" s="275">
        <f ca="1">'Resultater - Vestdanmark'!H41+'Resultater - Østdanmark'!H41</f>
        <v>0</v>
      </c>
      <c r="I41" s="276">
        <f ca="1">'Resultater - Vestdanmark'!I41+'Resultater - Østdanmark'!I41</f>
        <v>0</v>
      </c>
      <c r="J41" s="277">
        <f ca="1">'Resultater - Vestdanmark'!J41+'Resultater - Østdanmark'!J41</f>
        <v>0</v>
      </c>
    </row>
    <row r="42" spans="1:10" s="168" customFormat="1" x14ac:dyDescent="0.25">
      <c r="A42" s="98" t="str">
        <f>'Resultater - Vestdanmark'!A42</f>
        <v>Skovproduktion</v>
      </c>
      <c r="B42" s="98" t="str">
        <f>'Resultater - Vestdanmark'!B42</f>
        <v/>
      </c>
      <c r="C42" s="98" t="str">
        <f>'Resultater - Vestdanmark'!C42</f>
        <v>Skovtype2</v>
      </c>
      <c r="D42" s="98" t="str">
        <f>'Resultater - Vestdanmark'!D42</f>
        <v>Areal-skovtype2-30</v>
      </c>
      <c r="E42" s="98" t="str">
        <f>'Resultater - Vestdanmark'!E42</f>
        <v>Hektar</v>
      </c>
      <c r="F42" s="98" t="str">
        <f>'Resultater - Vestdanmark'!F42</f>
        <v>CO2 - HWP</v>
      </c>
      <c r="G42" s="98" t="str">
        <f>'Resultater - Vestdanmark'!G42</f>
        <v>t CO2-ækvivalenter</v>
      </c>
      <c r="H42" s="275">
        <f ca="1">'Resultater - Vestdanmark'!H42+'Resultater - Østdanmark'!H42</f>
        <v>0</v>
      </c>
      <c r="I42" s="276">
        <f ca="1">'Resultater - Vestdanmark'!I42+'Resultater - Østdanmark'!I42</f>
        <v>0</v>
      </c>
      <c r="J42" s="277">
        <f ca="1">'Resultater - Vestdanmark'!J42+'Resultater - Østdanmark'!J42</f>
        <v>0</v>
      </c>
    </row>
    <row r="43" spans="1:10" x14ac:dyDescent="0.25">
      <c r="A43" s="98" t="str">
        <f>'Resultater - Vestdanmark'!A43</f>
        <v>Skovproduktion</v>
      </c>
      <c r="B43" s="98" t="str">
        <f>'Resultater - Vestdanmark'!B43</f>
        <v/>
      </c>
      <c r="C43" s="98" t="str">
        <f>'Resultater - Vestdanmark'!C43</f>
        <v>Skovtype2</v>
      </c>
      <c r="D43" s="98" t="str">
        <f>'Resultater - Vestdanmark'!D43</f>
        <v>Areal-skovtype2-40</v>
      </c>
      <c r="E43" s="98" t="str">
        <f>'Resultater - Vestdanmark'!E43</f>
        <v>Hektar</v>
      </c>
      <c r="F43" s="98" t="str">
        <f>'Resultater - Vestdanmark'!F43</f>
        <v>Træer</v>
      </c>
      <c r="G43" s="98" t="str">
        <f>'Resultater - Vestdanmark'!G43</f>
        <v>m3</v>
      </c>
      <c r="H43" s="275">
        <f ca="1">'Resultater - Vestdanmark'!H43+'Resultater - Østdanmark'!H43</f>
        <v>0</v>
      </c>
      <c r="I43" s="276">
        <f ca="1">'Resultater - Vestdanmark'!I43+'Resultater - Østdanmark'!I43</f>
        <v>0</v>
      </c>
      <c r="J43" s="277">
        <f ca="1">'Resultater - Vestdanmark'!J43+'Resultater - Østdanmark'!J43</f>
        <v>0</v>
      </c>
    </row>
    <row r="44" spans="1:10" x14ac:dyDescent="0.25">
      <c r="A44" s="98" t="str">
        <f>'Resultater - Vestdanmark'!A44</f>
        <v>Skovproduktion</v>
      </c>
      <c r="B44" s="98" t="str">
        <f>'Resultater - Vestdanmark'!B44</f>
        <v/>
      </c>
      <c r="C44" s="98" t="str">
        <f>'Resultater - Vestdanmark'!C44</f>
        <v>Skovtype2</v>
      </c>
      <c r="D44" s="98" t="str">
        <f>'Resultater - Vestdanmark'!D44</f>
        <v>Areal-skovtype2-40</v>
      </c>
      <c r="E44" s="98" t="str">
        <f>'Resultater - Vestdanmark'!E44</f>
        <v>Hektar</v>
      </c>
      <c r="F44" s="98" t="str">
        <f>'Resultater - Vestdanmark'!F44</f>
        <v>Træ til energi</v>
      </c>
      <c r="G44" s="98" t="str">
        <f>'Resultater - Vestdanmark'!G44</f>
        <v>m3</v>
      </c>
      <c r="H44" s="275">
        <f ca="1">'Resultater - Vestdanmark'!H44+'Resultater - Østdanmark'!H44</f>
        <v>0</v>
      </c>
      <c r="I44" s="276">
        <f ca="1">'Resultater - Vestdanmark'!I44+'Resultater - Østdanmark'!I44</f>
        <v>0</v>
      </c>
      <c r="J44" s="277">
        <f ca="1">'Resultater - Vestdanmark'!J44+'Resultater - Østdanmark'!J44</f>
        <v>0</v>
      </c>
    </row>
    <row r="45" spans="1:10" x14ac:dyDescent="0.25">
      <c r="A45" s="98" t="str">
        <f>'Resultater - Vestdanmark'!A45</f>
        <v>Skovproduktion</v>
      </c>
      <c r="B45" s="98" t="str">
        <f>'Resultater - Vestdanmark'!B45</f>
        <v/>
      </c>
      <c r="C45" s="98" t="str">
        <f>'Resultater - Vestdanmark'!C45</f>
        <v>Skovtype2</v>
      </c>
      <c r="D45" s="98" t="str">
        <f>'Resultater - Vestdanmark'!D45</f>
        <v>Areal-skovtype2-40</v>
      </c>
      <c r="E45" s="98" t="str">
        <f>'Resultater - Vestdanmark'!E45</f>
        <v>Hektar</v>
      </c>
      <c r="F45" s="98" t="str">
        <f>'Resultater - Vestdanmark'!F45</f>
        <v>CO2 - atmosfære</v>
      </c>
      <c r="G45" s="98" t="str">
        <f>'Resultater - Vestdanmark'!G45</f>
        <v>t CO2-ækvivalenter</v>
      </c>
      <c r="H45" s="275">
        <f ca="1">'Resultater - Vestdanmark'!H45+'Resultater - Østdanmark'!H45</f>
        <v>0</v>
      </c>
      <c r="I45" s="276">
        <f ca="1">'Resultater - Vestdanmark'!I45+'Resultater - Østdanmark'!I45</f>
        <v>0</v>
      </c>
      <c r="J45" s="277">
        <f ca="1">'Resultater - Vestdanmark'!J45+'Resultater - Østdanmark'!J45</f>
        <v>0</v>
      </c>
    </row>
    <row r="46" spans="1:10" s="168" customFormat="1" x14ac:dyDescent="0.25">
      <c r="A46" s="98" t="str">
        <f>'Resultater - Vestdanmark'!A46</f>
        <v>Skovproduktion</v>
      </c>
      <c r="B46" s="98" t="str">
        <f>'Resultater - Vestdanmark'!B46</f>
        <v/>
      </c>
      <c r="C46" s="98" t="str">
        <f>'Resultater - Vestdanmark'!C46</f>
        <v>Skovtype2</v>
      </c>
      <c r="D46" s="98" t="str">
        <f>'Resultater - Vestdanmark'!D46</f>
        <v>Areal-skovtype2-40</v>
      </c>
      <c r="E46" s="98" t="str">
        <f>'Resultater - Vestdanmark'!E46</f>
        <v>Hektar</v>
      </c>
      <c r="F46" s="98" t="str">
        <f>'Resultater - Vestdanmark'!F46</f>
        <v>CO2 - HWP</v>
      </c>
      <c r="G46" s="98" t="str">
        <f>'Resultater - Vestdanmark'!G46</f>
        <v>t CO2-ækvivalenter</v>
      </c>
      <c r="H46" s="275">
        <f ca="1">'Resultater - Vestdanmark'!H46+'Resultater - Østdanmark'!H46</f>
        <v>0</v>
      </c>
      <c r="I46" s="276">
        <f ca="1">'Resultater - Vestdanmark'!I46+'Resultater - Østdanmark'!I46</f>
        <v>0</v>
      </c>
      <c r="J46" s="277">
        <f ca="1">'Resultater - Vestdanmark'!J46+'Resultater - Østdanmark'!J46</f>
        <v>0</v>
      </c>
    </row>
    <row r="47" spans="1:10" x14ac:dyDescent="0.25">
      <c r="A47" s="98" t="str">
        <f>'Resultater - Vestdanmark'!A47</f>
        <v>Skovproduktion</v>
      </c>
      <c r="B47" s="98" t="str">
        <f>'Resultater - Vestdanmark'!B47</f>
        <v/>
      </c>
      <c r="C47" s="98" t="str">
        <f>'Resultater - Vestdanmark'!C47</f>
        <v>Skovtype3</v>
      </c>
      <c r="D47" s="98" t="str">
        <f>'Resultater - Vestdanmark'!D47</f>
        <v>Areal-skovtype3-10</v>
      </c>
      <c r="E47" s="98" t="str">
        <f>'Resultater - Vestdanmark'!E47</f>
        <v>Hektar</v>
      </c>
      <c r="F47" s="98" t="str">
        <f>'Resultater - Vestdanmark'!F47</f>
        <v>Træer</v>
      </c>
      <c r="G47" s="98" t="str">
        <f>'Resultater - Vestdanmark'!G47</f>
        <v>m3</v>
      </c>
      <c r="H47" s="275">
        <f ca="1">'Resultater - Vestdanmark'!H47+'Resultater - Østdanmark'!H47</f>
        <v>0</v>
      </c>
      <c r="I47" s="276">
        <f ca="1">'Resultater - Vestdanmark'!I47+'Resultater - Østdanmark'!I47</f>
        <v>0</v>
      </c>
      <c r="J47" s="277">
        <f ca="1">'Resultater - Vestdanmark'!J47+'Resultater - Østdanmark'!J47</f>
        <v>0</v>
      </c>
    </row>
    <row r="48" spans="1:10" x14ac:dyDescent="0.25">
      <c r="A48" s="98" t="str">
        <f>'Resultater - Vestdanmark'!A48</f>
        <v>Skovproduktion</v>
      </c>
      <c r="B48" s="98" t="str">
        <f>'Resultater - Vestdanmark'!B48</f>
        <v/>
      </c>
      <c r="C48" s="98" t="str">
        <f>'Resultater - Vestdanmark'!C48</f>
        <v>Skovtype3</v>
      </c>
      <c r="D48" s="98" t="str">
        <f>'Resultater - Vestdanmark'!D48</f>
        <v>Areal-skovtype3-10</v>
      </c>
      <c r="E48" s="98" t="str">
        <f>'Resultater - Vestdanmark'!E48</f>
        <v>Hektar</v>
      </c>
      <c r="F48" s="98" t="str">
        <f>'Resultater - Vestdanmark'!F48</f>
        <v>Træ til energi</v>
      </c>
      <c r="G48" s="98" t="str">
        <f>'Resultater - Vestdanmark'!G48</f>
        <v>m3</v>
      </c>
      <c r="H48" s="275">
        <f ca="1">'Resultater - Vestdanmark'!H48+'Resultater - Østdanmark'!H48</f>
        <v>0</v>
      </c>
      <c r="I48" s="276">
        <f ca="1">'Resultater - Vestdanmark'!I48+'Resultater - Østdanmark'!I48</f>
        <v>0</v>
      </c>
      <c r="J48" s="277">
        <f ca="1">'Resultater - Vestdanmark'!J48+'Resultater - Østdanmark'!J48</f>
        <v>0</v>
      </c>
    </row>
    <row r="49" spans="1:10" x14ac:dyDescent="0.25">
      <c r="A49" s="98" t="str">
        <f>'Resultater - Vestdanmark'!A49</f>
        <v>Skovproduktion</v>
      </c>
      <c r="B49" s="98" t="str">
        <f>'Resultater - Vestdanmark'!B49</f>
        <v/>
      </c>
      <c r="C49" s="98" t="str">
        <f>'Resultater - Vestdanmark'!C49</f>
        <v>Skovtype3</v>
      </c>
      <c r="D49" s="98" t="str">
        <f>'Resultater - Vestdanmark'!D49</f>
        <v>Areal-skovtype3-10</v>
      </c>
      <c r="E49" s="98" t="str">
        <f>'Resultater - Vestdanmark'!E49</f>
        <v>Hektar</v>
      </c>
      <c r="F49" s="98" t="str">
        <f>'Resultater - Vestdanmark'!F49</f>
        <v>CO2 - atmosfære</v>
      </c>
      <c r="G49" s="98" t="str">
        <f>'Resultater - Vestdanmark'!G49</f>
        <v>t CO2-ækvivalenter</v>
      </c>
      <c r="H49" s="275">
        <f ca="1">'Resultater - Vestdanmark'!H49+'Resultater - Østdanmark'!H49</f>
        <v>0</v>
      </c>
      <c r="I49" s="276">
        <f ca="1">'Resultater - Vestdanmark'!I49+'Resultater - Østdanmark'!I49</f>
        <v>0</v>
      </c>
      <c r="J49" s="277">
        <f ca="1">'Resultater - Vestdanmark'!J49+'Resultater - Østdanmark'!J49</f>
        <v>0</v>
      </c>
    </row>
    <row r="50" spans="1:10" s="168" customFormat="1" x14ac:dyDescent="0.25">
      <c r="A50" s="98" t="str">
        <f>'Resultater - Vestdanmark'!A50</f>
        <v>Skovproduktion</v>
      </c>
      <c r="B50" s="98" t="str">
        <f>'Resultater - Vestdanmark'!B50</f>
        <v/>
      </c>
      <c r="C50" s="98" t="str">
        <f>'Resultater - Vestdanmark'!C50</f>
        <v>Skovtype3</v>
      </c>
      <c r="D50" s="98" t="str">
        <f>'Resultater - Vestdanmark'!D50</f>
        <v>Areal-skovtype3-10</v>
      </c>
      <c r="E50" s="98" t="str">
        <f>'Resultater - Vestdanmark'!E50</f>
        <v>Hektar</v>
      </c>
      <c r="F50" s="98" t="str">
        <f>'Resultater - Vestdanmark'!F50</f>
        <v>CO2 - HWP</v>
      </c>
      <c r="G50" s="98" t="str">
        <f>'Resultater - Vestdanmark'!G50</f>
        <v>t CO2-ækvivalenter</v>
      </c>
      <c r="H50" s="275">
        <f ca="1">'Resultater - Vestdanmark'!H50+'Resultater - Østdanmark'!H50</f>
        <v>0</v>
      </c>
      <c r="I50" s="276">
        <f ca="1">'Resultater - Vestdanmark'!I50+'Resultater - Østdanmark'!I50</f>
        <v>0</v>
      </c>
      <c r="J50" s="277">
        <f ca="1">'Resultater - Vestdanmark'!J50+'Resultater - Østdanmark'!J50</f>
        <v>0</v>
      </c>
    </row>
    <row r="51" spans="1:10" x14ac:dyDescent="0.25">
      <c r="A51" s="98" t="str">
        <f>'Resultater - Vestdanmark'!A51</f>
        <v>Skovproduktion</v>
      </c>
      <c r="B51" s="98" t="str">
        <f>'Resultater - Vestdanmark'!B51</f>
        <v/>
      </c>
      <c r="C51" s="98" t="str">
        <f>'Resultater - Vestdanmark'!C51</f>
        <v>Skovtype3</v>
      </c>
      <c r="D51" s="98" t="str">
        <f>'Resultater - Vestdanmark'!D51</f>
        <v>Areal-skovtype3-20</v>
      </c>
      <c r="E51" s="98" t="str">
        <f>'Resultater - Vestdanmark'!E51</f>
        <v>Hektar</v>
      </c>
      <c r="F51" s="98" t="str">
        <f>'Resultater - Vestdanmark'!F51</f>
        <v>Træer</v>
      </c>
      <c r="G51" s="98" t="str">
        <f>'Resultater - Vestdanmark'!G51</f>
        <v>m3</v>
      </c>
      <c r="H51" s="275">
        <f ca="1">'Resultater - Vestdanmark'!H51+'Resultater - Østdanmark'!H51</f>
        <v>0</v>
      </c>
      <c r="I51" s="276">
        <f ca="1">'Resultater - Vestdanmark'!I51+'Resultater - Østdanmark'!I51</f>
        <v>0</v>
      </c>
      <c r="J51" s="277">
        <f ca="1">'Resultater - Vestdanmark'!J51+'Resultater - Østdanmark'!J51</f>
        <v>0</v>
      </c>
    </row>
    <row r="52" spans="1:10" x14ac:dyDescent="0.25">
      <c r="A52" s="98" t="str">
        <f>'Resultater - Vestdanmark'!A52</f>
        <v>Skovproduktion</v>
      </c>
      <c r="B52" s="98" t="str">
        <f>'Resultater - Vestdanmark'!B52</f>
        <v/>
      </c>
      <c r="C52" s="98" t="str">
        <f>'Resultater - Vestdanmark'!C52</f>
        <v>Skovtype3</v>
      </c>
      <c r="D52" s="98" t="str">
        <f>'Resultater - Vestdanmark'!D52</f>
        <v>Areal-skovtype3-20</v>
      </c>
      <c r="E52" s="98" t="str">
        <f>'Resultater - Vestdanmark'!E52</f>
        <v>Hektar</v>
      </c>
      <c r="F52" s="98" t="str">
        <f>'Resultater - Vestdanmark'!F52</f>
        <v>Træ til energi</v>
      </c>
      <c r="G52" s="98" t="str">
        <f>'Resultater - Vestdanmark'!G52</f>
        <v>m3</v>
      </c>
      <c r="H52" s="275">
        <f ca="1">'Resultater - Vestdanmark'!H52+'Resultater - Østdanmark'!H52</f>
        <v>0</v>
      </c>
      <c r="I52" s="276">
        <f ca="1">'Resultater - Vestdanmark'!I52+'Resultater - Østdanmark'!I52</f>
        <v>0</v>
      </c>
      <c r="J52" s="277">
        <f ca="1">'Resultater - Vestdanmark'!J52+'Resultater - Østdanmark'!J52</f>
        <v>0</v>
      </c>
    </row>
    <row r="53" spans="1:10" x14ac:dyDescent="0.25">
      <c r="A53" s="98" t="str">
        <f>'Resultater - Vestdanmark'!A53</f>
        <v>Skovproduktion</v>
      </c>
      <c r="B53" s="98" t="str">
        <f>'Resultater - Vestdanmark'!B53</f>
        <v/>
      </c>
      <c r="C53" s="98" t="str">
        <f>'Resultater - Vestdanmark'!C53</f>
        <v>Skovtype3</v>
      </c>
      <c r="D53" s="98" t="str">
        <f>'Resultater - Vestdanmark'!D53</f>
        <v>Areal-skovtype3-20</v>
      </c>
      <c r="E53" s="98" t="str">
        <f>'Resultater - Vestdanmark'!E53</f>
        <v>Hektar</v>
      </c>
      <c r="F53" s="98" t="str">
        <f>'Resultater - Vestdanmark'!F53</f>
        <v>CO2 - atmosfære</v>
      </c>
      <c r="G53" s="98" t="str">
        <f>'Resultater - Vestdanmark'!G53</f>
        <v>t CO2-ækvivalenter</v>
      </c>
      <c r="H53" s="275">
        <f ca="1">'Resultater - Vestdanmark'!H53+'Resultater - Østdanmark'!H53</f>
        <v>0</v>
      </c>
      <c r="I53" s="276">
        <f ca="1">'Resultater - Vestdanmark'!I53+'Resultater - Østdanmark'!I53</f>
        <v>0</v>
      </c>
      <c r="J53" s="277">
        <f ca="1">'Resultater - Vestdanmark'!J53+'Resultater - Østdanmark'!J53</f>
        <v>0</v>
      </c>
    </row>
    <row r="54" spans="1:10" s="168" customFormat="1" x14ac:dyDescent="0.25">
      <c r="A54" s="98" t="str">
        <f>'Resultater - Vestdanmark'!A54</f>
        <v>Skovproduktion</v>
      </c>
      <c r="B54" s="98" t="str">
        <f>'Resultater - Vestdanmark'!B54</f>
        <v/>
      </c>
      <c r="C54" s="98" t="str">
        <f>'Resultater - Vestdanmark'!C54</f>
        <v>Skovtype3</v>
      </c>
      <c r="D54" s="98" t="str">
        <f>'Resultater - Vestdanmark'!D54</f>
        <v>Areal-skovtype3-20</v>
      </c>
      <c r="E54" s="98" t="str">
        <f>'Resultater - Vestdanmark'!E54</f>
        <v>Hektar</v>
      </c>
      <c r="F54" s="98" t="str">
        <f>'Resultater - Vestdanmark'!F54</f>
        <v>CO2 - HWP</v>
      </c>
      <c r="G54" s="98" t="str">
        <f>'Resultater - Vestdanmark'!G54</f>
        <v>t CO2-ækvivalenter</v>
      </c>
      <c r="H54" s="275">
        <f ca="1">'Resultater - Vestdanmark'!H54+'Resultater - Østdanmark'!H54</f>
        <v>0</v>
      </c>
      <c r="I54" s="276">
        <f ca="1">'Resultater - Vestdanmark'!I54+'Resultater - Østdanmark'!I54</f>
        <v>0</v>
      </c>
      <c r="J54" s="277">
        <f ca="1">'Resultater - Vestdanmark'!J54+'Resultater - Østdanmark'!J54</f>
        <v>0</v>
      </c>
    </row>
    <row r="55" spans="1:10" x14ac:dyDescent="0.25">
      <c r="A55" s="98" t="str">
        <f>'Resultater - Vestdanmark'!A55</f>
        <v>Skovproduktion</v>
      </c>
      <c r="B55" s="98" t="str">
        <f>'Resultater - Vestdanmark'!B55</f>
        <v/>
      </c>
      <c r="C55" s="98" t="str">
        <f>'Resultater - Vestdanmark'!C55</f>
        <v>Skovtype3</v>
      </c>
      <c r="D55" s="98" t="str">
        <f>'Resultater - Vestdanmark'!D55</f>
        <v>Areal-skovtype3-30</v>
      </c>
      <c r="E55" s="98" t="str">
        <f>'Resultater - Vestdanmark'!E55</f>
        <v>Hektar</v>
      </c>
      <c r="F55" s="98" t="str">
        <f>'Resultater - Vestdanmark'!F55</f>
        <v>Træer</v>
      </c>
      <c r="G55" s="98" t="str">
        <f>'Resultater - Vestdanmark'!G55</f>
        <v>m3</v>
      </c>
      <c r="H55" s="275">
        <f ca="1">'Resultater - Vestdanmark'!H55+'Resultater - Østdanmark'!H55</f>
        <v>0</v>
      </c>
      <c r="I55" s="276">
        <f ca="1">'Resultater - Vestdanmark'!I55+'Resultater - Østdanmark'!I55</f>
        <v>0</v>
      </c>
      <c r="J55" s="277">
        <f ca="1">'Resultater - Vestdanmark'!J55+'Resultater - Østdanmark'!J55</f>
        <v>0</v>
      </c>
    </row>
    <row r="56" spans="1:10" x14ac:dyDescent="0.25">
      <c r="A56" s="98" t="str">
        <f>'Resultater - Vestdanmark'!A56</f>
        <v>Skovproduktion</v>
      </c>
      <c r="B56" s="98" t="str">
        <f>'Resultater - Vestdanmark'!B56</f>
        <v/>
      </c>
      <c r="C56" s="98" t="str">
        <f>'Resultater - Vestdanmark'!C56</f>
        <v>Skovtype3</v>
      </c>
      <c r="D56" s="98" t="str">
        <f>'Resultater - Vestdanmark'!D56</f>
        <v>Areal-skovtype3-30</v>
      </c>
      <c r="E56" s="98" t="str">
        <f>'Resultater - Vestdanmark'!E56</f>
        <v>Hektar</v>
      </c>
      <c r="F56" s="98" t="str">
        <f>'Resultater - Vestdanmark'!F56</f>
        <v>Træ til energi</v>
      </c>
      <c r="G56" s="98" t="str">
        <f>'Resultater - Vestdanmark'!G56</f>
        <v>m3</v>
      </c>
      <c r="H56" s="275">
        <f ca="1">'Resultater - Vestdanmark'!H56+'Resultater - Østdanmark'!H56</f>
        <v>0</v>
      </c>
      <c r="I56" s="276">
        <f ca="1">'Resultater - Vestdanmark'!I56+'Resultater - Østdanmark'!I56</f>
        <v>0</v>
      </c>
      <c r="J56" s="277">
        <f ca="1">'Resultater - Vestdanmark'!J56+'Resultater - Østdanmark'!J56</f>
        <v>0</v>
      </c>
    </row>
    <row r="57" spans="1:10" x14ac:dyDescent="0.25">
      <c r="A57" s="98" t="str">
        <f>'Resultater - Vestdanmark'!A57</f>
        <v>Skovproduktion</v>
      </c>
      <c r="B57" s="98" t="str">
        <f>'Resultater - Vestdanmark'!B57</f>
        <v/>
      </c>
      <c r="C57" s="98" t="str">
        <f>'Resultater - Vestdanmark'!C57</f>
        <v>Skovtype3</v>
      </c>
      <c r="D57" s="98" t="str">
        <f>'Resultater - Vestdanmark'!D57</f>
        <v>Areal-skovtype3-30</v>
      </c>
      <c r="E57" s="98" t="str">
        <f>'Resultater - Vestdanmark'!E57</f>
        <v>Hektar</v>
      </c>
      <c r="F57" s="98" t="str">
        <f>'Resultater - Vestdanmark'!F57</f>
        <v>CO2 - atmosfære</v>
      </c>
      <c r="G57" s="98" t="str">
        <f>'Resultater - Vestdanmark'!G57</f>
        <v>t CO2-ækvivalenter</v>
      </c>
      <c r="H57" s="275">
        <f ca="1">'Resultater - Vestdanmark'!H57+'Resultater - Østdanmark'!H57</f>
        <v>0</v>
      </c>
      <c r="I57" s="276">
        <f ca="1">'Resultater - Vestdanmark'!I57+'Resultater - Østdanmark'!I57</f>
        <v>0</v>
      </c>
      <c r="J57" s="277">
        <f ca="1">'Resultater - Vestdanmark'!J57+'Resultater - Østdanmark'!J57</f>
        <v>0</v>
      </c>
    </row>
    <row r="58" spans="1:10" s="168" customFormat="1" x14ac:dyDescent="0.25">
      <c r="A58" s="98" t="str">
        <f>'Resultater - Vestdanmark'!A58</f>
        <v>Skovproduktion</v>
      </c>
      <c r="B58" s="98" t="str">
        <f>'Resultater - Vestdanmark'!B58</f>
        <v/>
      </c>
      <c r="C58" s="98" t="str">
        <f>'Resultater - Vestdanmark'!C58</f>
        <v>Skovtype3</v>
      </c>
      <c r="D58" s="98" t="str">
        <f>'Resultater - Vestdanmark'!D58</f>
        <v>Areal-skovtype3-30</v>
      </c>
      <c r="E58" s="98" t="str">
        <f>'Resultater - Vestdanmark'!E58</f>
        <v>Hektar</v>
      </c>
      <c r="F58" s="98" t="str">
        <f>'Resultater - Vestdanmark'!F58</f>
        <v>CO2 - HWP</v>
      </c>
      <c r="G58" s="98" t="str">
        <f>'Resultater - Vestdanmark'!G58</f>
        <v>t CO2-ækvivalenter</v>
      </c>
      <c r="H58" s="275">
        <f ca="1">'Resultater - Vestdanmark'!H58+'Resultater - Østdanmark'!H58</f>
        <v>0</v>
      </c>
      <c r="I58" s="276">
        <f ca="1">'Resultater - Vestdanmark'!I58+'Resultater - Østdanmark'!I58</f>
        <v>0</v>
      </c>
      <c r="J58" s="277">
        <f ca="1">'Resultater - Vestdanmark'!J58+'Resultater - Østdanmark'!J58</f>
        <v>0</v>
      </c>
    </row>
    <row r="59" spans="1:10" x14ac:dyDescent="0.25">
      <c r="A59" s="98" t="str">
        <f>'Resultater - Vestdanmark'!A59</f>
        <v>Skovproduktion</v>
      </c>
      <c r="B59" s="98" t="str">
        <f>'Resultater - Vestdanmark'!B59</f>
        <v/>
      </c>
      <c r="C59" s="98" t="str">
        <f>'Resultater - Vestdanmark'!C59</f>
        <v>Skovtype3</v>
      </c>
      <c r="D59" s="98" t="str">
        <f>'Resultater - Vestdanmark'!D59</f>
        <v>Areal-skovtype3-40</v>
      </c>
      <c r="E59" s="98" t="str">
        <f>'Resultater - Vestdanmark'!E59</f>
        <v>Hektar</v>
      </c>
      <c r="F59" s="98" t="str">
        <f>'Resultater - Vestdanmark'!F59</f>
        <v>Træer</v>
      </c>
      <c r="G59" s="98" t="str">
        <f>'Resultater - Vestdanmark'!G59</f>
        <v>m3</v>
      </c>
      <c r="H59" s="275">
        <f ca="1">'Resultater - Vestdanmark'!H59+'Resultater - Østdanmark'!H59</f>
        <v>0</v>
      </c>
      <c r="I59" s="276">
        <f ca="1">'Resultater - Vestdanmark'!I59+'Resultater - Østdanmark'!I59</f>
        <v>0</v>
      </c>
      <c r="J59" s="277">
        <f ca="1">'Resultater - Vestdanmark'!J59+'Resultater - Østdanmark'!J59</f>
        <v>0</v>
      </c>
    </row>
    <row r="60" spans="1:10" x14ac:dyDescent="0.25">
      <c r="A60" s="98" t="str">
        <f>'Resultater - Vestdanmark'!A60</f>
        <v>Skovproduktion</v>
      </c>
      <c r="B60" s="98" t="str">
        <f>'Resultater - Vestdanmark'!B60</f>
        <v/>
      </c>
      <c r="C60" s="98" t="str">
        <f>'Resultater - Vestdanmark'!C60</f>
        <v>Skovtype3</v>
      </c>
      <c r="D60" s="98" t="str">
        <f>'Resultater - Vestdanmark'!D60</f>
        <v>Areal-skovtype3-40</v>
      </c>
      <c r="E60" s="98" t="str">
        <f>'Resultater - Vestdanmark'!E60</f>
        <v>Hektar</v>
      </c>
      <c r="F60" s="98" t="str">
        <f>'Resultater - Vestdanmark'!F60</f>
        <v>Træ til energi</v>
      </c>
      <c r="G60" s="98" t="str">
        <f>'Resultater - Vestdanmark'!G60</f>
        <v>m3</v>
      </c>
      <c r="H60" s="275">
        <f ca="1">'Resultater - Vestdanmark'!H60+'Resultater - Østdanmark'!H60</f>
        <v>0</v>
      </c>
      <c r="I60" s="276">
        <f ca="1">'Resultater - Vestdanmark'!I60+'Resultater - Østdanmark'!I60</f>
        <v>0</v>
      </c>
      <c r="J60" s="277">
        <f ca="1">'Resultater - Vestdanmark'!J60+'Resultater - Østdanmark'!J60</f>
        <v>0</v>
      </c>
    </row>
    <row r="61" spans="1:10" x14ac:dyDescent="0.25">
      <c r="A61" s="98" t="str">
        <f>'Resultater - Vestdanmark'!A61</f>
        <v>Skovproduktion</v>
      </c>
      <c r="B61" s="98" t="str">
        <f>'Resultater - Vestdanmark'!B61</f>
        <v/>
      </c>
      <c r="C61" s="98" t="str">
        <f>'Resultater - Vestdanmark'!C61</f>
        <v>Skovtype3</v>
      </c>
      <c r="D61" s="98" t="str">
        <f>'Resultater - Vestdanmark'!D61</f>
        <v>Areal-skovtype3-40</v>
      </c>
      <c r="E61" s="98" t="str">
        <f>'Resultater - Vestdanmark'!E61</f>
        <v>Hektar</v>
      </c>
      <c r="F61" s="98" t="str">
        <f>'Resultater - Vestdanmark'!F61</f>
        <v>CO2 - atmosfære</v>
      </c>
      <c r="G61" s="98" t="str">
        <f>'Resultater - Vestdanmark'!G61</f>
        <v>t CO2-ækvivalenter</v>
      </c>
      <c r="H61" s="275">
        <f ca="1">'Resultater - Vestdanmark'!H61+'Resultater - Østdanmark'!H61</f>
        <v>0</v>
      </c>
      <c r="I61" s="276">
        <f ca="1">'Resultater - Vestdanmark'!I61+'Resultater - Østdanmark'!I61</f>
        <v>0</v>
      </c>
      <c r="J61" s="277">
        <f ca="1">'Resultater - Vestdanmark'!J61+'Resultater - Østdanmark'!J61</f>
        <v>0</v>
      </c>
    </row>
    <row r="62" spans="1:10" s="168" customFormat="1" x14ac:dyDescent="0.25">
      <c r="A62" s="98" t="str">
        <f>'Resultater - Vestdanmark'!A62</f>
        <v>Skovproduktion</v>
      </c>
      <c r="B62" s="98" t="str">
        <f>'Resultater - Vestdanmark'!B62</f>
        <v/>
      </c>
      <c r="C62" s="98" t="str">
        <f>'Resultater - Vestdanmark'!C62</f>
        <v>Skovtype3</v>
      </c>
      <c r="D62" s="98" t="str">
        <f>'Resultater - Vestdanmark'!D62</f>
        <v>Areal-skovtype3-40</v>
      </c>
      <c r="E62" s="98" t="str">
        <f>'Resultater - Vestdanmark'!E62</f>
        <v>Hektar</v>
      </c>
      <c r="F62" s="98" t="str">
        <f>'Resultater - Vestdanmark'!F62</f>
        <v>CO2 - HWP</v>
      </c>
      <c r="G62" s="98" t="str">
        <f>'Resultater - Vestdanmark'!G62</f>
        <v>t CO2-ækvivalenter</v>
      </c>
      <c r="H62" s="275">
        <f ca="1">'Resultater - Vestdanmark'!H62+'Resultater - Østdanmark'!H62</f>
        <v>0</v>
      </c>
      <c r="I62" s="276">
        <f ca="1">'Resultater - Vestdanmark'!I62+'Resultater - Østdanmark'!I62</f>
        <v>0</v>
      </c>
      <c r="J62" s="277">
        <f ca="1">'Resultater - Vestdanmark'!J62+'Resultater - Østdanmark'!J62</f>
        <v>0</v>
      </c>
    </row>
    <row r="63" spans="1:10" x14ac:dyDescent="0.25">
      <c r="A63" s="98" t="str">
        <f>'Resultater - Vestdanmark'!A63</f>
        <v>Skovproduktion</v>
      </c>
      <c r="B63" s="98" t="str">
        <f>'Resultater - Vestdanmark'!B63</f>
        <v/>
      </c>
      <c r="C63" s="98" t="str">
        <f>'Resultater - Vestdanmark'!C63</f>
        <v>Skovtype4</v>
      </c>
      <c r="D63" s="98" t="str">
        <f>'Resultater - Vestdanmark'!D63</f>
        <v>Areal-skovtype4-10</v>
      </c>
      <c r="E63" s="98" t="str">
        <f>'Resultater - Vestdanmark'!E63</f>
        <v>Hektar</v>
      </c>
      <c r="F63" s="98" t="str">
        <f>'Resultater - Vestdanmark'!F63</f>
        <v>Træer</v>
      </c>
      <c r="G63" s="98" t="str">
        <f>'Resultater - Vestdanmark'!G63</f>
        <v>m3</v>
      </c>
      <c r="H63" s="275">
        <f ca="1">'Resultater - Vestdanmark'!H63+'Resultater - Østdanmark'!H63</f>
        <v>0</v>
      </c>
      <c r="I63" s="276">
        <f ca="1">'Resultater - Vestdanmark'!I63+'Resultater - Østdanmark'!I63</f>
        <v>0</v>
      </c>
      <c r="J63" s="277">
        <f ca="1">'Resultater - Vestdanmark'!J63+'Resultater - Østdanmark'!J63</f>
        <v>0</v>
      </c>
    </row>
    <row r="64" spans="1:10" x14ac:dyDescent="0.25">
      <c r="A64" s="98" t="str">
        <f>'Resultater - Vestdanmark'!A64</f>
        <v>Skovproduktion</v>
      </c>
      <c r="B64" s="98" t="str">
        <f>'Resultater - Vestdanmark'!B64</f>
        <v/>
      </c>
      <c r="C64" s="98" t="str">
        <f>'Resultater - Vestdanmark'!C64</f>
        <v>Skovtype4</v>
      </c>
      <c r="D64" s="98" t="str">
        <f>'Resultater - Vestdanmark'!D64</f>
        <v>Areal-skovtype4-10</v>
      </c>
      <c r="E64" s="98" t="str">
        <f>'Resultater - Vestdanmark'!E64</f>
        <v>Hektar</v>
      </c>
      <c r="F64" s="98" t="str">
        <f>'Resultater - Vestdanmark'!F64</f>
        <v>Træ til energi</v>
      </c>
      <c r="G64" s="98" t="str">
        <f>'Resultater - Vestdanmark'!G64</f>
        <v>m3</v>
      </c>
      <c r="H64" s="275">
        <f ca="1">'Resultater - Vestdanmark'!H64+'Resultater - Østdanmark'!H64</f>
        <v>0</v>
      </c>
      <c r="I64" s="276">
        <f ca="1">'Resultater - Vestdanmark'!I64+'Resultater - Østdanmark'!I64</f>
        <v>0</v>
      </c>
      <c r="J64" s="277">
        <f ca="1">'Resultater - Vestdanmark'!J64+'Resultater - Østdanmark'!J64</f>
        <v>0</v>
      </c>
    </row>
    <row r="65" spans="1:10" x14ac:dyDescent="0.25">
      <c r="A65" s="98" t="str">
        <f>'Resultater - Vestdanmark'!A65</f>
        <v>Skovproduktion</v>
      </c>
      <c r="B65" s="98" t="str">
        <f>'Resultater - Vestdanmark'!B65</f>
        <v/>
      </c>
      <c r="C65" s="98" t="str">
        <f>'Resultater - Vestdanmark'!C65</f>
        <v>Skovtype4</v>
      </c>
      <c r="D65" s="98" t="str">
        <f>'Resultater - Vestdanmark'!D65</f>
        <v>Areal-skovtype4-10</v>
      </c>
      <c r="E65" s="98" t="str">
        <f>'Resultater - Vestdanmark'!E65</f>
        <v>Hektar</v>
      </c>
      <c r="F65" s="98" t="str">
        <f>'Resultater - Vestdanmark'!F65</f>
        <v>CO2 - atmosfære</v>
      </c>
      <c r="G65" s="98" t="str">
        <f>'Resultater - Vestdanmark'!G65</f>
        <v>t CO2-ækvivalenter</v>
      </c>
      <c r="H65" s="275">
        <f ca="1">'Resultater - Vestdanmark'!H65+'Resultater - Østdanmark'!H65</f>
        <v>0</v>
      </c>
      <c r="I65" s="276">
        <f ca="1">'Resultater - Vestdanmark'!I65+'Resultater - Østdanmark'!I65</f>
        <v>0</v>
      </c>
      <c r="J65" s="277">
        <f ca="1">'Resultater - Vestdanmark'!J65+'Resultater - Østdanmark'!J65</f>
        <v>0</v>
      </c>
    </row>
    <row r="66" spans="1:10" s="168" customFormat="1" x14ac:dyDescent="0.25">
      <c r="A66" s="98" t="str">
        <f>'Resultater - Vestdanmark'!A66</f>
        <v>Skovproduktion</v>
      </c>
      <c r="B66" s="98" t="str">
        <f>'Resultater - Vestdanmark'!B66</f>
        <v/>
      </c>
      <c r="C66" s="98" t="str">
        <f>'Resultater - Vestdanmark'!C66</f>
        <v>Skovtype4</v>
      </c>
      <c r="D66" s="98" t="str">
        <f>'Resultater - Vestdanmark'!D66</f>
        <v>Areal-skovtype4-10</v>
      </c>
      <c r="E66" s="98" t="str">
        <f>'Resultater - Vestdanmark'!E66</f>
        <v>Hektar</v>
      </c>
      <c r="F66" s="98" t="str">
        <f>'Resultater - Vestdanmark'!F66</f>
        <v>CO2 - HWP</v>
      </c>
      <c r="G66" s="98" t="str">
        <f>'Resultater - Vestdanmark'!G66</f>
        <v>t CO2-ækvivalenter</v>
      </c>
      <c r="H66" s="275">
        <f ca="1">'Resultater - Vestdanmark'!H66+'Resultater - Østdanmark'!H66</f>
        <v>0</v>
      </c>
      <c r="I66" s="276">
        <f ca="1">'Resultater - Vestdanmark'!I66+'Resultater - Østdanmark'!I66</f>
        <v>0</v>
      </c>
      <c r="J66" s="277">
        <f ca="1">'Resultater - Vestdanmark'!J66+'Resultater - Østdanmark'!J66</f>
        <v>0</v>
      </c>
    </row>
    <row r="67" spans="1:10" x14ac:dyDescent="0.25">
      <c r="A67" s="98" t="str">
        <f>'Resultater - Vestdanmark'!A67</f>
        <v>Skovproduktion</v>
      </c>
      <c r="B67" s="98" t="str">
        <f>'Resultater - Vestdanmark'!B67</f>
        <v/>
      </c>
      <c r="C67" s="98" t="str">
        <f>'Resultater - Vestdanmark'!C67</f>
        <v>Skovtype4</v>
      </c>
      <c r="D67" s="98" t="str">
        <f>'Resultater - Vestdanmark'!D67</f>
        <v>Areal-skovtype4-20</v>
      </c>
      <c r="E67" s="98" t="str">
        <f>'Resultater - Vestdanmark'!E67</f>
        <v>Hektar</v>
      </c>
      <c r="F67" s="98" t="str">
        <f>'Resultater - Vestdanmark'!F67</f>
        <v>Træer</v>
      </c>
      <c r="G67" s="98" t="str">
        <f>'Resultater - Vestdanmark'!G67</f>
        <v>m3</v>
      </c>
      <c r="H67" s="275">
        <f ca="1">'Resultater - Vestdanmark'!H67+'Resultater - Østdanmark'!H67</f>
        <v>0</v>
      </c>
      <c r="I67" s="276">
        <f ca="1">'Resultater - Vestdanmark'!I67+'Resultater - Østdanmark'!I67</f>
        <v>0</v>
      </c>
      <c r="J67" s="277">
        <f ca="1">'Resultater - Vestdanmark'!J67+'Resultater - Østdanmark'!J67</f>
        <v>0</v>
      </c>
    </row>
    <row r="68" spans="1:10" x14ac:dyDescent="0.25">
      <c r="A68" s="98" t="str">
        <f>'Resultater - Vestdanmark'!A68</f>
        <v>Skovproduktion</v>
      </c>
      <c r="B68" s="98" t="str">
        <f>'Resultater - Vestdanmark'!B68</f>
        <v/>
      </c>
      <c r="C68" s="98" t="str">
        <f>'Resultater - Vestdanmark'!C68</f>
        <v>Skovtype4</v>
      </c>
      <c r="D68" s="98" t="str">
        <f>'Resultater - Vestdanmark'!D68</f>
        <v>Areal-skovtype4-20</v>
      </c>
      <c r="E68" s="98" t="str">
        <f>'Resultater - Vestdanmark'!E68</f>
        <v>Hektar</v>
      </c>
      <c r="F68" s="98" t="str">
        <f>'Resultater - Vestdanmark'!F68</f>
        <v>Træ til energi</v>
      </c>
      <c r="G68" s="98" t="str">
        <f>'Resultater - Vestdanmark'!G68</f>
        <v>m3</v>
      </c>
      <c r="H68" s="275">
        <f ca="1">'Resultater - Vestdanmark'!H68+'Resultater - Østdanmark'!H68</f>
        <v>0</v>
      </c>
      <c r="I68" s="276">
        <f ca="1">'Resultater - Vestdanmark'!I68+'Resultater - Østdanmark'!I68</f>
        <v>0</v>
      </c>
      <c r="J68" s="277">
        <f ca="1">'Resultater - Vestdanmark'!J68+'Resultater - Østdanmark'!J68</f>
        <v>0</v>
      </c>
    </row>
    <row r="69" spans="1:10" x14ac:dyDescent="0.25">
      <c r="A69" s="98" t="str">
        <f>'Resultater - Vestdanmark'!A69</f>
        <v>Skovproduktion</v>
      </c>
      <c r="B69" s="98" t="str">
        <f>'Resultater - Vestdanmark'!B69</f>
        <v/>
      </c>
      <c r="C69" s="98" t="str">
        <f>'Resultater - Vestdanmark'!C69</f>
        <v>Skovtype4</v>
      </c>
      <c r="D69" s="98" t="str">
        <f>'Resultater - Vestdanmark'!D69</f>
        <v>Areal-skovtype4-20</v>
      </c>
      <c r="E69" s="98" t="str">
        <f>'Resultater - Vestdanmark'!E69</f>
        <v>Hektar</v>
      </c>
      <c r="F69" s="98" t="str">
        <f>'Resultater - Vestdanmark'!F69</f>
        <v>CO2 - atmosfære</v>
      </c>
      <c r="G69" s="98" t="str">
        <f>'Resultater - Vestdanmark'!G69</f>
        <v>t CO2-ækvivalenter</v>
      </c>
      <c r="H69" s="275">
        <f ca="1">'Resultater - Vestdanmark'!H69+'Resultater - Østdanmark'!H69</f>
        <v>0</v>
      </c>
      <c r="I69" s="276">
        <f ca="1">'Resultater - Vestdanmark'!I69+'Resultater - Østdanmark'!I69</f>
        <v>0</v>
      </c>
      <c r="J69" s="277">
        <f ca="1">'Resultater - Vestdanmark'!J69+'Resultater - Østdanmark'!J69</f>
        <v>0</v>
      </c>
    </row>
    <row r="70" spans="1:10" s="168" customFormat="1" x14ac:dyDescent="0.25">
      <c r="A70" s="98" t="str">
        <f>'Resultater - Vestdanmark'!A70</f>
        <v>Skovproduktion</v>
      </c>
      <c r="B70" s="98" t="str">
        <f>'Resultater - Vestdanmark'!B70</f>
        <v/>
      </c>
      <c r="C70" s="98" t="str">
        <f>'Resultater - Vestdanmark'!C70</f>
        <v>Skovtype4</v>
      </c>
      <c r="D70" s="98" t="str">
        <f>'Resultater - Vestdanmark'!D70</f>
        <v>Areal-skovtype4-20</v>
      </c>
      <c r="E70" s="98" t="str">
        <f>'Resultater - Vestdanmark'!E70</f>
        <v>Hektar</v>
      </c>
      <c r="F70" s="98" t="str">
        <f>'Resultater - Vestdanmark'!F70</f>
        <v>CO2 - HWP</v>
      </c>
      <c r="G70" s="98" t="str">
        <f>'Resultater - Vestdanmark'!G70</f>
        <v>t CO2-ækvivalenter</v>
      </c>
      <c r="H70" s="275">
        <f ca="1">'Resultater - Vestdanmark'!H70+'Resultater - Østdanmark'!H70</f>
        <v>0</v>
      </c>
      <c r="I70" s="276">
        <f ca="1">'Resultater - Vestdanmark'!I70+'Resultater - Østdanmark'!I70</f>
        <v>0</v>
      </c>
      <c r="J70" s="277">
        <f ca="1">'Resultater - Vestdanmark'!J70+'Resultater - Østdanmark'!J70</f>
        <v>0</v>
      </c>
    </row>
    <row r="71" spans="1:10" x14ac:dyDescent="0.25">
      <c r="A71" s="98" t="str">
        <f>'Resultater - Vestdanmark'!A71</f>
        <v>Skovproduktion</v>
      </c>
      <c r="B71" s="98" t="str">
        <f>'Resultater - Vestdanmark'!B71</f>
        <v/>
      </c>
      <c r="C71" s="98" t="str">
        <f>'Resultater - Vestdanmark'!C71</f>
        <v>Skovtype4</v>
      </c>
      <c r="D71" s="98" t="str">
        <f>'Resultater - Vestdanmark'!D71</f>
        <v>Areal-skovtype4-30</v>
      </c>
      <c r="E71" s="98" t="str">
        <f>'Resultater - Vestdanmark'!E71</f>
        <v>Hektar</v>
      </c>
      <c r="F71" s="98" t="str">
        <f>'Resultater - Vestdanmark'!F71</f>
        <v>Træer</v>
      </c>
      <c r="G71" s="98" t="str">
        <f>'Resultater - Vestdanmark'!G71</f>
        <v>m3</v>
      </c>
      <c r="H71" s="275">
        <f ca="1">'Resultater - Vestdanmark'!H71+'Resultater - Østdanmark'!H71</f>
        <v>0</v>
      </c>
      <c r="I71" s="276">
        <f ca="1">'Resultater - Vestdanmark'!I71+'Resultater - Østdanmark'!I71</f>
        <v>0</v>
      </c>
      <c r="J71" s="277">
        <f ca="1">'Resultater - Vestdanmark'!J71+'Resultater - Østdanmark'!J71</f>
        <v>0</v>
      </c>
    </row>
    <row r="72" spans="1:10" x14ac:dyDescent="0.25">
      <c r="A72" s="98" t="str">
        <f>'Resultater - Vestdanmark'!A72</f>
        <v>Skovproduktion</v>
      </c>
      <c r="B72" s="98" t="str">
        <f>'Resultater - Vestdanmark'!B72</f>
        <v/>
      </c>
      <c r="C72" s="98" t="str">
        <f>'Resultater - Vestdanmark'!C72</f>
        <v>Skovtype4</v>
      </c>
      <c r="D72" s="98" t="str">
        <f>'Resultater - Vestdanmark'!D72</f>
        <v>Areal-skovtype4-30</v>
      </c>
      <c r="E72" s="98" t="str">
        <f>'Resultater - Vestdanmark'!E72</f>
        <v>Hektar</v>
      </c>
      <c r="F72" s="98" t="str">
        <f>'Resultater - Vestdanmark'!F72</f>
        <v>Træ til energi</v>
      </c>
      <c r="G72" s="98" t="str">
        <f>'Resultater - Vestdanmark'!G72</f>
        <v>m3</v>
      </c>
      <c r="H72" s="275">
        <f ca="1">'Resultater - Vestdanmark'!H72+'Resultater - Østdanmark'!H72</f>
        <v>0</v>
      </c>
      <c r="I72" s="276">
        <f ca="1">'Resultater - Vestdanmark'!I72+'Resultater - Østdanmark'!I72</f>
        <v>0</v>
      </c>
      <c r="J72" s="277">
        <f ca="1">'Resultater - Vestdanmark'!J72+'Resultater - Østdanmark'!J72</f>
        <v>0</v>
      </c>
    </row>
    <row r="73" spans="1:10" x14ac:dyDescent="0.25">
      <c r="A73" s="98" t="str">
        <f>'Resultater - Vestdanmark'!A73</f>
        <v>Skovproduktion</v>
      </c>
      <c r="B73" s="98" t="str">
        <f>'Resultater - Vestdanmark'!B73</f>
        <v/>
      </c>
      <c r="C73" s="98" t="str">
        <f>'Resultater - Vestdanmark'!C73</f>
        <v>Skovtype4</v>
      </c>
      <c r="D73" s="98" t="str">
        <f>'Resultater - Vestdanmark'!D73</f>
        <v>Areal-skovtype4-30</v>
      </c>
      <c r="E73" s="98" t="str">
        <f>'Resultater - Vestdanmark'!E73</f>
        <v>Hektar</v>
      </c>
      <c r="F73" s="98" t="str">
        <f>'Resultater - Vestdanmark'!F73</f>
        <v>CO2 - atmosfære</v>
      </c>
      <c r="G73" s="98" t="str">
        <f>'Resultater - Vestdanmark'!G73</f>
        <v>t CO2-ækvivalenter</v>
      </c>
      <c r="H73" s="275">
        <f ca="1">'Resultater - Vestdanmark'!H73+'Resultater - Østdanmark'!H73</f>
        <v>0</v>
      </c>
      <c r="I73" s="276">
        <f ca="1">'Resultater - Vestdanmark'!I73+'Resultater - Østdanmark'!I73</f>
        <v>0</v>
      </c>
      <c r="J73" s="277">
        <f ca="1">'Resultater - Vestdanmark'!J73+'Resultater - Østdanmark'!J73</f>
        <v>0</v>
      </c>
    </row>
    <row r="74" spans="1:10" s="168" customFormat="1" x14ac:dyDescent="0.25">
      <c r="A74" s="98" t="str">
        <f>'Resultater - Vestdanmark'!A74</f>
        <v>Skovproduktion</v>
      </c>
      <c r="B74" s="98" t="str">
        <f>'Resultater - Vestdanmark'!B74</f>
        <v/>
      </c>
      <c r="C74" s="98" t="str">
        <f>'Resultater - Vestdanmark'!C74</f>
        <v>Skovtype4</v>
      </c>
      <c r="D74" s="98" t="str">
        <f>'Resultater - Vestdanmark'!D74</f>
        <v>Areal-skovtype4-30</v>
      </c>
      <c r="E74" s="98" t="str">
        <f>'Resultater - Vestdanmark'!E74</f>
        <v>Hektar</v>
      </c>
      <c r="F74" s="98" t="str">
        <f>'Resultater - Vestdanmark'!F74</f>
        <v>CO2 - HWP</v>
      </c>
      <c r="G74" s="98" t="str">
        <f>'Resultater - Vestdanmark'!G74</f>
        <v>t CO2-ækvivalenter</v>
      </c>
      <c r="H74" s="275">
        <f ca="1">'Resultater - Vestdanmark'!H74+'Resultater - Østdanmark'!H74</f>
        <v>0</v>
      </c>
      <c r="I74" s="276">
        <f ca="1">'Resultater - Vestdanmark'!I74+'Resultater - Østdanmark'!I74</f>
        <v>0</v>
      </c>
      <c r="J74" s="277">
        <f ca="1">'Resultater - Vestdanmark'!J74+'Resultater - Østdanmark'!J74</f>
        <v>0</v>
      </c>
    </row>
    <row r="75" spans="1:10" x14ac:dyDescent="0.25">
      <c r="A75" s="98" t="str">
        <f>'Resultater - Vestdanmark'!A75</f>
        <v>Skovproduktion</v>
      </c>
      <c r="B75" s="98" t="str">
        <f>'Resultater - Vestdanmark'!B75</f>
        <v/>
      </c>
      <c r="C75" s="98" t="str">
        <f>'Resultater - Vestdanmark'!C75</f>
        <v>Skovtype4</v>
      </c>
      <c r="D75" s="98" t="str">
        <f>'Resultater - Vestdanmark'!D75</f>
        <v>Areal-skovtype4-40</v>
      </c>
      <c r="E75" s="98" t="str">
        <f>'Resultater - Vestdanmark'!E75</f>
        <v>Hektar</v>
      </c>
      <c r="F75" s="98" t="str">
        <f>'Resultater - Vestdanmark'!F75</f>
        <v>Træer</v>
      </c>
      <c r="G75" s="98" t="str">
        <f>'Resultater - Vestdanmark'!G75</f>
        <v>m3</v>
      </c>
      <c r="H75" s="275">
        <f ca="1">'Resultater - Vestdanmark'!H75+'Resultater - Østdanmark'!H75</f>
        <v>0</v>
      </c>
      <c r="I75" s="276">
        <f ca="1">'Resultater - Vestdanmark'!I75+'Resultater - Østdanmark'!I75</f>
        <v>0</v>
      </c>
      <c r="J75" s="277">
        <f ca="1">'Resultater - Vestdanmark'!J75+'Resultater - Østdanmark'!J75</f>
        <v>0</v>
      </c>
    </row>
    <row r="76" spans="1:10" x14ac:dyDescent="0.25">
      <c r="A76" s="98" t="str">
        <f>'Resultater - Vestdanmark'!A76</f>
        <v>Skovproduktion</v>
      </c>
      <c r="B76" s="98" t="str">
        <f>'Resultater - Vestdanmark'!B76</f>
        <v/>
      </c>
      <c r="C76" s="98" t="str">
        <f>'Resultater - Vestdanmark'!C76</f>
        <v>Skovtype4</v>
      </c>
      <c r="D76" s="98" t="str">
        <f>'Resultater - Vestdanmark'!D76</f>
        <v>Areal-skovtype4-40</v>
      </c>
      <c r="E76" s="98" t="str">
        <f>'Resultater - Vestdanmark'!E76</f>
        <v>Hektar</v>
      </c>
      <c r="F76" s="98" t="str">
        <f>'Resultater - Vestdanmark'!F76</f>
        <v>Træ til energi</v>
      </c>
      <c r="G76" s="98" t="str">
        <f>'Resultater - Vestdanmark'!G76</f>
        <v>m3</v>
      </c>
      <c r="H76" s="275">
        <f ca="1">'Resultater - Vestdanmark'!H76+'Resultater - Østdanmark'!H76</f>
        <v>0</v>
      </c>
      <c r="I76" s="276">
        <f ca="1">'Resultater - Vestdanmark'!I76+'Resultater - Østdanmark'!I76</f>
        <v>0</v>
      </c>
      <c r="J76" s="277">
        <f ca="1">'Resultater - Vestdanmark'!J76+'Resultater - Østdanmark'!J76</f>
        <v>0</v>
      </c>
    </row>
    <row r="77" spans="1:10" x14ac:dyDescent="0.25">
      <c r="A77" s="98" t="str">
        <f>'Resultater - Vestdanmark'!A77</f>
        <v>Skovproduktion</v>
      </c>
      <c r="B77" s="98" t="str">
        <f>'Resultater - Vestdanmark'!B77</f>
        <v/>
      </c>
      <c r="C77" s="98" t="str">
        <f>'Resultater - Vestdanmark'!C77</f>
        <v>Skovtype4</v>
      </c>
      <c r="D77" s="98" t="str">
        <f>'Resultater - Vestdanmark'!D77</f>
        <v>Areal-skovtype4-40</v>
      </c>
      <c r="E77" s="98" t="str">
        <f>'Resultater - Vestdanmark'!E77</f>
        <v>Hektar</v>
      </c>
      <c r="F77" s="98" t="str">
        <f>'Resultater - Vestdanmark'!F77</f>
        <v>CO2 - atmosfære</v>
      </c>
      <c r="G77" s="98" t="str">
        <f>'Resultater - Vestdanmark'!G77</f>
        <v>t CO2-ækvivalenter</v>
      </c>
      <c r="H77" s="275">
        <f ca="1">'Resultater - Vestdanmark'!H77+'Resultater - Østdanmark'!H77</f>
        <v>0</v>
      </c>
      <c r="I77" s="276">
        <f ca="1">'Resultater - Vestdanmark'!I77+'Resultater - Østdanmark'!I77</f>
        <v>0</v>
      </c>
      <c r="J77" s="277">
        <f ca="1">'Resultater - Vestdanmark'!J77+'Resultater - Østdanmark'!J77</f>
        <v>0</v>
      </c>
    </row>
    <row r="78" spans="1:10" s="168" customFormat="1" x14ac:dyDescent="0.25">
      <c r="A78" s="98" t="str">
        <f>'Resultater - Vestdanmark'!A78</f>
        <v>Skovproduktion</v>
      </c>
      <c r="B78" s="98" t="str">
        <f>'Resultater - Vestdanmark'!B78</f>
        <v/>
      </c>
      <c r="C78" s="98" t="str">
        <f>'Resultater - Vestdanmark'!C78</f>
        <v>Skovtype4</v>
      </c>
      <c r="D78" s="98" t="str">
        <f>'Resultater - Vestdanmark'!D78</f>
        <v>Areal-skovtype4-40</v>
      </c>
      <c r="E78" s="98" t="str">
        <f>'Resultater - Vestdanmark'!E78</f>
        <v>Hektar</v>
      </c>
      <c r="F78" s="98" t="str">
        <f>'Resultater - Vestdanmark'!F78</f>
        <v>CO2 - HWP</v>
      </c>
      <c r="G78" s="98" t="str">
        <f>'Resultater - Vestdanmark'!G78</f>
        <v>t CO2-ækvivalenter</v>
      </c>
      <c r="H78" s="275">
        <f ca="1">'Resultater - Vestdanmark'!H78+'Resultater - Østdanmark'!H78</f>
        <v>0</v>
      </c>
      <c r="I78" s="276">
        <f ca="1">'Resultater - Vestdanmark'!I78+'Resultater - Østdanmark'!I78</f>
        <v>0</v>
      </c>
      <c r="J78" s="277">
        <f ca="1">'Resultater - Vestdanmark'!J78+'Resultater - Østdanmark'!J78</f>
        <v>0</v>
      </c>
    </row>
    <row r="79" spans="1:10" x14ac:dyDescent="0.25">
      <c r="A79" s="98" t="str">
        <f>'Resultater - Vestdanmark'!A79</f>
        <v>Skovproduktion</v>
      </c>
      <c r="B79" s="98" t="str">
        <f>'Resultater - Vestdanmark'!B79</f>
        <v/>
      </c>
      <c r="C79" s="98" t="str">
        <f>'Resultater - Vestdanmark'!C79</f>
        <v>Skovtype5</v>
      </c>
      <c r="D79" s="98" t="str">
        <f>'Resultater - Vestdanmark'!D79</f>
        <v>Areal-skovtype5-10</v>
      </c>
      <c r="E79" s="98" t="str">
        <f>'Resultater - Vestdanmark'!E79</f>
        <v>Hektar</v>
      </c>
      <c r="F79" s="98" t="str">
        <f>'Resultater - Vestdanmark'!F79</f>
        <v>Træer</v>
      </c>
      <c r="G79" s="98" t="str">
        <f>'Resultater - Vestdanmark'!G79</f>
        <v>m3</v>
      </c>
      <c r="H79" s="275">
        <f ca="1">'Resultater - Vestdanmark'!H79+'Resultater - Østdanmark'!H79</f>
        <v>0</v>
      </c>
      <c r="I79" s="276">
        <f ca="1">'Resultater - Vestdanmark'!I79+'Resultater - Østdanmark'!I79</f>
        <v>0</v>
      </c>
      <c r="J79" s="277">
        <f ca="1">'Resultater - Vestdanmark'!J79+'Resultater - Østdanmark'!J79</f>
        <v>0</v>
      </c>
    </row>
    <row r="80" spans="1:10" x14ac:dyDescent="0.25">
      <c r="A80" s="98" t="str">
        <f>'Resultater - Vestdanmark'!A80</f>
        <v>Skovproduktion</v>
      </c>
      <c r="B80" s="98" t="str">
        <f>'Resultater - Vestdanmark'!B80</f>
        <v/>
      </c>
      <c r="C80" s="98" t="str">
        <f>'Resultater - Vestdanmark'!C80</f>
        <v>Skovtype5</v>
      </c>
      <c r="D80" s="98" t="str">
        <f>'Resultater - Vestdanmark'!D80</f>
        <v>Areal-skovtype5-10</v>
      </c>
      <c r="E80" s="98" t="str">
        <f>'Resultater - Vestdanmark'!E80</f>
        <v>Hektar</v>
      </c>
      <c r="F80" s="98" t="str">
        <f>'Resultater - Vestdanmark'!F80</f>
        <v>Træ til energi</v>
      </c>
      <c r="G80" s="98" t="str">
        <f>'Resultater - Vestdanmark'!G80</f>
        <v>m3</v>
      </c>
      <c r="H80" s="275">
        <f ca="1">'Resultater - Vestdanmark'!H80+'Resultater - Østdanmark'!H80</f>
        <v>0</v>
      </c>
      <c r="I80" s="276">
        <f ca="1">'Resultater - Vestdanmark'!I80+'Resultater - Østdanmark'!I80</f>
        <v>0</v>
      </c>
      <c r="J80" s="277">
        <f ca="1">'Resultater - Vestdanmark'!J80+'Resultater - Østdanmark'!J80</f>
        <v>0</v>
      </c>
    </row>
    <row r="81" spans="1:10" x14ac:dyDescent="0.25">
      <c r="A81" s="98" t="str">
        <f>'Resultater - Vestdanmark'!A81</f>
        <v>Skovproduktion</v>
      </c>
      <c r="B81" s="98" t="str">
        <f>'Resultater - Vestdanmark'!B81</f>
        <v/>
      </c>
      <c r="C81" s="98" t="str">
        <f>'Resultater - Vestdanmark'!C81</f>
        <v>Skovtype5</v>
      </c>
      <c r="D81" s="98" t="str">
        <f>'Resultater - Vestdanmark'!D81</f>
        <v>Areal-skovtype5-10</v>
      </c>
      <c r="E81" s="98" t="str">
        <f>'Resultater - Vestdanmark'!E81</f>
        <v>Hektar</v>
      </c>
      <c r="F81" s="98" t="str">
        <f>'Resultater - Vestdanmark'!F81</f>
        <v>CO2 - atmosfære</v>
      </c>
      <c r="G81" s="98" t="str">
        <f>'Resultater - Vestdanmark'!G81</f>
        <v>t CO2-ækvivalenter</v>
      </c>
      <c r="H81" s="275">
        <f ca="1">'Resultater - Vestdanmark'!H81+'Resultater - Østdanmark'!H81</f>
        <v>0</v>
      </c>
      <c r="I81" s="276">
        <f ca="1">'Resultater - Vestdanmark'!I81+'Resultater - Østdanmark'!I81</f>
        <v>0</v>
      </c>
      <c r="J81" s="277">
        <f ca="1">'Resultater - Vestdanmark'!J81+'Resultater - Østdanmark'!J81</f>
        <v>0</v>
      </c>
    </row>
    <row r="82" spans="1:10" s="168" customFormat="1" x14ac:dyDescent="0.25">
      <c r="A82" s="98" t="str">
        <f>'Resultater - Vestdanmark'!A82</f>
        <v>Skovproduktion</v>
      </c>
      <c r="B82" s="98" t="str">
        <f>'Resultater - Vestdanmark'!B82</f>
        <v/>
      </c>
      <c r="C82" s="98" t="str">
        <f>'Resultater - Vestdanmark'!C82</f>
        <v>Skovtype5</v>
      </c>
      <c r="D82" s="98" t="str">
        <f>'Resultater - Vestdanmark'!D82</f>
        <v>Areal-skovtype5-10</v>
      </c>
      <c r="E82" s="98" t="str">
        <f>'Resultater - Vestdanmark'!E82</f>
        <v>Hektar</v>
      </c>
      <c r="F82" s="98" t="str">
        <f>'Resultater - Vestdanmark'!F82</f>
        <v>CO2 - HWP</v>
      </c>
      <c r="G82" s="98" t="str">
        <f>'Resultater - Vestdanmark'!G82</f>
        <v>t CO2-ækvivalenter</v>
      </c>
      <c r="H82" s="275">
        <f ca="1">'Resultater - Vestdanmark'!H82+'Resultater - Østdanmark'!H82</f>
        <v>0</v>
      </c>
      <c r="I82" s="276">
        <f ca="1">'Resultater - Vestdanmark'!I82+'Resultater - Østdanmark'!I82</f>
        <v>0</v>
      </c>
      <c r="J82" s="277">
        <f ca="1">'Resultater - Vestdanmark'!J82+'Resultater - Østdanmark'!J82</f>
        <v>0</v>
      </c>
    </row>
    <row r="83" spans="1:10" x14ac:dyDescent="0.25">
      <c r="A83" s="98" t="str">
        <f>'Resultater - Vestdanmark'!A83</f>
        <v>Skovproduktion</v>
      </c>
      <c r="B83" s="98" t="str">
        <f>'Resultater - Vestdanmark'!B83</f>
        <v/>
      </c>
      <c r="C83" s="98" t="str">
        <f>'Resultater - Vestdanmark'!C83</f>
        <v>Skovtype5</v>
      </c>
      <c r="D83" s="98" t="str">
        <f>'Resultater - Vestdanmark'!D83</f>
        <v>Areal-skovtype5-20</v>
      </c>
      <c r="E83" s="98" t="str">
        <f>'Resultater - Vestdanmark'!E83</f>
        <v>Hektar</v>
      </c>
      <c r="F83" s="98" t="str">
        <f>'Resultater - Vestdanmark'!F83</f>
        <v>Træer</v>
      </c>
      <c r="G83" s="98" t="str">
        <f>'Resultater - Vestdanmark'!G83</f>
        <v>m3</v>
      </c>
      <c r="H83" s="275">
        <f ca="1">'Resultater - Vestdanmark'!H83+'Resultater - Østdanmark'!H83</f>
        <v>0</v>
      </c>
      <c r="I83" s="276">
        <f ca="1">'Resultater - Vestdanmark'!I83+'Resultater - Østdanmark'!I83</f>
        <v>0</v>
      </c>
      <c r="J83" s="277">
        <f ca="1">'Resultater - Vestdanmark'!J83+'Resultater - Østdanmark'!J83</f>
        <v>0</v>
      </c>
    </row>
    <row r="84" spans="1:10" x14ac:dyDescent="0.25">
      <c r="A84" s="98" t="str">
        <f>'Resultater - Vestdanmark'!A84</f>
        <v>Skovproduktion</v>
      </c>
      <c r="B84" s="98" t="str">
        <f>'Resultater - Vestdanmark'!B84</f>
        <v/>
      </c>
      <c r="C84" s="98" t="str">
        <f>'Resultater - Vestdanmark'!C84</f>
        <v>Skovtype5</v>
      </c>
      <c r="D84" s="98" t="str">
        <f>'Resultater - Vestdanmark'!D84</f>
        <v>Areal-skovtype5-20</v>
      </c>
      <c r="E84" s="98" t="str">
        <f>'Resultater - Vestdanmark'!E84</f>
        <v>Hektar</v>
      </c>
      <c r="F84" s="98" t="str">
        <f>'Resultater - Vestdanmark'!F84</f>
        <v>Træ til energi</v>
      </c>
      <c r="G84" s="98" t="str">
        <f>'Resultater - Vestdanmark'!G84</f>
        <v>m3</v>
      </c>
      <c r="H84" s="275">
        <f ca="1">'Resultater - Vestdanmark'!H84+'Resultater - Østdanmark'!H84</f>
        <v>0</v>
      </c>
      <c r="I84" s="276">
        <f ca="1">'Resultater - Vestdanmark'!I84+'Resultater - Østdanmark'!I84</f>
        <v>0</v>
      </c>
      <c r="J84" s="277">
        <f ca="1">'Resultater - Vestdanmark'!J84+'Resultater - Østdanmark'!J84</f>
        <v>0</v>
      </c>
    </row>
    <row r="85" spans="1:10" x14ac:dyDescent="0.25">
      <c r="A85" s="98" t="str">
        <f>'Resultater - Vestdanmark'!A85</f>
        <v>Skovproduktion</v>
      </c>
      <c r="B85" s="98" t="str">
        <f>'Resultater - Vestdanmark'!B85</f>
        <v/>
      </c>
      <c r="C85" s="98" t="str">
        <f>'Resultater - Vestdanmark'!C85</f>
        <v>Skovtype5</v>
      </c>
      <c r="D85" s="98" t="str">
        <f>'Resultater - Vestdanmark'!D85</f>
        <v>Areal-skovtype5-20</v>
      </c>
      <c r="E85" s="98" t="str">
        <f>'Resultater - Vestdanmark'!E85</f>
        <v>Hektar</v>
      </c>
      <c r="F85" s="98" t="str">
        <f>'Resultater - Vestdanmark'!F85</f>
        <v>CO2 - atmosfære</v>
      </c>
      <c r="G85" s="98" t="str">
        <f>'Resultater - Vestdanmark'!G85</f>
        <v>t CO2-ækvivalenter</v>
      </c>
      <c r="H85" s="275">
        <f ca="1">'Resultater - Vestdanmark'!H85+'Resultater - Østdanmark'!H85</f>
        <v>0</v>
      </c>
      <c r="I85" s="276">
        <f ca="1">'Resultater - Vestdanmark'!I85+'Resultater - Østdanmark'!I85</f>
        <v>0</v>
      </c>
      <c r="J85" s="277">
        <f ca="1">'Resultater - Vestdanmark'!J85+'Resultater - Østdanmark'!J85</f>
        <v>0</v>
      </c>
    </row>
    <row r="86" spans="1:10" s="168" customFormat="1" x14ac:dyDescent="0.25">
      <c r="A86" s="98" t="str">
        <f>'Resultater - Vestdanmark'!A86</f>
        <v>Skovproduktion</v>
      </c>
      <c r="B86" s="98" t="str">
        <f>'Resultater - Vestdanmark'!B86</f>
        <v/>
      </c>
      <c r="C86" s="98" t="str">
        <f>'Resultater - Vestdanmark'!C86</f>
        <v>Skovtype5</v>
      </c>
      <c r="D86" s="98" t="str">
        <f>'Resultater - Vestdanmark'!D86</f>
        <v>Areal-skovtype5-20</v>
      </c>
      <c r="E86" s="98" t="str">
        <f>'Resultater - Vestdanmark'!E86</f>
        <v>Hektar</v>
      </c>
      <c r="F86" s="98" t="str">
        <f>'Resultater - Vestdanmark'!F86</f>
        <v>CO2 - HWP</v>
      </c>
      <c r="G86" s="98" t="str">
        <f>'Resultater - Vestdanmark'!G86</f>
        <v>t CO2-ækvivalenter</v>
      </c>
      <c r="H86" s="275">
        <f ca="1">'Resultater - Vestdanmark'!H86+'Resultater - Østdanmark'!H86</f>
        <v>0</v>
      </c>
      <c r="I86" s="276">
        <f ca="1">'Resultater - Vestdanmark'!I86+'Resultater - Østdanmark'!I86</f>
        <v>0</v>
      </c>
      <c r="J86" s="277">
        <f ca="1">'Resultater - Vestdanmark'!J86+'Resultater - Østdanmark'!J86</f>
        <v>0</v>
      </c>
    </row>
    <row r="87" spans="1:10" x14ac:dyDescent="0.25">
      <c r="A87" s="98" t="str">
        <f>'Resultater - Vestdanmark'!A87</f>
        <v>Skovproduktion</v>
      </c>
      <c r="B87" s="98" t="str">
        <f>'Resultater - Vestdanmark'!B87</f>
        <v/>
      </c>
      <c r="C87" s="98" t="str">
        <f>'Resultater - Vestdanmark'!C87</f>
        <v>Skovtype5</v>
      </c>
      <c r="D87" s="98" t="str">
        <f>'Resultater - Vestdanmark'!D87</f>
        <v>Areal-skovtype5-30</v>
      </c>
      <c r="E87" s="98" t="str">
        <f>'Resultater - Vestdanmark'!E87</f>
        <v>Hektar</v>
      </c>
      <c r="F87" s="98" t="str">
        <f>'Resultater - Vestdanmark'!F87</f>
        <v>Træer</v>
      </c>
      <c r="G87" s="98" t="str">
        <f>'Resultater - Vestdanmark'!G87</f>
        <v>m3</v>
      </c>
      <c r="H87" s="275">
        <f ca="1">'Resultater - Vestdanmark'!H87+'Resultater - Østdanmark'!H87</f>
        <v>0</v>
      </c>
      <c r="I87" s="276">
        <f ca="1">'Resultater - Vestdanmark'!I87+'Resultater - Østdanmark'!I87</f>
        <v>0</v>
      </c>
      <c r="J87" s="277">
        <f ca="1">'Resultater - Vestdanmark'!J87+'Resultater - Østdanmark'!J87</f>
        <v>0</v>
      </c>
    </row>
    <row r="88" spans="1:10" x14ac:dyDescent="0.25">
      <c r="A88" s="98" t="str">
        <f>'Resultater - Vestdanmark'!A88</f>
        <v>Skovproduktion</v>
      </c>
      <c r="B88" s="98" t="str">
        <f>'Resultater - Vestdanmark'!B88</f>
        <v/>
      </c>
      <c r="C88" s="98" t="str">
        <f>'Resultater - Vestdanmark'!C88</f>
        <v>Skovtype5</v>
      </c>
      <c r="D88" s="98" t="str">
        <f>'Resultater - Vestdanmark'!D88</f>
        <v>Areal-skovtype5-30</v>
      </c>
      <c r="E88" s="98" t="str">
        <f>'Resultater - Vestdanmark'!E88</f>
        <v>Hektar</v>
      </c>
      <c r="F88" s="98" t="str">
        <f>'Resultater - Vestdanmark'!F88</f>
        <v>Træ til energi</v>
      </c>
      <c r="G88" s="98" t="str">
        <f>'Resultater - Vestdanmark'!G88</f>
        <v>m3</v>
      </c>
      <c r="H88" s="275">
        <f ca="1">'Resultater - Vestdanmark'!H88+'Resultater - Østdanmark'!H88</f>
        <v>0</v>
      </c>
      <c r="I88" s="276">
        <f ca="1">'Resultater - Vestdanmark'!I88+'Resultater - Østdanmark'!I88</f>
        <v>0</v>
      </c>
      <c r="J88" s="277">
        <f ca="1">'Resultater - Vestdanmark'!J88+'Resultater - Østdanmark'!J88</f>
        <v>0</v>
      </c>
    </row>
    <row r="89" spans="1:10" x14ac:dyDescent="0.25">
      <c r="A89" s="98" t="str">
        <f>'Resultater - Vestdanmark'!A89</f>
        <v>Skovproduktion</v>
      </c>
      <c r="B89" s="98" t="str">
        <f>'Resultater - Vestdanmark'!B89</f>
        <v/>
      </c>
      <c r="C89" s="98" t="str">
        <f>'Resultater - Vestdanmark'!C89</f>
        <v>Skovtype5</v>
      </c>
      <c r="D89" s="98" t="str">
        <f>'Resultater - Vestdanmark'!D89</f>
        <v>Areal-skovtype5-30</v>
      </c>
      <c r="E89" s="98" t="str">
        <f>'Resultater - Vestdanmark'!E89</f>
        <v>Hektar</v>
      </c>
      <c r="F89" s="98" t="str">
        <f>'Resultater - Vestdanmark'!F89</f>
        <v>CO2 - atmosfære</v>
      </c>
      <c r="G89" s="98" t="str">
        <f>'Resultater - Vestdanmark'!G89</f>
        <v>t CO2-ækvivalenter</v>
      </c>
      <c r="H89" s="275">
        <f ca="1">'Resultater - Vestdanmark'!H89+'Resultater - Østdanmark'!H89</f>
        <v>0</v>
      </c>
      <c r="I89" s="276">
        <f ca="1">'Resultater - Vestdanmark'!I89+'Resultater - Østdanmark'!I89</f>
        <v>0</v>
      </c>
      <c r="J89" s="277">
        <f ca="1">'Resultater - Vestdanmark'!J89+'Resultater - Østdanmark'!J89</f>
        <v>0</v>
      </c>
    </row>
    <row r="90" spans="1:10" s="168" customFormat="1" x14ac:dyDescent="0.25">
      <c r="A90" s="98" t="str">
        <f>'Resultater - Vestdanmark'!A90</f>
        <v>Skovproduktion</v>
      </c>
      <c r="B90" s="98" t="str">
        <f>'Resultater - Vestdanmark'!B90</f>
        <v/>
      </c>
      <c r="C90" s="98" t="str">
        <f>'Resultater - Vestdanmark'!C90</f>
        <v>Skovtype5</v>
      </c>
      <c r="D90" s="98" t="str">
        <f>'Resultater - Vestdanmark'!D90</f>
        <v>Areal-skovtype5-30</v>
      </c>
      <c r="E90" s="98" t="str">
        <f>'Resultater - Vestdanmark'!E90</f>
        <v>Hektar</v>
      </c>
      <c r="F90" s="98" t="str">
        <f>'Resultater - Vestdanmark'!F90</f>
        <v>CO2 - HWP</v>
      </c>
      <c r="G90" s="98" t="str">
        <f>'Resultater - Vestdanmark'!G90</f>
        <v>t CO2-ækvivalenter</v>
      </c>
      <c r="H90" s="275">
        <f ca="1">'Resultater - Vestdanmark'!H90+'Resultater - Østdanmark'!H90</f>
        <v>0</v>
      </c>
      <c r="I90" s="276">
        <f ca="1">'Resultater - Vestdanmark'!I90+'Resultater - Østdanmark'!I90</f>
        <v>0</v>
      </c>
      <c r="J90" s="277">
        <f ca="1">'Resultater - Vestdanmark'!J90+'Resultater - Østdanmark'!J90</f>
        <v>0</v>
      </c>
    </row>
    <row r="91" spans="1:10" x14ac:dyDescent="0.25">
      <c r="A91" s="98" t="str">
        <f>'Resultater - Vestdanmark'!A91</f>
        <v>Skovproduktion</v>
      </c>
      <c r="B91" s="98" t="str">
        <f>'Resultater - Vestdanmark'!B91</f>
        <v/>
      </c>
      <c r="C91" s="98" t="str">
        <f>'Resultater - Vestdanmark'!C91</f>
        <v>Skovtype5</v>
      </c>
      <c r="D91" s="98" t="str">
        <f>'Resultater - Vestdanmark'!D91</f>
        <v>Areal-skovtype5-40</v>
      </c>
      <c r="E91" s="98" t="str">
        <f>'Resultater - Vestdanmark'!E91</f>
        <v>Hektar</v>
      </c>
      <c r="F91" s="98" t="str">
        <f>'Resultater - Vestdanmark'!F91</f>
        <v>Træer</v>
      </c>
      <c r="G91" s="98" t="str">
        <f>'Resultater - Vestdanmark'!G91</f>
        <v>m3</v>
      </c>
      <c r="H91" s="275">
        <f ca="1">'Resultater - Vestdanmark'!H91+'Resultater - Østdanmark'!H91</f>
        <v>0</v>
      </c>
      <c r="I91" s="276">
        <f ca="1">'Resultater - Vestdanmark'!I91+'Resultater - Østdanmark'!I91</f>
        <v>0</v>
      </c>
      <c r="J91" s="277">
        <f ca="1">'Resultater - Vestdanmark'!J91+'Resultater - Østdanmark'!J91</f>
        <v>0</v>
      </c>
    </row>
    <row r="92" spans="1:10" x14ac:dyDescent="0.25">
      <c r="A92" s="98" t="str">
        <f>'Resultater - Vestdanmark'!A92</f>
        <v>Skovproduktion</v>
      </c>
      <c r="B92" s="98" t="str">
        <f>'Resultater - Vestdanmark'!B92</f>
        <v/>
      </c>
      <c r="C92" s="98" t="str">
        <f>'Resultater - Vestdanmark'!C92</f>
        <v>Skovtype5</v>
      </c>
      <c r="D92" s="98" t="str">
        <f>'Resultater - Vestdanmark'!D92</f>
        <v>Areal-skovtype5-40</v>
      </c>
      <c r="E92" s="98" t="str">
        <f>'Resultater - Vestdanmark'!E92</f>
        <v>Hektar</v>
      </c>
      <c r="F92" s="98" t="str">
        <f>'Resultater - Vestdanmark'!F92</f>
        <v>Træ til energi</v>
      </c>
      <c r="G92" s="98" t="str">
        <f>'Resultater - Vestdanmark'!G92</f>
        <v>m3</v>
      </c>
      <c r="H92" s="275">
        <f ca="1">'Resultater - Vestdanmark'!H92+'Resultater - Østdanmark'!H92</f>
        <v>0</v>
      </c>
      <c r="I92" s="276">
        <f ca="1">'Resultater - Vestdanmark'!I92+'Resultater - Østdanmark'!I92</f>
        <v>0</v>
      </c>
      <c r="J92" s="277">
        <f ca="1">'Resultater - Vestdanmark'!J92+'Resultater - Østdanmark'!J92</f>
        <v>0</v>
      </c>
    </row>
    <row r="93" spans="1:10" x14ac:dyDescent="0.25">
      <c r="A93" s="98" t="str">
        <f>'Resultater - Vestdanmark'!A93</f>
        <v>Skovproduktion</v>
      </c>
      <c r="B93" s="98" t="str">
        <f>'Resultater - Vestdanmark'!B93</f>
        <v/>
      </c>
      <c r="C93" s="98" t="str">
        <f>'Resultater - Vestdanmark'!C93</f>
        <v>Skovtype5</v>
      </c>
      <c r="D93" s="98" t="str">
        <f>'Resultater - Vestdanmark'!D93</f>
        <v>Areal-skovtype5-40</v>
      </c>
      <c r="E93" s="98" t="str">
        <f>'Resultater - Vestdanmark'!E93</f>
        <v>Hektar</v>
      </c>
      <c r="F93" s="98" t="str">
        <f>'Resultater - Vestdanmark'!F93</f>
        <v>CO2 - atmosfære</v>
      </c>
      <c r="G93" s="98" t="str">
        <f>'Resultater - Vestdanmark'!G93</f>
        <v>t CO2-ækvivalenter</v>
      </c>
      <c r="H93" s="275">
        <f ca="1">'Resultater - Vestdanmark'!H93+'Resultater - Østdanmark'!H93</f>
        <v>0</v>
      </c>
      <c r="I93" s="276">
        <f ca="1">'Resultater - Vestdanmark'!I93+'Resultater - Østdanmark'!I93</f>
        <v>0</v>
      </c>
      <c r="J93" s="277">
        <f ca="1">'Resultater - Vestdanmark'!J93+'Resultater - Østdanmark'!J93</f>
        <v>0</v>
      </c>
    </row>
    <row r="94" spans="1:10" s="168" customFormat="1" x14ac:dyDescent="0.25">
      <c r="A94" s="98" t="str">
        <f>'Resultater - Vestdanmark'!A94</f>
        <v>Skovproduktion</v>
      </c>
      <c r="B94" s="98" t="str">
        <f>'Resultater - Vestdanmark'!B94</f>
        <v/>
      </c>
      <c r="C94" s="98" t="str">
        <f>'Resultater - Vestdanmark'!C94</f>
        <v>Skovtype5</v>
      </c>
      <c r="D94" s="98" t="str">
        <f>'Resultater - Vestdanmark'!D94</f>
        <v>Areal-skovtype5-40</v>
      </c>
      <c r="E94" s="98" t="str">
        <f>'Resultater - Vestdanmark'!E94</f>
        <v>Hektar</v>
      </c>
      <c r="F94" s="98" t="str">
        <f>'Resultater - Vestdanmark'!F94</f>
        <v>CO2 - HWP</v>
      </c>
      <c r="G94" s="98" t="str">
        <f>'Resultater - Vestdanmark'!G94</f>
        <v>t CO2-ækvivalenter</v>
      </c>
      <c r="H94" s="275">
        <f ca="1">'Resultater - Vestdanmark'!H94+'Resultater - Østdanmark'!H94</f>
        <v>0</v>
      </c>
      <c r="I94" s="276">
        <f ca="1">'Resultater - Vestdanmark'!I94+'Resultater - Østdanmark'!I94</f>
        <v>0</v>
      </c>
      <c r="J94" s="277">
        <f ca="1">'Resultater - Vestdanmark'!J94+'Resultater - Østdanmark'!J94</f>
        <v>0</v>
      </c>
    </row>
    <row r="95" spans="1:10" x14ac:dyDescent="0.25">
      <c r="A95" s="98" t="str">
        <f>'Resultater - Vestdanmark'!A95</f>
        <v>Grisestald</v>
      </c>
      <c r="B95" s="98" t="str">
        <f>'Resultater - Vestdanmark'!B95</f>
        <v>Konventionel</v>
      </c>
      <c r="C95" s="98" t="str">
        <f>'Resultater - Vestdanmark'!C95</f>
        <v/>
      </c>
      <c r="D95" s="98" t="str">
        <f>'Resultater - Vestdanmark'!D95</f>
        <v>Svin</v>
      </c>
      <c r="E95" s="98" t="str">
        <f>'Resultater - Vestdanmark'!E95</f>
        <v>Antal</v>
      </c>
      <c r="F95" s="98" t="str">
        <f>'Resultater - Vestdanmark'!F95</f>
        <v>Slagtesvin</v>
      </c>
      <c r="G95" s="98" t="str">
        <f>'Resultater - Vestdanmark'!G95</f>
        <v>Antal</v>
      </c>
      <c r="H95" s="275">
        <f>'Resultater - Vestdanmark'!H95+'Resultater - Østdanmark'!H95</f>
        <v>16367972</v>
      </c>
      <c r="I95" s="276">
        <f>'Resultater - Vestdanmark'!I95+'Resultater - Østdanmark'!I95</f>
        <v>19198980.976350382</v>
      </c>
      <c r="J95" s="277">
        <f>'Resultater - Vestdanmark'!J95+'Resultater - Østdanmark'!J95</f>
        <v>18380654.157700397</v>
      </c>
    </row>
    <row r="96" spans="1:10" x14ac:dyDescent="0.25">
      <c r="A96" s="98" t="str">
        <f>'Resultater - Vestdanmark'!A96</f>
        <v>Grisestald</v>
      </c>
      <c r="B96" s="98" t="str">
        <f>'Resultater - Vestdanmark'!B96</f>
        <v>Konventionel</v>
      </c>
      <c r="C96" s="98" t="str">
        <f>'Resultater - Vestdanmark'!C96</f>
        <v/>
      </c>
      <c r="D96" s="98" t="str">
        <f>'Resultater - Vestdanmark'!D96</f>
        <v>Svin</v>
      </c>
      <c r="E96" s="98" t="str">
        <f>'Resultater - Vestdanmark'!E96</f>
        <v>Antal</v>
      </c>
      <c r="F96" s="98" t="str">
        <f>'Resultater - Vestdanmark'!F96</f>
        <v>Svinegylle</v>
      </c>
      <c r="G96" s="98" t="str">
        <f>'Resultater - Vestdanmark'!G96</f>
        <v>Ton</v>
      </c>
      <c r="H96" s="275">
        <f>'Resultater - Vestdanmark'!H96+'Resultater - Østdanmark'!H96</f>
        <v>17657000</v>
      </c>
      <c r="I96" s="276">
        <f>'Resultater - Vestdanmark'!I96+'Resultater - Østdanmark'!I96</f>
        <v>20710959.6167087</v>
      </c>
      <c r="J96" s="277">
        <f>'Resultater - Vestdanmark'!J96+'Resultater - Østdanmark'!J96</f>
        <v>19828187.051060196</v>
      </c>
    </row>
    <row r="97" spans="1:10" x14ac:dyDescent="0.25">
      <c r="A97" s="98" t="str">
        <f>'Resultater - Vestdanmark'!A97</f>
        <v>Grisestald</v>
      </c>
      <c r="B97" s="98" t="str">
        <f>'Resultater - Vestdanmark'!B97</f>
        <v>Konventionel</v>
      </c>
      <c r="C97" s="98" t="str">
        <f>'Resultater - Vestdanmark'!C97</f>
        <v/>
      </c>
      <c r="D97" s="98" t="str">
        <f>'Resultater - Vestdanmark'!D97</f>
        <v>Svin</v>
      </c>
      <c r="E97" s="98" t="str">
        <f>'Resultater - Vestdanmark'!E97</f>
        <v>Antal</v>
      </c>
      <c r="F97" s="98" t="str">
        <f>'Resultater - Vestdanmark'!F97</f>
        <v>Dybstrøelse</v>
      </c>
      <c r="G97" s="98" t="str">
        <f>'Resultater - Vestdanmark'!G97</f>
        <v>Ton</v>
      </c>
      <c r="H97" s="275">
        <f>'Resultater - Vestdanmark'!H97+'Resultater - Østdanmark'!H97</f>
        <v>2263500</v>
      </c>
      <c r="I97" s="276">
        <f>'Resultater - Vestdanmark'!I97+'Resultater - Østdanmark'!I97</f>
        <v>2654995.5877227243</v>
      </c>
      <c r="J97" s="277">
        <f>'Resultater - Vestdanmark'!J97+'Resultater - Østdanmark'!J97</f>
        <v>2541830.5142478766</v>
      </c>
    </row>
    <row r="98" spans="1:10" x14ac:dyDescent="0.25">
      <c r="A98" s="98" t="str">
        <f>'Resultater - Vestdanmark'!A98</f>
        <v>Grisestald</v>
      </c>
      <c r="B98" s="98" t="str">
        <f>'Resultater - Vestdanmark'!B98</f>
        <v>Konventionel</v>
      </c>
      <c r="C98" s="98" t="str">
        <f>'Resultater - Vestdanmark'!C98</f>
        <v/>
      </c>
      <c r="D98" s="98" t="str">
        <f>'Resultater - Vestdanmark'!D98</f>
        <v>Svin</v>
      </c>
      <c r="E98" s="98" t="str">
        <f>'Resultater - Vestdanmark'!E98</f>
        <v>Antal</v>
      </c>
      <c r="F98" s="98" t="str">
        <f>'Resultater - Vestdanmark'!F98</f>
        <v>Industriaffald</v>
      </c>
      <c r="G98" s="98" t="str">
        <f>'Resultater - Vestdanmark'!G98</f>
        <v>Ton</v>
      </c>
      <c r="H98" s="275">
        <f>'Resultater - Vestdanmark'!H98+'Resultater - Østdanmark'!H98</f>
        <v>185011.20708453766</v>
      </c>
      <c r="I98" s="276">
        <f>'Resultater - Vestdanmark'!I98+'Resultater - Østdanmark'!I98</f>
        <v>217010.79676991503</v>
      </c>
      <c r="J98" s="277">
        <f>'Resultater - Vestdanmark'!J98+'Resultater - Østdanmark'!J98</f>
        <v>207761.04777791505</v>
      </c>
    </row>
    <row r="99" spans="1:10" x14ac:dyDescent="0.25">
      <c r="A99" s="98" t="str">
        <f>'Resultater - Vestdanmark'!A99</f>
        <v>Grisestald</v>
      </c>
      <c r="B99" s="98" t="str">
        <f>'Resultater - Vestdanmark'!B99</f>
        <v>Konventionel</v>
      </c>
      <c r="C99" s="98" t="str">
        <f>'Resultater - Vestdanmark'!C99</f>
        <v/>
      </c>
      <c r="D99" s="98" t="str">
        <f>'Resultater - Vestdanmark'!D99</f>
        <v>Svin</v>
      </c>
      <c r="E99" s="98" t="str">
        <f>'Resultater - Vestdanmark'!E99</f>
        <v>Antal</v>
      </c>
      <c r="F99" s="98" t="str">
        <f>'Resultater - Vestdanmark'!F99</f>
        <v>Foder</v>
      </c>
      <c r="G99" s="98" t="str">
        <f>'Resultater - Vestdanmark'!G99</f>
        <v>FE</v>
      </c>
      <c r="H99" s="275">
        <f>'Resultater - Vestdanmark'!H99+'Resultater - Østdanmark'!H99</f>
        <v>-10101447931.960001</v>
      </c>
      <c r="I99" s="276">
        <f>'Resultater - Vestdanmark'!I99+'Resultater - Østdanmark'!I99</f>
        <v>-11848597167.645079</v>
      </c>
      <c r="J99" s="277">
        <f>'Resultater - Vestdanmark'!J99+'Resultater - Østdanmark'!J99</f>
        <v>-11343569070.705561</v>
      </c>
    </row>
    <row r="100" spans="1:10" x14ac:dyDescent="0.25">
      <c r="A100" s="98" t="str">
        <f>'Resultater - Vestdanmark'!A100</f>
        <v>Grisestald</v>
      </c>
      <c r="B100" s="98" t="str">
        <f>'Resultater - Vestdanmark'!B100</f>
        <v>Konventionel</v>
      </c>
      <c r="C100" s="98" t="str">
        <f>'Resultater - Vestdanmark'!C100</f>
        <v/>
      </c>
      <c r="D100" s="98" t="str">
        <f>'Resultater - Vestdanmark'!D100</f>
        <v>Svin</v>
      </c>
      <c r="E100" s="98" t="str">
        <f>'Resultater - Vestdanmark'!E100</f>
        <v>Antal</v>
      </c>
      <c r="F100" s="98" t="str">
        <f>'Resultater - Vestdanmark'!F100</f>
        <v>Halm</v>
      </c>
      <c r="G100" s="98" t="str">
        <f>'Resultater - Vestdanmark'!G100</f>
        <v>Ton</v>
      </c>
      <c r="H100" s="275">
        <f>'Resultater - Vestdanmark'!H100+'Resultater - Østdanmark'!H100</f>
        <v>-775790.06759999995</v>
      </c>
      <c r="I100" s="276">
        <f>'Resultater - Vestdanmark'!I100+'Resultater - Østdanmark'!I100</f>
        <v>-909970.93283724925</v>
      </c>
      <c r="J100" s="277">
        <f>'Resultater - Vestdanmark'!J100+'Resultater - Østdanmark'!J100</f>
        <v>-871184.83166604931</v>
      </c>
    </row>
    <row r="101" spans="1:10" x14ac:dyDescent="0.25">
      <c r="A101" s="98" t="str">
        <f>'Resultater - Vestdanmark'!A101</f>
        <v>Grisestald</v>
      </c>
      <c r="B101" s="98" t="str">
        <f>'Resultater - Vestdanmark'!B101</f>
        <v>Konventionel</v>
      </c>
      <c r="C101" s="98" t="str">
        <f>'Resultater - Vestdanmark'!C101</f>
        <v/>
      </c>
      <c r="D101" s="98" t="str">
        <f>'Resultater - Vestdanmark'!D101</f>
        <v>Svin</v>
      </c>
      <c r="E101" s="98" t="str">
        <f>'Resultater - Vestdanmark'!E101</f>
        <v>Antal</v>
      </c>
      <c r="F101" s="98" t="str">
        <f>'Resultater - Vestdanmark'!F101</f>
        <v>CO2 - atmosfære</v>
      </c>
      <c r="G101" s="98" t="str">
        <f>'Resultater - Vestdanmark'!G101</f>
        <v>t CO2-ækvivalenter</v>
      </c>
      <c r="H101" s="275">
        <f>'Resultater - Vestdanmark'!H101+'Resultater - Østdanmark'!H101</f>
        <v>1322792.8112606632</v>
      </c>
      <c r="I101" s="276">
        <f>'Resultater - Vestdanmark'!I101+'Resultater - Østdanmark'!I101</f>
        <v>1551583.4227384133</v>
      </c>
      <c r="J101" s="277">
        <f>'Resultater - Vestdanmark'!J101+'Resultater - Østdanmark'!J101</f>
        <v>1485449.583251639</v>
      </c>
    </row>
    <row r="102" spans="1:10" x14ac:dyDescent="0.25">
      <c r="A102" s="98" t="str">
        <f>'Resultater - Vestdanmark'!A102</f>
        <v>Grisestald</v>
      </c>
      <c r="B102" s="98" t="str">
        <f>'Resultater - Vestdanmark'!B102</f>
        <v>Økologisk</v>
      </c>
      <c r="C102" s="98" t="str">
        <f>'Resultater - Vestdanmark'!C102</f>
        <v/>
      </c>
      <c r="D102" s="98" t="str">
        <f>'Resultater - Vestdanmark'!D102</f>
        <v>Svin</v>
      </c>
      <c r="E102" s="98" t="str">
        <f>'Resultater - Vestdanmark'!E102</f>
        <v>Antal</v>
      </c>
      <c r="F102" s="98" t="str">
        <f>'Resultater - Vestdanmark'!F102</f>
        <v>Slagtesvin</v>
      </c>
      <c r="G102" s="98" t="str">
        <f>'Resultater - Vestdanmark'!G102</f>
        <v>Antal</v>
      </c>
      <c r="H102" s="275">
        <f>'Resultater - Vestdanmark'!H102+'Resultater - Østdanmark'!H102</f>
        <v>232028</v>
      </c>
      <c r="I102" s="276">
        <f>'Resultater - Vestdanmark'!I102+'Resultater - Østdanmark'!I102</f>
        <v>429339.84441808489</v>
      </c>
      <c r="J102" s="277">
        <f>'Resultater - Vestdanmark'!J102+'Resultater - Østdanmark'!J102</f>
        <v>708360.843100667</v>
      </c>
    </row>
    <row r="103" spans="1:10" x14ac:dyDescent="0.25">
      <c r="A103" s="98" t="str">
        <f>'Resultater - Vestdanmark'!A103</f>
        <v>Grisestald</v>
      </c>
      <c r="B103" s="98" t="str">
        <f>'Resultater - Vestdanmark'!B103</f>
        <v>Økologisk</v>
      </c>
      <c r="C103" s="98" t="str">
        <f>'Resultater - Vestdanmark'!C103</f>
        <v/>
      </c>
      <c r="D103" s="98" t="str">
        <f>'Resultater - Vestdanmark'!D103</f>
        <v>Svin</v>
      </c>
      <c r="E103" s="98" t="str">
        <f>'Resultater - Vestdanmark'!E103</f>
        <v>Antal</v>
      </c>
      <c r="F103" s="98" t="str">
        <f>'Resultater - Vestdanmark'!F103</f>
        <v>Svinegylle</v>
      </c>
      <c r="G103" s="98" t="str">
        <f>'Resultater - Vestdanmark'!G103</f>
        <v>Ton</v>
      </c>
      <c r="H103" s="275">
        <f>'Resultater - Vestdanmark'!H103+'Resultater - Østdanmark'!H103</f>
        <v>0</v>
      </c>
      <c r="I103" s="276">
        <f>'Resultater - Vestdanmark'!I103+'Resultater - Østdanmark'!I103</f>
        <v>0</v>
      </c>
      <c r="J103" s="277">
        <f>'Resultater - Vestdanmark'!J103+'Resultater - Østdanmark'!J103</f>
        <v>0</v>
      </c>
    </row>
    <row r="104" spans="1:10" x14ac:dyDescent="0.25">
      <c r="A104" s="98" t="str">
        <f>'Resultater - Vestdanmark'!A104</f>
        <v>Grisestald</v>
      </c>
      <c r="B104" s="98" t="str">
        <f>'Resultater - Vestdanmark'!B104</f>
        <v>Økologisk</v>
      </c>
      <c r="C104" s="98" t="str">
        <f>'Resultater - Vestdanmark'!C104</f>
        <v/>
      </c>
      <c r="D104" s="98" t="str">
        <f>'Resultater - Vestdanmark'!D104</f>
        <v>Svin</v>
      </c>
      <c r="E104" s="98" t="str">
        <f>'Resultater - Vestdanmark'!E104</f>
        <v>Antal</v>
      </c>
      <c r="F104" s="98" t="str">
        <f>'Resultater - Vestdanmark'!F104</f>
        <v>Dybstrøelse</v>
      </c>
      <c r="G104" s="98" t="str">
        <f>'Resultater - Vestdanmark'!G104</f>
        <v>Ton</v>
      </c>
      <c r="H104" s="275">
        <f>'Resultater - Vestdanmark'!H104+'Resultater - Østdanmark'!H104</f>
        <v>251500.00000000003</v>
      </c>
      <c r="I104" s="276">
        <f>'Resultater - Vestdanmark'!I104+'Resultater - Østdanmark'!I104</f>
        <v>465370.43318542745</v>
      </c>
      <c r="J104" s="277">
        <f>'Resultater - Vestdanmark'!J104+'Resultater - Østdanmark'!J104</f>
        <v>767807.12689769233</v>
      </c>
    </row>
    <row r="105" spans="1:10" x14ac:dyDescent="0.25">
      <c r="A105" s="98" t="str">
        <f>'Resultater - Vestdanmark'!A105</f>
        <v>Grisestald</v>
      </c>
      <c r="B105" s="98" t="str">
        <f>'Resultater - Vestdanmark'!B105</f>
        <v>Økologisk</v>
      </c>
      <c r="C105" s="98" t="str">
        <f>'Resultater - Vestdanmark'!C105</f>
        <v/>
      </c>
      <c r="D105" s="98" t="str">
        <f>'Resultater - Vestdanmark'!D105</f>
        <v>Svin</v>
      </c>
      <c r="E105" s="98" t="str">
        <f>'Resultater - Vestdanmark'!E105</f>
        <v>Antal</v>
      </c>
      <c r="F105" s="98" t="str">
        <f>'Resultater - Vestdanmark'!F105</f>
        <v>Industriaffald</v>
      </c>
      <c r="G105" s="98" t="str">
        <f>'Resultater - Vestdanmark'!G105</f>
        <v>Ton</v>
      </c>
      <c r="H105" s="275">
        <f>'Resultater - Vestdanmark'!H105+'Resultater - Østdanmark'!H105</f>
        <v>7691.8969154623392</v>
      </c>
      <c r="I105" s="276">
        <f>'Resultater - Vestdanmark'!I105+'Resultater - Østdanmark'!I105</f>
        <v>14232.928030084939</v>
      </c>
      <c r="J105" s="277">
        <f>'Resultater - Vestdanmark'!J105+'Resultater - Østdanmark'!J105</f>
        <v>23482.677022084932</v>
      </c>
    </row>
    <row r="106" spans="1:10" x14ac:dyDescent="0.25">
      <c r="A106" s="98" t="str">
        <f>'Resultater - Vestdanmark'!A106</f>
        <v>Grisestald</v>
      </c>
      <c r="B106" s="98" t="str">
        <f>'Resultater - Vestdanmark'!B106</f>
        <v>Økologisk</v>
      </c>
      <c r="C106" s="98" t="str">
        <f>'Resultater - Vestdanmark'!C106</f>
        <v/>
      </c>
      <c r="D106" s="98" t="str">
        <f>'Resultater - Vestdanmark'!D106</f>
        <v>Svin</v>
      </c>
      <c r="E106" s="98" t="str">
        <f>'Resultater - Vestdanmark'!E106</f>
        <v>Antal</v>
      </c>
      <c r="F106" s="98" t="str">
        <f>'Resultater - Vestdanmark'!F106</f>
        <v>Foder</v>
      </c>
      <c r="G106" s="98" t="str">
        <f>'Resultater - Vestdanmark'!G106</f>
        <v>FE</v>
      </c>
      <c r="H106" s="275">
        <f>'Resultater - Vestdanmark'!H106+'Resultater - Østdanmark'!H106</f>
        <v>-419970754.27999997</v>
      </c>
      <c r="I106" s="276">
        <f>'Resultater - Vestdanmark'!I106+'Resultater - Østdanmark'!I106</f>
        <v>-777105255.84291983</v>
      </c>
      <c r="J106" s="277">
        <f>'Resultater - Vestdanmark'!J106+'Resultater - Østdanmark'!J106</f>
        <v>-1282133352.7824395</v>
      </c>
    </row>
    <row r="107" spans="1:10" x14ac:dyDescent="0.25">
      <c r="A107" s="98" t="str">
        <f>'Resultater - Vestdanmark'!A107</f>
        <v>Grisestald</v>
      </c>
      <c r="B107" s="98" t="str">
        <f>'Resultater - Vestdanmark'!B107</f>
        <v>Økologisk</v>
      </c>
      <c r="C107" s="98" t="str">
        <f>'Resultater - Vestdanmark'!C107</f>
        <v/>
      </c>
      <c r="D107" s="98" t="str">
        <f>'Resultater - Vestdanmark'!D107</f>
        <v>Svin</v>
      </c>
      <c r="E107" s="98" t="str">
        <f>'Resultater - Vestdanmark'!E107</f>
        <v>Antal</v>
      </c>
      <c r="F107" s="98" t="str">
        <f>'Resultater - Vestdanmark'!F107</f>
        <v>Halm</v>
      </c>
      <c r="G107" s="98" t="str">
        <f>'Resultater - Vestdanmark'!G107</f>
        <v>Ton</v>
      </c>
      <c r="H107" s="275">
        <f>'Resultater - Vestdanmark'!H107+'Resultater - Østdanmark'!H107</f>
        <v>-28350.861000000001</v>
      </c>
      <c r="I107" s="276">
        <f>'Resultater - Vestdanmark'!I107+'Resultater - Østdanmark'!I107</f>
        <v>-52459.850754472529</v>
      </c>
      <c r="J107" s="277">
        <f>'Resultater - Vestdanmark'!J107+'Resultater - Østdanmark'!J107</f>
        <v>-86552.65657847251</v>
      </c>
    </row>
    <row r="108" spans="1:10" x14ac:dyDescent="0.25">
      <c r="A108" s="98" t="str">
        <f>'Resultater - Vestdanmark'!A108</f>
        <v>Grisestald</v>
      </c>
      <c r="B108" s="98" t="str">
        <f>'Resultater - Vestdanmark'!B108</f>
        <v>Økologisk</v>
      </c>
      <c r="C108" s="98" t="str">
        <f>'Resultater - Vestdanmark'!C108</f>
        <v/>
      </c>
      <c r="D108" s="98" t="str">
        <f>'Resultater - Vestdanmark'!D108</f>
        <v>Svin</v>
      </c>
      <c r="E108" s="98" t="str">
        <f>'Resultater - Vestdanmark'!E108</f>
        <v>Antal</v>
      </c>
      <c r="F108" s="98" t="str">
        <f>'Resultater - Vestdanmark'!F108</f>
        <v>CO2 - atmosfære</v>
      </c>
      <c r="G108" s="98" t="str">
        <f>'Resultater - Vestdanmark'!G108</f>
        <v>t CO2-ækvivalenter</v>
      </c>
      <c r="H108" s="275">
        <f>'Resultater - Vestdanmark'!H108+'Resultater - Østdanmark'!H108</f>
        <v>60495.062518513841</v>
      </c>
      <c r="I108" s="276">
        <f>'Resultater - Vestdanmark'!I108+'Resultater - Østdanmark'!I108</f>
        <v>111938.82087403699</v>
      </c>
      <c r="J108" s="277">
        <f>'Resultater - Vestdanmark'!J108+'Resultater - Østdanmark'!J108</f>
        <v>184686.04430948858</v>
      </c>
    </row>
    <row r="109" spans="1:10" x14ac:dyDescent="0.25">
      <c r="A109" s="98" t="str">
        <f>'Resultater - Vestdanmark'!A109</f>
        <v>Kostald</v>
      </c>
      <c r="B109" s="98" t="str">
        <f>'Resultater - Vestdanmark'!B109</f>
        <v>Konventionel</v>
      </c>
      <c r="C109" s="98" t="str">
        <f>'Resultater - Vestdanmark'!C109</f>
        <v/>
      </c>
      <c r="D109" s="98" t="str">
        <f>'Resultater - Vestdanmark'!D109</f>
        <v>Køer</v>
      </c>
      <c r="E109" s="98" t="str">
        <f>'Resultater - Vestdanmark'!E109</f>
        <v>Antal</v>
      </c>
      <c r="F109" s="98" t="str">
        <f>'Resultater - Vestdanmark'!F109</f>
        <v>Slagtekøer</v>
      </c>
      <c r="G109" s="98" t="str">
        <f>'Resultater - Vestdanmark'!G109</f>
        <v>Antal</v>
      </c>
      <c r="H109" s="275">
        <f>'Resultater - Vestdanmark'!H109+'Resultater - Østdanmark'!H109</f>
        <v>440600</v>
      </c>
      <c r="I109" s="276">
        <f>'Resultater - Vestdanmark'!I109+'Resultater - Østdanmark'!I109</f>
        <v>515256.62004104216</v>
      </c>
      <c r="J109" s="277">
        <f>'Resultater - Vestdanmark'!J109+'Resultater - Østdanmark'!J109</f>
        <v>490363.24510962487</v>
      </c>
    </row>
    <row r="110" spans="1:10" x14ac:dyDescent="0.25">
      <c r="A110" s="98" t="str">
        <f>'Resultater - Vestdanmark'!A110</f>
        <v>Kostald</v>
      </c>
      <c r="B110" s="98" t="str">
        <f>'Resultater - Vestdanmark'!B110</f>
        <v>Konventionel</v>
      </c>
      <c r="C110" s="98" t="str">
        <f>'Resultater - Vestdanmark'!C110</f>
        <v/>
      </c>
      <c r="D110" s="98" t="str">
        <f>'Resultater - Vestdanmark'!D110</f>
        <v>Køer</v>
      </c>
      <c r="E110" s="98" t="str">
        <f>'Resultater - Vestdanmark'!E110</f>
        <v>Antal</v>
      </c>
      <c r="F110" s="98" t="str">
        <f>'Resultater - Vestdanmark'!F110</f>
        <v>Kvæggylle</v>
      </c>
      <c r="G110" s="98" t="str">
        <f>'Resultater - Vestdanmark'!G110</f>
        <v>Ton</v>
      </c>
      <c r="H110" s="275">
        <f>'Resultater - Vestdanmark'!H110+'Resultater - Østdanmark'!H110</f>
        <v>12785500</v>
      </c>
      <c r="I110" s="276">
        <f>'Resultater - Vestdanmark'!I110+'Resultater - Østdanmark'!I110</f>
        <v>14951914.470119709</v>
      </c>
      <c r="J110" s="277">
        <f>'Resultater - Vestdanmark'!J110+'Resultater - Østdanmark'!J110</f>
        <v>14229548.956761481</v>
      </c>
    </row>
    <row r="111" spans="1:10" x14ac:dyDescent="0.25">
      <c r="A111" s="98" t="str">
        <f>'Resultater - Vestdanmark'!A111</f>
        <v>Kostald</v>
      </c>
      <c r="B111" s="98" t="str">
        <f>'Resultater - Vestdanmark'!B111</f>
        <v>Konventionel</v>
      </c>
      <c r="C111" s="98" t="str">
        <f>'Resultater - Vestdanmark'!C111</f>
        <v/>
      </c>
      <c r="D111" s="98" t="str">
        <f>'Resultater - Vestdanmark'!D111</f>
        <v>Køer</v>
      </c>
      <c r="E111" s="98" t="str">
        <f>'Resultater - Vestdanmark'!E111</f>
        <v>Antal</v>
      </c>
      <c r="F111" s="98" t="str">
        <f>'Resultater - Vestdanmark'!F111</f>
        <v>Dybstrøelse</v>
      </c>
      <c r="G111" s="98" t="str">
        <f>'Resultater - Vestdanmark'!G111</f>
        <v>Ton</v>
      </c>
      <c r="H111" s="275">
        <f>'Resultater - Vestdanmark'!H111+'Resultater - Østdanmark'!H111</f>
        <v>250560.00000000003</v>
      </c>
      <c r="I111" s="276">
        <f>'Resultater - Vestdanmark'!I111+'Resultater - Østdanmark'!I111</f>
        <v>293015.65755216411</v>
      </c>
      <c r="J111" s="277">
        <f>'Resultater - Vestdanmark'!J111+'Resultater - Østdanmark'!J111</f>
        <v>278859.31614767952</v>
      </c>
    </row>
    <row r="112" spans="1:10" x14ac:dyDescent="0.25">
      <c r="A112" s="98" t="str">
        <f>'Resultater - Vestdanmark'!A112</f>
        <v>Kostald</v>
      </c>
      <c r="B112" s="98" t="str">
        <f>'Resultater - Vestdanmark'!B112</f>
        <v>Konventionel</v>
      </c>
      <c r="C112" s="98" t="str">
        <f>'Resultater - Vestdanmark'!C112</f>
        <v/>
      </c>
      <c r="D112" s="98" t="str">
        <f>'Resultater - Vestdanmark'!D112</f>
        <v>Køer</v>
      </c>
      <c r="E112" s="98" t="str">
        <f>'Resultater - Vestdanmark'!E112</f>
        <v>Antal</v>
      </c>
      <c r="F112" s="98" t="str">
        <f>'Resultater - Vestdanmark'!F112</f>
        <v>Råmælk</v>
      </c>
      <c r="G112" s="98" t="str">
        <f>'Resultater - Vestdanmark'!G112</f>
        <v>Ton</v>
      </c>
      <c r="H112" s="275">
        <f>'Resultater - Vestdanmark'!H112+'Resultater - Østdanmark'!H112</f>
        <v>4786000</v>
      </c>
      <c r="I112" s="276">
        <f>'Resultater - Vestdanmark'!I112+'Resultater - Østdanmark'!I112</f>
        <v>5596954.5699419603</v>
      </c>
      <c r="J112" s="277">
        <f>'Resultater - Vestdanmark'!J112+'Resultater - Østdanmark'!J112</f>
        <v>5326551.2734785844</v>
      </c>
    </row>
    <row r="113" spans="1:10" x14ac:dyDescent="0.25">
      <c r="A113" s="98" t="str">
        <f>'Resultater - Vestdanmark'!A113</f>
        <v>Kostald</v>
      </c>
      <c r="B113" s="98" t="str">
        <f>'Resultater - Vestdanmark'!B113</f>
        <v>Konventionel</v>
      </c>
      <c r="C113" s="98" t="str">
        <f>'Resultater - Vestdanmark'!C113</f>
        <v/>
      </c>
      <c r="D113" s="98" t="str">
        <f>'Resultater - Vestdanmark'!D113</f>
        <v>Køer</v>
      </c>
      <c r="E113" s="98" t="str">
        <f>'Resultater - Vestdanmark'!E113</f>
        <v>Antal</v>
      </c>
      <c r="F113" s="98" t="str">
        <f>'Resultater - Vestdanmark'!F113</f>
        <v>Industriaffald</v>
      </c>
      <c r="G113" s="98" t="str">
        <f>'Resultater - Vestdanmark'!G113</f>
        <v>Ton</v>
      </c>
      <c r="H113" s="275">
        <f>'Resultater - Vestdanmark'!H113+'Resultater - Østdanmark'!H113</f>
        <v>54522.149641311174</v>
      </c>
      <c r="I113" s="276">
        <f>'Resultater - Vestdanmark'!I113+'Resultater - Østdanmark'!I113</f>
        <v>63760.550480149599</v>
      </c>
      <c r="J113" s="277">
        <f>'Resultater - Vestdanmark'!J113+'Resultater - Østdanmark'!J113</f>
        <v>60680.11400014961</v>
      </c>
    </row>
    <row r="114" spans="1:10" x14ac:dyDescent="0.25">
      <c r="A114" s="98" t="str">
        <f>'Resultater - Vestdanmark'!A114</f>
        <v>Kostald</v>
      </c>
      <c r="B114" s="98" t="str">
        <f>'Resultater - Vestdanmark'!B114</f>
        <v>Konventionel</v>
      </c>
      <c r="C114" s="98" t="str">
        <f>'Resultater - Vestdanmark'!C114</f>
        <v/>
      </c>
      <c r="D114" s="98" t="str">
        <f>'Resultater - Vestdanmark'!D114</f>
        <v>Køer</v>
      </c>
      <c r="E114" s="98" t="str">
        <f>'Resultater - Vestdanmark'!E114</f>
        <v>Antal</v>
      </c>
      <c r="F114" s="98" t="str">
        <f>'Resultater - Vestdanmark'!F114</f>
        <v>Foder</v>
      </c>
      <c r="G114" s="98" t="str">
        <f>'Resultater - Vestdanmark'!G114</f>
        <v>FE</v>
      </c>
      <c r="H114" s="275">
        <f>'Resultater - Vestdanmark'!H114+'Resultater - Østdanmark'!H114</f>
        <v>-3317225912</v>
      </c>
      <c r="I114" s="276">
        <f>'Resultater - Vestdanmark'!I114+'Resultater - Østdanmark'!I114</f>
        <v>-3879306880.0038209</v>
      </c>
      <c r="J114" s="277">
        <f>'Resultater - Vestdanmark'!J114+'Resultater - Østdanmark'!J114</f>
        <v>-3691887569.1558208</v>
      </c>
    </row>
    <row r="115" spans="1:10" x14ac:dyDescent="0.25">
      <c r="A115" s="98" t="str">
        <f>'Resultater - Vestdanmark'!A115</f>
        <v>Kostald</v>
      </c>
      <c r="B115" s="98" t="str">
        <f>'Resultater - Vestdanmark'!B115</f>
        <v>Konventionel</v>
      </c>
      <c r="C115" s="98" t="str">
        <f>'Resultater - Vestdanmark'!C115</f>
        <v/>
      </c>
      <c r="D115" s="98" t="str">
        <f>'Resultater - Vestdanmark'!D115</f>
        <v>Køer</v>
      </c>
      <c r="E115" s="98" t="str">
        <f>'Resultater - Vestdanmark'!E115</f>
        <v>Antal</v>
      </c>
      <c r="F115" s="98" t="str">
        <f>'Resultater - Vestdanmark'!F115</f>
        <v>Halm</v>
      </c>
      <c r="G115" s="98" t="str">
        <f>'Resultater - Vestdanmark'!G115</f>
        <v>Ton</v>
      </c>
      <c r="H115" s="275">
        <f>'Resultater - Vestdanmark'!H115+'Resultater - Østdanmark'!H115</f>
        <v>-13874.569799999999</v>
      </c>
      <c r="I115" s="276">
        <f>'Resultater - Vestdanmark'!I115+'Resultater - Østdanmark'!I115</f>
        <v>-16225.519608877707</v>
      </c>
      <c r="J115" s="277">
        <f>'Resultater - Vestdanmark'!J115+'Resultater - Østdanmark'!J115</f>
        <v>-15441.622949677709</v>
      </c>
    </row>
    <row r="116" spans="1:10" x14ac:dyDescent="0.25">
      <c r="A116" s="98" t="str">
        <f>'Resultater - Vestdanmark'!A116</f>
        <v>Kostald</v>
      </c>
      <c r="B116" s="98" t="str">
        <f>'Resultater - Vestdanmark'!B116</f>
        <v>Konventionel</v>
      </c>
      <c r="C116" s="98" t="str">
        <f>'Resultater - Vestdanmark'!C116</f>
        <v/>
      </c>
      <c r="D116" s="98" t="str">
        <f>'Resultater - Vestdanmark'!D116</f>
        <v>Køer</v>
      </c>
      <c r="E116" s="98" t="str">
        <f>'Resultater - Vestdanmark'!E116</f>
        <v>Antal</v>
      </c>
      <c r="F116" s="98" t="str">
        <f>'Resultater - Vestdanmark'!F116</f>
        <v>CO2 - atmosfære</v>
      </c>
      <c r="G116" s="98" t="str">
        <f>'Resultater - Vestdanmark'!G116</f>
        <v>t CO2-ækvivalenter</v>
      </c>
      <c r="H116" s="275">
        <f>'Resultater - Vestdanmark'!H116+'Resultater - Østdanmark'!H116</f>
        <v>3588024.4873487833</v>
      </c>
      <c r="I116" s="276">
        <f>'Resultater - Vestdanmark'!I116+'Resultater - Østdanmark'!I116</f>
        <v>4195990.3994004242</v>
      </c>
      <c r="J116" s="277">
        <f>'Resultater - Vestdanmark'!J116+'Resultater - Østdanmark'!J116</f>
        <v>3993271.2917592996</v>
      </c>
    </row>
    <row r="117" spans="1:10" x14ac:dyDescent="0.25">
      <c r="A117" s="98" t="str">
        <f>'Resultater - Vestdanmark'!A117</f>
        <v>Kostald</v>
      </c>
      <c r="B117" s="98" t="str">
        <f>'Resultater - Vestdanmark'!B117</f>
        <v>Økologisk</v>
      </c>
      <c r="C117" s="98" t="str">
        <f>'Resultater - Vestdanmark'!C117</f>
        <v/>
      </c>
      <c r="D117" s="98" t="str">
        <f>'Resultater - Vestdanmark'!D117</f>
        <v>Køer</v>
      </c>
      <c r="E117" s="98" t="str">
        <f>'Resultater - Vestdanmark'!E117</f>
        <v>Antal</v>
      </c>
      <c r="F117" s="98" t="str">
        <f>'Resultater - Vestdanmark'!F117</f>
        <v>Slagtekøer</v>
      </c>
      <c r="G117" s="98" t="str">
        <f>'Resultater - Vestdanmark'!G117</f>
        <v>Antal</v>
      </c>
      <c r="H117" s="275">
        <f>'Resultater - Vestdanmark'!H117+'Resultater - Østdanmark'!H117</f>
        <v>23400.000000000004</v>
      </c>
      <c r="I117" s="276">
        <f>'Resultater - Vestdanmark'!I117+'Resultater - Østdanmark'!I117</f>
        <v>32118.393848932199</v>
      </c>
      <c r="J117" s="277">
        <f>'Resultater - Vestdanmark'!J117+'Resultater - Østdanmark'!J117</f>
        <v>39585.259710896644</v>
      </c>
    </row>
    <row r="118" spans="1:10" x14ac:dyDescent="0.25">
      <c r="A118" s="98" t="str">
        <f>'Resultater - Vestdanmark'!A118</f>
        <v>Kostald</v>
      </c>
      <c r="B118" s="98" t="str">
        <f>'Resultater - Vestdanmark'!B118</f>
        <v>Økologisk</v>
      </c>
      <c r="C118" s="98" t="str">
        <f>'Resultater - Vestdanmark'!C118</f>
        <v/>
      </c>
      <c r="D118" s="98" t="str">
        <f>'Resultater - Vestdanmark'!D118</f>
        <v>Køer</v>
      </c>
      <c r="E118" s="98" t="str">
        <f>'Resultater - Vestdanmark'!E118</f>
        <v>Antal</v>
      </c>
      <c r="F118" s="98" t="str">
        <f>'Resultater - Vestdanmark'!F118</f>
        <v>Kvæggylle</v>
      </c>
      <c r="G118" s="98" t="str">
        <f>'Resultater - Vestdanmark'!G118</f>
        <v>Ton</v>
      </c>
      <c r="H118" s="275">
        <f>'Resultater - Vestdanmark'!H118+'Resultater - Østdanmark'!H118</f>
        <v>1264500</v>
      </c>
      <c r="I118" s="276">
        <f>'Resultater - Vestdanmark'!I118+'Resultater - Østdanmark'!I118</f>
        <v>1735628.5906826821</v>
      </c>
      <c r="J118" s="277">
        <f>'Resultater - Vestdanmark'!J118+'Resultater - Østdanmark'!J118</f>
        <v>2139126.5343772992</v>
      </c>
    </row>
    <row r="119" spans="1:10" x14ac:dyDescent="0.25">
      <c r="A119" s="98" t="str">
        <f>'Resultater - Vestdanmark'!A119</f>
        <v>Kostald</v>
      </c>
      <c r="B119" s="98" t="str">
        <f>'Resultater - Vestdanmark'!B119</f>
        <v>Økologisk</v>
      </c>
      <c r="C119" s="98" t="str">
        <f>'Resultater - Vestdanmark'!C119</f>
        <v/>
      </c>
      <c r="D119" s="98" t="str">
        <f>'Resultater - Vestdanmark'!D119</f>
        <v>Køer</v>
      </c>
      <c r="E119" s="98" t="str">
        <f>'Resultater - Vestdanmark'!E119</f>
        <v>Antal</v>
      </c>
      <c r="F119" s="98" t="str">
        <f>'Resultater - Vestdanmark'!F119</f>
        <v>Dybstrøelse</v>
      </c>
      <c r="G119" s="98" t="str">
        <f>'Resultater - Vestdanmark'!G119</f>
        <v>Ton</v>
      </c>
      <c r="H119" s="275">
        <f>'Resultater - Vestdanmark'!H119+'Resultater - Østdanmark'!H119</f>
        <v>10440.000000000002</v>
      </c>
      <c r="I119" s="276">
        <f>'Resultater - Vestdanmark'!I119+'Resultater - Østdanmark'!I119</f>
        <v>14329.744947985135</v>
      </c>
      <c r="J119" s="277">
        <f>'Resultater - Vestdanmark'!J119+'Resultater - Østdanmark'!J119</f>
        <v>17661.115871015427</v>
      </c>
    </row>
    <row r="120" spans="1:10" x14ac:dyDescent="0.25">
      <c r="A120" s="98" t="str">
        <f>'Resultater - Vestdanmark'!A120</f>
        <v>Kostald</v>
      </c>
      <c r="B120" s="98" t="str">
        <f>'Resultater - Vestdanmark'!B120</f>
        <v>Økologisk</v>
      </c>
      <c r="C120" s="98" t="str">
        <f>'Resultater - Vestdanmark'!C120</f>
        <v/>
      </c>
      <c r="D120" s="98" t="str">
        <f>'Resultater - Vestdanmark'!D120</f>
        <v>Køer</v>
      </c>
      <c r="E120" s="98" t="str">
        <f>'Resultater - Vestdanmark'!E120</f>
        <v>Antal</v>
      </c>
      <c r="F120" s="98" t="str">
        <f>'Resultater - Vestdanmark'!F120</f>
        <v>Råmælk</v>
      </c>
      <c r="G120" s="98" t="str">
        <f>'Resultater - Vestdanmark'!G120</f>
        <v>Ton</v>
      </c>
      <c r="H120" s="275">
        <f>'Resultater - Vestdanmark'!H120+'Resultater - Østdanmark'!H120</f>
        <v>482999.99999999994</v>
      </c>
      <c r="I120" s="276">
        <f>'Resultater - Vestdanmark'!I120+'Resultater - Østdanmark'!I120</f>
        <v>662956.59098436963</v>
      </c>
      <c r="J120" s="277">
        <f>'Resultater - Vestdanmark'!J120+'Resultater - Østdanmark'!J120</f>
        <v>817080.36069927691</v>
      </c>
    </row>
    <row r="121" spans="1:10" x14ac:dyDescent="0.25">
      <c r="A121" s="98" t="str">
        <f>'Resultater - Vestdanmark'!A121</f>
        <v>Kostald</v>
      </c>
      <c r="B121" s="98" t="str">
        <f>'Resultater - Vestdanmark'!B121</f>
        <v>Økologisk</v>
      </c>
      <c r="C121" s="98" t="str">
        <f>'Resultater - Vestdanmark'!C121</f>
        <v/>
      </c>
      <c r="D121" s="98" t="str">
        <f>'Resultater - Vestdanmark'!D121</f>
        <v>Køer</v>
      </c>
      <c r="E121" s="98" t="str">
        <f>'Resultater - Vestdanmark'!E121</f>
        <v>Antal</v>
      </c>
      <c r="F121" s="98" t="str">
        <f>'Resultater - Vestdanmark'!F121</f>
        <v>Industriaffald</v>
      </c>
      <c r="G121" s="98" t="str">
        <f>'Resultater - Vestdanmark'!G121</f>
        <v>Ton</v>
      </c>
      <c r="H121" s="275">
        <f>'Resultater - Vestdanmark'!H121+'Resultater - Østdanmark'!H121</f>
        <v>9653.6103586888312</v>
      </c>
      <c r="I121" s="276">
        <f>'Resultater - Vestdanmark'!I121+'Resultater - Østdanmark'!I121</f>
        <v>13250.361519850407</v>
      </c>
      <c r="J121" s="277">
        <f>'Resultater - Vestdanmark'!J121+'Resultater - Østdanmark'!J121</f>
        <v>16330.797999850405</v>
      </c>
    </row>
    <row r="122" spans="1:10" x14ac:dyDescent="0.25">
      <c r="A122" s="98" t="str">
        <f>'Resultater - Vestdanmark'!A122</f>
        <v>Kostald</v>
      </c>
      <c r="B122" s="98" t="str">
        <f>'Resultater - Vestdanmark'!B122</f>
        <v>Økologisk</v>
      </c>
      <c r="C122" s="98" t="str">
        <f>'Resultater - Vestdanmark'!C122</f>
        <v/>
      </c>
      <c r="D122" s="98" t="str">
        <f>'Resultater - Vestdanmark'!D122</f>
        <v>Køer</v>
      </c>
      <c r="E122" s="98" t="str">
        <f>'Resultater - Vestdanmark'!E122</f>
        <v>Antal</v>
      </c>
      <c r="F122" s="98" t="str">
        <f>'Resultater - Vestdanmark'!F122</f>
        <v>Foder</v>
      </c>
      <c r="G122" s="98" t="str">
        <f>'Resultater - Vestdanmark'!G122</f>
        <v>FE</v>
      </c>
      <c r="H122" s="275">
        <f>'Resultater - Vestdanmark'!H122+'Resultater - Østdanmark'!H122</f>
        <v>-587343064</v>
      </c>
      <c r="I122" s="276">
        <f>'Resultater - Vestdanmark'!I122+'Resultater - Østdanmark'!I122</f>
        <v>-806175891.19617903</v>
      </c>
      <c r="J122" s="277">
        <f>'Resultater - Vestdanmark'!J122+'Resultater - Østdanmark'!J122</f>
        <v>-993595202.04417896</v>
      </c>
    </row>
    <row r="123" spans="1:10" x14ac:dyDescent="0.25">
      <c r="A123" s="98" t="str">
        <f>'Resultater - Vestdanmark'!A123</f>
        <v>Kostald</v>
      </c>
      <c r="B123" s="98" t="str">
        <f>'Resultater - Vestdanmark'!B123</f>
        <v>Økologisk</v>
      </c>
      <c r="C123" s="98" t="str">
        <f>'Resultater - Vestdanmark'!C123</f>
        <v/>
      </c>
      <c r="D123" s="98" t="str">
        <f>'Resultater - Vestdanmark'!D123</f>
        <v>Køer</v>
      </c>
      <c r="E123" s="98" t="str">
        <f>'Resultater - Vestdanmark'!E123</f>
        <v>Antal</v>
      </c>
      <c r="F123" s="98" t="str">
        <f>'Resultater - Vestdanmark'!F123</f>
        <v>Halm</v>
      </c>
      <c r="G123" s="98" t="str">
        <f>'Resultater - Vestdanmark'!G123</f>
        <v>Ton</v>
      </c>
      <c r="H123" s="275">
        <f>'Resultater - Vestdanmark'!H123+'Resultater - Østdanmark'!H123</f>
        <v>-2961.3935999999999</v>
      </c>
      <c r="I123" s="276">
        <f>'Resultater - Vestdanmark'!I123+'Resultater - Østdanmark'!I123</f>
        <v>-4064.7523925857768</v>
      </c>
      <c r="J123" s="277">
        <f>'Resultater - Vestdanmark'!J123+'Resultater - Østdanmark'!J123</f>
        <v>-5009.7237077857762</v>
      </c>
    </row>
    <row r="124" spans="1:10" x14ac:dyDescent="0.25">
      <c r="A124" s="98" t="str">
        <f>'Resultater - Vestdanmark'!A124</f>
        <v>Kostald</v>
      </c>
      <c r="B124" s="98" t="str">
        <f>'Resultater - Vestdanmark'!B124</f>
        <v>Økologisk</v>
      </c>
      <c r="C124" s="98" t="str">
        <f>'Resultater - Vestdanmark'!C124</f>
        <v/>
      </c>
      <c r="D124" s="98" t="str">
        <f>'Resultater - Vestdanmark'!D124</f>
        <v>Køer</v>
      </c>
      <c r="E124" s="98" t="str">
        <f>'Resultater - Vestdanmark'!E124</f>
        <v>Antal</v>
      </c>
      <c r="F124" s="98" t="str">
        <f>'Resultater - Vestdanmark'!F124</f>
        <v>CO2 - atmosfære</v>
      </c>
      <c r="G124" s="98" t="str">
        <f>'Resultater - Vestdanmark'!G124</f>
        <v>t CO2-ækvivalenter</v>
      </c>
      <c r="H124" s="275">
        <f>'Resultater - Vestdanmark'!H124+'Resultater - Østdanmark'!H124</f>
        <v>531260.59557996574</v>
      </c>
      <c r="I124" s="276">
        <f>'Resultater - Vestdanmark'!I124+'Resultater - Østdanmark'!I124</f>
        <v>729198.1643271636</v>
      </c>
      <c r="J124" s="277">
        <f>'Resultater - Vestdanmark'!J124+'Resultater - Østdanmark'!J124</f>
        <v>898721.73718797334</v>
      </c>
    </row>
    <row r="125" spans="1:10" x14ac:dyDescent="0.25">
      <c r="A125" s="98" t="str">
        <f>'Resultater - Vestdanmark'!A125</f>
        <v>Fjerkræbrug</v>
      </c>
      <c r="B125" s="98" t="str">
        <f>'Resultater - Vestdanmark'!B125</f>
        <v>Konventionel</v>
      </c>
      <c r="C125" s="98" t="str">
        <f>'Resultater - Vestdanmark'!C125</f>
        <v/>
      </c>
      <c r="D125" s="98" t="str">
        <f>'Resultater - Vestdanmark'!D125</f>
        <v>Fjerkræ</v>
      </c>
      <c r="E125" s="98" t="str">
        <f>'Resultater - Vestdanmark'!E125</f>
        <v>Antal</v>
      </c>
      <c r="F125" s="98" t="str">
        <f>'Resultater - Vestdanmark'!F125</f>
        <v>Slagtefjerkræ</v>
      </c>
      <c r="G125" s="98" t="str">
        <f>'Resultater - Vestdanmark'!G125</f>
        <v>Antal</v>
      </c>
      <c r="H125" s="275">
        <f>'Resultater - Vestdanmark'!H125+'Resultater - Østdanmark'!H125</f>
        <v>105566999.99999999</v>
      </c>
      <c r="I125" s="276">
        <f>'Resultater - Vestdanmark'!I125+'Resultater - Østdanmark'!I125</f>
        <v>123485821.50853622</v>
      </c>
      <c r="J125" s="277">
        <f>'Resultater - Vestdanmark'!J125+'Resultater - Østdanmark'!J125</f>
        <v>117579144.25674126</v>
      </c>
    </row>
    <row r="126" spans="1:10" x14ac:dyDescent="0.25">
      <c r="A126" s="98" t="str">
        <f>'Resultater - Vestdanmark'!A126</f>
        <v>Fjerkræbrug</v>
      </c>
      <c r="B126" s="98" t="str">
        <f>'Resultater - Vestdanmark'!B126</f>
        <v>Konventionel</v>
      </c>
      <c r="C126" s="98" t="str">
        <f>'Resultater - Vestdanmark'!C126</f>
        <v/>
      </c>
      <c r="D126" s="98" t="str">
        <f>'Resultater - Vestdanmark'!D126</f>
        <v>Fjerkræ</v>
      </c>
      <c r="E126" s="98" t="str">
        <f>'Resultater - Vestdanmark'!E126</f>
        <v>Antal</v>
      </c>
      <c r="F126" s="98" t="str">
        <f>'Resultater - Vestdanmark'!F126</f>
        <v>Fjerkrægylle</v>
      </c>
      <c r="G126" s="98" t="str">
        <f>'Resultater - Vestdanmark'!G126</f>
        <v>Ton</v>
      </c>
      <c r="H126" s="275">
        <f>'Resultater - Vestdanmark'!H126+'Resultater - Østdanmark'!H126</f>
        <v>6719.2238038686164</v>
      </c>
      <c r="I126" s="276">
        <f>'Resultater - Vestdanmark'!I126+'Resultater - Østdanmark'!I126</f>
        <v>7859.7371462713527</v>
      </c>
      <c r="J126" s="277">
        <f>'Resultater - Vestdanmark'!J126+'Resultater - Østdanmark'!J126</f>
        <v>7483.7836154138877</v>
      </c>
    </row>
    <row r="127" spans="1:10" x14ac:dyDescent="0.25">
      <c r="A127" s="98" t="str">
        <f>'Resultater - Vestdanmark'!A127</f>
        <v>Fjerkræbrug</v>
      </c>
      <c r="B127" s="98" t="str">
        <f>'Resultater - Vestdanmark'!B127</f>
        <v>Konventionel</v>
      </c>
      <c r="C127" s="98" t="str">
        <f>'Resultater - Vestdanmark'!C127</f>
        <v/>
      </c>
      <c r="D127" s="98" t="str">
        <f>'Resultater - Vestdanmark'!D127</f>
        <v>Fjerkræ</v>
      </c>
      <c r="E127" s="98" t="str">
        <f>'Resultater - Vestdanmark'!E127</f>
        <v>Antal</v>
      </c>
      <c r="F127" s="98" t="str">
        <f>'Resultater - Vestdanmark'!F127</f>
        <v>Dybstrøelse</v>
      </c>
      <c r="G127" s="98" t="str">
        <f>'Resultater - Vestdanmark'!G127</f>
        <v>Ton</v>
      </c>
      <c r="H127" s="275">
        <f>'Resultater - Vestdanmark'!H127+'Resultater - Østdanmark'!H127</f>
        <v>148922.51453359297</v>
      </c>
      <c r="I127" s="276">
        <f>'Resultater - Vestdanmark'!I127+'Resultater - Østdanmark'!I127</f>
        <v>174200.45135598865</v>
      </c>
      <c r="J127" s="277">
        <f>'Resultater - Vestdanmark'!J127+'Resultater - Østdanmark'!J127</f>
        <v>165867.94944842588</v>
      </c>
    </row>
    <row r="128" spans="1:10" x14ac:dyDescent="0.25">
      <c r="A128" s="98" t="str">
        <f>'Resultater - Vestdanmark'!A128</f>
        <v>Fjerkræbrug</v>
      </c>
      <c r="B128" s="98" t="str">
        <f>'Resultater - Vestdanmark'!B128</f>
        <v>Konventionel</v>
      </c>
      <c r="C128" s="98" t="str">
        <f>'Resultater - Vestdanmark'!C128</f>
        <v/>
      </c>
      <c r="D128" s="98" t="str">
        <f>'Resultater - Vestdanmark'!D128</f>
        <v>Fjerkræ</v>
      </c>
      <c r="E128" s="98" t="str">
        <f>'Resultater - Vestdanmark'!E128</f>
        <v>Antal</v>
      </c>
      <c r="F128" s="98" t="str">
        <f>'Resultater - Vestdanmark'!F128</f>
        <v>Æg</v>
      </c>
      <c r="G128" s="98" t="str">
        <f>'Resultater - Vestdanmark'!G128</f>
        <v>Ton</v>
      </c>
      <c r="H128" s="275">
        <f>'Resultater - Vestdanmark'!H128+'Resultater - Østdanmark'!H128</f>
        <v>220000</v>
      </c>
      <c r="I128" s="276">
        <f>'Resultater - Vestdanmark'!I128+'Resultater - Østdanmark'!I128</f>
        <v>257342.54768893664</v>
      </c>
      <c r="J128" s="277">
        <f>'Resultater - Vestdanmark'!J128+'Resultater - Østdanmark'!J128</f>
        <v>245033.12338593573</v>
      </c>
    </row>
    <row r="129" spans="1:10" x14ac:dyDescent="0.25">
      <c r="A129" s="98" t="str">
        <f>'Resultater - Vestdanmark'!A129</f>
        <v>Fjerkræbrug</v>
      </c>
      <c r="B129" s="98" t="str">
        <f>'Resultater - Vestdanmark'!B129</f>
        <v>Konventionel</v>
      </c>
      <c r="C129" s="98" t="str">
        <f>'Resultater - Vestdanmark'!C129</f>
        <v/>
      </c>
      <c r="D129" s="98" t="str">
        <f>'Resultater - Vestdanmark'!D129</f>
        <v>Fjerkræ</v>
      </c>
      <c r="E129" s="98" t="str">
        <f>'Resultater - Vestdanmark'!E129</f>
        <v>Antal</v>
      </c>
      <c r="F129" s="98" t="str">
        <f>'Resultater - Vestdanmark'!F129</f>
        <v>Industriaffald</v>
      </c>
      <c r="G129" s="98" t="str">
        <f>'Resultater - Vestdanmark'!G129</f>
        <v>Ton</v>
      </c>
      <c r="H129" s="275">
        <f>'Resultater - Vestdanmark'!H129+'Resultater - Østdanmark'!H129</f>
        <v>9291.4831667730468</v>
      </c>
      <c r="I129" s="276">
        <f>'Resultater - Vestdanmark'!I129+'Resultater - Østdanmark'!I129</f>
        <v>10868.608863392021</v>
      </c>
      <c r="J129" s="277">
        <f>'Resultater - Vestdanmark'!J129+'Resultater - Østdanmark'!J129</f>
        <v>10348.732460192021</v>
      </c>
    </row>
    <row r="130" spans="1:10" x14ac:dyDescent="0.25">
      <c r="A130" s="98" t="str">
        <f>'Resultater - Vestdanmark'!A130</f>
        <v>Fjerkræbrug</v>
      </c>
      <c r="B130" s="98" t="str">
        <f>'Resultater - Vestdanmark'!B130</f>
        <v>Konventionel</v>
      </c>
      <c r="C130" s="98" t="str">
        <f>'Resultater - Vestdanmark'!C130</f>
        <v/>
      </c>
      <c r="D130" s="98" t="str">
        <f>'Resultater - Vestdanmark'!D130</f>
        <v>Fjerkræ</v>
      </c>
      <c r="E130" s="98" t="str">
        <f>'Resultater - Vestdanmark'!E130</f>
        <v>Antal</v>
      </c>
      <c r="F130" s="98" t="str">
        <f>'Resultater - Vestdanmark'!F130</f>
        <v>Foder</v>
      </c>
      <c r="G130" s="98" t="str">
        <f>'Resultater - Vestdanmark'!G130</f>
        <v>FE</v>
      </c>
      <c r="H130" s="275">
        <f>'Resultater - Vestdanmark'!H130+'Resultater - Østdanmark'!H130</f>
        <v>-365582337.12</v>
      </c>
      <c r="I130" s="276">
        <f>'Resultater - Vestdanmark'!I130+'Resultater - Østdanmark'!I130</f>
        <v>-427635863.74789321</v>
      </c>
      <c r="J130" s="277">
        <f>'Resultater - Vestdanmark'!J130+'Resultater - Østdanmark'!J130</f>
        <v>-407180826.9056533</v>
      </c>
    </row>
    <row r="131" spans="1:10" x14ac:dyDescent="0.25">
      <c r="A131" s="98" t="str">
        <f>'Resultater - Vestdanmark'!A131</f>
        <v>Fjerkræbrug</v>
      </c>
      <c r="B131" s="98" t="str">
        <f>'Resultater - Vestdanmark'!B131</f>
        <v>Konventionel</v>
      </c>
      <c r="C131" s="98" t="str">
        <f>'Resultater - Vestdanmark'!C131</f>
        <v/>
      </c>
      <c r="D131" s="98" t="str">
        <f>'Resultater - Vestdanmark'!D131</f>
        <v>Fjerkræ</v>
      </c>
      <c r="E131" s="98" t="str">
        <f>'Resultater - Vestdanmark'!E131</f>
        <v>Antal</v>
      </c>
      <c r="F131" s="98" t="str">
        <f>'Resultater - Vestdanmark'!F131</f>
        <v>Halm</v>
      </c>
      <c r="G131" s="98" t="str">
        <f>'Resultater - Vestdanmark'!G131</f>
        <v>Ton</v>
      </c>
      <c r="H131" s="275">
        <f>'Resultater - Vestdanmark'!H131+'Resultater - Østdanmark'!H131</f>
        <v>-8664.776171999998</v>
      </c>
      <c r="I131" s="276">
        <f>'Resultater - Vestdanmark'!I131+'Resultater - Østdanmark'!I131</f>
        <v>-10135.525342076689</v>
      </c>
      <c r="J131" s="277">
        <f>'Resultater - Vestdanmark'!J131+'Resultater - Østdanmark'!J131</f>
        <v>-9650.7144039326904</v>
      </c>
    </row>
    <row r="132" spans="1:10" x14ac:dyDescent="0.25">
      <c r="A132" s="98" t="str">
        <f>'Resultater - Vestdanmark'!A132</f>
        <v>Fjerkræbrug</v>
      </c>
      <c r="B132" s="98" t="str">
        <f>'Resultater - Vestdanmark'!B132</f>
        <v>Konventionel</v>
      </c>
      <c r="C132" s="98" t="str">
        <f>'Resultater - Vestdanmark'!C132</f>
        <v/>
      </c>
      <c r="D132" s="98" t="str">
        <f>'Resultater - Vestdanmark'!D132</f>
        <v>Fjerkræ</v>
      </c>
      <c r="E132" s="98" t="str">
        <f>'Resultater - Vestdanmark'!E132</f>
        <v>Antal</v>
      </c>
      <c r="F132" s="98" t="str">
        <f>'Resultater - Vestdanmark'!F132</f>
        <v>CO2 - atmosfære</v>
      </c>
      <c r="G132" s="98" t="str">
        <f>'Resultater - Vestdanmark'!G132</f>
        <v>t CO2-ækvivalenter</v>
      </c>
      <c r="H132" s="275">
        <f>'Resultater - Vestdanmark'!H132+'Resultater - Østdanmark'!H132</f>
        <v>14116.474844810102</v>
      </c>
      <c r="I132" s="276">
        <f>'Resultater - Vestdanmark'!I132+'Resultater - Østdanmark'!I132</f>
        <v>16512.589095228261</v>
      </c>
      <c r="J132" s="277">
        <f>'Resultater - Vestdanmark'!J132+'Resultater - Østdanmark'!J132</f>
        <v>15722.745101921872</v>
      </c>
    </row>
    <row r="133" spans="1:10" x14ac:dyDescent="0.25">
      <c r="A133" s="98" t="str">
        <f>'Resultater - Vestdanmark'!A133</f>
        <v>Fjerkræbrug</v>
      </c>
      <c r="B133" s="98" t="str">
        <f>'Resultater - Vestdanmark'!B133</f>
        <v>Økologisk</v>
      </c>
      <c r="C133" s="98" t="str">
        <f>'Resultater - Vestdanmark'!C133</f>
        <v/>
      </c>
      <c r="D133" s="98" t="str">
        <f>'Resultater - Vestdanmark'!D133</f>
        <v>Fjerkræ</v>
      </c>
      <c r="E133" s="98" t="str">
        <f>'Resultater - Vestdanmark'!E133</f>
        <v>Antal</v>
      </c>
      <c r="F133" s="98" t="str">
        <f>'Resultater - Vestdanmark'!F133</f>
        <v>Slagtefjerkræ</v>
      </c>
      <c r="G133" s="98" t="str">
        <f>'Resultater - Vestdanmark'!G133</f>
        <v>Antal</v>
      </c>
      <c r="H133" s="275">
        <f>'Resultater - Vestdanmark'!H133+'Resultater - Østdanmark'!H133</f>
        <v>1224707</v>
      </c>
      <c r="I133" s="276">
        <f>'Resultater - Vestdanmark'!I133+'Resultater - Østdanmark'!I133</f>
        <v>1693358.8885360798</v>
      </c>
      <c r="J133" s="277">
        <f>'Resultater - Vestdanmark'!J133+'Resultater - Østdanmark'!J133</f>
        <v>2106992.6925433627</v>
      </c>
    </row>
    <row r="134" spans="1:10" x14ac:dyDescent="0.25">
      <c r="A134" s="98" t="str">
        <f>'Resultater - Vestdanmark'!A134</f>
        <v>Fjerkræbrug</v>
      </c>
      <c r="B134" s="98" t="str">
        <f>'Resultater - Vestdanmark'!B134</f>
        <v>Økologisk</v>
      </c>
      <c r="C134" s="98" t="str">
        <f>'Resultater - Vestdanmark'!C134</f>
        <v/>
      </c>
      <c r="D134" s="98" t="str">
        <f>'Resultater - Vestdanmark'!D134</f>
        <v>Fjerkræ</v>
      </c>
      <c r="E134" s="98" t="str">
        <f>'Resultater - Vestdanmark'!E134</f>
        <v>Antal</v>
      </c>
      <c r="F134" s="98" t="str">
        <f>'Resultater - Vestdanmark'!F134</f>
        <v>Fjerkrægylle</v>
      </c>
      <c r="G134" s="98" t="str">
        <f>'Resultater - Vestdanmark'!G134</f>
        <v>Ton</v>
      </c>
      <c r="H134" s="275">
        <f>'Resultater - Vestdanmark'!H134+'Resultater - Østdanmark'!H134</f>
        <v>2163.7761961313831</v>
      </c>
      <c r="I134" s="276">
        <f>'Resultater - Vestdanmark'!I134+'Resultater - Østdanmark'!I134</f>
        <v>2991.7765265666521</v>
      </c>
      <c r="J134" s="277">
        <f>'Resultater - Vestdanmark'!J134+'Resultater - Østdanmark'!J134</f>
        <v>3722.5725284072823</v>
      </c>
    </row>
    <row r="135" spans="1:10" x14ac:dyDescent="0.25">
      <c r="A135" s="98" t="str">
        <f>'Resultater - Vestdanmark'!A135</f>
        <v>Fjerkræbrug</v>
      </c>
      <c r="B135" s="98" t="str">
        <f>'Resultater - Vestdanmark'!B135</f>
        <v>Økologisk</v>
      </c>
      <c r="C135" s="98" t="str">
        <f>'Resultater - Vestdanmark'!C135</f>
        <v/>
      </c>
      <c r="D135" s="98" t="str">
        <f>'Resultater - Vestdanmark'!D135</f>
        <v>Fjerkræ</v>
      </c>
      <c r="E135" s="98" t="str">
        <f>'Resultater - Vestdanmark'!E135</f>
        <v>Antal</v>
      </c>
      <c r="F135" s="98" t="str">
        <f>'Resultater - Vestdanmark'!F135</f>
        <v>Dybstrøelse</v>
      </c>
      <c r="G135" s="98" t="str">
        <f>'Resultater - Vestdanmark'!G135</f>
        <v>Ton</v>
      </c>
      <c r="H135" s="275">
        <f>'Resultater - Vestdanmark'!H135+'Resultater - Østdanmark'!H135</f>
        <v>8147.4854664070526</v>
      </c>
      <c r="I135" s="276">
        <f>'Resultater - Vestdanmark'!I135+'Resultater - Østdanmark'!I135</f>
        <v>11265.23889694344</v>
      </c>
      <c r="J135" s="277">
        <f>'Resultater - Vestdanmark'!J135+'Resultater - Østdanmark'!J135</f>
        <v>14016.979032799607</v>
      </c>
    </row>
    <row r="136" spans="1:10" x14ac:dyDescent="0.25">
      <c r="A136" s="98" t="str">
        <f>'Resultater - Vestdanmark'!A136</f>
        <v>Fjerkræbrug</v>
      </c>
      <c r="B136" s="98" t="str">
        <f>'Resultater - Vestdanmark'!B136</f>
        <v>Økologisk</v>
      </c>
      <c r="C136" s="98" t="str">
        <f>'Resultater - Vestdanmark'!C136</f>
        <v/>
      </c>
      <c r="D136" s="98" t="str">
        <f>'Resultater - Vestdanmark'!D136</f>
        <v>Fjerkræ</v>
      </c>
      <c r="E136" s="98" t="str">
        <f>'Resultater - Vestdanmark'!E136</f>
        <v>Antal</v>
      </c>
      <c r="F136" s="98" t="str">
        <f>'Resultater - Vestdanmark'!F136</f>
        <v>Æg</v>
      </c>
      <c r="G136" s="98" t="str">
        <f>'Resultater - Vestdanmark'!G136</f>
        <v>Ton</v>
      </c>
      <c r="H136" s="275">
        <f>'Resultater - Vestdanmark'!H136+'Resultater - Østdanmark'!H136</f>
        <v>15000</v>
      </c>
      <c r="I136" s="276">
        <f>'Resultater - Vestdanmark'!I136+'Resultater - Østdanmark'!I136</f>
        <v>20739.967460005697</v>
      </c>
      <c r="J136" s="277">
        <f>'Resultater - Vestdanmark'!J136+'Resultater - Østdanmark'!J136</f>
        <v>25806.082914648512</v>
      </c>
    </row>
    <row r="137" spans="1:10" x14ac:dyDescent="0.25">
      <c r="A137" s="98" t="str">
        <f>'Resultater - Vestdanmark'!A137</f>
        <v>Fjerkræbrug</v>
      </c>
      <c r="B137" s="98" t="str">
        <f>'Resultater - Vestdanmark'!B137</f>
        <v>Økologisk</v>
      </c>
      <c r="C137" s="98" t="str">
        <f>'Resultater - Vestdanmark'!C137</f>
        <v/>
      </c>
      <c r="D137" s="98" t="str">
        <f>'Resultater - Vestdanmark'!D137</f>
        <v>Fjerkræ</v>
      </c>
      <c r="E137" s="98" t="str">
        <f>'Resultater - Vestdanmark'!E137</f>
        <v>Antal</v>
      </c>
      <c r="F137" s="98" t="str">
        <f>'Resultater - Vestdanmark'!F137</f>
        <v>Industriaffald</v>
      </c>
      <c r="G137" s="98" t="str">
        <f>'Resultater - Vestdanmark'!G137</f>
        <v>Ton</v>
      </c>
      <c r="H137" s="275">
        <f>'Resultater - Vestdanmark'!H137+'Resultater - Østdanmark'!H137</f>
        <v>1539.2752332269538</v>
      </c>
      <c r="I137" s="276">
        <f>'Resultater - Vestdanmark'!I137+'Resultater - Østdanmark'!I137</f>
        <v>2128.3012166079798</v>
      </c>
      <c r="J137" s="277">
        <f>'Resultater - Vestdanmark'!J137+'Resultater - Østdanmark'!J137</f>
        <v>2648.1776198079801</v>
      </c>
    </row>
    <row r="138" spans="1:10" x14ac:dyDescent="0.25">
      <c r="A138" s="98" t="str">
        <f>'Resultater - Vestdanmark'!A138</f>
        <v>Fjerkræbrug</v>
      </c>
      <c r="B138" s="98" t="str">
        <f>'Resultater - Vestdanmark'!B138</f>
        <v>Økologisk</v>
      </c>
      <c r="C138" s="98" t="str">
        <f>'Resultater - Vestdanmark'!C138</f>
        <v/>
      </c>
      <c r="D138" s="98" t="str">
        <f>'Resultater - Vestdanmark'!D138</f>
        <v>Fjerkræ</v>
      </c>
      <c r="E138" s="98" t="str">
        <f>'Resultater - Vestdanmark'!E138</f>
        <v>Antal</v>
      </c>
      <c r="F138" s="98" t="str">
        <f>'Resultater - Vestdanmark'!F138</f>
        <v>Foder</v>
      </c>
      <c r="G138" s="98" t="str">
        <f>'Resultater - Vestdanmark'!G138</f>
        <v>FE</v>
      </c>
      <c r="H138" s="275">
        <f>'Resultater - Vestdanmark'!H138+'Resultater - Østdanmark'!H138</f>
        <v>-60564263.759999998</v>
      </c>
      <c r="I138" s="276">
        <f>'Resultater - Vestdanmark'!I138+'Resultater - Østdanmark'!I138</f>
        <v>-83740057.30810681</v>
      </c>
      <c r="J138" s="277">
        <f>'Resultater - Vestdanmark'!J138+'Resultater - Østdanmark'!J138</f>
        <v>-104195094.15034682</v>
      </c>
    </row>
    <row r="139" spans="1:10" x14ac:dyDescent="0.25">
      <c r="A139" s="98" t="str">
        <f>'Resultater - Vestdanmark'!A139</f>
        <v>Fjerkræbrug</v>
      </c>
      <c r="B139" s="98" t="str">
        <f>'Resultater - Vestdanmark'!B139</f>
        <v>Økologisk</v>
      </c>
      <c r="C139" s="98" t="str">
        <f>'Resultater - Vestdanmark'!C139</f>
        <v/>
      </c>
      <c r="D139" s="98" t="str">
        <f>'Resultater - Vestdanmark'!D139</f>
        <v>Fjerkræ</v>
      </c>
      <c r="E139" s="98" t="str">
        <f>'Resultater - Vestdanmark'!E139</f>
        <v>Antal</v>
      </c>
      <c r="F139" s="98" t="str">
        <f>'Resultater - Vestdanmark'!F139</f>
        <v>Halm</v>
      </c>
      <c r="G139" s="98" t="str">
        <f>'Resultater - Vestdanmark'!G139</f>
        <v>Ton</v>
      </c>
      <c r="H139" s="275">
        <f>'Resultater - Vestdanmark'!H139+'Resultater - Østdanmark'!H139</f>
        <v>-2703.7617749999999</v>
      </c>
      <c r="I139" s="276">
        <f>'Resultater - Vestdanmark'!I139+'Resultater - Østdanmark'!I139</f>
        <v>-3738.3954155404826</v>
      </c>
      <c r="J139" s="277">
        <f>'Resultater - Vestdanmark'!J139+'Resultater - Østdanmark'!J139</f>
        <v>-4651.5667031404819</v>
      </c>
    </row>
    <row r="140" spans="1:10" x14ac:dyDescent="0.25">
      <c r="A140" s="98" t="str">
        <f>'Resultater - Vestdanmark'!A140</f>
        <v>Fjerkræbrug</v>
      </c>
      <c r="B140" s="98" t="str">
        <f>'Resultater - Vestdanmark'!B140</f>
        <v>Økologisk</v>
      </c>
      <c r="C140" s="98" t="str">
        <f>'Resultater - Vestdanmark'!C140</f>
        <v/>
      </c>
      <c r="D140" s="98" t="str">
        <f>'Resultater - Vestdanmark'!D140</f>
        <v>Fjerkræ</v>
      </c>
      <c r="E140" s="98" t="str">
        <f>'Resultater - Vestdanmark'!E140</f>
        <v>Antal</v>
      </c>
      <c r="F140" s="98" t="str">
        <f>'Resultater - Vestdanmark'!F140</f>
        <v>CO2 - atmosfære</v>
      </c>
      <c r="G140" s="98" t="str">
        <f>'Resultater - Vestdanmark'!G140</f>
        <v>t CO2-ækvivalenter</v>
      </c>
      <c r="H140" s="275">
        <f>'Resultater - Vestdanmark'!H140+'Resultater - Østdanmark'!H140</f>
        <v>2572.4691839803959</v>
      </c>
      <c r="I140" s="276">
        <f>'Resultater - Vestdanmark'!I140+'Resultater - Østdanmark'!I140</f>
        <v>3556.861811174721</v>
      </c>
      <c r="J140" s="277">
        <f>'Resultater - Vestdanmark'!J140+'Resultater - Østdanmark'!J140</f>
        <v>4425.6902038117532</v>
      </c>
    </row>
    <row r="141" spans="1:10" x14ac:dyDescent="0.25">
      <c r="A141" s="98" t="str">
        <f>'Resultater - Vestdanmark'!A141</f>
        <v>Kornmark</v>
      </c>
      <c r="B141" s="98" t="str">
        <f>'Resultater - Vestdanmark'!B141</f>
        <v>Konventionel</v>
      </c>
      <c r="C141" s="98" t="str">
        <f>'Resultater - Vestdanmark'!C141</f>
        <v>JB1-10</v>
      </c>
      <c r="D141" s="98" t="str">
        <f>'Resultater - Vestdanmark'!D141</f>
        <v>Areal-korn</v>
      </c>
      <c r="E141" s="98" t="str">
        <f>'Resultater - Vestdanmark'!E141</f>
        <v>Hektar</v>
      </c>
      <c r="F141" s="98" t="str">
        <f>'Resultater - Vestdanmark'!F141</f>
        <v>Korn</v>
      </c>
      <c r="G141" s="98" t="str">
        <f>'Resultater - Vestdanmark'!G141</f>
        <v>Ton</v>
      </c>
      <c r="H141" s="275">
        <f>'Resultater - Vestdanmark'!H141+'Resultater - Østdanmark'!H141</f>
        <v>8028892.7421747725</v>
      </c>
      <c r="I141" s="276">
        <f>'Resultater - Vestdanmark'!I141+'Resultater - Østdanmark'!I141</f>
        <v>8324837.4261036813</v>
      </c>
      <c r="J141" s="277">
        <f>'Resultater - Vestdanmark'!J141+'Resultater - Østdanmark'!J141</f>
        <v>8383411.6856616531</v>
      </c>
    </row>
    <row r="142" spans="1:10" x14ac:dyDescent="0.25">
      <c r="A142" s="98" t="str">
        <f>'Resultater - Vestdanmark'!A142</f>
        <v>Kornmark</v>
      </c>
      <c r="B142" s="98" t="str">
        <f>'Resultater - Vestdanmark'!B142</f>
        <v>Konventionel</v>
      </c>
      <c r="C142" s="98" t="str">
        <f>'Resultater - Vestdanmark'!C142</f>
        <v>JB1-10</v>
      </c>
      <c r="D142" s="98" t="str">
        <f>'Resultater - Vestdanmark'!D142</f>
        <v>Areal-korn</v>
      </c>
      <c r="E142" s="98" t="str">
        <f>'Resultater - Vestdanmark'!E142</f>
        <v>Hektar</v>
      </c>
      <c r="F142" s="98" t="str">
        <f>'Resultater - Vestdanmark'!F142</f>
        <v>Halm</v>
      </c>
      <c r="G142" s="98" t="str">
        <f>'Resultater - Vestdanmark'!G142</f>
        <v>Ton</v>
      </c>
      <c r="H142" s="275">
        <f>'Resultater - Vestdanmark'!H142+'Resultater - Østdanmark'!H142</f>
        <v>2620610.5188139905</v>
      </c>
      <c r="I142" s="276">
        <f>'Resultater - Vestdanmark'!I142+'Resultater - Østdanmark'!I142</f>
        <v>2519971.7768382877</v>
      </c>
      <c r="J142" s="277">
        <f>'Resultater - Vestdanmark'!J142+'Resultater - Østdanmark'!J142</f>
        <v>2365580.0799975712</v>
      </c>
    </row>
    <row r="143" spans="1:10" x14ac:dyDescent="0.25">
      <c r="A143" s="98" t="str">
        <f>'Resultater - Vestdanmark'!A143</f>
        <v>Kornmark</v>
      </c>
      <c r="B143" s="98" t="str">
        <f>'Resultater - Vestdanmark'!B143</f>
        <v>Konventionel</v>
      </c>
      <c r="C143" s="98" t="str">
        <f>'Resultater - Vestdanmark'!C143</f>
        <v>JB1-10</v>
      </c>
      <c r="D143" s="98" t="str">
        <f>'Resultater - Vestdanmark'!D143</f>
        <v>Areal-korn</v>
      </c>
      <c r="E143" s="98" t="str">
        <f>'Resultater - Vestdanmark'!E143</f>
        <v>Hektar</v>
      </c>
      <c r="F143" s="98" t="str">
        <f>'Resultater - Vestdanmark'!F143</f>
        <v>Gødning</v>
      </c>
      <c r="G143" s="98" t="str">
        <f>'Resultater - Vestdanmark'!G143</f>
        <v>kg N</v>
      </c>
      <c r="H143" s="275">
        <f>'Resultater - Vestdanmark'!H143+'Resultater - Østdanmark'!H143</f>
        <v>-183255754.45762676</v>
      </c>
      <c r="I143" s="276">
        <f>'Resultater - Vestdanmark'!I143+'Resultater - Østdanmark'!I143</f>
        <v>-177248651.73640388</v>
      </c>
      <c r="J143" s="277">
        <f>'Resultater - Vestdanmark'!J143+'Resultater - Østdanmark'!J143</f>
        <v>-166389117.37342489</v>
      </c>
    </row>
    <row r="144" spans="1:10" x14ac:dyDescent="0.25">
      <c r="A144" s="98" t="str">
        <f>'Resultater - Vestdanmark'!A144</f>
        <v>Kornmark</v>
      </c>
      <c r="B144" s="98" t="str">
        <f>'Resultater - Vestdanmark'!B144</f>
        <v>Konventionel</v>
      </c>
      <c r="C144" s="98" t="str">
        <f>'Resultater - Vestdanmark'!C144</f>
        <v>JB1-10</v>
      </c>
      <c r="D144" s="98" t="str">
        <f>'Resultater - Vestdanmark'!D144</f>
        <v>Areal-korn</v>
      </c>
      <c r="E144" s="98" t="str">
        <f>'Resultater - Vestdanmark'!E144</f>
        <v>Hektar</v>
      </c>
      <c r="F144" s="98" t="str">
        <f>'Resultater - Vestdanmark'!F144</f>
        <v>CO2 - atmosfære</v>
      </c>
      <c r="G144" s="98" t="str">
        <f>'Resultater - Vestdanmark'!G144</f>
        <v>t CO2-ækvivalenter</v>
      </c>
      <c r="H144" s="275">
        <f>'Resultater - Vestdanmark'!H144+'Resultater - Østdanmark'!H144</f>
        <v>2604172.3544975286</v>
      </c>
      <c r="I144" s="276">
        <f>'Resultater - Vestdanmark'!I144+'Resultater - Østdanmark'!I144</f>
        <v>2518807.8818590846</v>
      </c>
      <c r="J144" s="277">
        <f>'Resultater - Vestdanmark'!J144+'Resultater - Østdanmark'!J144</f>
        <v>2364487.4936427083</v>
      </c>
    </row>
    <row r="145" spans="1:10" x14ac:dyDescent="0.25">
      <c r="A145" s="98" t="str">
        <f>'Resultater - Vestdanmark'!A145</f>
        <v>Kornmark</v>
      </c>
      <c r="B145" s="98" t="str">
        <f>'Resultater - Vestdanmark'!B145</f>
        <v>Konventionel</v>
      </c>
      <c r="C145" s="98" t="str">
        <f>'Resultater - Vestdanmark'!C145</f>
        <v>OC6</v>
      </c>
      <c r="D145" s="98" t="str">
        <f>'Resultater - Vestdanmark'!D145</f>
        <v>Areal-korn</v>
      </c>
      <c r="E145" s="98" t="str">
        <f>'Resultater - Vestdanmark'!E145</f>
        <v>Hektar</v>
      </c>
      <c r="F145" s="98" t="str">
        <f>'Resultater - Vestdanmark'!F145</f>
        <v>Korn</v>
      </c>
      <c r="G145" s="98" t="str">
        <f>'Resultater - Vestdanmark'!G145</f>
        <v>Ton</v>
      </c>
      <c r="H145" s="275">
        <f>'Resultater - Vestdanmark'!H145+'Resultater - Østdanmark'!H145</f>
        <v>228280.18071014562</v>
      </c>
      <c r="I145" s="276">
        <f>'Resultater - Vestdanmark'!I145+'Resultater - Østdanmark'!I145</f>
        <v>220999.13505980614</v>
      </c>
      <c r="J145" s="277">
        <f>'Resultater - Vestdanmark'!J145+'Resultater - Østdanmark'!J145</f>
        <v>226116.09156672316</v>
      </c>
    </row>
    <row r="146" spans="1:10" x14ac:dyDescent="0.25">
      <c r="A146" s="98" t="str">
        <f>'Resultater - Vestdanmark'!A146</f>
        <v>Kornmark</v>
      </c>
      <c r="B146" s="98" t="str">
        <f>'Resultater - Vestdanmark'!B146</f>
        <v>Konventionel</v>
      </c>
      <c r="C146" s="98" t="str">
        <f>'Resultater - Vestdanmark'!C146</f>
        <v>OC6</v>
      </c>
      <c r="D146" s="98" t="str">
        <f>'Resultater - Vestdanmark'!D146</f>
        <v>Areal-korn</v>
      </c>
      <c r="E146" s="98" t="str">
        <f>'Resultater - Vestdanmark'!E146</f>
        <v>Hektar</v>
      </c>
      <c r="F146" s="98" t="str">
        <f>'Resultater - Vestdanmark'!F146</f>
        <v>Halm</v>
      </c>
      <c r="G146" s="98" t="str">
        <f>'Resultater - Vestdanmark'!G146</f>
        <v>Ton</v>
      </c>
      <c r="H146" s="275">
        <f>'Resultater - Vestdanmark'!H146+'Resultater - Østdanmark'!H146</f>
        <v>74510.080283339761</v>
      </c>
      <c r="I146" s="276">
        <f>'Resultater - Vestdanmark'!I146+'Resultater - Østdanmark'!I146</f>
        <v>66897.592655696906</v>
      </c>
      <c r="J146" s="277">
        <f>'Resultater - Vestdanmark'!J146+'Resultater - Østdanmark'!J146</f>
        <v>63804.062359479729</v>
      </c>
    </row>
    <row r="147" spans="1:10" x14ac:dyDescent="0.25">
      <c r="A147" s="98" t="str">
        <f>'Resultater - Vestdanmark'!A147</f>
        <v>Kornmark</v>
      </c>
      <c r="B147" s="98" t="str">
        <f>'Resultater - Vestdanmark'!B147</f>
        <v>Konventionel</v>
      </c>
      <c r="C147" s="98" t="str">
        <f>'Resultater - Vestdanmark'!C147</f>
        <v>OC6</v>
      </c>
      <c r="D147" s="98" t="str">
        <f>'Resultater - Vestdanmark'!D147</f>
        <v>Areal-korn</v>
      </c>
      <c r="E147" s="98" t="str">
        <f>'Resultater - Vestdanmark'!E147</f>
        <v>Hektar</v>
      </c>
      <c r="F147" s="98" t="str">
        <f>'Resultater - Vestdanmark'!F147</f>
        <v>Gødning</v>
      </c>
      <c r="G147" s="98" t="str">
        <f>'Resultater - Vestdanmark'!G147</f>
        <v>kg N</v>
      </c>
      <c r="H147" s="275">
        <f>'Resultater - Vestdanmark'!H147+'Resultater - Østdanmark'!H147</f>
        <v>-3527867.7475414807</v>
      </c>
      <c r="I147" s="276">
        <f>'Resultater - Vestdanmark'!I147+'Resultater - Østdanmark'!I147</f>
        <v>-3185956.7575122342</v>
      </c>
      <c r="J147" s="277">
        <f>'Resultater - Vestdanmark'!J147+'Resultater - Østdanmark'!J147</f>
        <v>-3038629.2773960615</v>
      </c>
    </row>
    <row r="148" spans="1:10" x14ac:dyDescent="0.25">
      <c r="A148" s="98" t="str">
        <f>'Resultater - Vestdanmark'!A148</f>
        <v>Kornmark</v>
      </c>
      <c r="B148" s="98" t="str">
        <f>'Resultater - Vestdanmark'!B148</f>
        <v>Konventionel</v>
      </c>
      <c r="C148" s="98" t="str">
        <f>'Resultater - Vestdanmark'!C148</f>
        <v>OC6</v>
      </c>
      <c r="D148" s="98" t="str">
        <f>'Resultater - Vestdanmark'!D148</f>
        <v>Areal-korn</v>
      </c>
      <c r="E148" s="98" t="str">
        <f>'Resultater - Vestdanmark'!E148</f>
        <v>Hektar</v>
      </c>
      <c r="F148" s="98" t="str">
        <f>'Resultater - Vestdanmark'!F148</f>
        <v>CO2 - atmosfære</v>
      </c>
      <c r="G148" s="98" t="str">
        <f>'Resultater - Vestdanmark'!G148</f>
        <v>t CO2-ækvivalenter</v>
      </c>
      <c r="H148" s="275">
        <f>'Resultater - Vestdanmark'!H148+'Resultater - Østdanmark'!H148</f>
        <v>433973.71375071316</v>
      </c>
      <c r="I148" s="276">
        <f>'Resultater - Vestdanmark'!I148+'Resultater - Østdanmark'!I148</f>
        <v>391914.20564738946</v>
      </c>
      <c r="J148" s="277">
        <f>'Resultater - Vestdanmark'!J148+'Resultater - Østdanmark'!J148</f>
        <v>373791.00538623857</v>
      </c>
    </row>
    <row r="149" spans="1:10" x14ac:dyDescent="0.25">
      <c r="A149" s="98" t="str">
        <f>'Resultater - Vestdanmark'!A149</f>
        <v>Kornmark</v>
      </c>
      <c r="B149" s="98" t="str">
        <f>'Resultater - Vestdanmark'!B149</f>
        <v>Konventionel</v>
      </c>
      <c r="C149" s="98" t="str">
        <f>'Resultater - Vestdanmark'!C149</f>
        <v>OC12</v>
      </c>
      <c r="D149" s="98" t="str">
        <f>'Resultater - Vestdanmark'!D149</f>
        <v>Areal-korn</v>
      </c>
      <c r="E149" s="98" t="str">
        <f>'Resultater - Vestdanmark'!E149</f>
        <v>Hektar</v>
      </c>
      <c r="F149" s="98" t="str">
        <f>'Resultater - Vestdanmark'!F149</f>
        <v>Korn</v>
      </c>
      <c r="G149" s="98" t="str">
        <f>'Resultater - Vestdanmark'!G149</f>
        <v>Ton</v>
      </c>
      <c r="H149" s="275">
        <f>'Resultater - Vestdanmark'!H149+'Resultater - Østdanmark'!H149</f>
        <v>135901.60941201358</v>
      </c>
      <c r="I149" s="276">
        <f>'Resultater - Vestdanmark'!I149+'Resultater - Østdanmark'!I149</f>
        <v>129255.32755043269</v>
      </c>
      <c r="J149" s="277">
        <f>'Resultater - Vestdanmark'!J149+'Resultater - Østdanmark'!J149</f>
        <v>132248.07179435875</v>
      </c>
    </row>
    <row r="150" spans="1:10" x14ac:dyDescent="0.25">
      <c r="A150" s="98" t="str">
        <f>'Resultater - Vestdanmark'!A150</f>
        <v>Kornmark</v>
      </c>
      <c r="B150" s="98" t="str">
        <f>'Resultater - Vestdanmark'!B150</f>
        <v>Konventionel</v>
      </c>
      <c r="C150" s="98" t="str">
        <f>'Resultater - Vestdanmark'!C150</f>
        <v>OC12</v>
      </c>
      <c r="D150" s="98" t="str">
        <f>'Resultater - Vestdanmark'!D150</f>
        <v>Areal-korn</v>
      </c>
      <c r="E150" s="98" t="str">
        <f>'Resultater - Vestdanmark'!E150</f>
        <v>Hektar</v>
      </c>
      <c r="F150" s="98" t="str">
        <f>'Resultater - Vestdanmark'!F150</f>
        <v>Halm</v>
      </c>
      <c r="G150" s="98" t="str">
        <f>'Resultater - Vestdanmark'!G150</f>
        <v>Ton</v>
      </c>
      <c r="H150" s="275">
        <f>'Resultater - Vestdanmark'!H150+'Resultater - Østdanmark'!H150</f>
        <v>44357.945558057712</v>
      </c>
      <c r="I150" s="276">
        <f>'Resultater - Vestdanmark'!I150+'Resultater - Østdanmark'!I150</f>
        <v>39126.262863913631</v>
      </c>
      <c r="J150" s="277">
        <f>'Resultater - Vestdanmark'!J150+'Resultater - Østdanmark'!J150</f>
        <v>37316.955910669065</v>
      </c>
    </row>
    <row r="151" spans="1:10" x14ac:dyDescent="0.25">
      <c r="A151" s="98" t="str">
        <f>'Resultater - Vestdanmark'!A151</f>
        <v>Kornmark</v>
      </c>
      <c r="B151" s="98" t="str">
        <f>'Resultater - Vestdanmark'!B151</f>
        <v>Konventionel</v>
      </c>
      <c r="C151" s="98" t="str">
        <f>'Resultater - Vestdanmark'!C151</f>
        <v>OC12</v>
      </c>
      <c r="D151" s="98" t="str">
        <f>'Resultater - Vestdanmark'!D151</f>
        <v>Areal-korn</v>
      </c>
      <c r="E151" s="98" t="str">
        <f>'Resultater - Vestdanmark'!E151</f>
        <v>Hektar</v>
      </c>
      <c r="F151" s="98" t="str">
        <f>'Resultater - Vestdanmark'!F151</f>
        <v>Gødning</v>
      </c>
      <c r="G151" s="98" t="str">
        <f>'Resultater - Vestdanmark'!G151</f>
        <v>kg N</v>
      </c>
      <c r="H151" s="275">
        <f>'Resultater - Vestdanmark'!H151+'Resultater - Østdanmark'!H151</f>
        <v>-1384772.8694927006</v>
      </c>
      <c r="I151" s="276">
        <f>'Resultater - Vestdanmark'!I151+'Resultater - Østdanmark'!I151</f>
        <v>-1228591.8033485585</v>
      </c>
      <c r="J151" s="277">
        <f>'Resultater - Vestdanmark'!J151+'Resultater - Østdanmark'!J151</f>
        <v>-1171778.3095520933</v>
      </c>
    </row>
    <row r="152" spans="1:10" x14ac:dyDescent="0.25">
      <c r="A152" s="98" t="str">
        <f>'Resultater - Vestdanmark'!A152</f>
        <v>Kornmark</v>
      </c>
      <c r="B152" s="98" t="str">
        <f>'Resultater - Vestdanmark'!B152</f>
        <v>Konventionel</v>
      </c>
      <c r="C152" s="98" t="str">
        <f>'Resultater - Vestdanmark'!C152</f>
        <v>OC12</v>
      </c>
      <c r="D152" s="98" t="str">
        <f>'Resultater - Vestdanmark'!D152</f>
        <v>Areal-korn</v>
      </c>
      <c r="E152" s="98" t="str">
        <f>'Resultater - Vestdanmark'!E152</f>
        <v>Hektar</v>
      </c>
      <c r="F152" s="98" t="str">
        <f>'Resultater - Vestdanmark'!F152</f>
        <v>CO2 - atmosfære</v>
      </c>
      <c r="G152" s="98" t="str">
        <f>'Resultater - Vestdanmark'!G152</f>
        <v>t CO2-ækvivalenter</v>
      </c>
      <c r="H152" s="275">
        <f>'Resultater - Vestdanmark'!H152+'Resultater - Østdanmark'!H152</f>
        <v>567087.95319850883</v>
      </c>
      <c r="I152" s="276">
        <f>'Resultater - Vestdanmark'!I152+'Resultater - Østdanmark'!I152</f>
        <v>503129.16033127956</v>
      </c>
      <c r="J152" s="277">
        <f>'Resultater - Vestdanmark'!J152+'Resultater - Østdanmark'!J152</f>
        <v>479863.07199226081</v>
      </c>
    </row>
    <row r="153" spans="1:10" x14ac:dyDescent="0.25">
      <c r="A153" s="98" t="str">
        <f>'Resultater - Vestdanmark'!A153</f>
        <v>Kornmark</v>
      </c>
      <c r="B153" s="98" t="str">
        <f>'Resultater - Vestdanmark'!B153</f>
        <v>Økologisk</v>
      </c>
      <c r="C153" s="98" t="str">
        <f>'Resultater - Vestdanmark'!C153</f>
        <v>JB1-10</v>
      </c>
      <c r="D153" s="98" t="str">
        <f>'Resultater - Vestdanmark'!D153</f>
        <v>Areal-korn</v>
      </c>
      <c r="E153" s="98" t="str">
        <f>'Resultater - Vestdanmark'!E153</f>
        <v>Hektar</v>
      </c>
      <c r="F153" s="98" t="str">
        <f>'Resultater - Vestdanmark'!F153</f>
        <v>Korn</v>
      </c>
      <c r="G153" s="98" t="str">
        <f>'Resultater - Vestdanmark'!G153</f>
        <v>Ton</v>
      </c>
      <c r="H153" s="275">
        <f>'Resultater - Vestdanmark'!H153+'Resultater - Østdanmark'!H153</f>
        <v>687812.87730450777</v>
      </c>
      <c r="I153" s="276">
        <f>'Resultater - Vestdanmark'!I153+'Resultater - Østdanmark'!I153</f>
        <v>870498.89617465669</v>
      </c>
      <c r="J153" s="277">
        <f>'Resultater - Vestdanmark'!J153+'Resultater - Østdanmark'!J153</f>
        <v>1191460.6304773684</v>
      </c>
    </row>
    <row r="154" spans="1:10" x14ac:dyDescent="0.25">
      <c r="A154" s="98" t="str">
        <f>'Resultater - Vestdanmark'!A154</f>
        <v>Kornmark</v>
      </c>
      <c r="B154" s="98" t="str">
        <f>'Resultater - Vestdanmark'!B154</f>
        <v>Økologisk</v>
      </c>
      <c r="C154" s="98" t="str">
        <f>'Resultater - Vestdanmark'!C154</f>
        <v>JB1-10</v>
      </c>
      <c r="D154" s="98" t="str">
        <f>'Resultater - Vestdanmark'!D154</f>
        <v>Areal-korn</v>
      </c>
      <c r="E154" s="98" t="str">
        <f>'Resultater - Vestdanmark'!E154</f>
        <v>Hektar</v>
      </c>
      <c r="F154" s="98" t="str">
        <f>'Resultater - Vestdanmark'!F154</f>
        <v>Halm</v>
      </c>
      <c r="G154" s="98" t="str">
        <f>'Resultater - Vestdanmark'!G154</f>
        <v>Ton</v>
      </c>
      <c r="H154" s="275">
        <f>'Resultater - Vestdanmark'!H154+'Resultater - Østdanmark'!H154</f>
        <v>224500.40361999813</v>
      </c>
      <c r="I154" s="276">
        <f>'Resultater - Vestdanmark'!I154+'Resultater - Østdanmark'!I154</f>
        <v>263504.56325436203</v>
      </c>
      <c r="J154" s="277">
        <f>'Resultater - Vestdanmark'!J154+'Resultater - Østdanmark'!J154</f>
        <v>336199.10833904881</v>
      </c>
    </row>
    <row r="155" spans="1:10" x14ac:dyDescent="0.25">
      <c r="A155" s="98" t="str">
        <f>'Resultater - Vestdanmark'!A155</f>
        <v>Kornmark</v>
      </c>
      <c r="B155" s="98" t="str">
        <f>'Resultater - Vestdanmark'!B155</f>
        <v>Økologisk</v>
      </c>
      <c r="C155" s="98" t="str">
        <f>'Resultater - Vestdanmark'!C155</f>
        <v>JB1-10</v>
      </c>
      <c r="D155" s="98" t="str">
        <f>'Resultater - Vestdanmark'!D155</f>
        <v>Areal-korn</v>
      </c>
      <c r="E155" s="98" t="str">
        <f>'Resultater - Vestdanmark'!E155</f>
        <v>Hektar</v>
      </c>
      <c r="F155" s="98" t="str">
        <f>'Resultater - Vestdanmark'!F155</f>
        <v>Gødning</v>
      </c>
      <c r="G155" s="98" t="str">
        <f>'Resultater - Vestdanmark'!G155</f>
        <v>kg N</v>
      </c>
      <c r="H155" s="275">
        <f>'Resultater - Vestdanmark'!H155+'Resultater - Østdanmark'!H155</f>
        <v>-15699010.038333988</v>
      </c>
      <c r="I155" s="276">
        <f>'Resultater - Vestdanmark'!I155+'Resultater - Østdanmark'!I155</f>
        <v>-18534266.531280614</v>
      </c>
      <c r="J155" s="277">
        <f>'Resultater - Vestdanmark'!J155+'Resultater - Østdanmark'!J155</f>
        <v>-23647423.044889782</v>
      </c>
    </row>
    <row r="156" spans="1:10" x14ac:dyDescent="0.25">
      <c r="A156" s="98" t="str">
        <f>'Resultater - Vestdanmark'!A156</f>
        <v>Kornmark</v>
      </c>
      <c r="B156" s="98" t="str">
        <f>'Resultater - Vestdanmark'!B156</f>
        <v>Økologisk</v>
      </c>
      <c r="C156" s="98" t="str">
        <f>'Resultater - Vestdanmark'!C156</f>
        <v>JB1-10</v>
      </c>
      <c r="D156" s="98" t="str">
        <f>'Resultater - Vestdanmark'!D156</f>
        <v>Areal-korn</v>
      </c>
      <c r="E156" s="98" t="str">
        <f>'Resultater - Vestdanmark'!E156</f>
        <v>Hektar</v>
      </c>
      <c r="F156" s="98" t="str">
        <f>'Resultater - Vestdanmark'!F156</f>
        <v>CO2 - atmosfære</v>
      </c>
      <c r="G156" s="98" t="str">
        <f>'Resultater - Vestdanmark'!G156</f>
        <v>t CO2-ækvivalenter</v>
      </c>
      <c r="H156" s="275">
        <f>'Resultater - Vestdanmark'!H156+'Resultater - Østdanmark'!H156</f>
        <v>332973.42070203071</v>
      </c>
      <c r="I156" s="276">
        <f>'Resultater - Vestdanmark'!I156+'Resultater - Østdanmark'!I156</f>
        <v>393108.74456760276</v>
      </c>
      <c r="J156" s="277">
        <f>'Resultater - Vestdanmark'!J156+'Resultater - Østdanmark'!J156</f>
        <v>501557.95319693821</v>
      </c>
    </row>
    <row r="157" spans="1:10" x14ac:dyDescent="0.25">
      <c r="A157" s="98" t="str">
        <f>'Resultater - Vestdanmark'!A157</f>
        <v>Kornmark</v>
      </c>
      <c r="B157" s="98" t="str">
        <f>'Resultater - Vestdanmark'!B157</f>
        <v>Økologisk</v>
      </c>
      <c r="C157" s="98" t="str">
        <f>'Resultater - Vestdanmark'!C157</f>
        <v>OC6</v>
      </c>
      <c r="D157" s="98" t="str">
        <f>'Resultater - Vestdanmark'!D157</f>
        <v>Areal-korn</v>
      </c>
      <c r="E157" s="98" t="str">
        <f>'Resultater - Vestdanmark'!E157</f>
        <v>Hektar</v>
      </c>
      <c r="F157" s="98" t="str">
        <f>'Resultater - Vestdanmark'!F157</f>
        <v>Korn</v>
      </c>
      <c r="G157" s="98" t="str">
        <f>'Resultater - Vestdanmark'!G157</f>
        <v>Ton</v>
      </c>
      <c r="H157" s="275">
        <f>'Resultater - Vestdanmark'!H157+'Resultater - Østdanmark'!H157</f>
        <v>19556.127223005868</v>
      </c>
      <c r="I157" s="276">
        <f>'Resultater - Vestdanmark'!I157+'Resultater - Østdanmark'!I157</f>
        <v>23109.100307698805</v>
      </c>
      <c r="J157" s="277">
        <f>'Resultater - Vestdanmark'!J157+'Resultater - Østdanmark'!J157</f>
        <v>32135.893013573685</v>
      </c>
    </row>
    <row r="158" spans="1:10" x14ac:dyDescent="0.25">
      <c r="A158" s="98" t="str">
        <f>'Resultater - Vestdanmark'!A158</f>
        <v>Kornmark</v>
      </c>
      <c r="B158" s="98" t="str">
        <f>'Resultater - Vestdanmark'!B158</f>
        <v>Økologisk</v>
      </c>
      <c r="C158" s="98" t="str">
        <f>'Resultater - Vestdanmark'!C158</f>
        <v>OC6</v>
      </c>
      <c r="D158" s="98" t="str">
        <f>'Resultater - Vestdanmark'!D158</f>
        <v>Areal-korn</v>
      </c>
      <c r="E158" s="98" t="str">
        <f>'Resultater - Vestdanmark'!E158</f>
        <v>Hektar</v>
      </c>
      <c r="F158" s="98" t="str">
        <f>'Resultater - Vestdanmark'!F158</f>
        <v>Halm</v>
      </c>
      <c r="G158" s="98" t="str">
        <f>'Resultater - Vestdanmark'!G158</f>
        <v>Ton</v>
      </c>
      <c r="H158" s="275">
        <f>'Resultater - Vestdanmark'!H158+'Resultater - Østdanmark'!H158</f>
        <v>6383.0710352710576</v>
      </c>
      <c r="I158" s="276">
        <f>'Resultater - Vestdanmark'!I158+'Resultater - Østdanmark'!I158</f>
        <v>6995.2453823211408</v>
      </c>
      <c r="J158" s="277">
        <f>'Resultater - Vestdanmark'!J158+'Resultater - Østdanmark'!J158</f>
        <v>9067.9106807866629</v>
      </c>
    </row>
    <row r="159" spans="1:10" x14ac:dyDescent="0.25">
      <c r="A159" s="98" t="str">
        <f>'Resultater - Vestdanmark'!A159</f>
        <v>Kornmark</v>
      </c>
      <c r="B159" s="98" t="str">
        <f>'Resultater - Vestdanmark'!B159</f>
        <v>Økologisk</v>
      </c>
      <c r="C159" s="98" t="str">
        <f>'Resultater - Vestdanmark'!C159</f>
        <v>OC6</v>
      </c>
      <c r="D159" s="98" t="str">
        <f>'Resultater - Vestdanmark'!D159</f>
        <v>Areal-korn</v>
      </c>
      <c r="E159" s="98" t="str">
        <f>'Resultater - Vestdanmark'!E159</f>
        <v>Hektar</v>
      </c>
      <c r="F159" s="98" t="str">
        <f>'Resultater - Vestdanmark'!F159</f>
        <v>Gødning</v>
      </c>
      <c r="G159" s="98" t="str">
        <f>'Resultater - Vestdanmark'!G159</f>
        <v>kg N</v>
      </c>
      <c r="H159" s="275">
        <f>'Resultater - Vestdanmark'!H159+'Resultater - Østdanmark'!H159</f>
        <v>-302222.60330370459</v>
      </c>
      <c r="I159" s="276">
        <f>'Resultater - Vestdanmark'!I159+'Resultater - Østdanmark'!I159</f>
        <v>-333144.26441269548</v>
      </c>
      <c r="J159" s="277">
        <f>'Resultater - Vestdanmark'!J159+'Resultater - Østdanmark'!J159</f>
        <v>-431853.67609053117</v>
      </c>
    </row>
    <row r="160" spans="1:10" x14ac:dyDescent="0.25">
      <c r="A160" s="98" t="str">
        <f>'Resultater - Vestdanmark'!A160</f>
        <v>Kornmark</v>
      </c>
      <c r="B160" s="98" t="str">
        <f>'Resultater - Vestdanmark'!B160</f>
        <v>Økologisk</v>
      </c>
      <c r="C160" s="98" t="str">
        <f>'Resultater - Vestdanmark'!C160</f>
        <v>OC6</v>
      </c>
      <c r="D160" s="98" t="str">
        <f>'Resultater - Vestdanmark'!D160</f>
        <v>Areal-korn</v>
      </c>
      <c r="E160" s="98" t="str">
        <f>'Resultater - Vestdanmark'!E160</f>
        <v>Hektar</v>
      </c>
      <c r="F160" s="98" t="str">
        <f>'Resultater - Vestdanmark'!F160</f>
        <v>CO2 - atmosfære</v>
      </c>
      <c r="G160" s="98" t="str">
        <f>'Resultater - Vestdanmark'!G160</f>
        <v>t CO2-ækvivalenter</v>
      </c>
      <c r="H160" s="275">
        <f>'Resultater - Vestdanmark'!H160+'Resultater - Østdanmark'!H160</f>
        <v>55488.536199525202</v>
      </c>
      <c r="I160" s="276">
        <f>'Resultater - Vestdanmark'!I160+'Resultater - Østdanmark'!I160</f>
        <v>61165.800881384486</v>
      </c>
      <c r="J160" s="277">
        <f>'Resultater - Vestdanmark'!J160+'Resultater - Østdanmark'!J160</f>
        <v>79289.001142535431</v>
      </c>
    </row>
    <row r="161" spans="1:10" x14ac:dyDescent="0.25">
      <c r="A161" s="98" t="str">
        <f>'Resultater - Vestdanmark'!A161</f>
        <v>Kornmark</v>
      </c>
      <c r="B161" s="98" t="str">
        <f>'Resultater - Vestdanmark'!B161</f>
        <v>Økologisk</v>
      </c>
      <c r="C161" s="98" t="str">
        <f>'Resultater - Vestdanmark'!C161</f>
        <v>OC12</v>
      </c>
      <c r="D161" s="98" t="str">
        <f>'Resultater - Vestdanmark'!D161</f>
        <v>Areal-korn</v>
      </c>
      <c r="E161" s="98" t="str">
        <f>'Resultater - Vestdanmark'!E161</f>
        <v>Hektar</v>
      </c>
      <c r="F161" s="98" t="str">
        <f>'Resultater - Vestdanmark'!F161</f>
        <v>Korn</v>
      </c>
      <c r="G161" s="98" t="str">
        <f>'Resultater - Vestdanmark'!G161</f>
        <v>Ton</v>
      </c>
      <c r="H161" s="275">
        <f>'Resultater - Vestdanmark'!H161+'Resultater - Østdanmark'!H161</f>
        <v>11642.312333926018</v>
      </c>
      <c r="I161" s="276">
        <f>'Resultater - Vestdanmark'!I161+'Resultater - Østdanmark'!I161</f>
        <v>13515.773846169524</v>
      </c>
      <c r="J161" s="277">
        <f>'Resultater - Vestdanmark'!J161+'Resultater - Østdanmark'!J161</f>
        <v>18795.256264107349</v>
      </c>
    </row>
    <row r="162" spans="1:10" x14ac:dyDescent="0.25">
      <c r="A162" s="98" t="str">
        <f>'Resultater - Vestdanmark'!A162</f>
        <v>Kornmark</v>
      </c>
      <c r="B162" s="98" t="str">
        <f>'Resultater - Vestdanmark'!B162</f>
        <v>Økologisk</v>
      </c>
      <c r="C162" s="98" t="str">
        <f>'Resultater - Vestdanmark'!C162</f>
        <v>OC12</v>
      </c>
      <c r="D162" s="98" t="str">
        <f>'Resultater - Vestdanmark'!D162</f>
        <v>Areal-korn</v>
      </c>
      <c r="E162" s="98" t="str">
        <f>'Resultater - Vestdanmark'!E162</f>
        <v>Hektar</v>
      </c>
      <c r="F162" s="98" t="str">
        <f>'Resultater - Vestdanmark'!F162</f>
        <v>Halm</v>
      </c>
      <c r="G162" s="98" t="str">
        <f>'Resultater - Vestdanmark'!G162</f>
        <v>Ton</v>
      </c>
      <c r="H162" s="275">
        <f>'Resultater - Vestdanmark'!H162+'Resultater - Østdanmark'!H162</f>
        <v>3800.0216400126183</v>
      </c>
      <c r="I162" s="276">
        <f>'Resultater - Vestdanmark'!I162+'Resultater - Østdanmark'!I162</f>
        <v>4091.2953480242631</v>
      </c>
      <c r="J162" s="277">
        <f>'Resultater - Vestdanmark'!J162+'Resultater - Østdanmark'!J162</f>
        <v>5303.5310066981183</v>
      </c>
    </row>
    <row r="163" spans="1:10" x14ac:dyDescent="0.25">
      <c r="A163" s="98" t="str">
        <f>'Resultater - Vestdanmark'!A163</f>
        <v>Kornmark</v>
      </c>
      <c r="B163" s="98" t="str">
        <f>'Resultater - Vestdanmark'!B163</f>
        <v>Økologisk</v>
      </c>
      <c r="C163" s="98" t="str">
        <f>'Resultater - Vestdanmark'!C163</f>
        <v>OC12</v>
      </c>
      <c r="D163" s="98" t="str">
        <f>'Resultater - Vestdanmark'!D163</f>
        <v>Areal-korn</v>
      </c>
      <c r="E163" s="98" t="str">
        <f>'Resultater - Vestdanmark'!E163</f>
        <v>Hektar</v>
      </c>
      <c r="F163" s="98" t="str">
        <f>'Resultater - Vestdanmark'!F163</f>
        <v>Gødning</v>
      </c>
      <c r="G163" s="98" t="str">
        <f>'Resultater - Vestdanmark'!G163</f>
        <v>kg N</v>
      </c>
      <c r="H163" s="275">
        <f>'Resultater - Vestdanmark'!H163+'Resultater - Østdanmark'!H163</f>
        <v>-118629.63454173651</v>
      </c>
      <c r="I163" s="276">
        <f>'Resultater - Vestdanmark'!I163+'Resultater - Østdanmark'!I163</f>
        <v>-128469.51284725679</v>
      </c>
      <c r="J163" s="277">
        <f>'Resultater - Vestdanmark'!J163+'Resultater - Østdanmark'!J163</f>
        <v>-166534.5536908884</v>
      </c>
    </row>
    <row r="164" spans="1:10" x14ac:dyDescent="0.25">
      <c r="A164" s="98" t="str">
        <f>'Resultater - Vestdanmark'!A164</f>
        <v>Kornmark</v>
      </c>
      <c r="B164" s="98" t="str">
        <f>'Resultater - Vestdanmark'!B164</f>
        <v>Økologisk</v>
      </c>
      <c r="C164" s="98" t="str">
        <f>'Resultater - Vestdanmark'!C164</f>
        <v>OC12</v>
      </c>
      <c r="D164" s="98" t="str">
        <f>'Resultater - Vestdanmark'!D164</f>
        <v>Areal-korn</v>
      </c>
      <c r="E164" s="98" t="str">
        <f>'Resultater - Vestdanmark'!E164</f>
        <v>Hektar</v>
      </c>
      <c r="F164" s="98" t="str">
        <f>'Resultater - Vestdanmark'!F164</f>
        <v>CO2 - atmosfære</v>
      </c>
      <c r="G164" s="98" t="str">
        <f>'Resultater - Vestdanmark'!G164</f>
        <v>t CO2-ækvivalenter</v>
      </c>
      <c r="H164" s="275">
        <f>'Resultater - Vestdanmark'!H164+'Resultater - Østdanmark'!H164</f>
        <v>72508.724428055051</v>
      </c>
      <c r="I164" s="276">
        <f>'Resultater - Vestdanmark'!I164+'Resultater - Østdanmark'!I164</f>
        <v>78523.048144188142</v>
      </c>
      <c r="J164" s="277">
        <f>'Resultater - Vestdanmark'!J164+'Resultater - Østdanmark'!J164</f>
        <v>101789.13648320684</v>
      </c>
    </row>
    <row r="165" spans="1:10" x14ac:dyDescent="0.25">
      <c r="A165" s="98" t="str">
        <f>'Resultater - Vestdanmark'!A165</f>
        <v>Grøntsager på land</v>
      </c>
      <c r="B165" s="98" t="str">
        <f>'Resultater - Vestdanmark'!B165</f>
        <v>Konventionel</v>
      </c>
      <c r="C165" s="98" t="str">
        <f>'Resultater - Vestdanmark'!C165</f>
        <v>JB1-10</v>
      </c>
      <c r="D165" s="98" t="str">
        <f>'Resultater - Vestdanmark'!D165</f>
        <v>Areal-grøntsager</v>
      </c>
      <c r="E165" s="98" t="str">
        <f>'Resultater - Vestdanmark'!E165</f>
        <v>Hektar</v>
      </c>
      <c r="F165" s="98" t="str">
        <f>'Resultater - Vestdanmark'!F165</f>
        <v>Grøntsager</v>
      </c>
      <c r="G165" s="98" t="str">
        <f>'Resultater - Vestdanmark'!G165</f>
        <v>Ton</v>
      </c>
      <c r="H165" s="275">
        <f>'Resultater - Vestdanmark'!H165+'Resultater - Østdanmark'!H165</f>
        <v>229792.23730502045</v>
      </c>
      <c r="I165" s="276">
        <f>'Resultater - Vestdanmark'!I165+'Resultater - Østdanmark'!I165</f>
        <v>238363.79482386861</v>
      </c>
      <c r="J165" s="277">
        <f>'Resultater - Vestdanmark'!J165+'Resultater - Østdanmark'!J165</f>
        <v>240231.25491662149</v>
      </c>
    </row>
    <row r="166" spans="1:10" x14ac:dyDescent="0.25">
      <c r="A166" s="98" t="str">
        <f>'Resultater - Vestdanmark'!A166</f>
        <v>Grøntsager på land</v>
      </c>
      <c r="B166" s="98" t="str">
        <f>'Resultater - Vestdanmark'!B166</f>
        <v>Konventionel</v>
      </c>
      <c r="C166" s="98" t="str">
        <f>'Resultater - Vestdanmark'!C166</f>
        <v>JB1-10</v>
      </c>
      <c r="D166" s="98" t="str">
        <f>'Resultater - Vestdanmark'!D166</f>
        <v>Areal-grøntsager</v>
      </c>
      <c r="E166" s="98" t="str">
        <f>'Resultater - Vestdanmark'!E166</f>
        <v>Hektar</v>
      </c>
      <c r="F166" s="98" t="str">
        <f>'Resultater - Vestdanmark'!F166</f>
        <v>Gødning</v>
      </c>
      <c r="G166" s="98" t="str">
        <f>'Resultater - Vestdanmark'!G166</f>
        <v>kg N</v>
      </c>
      <c r="H166" s="275">
        <f>'Resultater - Vestdanmark'!H166+'Resultater - Østdanmark'!H166</f>
        <v>-2229300.7257745154</v>
      </c>
      <c r="I166" s="276">
        <f>'Resultater - Vestdanmark'!I166+'Resultater - Østdanmark'!I166</f>
        <v>-2157142.3711023317</v>
      </c>
      <c r="J166" s="277">
        <f>'Resultater - Vestdanmark'!J166+'Resultater - Østdanmark'!J166</f>
        <v>-2026585.6982289553</v>
      </c>
    </row>
    <row r="167" spans="1:10" x14ac:dyDescent="0.25">
      <c r="A167" s="98" t="str">
        <f>'Resultater - Vestdanmark'!A167</f>
        <v>Grøntsager på land</v>
      </c>
      <c r="B167" s="98" t="str">
        <f>'Resultater - Vestdanmark'!B167</f>
        <v>Konventionel</v>
      </c>
      <c r="C167" s="98" t="str">
        <f>'Resultater - Vestdanmark'!C167</f>
        <v>JB1-10</v>
      </c>
      <c r="D167" s="98" t="str">
        <f>'Resultater - Vestdanmark'!D167</f>
        <v>Areal-grøntsager</v>
      </c>
      <c r="E167" s="98" t="str">
        <f>'Resultater - Vestdanmark'!E167</f>
        <v>Hektar</v>
      </c>
      <c r="F167" s="98" t="str">
        <f>'Resultater - Vestdanmark'!F167</f>
        <v>CO2 - atmosfære</v>
      </c>
      <c r="G167" s="98" t="str">
        <f>'Resultater - Vestdanmark'!G167</f>
        <v>t CO2-ækvivalenter</v>
      </c>
      <c r="H167" s="275">
        <f>'Resultater - Vestdanmark'!H167+'Resultater - Østdanmark'!H167</f>
        <v>25343.742518123829</v>
      </c>
      <c r="I167" s="276">
        <f>'Resultater - Vestdanmark'!I167+'Resultater - Østdanmark'!I167</f>
        <v>24523.412295198013</v>
      </c>
      <c r="J167" s="277">
        <f>'Resultater - Vestdanmark'!J167+'Resultater - Østdanmark'!J167</f>
        <v>23039.182436448828</v>
      </c>
    </row>
    <row r="168" spans="1:10" x14ac:dyDescent="0.25">
      <c r="A168" s="98" t="str">
        <f>'Resultater - Vestdanmark'!A168</f>
        <v>Grøntsager på land</v>
      </c>
      <c r="B168" s="98" t="str">
        <f>'Resultater - Vestdanmark'!B168</f>
        <v>Konventionel</v>
      </c>
      <c r="C168" s="98" t="str">
        <f>'Resultater - Vestdanmark'!C168</f>
        <v>OC6</v>
      </c>
      <c r="D168" s="98" t="str">
        <f>'Resultater - Vestdanmark'!D168</f>
        <v>Areal-grøntsager</v>
      </c>
      <c r="E168" s="98" t="str">
        <f>'Resultater - Vestdanmark'!E168</f>
        <v>Hektar</v>
      </c>
      <c r="F168" s="98" t="str">
        <f>'Resultater - Vestdanmark'!F168</f>
        <v>Grøntsager</v>
      </c>
      <c r="G168" s="98" t="str">
        <f>'Resultater - Vestdanmark'!G168</f>
        <v>Ton</v>
      </c>
      <c r="H168" s="275">
        <f>'Resultater - Vestdanmark'!H168+'Resultater - Østdanmark'!H168</f>
        <v>2895.9534319120221</v>
      </c>
      <c r="I168" s="276">
        <f>'Resultater - Vestdanmark'!I168+'Resultater - Østdanmark'!I168</f>
        <v>2803.9519307128389</v>
      </c>
      <c r="J168" s="277">
        <f>'Resultater - Vestdanmark'!J168+'Resultater - Østdanmark'!J168</f>
        <v>2868.8739046068131</v>
      </c>
    </row>
    <row r="169" spans="1:10" x14ac:dyDescent="0.25">
      <c r="A169" s="98" t="str">
        <f>'Resultater - Vestdanmark'!A169</f>
        <v>Grøntsager på land</v>
      </c>
      <c r="B169" s="98" t="str">
        <f>'Resultater - Vestdanmark'!B169</f>
        <v>Konventionel</v>
      </c>
      <c r="C169" s="98" t="str">
        <f>'Resultater - Vestdanmark'!C169</f>
        <v>OC6</v>
      </c>
      <c r="D169" s="98" t="str">
        <f>'Resultater - Vestdanmark'!D169</f>
        <v>Areal-grøntsager</v>
      </c>
      <c r="E169" s="98" t="str">
        <f>'Resultater - Vestdanmark'!E169</f>
        <v>Hektar</v>
      </c>
      <c r="F169" s="98" t="str">
        <f>'Resultater - Vestdanmark'!F169</f>
        <v>Gødning</v>
      </c>
      <c r="G169" s="98" t="str">
        <f>'Resultater - Vestdanmark'!G169</f>
        <v>kg N</v>
      </c>
      <c r="H169" s="275">
        <f>'Resultater - Vestdanmark'!H169+'Resultater - Østdanmark'!H169</f>
        <v>-22826.968918399438</v>
      </c>
      <c r="I169" s="276">
        <f>'Resultater - Vestdanmark'!I169+'Resultater - Østdanmark'!I169</f>
        <v>-20617.331422352458</v>
      </c>
      <c r="J169" s="277">
        <f>'Resultater - Vestdanmark'!J169+'Resultater - Østdanmark'!J169</f>
        <v>-19663.928813226332</v>
      </c>
    </row>
    <row r="170" spans="1:10" x14ac:dyDescent="0.25">
      <c r="A170" s="98" t="str">
        <f>'Resultater - Vestdanmark'!A170</f>
        <v>Grøntsager på land</v>
      </c>
      <c r="B170" s="98" t="str">
        <f>'Resultater - Vestdanmark'!B170</f>
        <v>Konventionel</v>
      </c>
      <c r="C170" s="98" t="str">
        <f>'Resultater - Vestdanmark'!C170</f>
        <v>OC6</v>
      </c>
      <c r="D170" s="98" t="str">
        <f>'Resultater - Vestdanmark'!D170</f>
        <v>Areal-grøntsager</v>
      </c>
      <c r="E170" s="98" t="str">
        <f>'Resultater - Vestdanmark'!E170</f>
        <v>Hektar</v>
      </c>
      <c r="F170" s="98" t="str">
        <f>'Resultater - Vestdanmark'!F170</f>
        <v>CO2 - atmosfære</v>
      </c>
      <c r="G170" s="98" t="str">
        <f>'Resultater - Vestdanmark'!G170</f>
        <v>t CO2-ækvivalenter</v>
      </c>
      <c r="H170" s="275">
        <f>'Resultater - Vestdanmark'!H170+'Resultater - Østdanmark'!H170</f>
        <v>1872.0097963032511</v>
      </c>
      <c r="I170" s="276">
        <f>'Resultater - Vestdanmark'!I170+'Resultater - Østdanmark'!I170</f>
        <v>1690.8003219457169</v>
      </c>
      <c r="J170" s="277">
        <f>'Resultater - Vestdanmark'!J170+'Resultater - Østdanmark'!J170</f>
        <v>1612.6130238210594</v>
      </c>
    </row>
    <row r="171" spans="1:10" x14ac:dyDescent="0.25">
      <c r="A171" s="98" t="str">
        <f>'Resultater - Vestdanmark'!A171</f>
        <v>Grøntsager på land</v>
      </c>
      <c r="B171" s="98" t="str">
        <f>'Resultater - Vestdanmark'!B171</f>
        <v>Konventionel</v>
      </c>
      <c r="C171" s="98" t="str">
        <f>'Resultater - Vestdanmark'!C171</f>
        <v>OC12</v>
      </c>
      <c r="D171" s="98" t="str">
        <f>'Resultater - Vestdanmark'!D171</f>
        <v>Areal-grøntsager</v>
      </c>
      <c r="E171" s="98" t="str">
        <f>'Resultater - Vestdanmark'!E171</f>
        <v>Hektar</v>
      </c>
      <c r="F171" s="98" t="str">
        <f>'Resultater - Vestdanmark'!F171</f>
        <v>Grøntsager</v>
      </c>
      <c r="G171" s="98" t="str">
        <f>'Resultater - Vestdanmark'!G171</f>
        <v>Ton</v>
      </c>
      <c r="H171" s="275">
        <f>'Resultater - Vestdanmark'!H171+'Resultater - Østdanmark'!H171</f>
        <v>873.12609941568871</v>
      </c>
      <c r="I171" s="276">
        <f>'Resultater - Vestdanmark'!I171+'Resultater - Østdanmark'!I171</f>
        <v>832.37444875941435</v>
      </c>
      <c r="J171" s="277">
        <f>'Resultater - Vestdanmark'!J171+'Resultater - Østdanmark'!J171</f>
        <v>851.64703030421686</v>
      </c>
    </row>
    <row r="172" spans="1:10" x14ac:dyDescent="0.25">
      <c r="A172" s="98" t="str">
        <f>'Resultater - Vestdanmark'!A172</f>
        <v>Grøntsager på land</v>
      </c>
      <c r="B172" s="98" t="str">
        <f>'Resultater - Vestdanmark'!B172</f>
        <v>Konventionel</v>
      </c>
      <c r="C172" s="98" t="str">
        <f>'Resultater - Vestdanmark'!C172</f>
        <v>OC12</v>
      </c>
      <c r="D172" s="98" t="str">
        <f>'Resultater - Vestdanmark'!D172</f>
        <v>Areal-grøntsager</v>
      </c>
      <c r="E172" s="98" t="str">
        <f>'Resultater - Vestdanmark'!E172</f>
        <v>Hektar</v>
      </c>
      <c r="F172" s="98" t="str">
        <f>'Resultater - Vestdanmark'!F172</f>
        <v>Gødning</v>
      </c>
      <c r="G172" s="98" t="str">
        <f>'Resultater - Vestdanmark'!G172</f>
        <v>kg N</v>
      </c>
      <c r="H172" s="275">
        <f>'Resultater - Vestdanmark'!H172+'Resultater - Østdanmark'!H172</f>
        <v>-5747.8555301287988</v>
      </c>
      <c r="I172" s="276">
        <f>'Resultater - Vestdanmark'!I172+'Resultater - Østdanmark'!I172</f>
        <v>-5111.5525316496414</v>
      </c>
      <c r="J172" s="277">
        <f>'Resultater - Vestdanmark'!J172+'Resultater - Østdanmark'!J172</f>
        <v>-4875.1801602438773</v>
      </c>
    </row>
    <row r="173" spans="1:10" x14ac:dyDescent="0.25">
      <c r="A173" s="98" t="str">
        <f>'Resultater - Vestdanmark'!A173</f>
        <v>Grøntsager på land</v>
      </c>
      <c r="B173" s="98" t="str">
        <f>'Resultater - Vestdanmark'!B173</f>
        <v>Konventionel</v>
      </c>
      <c r="C173" s="98" t="str">
        <f>'Resultater - Vestdanmark'!C173</f>
        <v>OC12</v>
      </c>
      <c r="D173" s="98" t="str">
        <f>'Resultater - Vestdanmark'!D173</f>
        <v>Areal-grøntsager</v>
      </c>
      <c r="E173" s="98" t="str">
        <f>'Resultater - Vestdanmark'!E173</f>
        <v>Hektar</v>
      </c>
      <c r="F173" s="98" t="str">
        <f>'Resultater - Vestdanmark'!F173</f>
        <v>CO2 - atmosfære</v>
      </c>
      <c r="G173" s="98" t="str">
        <f>'Resultater - Vestdanmark'!G173</f>
        <v>t CO2-ækvivalenter</v>
      </c>
      <c r="H173" s="275">
        <f>'Resultater - Vestdanmark'!H173+'Resultater - Østdanmark'!H173</f>
        <v>1238.8653838857663</v>
      </c>
      <c r="I173" s="276">
        <f>'Resultater - Vestdanmark'!I173+'Resultater - Østdanmark'!I173</f>
        <v>1101.7196685234876</v>
      </c>
      <c r="J173" s="277">
        <f>'Resultater - Vestdanmark'!J173+'Resultater - Østdanmark'!J173</f>
        <v>1050.7730942565054</v>
      </c>
    </row>
    <row r="174" spans="1:10" x14ac:dyDescent="0.25">
      <c r="A174" s="98" t="str">
        <f>'Resultater - Vestdanmark'!A174</f>
        <v>Grøntsager på land</v>
      </c>
      <c r="B174" s="98" t="str">
        <f>'Resultater - Vestdanmark'!B174</f>
        <v>Økologisk</v>
      </c>
      <c r="C174" s="98" t="str">
        <f>'Resultater - Vestdanmark'!C174</f>
        <v>JB1-10</v>
      </c>
      <c r="D174" s="98" t="str">
        <f>'Resultater - Vestdanmark'!D174</f>
        <v>Areal-grøntsager</v>
      </c>
      <c r="E174" s="98" t="str">
        <f>'Resultater - Vestdanmark'!E174</f>
        <v>Hektar</v>
      </c>
      <c r="F174" s="98" t="str">
        <f>'Resultater - Vestdanmark'!F174</f>
        <v>Grøntsager</v>
      </c>
      <c r="G174" s="98" t="str">
        <f>'Resultater - Vestdanmark'!G174</f>
        <v>Ton</v>
      </c>
      <c r="H174" s="275">
        <f>'Resultater - Vestdanmark'!H174+'Resultater - Østdanmark'!H174</f>
        <v>16747.502556513253</v>
      </c>
      <c r="I174" s="276">
        <f>'Resultater - Vestdanmark'!I174+'Resultater - Østdanmark'!I174</f>
        <v>21204.732961499059</v>
      </c>
      <c r="J174" s="277">
        <f>'Resultater - Vestdanmark'!J174+'Resultater - Østdanmark'!J174</f>
        <v>29046.142639918777</v>
      </c>
    </row>
    <row r="175" spans="1:10" x14ac:dyDescent="0.25">
      <c r="A175" s="98" t="str">
        <f>'Resultater - Vestdanmark'!A175</f>
        <v>Grøntsager på land</v>
      </c>
      <c r="B175" s="98" t="str">
        <f>'Resultater - Vestdanmark'!B175</f>
        <v>Økologisk</v>
      </c>
      <c r="C175" s="98" t="str">
        <f>'Resultater - Vestdanmark'!C175</f>
        <v>JB1-10</v>
      </c>
      <c r="D175" s="98" t="str">
        <f>'Resultater - Vestdanmark'!D175</f>
        <v>Areal-grøntsager</v>
      </c>
      <c r="E175" s="98" t="str">
        <f>'Resultater - Vestdanmark'!E175</f>
        <v>Hektar</v>
      </c>
      <c r="F175" s="98" t="str">
        <f>'Resultater - Vestdanmark'!F175</f>
        <v>Gødning</v>
      </c>
      <c r="G175" s="98" t="str">
        <f>'Resultater - Vestdanmark'!G175</f>
        <v>kg N</v>
      </c>
      <c r="H175" s="275">
        <f>'Resultater - Vestdanmark'!H175+'Resultater - Østdanmark'!H175</f>
        <v>-162473.80695714155</v>
      </c>
      <c r="I175" s="276">
        <f>'Resultater - Vestdanmark'!I175+'Resultater - Østdanmark'!I175</f>
        <v>-191898.38781077968</v>
      </c>
      <c r="J175" s="277">
        <f>'Resultater - Vestdanmark'!J175+'Resultater - Østdanmark'!J175</f>
        <v>-245032.63442222818</v>
      </c>
    </row>
    <row r="176" spans="1:10" x14ac:dyDescent="0.25">
      <c r="A176" s="98" t="str">
        <f>'Resultater - Vestdanmark'!A176</f>
        <v>Grøntsager på land</v>
      </c>
      <c r="B176" s="98" t="str">
        <f>'Resultater - Vestdanmark'!B176</f>
        <v>Økologisk</v>
      </c>
      <c r="C176" s="98" t="str">
        <f>'Resultater - Vestdanmark'!C176</f>
        <v>JB1-10</v>
      </c>
      <c r="D176" s="98" t="str">
        <f>'Resultater - Vestdanmark'!D176</f>
        <v>Areal-grøntsager</v>
      </c>
      <c r="E176" s="98" t="str">
        <f>'Resultater - Vestdanmark'!E176</f>
        <v>Hektar</v>
      </c>
      <c r="F176" s="98" t="str">
        <f>'Resultater - Vestdanmark'!F176</f>
        <v>CO2 - atmosfære</v>
      </c>
      <c r="G176" s="98" t="str">
        <f>'Resultater - Vestdanmark'!G176</f>
        <v>t CO2-ækvivalenter</v>
      </c>
      <c r="H176" s="275">
        <f>'Resultater - Vestdanmark'!H176+'Resultater - Østdanmark'!H176</f>
        <v>3240.4892959857261</v>
      </c>
      <c r="I176" s="276">
        <f>'Resultater - Vestdanmark'!I176+'Resultater - Østdanmark'!I176</f>
        <v>3827.3533639904422</v>
      </c>
      <c r="J176" s="277">
        <f>'Resultater - Vestdanmark'!J176+'Resultater - Østdanmark'!J176</f>
        <v>4887.0993047012653</v>
      </c>
    </row>
    <row r="177" spans="1:10" x14ac:dyDescent="0.25">
      <c r="A177" s="98" t="str">
        <f>'Resultater - Vestdanmark'!A177</f>
        <v>Grøntsager på land</v>
      </c>
      <c r="B177" s="98" t="str">
        <f>'Resultater - Vestdanmark'!B177</f>
        <v>Økologisk</v>
      </c>
      <c r="C177" s="98" t="str">
        <f>'Resultater - Vestdanmark'!C177</f>
        <v>OC6</v>
      </c>
      <c r="D177" s="98" t="str">
        <f>'Resultater - Vestdanmark'!D177</f>
        <v>Areal-grøntsager</v>
      </c>
      <c r="E177" s="98" t="str">
        <f>'Resultater - Vestdanmark'!E177</f>
        <v>Hektar</v>
      </c>
      <c r="F177" s="98" t="str">
        <f>'Resultater - Vestdanmark'!F177</f>
        <v>Grøntsager</v>
      </c>
      <c r="G177" s="98" t="str">
        <f>'Resultater - Vestdanmark'!G177</f>
        <v>Ton</v>
      </c>
      <c r="H177" s="275">
        <f>'Resultater - Vestdanmark'!H177+'Resultater - Østdanmark'!H177</f>
        <v>211.06016492677367</v>
      </c>
      <c r="I177" s="276">
        <f>'Resultater - Vestdanmark'!I177+'Resultater - Østdanmark'!I177</f>
        <v>249.43826713104394</v>
      </c>
      <c r="J177" s="277">
        <f>'Resultater - Vestdanmark'!J177+'Resultater - Østdanmark'!J177</f>
        <v>346.8729357388238</v>
      </c>
    </row>
    <row r="178" spans="1:10" x14ac:dyDescent="0.25">
      <c r="A178" s="98" t="str">
        <f>'Resultater - Vestdanmark'!A178</f>
        <v>Grøntsager på land</v>
      </c>
      <c r="B178" s="98" t="str">
        <f>'Resultater - Vestdanmark'!B178</f>
        <v>Økologisk</v>
      </c>
      <c r="C178" s="98" t="str">
        <f>'Resultater - Vestdanmark'!C178</f>
        <v>OC6</v>
      </c>
      <c r="D178" s="98" t="str">
        <f>'Resultater - Vestdanmark'!D178</f>
        <v>Areal-grøntsager</v>
      </c>
      <c r="E178" s="98" t="str">
        <f>'Resultater - Vestdanmark'!E178</f>
        <v>Hektar</v>
      </c>
      <c r="F178" s="98" t="str">
        <f>'Resultater - Vestdanmark'!F178</f>
        <v>Gødning</v>
      </c>
      <c r="G178" s="98" t="str">
        <f>'Resultater - Vestdanmark'!G178</f>
        <v>kg N</v>
      </c>
      <c r="H178" s="275">
        <f>'Resultater - Vestdanmark'!H178+'Resultater - Østdanmark'!H178</f>
        <v>-1663.6537630768387</v>
      </c>
      <c r="I178" s="276">
        <f>'Resultater - Vestdanmark'!I178+'Resultater - Østdanmark'!I178</f>
        <v>-1834.1082693063836</v>
      </c>
      <c r="J178" s="277">
        <f>'Resultater - Vestdanmark'!J178+'Resultater - Østdanmark'!J178</f>
        <v>-2377.5477565082747</v>
      </c>
    </row>
    <row r="179" spans="1:10" x14ac:dyDescent="0.25">
      <c r="A179" s="98" t="str">
        <f>'Resultater - Vestdanmark'!A179</f>
        <v>Grøntsager på land</v>
      </c>
      <c r="B179" s="98" t="str">
        <f>'Resultater - Vestdanmark'!B179</f>
        <v>Økologisk</v>
      </c>
      <c r="C179" s="98" t="str">
        <f>'Resultater - Vestdanmark'!C179</f>
        <v>OC6</v>
      </c>
      <c r="D179" s="98" t="str">
        <f>'Resultater - Vestdanmark'!D179</f>
        <v>Areal-grøntsager</v>
      </c>
      <c r="E179" s="98" t="str">
        <f>'Resultater - Vestdanmark'!E179</f>
        <v>Hektar</v>
      </c>
      <c r="F179" s="98" t="str">
        <f>'Resultater - Vestdanmark'!F179</f>
        <v>CO2 - atmosfære</v>
      </c>
      <c r="G179" s="98" t="str">
        <f>'Resultater - Vestdanmark'!G179</f>
        <v>t CO2-ækvivalenter</v>
      </c>
      <c r="H179" s="275">
        <f>'Resultater - Vestdanmark'!H179+'Resultater - Østdanmark'!H179</f>
        <v>239.35800730941858</v>
      </c>
      <c r="I179" s="276">
        <f>'Resultater - Vestdanmark'!I179+'Resultater - Østdanmark'!I179</f>
        <v>263.88213117071888</v>
      </c>
      <c r="J179" s="277">
        <f>'Resultater - Vestdanmark'!J179+'Resultater - Østdanmark'!J179</f>
        <v>342.06942929537627</v>
      </c>
    </row>
    <row r="180" spans="1:10" x14ac:dyDescent="0.25">
      <c r="A180" s="98" t="str">
        <f>'Resultater - Vestdanmark'!A180</f>
        <v>Grøntsager på land</v>
      </c>
      <c r="B180" s="98" t="str">
        <f>'Resultater - Vestdanmark'!B180</f>
        <v>Økologisk</v>
      </c>
      <c r="C180" s="98" t="str">
        <f>'Resultater - Vestdanmark'!C180</f>
        <v>OC12</v>
      </c>
      <c r="D180" s="98" t="str">
        <f>'Resultater - Vestdanmark'!D180</f>
        <v>Areal-grøntsager</v>
      </c>
      <c r="E180" s="98" t="str">
        <f>'Resultater - Vestdanmark'!E180</f>
        <v>Hektar</v>
      </c>
      <c r="F180" s="98" t="str">
        <f>'Resultater - Vestdanmark'!F180</f>
        <v>Grøntsager</v>
      </c>
      <c r="G180" s="98" t="str">
        <f>'Resultater - Vestdanmark'!G180</f>
        <v>Ton</v>
      </c>
      <c r="H180" s="275">
        <f>'Resultater - Vestdanmark'!H180+'Resultater - Østdanmark'!H180</f>
        <v>63.63435838223252</v>
      </c>
      <c r="I180" s="276">
        <f>'Resultater - Vestdanmark'!I180+'Resultater - Østdanmark'!I180</f>
        <v>74.047646048597628</v>
      </c>
      <c r="J180" s="277">
        <f>'Resultater - Vestdanmark'!J180+'Resultater - Østdanmark'!J180</f>
        <v>102.97186820950986</v>
      </c>
    </row>
    <row r="181" spans="1:10" x14ac:dyDescent="0.25">
      <c r="A181" s="98" t="str">
        <f>'Resultater - Vestdanmark'!A181</f>
        <v>Grøntsager på land</v>
      </c>
      <c r="B181" s="98" t="str">
        <f>'Resultater - Vestdanmark'!B181</f>
        <v>Økologisk</v>
      </c>
      <c r="C181" s="98" t="str">
        <f>'Resultater - Vestdanmark'!C181</f>
        <v>OC12</v>
      </c>
      <c r="D181" s="98" t="str">
        <f>'Resultater - Vestdanmark'!D181</f>
        <v>Areal-grøntsager</v>
      </c>
      <c r="E181" s="98" t="str">
        <f>'Resultater - Vestdanmark'!E181</f>
        <v>Hektar</v>
      </c>
      <c r="F181" s="98" t="str">
        <f>'Resultater - Vestdanmark'!F181</f>
        <v>Gødning</v>
      </c>
      <c r="G181" s="98" t="str">
        <f>'Resultater - Vestdanmark'!G181</f>
        <v>kg N</v>
      </c>
      <c r="H181" s="275">
        <f>'Resultater - Vestdanmark'!H181+'Resultater - Østdanmark'!H181</f>
        <v>-418.90982182102539</v>
      </c>
      <c r="I181" s="276">
        <f>'Resultater - Vestdanmark'!I181+'Resultater - Østdanmark'!I181</f>
        <v>-454.72134949183805</v>
      </c>
      <c r="J181" s="277">
        <f>'Resultater - Vestdanmark'!J181+'Resultater - Østdanmark'!J181</f>
        <v>-589.45360119312329</v>
      </c>
    </row>
    <row r="182" spans="1:10" x14ac:dyDescent="0.25">
      <c r="A182" s="98" t="str">
        <f>'Resultater - Vestdanmark'!A182</f>
        <v>Grøntsager på land</v>
      </c>
      <c r="B182" s="98" t="str">
        <f>'Resultater - Vestdanmark'!B182</f>
        <v>Økologisk</v>
      </c>
      <c r="C182" s="98" t="str">
        <f>'Resultater - Vestdanmark'!C182</f>
        <v>OC12</v>
      </c>
      <c r="D182" s="98" t="str">
        <f>'Resultater - Vestdanmark'!D182</f>
        <v>Areal-grøntsager</v>
      </c>
      <c r="E182" s="98" t="str">
        <f>'Resultater - Vestdanmark'!E182</f>
        <v>Hektar</v>
      </c>
      <c r="F182" s="98" t="str">
        <f>'Resultater - Vestdanmark'!F182</f>
        <v>CO2 - atmosfære</v>
      </c>
      <c r="G182" s="98" t="str">
        <f>'Resultater - Vestdanmark'!G182</f>
        <v>t CO2-ækvivalenter</v>
      </c>
      <c r="H182" s="275">
        <f>'Resultater - Vestdanmark'!H182+'Resultater - Østdanmark'!H182</f>
        <v>158.40320397740001</v>
      </c>
      <c r="I182" s="276">
        <f>'Resultater - Vestdanmark'!I182+'Resultater - Østdanmark'!I182</f>
        <v>171.94468815106453</v>
      </c>
      <c r="J182" s="277">
        <f>'Resultater - Vestdanmark'!J182+'Resultater - Østdanmark'!J182</f>
        <v>222.89126241804658</v>
      </c>
    </row>
    <row r="183" spans="1:10" x14ac:dyDescent="0.25">
      <c r="A183" s="98" t="str">
        <f>'Resultater - Vestdanmark'!A183</f>
        <v>Grøntsager i drivhus</v>
      </c>
      <c r="B183" s="98" t="str">
        <f>'Resultater - Vestdanmark'!B183</f>
        <v>Konventionel</v>
      </c>
      <c r="C183" s="98" t="str">
        <f>'Resultater - Vestdanmark'!C183</f>
        <v/>
      </c>
      <c r="D183" s="98" t="str">
        <f>'Resultater - Vestdanmark'!D183</f>
        <v>Areal-grøntsager</v>
      </c>
      <c r="E183" s="98" t="str">
        <f>'Resultater - Vestdanmark'!E183</f>
        <v>Hektar</v>
      </c>
      <c r="F183" s="98" t="str">
        <f>'Resultater - Vestdanmark'!F183</f>
        <v>Grøntsager</v>
      </c>
      <c r="G183" s="98" t="str">
        <f>'Resultater - Vestdanmark'!G183</f>
        <v>Ton</v>
      </c>
      <c r="H183" s="275">
        <f>'Resultater - Vestdanmark'!H183+'Resultater - Østdanmark'!H183</f>
        <v>27718.750814801697</v>
      </c>
      <c r="I183" s="276">
        <f>'Resultater - Vestdanmark'!I183+'Resultater - Østdanmark'!I183</f>
        <v>26797.218195512287</v>
      </c>
      <c r="J183" s="277">
        <f>'Resultater - Vestdanmark'!J183+'Resultater - Østdanmark'!J183</f>
        <v>25180.019397313932</v>
      </c>
    </row>
    <row r="184" spans="1:10" x14ac:dyDescent="0.25">
      <c r="A184" s="98" t="str">
        <f>'Resultater - Vestdanmark'!A184</f>
        <v>Grøntsager i drivhus</v>
      </c>
      <c r="B184" s="98" t="str">
        <f>'Resultater - Vestdanmark'!B184</f>
        <v>Konventionel</v>
      </c>
      <c r="C184" s="98" t="str">
        <f>'Resultater - Vestdanmark'!C184</f>
        <v/>
      </c>
      <c r="D184" s="98" t="str">
        <f>'Resultater - Vestdanmark'!D184</f>
        <v>Areal-grøntsager</v>
      </c>
      <c r="E184" s="98" t="str">
        <f>'Resultater - Vestdanmark'!E184</f>
        <v>Hektar</v>
      </c>
      <c r="F184" s="98" t="str">
        <f>'Resultater - Vestdanmark'!F184</f>
        <v>Gødning</v>
      </c>
      <c r="G184" s="98" t="str">
        <f>'Resultater - Vestdanmark'!G184</f>
        <v>kg N</v>
      </c>
      <c r="H184" s="275">
        <f>'Resultater - Vestdanmark'!H184+'Resultater - Østdanmark'!H184</f>
        <v>-23717015.446220245</v>
      </c>
      <c r="I184" s="276">
        <f>'Resultater - Vestdanmark'!I184+'Resultater - Østdanmark'!I184</f>
        <v>-22928523.803436268</v>
      </c>
      <c r="J184" s="277">
        <f>'Resultater - Vestdanmark'!J184+'Resultater - Østdanmark'!J184</f>
        <v>-21544798.788815558</v>
      </c>
    </row>
    <row r="185" spans="1:10" x14ac:dyDescent="0.25">
      <c r="A185" s="98" t="str">
        <f>'Resultater - Vestdanmark'!A185</f>
        <v>Grøntsager i drivhus</v>
      </c>
      <c r="B185" s="98" t="str">
        <f>'Resultater - Vestdanmark'!B185</f>
        <v>Konventionel</v>
      </c>
      <c r="C185" s="98" t="str">
        <f>'Resultater - Vestdanmark'!C185</f>
        <v/>
      </c>
      <c r="D185" s="98" t="str">
        <f>'Resultater - Vestdanmark'!D185</f>
        <v>Areal-grøntsager</v>
      </c>
      <c r="E185" s="98" t="str">
        <f>'Resultater - Vestdanmark'!E185</f>
        <v>Hektar</v>
      </c>
      <c r="F185" s="98" t="str">
        <f>'Resultater - Vestdanmark'!F185</f>
        <v>CO2 - atmosfære</v>
      </c>
      <c r="G185" s="98" t="str">
        <f>'Resultater - Vestdanmark'!G185</f>
        <v>t CO2-ækvivalenter</v>
      </c>
      <c r="H185" s="275">
        <f>'Resultater - Vestdanmark'!H185+'Resultater - Østdanmark'!H185</f>
        <v>5135.7375651082511</v>
      </c>
      <c r="I185" s="276">
        <f>'Resultater - Vestdanmark'!I185+'Resultater - Østdanmark'!I185</f>
        <v>4964.9957549170813</v>
      </c>
      <c r="J185" s="277">
        <f>'Resultater - Vestdanmark'!J185+'Resultater - Østdanmark'!J185</f>
        <v>4665.3607290226209</v>
      </c>
    </row>
    <row r="186" spans="1:10" x14ac:dyDescent="0.25">
      <c r="A186" s="98" t="str">
        <f>'Resultater - Vestdanmark'!A186</f>
        <v>Grøntsager i drivhus</v>
      </c>
      <c r="B186" s="98" t="str">
        <f>'Resultater - Vestdanmark'!B186</f>
        <v>Økologisk</v>
      </c>
      <c r="C186" s="98" t="str">
        <f>'Resultater - Vestdanmark'!C186</f>
        <v/>
      </c>
      <c r="D186" s="98" t="str">
        <f>'Resultater - Vestdanmark'!D186</f>
        <v>Areal-grøntsager</v>
      </c>
      <c r="E186" s="98" t="str">
        <f>'Resultater - Vestdanmark'!E186</f>
        <v>Hektar</v>
      </c>
      <c r="F186" s="98" t="str">
        <f>'Resultater - Vestdanmark'!F186</f>
        <v>Grøntsager</v>
      </c>
      <c r="G186" s="98" t="str">
        <f>'Resultater - Vestdanmark'!G186</f>
        <v>Ton</v>
      </c>
      <c r="H186" s="275">
        <f>'Resultater - Vestdanmark'!H186+'Resultater - Østdanmark'!H186</f>
        <v>2020.1720283442451</v>
      </c>
      <c r="I186" s="276">
        <f>'Resultater - Vestdanmark'!I186+'Resultater - Østdanmark'!I186</f>
        <v>2383.8681388955729</v>
      </c>
      <c r="J186" s="277">
        <f>'Resultater - Vestdanmark'!J186+'Resultater - Østdanmark'!J186</f>
        <v>3044.4932544025023</v>
      </c>
    </row>
    <row r="187" spans="1:10" x14ac:dyDescent="0.25">
      <c r="A187" s="98" t="str">
        <f>'Resultater - Vestdanmark'!A187</f>
        <v>Grøntsager i drivhus</v>
      </c>
      <c r="B187" s="98" t="str">
        <f>'Resultater - Vestdanmark'!B187</f>
        <v>Økologisk</v>
      </c>
      <c r="C187" s="98" t="str">
        <f>'Resultater - Vestdanmark'!C187</f>
        <v/>
      </c>
      <c r="D187" s="98" t="str">
        <f>'Resultater - Vestdanmark'!D187</f>
        <v>Areal-grøntsager</v>
      </c>
      <c r="E187" s="98" t="str">
        <f>'Resultater - Vestdanmark'!E187</f>
        <v>Hektar</v>
      </c>
      <c r="F187" s="98" t="str">
        <f>'Resultater - Vestdanmark'!F187</f>
        <v>Gødning</v>
      </c>
      <c r="G187" s="98" t="str">
        <f>'Resultater - Vestdanmark'!G187</f>
        <v>kg N</v>
      </c>
      <c r="H187" s="275">
        <f>'Resultater - Vestdanmark'!H187+'Resultater - Østdanmark'!H187</f>
        <v>-1728521.3002700505</v>
      </c>
      <c r="I187" s="276">
        <f>'Resultater - Vestdanmark'!I187+'Resultater - Østdanmark'!I187</f>
        <v>-2039710.8747681167</v>
      </c>
      <c r="J187" s="277">
        <f>'Resultater - Vestdanmark'!J187+'Resultater - Østdanmark'!J187</f>
        <v>-2604962.035374972</v>
      </c>
    </row>
    <row r="188" spans="1:10" x14ac:dyDescent="0.25">
      <c r="A188" s="98" t="str">
        <f>'Resultater - Vestdanmark'!A188</f>
        <v>Grøntsager i drivhus</v>
      </c>
      <c r="B188" s="98" t="str">
        <f>'Resultater - Vestdanmark'!B188</f>
        <v>Økologisk</v>
      </c>
      <c r="C188" s="98" t="str">
        <f>'Resultater - Vestdanmark'!C188</f>
        <v/>
      </c>
      <c r="D188" s="98" t="str">
        <f>'Resultater - Vestdanmark'!D188</f>
        <v>Areal-grøntsager</v>
      </c>
      <c r="E188" s="98" t="str">
        <f>'Resultater - Vestdanmark'!E188</f>
        <v>Hektar</v>
      </c>
      <c r="F188" s="98" t="str">
        <f>'Resultater - Vestdanmark'!F188</f>
        <v>CO2 - atmosfære</v>
      </c>
      <c r="G188" s="98" t="str">
        <f>'Resultater - Vestdanmark'!G188</f>
        <v>t CO2-ækvivalenter</v>
      </c>
      <c r="H188" s="275">
        <f>'Resultater - Vestdanmark'!H188+'Resultater - Østdanmark'!H188</f>
        <v>656.66318203887363</v>
      </c>
      <c r="I188" s="276">
        <f>'Resultater - Vestdanmark'!I188+'Resultater - Østdanmark'!I188</f>
        <v>774.88373053619193</v>
      </c>
      <c r="J188" s="277">
        <f>'Resultater - Vestdanmark'!J188+'Resultater - Østdanmark'!J188</f>
        <v>989.62197282298007</v>
      </c>
    </row>
    <row r="189" spans="1:10" x14ac:dyDescent="0.25">
      <c r="A189" s="98" t="str">
        <f>'Resultater - Vestdanmark'!A189</f>
        <v>Kartoffelmark</v>
      </c>
      <c r="B189" s="98" t="str">
        <f>'Resultater - Vestdanmark'!B189</f>
        <v>Konventionel</v>
      </c>
      <c r="C189" s="98" t="str">
        <f>'Resultater - Vestdanmark'!C189</f>
        <v>JB1-10</v>
      </c>
      <c r="D189" s="98" t="str">
        <f>'Resultater - Vestdanmark'!D189</f>
        <v>Areal-kartofler</v>
      </c>
      <c r="E189" s="98" t="str">
        <f>'Resultater - Vestdanmark'!E189</f>
        <v>Hektar</v>
      </c>
      <c r="F189" s="98" t="str">
        <f>'Resultater - Vestdanmark'!F189</f>
        <v>Kartofler</v>
      </c>
      <c r="G189" s="98" t="str">
        <f>'Resultater - Vestdanmark'!G189</f>
        <v>Ton</v>
      </c>
      <c r="H189" s="275">
        <f>'Resultater - Vestdanmark'!H189+'Resultater - Østdanmark'!H189</f>
        <v>1960428.2349329358</v>
      </c>
      <c r="I189" s="276">
        <f>'Resultater - Vestdanmark'!I189+'Resultater - Østdanmark'!I189</f>
        <v>2030748.621408846</v>
      </c>
      <c r="J189" s="277">
        <f>'Resultater - Vestdanmark'!J189+'Resultater - Østdanmark'!J189</f>
        <v>2041395.1952447568</v>
      </c>
    </row>
    <row r="190" spans="1:10" x14ac:dyDescent="0.25">
      <c r="A190" s="98" t="str">
        <f>'Resultater - Vestdanmark'!A190</f>
        <v>Kartoffelmark</v>
      </c>
      <c r="B190" s="98" t="str">
        <f>'Resultater - Vestdanmark'!B190</f>
        <v>Konventionel</v>
      </c>
      <c r="C190" s="98" t="str">
        <f>'Resultater - Vestdanmark'!C190</f>
        <v>JB1-10</v>
      </c>
      <c r="D190" s="98" t="str">
        <f>'Resultater - Vestdanmark'!D190</f>
        <v>Areal-kartofler</v>
      </c>
      <c r="E190" s="98" t="str">
        <f>'Resultater - Vestdanmark'!E190</f>
        <v>Hektar</v>
      </c>
      <c r="F190" s="98" t="str">
        <f>'Resultater - Vestdanmark'!F190</f>
        <v>Gødning</v>
      </c>
      <c r="G190" s="98" t="str">
        <f>'Resultater - Vestdanmark'!G190</f>
        <v>kg N</v>
      </c>
      <c r="H190" s="275">
        <f>'Resultater - Vestdanmark'!H190+'Resultater - Østdanmark'!H190</f>
        <v>-6923899.3970784517</v>
      </c>
      <c r="I190" s="276">
        <f>'Resultater - Vestdanmark'!I190+'Resultater - Østdanmark'!I190</f>
        <v>-6690540.1612074161</v>
      </c>
      <c r="J190" s="277">
        <f>'Resultater - Vestdanmark'!J190+'Resultater - Østdanmark'!J190</f>
        <v>-6269444.2977980692</v>
      </c>
    </row>
    <row r="191" spans="1:10" x14ac:dyDescent="0.25">
      <c r="A191" s="98" t="str">
        <f>'Resultater - Vestdanmark'!A191</f>
        <v>Kartoffelmark</v>
      </c>
      <c r="B191" s="98" t="str">
        <f>'Resultater - Vestdanmark'!B191</f>
        <v>Konventionel</v>
      </c>
      <c r="C191" s="98" t="str">
        <f>'Resultater - Vestdanmark'!C191</f>
        <v>JB1-10</v>
      </c>
      <c r="D191" s="98" t="str">
        <f>'Resultater - Vestdanmark'!D191</f>
        <v>Areal-kartofler</v>
      </c>
      <c r="E191" s="98" t="str">
        <f>'Resultater - Vestdanmark'!E191</f>
        <v>Hektar</v>
      </c>
      <c r="F191" s="98" t="str">
        <f>'Resultater - Vestdanmark'!F191</f>
        <v>CO2 - atmosfære</v>
      </c>
      <c r="G191" s="98" t="str">
        <f>'Resultater - Vestdanmark'!G191</f>
        <v>t CO2-ækvivalenter</v>
      </c>
      <c r="H191" s="275">
        <f>'Resultater - Vestdanmark'!H191+'Resultater - Østdanmark'!H191</f>
        <v>104952.20706782168</v>
      </c>
      <c r="I191" s="276">
        <f>'Resultater - Vestdanmark'!I191+'Resultater - Østdanmark'!I191</f>
        <v>101414.95653315046</v>
      </c>
      <c r="J191" s="277">
        <f>'Resultater - Vestdanmark'!J191+'Resultater - Østdanmark'!J191</f>
        <v>95032.001247782056</v>
      </c>
    </row>
    <row r="192" spans="1:10" x14ac:dyDescent="0.25">
      <c r="A192" s="98" t="str">
        <f>'Resultater - Vestdanmark'!A192</f>
        <v>Kartoffelmark</v>
      </c>
      <c r="B192" s="98" t="str">
        <f>'Resultater - Vestdanmark'!B192</f>
        <v>Konventionel</v>
      </c>
      <c r="C192" s="98" t="str">
        <f>'Resultater - Vestdanmark'!C192</f>
        <v>OC6</v>
      </c>
      <c r="D192" s="98" t="str">
        <f>'Resultater - Vestdanmark'!D192</f>
        <v>Areal-kartofler</v>
      </c>
      <c r="E192" s="98" t="str">
        <f>'Resultater - Vestdanmark'!E192</f>
        <v>Hektar</v>
      </c>
      <c r="F192" s="98" t="str">
        <f>'Resultater - Vestdanmark'!F192</f>
        <v>Kartofler</v>
      </c>
      <c r="G192" s="98" t="str">
        <f>'Resultater - Vestdanmark'!G192</f>
        <v>Ton</v>
      </c>
      <c r="H192" s="275">
        <f>'Resultater - Vestdanmark'!H192+'Resultater - Østdanmark'!H192</f>
        <v>74529.950322797784</v>
      </c>
      <c r="I192" s="276">
        <f>'Resultater - Vestdanmark'!I192+'Resultater - Østdanmark'!I192</f>
        <v>72134.261978397204</v>
      </c>
      <c r="J192" s="277">
        <f>'Resultater - Vestdanmark'!J192+'Resultater - Østdanmark'!J192</f>
        <v>73804.43992322094</v>
      </c>
    </row>
    <row r="193" spans="1:10" x14ac:dyDescent="0.25">
      <c r="A193" s="98" t="str">
        <f>'Resultater - Vestdanmark'!A193</f>
        <v>Kartoffelmark</v>
      </c>
      <c r="B193" s="98" t="str">
        <f>'Resultater - Vestdanmark'!B193</f>
        <v>Konventionel</v>
      </c>
      <c r="C193" s="98" t="str">
        <f>'Resultater - Vestdanmark'!C193</f>
        <v>OC6</v>
      </c>
      <c r="D193" s="98" t="str">
        <f>'Resultater - Vestdanmark'!D193</f>
        <v>Areal-kartofler</v>
      </c>
      <c r="E193" s="98" t="str">
        <f>'Resultater - Vestdanmark'!E193</f>
        <v>Hektar</v>
      </c>
      <c r="F193" s="98" t="str">
        <f>'Resultater - Vestdanmark'!F193</f>
        <v>Gødning</v>
      </c>
      <c r="G193" s="98" t="str">
        <f>'Resultater - Vestdanmark'!G193</f>
        <v>kg N</v>
      </c>
      <c r="H193" s="275">
        <f>'Resultater - Vestdanmark'!H193+'Resultater - Østdanmark'!H193</f>
        <v>-175484.74661777477</v>
      </c>
      <c r="I193" s="276">
        <f>'Resultater - Vestdanmark'!I193+'Resultater - Østdanmark'!I193</f>
        <v>-158436.53966739436</v>
      </c>
      <c r="J193" s="277">
        <f>'Resultater - Vestdanmark'!J193+'Resultater - Østdanmark'!J193</f>
        <v>-151109.99448046277</v>
      </c>
    </row>
    <row r="194" spans="1:10" x14ac:dyDescent="0.25">
      <c r="A194" s="98" t="str">
        <f>'Resultater - Vestdanmark'!A194</f>
        <v>Kartoffelmark</v>
      </c>
      <c r="B194" s="98" t="str">
        <f>'Resultater - Vestdanmark'!B194</f>
        <v>Konventionel</v>
      </c>
      <c r="C194" s="98" t="str">
        <f>'Resultater - Vestdanmark'!C194</f>
        <v>OC6</v>
      </c>
      <c r="D194" s="98" t="str">
        <f>'Resultater - Vestdanmark'!D194</f>
        <v>Areal-kartofler</v>
      </c>
      <c r="E194" s="98" t="str">
        <f>'Resultater - Vestdanmark'!E194</f>
        <v>Hektar</v>
      </c>
      <c r="F194" s="98" t="str">
        <f>'Resultater - Vestdanmark'!F194</f>
        <v>CO2 - atmosfære</v>
      </c>
      <c r="G194" s="98" t="str">
        <f>'Resultater - Vestdanmark'!G194</f>
        <v>t CO2-ækvivalenter</v>
      </c>
      <c r="H194" s="275">
        <f>'Resultater - Vestdanmark'!H194+'Resultater - Østdanmark'!H194</f>
        <v>23385.82028389235</v>
      </c>
      <c r="I194" s="276">
        <f>'Resultater - Vestdanmark'!I194+'Resultater - Østdanmark'!I194</f>
        <v>21113.90599169131</v>
      </c>
      <c r="J194" s="277">
        <f>'Resultater - Vestdanmark'!J194+'Resultater - Østdanmark'!J194</f>
        <v>20137.540396699798</v>
      </c>
    </row>
    <row r="195" spans="1:10" x14ac:dyDescent="0.25">
      <c r="A195" s="98" t="str">
        <f>'Resultater - Vestdanmark'!A195</f>
        <v>Kartoffelmark</v>
      </c>
      <c r="B195" s="98" t="str">
        <f>'Resultater - Vestdanmark'!B195</f>
        <v>Konventionel</v>
      </c>
      <c r="C195" s="98" t="str">
        <f>'Resultater - Vestdanmark'!C195</f>
        <v>OC12</v>
      </c>
      <c r="D195" s="98" t="str">
        <f>'Resultater - Vestdanmark'!D195</f>
        <v>Areal-kartofler</v>
      </c>
      <c r="E195" s="98" t="str">
        <f>'Resultater - Vestdanmark'!E195</f>
        <v>Hektar</v>
      </c>
      <c r="F195" s="98" t="str">
        <f>'Resultater - Vestdanmark'!F195</f>
        <v>Kartofler</v>
      </c>
      <c r="G195" s="98" t="str">
        <f>'Resultater - Vestdanmark'!G195</f>
        <v>Ton</v>
      </c>
      <c r="H195" s="275">
        <f>'Resultater - Vestdanmark'!H195+'Resultater - Østdanmark'!H195</f>
        <v>74479.88306993802</v>
      </c>
      <c r="I195" s="276">
        <f>'Resultater - Vestdanmark'!I195+'Resultater - Østdanmark'!I195</f>
        <v>70506.098283986634</v>
      </c>
      <c r="J195" s="277">
        <f>'Resultater - Vestdanmark'!J195+'Resultater - Østdanmark'!J195</f>
        <v>72138.57815000035</v>
      </c>
    </row>
    <row r="196" spans="1:10" x14ac:dyDescent="0.25">
      <c r="A196" s="98" t="str">
        <f>'Resultater - Vestdanmark'!A196</f>
        <v>Kartoffelmark</v>
      </c>
      <c r="B196" s="98" t="str">
        <f>'Resultater - Vestdanmark'!B196</f>
        <v>Konventionel</v>
      </c>
      <c r="C196" s="98" t="str">
        <f>'Resultater - Vestdanmark'!C196</f>
        <v>OC12</v>
      </c>
      <c r="D196" s="98" t="str">
        <f>'Resultater - Vestdanmark'!D196</f>
        <v>Areal-kartofler</v>
      </c>
      <c r="E196" s="98" t="str">
        <f>'Resultater - Vestdanmark'!E196</f>
        <v>Hektar</v>
      </c>
      <c r="F196" s="98" t="str">
        <f>'Resultater - Vestdanmark'!F196</f>
        <v>Gødning</v>
      </c>
      <c r="G196" s="98" t="str">
        <f>'Resultater - Vestdanmark'!G196</f>
        <v>kg N</v>
      </c>
      <c r="H196" s="275">
        <f>'Resultater - Vestdanmark'!H196+'Resultater - Østdanmark'!H196</f>
        <v>-112735.83895599192</v>
      </c>
      <c r="I196" s="276">
        <f>'Resultater - Vestdanmark'!I196+'Resultater - Østdanmark'!I196</f>
        <v>-99553.128312100322</v>
      </c>
      <c r="J196" s="277">
        <f>'Resultater - Vestdanmark'!J196+'Resultater - Østdanmark'!J196</f>
        <v>-94949.515442176606</v>
      </c>
    </row>
    <row r="197" spans="1:10" x14ac:dyDescent="0.25">
      <c r="A197" s="98" t="str">
        <f>'Resultater - Vestdanmark'!A197</f>
        <v>Kartoffelmark</v>
      </c>
      <c r="B197" s="98" t="str">
        <f>'Resultater - Vestdanmark'!B197</f>
        <v>Konventionel</v>
      </c>
      <c r="C197" s="98" t="str">
        <f>'Resultater - Vestdanmark'!C197</f>
        <v>OC12</v>
      </c>
      <c r="D197" s="98" t="str">
        <f>'Resultater - Vestdanmark'!D197</f>
        <v>Areal-kartofler</v>
      </c>
      <c r="E197" s="98" t="str">
        <f>'Resultater - Vestdanmark'!E197</f>
        <v>Hektar</v>
      </c>
      <c r="F197" s="98" t="str">
        <f>'Resultater - Vestdanmark'!F197</f>
        <v>CO2 - atmosfære</v>
      </c>
      <c r="G197" s="98" t="str">
        <f>'Resultater - Vestdanmark'!G197</f>
        <v>t CO2-ækvivalenter</v>
      </c>
      <c r="H197" s="275">
        <f>'Resultater - Vestdanmark'!H197+'Resultater - Østdanmark'!H197</f>
        <v>51296.929124309347</v>
      </c>
      <c r="I197" s="276">
        <f>'Resultater - Vestdanmark'!I197+'Resultater - Østdanmark'!I197</f>
        <v>45298.547599602171</v>
      </c>
      <c r="J197" s="277">
        <f>'Resultater - Vestdanmark'!J197+'Resultater - Østdanmark'!J197</f>
        <v>43203.817074765073</v>
      </c>
    </row>
    <row r="198" spans="1:10" x14ac:dyDescent="0.25">
      <c r="A198" s="98" t="str">
        <f>'Resultater - Vestdanmark'!A198</f>
        <v>Kartoffelmark</v>
      </c>
      <c r="B198" s="98" t="str">
        <f>'Resultater - Vestdanmark'!B198</f>
        <v>Økologisk</v>
      </c>
      <c r="C198" s="98" t="str">
        <f>'Resultater - Vestdanmark'!C198</f>
        <v>JB1-10</v>
      </c>
      <c r="D198" s="98" t="str">
        <f>'Resultater - Vestdanmark'!D198</f>
        <v>Areal-kartofler</v>
      </c>
      <c r="E198" s="98" t="str">
        <f>'Resultater - Vestdanmark'!E198</f>
        <v>Hektar</v>
      </c>
      <c r="F198" s="98" t="str">
        <f>'Resultater - Vestdanmark'!F198</f>
        <v>Kartofler</v>
      </c>
      <c r="G198" s="98" t="str">
        <f>'Resultater - Vestdanmark'!G198</f>
        <v>Ton</v>
      </c>
      <c r="H198" s="275">
        <f>'Resultater - Vestdanmark'!H198+'Resultater - Østdanmark'!H198</f>
        <v>142878.09397503437</v>
      </c>
      <c r="I198" s="276">
        <f>'Resultater - Vestdanmark'!I198+'Resultater - Østdanmark'!I198</f>
        <v>180654.45828602396</v>
      </c>
      <c r="J198" s="277">
        <f>'Resultater - Vestdanmark'!J198+'Resultater - Østdanmark'!J198</f>
        <v>246823.23724322964</v>
      </c>
    </row>
    <row r="199" spans="1:10" x14ac:dyDescent="0.25">
      <c r="A199" s="98" t="str">
        <f>'Resultater - Vestdanmark'!A199</f>
        <v>Kartoffelmark</v>
      </c>
      <c r="B199" s="98" t="str">
        <f>'Resultater - Vestdanmark'!B199</f>
        <v>Økologisk</v>
      </c>
      <c r="C199" s="98" t="str">
        <f>'Resultater - Vestdanmark'!C199</f>
        <v>JB1-10</v>
      </c>
      <c r="D199" s="98" t="str">
        <f>'Resultater - Vestdanmark'!D199</f>
        <v>Areal-kartofler</v>
      </c>
      <c r="E199" s="98" t="str">
        <f>'Resultater - Vestdanmark'!E199</f>
        <v>Hektar</v>
      </c>
      <c r="F199" s="98" t="str">
        <f>'Resultater - Vestdanmark'!F199</f>
        <v>Gødning</v>
      </c>
      <c r="G199" s="98" t="str">
        <f>'Resultater - Vestdanmark'!G199</f>
        <v>kg N</v>
      </c>
      <c r="H199" s="275">
        <f>'Resultater - Vestdanmark'!H199+'Resultater - Østdanmark'!H199</f>
        <v>-504621.14914566139</v>
      </c>
      <c r="I199" s="276">
        <f>'Resultater - Vestdanmark'!I199+'Resultater - Østdanmark'!I199</f>
        <v>-595187.35884960776</v>
      </c>
      <c r="J199" s="277">
        <f>'Resultater - Vestdanmark'!J199+'Resultater - Østdanmark'!J199</f>
        <v>-758032.81055194815</v>
      </c>
    </row>
    <row r="200" spans="1:10" x14ac:dyDescent="0.25">
      <c r="A200" s="98" t="str">
        <f>'Resultater - Vestdanmark'!A200</f>
        <v>Kartoffelmark</v>
      </c>
      <c r="B200" s="98" t="str">
        <f>'Resultater - Vestdanmark'!B200</f>
        <v>Økologisk</v>
      </c>
      <c r="C200" s="98" t="str">
        <f>'Resultater - Vestdanmark'!C200</f>
        <v>JB1-10</v>
      </c>
      <c r="D200" s="98" t="str">
        <f>'Resultater - Vestdanmark'!D200</f>
        <v>Areal-kartofler</v>
      </c>
      <c r="E200" s="98" t="str">
        <f>'Resultater - Vestdanmark'!E200</f>
        <v>Hektar</v>
      </c>
      <c r="F200" s="98" t="str">
        <f>'Resultater - Vestdanmark'!F200</f>
        <v>CO2 - atmosfære</v>
      </c>
      <c r="G200" s="98" t="str">
        <f>'Resultater - Vestdanmark'!G200</f>
        <v>t CO2-ækvivalenter</v>
      </c>
      <c r="H200" s="275">
        <f>'Resultater - Vestdanmark'!H200+'Resultater - Østdanmark'!H200</f>
        <v>13419.348123117323</v>
      </c>
      <c r="I200" s="276">
        <f>'Resultater - Vestdanmark'!I200+'Resultater - Østdanmark'!I200</f>
        <v>15827.767782630421</v>
      </c>
      <c r="J200" s="277">
        <f>'Resultater - Vestdanmark'!J200+'Resultater - Østdanmark'!J200</f>
        <v>20158.303294984071</v>
      </c>
    </row>
    <row r="201" spans="1:10" x14ac:dyDescent="0.25">
      <c r="A201" s="98" t="str">
        <f>'Resultater - Vestdanmark'!A201</f>
        <v>Kartoffelmark</v>
      </c>
      <c r="B201" s="98" t="str">
        <f>'Resultater - Vestdanmark'!B201</f>
        <v>Økologisk</v>
      </c>
      <c r="C201" s="98" t="str">
        <f>'Resultater - Vestdanmark'!C201</f>
        <v>OC6</v>
      </c>
      <c r="D201" s="98" t="str">
        <f>'Resultater - Vestdanmark'!D201</f>
        <v>Areal-kartofler</v>
      </c>
      <c r="E201" s="98" t="str">
        <f>'Resultater - Vestdanmark'!E201</f>
        <v>Hektar</v>
      </c>
      <c r="F201" s="98" t="str">
        <f>'Resultater - Vestdanmark'!F201</f>
        <v>Kartofler</v>
      </c>
      <c r="G201" s="98" t="str">
        <f>'Resultater - Vestdanmark'!G201</f>
        <v>Ton</v>
      </c>
      <c r="H201" s="275">
        <f>'Resultater - Vestdanmark'!H201+'Resultater - Østdanmark'!H201</f>
        <v>5431.8220154279852</v>
      </c>
      <c r="I201" s="276">
        <f>'Resultater - Vestdanmark'!I201+'Resultater - Østdanmark'!I201</f>
        <v>6417.0305887140621</v>
      </c>
      <c r="J201" s="277">
        <f>'Resultater - Vestdanmark'!J201+'Resultater - Østdanmark'!J201</f>
        <v>8923.62773617126</v>
      </c>
    </row>
    <row r="202" spans="1:10" x14ac:dyDescent="0.25">
      <c r="A202" s="98" t="str">
        <f>'Resultater - Vestdanmark'!A202</f>
        <v>Kartoffelmark</v>
      </c>
      <c r="B202" s="98" t="str">
        <f>'Resultater - Vestdanmark'!B202</f>
        <v>Økologisk</v>
      </c>
      <c r="C202" s="98" t="str">
        <f>'Resultater - Vestdanmark'!C202</f>
        <v>OC6</v>
      </c>
      <c r="D202" s="98" t="str">
        <f>'Resultater - Vestdanmark'!D202</f>
        <v>Areal-kartofler</v>
      </c>
      <c r="E202" s="98" t="str">
        <f>'Resultater - Vestdanmark'!E202</f>
        <v>Hektar</v>
      </c>
      <c r="F202" s="98" t="str">
        <f>'Resultater - Vestdanmark'!F202</f>
        <v>Gødning</v>
      </c>
      <c r="G202" s="98" t="str">
        <f>'Resultater - Vestdanmark'!G202</f>
        <v>kg N</v>
      </c>
      <c r="H202" s="275">
        <f>'Resultater - Vestdanmark'!H202+'Resultater - Østdanmark'!H202</f>
        <v>-12789.514898665619</v>
      </c>
      <c r="I202" s="276">
        <f>'Resultater - Vestdanmark'!I202+'Resultater - Østdanmark'!I202</f>
        <v>-14094.441303359532</v>
      </c>
      <c r="J202" s="277">
        <f>'Resultater - Vestdanmark'!J202+'Resultater - Østdanmark'!J202</f>
        <v>-18270.572059910501</v>
      </c>
    </row>
    <row r="203" spans="1:10" x14ac:dyDescent="0.25">
      <c r="A203" s="98" t="str">
        <f>'Resultater - Vestdanmark'!A203</f>
        <v>Kartoffelmark</v>
      </c>
      <c r="B203" s="98" t="str">
        <f>'Resultater - Vestdanmark'!B203</f>
        <v>Økologisk</v>
      </c>
      <c r="C203" s="98" t="str">
        <f>'Resultater - Vestdanmark'!C203</f>
        <v>OC6</v>
      </c>
      <c r="D203" s="98" t="str">
        <f>'Resultater - Vestdanmark'!D203</f>
        <v>Areal-kartofler</v>
      </c>
      <c r="E203" s="98" t="str">
        <f>'Resultater - Vestdanmark'!E203</f>
        <v>Hektar</v>
      </c>
      <c r="F203" s="98" t="str">
        <f>'Resultater - Vestdanmark'!F203</f>
        <v>CO2 - atmosfære</v>
      </c>
      <c r="G203" s="98" t="str">
        <f>'Resultater - Vestdanmark'!G203</f>
        <v>t CO2-ækvivalenter</v>
      </c>
      <c r="H203" s="275">
        <f>'Resultater - Vestdanmark'!H203+'Resultater - Østdanmark'!H203</f>
        <v>2990.1463942669939</v>
      </c>
      <c r="I203" s="276">
        <f>'Resultater - Vestdanmark'!I203+'Resultater - Østdanmark'!I203</f>
        <v>3295.2338830963313</v>
      </c>
      <c r="J203" s="277">
        <f>'Resultater - Vestdanmark'!J203+'Resultater - Østdanmark'!J203</f>
        <v>4271.5994780878364</v>
      </c>
    </row>
    <row r="204" spans="1:10" x14ac:dyDescent="0.25">
      <c r="A204" s="98" t="str">
        <f>'Resultater - Vestdanmark'!A204</f>
        <v>Kartoffelmark</v>
      </c>
      <c r="B204" s="98" t="str">
        <f>'Resultater - Vestdanmark'!B204</f>
        <v>Økologisk</v>
      </c>
      <c r="C204" s="98" t="str">
        <f>'Resultater - Vestdanmark'!C204</f>
        <v>OC12</v>
      </c>
      <c r="D204" s="98" t="str">
        <f>'Resultater - Vestdanmark'!D204</f>
        <v>Areal-kartofler</v>
      </c>
      <c r="E204" s="98" t="str">
        <f>'Resultater - Vestdanmark'!E204</f>
        <v>Hektar</v>
      </c>
      <c r="F204" s="98" t="str">
        <f>'Resultater - Vestdanmark'!F204</f>
        <v>Kartofler</v>
      </c>
      <c r="G204" s="98" t="str">
        <f>'Resultater - Vestdanmark'!G204</f>
        <v>Ton</v>
      </c>
      <c r="H204" s="275">
        <f>'Resultater - Vestdanmark'!H204+'Resultater - Østdanmark'!H204</f>
        <v>5428.1730608109774</v>
      </c>
      <c r="I204" s="276">
        <f>'Resultater - Vestdanmark'!I204+'Resultater - Østdanmark'!I204</f>
        <v>6272.1898993673676</v>
      </c>
      <c r="J204" s="277">
        <f>'Resultater - Vestdanmark'!J204+'Resultater - Østdanmark'!J204</f>
        <v>8722.2099035909505</v>
      </c>
    </row>
    <row r="205" spans="1:10" x14ac:dyDescent="0.25">
      <c r="A205" s="98" t="str">
        <f>'Resultater - Vestdanmark'!A205</f>
        <v>Kartoffelmark</v>
      </c>
      <c r="B205" s="98" t="str">
        <f>'Resultater - Vestdanmark'!B205</f>
        <v>Økologisk</v>
      </c>
      <c r="C205" s="98" t="str">
        <f>'Resultater - Vestdanmark'!C205</f>
        <v>OC12</v>
      </c>
      <c r="D205" s="98" t="str">
        <f>'Resultater - Vestdanmark'!D205</f>
        <v>Areal-kartofler</v>
      </c>
      <c r="E205" s="98" t="str">
        <f>'Resultater - Vestdanmark'!E205</f>
        <v>Hektar</v>
      </c>
      <c r="F205" s="98" t="str">
        <f>'Resultater - Vestdanmark'!F205</f>
        <v>Gødning</v>
      </c>
      <c r="G205" s="98" t="str">
        <f>'Resultater - Vestdanmark'!G205</f>
        <v>kg N</v>
      </c>
      <c r="H205" s="275">
        <f>'Resultater - Vestdanmark'!H205+'Resultater - Østdanmark'!H205</f>
        <v>-8216.3077972908159</v>
      </c>
      <c r="I205" s="276">
        <f>'Resultater - Vestdanmark'!I205+'Resultater - Østdanmark'!I205</f>
        <v>-8856.2002585157461</v>
      </c>
      <c r="J205" s="277">
        <f>'Resultater - Vestdanmark'!J205+'Resultater - Østdanmark'!J205</f>
        <v>-11480.259594372263</v>
      </c>
    </row>
    <row r="206" spans="1:10" x14ac:dyDescent="0.25">
      <c r="A206" s="98" t="str">
        <f>'Resultater - Vestdanmark'!A206</f>
        <v>Kartoffelmark</v>
      </c>
      <c r="B206" s="98" t="str">
        <f>'Resultater - Vestdanmark'!B206</f>
        <v>Økologisk</v>
      </c>
      <c r="C206" s="98" t="str">
        <f>'Resultater - Vestdanmark'!C206</f>
        <v>OC12</v>
      </c>
      <c r="D206" s="98" t="str">
        <f>'Resultater - Vestdanmark'!D206</f>
        <v>Areal-kartofler</v>
      </c>
      <c r="E206" s="98" t="str">
        <f>'Resultater - Vestdanmark'!E206</f>
        <v>Hektar</v>
      </c>
      <c r="F206" s="98" t="str">
        <f>'Resultater - Vestdanmark'!F206</f>
        <v>CO2 - atmosfære</v>
      </c>
      <c r="G206" s="98" t="str">
        <f>'Resultater - Vestdanmark'!G206</f>
        <v>t CO2-ækvivalenter</v>
      </c>
      <c r="H206" s="275">
        <f>'Resultater - Vestdanmark'!H206+'Resultater - Østdanmark'!H206</f>
        <v>6558.9030359423223</v>
      </c>
      <c r="I206" s="276">
        <f>'Resultater - Vestdanmark'!I206+'Resultater - Østdanmark'!I206</f>
        <v>7069.7155213251954</v>
      </c>
      <c r="J206" s="277">
        <f>'Resultater - Vestdanmark'!J206+'Resultater - Østdanmark'!J206</f>
        <v>9164.4460461622893</v>
      </c>
    </row>
    <row r="207" spans="1:10" x14ac:dyDescent="0.25">
      <c r="A207" s="98" t="str">
        <f>'Resultater - Vestdanmark'!A207</f>
        <v>Græsmark</v>
      </c>
      <c r="B207" s="98" t="str">
        <f>'Resultater - Vestdanmark'!B207</f>
        <v>Konventionel</v>
      </c>
      <c r="C207" s="98" t="str">
        <f>'Resultater - Vestdanmark'!C207</f>
        <v>JB1-10</v>
      </c>
      <c r="D207" s="98" t="str">
        <f>'Resultater - Vestdanmark'!D207</f>
        <v>Areal-græs</v>
      </c>
      <c r="E207" s="98" t="str">
        <f>'Resultater - Vestdanmark'!E207</f>
        <v>Hektar</v>
      </c>
      <c r="F207" s="98" t="str">
        <f>'Resultater - Vestdanmark'!F207</f>
        <v>Græs</v>
      </c>
      <c r="G207" s="98" t="str">
        <f>'Resultater - Vestdanmark'!G207</f>
        <v>Ton</v>
      </c>
      <c r="H207" s="275">
        <f>'Resultater - Vestdanmark'!H207+'Resultater - Østdanmark'!H207</f>
        <v>10615606.672639394</v>
      </c>
      <c r="I207" s="276">
        <f>'Resultater - Vestdanmark'!I207+'Resultater - Østdanmark'!I207</f>
        <v>10999580.62311912</v>
      </c>
      <c r="J207" s="277">
        <f>'Resultater - Vestdanmark'!J207+'Resultater - Østdanmark'!J207</f>
        <v>11063245.169784693</v>
      </c>
    </row>
    <row r="208" spans="1:10" x14ac:dyDescent="0.25">
      <c r="A208" s="98" t="str">
        <f>'Resultater - Vestdanmark'!A208</f>
        <v>Græsmark</v>
      </c>
      <c r="B208" s="98" t="str">
        <f>'Resultater - Vestdanmark'!B208</f>
        <v>Konventionel</v>
      </c>
      <c r="C208" s="98" t="str">
        <f>'Resultater - Vestdanmark'!C208</f>
        <v>JB1-10</v>
      </c>
      <c r="D208" s="98" t="str">
        <f>'Resultater - Vestdanmark'!D208</f>
        <v>Areal-græs</v>
      </c>
      <c r="E208" s="98" t="str">
        <f>'Resultater - Vestdanmark'!E208</f>
        <v>Hektar</v>
      </c>
      <c r="F208" s="98" t="str">
        <f>'Resultater - Vestdanmark'!F208</f>
        <v>Gødning</v>
      </c>
      <c r="G208" s="98" t="str">
        <f>'Resultater - Vestdanmark'!G208</f>
        <v>kg N</v>
      </c>
      <c r="H208" s="275">
        <f>'Resultater - Vestdanmark'!H208+'Resultater - Østdanmark'!H208</f>
        <v>-33160399.72307751</v>
      </c>
      <c r="I208" s="276">
        <f>'Resultater - Vestdanmark'!I208+'Resultater - Østdanmark'!I208</f>
        <v>-32052084.585075367</v>
      </c>
      <c r="J208" s="277">
        <f>'Resultater - Vestdanmark'!J208+'Resultater - Østdanmark'!J208</f>
        <v>-30051048.863828182</v>
      </c>
    </row>
    <row r="209" spans="1:10" x14ac:dyDescent="0.25">
      <c r="A209" s="98" t="str">
        <f>'Resultater - Vestdanmark'!A209</f>
        <v>Græsmark</v>
      </c>
      <c r="B209" s="98" t="str">
        <f>'Resultater - Vestdanmark'!B209</f>
        <v>Konventionel</v>
      </c>
      <c r="C209" s="98" t="str">
        <f>'Resultater - Vestdanmark'!C209</f>
        <v>JB1-10</v>
      </c>
      <c r="D209" s="98" t="str">
        <f>'Resultater - Vestdanmark'!D209</f>
        <v>Areal-græs</v>
      </c>
      <c r="E209" s="98" t="str">
        <f>'Resultater - Vestdanmark'!E209</f>
        <v>Hektar</v>
      </c>
      <c r="F209" s="98" t="str">
        <f>'Resultater - Vestdanmark'!F209</f>
        <v>CO2 - atmosfære</v>
      </c>
      <c r="G209" s="98" t="str">
        <f>'Resultater - Vestdanmark'!G209</f>
        <v>t CO2-ækvivalenter</v>
      </c>
      <c r="H209" s="275">
        <f>'Resultater - Vestdanmark'!H209+'Resultater - Østdanmark'!H209</f>
        <v>486429.76821888878</v>
      </c>
      <c r="I209" s="276">
        <f>'Resultater - Vestdanmark'!I209+'Resultater - Østdanmark'!I209</f>
        <v>470171.89798228012</v>
      </c>
      <c r="J209" s="277">
        <f>'Resultater - Vestdanmark'!J209+'Resultater - Østdanmark'!J209</f>
        <v>440818.71315300965</v>
      </c>
    </row>
    <row r="210" spans="1:10" x14ac:dyDescent="0.25">
      <c r="A210" s="98" t="str">
        <f>'Resultater - Vestdanmark'!A210</f>
        <v>Græsmark</v>
      </c>
      <c r="B210" s="98" t="str">
        <f>'Resultater - Vestdanmark'!B210</f>
        <v>Konventionel</v>
      </c>
      <c r="C210" s="98" t="str">
        <f>'Resultater - Vestdanmark'!C210</f>
        <v>OC6</v>
      </c>
      <c r="D210" s="98" t="str">
        <f>'Resultater - Vestdanmark'!D210</f>
        <v>Areal-græs</v>
      </c>
      <c r="E210" s="98" t="str">
        <f>'Resultater - Vestdanmark'!E210</f>
        <v>Hektar</v>
      </c>
      <c r="F210" s="98" t="str">
        <f>'Resultater - Vestdanmark'!F210</f>
        <v>Græs</v>
      </c>
      <c r="G210" s="98" t="str">
        <f>'Resultater - Vestdanmark'!G210</f>
        <v>Ton</v>
      </c>
      <c r="H210" s="275">
        <f>'Resultater - Vestdanmark'!H210+'Resultater - Østdanmark'!H210</f>
        <v>1227820.3144178872</v>
      </c>
      <c r="I210" s="276">
        <f>'Resultater - Vestdanmark'!I210+'Resultater - Østdanmark'!I210</f>
        <v>1188440.519010515</v>
      </c>
      <c r="J210" s="277">
        <f>'Resultater - Vestdanmark'!J210+'Resultater - Østdanmark'!J210</f>
        <v>1215957.3617582887</v>
      </c>
    </row>
    <row r="211" spans="1:10" x14ac:dyDescent="0.25">
      <c r="A211" s="98" t="str">
        <f>'Resultater - Vestdanmark'!A211</f>
        <v>Græsmark</v>
      </c>
      <c r="B211" s="98" t="str">
        <f>'Resultater - Vestdanmark'!B211</f>
        <v>Konventionel</v>
      </c>
      <c r="C211" s="98" t="str">
        <f>'Resultater - Vestdanmark'!C211</f>
        <v>OC6</v>
      </c>
      <c r="D211" s="98" t="str">
        <f>'Resultater - Vestdanmark'!D211</f>
        <v>Areal-græs</v>
      </c>
      <c r="E211" s="98" t="str">
        <f>'Resultater - Vestdanmark'!E211</f>
        <v>Hektar</v>
      </c>
      <c r="F211" s="98" t="str">
        <f>'Resultater - Vestdanmark'!F211</f>
        <v>Gødning</v>
      </c>
      <c r="G211" s="98" t="str">
        <f>'Resultater - Vestdanmark'!G211</f>
        <v>kg N</v>
      </c>
      <c r="H211" s="275">
        <f>'Resultater - Vestdanmark'!H211+'Resultater - Østdanmark'!H211</f>
        <v>-2680650.2901102607</v>
      </c>
      <c r="I211" s="276">
        <f>'Resultater - Vestdanmark'!I211+'Resultater - Østdanmark'!I211</f>
        <v>-2420404.8321874184</v>
      </c>
      <c r="J211" s="277">
        <f>'Resultater - Vestdanmark'!J211+'Resultater - Østdanmark'!J211</f>
        <v>-2308478.5971729713</v>
      </c>
    </row>
    <row r="212" spans="1:10" x14ac:dyDescent="0.25">
      <c r="A212" s="98" t="str">
        <f>'Resultater - Vestdanmark'!A212</f>
        <v>Græsmark</v>
      </c>
      <c r="B212" s="98" t="str">
        <f>'Resultater - Vestdanmark'!B212</f>
        <v>Konventionel</v>
      </c>
      <c r="C212" s="98" t="str">
        <f>'Resultater - Vestdanmark'!C212</f>
        <v>OC6</v>
      </c>
      <c r="D212" s="98" t="str">
        <f>'Resultater - Vestdanmark'!D212</f>
        <v>Areal-græs</v>
      </c>
      <c r="E212" s="98" t="str">
        <f>'Resultater - Vestdanmark'!E212</f>
        <v>Hektar</v>
      </c>
      <c r="F212" s="98" t="str">
        <f>'Resultater - Vestdanmark'!F212</f>
        <v>CO2 - atmosfære</v>
      </c>
      <c r="G212" s="98" t="str">
        <f>'Resultater - Vestdanmark'!G212</f>
        <v>t CO2-ækvivalenter</v>
      </c>
      <c r="H212" s="275">
        <f>'Resultater - Vestdanmark'!H212+'Resultater - Østdanmark'!H212</f>
        <v>329754.92419657321</v>
      </c>
      <c r="I212" s="276">
        <f>'Resultater - Vestdanmark'!I212+'Resultater - Østdanmark'!I212</f>
        <v>297741.34093789331</v>
      </c>
      <c r="J212" s="277">
        <f>'Resultater - Vestdanmark'!J212+'Resultater - Østdanmark'!J212</f>
        <v>283972.95522978262</v>
      </c>
    </row>
    <row r="213" spans="1:10" x14ac:dyDescent="0.25">
      <c r="A213" s="98" t="str">
        <f>'Resultater - Vestdanmark'!A213</f>
        <v>Græsmark</v>
      </c>
      <c r="B213" s="98" t="str">
        <f>'Resultater - Vestdanmark'!B213</f>
        <v>Konventionel</v>
      </c>
      <c r="C213" s="98" t="str">
        <f>'Resultater - Vestdanmark'!C213</f>
        <v>OC12</v>
      </c>
      <c r="D213" s="98" t="str">
        <f>'Resultater - Vestdanmark'!D213</f>
        <v>Areal-græs</v>
      </c>
      <c r="E213" s="98" t="str">
        <f>'Resultater - Vestdanmark'!E213</f>
        <v>Hektar</v>
      </c>
      <c r="F213" s="98" t="str">
        <f>'Resultater - Vestdanmark'!F213</f>
        <v>Græs</v>
      </c>
      <c r="G213" s="98" t="str">
        <f>'Resultater - Vestdanmark'!G213</f>
        <v>Ton</v>
      </c>
      <c r="H213" s="275">
        <f>'Resultater - Vestdanmark'!H213+'Resultater - Østdanmark'!H213</f>
        <v>1475854.3420564069</v>
      </c>
      <c r="I213" s="276">
        <f>'Resultater - Vestdanmark'!I213+'Resultater - Østdanmark'!I213</f>
        <v>1398997.1009721013</v>
      </c>
      <c r="J213" s="277">
        <f>'Resultater - Vestdanmark'!J213+'Resultater - Østdanmark'!J213</f>
        <v>1431389.1160677257</v>
      </c>
    </row>
    <row r="214" spans="1:10" x14ac:dyDescent="0.25">
      <c r="A214" s="98" t="str">
        <f>'Resultater - Vestdanmark'!A214</f>
        <v>Græsmark</v>
      </c>
      <c r="B214" s="98" t="str">
        <f>'Resultater - Vestdanmark'!B214</f>
        <v>Konventionel</v>
      </c>
      <c r="C214" s="98" t="str">
        <f>'Resultater - Vestdanmark'!C214</f>
        <v>OC12</v>
      </c>
      <c r="D214" s="98" t="str">
        <f>'Resultater - Vestdanmark'!D214</f>
        <v>Areal-græs</v>
      </c>
      <c r="E214" s="98" t="str">
        <f>'Resultater - Vestdanmark'!E214</f>
        <v>Hektar</v>
      </c>
      <c r="F214" s="98" t="str">
        <f>'Resultater - Vestdanmark'!F214</f>
        <v>Gødning</v>
      </c>
      <c r="G214" s="98" t="str">
        <f>'Resultater - Vestdanmark'!G214</f>
        <v>kg N</v>
      </c>
      <c r="H214" s="275">
        <f>'Resultater - Vestdanmark'!H214+'Resultater - Østdanmark'!H214</f>
        <v>-2230735.0998434206</v>
      </c>
      <c r="I214" s="276">
        <f>'Resultater - Vestdanmark'!I214+'Resultater - Østdanmark'!I214</f>
        <v>-1972543.2423152453</v>
      </c>
      <c r="J214" s="277">
        <f>'Resultater - Vestdanmark'!J214+'Resultater - Østdanmark'!J214</f>
        <v>-1881327.3698382396</v>
      </c>
    </row>
    <row r="215" spans="1:10" x14ac:dyDescent="0.25">
      <c r="A215" s="98" t="str">
        <f>'Resultater - Vestdanmark'!A215</f>
        <v>Græsmark</v>
      </c>
      <c r="B215" s="98" t="str">
        <f>'Resultater - Vestdanmark'!B215</f>
        <v>Konventionel</v>
      </c>
      <c r="C215" s="98" t="str">
        <f>'Resultater - Vestdanmark'!C215</f>
        <v>OC12</v>
      </c>
      <c r="D215" s="98" t="str">
        <f>'Resultater - Vestdanmark'!D215</f>
        <v>Areal-græs</v>
      </c>
      <c r="E215" s="98" t="str">
        <f>'Resultater - Vestdanmark'!E215</f>
        <v>Hektar</v>
      </c>
      <c r="F215" s="98" t="str">
        <f>'Resultater - Vestdanmark'!F215</f>
        <v>CO2 - atmosfære</v>
      </c>
      <c r="G215" s="98" t="str">
        <f>'Resultater - Vestdanmark'!G215</f>
        <v>t CO2-ækvivalenter</v>
      </c>
      <c r="H215" s="275">
        <f>'Resultater - Vestdanmark'!H215+'Resultater - Østdanmark'!H215</f>
        <v>870022.68593914213</v>
      </c>
      <c r="I215" s="276">
        <f>'Resultater - Vestdanmark'!I215+'Resultater - Østdanmark'!I215</f>
        <v>769323.69510421634</v>
      </c>
      <c r="J215" s="277">
        <f>'Resultater - Vestdanmark'!J215+'Resultater - Østdanmark'!J215</f>
        <v>733748.03290286532</v>
      </c>
    </row>
    <row r="216" spans="1:10" x14ac:dyDescent="0.25">
      <c r="A216" s="98" t="str">
        <f>'Resultater - Vestdanmark'!A216</f>
        <v>Græsmark</v>
      </c>
      <c r="B216" s="98" t="str">
        <f>'Resultater - Vestdanmark'!B216</f>
        <v>Økologisk</v>
      </c>
      <c r="C216" s="98" t="str">
        <f>'Resultater - Vestdanmark'!C216</f>
        <v>JB1-10</v>
      </c>
      <c r="D216" s="98" t="str">
        <f>'Resultater - Vestdanmark'!D216</f>
        <v>Areal-græs</v>
      </c>
      <c r="E216" s="98" t="str">
        <f>'Resultater - Vestdanmark'!E216</f>
        <v>Hektar</v>
      </c>
      <c r="F216" s="98" t="str">
        <f>'Resultater - Vestdanmark'!F216</f>
        <v>Græs</v>
      </c>
      <c r="G216" s="98" t="str">
        <f>'Resultater - Vestdanmark'!G216</f>
        <v>Ton</v>
      </c>
      <c r="H216" s="275">
        <f>'Resultater - Vestdanmark'!H216+'Resultater - Østdanmark'!H216</f>
        <v>1058715.4844797079</v>
      </c>
      <c r="I216" s="276">
        <f>'Resultater - Vestdanmark'!I216+'Resultater - Østdanmark'!I216</f>
        <v>1339024.0920398189</v>
      </c>
      <c r="J216" s="277">
        <f>'Resultater - Vestdanmark'!J216+'Resultater - Østdanmark'!J216</f>
        <v>1830464.2008189219</v>
      </c>
    </row>
    <row r="217" spans="1:10" x14ac:dyDescent="0.25">
      <c r="A217" s="98" t="str">
        <f>'Resultater - Vestdanmark'!A217</f>
        <v>Græsmark</v>
      </c>
      <c r="B217" s="98" t="str">
        <f>'Resultater - Vestdanmark'!B217</f>
        <v>Økologisk</v>
      </c>
      <c r="C217" s="98" t="str">
        <f>'Resultater - Vestdanmark'!C217</f>
        <v>JB1-10</v>
      </c>
      <c r="D217" s="98" t="str">
        <f>'Resultater - Vestdanmark'!D217</f>
        <v>Areal-græs</v>
      </c>
      <c r="E217" s="98" t="str">
        <f>'Resultater - Vestdanmark'!E217</f>
        <v>Hektar</v>
      </c>
      <c r="F217" s="98" t="str">
        <f>'Resultater - Vestdanmark'!F217</f>
        <v>Gødning</v>
      </c>
      <c r="G217" s="98" t="str">
        <f>'Resultater - Vestdanmark'!G217</f>
        <v>kg N</v>
      </c>
      <c r="H217" s="275">
        <f>'Resultater - Vestdanmark'!H217+'Resultater - Østdanmark'!H217</f>
        <v>-3307152.3598217401</v>
      </c>
      <c r="I217" s="276">
        <f>'Resultater - Vestdanmark'!I217+'Resultater - Østdanmark'!I217</f>
        <v>-3901831.7997785392</v>
      </c>
      <c r="J217" s="277">
        <f>'Resultater - Vestdanmark'!J217+'Resultater - Østdanmark'!J217</f>
        <v>-4972082.6301970268</v>
      </c>
    </row>
    <row r="218" spans="1:10" x14ac:dyDescent="0.25">
      <c r="A218" s="98" t="str">
        <f>'Resultater - Vestdanmark'!A218</f>
        <v>Græsmark</v>
      </c>
      <c r="B218" s="98" t="str">
        <f>'Resultater - Vestdanmark'!B218</f>
        <v>Økologisk</v>
      </c>
      <c r="C218" s="98" t="str">
        <f>'Resultater - Vestdanmark'!C218</f>
        <v>JB1-10</v>
      </c>
      <c r="D218" s="98" t="str">
        <f>'Resultater - Vestdanmark'!D218</f>
        <v>Areal-græs</v>
      </c>
      <c r="E218" s="98" t="str">
        <f>'Resultater - Vestdanmark'!E218</f>
        <v>Hektar</v>
      </c>
      <c r="F218" s="98" t="str">
        <f>'Resultater - Vestdanmark'!F218</f>
        <v>CO2 - atmosfære</v>
      </c>
      <c r="G218" s="98" t="str">
        <f>'Resultater - Vestdanmark'!G218</f>
        <v>t CO2-ækvivalenter</v>
      </c>
      <c r="H218" s="275">
        <f>'Resultater - Vestdanmark'!H218+'Resultater - Østdanmark'!H218</f>
        <v>62195.646757178984</v>
      </c>
      <c r="I218" s="276">
        <f>'Resultater - Vestdanmark'!I218+'Resultater - Østdanmark'!I218</f>
        <v>73379.42916486453</v>
      </c>
      <c r="J218" s="277">
        <f>'Resultater - Vestdanmark'!J218+'Resultater - Østdanmark'!J218</f>
        <v>93506.999759729311</v>
      </c>
    </row>
    <row r="219" spans="1:10" x14ac:dyDescent="0.25">
      <c r="A219" s="98" t="str">
        <f>'Resultater - Vestdanmark'!A219</f>
        <v>Græsmark</v>
      </c>
      <c r="B219" s="98" t="str">
        <f>'Resultater - Vestdanmark'!B219</f>
        <v>Økologisk</v>
      </c>
      <c r="C219" s="98" t="str">
        <f>'Resultater - Vestdanmark'!C219</f>
        <v>OC6</v>
      </c>
      <c r="D219" s="98" t="str">
        <f>'Resultater - Vestdanmark'!D219</f>
        <v>Areal-græs</v>
      </c>
      <c r="E219" s="98" t="str">
        <f>'Resultater - Vestdanmark'!E219</f>
        <v>Hektar</v>
      </c>
      <c r="F219" s="98" t="str">
        <f>'Resultater - Vestdanmark'!F219</f>
        <v>Græs</v>
      </c>
      <c r="G219" s="98" t="str">
        <f>'Resultater - Vestdanmark'!G219</f>
        <v>Ton</v>
      </c>
      <c r="H219" s="275">
        <f>'Resultater - Vestdanmark'!H219+'Resultater - Østdanmark'!H219</f>
        <v>122452.95244249655</v>
      </c>
      <c r="I219" s="276">
        <f>'Resultater - Vestdanmark'!I219+'Resultater - Østdanmark'!I219</f>
        <v>144673.74179399677</v>
      </c>
      <c r="J219" s="277">
        <f>'Resultater - Vestdanmark'!J219+'Resultater - Østdanmark'!J219</f>
        <v>201185.6725818259</v>
      </c>
    </row>
    <row r="220" spans="1:10" x14ac:dyDescent="0.25">
      <c r="A220" s="98" t="str">
        <f>'Resultater - Vestdanmark'!A220</f>
        <v>Græsmark</v>
      </c>
      <c r="B220" s="98" t="str">
        <f>'Resultater - Vestdanmark'!B220</f>
        <v>Økologisk</v>
      </c>
      <c r="C220" s="98" t="str">
        <f>'Resultater - Vestdanmark'!C220</f>
        <v>OC6</v>
      </c>
      <c r="D220" s="98" t="str">
        <f>'Resultater - Vestdanmark'!D220</f>
        <v>Areal-græs</v>
      </c>
      <c r="E220" s="98" t="str">
        <f>'Resultater - Vestdanmark'!E220</f>
        <v>Hektar</v>
      </c>
      <c r="F220" s="98" t="str">
        <f>'Resultater - Vestdanmark'!F220</f>
        <v>Gødning</v>
      </c>
      <c r="G220" s="98" t="str">
        <f>'Resultater - Vestdanmark'!G220</f>
        <v>kg N</v>
      </c>
      <c r="H220" s="275">
        <f>'Resultater - Vestdanmark'!H220+'Resultater - Østdanmark'!H220</f>
        <v>-267346.56417984271</v>
      </c>
      <c r="I220" s="276">
        <f>'Resultater - Vestdanmark'!I220+'Resultater - Østdanmark'!I220</f>
        <v>-294645.813675532</v>
      </c>
      <c r="J220" s="277">
        <f>'Resultater - Vestdanmark'!J220+'Resultater - Østdanmark'!J220</f>
        <v>-381948.27698680072</v>
      </c>
    </row>
    <row r="221" spans="1:10" x14ac:dyDescent="0.25">
      <c r="A221" s="98" t="str">
        <f>'Resultater - Vestdanmark'!A221</f>
        <v>Græsmark</v>
      </c>
      <c r="B221" s="98" t="str">
        <f>'Resultater - Vestdanmark'!B221</f>
        <v>Økologisk</v>
      </c>
      <c r="C221" s="98" t="str">
        <f>'Resultater - Vestdanmark'!C221</f>
        <v>OC6</v>
      </c>
      <c r="D221" s="98" t="str">
        <f>'Resultater - Vestdanmark'!D221</f>
        <v>Areal-græs</v>
      </c>
      <c r="E221" s="98" t="str">
        <f>'Resultater - Vestdanmark'!E221</f>
        <v>Hektar</v>
      </c>
      <c r="F221" s="98" t="str">
        <f>'Resultater - Vestdanmark'!F221</f>
        <v>CO2 - atmosfære</v>
      </c>
      <c r="G221" s="98" t="str">
        <f>'Resultater - Vestdanmark'!G221</f>
        <v>t CO2-ækvivalenter</v>
      </c>
      <c r="H221" s="275">
        <f>'Resultater - Vestdanmark'!H221+'Resultater - Østdanmark'!H221</f>
        <v>42162.963950309473</v>
      </c>
      <c r="I221" s="276">
        <f>'Resultater - Vestdanmark'!I221+'Resultater - Østdanmark'!I221</f>
        <v>46468.301764873519</v>
      </c>
      <c r="J221" s="277">
        <f>'Resultater - Vestdanmark'!J221+'Resultater - Østdanmark'!J221</f>
        <v>60236.687472984187</v>
      </c>
    </row>
    <row r="222" spans="1:10" x14ac:dyDescent="0.25">
      <c r="A222" s="98" t="str">
        <f>'Resultater - Vestdanmark'!A222</f>
        <v>Græsmark</v>
      </c>
      <c r="B222" s="98" t="str">
        <f>'Resultater - Vestdanmark'!B222</f>
        <v>Økologisk</v>
      </c>
      <c r="C222" s="98" t="str">
        <f>'Resultater - Vestdanmark'!C222</f>
        <v>OC12</v>
      </c>
      <c r="D222" s="98" t="str">
        <f>'Resultater - Vestdanmark'!D222</f>
        <v>Areal-græs</v>
      </c>
      <c r="E222" s="98" t="str">
        <f>'Resultater - Vestdanmark'!E222</f>
        <v>Hektar</v>
      </c>
      <c r="F222" s="98" t="str">
        <f>'Resultater - Vestdanmark'!F222</f>
        <v>Græs</v>
      </c>
      <c r="G222" s="98" t="str">
        <f>'Resultater - Vestdanmark'!G222</f>
        <v>Ton</v>
      </c>
      <c r="H222" s="275">
        <f>'Resultater - Vestdanmark'!H222+'Resultater - Østdanmark'!H222</f>
        <v>147189.87740935557</v>
      </c>
      <c r="I222" s="276">
        <f>'Resultater - Vestdanmark'!I222+'Resultater - Østdanmark'!I222</f>
        <v>170305.6586501298</v>
      </c>
      <c r="J222" s="277">
        <f>'Resultater - Vestdanmark'!J222+'Resultater - Østdanmark'!J222</f>
        <v>236829.83556756919</v>
      </c>
    </row>
    <row r="223" spans="1:10" x14ac:dyDescent="0.25">
      <c r="A223" s="98" t="str">
        <f>'Resultater - Vestdanmark'!A223</f>
        <v>Græsmark</v>
      </c>
      <c r="B223" s="98" t="str">
        <f>'Resultater - Vestdanmark'!B223</f>
        <v>Økologisk</v>
      </c>
      <c r="C223" s="98" t="str">
        <f>'Resultater - Vestdanmark'!C223</f>
        <v>OC12</v>
      </c>
      <c r="D223" s="98" t="str">
        <f>'Resultater - Vestdanmark'!D223</f>
        <v>Areal-græs</v>
      </c>
      <c r="E223" s="98" t="str">
        <f>'Resultater - Vestdanmark'!E223</f>
        <v>Hektar</v>
      </c>
      <c r="F223" s="98" t="str">
        <f>'Resultater - Vestdanmark'!F223</f>
        <v>Gødning</v>
      </c>
      <c r="G223" s="98" t="str">
        <f>'Resultater - Vestdanmark'!G223</f>
        <v>kg N</v>
      </c>
      <c r="H223" s="275">
        <f>'Resultater - Vestdanmark'!H223+'Resultater - Østdanmark'!H223</f>
        <v>-222475.63090894136</v>
      </c>
      <c r="I223" s="276">
        <f>'Resultater - Vestdanmark'!I223+'Resultater - Østdanmark'!I223</f>
        <v>-240125.7842957172</v>
      </c>
      <c r="J223" s="277">
        <f>'Resultater - Vestdanmark'!J223+'Resultater - Østdanmark'!J223</f>
        <v>-311274.16482778144</v>
      </c>
    </row>
    <row r="224" spans="1:10" x14ac:dyDescent="0.25">
      <c r="A224" s="98" t="str">
        <f>'Resultater - Vestdanmark'!A224</f>
        <v>Græsmark</v>
      </c>
      <c r="B224" s="98" t="str">
        <f>'Resultater - Vestdanmark'!B224</f>
        <v>Økologisk</v>
      </c>
      <c r="C224" s="98" t="str">
        <f>'Resultater - Vestdanmark'!C224</f>
        <v>OC12</v>
      </c>
      <c r="D224" s="98" t="str">
        <f>'Resultater - Vestdanmark'!D224</f>
        <v>Areal-græs</v>
      </c>
      <c r="E224" s="98" t="str">
        <f>'Resultater - Vestdanmark'!E224</f>
        <v>Hektar</v>
      </c>
      <c r="F224" s="98" t="str">
        <f>'Resultater - Vestdanmark'!F224</f>
        <v>CO2 - atmosfære</v>
      </c>
      <c r="G224" s="98" t="str">
        <f>'Resultater - Vestdanmark'!G224</f>
        <v>t CO2-ækvivalenter</v>
      </c>
      <c r="H224" s="275">
        <f>'Resultater - Vestdanmark'!H224+'Resultater - Østdanmark'!H224</f>
        <v>111242.41808542692</v>
      </c>
      <c r="I224" s="276">
        <f>'Resultater - Vestdanmark'!I224+'Resultater - Østdanmark'!I224</f>
        <v>120067.85992955978</v>
      </c>
      <c r="J224" s="277">
        <f>'Resultater - Vestdanmark'!J224+'Resultater - Østdanmark'!J224</f>
        <v>155643.5221309108</v>
      </c>
    </row>
    <row r="225" spans="1:10" x14ac:dyDescent="0.25">
      <c r="A225" s="98" t="str">
        <f>'Resultater - Vestdanmark'!A225</f>
        <v>Bælgsædsmark</v>
      </c>
      <c r="B225" s="98" t="str">
        <f>'Resultater - Vestdanmark'!B225</f>
        <v>Konventionel</v>
      </c>
      <c r="C225" s="98" t="str">
        <f>'Resultater - Vestdanmark'!C225</f>
        <v>JB1-10</v>
      </c>
      <c r="D225" s="98" t="str">
        <f>'Resultater - Vestdanmark'!D225</f>
        <v>Areal-bælgsæd</v>
      </c>
      <c r="E225" s="98" t="str">
        <f>'Resultater - Vestdanmark'!E225</f>
        <v>Hektar</v>
      </c>
      <c r="F225" s="98" t="str">
        <f>'Resultater - Vestdanmark'!F225</f>
        <v>Bælgsæd</v>
      </c>
      <c r="G225" s="98" t="str">
        <f>'Resultater - Vestdanmark'!G225</f>
        <v>Ton</v>
      </c>
      <c r="H225" s="275">
        <f>'Resultater - Vestdanmark'!H225+'Resultater - Østdanmark'!H225</f>
        <v>252636.14136845001</v>
      </c>
      <c r="I225" s="276">
        <f>'Resultater - Vestdanmark'!I225+'Resultater - Østdanmark'!I225</f>
        <v>261752.56869143297</v>
      </c>
      <c r="J225" s="277">
        <f>'Resultater - Vestdanmark'!J225+'Resultater - Østdanmark'!J225</f>
        <v>263227.01216988743</v>
      </c>
    </row>
    <row r="226" spans="1:10" x14ac:dyDescent="0.25">
      <c r="A226" s="98" t="str">
        <f>'Resultater - Vestdanmark'!A226</f>
        <v>Bælgsædsmark</v>
      </c>
      <c r="B226" s="98" t="str">
        <f>'Resultater - Vestdanmark'!B226</f>
        <v>Konventionel</v>
      </c>
      <c r="C226" s="98" t="str">
        <f>'Resultater - Vestdanmark'!C226</f>
        <v>JB1-10</v>
      </c>
      <c r="D226" s="98" t="str">
        <f>'Resultater - Vestdanmark'!D226</f>
        <v>Areal-bælgsæd</v>
      </c>
      <c r="E226" s="98" t="str">
        <f>'Resultater - Vestdanmark'!E226</f>
        <v>Hektar</v>
      </c>
      <c r="F226" s="98" t="str">
        <f>'Resultater - Vestdanmark'!F226</f>
        <v>Halm</v>
      </c>
      <c r="G226" s="98" t="str">
        <f>'Resultater - Vestdanmark'!G226</f>
        <v>Ton</v>
      </c>
      <c r="H226" s="275">
        <f>'Resultater - Vestdanmark'!H226+'Resultater - Østdanmark'!H226</f>
        <v>75002.300218044285</v>
      </c>
      <c r="I226" s="276">
        <f>'Resultater - Vestdanmark'!I226+'Resultater - Østdanmark'!I226</f>
        <v>72068.1124778784</v>
      </c>
      <c r="J226" s="277">
        <f>'Resultater - Vestdanmark'!J226+'Resultater - Østdanmark'!J226</f>
        <v>67558.437191942125</v>
      </c>
    </row>
    <row r="227" spans="1:10" x14ac:dyDescent="0.25">
      <c r="A227" s="98" t="str">
        <f>'Resultater - Vestdanmark'!A227</f>
        <v>Bælgsædsmark</v>
      </c>
      <c r="B227" s="98" t="str">
        <f>'Resultater - Vestdanmark'!B227</f>
        <v>Konventionel</v>
      </c>
      <c r="C227" s="98" t="str">
        <f>'Resultater - Vestdanmark'!C227</f>
        <v>JB1-10</v>
      </c>
      <c r="D227" s="98" t="str">
        <f>'Resultater - Vestdanmark'!D227</f>
        <v>Areal-bælgsæd</v>
      </c>
      <c r="E227" s="98" t="str">
        <f>'Resultater - Vestdanmark'!E227</f>
        <v>Hektar</v>
      </c>
      <c r="F227" s="98" t="str">
        <f>'Resultater - Vestdanmark'!F227</f>
        <v>Gødning</v>
      </c>
      <c r="G227" s="98" t="str">
        <f>'Resultater - Vestdanmark'!G227</f>
        <v>kg N</v>
      </c>
      <c r="H227" s="275">
        <f>'Resultater - Vestdanmark'!H227+'Resultater - Østdanmark'!H227</f>
        <v>0</v>
      </c>
      <c r="I227" s="276">
        <f>'Resultater - Vestdanmark'!I227+'Resultater - Østdanmark'!I227</f>
        <v>0</v>
      </c>
      <c r="J227" s="277">
        <f>'Resultater - Vestdanmark'!J227+'Resultater - Østdanmark'!J227</f>
        <v>0</v>
      </c>
    </row>
    <row r="228" spans="1:10" x14ac:dyDescent="0.25">
      <c r="A228" s="98" t="str">
        <f>'Resultater - Vestdanmark'!A228</f>
        <v>Bælgsædsmark</v>
      </c>
      <c r="B228" s="98" t="str">
        <f>'Resultater - Vestdanmark'!B228</f>
        <v>Konventionel</v>
      </c>
      <c r="C228" s="98" t="str">
        <f>'Resultater - Vestdanmark'!C228</f>
        <v>JB1-10</v>
      </c>
      <c r="D228" s="98" t="str">
        <f>'Resultater - Vestdanmark'!D228</f>
        <v>Areal-bælgsæd</v>
      </c>
      <c r="E228" s="98" t="str">
        <f>'Resultater - Vestdanmark'!E228</f>
        <v>Hektar</v>
      </c>
      <c r="F228" s="98" t="str">
        <f>'Resultater - Vestdanmark'!F228</f>
        <v>CO2 - atmosfære</v>
      </c>
      <c r="G228" s="98" t="str">
        <f>'Resultater - Vestdanmark'!G228</f>
        <v>t CO2-ækvivalenter</v>
      </c>
      <c r="H228" s="275">
        <f>'Resultater - Vestdanmark'!H228+'Resultater - Østdanmark'!H228</f>
        <v>148812.79058360241</v>
      </c>
      <c r="I228" s="276">
        <f>'Resultater - Vestdanmark'!I228+'Resultater - Østdanmark'!I228</f>
        <v>143827.174307034</v>
      </c>
      <c r="J228" s="277">
        <f>'Resultater - Vestdanmark'!J228+'Resultater - Østdanmark'!J228</f>
        <v>134827.16263588643</v>
      </c>
    </row>
    <row r="229" spans="1:10" x14ac:dyDescent="0.25">
      <c r="A229" s="98" t="str">
        <f>'Resultater - Vestdanmark'!A229</f>
        <v>Bælgsædsmark</v>
      </c>
      <c r="B229" s="98" t="str">
        <f>'Resultater - Vestdanmark'!B229</f>
        <v>Konventionel</v>
      </c>
      <c r="C229" s="98" t="str">
        <f>'Resultater - Vestdanmark'!C229</f>
        <v>OC6</v>
      </c>
      <c r="D229" s="98" t="str">
        <f>'Resultater - Vestdanmark'!D229</f>
        <v>Areal-bælgsæd</v>
      </c>
      <c r="E229" s="98" t="str">
        <f>'Resultater - Vestdanmark'!E229</f>
        <v>Hektar</v>
      </c>
      <c r="F229" s="98" t="str">
        <f>'Resultater - Vestdanmark'!F229</f>
        <v>Bælgsæd</v>
      </c>
      <c r="G229" s="98" t="str">
        <f>'Resultater - Vestdanmark'!G229</f>
        <v>Ton</v>
      </c>
      <c r="H229" s="275">
        <f>'Resultater - Vestdanmark'!H229+'Resultater - Østdanmark'!H229</f>
        <v>9551.9923536804617</v>
      </c>
      <c r="I229" s="276">
        <f>'Resultater - Vestdanmark'!I229+'Resultater - Østdanmark'!I229</f>
        <v>9245.4355092111982</v>
      </c>
      <c r="J229" s="277">
        <f>'Resultater - Vestdanmark'!J229+'Resultater - Østdanmark'!J229</f>
        <v>9459.5019189070445</v>
      </c>
    </row>
    <row r="230" spans="1:10" x14ac:dyDescent="0.25">
      <c r="A230" s="98" t="str">
        <f>'Resultater - Vestdanmark'!A230</f>
        <v>Bælgsædsmark</v>
      </c>
      <c r="B230" s="98" t="str">
        <f>'Resultater - Vestdanmark'!B230</f>
        <v>Konventionel</v>
      </c>
      <c r="C230" s="98" t="str">
        <f>'Resultater - Vestdanmark'!C230</f>
        <v>OC6</v>
      </c>
      <c r="D230" s="98" t="str">
        <f>'Resultater - Vestdanmark'!D230</f>
        <v>Areal-bælgsæd</v>
      </c>
      <c r="E230" s="98" t="str">
        <f>'Resultater - Vestdanmark'!E230</f>
        <v>Hektar</v>
      </c>
      <c r="F230" s="98" t="str">
        <f>'Resultater - Vestdanmark'!F230</f>
        <v>Halm</v>
      </c>
      <c r="G230" s="98" t="str">
        <f>'Resultater - Vestdanmark'!G230</f>
        <v>Ton</v>
      </c>
      <c r="H230" s="275">
        <f>'Resultater - Vestdanmark'!H230+'Resultater - Østdanmark'!H230</f>
        <v>2835.7834881049771</v>
      </c>
      <c r="I230" s="276">
        <f>'Resultater - Vestdanmark'!I230+'Resultater - Østdanmark'!I230</f>
        <v>2545.537908245984</v>
      </c>
      <c r="J230" s="277">
        <f>'Resultater - Vestdanmark'!J230+'Resultater - Østdanmark'!J230</f>
        <v>2427.8251726045519</v>
      </c>
    </row>
    <row r="231" spans="1:10" x14ac:dyDescent="0.25">
      <c r="A231" s="98" t="str">
        <f>'Resultater - Vestdanmark'!A231</f>
        <v>Bælgsædsmark</v>
      </c>
      <c r="B231" s="98" t="str">
        <f>'Resultater - Vestdanmark'!B231</f>
        <v>Konventionel</v>
      </c>
      <c r="C231" s="98" t="str">
        <f>'Resultater - Vestdanmark'!C231</f>
        <v>OC6</v>
      </c>
      <c r="D231" s="98" t="str">
        <f>'Resultater - Vestdanmark'!D231</f>
        <v>Areal-bælgsæd</v>
      </c>
      <c r="E231" s="98" t="str">
        <f>'Resultater - Vestdanmark'!E231</f>
        <v>Hektar</v>
      </c>
      <c r="F231" s="98" t="str">
        <f>'Resultater - Vestdanmark'!F231</f>
        <v>Gødning</v>
      </c>
      <c r="G231" s="98" t="str">
        <f>'Resultater - Vestdanmark'!G231</f>
        <v>kg N</v>
      </c>
      <c r="H231" s="275">
        <f>'Resultater - Vestdanmark'!H231+'Resultater - Østdanmark'!H231</f>
        <v>0</v>
      </c>
      <c r="I231" s="276">
        <f>'Resultater - Vestdanmark'!I231+'Resultater - Østdanmark'!I231</f>
        <v>0</v>
      </c>
      <c r="J231" s="277">
        <f>'Resultater - Vestdanmark'!J231+'Resultater - Østdanmark'!J231</f>
        <v>0</v>
      </c>
    </row>
    <row r="232" spans="1:10" x14ac:dyDescent="0.25">
      <c r="A232" s="98" t="str">
        <f>'Resultater - Vestdanmark'!A232</f>
        <v>Bælgsædsmark</v>
      </c>
      <c r="B232" s="98" t="str">
        <f>'Resultater - Vestdanmark'!B232</f>
        <v>Konventionel</v>
      </c>
      <c r="C232" s="98" t="str">
        <f>'Resultater - Vestdanmark'!C232</f>
        <v>OC6</v>
      </c>
      <c r="D232" s="98" t="str">
        <f>'Resultater - Vestdanmark'!D232</f>
        <v>Areal-bælgsæd</v>
      </c>
      <c r="E232" s="98" t="str">
        <f>'Resultater - Vestdanmark'!E232</f>
        <v>Hektar</v>
      </c>
      <c r="F232" s="98" t="str">
        <f>'Resultater - Vestdanmark'!F232</f>
        <v>CO2 - atmosfære</v>
      </c>
      <c r="G232" s="98" t="str">
        <f>'Resultater - Vestdanmark'!G232</f>
        <v>t CO2-ækvivalenter</v>
      </c>
      <c r="H232" s="275">
        <f>'Resultater - Vestdanmark'!H232+'Resultater - Østdanmark'!H232</f>
        <v>32977.664576989635</v>
      </c>
      <c r="I232" s="276">
        <f>'Resultater - Vestdanmark'!I232+'Resultater - Østdanmark'!I232</f>
        <v>29775.462663528771</v>
      </c>
      <c r="J232" s="277">
        <f>'Resultater - Vestdanmark'!J232+'Resultater - Østdanmark'!J232</f>
        <v>28398.562655966747</v>
      </c>
    </row>
    <row r="233" spans="1:10" x14ac:dyDescent="0.25">
      <c r="A233" s="98" t="str">
        <f>'Resultater - Vestdanmark'!A233</f>
        <v>Bælgsædsmark</v>
      </c>
      <c r="B233" s="98" t="str">
        <f>'Resultater - Vestdanmark'!B233</f>
        <v>Konventionel</v>
      </c>
      <c r="C233" s="98" t="str">
        <f>'Resultater - Vestdanmark'!C233</f>
        <v>OC12</v>
      </c>
      <c r="D233" s="98" t="str">
        <f>'Resultater - Vestdanmark'!D233</f>
        <v>Areal-bælgsæd</v>
      </c>
      <c r="E233" s="98" t="str">
        <f>'Resultater - Vestdanmark'!E233</f>
        <v>Hektar</v>
      </c>
      <c r="F233" s="98" t="str">
        <f>'Resultater - Vestdanmark'!F233</f>
        <v>Bælgsæd</v>
      </c>
      <c r="G233" s="98" t="str">
        <f>'Resultater - Vestdanmark'!G233</f>
        <v>Ton</v>
      </c>
      <c r="H233" s="275">
        <f>'Resultater - Vestdanmark'!H233+'Resultater - Østdanmark'!H233</f>
        <v>3796.4815039591263</v>
      </c>
      <c r="I233" s="276">
        <f>'Resultater - Vestdanmark'!I233+'Resultater - Østdanmark'!I233</f>
        <v>3597.3723791739267</v>
      </c>
      <c r="J233" s="277">
        <f>'Resultater - Vestdanmark'!J233+'Resultater - Østdanmark'!J233</f>
        <v>3680.6650038189782</v>
      </c>
    </row>
    <row r="234" spans="1:10" x14ac:dyDescent="0.25">
      <c r="A234" s="98" t="str">
        <f>'Resultater - Vestdanmark'!A234</f>
        <v>Bælgsædsmark</v>
      </c>
      <c r="B234" s="98" t="str">
        <f>'Resultater - Vestdanmark'!B234</f>
        <v>Konventionel</v>
      </c>
      <c r="C234" s="98" t="str">
        <f>'Resultater - Vestdanmark'!C234</f>
        <v>OC12</v>
      </c>
      <c r="D234" s="98" t="str">
        <f>'Resultater - Vestdanmark'!D234</f>
        <v>Areal-bælgsæd</v>
      </c>
      <c r="E234" s="98" t="str">
        <f>'Resultater - Vestdanmark'!E234</f>
        <v>Hektar</v>
      </c>
      <c r="F234" s="98" t="str">
        <f>'Resultater - Vestdanmark'!F234</f>
        <v>Halm</v>
      </c>
      <c r="G234" s="98" t="str">
        <f>'Resultater - Vestdanmark'!G234</f>
        <v>Ton</v>
      </c>
      <c r="H234" s="275">
        <f>'Resultater - Vestdanmark'!H234+'Resultater - Østdanmark'!H234</f>
        <v>1127.0946587048945</v>
      </c>
      <c r="I234" s="276">
        <f>'Resultater - Vestdanmark'!I234+'Resultater - Østdanmark'!I234</f>
        <v>990.46148254897685</v>
      </c>
      <c r="J234" s="277">
        <f>'Resultater - Vestdanmark'!J234+'Resultater - Østdanmark'!J234</f>
        <v>944.65979549468875</v>
      </c>
    </row>
    <row r="235" spans="1:10" x14ac:dyDescent="0.25">
      <c r="A235" s="98" t="str">
        <f>'Resultater - Vestdanmark'!A235</f>
        <v>Bælgsædsmark</v>
      </c>
      <c r="B235" s="98" t="str">
        <f>'Resultater - Vestdanmark'!B235</f>
        <v>Konventionel</v>
      </c>
      <c r="C235" s="98" t="str">
        <f>'Resultater - Vestdanmark'!C235</f>
        <v>OC12</v>
      </c>
      <c r="D235" s="98" t="str">
        <f>'Resultater - Vestdanmark'!D235</f>
        <v>Areal-bælgsæd</v>
      </c>
      <c r="E235" s="98" t="str">
        <f>'Resultater - Vestdanmark'!E235</f>
        <v>Hektar</v>
      </c>
      <c r="F235" s="98" t="str">
        <f>'Resultater - Vestdanmark'!F235</f>
        <v>Gødning</v>
      </c>
      <c r="G235" s="98" t="str">
        <f>'Resultater - Vestdanmark'!G235</f>
        <v>kg N</v>
      </c>
      <c r="H235" s="275">
        <f>'Resultater - Vestdanmark'!H235+'Resultater - Østdanmark'!H235</f>
        <v>0</v>
      </c>
      <c r="I235" s="276">
        <f>'Resultater - Vestdanmark'!I235+'Resultater - Østdanmark'!I235</f>
        <v>0</v>
      </c>
      <c r="J235" s="277">
        <f>'Resultater - Vestdanmark'!J235+'Resultater - Østdanmark'!J235</f>
        <v>0</v>
      </c>
    </row>
    <row r="236" spans="1:10" x14ac:dyDescent="0.25">
      <c r="A236" s="98" t="str">
        <f>'Resultater - Vestdanmark'!A236</f>
        <v>Bælgsædsmark</v>
      </c>
      <c r="B236" s="98" t="str">
        <f>'Resultater - Vestdanmark'!B236</f>
        <v>Konventionel</v>
      </c>
      <c r="C236" s="98" t="str">
        <f>'Resultater - Vestdanmark'!C236</f>
        <v>OC12</v>
      </c>
      <c r="D236" s="98" t="str">
        <f>'Resultater - Vestdanmark'!D236</f>
        <v>Areal-bælgsæd</v>
      </c>
      <c r="E236" s="98" t="str">
        <f>'Resultater - Vestdanmark'!E236</f>
        <v>Hektar</v>
      </c>
      <c r="F236" s="98" t="str">
        <f>'Resultater - Vestdanmark'!F236</f>
        <v>CO2 - atmosfære</v>
      </c>
      <c r="G236" s="98" t="str">
        <f>'Resultater - Vestdanmark'!G236</f>
        <v>t CO2-ækvivalenter</v>
      </c>
      <c r="H236" s="275">
        <f>'Resultater - Vestdanmark'!H236+'Resultater - Østdanmark'!H236</f>
        <v>28769.864955948491</v>
      </c>
      <c r="I236" s="276">
        <f>'Resultater - Vestdanmark'!I236+'Resultater - Østdanmark'!I236</f>
        <v>25430.045978580787</v>
      </c>
      <c r="J236" s="277">
        <f>'Resultater - Vestdanmark'!J236+'Resultater - Østdanmark'!J236</f>
        <v>24254.090095178206</v>
      </c>
    </row>
    <row r="237" spans="1:10" x14ac:dyDescent="0.25">
      <c r="A237" s="98" t="str">
        <f>'Resultater - Vestdanmark'!A237</f>
        <v>Bælgsædsmark</v>
      </c>
      <c r="B237" s="98" t="str">
        <f>'Resultater - Vestdanmark'!B237</f>
        <v>Økologisk</v>
      </c>
      <c r="C237" s="98" t="str">
        <f>'Resultater - Vestdanmark'!C237</f>
        <v>JB1-10</v>
      </c>
      <c r="D237" s="98" t="str">
        <f>'Resultater - Vestdanmark'!D237</f>
        <v>Areal-bælgsæd</v>
      </c>
      <c r="E237" s="98" t="str">
        <f>'Resultater - Vestdanmark'!E237</f>
        <v>Hektar</v>
      </c>
      <c r="F237" s="98" t="str">
        <f>'Resultater - Vestdanmark'!F237</f>
        <v>Bælgsæd</v>
      </c>
      <c r="G237" s="98" t="str">
        <f>'Resultater - Vestdanmark'!G237</f>
        <v>Ton</v>
      </c>
      <c r="H237" s="275">
        <f>'Resultater - Vestdanmark'!H237+'Resultater - Østdanmark'!H237</f>
        <v>18412.390570964348</v>
      </c>
      <c r="I237" s="276">
        <f>'Resultater - Vestdanmark'!I237+'Resultater - Østdanmark'!I237</f>
        <v>23285.387469139616</v>
      </c>
      <c r="J237" s="277">
        <f>'Resultater - Vestdanmark'!J237+'Resultater - Østdanmark'!J237</f>
        <v>31826.538744177305</v>
      </c>
    </row>
    <row r="238" spans="1:10" x14ac:dyDescent="0.25">
      <c r="A238" s="98" t="str">
        <f>'Resultater - Vestdanmark'!A238</f>
        <v>Bælgsædsmark</v>
      </c>
      <c r="B238" s="98" t="str">
        <f>'Resultater - Vestdanmark'!B238</f>
        <v>Økologisk</v>
      </c>
      <c r="C238" s="98" t="str">
        <f>'Resultater - Vestdanmark'!C238</f>
        <v>JB1-10</v>
      </c>
      <c r="D238" s="98" t="str">
        <f>'Resultater - Vestdanmark'!D238</f>
        <v>Areal-bælgsæd</v>
      </c>
      <c r="E238" s="98" t="str">
        <f>'Resultater - Vestdanmark'!E238</f>
        <v>Hektar</v>
      </c>
      <c r="F238" s="98" t="str">
        <f>'Resultater - Vestdanmark'!F238</f>
        <v>Halm</v>
      </c>
      <c r="G238" s="98" t="str">
        <f>'Resultater - Vestdanmark'!G238</f>
        <v>Ton</v>
      </c>
      <c r="H238" s="275">
        <f>'Resultater - Vestdanmark'!H238+'Resultater - Østdanmark'!H238</f>
        <v>5466.2473779684478</v>
      </c>
      <c r="I238" s="276">
        <f>'Resultater - Vestdanmark'!I238+'Resultater - Østdanmark'!I238</f>
        <v>6411.1459597372741</v>
      </c>
      <c r="J238" s="277">
        <f>'Resultater - Vestdanmark'!J238+'Resultater - Østdanmark'!J238</f>
        <v>8168.4292241166386</v>
      </c>
    </row>
    <row r="239" spans="1:10" x14ac:dyDescent="0.25">
      <c r="A239" s="98" t="str">
        <f>'Resultater - Vestdanmark'!A239</f>
        <v>Bælgsædsmark</v>
      </c>
      <c r="B239" s="98" t="str">
        <f>'Resultater - Vestdanmark'!B239</f>
        <v>Økologisk</v>
      </c>
      <c r="C239" s="98" t="str">
        <f>'Resultater - Vestdanmark'!C239</f>
        <v>JB1-10</v>
      </c>
      <c r="D239" s="98" t="str">
        <f>'Resultater - Vestdanmark'!D239</f>
        <v>Areal-bælgsæd</v>
      </c>
      <c r="E239" s="98" t="str">
        <f>'Resultater - Vestdanmark'!E239</f>
        <v>Hektar</v>
      </c>
      <c r="F239" s="98" t="str">
        <f>'Resultater - Vestdanmark'!F239</f>
        <v>Gødning</v>
      </c>
      <c r="G239" s="98" t="str">
        <f>'Resultater - Vestdanmark'!G239</f>
        <v>kg N</v>
      </c>
      <c r="H239" s="275">
        <f>'Resultater - Vestdanmark'!H239+'Resultater - Østdanmark'!H239</f>
        <v>0</v>
      </c>
      <c r="I239" s="276">
        <f>'Resultater - Vestdanmark'!I239+'Resultater - Østdanmark'!I239</f>
        <v>0</v>
      </c>
      <c r="J239" s="277">
        <f>'Resultater - Vestdanmark'!J239+'Resultater - Østdanmark'!J239</f>
        <v>0</v>
      </c>
    </row>
    <row r="240" spans="1:10" x14ac:dyDescent="0.25">
      <c r="A240" s="98" t="str">
        <f>'Resultater - Vestdanmark'!A240</f>
        <v>Bælgsædsmark</v>
      </c>
      <c r="B240" s="98" t="str">
        <f>'Resultater - Vestdanmark'!B240</f>
        <v>Økologisk</v>
      </c>
      <c r="C240" s="98" t="str">
        <f>'Resultater - Vestdanmark'!C240</f>
        <v>JB1-10</v>
      </c>
      <c r="D240" s="98" t="str">
        <f>'Resultater - Vestdanmark'!D240</f>
        <v>Areal-bælgsæd</v>
      </c>
      <c r="E240" s="98" t="str">
        <f>'Resultater - Vestdanmark'!E240</f>
        <v>Hektar</v>
      </c>
      <c r="F240" s="98" t="str">
        <f>'Resultater - Vestdanmark'!F240</f>
        <v>CO2 - atmosfære</v>
      </c>
      <c r="G240" s="98" t="str">
        <f>'Resultater - Vestdanmark'!G240</f>
        <v>t CO2-ækvivalenter</v>
      </c>
      <c r="H240" s="275">
        <f>'Resultater - Vestdanmark'!H240+'Resultater - Østdanmark'!H240</f>
        <v>19027.428748815582</v>
      </c>
      <c r="I240" s="276">
        <f>'Resultater - Vestdanmark'!I240+'Resultater - Østdanmark'!I240</f>
        <v>22447.015643294326</v>
      </c>
      <c r="J240" s="277">
        <f>'Resultater - Vestdanmark'!J240+'Resultater - Østdanmark'!J240</f>
        <v>28599.701165188035</v>
      </c>
    </row>
    <row r="241" spans="1:10" x14ac:dyDescent="0.25">
      <c r="A241" s="98" t="str">
        <f>'Resultater - Vestdanmark'!A241</f>
        <v>Bælgsædsmark</v>
      </c>
      <c r="B241" s="98" t="str">
        <f>'Resultater - Vestdanmark'!B241</f>
        <v>Økologisk</v>
      </c>
      <c r="C241" s="98" t="str">
        <f>'Resultater - Vestdanmark'!C241</f>
        <v>OC6</v>
      </c>
      <c r="D241" s="98" t="str">
        <f>'Resultater - Vestdanmark'!D241</f>
        <v>Areal-bælgsæd</v>
      </c>
      <c r="E241" s="98" t="str">
        <f>'Resultater - Vestdanmark'!E241</f>
        <v>Hektar</v>
      </c>
      <c r="F241" s="98" t="str">
        <f>'Resultater - Vestdanmark'!F241</f>
        <v>Bælgsæd</v>
      </c>
      <c r="G241" s="98" t="str">
        <f>'Resultater - Vestdanmark'!G241</f>
        <v>Ton</v>
      </c>
      <c r="H241" s="275">
        <f>'Resultater - Vestdanmark'!H241+'Resultater - Østdanmark'!H241</f>
        <v>696.15935785818442</v>
      </c>
      <c r="I241" s="276">
        <f>'Resultater - Vestdanmark'!I241+'Resultater - Østdanmark'!I241</f>
        <v>822.4696675535281</v>
      </c>
      <c r="J241" s="277">
        <f>'Resultater - Vestdanmark'!J241+'Resultater - Østdanmark'!J241</f>
        <v>1143.7397774678514</v>
      </c>
    </row>
    <row r="242" spans="1:10" x14ac:dyDescent="0.25">
      <c r="A242" s="98" t="str">
        <f>'Resultater - Vestdanmark'!A242</f>
        <v>Bælgsædsmark</v>
      </c>
      <c r="B242" s="98" t="str">
        <f>'Resultater - Vestdanmark'!B242</f>
        <v>Økologisk</v>
      </c>
      <c r="C242" s="98" t="str">
        <f>'Resultater - Vestdanmark'!C242</f>
        <v>OC6</v>
      </c>
      <c r="D242" s="98" t="str">
        <f>'Resultater - Vestdanmark'!D242</f>
        <v>Areal-bælgsæd</v>
      </c>
      <c r="E242" s="98" t="str">
        <f>'Resultater - Vestdanmark'!E242</f>
        <v>Hektar</v>
      </c>
      <c r="F242" s="98" t="str">
        <f>'Resultater - Vestdanmark'!F242</f>
        <v>Halm</v>
      </c>
      <c r="G242" s="98" t="str">
        <f>'Resultater - Vestdanmark'!G242</f>
        <v>Ton</v>
      </c>
      <c r="H242" s="275">
        <f>'Resultater - Vestdanmark'!H242+'Resultater - Østdanmark'!H242</f>
        <v>206.67491545293632</v>
      </c>
      <c r="I242" s="276">
        <f>'Resultater - Vestdanmark'!I242+'Resultater - Østdanmark'!I242</f>
        <v>226.44987519020634</v>
      </c>
      <c r="J242" s="277">
        <f>'Resultater - Vestdanmark'!J242+'Resultater - Østdanmark'!J242</f>
        <v>293.54613450582292</v>
      </c>
    </row>
    <row r="243" spans="1:10" x14ac:dyDescent="0.25">
      <c r="A243" s="98" t="str">
        <f>'Resultater - Vestdanmark'!A243</f>
        <v>Bælgsædsmark</v>
      </c>
      <c r="B243" s="98" t="str">
        <f>'Resultater - Vestdanmark'!B243</f>
        <v>Økologisk</v>
      </c>
      <c r="C243" s="98" t="str">
        <f>'Resultater - Vestdanmark'!C243</f>
        <v>OC6</v>
      </c>
      <c r="D243" s="98" t="str">
        <f>'Resultater - Vestdanmark'!D243</f>
        <v>Areal-bælgsæd</v>
      </c>
      <c r="E243" s="98" t="str">
        <f>'Resultater - Vestdanmark'!E243</f>
        <v>Hektar</v>
      </c>
      <c r="F243" s="98" t="str">
        <f>'Resultater - Vestdanmark'!F243</f>
        <v>Gødning</v>
      </c>
      <c r="G243" s="98" t="str">
        <f>'Resultater - Vestdanmark'!G243</f>
        <v>kg N</v>
      </c>
      <c r="H243" s="275">
        <f>'Resultater - Vestdanmark'!H243+'Resultater - Østdanmark'!H243</f>
        <v>0</v>
      </c>
      <c r="I243" s="276">
        <f>'Resultater - Vestdanmark'!I243+'Resultater - Østdanmark'!I243</f>
        <v>0</v>
      </c>
      <c r="J243" s="277">
        <f>'Resultater - Vestdanmark'!J243+'Resultater - Østdanmark'!J243</f>
        <v>0</v>
      </c>
    </row>
    <row r="244" spans="1:10" x14ac:dyDescent="0.25">
      <c r="A244" s="98" t="str">
        <f>'Resultater - Vestdanmark'!A244</f>
        <v>Bælgsædsmark</v>
      </c>
      <c r="B244" s="98" t="str">
        <f>'Resultater - Vestdanmark'!B244</f>
        <v>Økologisk</v>
      </c>
      <c r="C244" s="98" t="str">
        <f>'Resultater - Vestdanmark'!C244</f>
        <v>OC6</v>
      </c>
      <c r="D244" s="98" t="str">
        <f>'Resultater - Vestdanmark'!D244</f>
        <v>Areal-bælgsæd</v>
      </c>
      <c r="E244" s="98" t="str">
        <f>'Resultater - Vestdanmark'!E244</f>
        <v>Hektar</v>
      </c>
      <c r="F244" s="98" t="str">
        <f>'Resultater - Vestdanmark'!F244</f>
        <v>CO2 - atmosfære</v>
      </c>
      <c r="G244" s="98" t="str">
        <f>'Resultater - Vestdanmark'!G244</f>
        <v>t CO2-ækvivalenter</v>
      </c>
      <c r="H244" s="275">
        <f>'Resultater - Vestdanmark'!H244+'Resultater - Østdanmark'!H244</f>
        <v>4216.5741303567183</v>
      </c>
      <c r="I244" s="276">
        <f>'Resultater - Vestdanmark'!I244+'Resultater - Østdanmark'!I244</f>
        <v>4647.0375255218314</v>
      </c>
      <c r="J244" s="277">
        <f>'Resultater - Vestdanmark'!J244+'Resultater - Østdanmark'!J244</f>
        <v>6023.9375330838548</v>
      </c>
    </row>
    <row r="245" spans="1:10" x14ac:dyDescent="0.25">
      <c r="A245" s="98" t="str">
        <f>'Resultater - Vestdanmark'!A245</f>
        <v>Bælgsædsmark</v>
      </c>
      <c r="B245" s="98" t="str">
        <f>'Resultater - Vestdanmark'!B245</f>
        <v>Økologisk</v>
      </c>
      <c r="C245" s="98" t="str">
        <f>'Resultater - Vestdanmark'!C245</f>
        <v>OC12</v>
      </c>
      <c r="D245" s="98" t="str">
        <f>'Resultater - Vestdanmark'!D245</f>
        <v>Areal-bælgsæd</v>
      </c>
      <c r="E245" s="98" t="str">
        <f>'Resultater - Vestdanmark'!E245</f>
        <v>Hektar</v>
      </c>
      <c r="F245" s="98" t="str">
        <f>'Resultater - Vestdanmark'!F245</f>
        <v>Bælgsæd</v>
      </c>
      <c r="G245" s="98" t="str">
        <f>'Resultater - Vestdanmark'!G245</f>
        <v>Ton</v>
      </c>
      <c r="H245" s="275">
        <f>'Resultater - Vestdanmark'!H245+'Resultater - Østdanmark'!H245</f>
        <v>276.69160820656509</v>
      </c>
      <c r="I245" s="276">
        <f>'Resultater - Vestdanmark'!I245+'Resultater - Østdanmark'!I245</f>
        <v>320.02058332651291</v>
      </c>
      <c r="J245" s="277">
        <f>'Resultater - Vestdanmark'!J245+'Resultater - Østdanmark'!J245</f>
        <v>445.02585955265823</v>
      </c>
    </row>
    <row r="246" spans="1:10" x14ac:dyDescent="0.25">
      <c r="A246" s="98" t="str">
        <f>'Resultater - Vestdanmark'!A246</f>
        <v>Bælgsædsmark</v>
      </c>
      <c r="B246" s="98" t="str">
        <f>'Resultater - Vestdanmark'!B246</f>
        <v>Økologisk</v>
      </c>
      <c r="C246" s="98" t="str">
        <f>'Resultater - Vestdanmark'!C246</f>
        <v>OC12</v>
      </c>
      <c r="D246" s="98" t="str">
        <f>'Resultater - Vestdanmark'!D246</f>
        <v>Areal-bælgsæd</v>
      </c>
      <c r="E246" s="98" t="str">
        <f>'Resultater - Vestdanmark'!E246</f>
        <v>Hektar</v>
      </c>
      <c r="F246" s="98" t="str">
        <f>'Resultater - Vestdanmark'!F246</f>
        <v>Halm</v>
      </c>
      <c r="G246" s="98" t="str">
        <f>'Resultater - Vestdanmark'!G246</f>
        <v>Ton</v>
      </c>
      <c r="H246" s="275">
        <f>'Resultater - Vestdanmark'!H246+'Resultater - Østdanmark'!H246</f>
        <v>82.143856987810693</v>
      </c>
      <c r="I246" s="276">
        <f>'Resultater - Vestdanmark'!I246+'Resultater - Østdanmark'!I246</f>
        <v>88.110995470686433</v>
      </c>
      <c r="J246" s="277">
        <f>'Resultater - Vestdanmark'!J246+'Resultater - Østdanmark'!J246</f>
        <v>114.21795709163054</v>
      </c>
    </row>
    <row r="247" spans="1:10" x14ac:dyDescent="0.25">
      <c r="A247" s="98" t="str">
        <f>'Resultater - Vestdanmark'!A247</f>
        <v>Bælgsædsmark</v>
      </c>
      <c r="B247" s="98" t="str">
        <f>'Resultater - Vestdanmark'!B247</f>
        <v>Økologisk</v>
      </c>
      <c r="C247" s="98" t="str">
        <f>'Resultater - Vestdanmark'!C247</f>
        <v>OC12</v>
      </c>
      <c r="D247" s="98" t="str">
        <f>'Resultater - Vestdanmark'!D247</f>
        <v>Areal-bælgsæd</v>
      </c>
      <c r="E247" s="98" t="str">
        <f>'Resultater - Vestdanmark'!E247</f>
        <v>Hektar</v>
      </c>
      <c r="F247" s="98" t="str">
        <f>'Resultater - Vestdanmark'!F247</f>
        <v>Gødning</v>
      </c>
      <c r="G247" s="98" t="str">
        <f>'Resultater - Vestdanmark'!G247</f>
        <v>kg N</v>
      </c>
      <c r="H247" s="275">
        <f>'Resultater - Vestdanmark'!H247+'Resultater - Østdanmark'!H247</f>
        <v>0</v>
      </c>
      <c r="I247" s="276">
        <f>'Resultater - Vestdanmark'!I247+'Resultater - Østdanmark'!I247</f>
        <v>0</v>
      </c>
      <c r="J247" s="277">
        <f>'Resultater - Vestdanmark'!J247+'Resultater - Østdanmark'!J247</f>
        <v>0</v>
      </c>
    </row>
    <row r="248" spans="1:10" x14ac:dyDescent="0.25">
      <c r="A248" s="98" t="str">
        <f>'Resultater - Vestdanmark'!A248</f>
        <v>Bælgsædsmark</v>
      </c>
      <c r="B248" s="98" t="str">
        <f>'Resultater - Vestdanmark'!B248</f>
        <v>Økologisk</v>
      </c>
      <c r="C248" s="98" t="str">
        <f>'Resultater - Vestdanmark'!C248</f>
        <v>OC12</v>
      </c>
      <c r="D248" s="98" t="str">
        <f>'Resultater - Vestdanmark'!D248</f>
        <v>Areal-bælgsæd</v>
      </c>
      <c r="E248" s="98" t="str">
        <f>'Resultater - Vestdanmark'!E248</f>
        <v>Hektar</v>
      </c>
      <c r="F248" s="98" t="str">
        <f>'Resultater - Vestdanmark'!F248</f>
        <v>CO2 - atmosfære</v>
      </c>
      <c r="G248" s="98" t="str">
        <f>'Resultater - Vestdanmark'!G248</f>
        <v>t CO2-ækvivalenter</v>
      </c>
      <c r="H248" s="275">
        <f>'Resultater - Vestdanmark'!H248+'Resultater - Østdanmark'!H248</f>
        <v>3678.55849900765</v>
      </c>
      <c r="I248" s="276">
        <f>'Resultater - Vestdanmark'!I248+'Resultater - Østdanmark'!I248</f>
        <v>3968.8511064837071</v>
      </c>
      <c r="J248" s="277">
        <f>'Resultater - Vestdanmark'!J248+'Resultater - Østdanmark'!J248</f>
        <v>5144.8069898862859</v>
      </c>
    </row>
    <row r="249" spans="1:10" x14ac:dyDescent="0.25">
      <c r="A249" s="98" t="str">
        <f>'Resultater - Vestdanmark'!A249</f>
        <v>Roemark</v>
      </c>
      <c r="B249" s="98" t="str">
        <f>'Resultater - Vestdanmark'!B249</f>
        <v>Konventionel</v>
      </c>
      <c r="C249" s="98" t="str">
        <f>'Resultater - Vestdanmark'!C249</f>
        <v>JB1-10</v>
      </c>
      <c r="D249" s="98" t="str">
        <f>'Resultater - Vestdanmark'!D249</f>
        <v>Areal-roer</v>
      </c>
      <c r="E249" s="98" t="str">
        <f>'Resultater - Vestdanmark'!E249</f>
        <v>Hektar</v>
      </c>
      <c r="F249" s="98" t="str">
        <f>'Resultater - Vestdanmark'!F249</f>
        <v>Roer</v>
      </c>
      <c r="G249" s="98" t="str">
        <f>'Resultater - Vestdanmark'!G249</f>
        <v>Ton</v>
      </c>
      <c r="H249" s="275">
        <f>'Resultater - Vestdanmark'!H249+'Resultater - Østdanmark'!H249</f>
        <v>2410176.5834804205</v>
      </c>
      <c r="I249" s="276">
        <f>'Resultater - Vestdanmark'!I249+'Resultater - Østdanmark'!I249</f>
        <v>2506227.4721593484</v>
      </c>
      <c r="J249" s="277">
        <f>'Resultater - Vestdanmark'!J249+'Resultater - Østdanmark'!J249</f>
        <v>2537393.8341610897</v>
      </c>
    </row>
    <row r="250" spans="1:10" x14ac:dyDescent="0.25">
      <c r="A250" s="98" t="str">
        <f>'Resultater - Vestdanmark'!A250</f>
        <v>Roemark</v>
      </c>
      <c r="B250" s="98" t="str">
        <f>'Resultater - Vestdanmark'!B250</f>
        <v>Konventionel</v>
      </c>
      <c r="C250" s="98" t="str">
        <f>'Resultater - Vestdanmark'!C250</f>
        <v>JB1-10</v>
      </c>
      <c r="D250" s="98" t="str">
        <f>'Resultater - Vestdanmark'!D250</f>
        <v>Areal-roer</v>
      </c>
      <c r="E250" s="98" t="str">
        <f>'Resultater - Vestdanmark'!E250</f>
        <v>Hektar</v>
      </c>
      <c r="F250" s="98" t="str">
        <f>'Resultater - Vestdanmark'!F250</f>
        <v>Gødning</v>
      </c>
      <c r="G250" s="98" t="str">
        <f>'Resultater - Vestdanmark'!G250</f>
        <v>kg N</v>
      </c>
      <c r="H250" s="275">
        <f>'Resultater - Vestdanmark'!H250+'Resultater - Østdanmark'!H250</f>
        <v>-4004417.1927958126</v>
      </c>
      <c r="I250" s="276">
        <f>'Resultater - Vestdanmark'!I250+'Resultater - Østdanmark'!I250</f>
        <v>-3884330.3262939942</v>
      </c>
      <c r="J250" s="277">
        <f>'Resultater - Vestdanmark'!J250+'Resultater - Østdanmark'!J250</f>
        <v>-3665898.9921073155</v>
      </c>
    </row>
    <row r="251" spans="1:10" x14ac:dyDescent="0.25">
      <c r="A251" s="98" t="str">
        <f>'Resultater - Vestdanmark'!A251</f>
        <v>Roemark</v>
      </c>
      <c r="B251" s="98" t="str">
        <f>'Resultater - Vestdanmark'!B251</f>
        <v>Konventionel</v>
      </c>
      <c r="C251" s="98" t="str">
        <f>'Resultater - Vestdanmark'!C251</f>
        <v>JB1-10</v>
      </c>
      <c r="D251" s="98" t="str">
        <f>'Resultater - Vestdanmark'!D251</f>
        <v>Areal-roer</v>
      </c>
      <c r="E251" s="98" t="str">
        <f>'Resultater - Vestdanmark'!E251</f>
        <v>Hektar</v>
      </c>
      <c r="F251" s="98" t="str">
        <f>'Resultater - Vestdanmark'!F251</f>
        <v>CO2 - atmosfære</v>
      </c>
      <c r="G251" s="98" t="str">
        <f>'Resultater - Vestdanmark'!G251</f>
        <v>t CO2-ækvivalenter</v>
      </c>
      <c r="H251" s="275">
        <f>'Resultater - Vestdanmark'!H251+'Resultater - Østdanmark'!H251</f>
        <v>67443.117157939108</v>
      </c>
      <c r="I251" s="276">
        <f>'Resultater - Vestdanmark'!I251+'Resultater - Østdanmark'!I251</f>
        <v>65420.592476649006</v>
      </c>
      <c r="J251" s="277">
        <f>'Resultater - Vestdanmark'!J251+'Resultater - Østdanmark'!J251</f>
        <v>61741.732519444675</v>
      </c>
    </row>
    <row r="252" spans="1:10" x14ac:dyDescent="0.25">
      <c r="A252" s="98" t="str">
        <f>'Resultater - Vestdanmark'!A252</f>
        <v>Roemark</v>
      </c>
      <c r="B252" s="98" t="str">
        <f>'Resultater - Vestdanmark'!B252</f>
        <v>Konventionel</v>
      </c>
      <c r="C252" s="98" t="str">
        <f>'Resultater - Vestdanmark'!C252</f>
        <v>OC6</v>
      </c>
      <c r="D252" s="98" t="str">
        <f>'Resultater - Vestdanmark'!D252</f>
        <v>Areal-roer</v>
      </c>
      <c r="E252" s="98" t="str">
        <f>'Resultater - Vestdanmark'!E252</f>
        <v>Hektar</v>
      </c>
      <c r="F252" s="98" t="str">
        <f>'Resultater - Vestdanmark'!F252</f>
        <v>Roer</v>
      </c>
      <c r="G252" s="98" t="str">
        <f>'Resultater - Vestdanmark'!G252</f>
        <v>Ton</v>
      </c>
      <c r="H252" s="275">
        <f>'Resultater - Vestdanmark'!H252+'Resultater - Østdanmark'!H252</f>
        <v>16302.299566350639</v>
      </c>
      <c r="I252" s="276">
        <f>'Resultater - Vestdanmark'!I252+'Resultater - Østdanmark'!I252</f>
        <v>15800.847374022207</v>
      </c>
      <c r="J252" s="277">
        <f>'Resultater - Vestdanmark'!J252+'Resultater - Østdanmark'!J252</f>
        <v>16166.69608543651</v>
      </c>
    </row>
    <row r="253" spans="1:10" x14ac:dyDescent="0.25">
      <c r="A253" s="98" t="str">
        <f>'Resultater - Vestdanmark'!A253</f>
        <v>Roemark</v>
      </c>
      <c r="B253" s="98" t="str">
        <f>'Resultater - Vestdanmark'!B253</f>
        <v>Konventionel</v>
      </c>
      <c r="C253" s="98" t="str">
        <f>'Resultater - Vestdanmark'!C253</f>
        <v>OC6</v>
      </c>
      <c r="D253" s="98" t="str">
        <f>'Resultater - Vestdanmark'!D253</f>
        <v>Areal-roer</v>
      </c>
      <c r="E253" s="98" t="str">
        <f>'Resultater - Vestdanmark'!E253</f>
        <v>Hektar</v>
      </c>
      <c r="F253" s="98" t="str">
        <f>'Resultater - Vestdanmark'!F253</f>
        <v>Gødning</v>
      </c>
      <c r="G253" s="98" t="str">
        <f>'Resultater - Vestdanmark'!G253</f>
        <v>kg N</v>
      </c>
      <c r="H253" s="275">
        <f>'Resultater - Vestdanmark'!H253+'Resultater - Østdanmark'!H253</f>
        <v>-17555.516386431049</v>
      </c>
      <c r="I253" s="276">
        <f>'Resultater - Vestdanmark'!I253+'Resultater - Østdanmark'!I253</f>
        <v>-15872.682600419535</v>
      </c>
      <c r="J253" s="277">
        <f>'Resultater - Vestdanmark'!J253+'Resultater - Østdanmark'!J253</f>
        <v>-15138.68571716314</v>
      </c>
    </row>
    <row r="254" spans="1:10" x14ac:dyDescent="0.25">
      <c r="A254" s="98" t="str">
        <f>'Resultater - Vestdanmark'!A254</f>
        <v>Roemark</v>
      </c>
      <c r="B254" s="98" t="str">
        <f>'Resultater - Vestdanmark'!B254</f>
        <v>Konventionel</v>
      </c>
      <c r="C254" s="98" t="str">
        <f>'Resultater - Vestdanmark'!C254</f>
        <v>OC6</v>
      </c>
      <c r="D254" s="98" t="str">
        <f>'Resultater - Vestdanmark'!D254</f>
        <v>Areal-roer</v>
      </c>
      <c r="E254" s="98" t="str">
        <f>'Resultater - Vestdanmark'!E254</f>
        <v>Hektar</v>
      </c>
      <c r="F254" s="98" t="str">
        <f>'Resultater - Vestdanmark'!F254</f>
        <v>CO2 - atmosfære</v>
      </c>
      <c r="G254" s="98" t="str">
        <f>'Resultater - Vestdanmark'!G254</f>
        <v>t CO2-ækvivalenter</v>
      </c>
      <c r="H254" s="275">
        <f>'Resultater - Vestdanmark'!H254+'Resultater - Østdanmark'!H254</f>
        <v>2673.7376430017921</v>
      </c>
      <c r="I254" s="276">
        <f>'Resultater - Vestdanmark'!I254+'Resultater - Østdanmark'!I254</f>
        <v>2417.4389422667955</v>
      </c>
      <c r="J254" s="277">
        <f>'Resultater - Vestdanmark'!J254+'Resultater - Østdanmark'!J254</f>
        <v>2305.649858231337</v>
      </c>
    </row>
    <row r="255" spans="1:10" x14ac:dyDescent="0.25">
      <c r="A255" s="98" t="str">
        <f>'Resultater - Vestdanmark'!A255</f>
        <v>Roemark</v>
      </c>
      <c r="B255" s="98" t="str">
        <f>'Resultater - Vestdanmark'!B255</f>
        <v>Konventionel</v>
      </c>
      <c r="C255" s="98" t="str">
        <f>'Resultater - Vestdanmark'!C255</f>
        <v>OC12</v>
      </c>
      <c r="D255" s="98" t="str">
        <f>'Resultater - Vestdanmark'!D255</f>
        <v>Areal-roer</v>
      </c>
      <c r="E255" s="98" t="str">
        <f>'Resultater - Vestdanmark'!E255</f>
        <v>Hektar</v>
      </c>
      <c r="F255" s="98" t="str">
        <f>'Resultater - Vestdanmark'!F255</f>
        <v>Roer</v>
      </c>
      <c r="G255" s="98" t="str">
        <f>'Resultater - Vestdanmark'!G255</f>
        <v>Ton</v>
      </c>
      <c r="H255" s="275">
        <f>'Resultater - Vestdanmark'!H255+'Resultater - Østdanmark'!H255</f>
        <v>7000.5878814400912</v>
      </c>
      <c r="I255" s="276">
        <f>'Resultater - Vestdanmark'!I255+'Resultater - Østdanmark'!I255</f>
        <v>6794.6056305280508</v>
      </c>
      <c r="J255" s="277">
        <f>'Resultater - Vestdanmark'!J255+'Resultater - Østdanmark'!J255</f>
        <v>6951.9261625005256</v>
      </c>
    </row>
    <row r="256" spans="1:10" x14ac:dyDescent="0.25">
      <c r="A256" s="98" t="str">
        <f>'Resultater - Vestdanmark'!A256</f>
        <v>Roemark</v>
      </c>
      <c r="B256" s="98" t="str">
        <f>'Resultater - Vestdanmark'!B256</f>
        <v>Konventionel</v>
      </c>
      <c r="C256" s="98" t="str">
        <f>'Resultater - Vestdanmark'!C256</f>
        <v>OC12</v>
      </c>
      <c r="D256" s="98" t="str">
        <f>'Resultater - Vestdanmark'!D256</f>
        <v>Areal-roer</v>
      </c>
      <c r="E256" s="98" t="str">
        <f>'Resultater - Vestdanmark'!E256</f>
        <v>Hektar</v>
      </c>
      <c r="F256" s="98" t="str">
        <f>'Resultater - Vestdanmark'!F256</f>
        <v>Gødning</v>
      </c>
      <c r="G256" s="98" t="str">
        <f>'Resultater - Vestdanmark'!G256</f>
        <v>kg N</v>
      </c>
      <c r="H256" s="275">
        <f>'Resultater - Vestdanmark'!H256+'Resultater - Østdanmark'!H256</f>
        <v>-4615.5602634927654</v>
      </c>
      <c r="I256" s="276">
        <f>'Resultater - Vestdanmark'!I256+'Resultater - Østdanmark'!I256</f>
        <v>-4178.8750253359185</v>
      </c>
      <c r="J256" s="277">
        <f>'Resultater - Vestdanmark'!J256+'Resultater - Østdanmark'!J256</f>
        <v>-3985.6322495978416</v>
      </c>
    </row>
    <row r="257" spans="1:10" x14ac:dyDescent="0.25">
      <c r="A257" s="98" t="str">
        <f>'Resultater - Vestdanmark'!A257</f>
        <v>Roemark</v>
      </c>
      <c r="B257" s="98" t="str">
        <f>'Resultater - Vestdanmark'!B257</f>
        <v>Konventionel</v>
      </c>
      <c r="C257" s="98" t="str">
        <f>'Resultater - Vestdanmark'!C257</f>
        <v>OC12</v>
      </c>
      <c r="D257" s="98" t="str">
        <f>'Resultater - Vestdanmark'!D257</f>
        <v>Areal-roer</v>
      </c>
      <c r="E257" s="98" t="str">
        <f>'Resultater - Vestdanmark'!E257</f>
        <v>Hektar</v>
      </c>
      <c r="F257" s="98" t="str">
        <f>'Resultater - Vestdanmark'!F257</f>
        <v>CO2 - atmosfære</v>
      </c>
      <c r="G257" s="98" t="str">
        <f>'Resultater - Vestdanmark'!G257</f>
        <v>t CO2-ækvivalenter</v>
      </c>
      <c r="H257" s="275">
        <f>'Resultater - Vestdanmark'!H257+'Resultater - Østdanmark'!H257</f>
        <v>2520.2001766035514</v>
      </c>
      <c r="I257" s="276">
        <f>'Resultater - Vestdanmark'!I257+'Resultater - Østdanmark'!I257</f>
        <v>2281.7601711663274</v>
      </c>
      <c r="J257" s="277">
        <f>'Resultater - Vestdanmark'!J257+'Resultater - Østdanmark'!J257</f>
        <v>2176.2452499563237</v>
      </c>
    </row>
    <row r="258" spans="1:10" x14ac:dyDescent="0.25">
      <c r="A258" s="98" t="str">
        <f>'Resultater - Vestdanmark'!A258</f>
        <v>Roemark</v>
      </c>
      <c r="B258" s="98" t="str">
        <f>'Resultater - Vestdanmark'!B258</f>
        <v>Økologisk</v>
      </c>
      <c r="C258" s="98" t="str">
        <f>'Resultater - Vestdanmark'!C258</f>
        <v>JB1-10</v>
      </c>
      <c r="D258" s="98" t="str">
        <f>'Resultater - Vestdanmark'!D258</f>
        <v>Areal-roer</v>
      </c>
      <c r="E258" s="98" t="str">
        <f>'Resultater - Vestdanmark'!E258</f>
        <v>Hektar</v>
      </c>
      <c r="F258" s="98" t="str">
        <f>'Resultater - Vestdanmark'!F258</f>
        <v>Roer</v>
      </c>
      <c r="G258" s="98" t="str">
        <f>'Resultater - Vestdanmark'!G258</f>
        <v>Ton</v>
      </c>
      <c r="H258" s="275">
        <f>'Resultater - Vestdanmark'!H258+'Resultater - Østdanmark'!H258</f>
        <v>175656.2317634254</v>
      </c>
      <c r="I258" s="276">
        <f>'Resultater - Vestdanmark'!I258+'Resultater - Østdanmark'!I258</f>
        <v>222952.83697417559</v>
      </c>
      <c r="J258" s="277">
        <f>'Resultater - Vestdanmark'!J258+'Resultater - Østdanmark'!J258</f>
        <v>306793.98176674987</v>
      </c>
    </row>
    <row r="259" spans="1:10" x14ac:dyDescent="0.25">
      <c r="A259" s="98" t="str">
        <f>'Resultater - Vestdanmark'!A259</f>
        <v>Roemark</v>
      </c>
      <c r="B259" s="98" t="str">
        <f>'Resultater - Vestdanmark'!B259</f>
        <v>Økologisk</v>
      </c>
      <c r="C259" s="98" t="str">
        <f>'Resultater - Vestdanmark'!C259</f>
        <v>JB1-10</v>
      </c>
      <c r="D259" s="98" t="str">
        <f>'Resultater - Vestdanmark'!D259</f>
        <v>Areal-roer</v>
      </c>
      <c r="E259" s="98" t="str">
        <f>'Resultater - Vestdanmark'!E259</f>
        <v>Hektar</v>
      </c>
      <c r="F259" s="98" t="str">
        <f>'Resultater - Vestdanmark'!F259</f>
        <v>Gødning</v>
      </c>
      <c r="G259" s="98" t="str">
        <f>'Resultater - Vestdanmark'!G259</f>
        <v>kg N</v>
      </c>
      <c r="H259" s="275">
        <f>'Resultater - Vestdanmark'!H259+'Resultater - Østdanmark'!H259</f>
        <v>-291846.18227409676</v>
      </c>
      <c r="I259" s="276">
        <f>'Resultater - Vestdanmark'!I259+'Resultater - Østdanmark'!I259</f>
        <v>-345548.2296049975</v>
      </c>
      <c r="J259" s="277">
        <f>'Resultater - Vestdanmark'!J259+'Resultater - Østdanmark'!J259</f>
        <v>-443240.51450024801</v>
      </c>
    </row>
    <row r="260" spans="1:10" x14ac:dyDescent="0.25">
      <c r="A260" s="98" t="str">
        <f>'Resultater - Vestdanmark'!A260</f>
        <v>Roemark</v>
      </c>
      <c r="B260" s="98" t="str">
        <f>'Resultater - Vestdanmark'!B260</f>
        <v>Økologisk</v>
      </c>
      <c r="C260" s="98" t="str">
        <f>'Resultater - Vestdanmark'!C260</f>
        <v>JB1-10</v>
      </c>
      <c r="D260" s="98" t="str">
        <f>'Resultater - Vestdanmark'!D260</f>
        <v>Areal-roer</v>
      </c>
      <c r="E260" s="98" t="str">
        <f>'Resultater - Vestdanmark'!E260</f>
        <v>Hektar</v>
      </c>
      <c r="F260" s="98" t="str">
        <f>'Resultater - Vestdanmark'!F260</f>
        <v>CO2 - atmosfære</v>
      </c>
      <c r="G260" s="98" t="str">
        <f>'Resultater - Vestdanmark'!G260</f>
        <v>t CO2-ækvivalenter</v>
      </c>
      <c r="H260" s="275">
        <f>'Resultater - Vestdanmark'!H260+'Resultater - Østdanmark'!H260</f>
        <v>8623.3790878329964</v>
      </c>
      <c r="I260" s="276">
        <f>'Resultater - Vestdanmark'!I260+'Resultater - Østdanmark'!I260</f>
        <v>10210.150270922099</v>
      </c>
      <c r="J260" s="277">
        <f>'Resultater - Vestdanmark'!J260+'Resultater - Østdanmark'!J260</f>
        <v>13096.731140488262</v>
      </c>
    </row>
    <row r="261" spans="1:10" x14ac:dyDescent="0.25">
      <c r="A261" s="98" t="str">
        <f>'Resultater - Vestdanmark'!A261</f>
        <v>Roemark</v>
      </c>
      <c r="B261" s="98" t="str">
        <f>'Resultater - Vestdanmark'!B261</f>
        <v>Økologisk</v>
      </c>
      <c r="C261" s="98" t="str">
        <f>'Resultater - Vestdanmark'!C261</f>
        <v>OC6</v>
      </c>
      <c r="D261" s="98" t="str">
        <f>'Resultater - Vestdanmark'!D261</f>
        <v>Areal-roer</v>
      </c>
      <c r="E261" s="98" t="str">
        <f>'Resultater - Vestdanmark'!E261</f>
        <v>Hektar</v>
      </c>
      <c r="F261" s="98" t="str">
        <f>'Resultater - Vestdanmark'!F261</f>
        <v>Roer</v>
      </c>
      <c r="G261" s="98" t="str">
        <f>'Resultater - Vestdanmark'!G261</f>
        <v>Ton</v>
      </c>
      <c r="H261" s="275">
        <f>'Resultater - Vestdanmark'!H261+'Resultater - Østdanmark'!H261</f>
        <v>1188.1289240510705</v>
      </c>
      <c r="I261" s="276">
        <f>'Resultater - Vestdanmark'!I261+'Resultater - Østdanmark'!I261</f>
        <v>1405.6360756427848</v>
      </c>
      <c r="J261" s="277">
        <f>'Resultater - Vestdanmark'!J261+'Resultater - Østdanmark'!J261</f>
        <v>1954.7005266936872</v>
      </c>
    </row>
    <row r="262" spans="1:10" x14ac:dyDescent="0.25">
      <c r="A262" s="98" t="str">
        <f>'Resultater - Vestdanmark'!A262</f>
        <v>Roemark</v>
      </c>
      <c r="B262" s="98" t="str">
        <f>'Resultater - Vestdanmark'!B262</f>
        <v>Økologisk</v>
      </c>
      <c r="C262" s="98" t="str">
        <f>'Resultater - Vestdanmark'!C262</f>
        <v>OC6</v>
      </c>
      <c r="D262" s="98" t="str">
        <f>'Resultater - Vestdanmark'!D262</f>
        <v>Areal-roer</v>
      </c>
      <c r="E262" s="98" t="str">
        <f>'Resultater - Vestdanmark'!E262</f>
        <v>Hektar</v>
      </c>
      <c r="F262" s="98" t="str">
        <f>'Resultater - Vestdanmark'!F262</f>
        <v>Gødning</v>
      </c>
      <c r="G262" s="98" t="str">
        <f>'Resultater - Vestdanmark'!G262</f>
        <v>kg N</v>
      </c>
      <c r="H262" s="275">
        <f>'Resultater - Vestdanmark'!H262+'Resultater - Østdanmark'!H262</f>
        <v>-1279.4646982456652</v>
      </c>
      <c r="I262" s="276">
        <f>'Resultater - Vestdanmark'!I262+'Resultater - Østdanmark'!I262</f>
        <v>-1412.0265041644893</v>
      </c>
      <c r="J262" s="277">
        <f>'Resultater - Vestdanmark'!J262+'Resultater - Østdanmark'!J262</f>
        <v>-1830.4047276206343</v>
      </c>
    </row>
    <row r="263" spans="1:10" x14ac:dyDescent="0.25">
      <c r="A263" s="98" t="str">
        <f>'Resultater - Vestdanmark'!A263</f>
        <v>Roemark</v>
      </c>
      <c r="B263" s="98" t="str">
        <f>'Resultater - Vestdanmark'!B263</f>
        <v>Økologisk</v>
      </c>
      <c r="C263" s="98" t="str">
        <f>'Resultater - Vestdanmark'!C263</f>
        <v>OC6</v>
      </c>
      <c r="D263" s="98" t="str">
        <f>'Resultater - Vestdanmark'!D263</f>
        <v>Areal-roer</v>
      </c>
      <c r="E263" s="98" t="str">
        <f>'Resultater - Vestdanmark'!E263</f>
        <v>Hektar</v>
      </c>
      <c r="F263" s="98" t="str">
        <f>'Resultater - Vestdanmark'!F263</f>
        <v>CO2 - atmosfære</v>
      </c>
      <c r="G263" s="98" t="str">
        <f>'Resultater - Vestdanmark'!G263</f>
        <v>t CO2-ækvivalenter</v>
      </c>
      <c r="H263" s="275">
        <f>'Resultater - Vestdanmark'!H263+'Resultater - Østdanmark'!H263</f>
        <v>341.86814383177432</v>
      </c>
      <c r="I263" s="276">
        <f>'Resultater - Vestdanmark'!I263+'Resultater - Østdanmark'!I263</f>
        <v>377.28815861967331</v>
      </c>
      <c r="J263" s="277">
        <f>'Resultater - Vestdanmark'!J263+'Resultater - Østdanmark'!J263</f>
        <v>489.07724265513212</v>
      </c>
    </row>
    <row r="264" spans="1:10" x14ac:dyDescent="0.25">
      <c r="A264" s="98" t="str">
        <f>'Resultater - Vestdanmark'!A264</f>
        <v>Roemark</v>
      </c>
      <c r="B264" s="98" t="str">
        <f>'Resultater - Vestdanmark'!B264</f>
        <v>Økologisk</v>
      </c>
      <c r="C264" s="98" t="str">
        <f>'Resultater - Vestdanmark'!C264</f>
        <v>OC12</v>
      </c>
      <c r="D264" s="98" t="str">
        <f>'Resultater - Vestdanmark'!D264</f>
        <v>Areal-roer</v>
      </c>
      <c r="E264" s="98" t="str">
        <f>'Resultater - Vestdanmark'!E264</f>
        <v>Hektar</v>
      </c>
      <c r="F264" s="98" t="str">
        <f>'Resultater - Vestdanmark'!F264</f>
        <v>Roer</v>
      </c>
      <c r="G264" s="98" t="str">
        <f>'Resultater - Vestdanmark'!G264</f>
        <v>Ton</v>
      </c>
      <c r="H264" s="275">
        <f>'Resultater - Vestdanmark'!H264+'Resultater - Østdanmark'!H264</f>
        <v>510.210287416668</v>
      </c>
      <c r="I264" s="276">
        <f>'Resultater - Vestdanmark'!I264+'Resultater - Østdanmark'!I264</f>
        <v>604.444974877611</v>
      </c>
      <c r="J264" s="277">
        <f>'Resultater - Vestdanmark'!J264+'Resultater - Østdanmark'!J264</f>
        <v>840.55107237506343</v>
      </c>
    </row>
    <row r="265" spans="1:10" x14ac:dyDescent="0.25">
      <c r="A265" s="98" t="str">
        <f>'Resultater - Vestdanmark'!A265</f>
        <v>Roemark</v>
      </c>
      <c r="B265" s="98" t="str">
        <f>'Resultater - Vestdanmark'!B265</f>
        <v>Økologisk</v>
      </c>
      <c r="C265" s="98" t="str">
        <f>'Resultater - Vestdanmark'!C265</f>
        <v>OC12</v>
      </c>
      <c r="D265" s="98" t="str">
        <f>'Resultater - Vestdanmark'!D265</f>
        <v>Areal-roer</v>
      </c>
      <c r="E265" s="98" t="str">
        <f>'Resultater - Vestdanmark'!E265</f>
        <v>Hektar</v>
      </c>
      <c r="F265" s="98" t="str">
        <f>'Resultater - Vestdanmark'!F265</f>
        <v>Gødning</v>
      </c>
      <c r="G265" s="98" t="str">
        <f>'Resultater - Vestdanmark'!G265</f>
        <v>kg N</v>
      </c>
      <c r="H265" s="275">
        <f>'Resultater - Vestdanmark'!H265+'Resultater - Østdanmark'!H265</f>
        <v>-336.38693899820993</v>
      </c>
      <c r="I265" s="276">
        <f>'Resultater - Vestdanmark'!I265+'Resultater - Østdanmark'!I265</f>
        <v>-371.75078982612592</v>
      </c>
      <c r="J265" s="277">
        <f>'Resultater - Vestdanmark'!J265+'Resultater - Østdanmark'!J265</f>
        <v>-481.89917199682986</v>
      </c>
    </row>
    <row r="266" spans="1:10" x14ac:dyDescent="0.25">
      <c r="A266" s="98" t="str">
        <f>'Resultater - Vestdanmark'!A266</f>
        <v>Roemark</v>
      </c>
      <c r="B266" s="98" t="str">
        <f>'Resultater - Vestdanmark'!B266</f>
        <v>Økologisk</v>
      </c>
      <c r="C266" s="98" t="str">
        <f>'Resultater - Vestdanmark'!C266</f>
        <v>OC12</v>
      </c>
      <c r="D266" s="98" t="str">
        <f>'Resultater - Vestdanmark'!D266</f>
        <v>Areal-roer</v>
      </c>
      <c r="E266" s="98" t="str">
        <f>'Resultater - Vestdanmark'!E266</f>
        <v>Hektar</v>
      </c>
      <c r="F266" s="98" t="str">
        <f>'Resultater - Vestdanmark'!F266</f>
        <v>CO2 - atmosfære</v>
      </c>
      <c r="G266" s="98" t="str">
        <f>'Resultater - Vestdanmark'!G266</f>
        <v>t CO2-ækvivalenter</v>
      </c>
      <c r="H266" s="275">
        <f>'Resultater - Vestdanmark'!H266+'Resultater - Østdanmark'!H266</f>
        <v>322.23661087879924</v>
      </c>
      <c r="I266" s="276">
        <f>'Resultater - Vestdanmark'!I266+'Resultater - Østdanmark'!I266</f>
        <v>356.11285908376215</v>
      </c>
      <c r="J266" s="277">
        <f>'Resultater - Vestdanmark'!J266+'Resultater - Østdanmark'!J266</f>
        <v>461.62778029376568</v>
      </c>
    </row>
    <row r="267" spans="1:10" x14ac:dyDescent="0.25">
      <c r="A267" s="98" t="str">
        <f>'Resultater - Vestdanmark'!A267</f>
        <v>Frugtmark</v>
      </c>
      <c r="B267" s="98" t="str">
        <f>'Resultater - Vestdanmark'!B267</f>
        <v>Konventionel</v>
      </c>
      <c r="C267" s="98" t="str">
        <f>'Resultater - Vestdanmark'!C267</f>
        <v>JB1-10</v>
      </c>
      <c r="D267" s="98" t="str">
        <f>'Resultater - Vestdanmark'!D267</f>
        <v>Areal-frugt</v>
      </c>
      <c r="E267" s="98" t="str">
        <f>'Resultater - Vestdanmark'!E267</f>
        <v>Hektar</v>
      </c>
      <c r="F267" s="98" t="str">
        <f>'Resultater - Vestdanmark'!F267</f>
        <v>Frugt</v>
      </c>
      <c r="G267" s="98" t="str">
        <f>'Resultater - Vestdanmark'!G267</f>
        <v>Ton</v>
      </c>
      <c r="H267" s="275">
        <f>'Resultater - Vestdanmark'!H267+'Resultater - Østdanmark'!H267</f>
        <v>36988.210710055057</v>
      </c>
      <c r="I267" s="276">
        <f>'Resultater - Vestdanmark'!I267+'Resultater - Østdanmark'!I267</f>
        <v>38375.618283240103</v>
      </c>
      <c r="J267" s="277">
        <f>'Resultater - Vestdanmark'!J267+'Resultater - Østdanmark'!J267</f>
        <v>38690.710041775528</v>
      </c>
    </row>
    <row r="268" spans="1:10" x14ac:dyDescent="0.25">
      <c r="A268" s="98" t="str">
        <f>'Resultater - Vestdanmark'!A268</f>
        <v>Frugtmark</v>
      </c>
      <c r="B268" s="98" t="str">
        <f>'Resultater - Vestdanmark'!B268</f>
        <v>Konventionel</v>
      </c>
      <c r="C268" s="98" t="str">
        <f>'Resultater - Vestdanmark'!C268</f>
        <v>JB1-10</v>
      </c>
      <c r="D268" s="98" t="str">
        <f>'Resultater - Vestdanmark'!D268</f>
        <v>Areal-frugt</v>
      </c>
      <c r="E268" s="98" t="str">
        <f>'Resultater - Vestdanmark'!E268</f>
        <v>Hektar</v>
      </c>
      <c r="F268" s="98" t="str">
        <f>'Resultater - Vestdanmark'!F268</f>
        <v>Gødning</v>
      </c>
      <c r="G268" s="98" t="str">
        <f>'Resultater - Vestdanmark'!G268</f>
        <v>kg N</v>
      </c>
      <c r="H268" s="275">
        <f>'Resultater - Vestdanmark'!H268+'Resultater - Østdanmark'!H268</f>
        <v>-609935.15894083725</v>
      </c>
      <c r="I268" s="276">
        <f>'Resultater - Vestdanmark'!I268+'Resultater - Østdanmark'!I268</f>
        <v>-590311.09466510359</v>
      </c>
      <c r="J268" s="277">
        <f>'Resultater - Vestdanmark'!J268+'Resultater - Østdanmark'!J268</f>
        <v>-554790.7416242715</v>
      </c>
    </row>
    <row r="269" spans="1:10" x14ac:dyDescent="0.25">
      <c r="A269" s="98" t="str">
        <f>'Resultater - Vestdanmark'!A269</f>
        <v>Frugtmark</v>
      </c>
      <c r="B269" s="98" t="str">
        <f>'Resultater - Vestdanmark'!B269</f>
        <v>Konventionel</v>
      </c>
      <c r="C269" s="98" t="str">
        <f>'Resultater - Vestdanmark'!C269</f>
        <v>JB1-10</v>
      </c>
      <c r="D269" s="98" t="str">
        <f>'Resultater - Vestdanmark'!D269</f>
        <v>Areal-frugt</v>
      </c>
      <c r="E269" s="98" t="str">
        <f>'Resultater - Vestdanmark'!E269</f>
        <v>Hektar</v>
      </c>
      <c r="F269" s="98" t="str">
        <f>'Resultater - Vestdanmark'!F269</f>
        <v>CO2 - atmosfære</v>
      </c>
      <c r="G269" s="98" t="str">
        <f>'Resultater - Vestdanmark'!G269</f>
        <v>t CO2-ækvivalenter</v>
      </c>
      <c r="H269" s="275">
        <f>'Resultater - Vestdanmark'!H269+'Resultater - Østdanmark'!H269</f>
        <v>8563.900760438235</v>
      </c>
      <c r="I269" s="276">
        <f>'Resultater - Vestdanmark'!I269+'Resultater - Østdanmark'!I269</f>
        <v>8288.3656703383622</v>
      </c>
      <c r="J269" s="277">
        <f>'Resultater - Vestdanmark'!J269+'Resultater - Østdanmark'!J269</f>
        <v>7789.6359710279421</v>
      </c>
    </row>
    <row r="270" spans="1:10" x14ac:dyDescent="0.25">
      <c r="A270" s="98" t="str">
        <f>'Resultater - Vestdanmark'!A270</f>
        <v>Frugtmark</v>
      </c>
      <c r="B270" s="98" t="str">
        <f>'Resultater - Vestdanmark'!B270</f>
        <v>Konventionel</v>
      </c>
      <c r="C270" s="98" t="str">
        <f>'Resultater - Vestdanmark'!C270</f>
        <v>OC6</v>
      </c>
      <c r="D270" s="98" t="str">
        <f>'Resultater - Vestdanmark'!D270</f>
        <v>Areal-frugt</v>
      </c>
      <c r="E270" s="98" t="str">
        <f>'Resultater - Vestdanmark'!E270</f>
        <v>Hektar</v>
      </c>
      <c r="F270" s="98" t="str">
        <f>'Resultater - Vestdanmark'!F270</f>
        <v>Frugt</v>
      </c>
      <c r="G270" s="98" t="str">
        <f>'Resultater - Vestdanmark'!G270</f>
        <v>Ton</v>
      </c>
      <c r="H270" s="275">
        <f>'Resultater - Vestdanmark'!H270+'Resultater - Østdanmark'!H270</f>
        <v>1136.9217413253709</v>
      </c>
      <c r="I270" s="276">
        <f>'Resultater - Vestdanmark'!I270+'Resultater - Østdanmark'!I270</f>
        <v>1100.8748947735935</v>
      </c>
      <c r="J270" s="277">
        <f>'Resultater - Vestdanmark'!J270+'Resultater - Østdanmark'!J270</f>
        <v>1126.3642658274166</v>
      </c>
    </row>
    <row r="271" spans="1:10" x14ac:dyDescent="0.25">
      <c r="A271" s="98" t="str">
        <f>'Resultater - Vestdanmark'!A271</f>
        <v>Frugtmark</v>
      </c>
      <c r="B271" s="98" t="str">
        <f>'Resultater - Vestdanmark'!B271</f>
        <v>Konventionel</v>
      </c>
      <c r="C271" s="98" t="str">
        <f>'Resultater - Vestdanmark'!C271</f>
        <v>OC6</v>
      </c>
      <c r="D271" s="98" t="str">
        <f>'Resultater - Vestdanmark'!D271</f>
        <v>Areal-frugt</v>
      </c>
      <c r="E271" s="98" t="str">
        <f>'Resultater - Vestdanmark'!E271</f>
        <v>Hektar</v>
      </c>
      <c r="F271" s="98" t="str">
        <f>'Resultater - Vestdanmark'!F271</f>
        <v>Gødning</v>
      </c>
      <c r="G271" s="98" t="str">
        <f>'Resultater - Vestdanmark'!G271</f>
        <v>kg N</v>
      </c>
      <c r="H271" s="275">
        <f>'Resultater - Vestdanmark'!H271+'Resultater - Østdanmark'!H271</f>
        <v>-15623.188435959159</v>
      </c>
      <c r="I271" s="276">
        <f>'Resultater - Vestdanmark'!I271+'Resultater - Østdanmark'!I271</f>
        <v>-14111.795746340358</v>
      </c>
      <c r="J271" s="277">
        <f>'Resultater - Vestdanmark'!J271+'Resultater - Østdanmark'!J271</f>
        <v>-13459.227156914216</v>
      </c>
    </row>
    <row r="272" spans="1:10" x14ac:dyDescent="0.25">
      <c r="A272" s="98" t="str">
        <f>'Resultater - Vestdanmark'!A272</f>
        <v>Frugtmark</v>
      </c>
      <c r="B272" s="98" t="str">
        <f>'Resultater - Vestdanmark'!B272</f>
        <v>Konventionel</v>
      </c>
      <c r="C272" s="98" t="str">
        <f>'Resultater - Vestdanmark'!C272</f>
        <v>OC6</v>
      </c>
      <c r="D272" s="98" t="str">
        <f>'Resultater - Vestdanmark'!D272</f>
        <v>Areal-frugt</v>
      </c>
      <c r="E272" s="98" t="str">
        <f>'Resultater - Vestdanmark'!E272</f>
        <v>Hektar</v>
      </c>
      <c r="F272" s="98" t="str">
        <f>'Resultater - Vestdanmark'!F272</f>
        <v>CO2 - atmosfære</v>
      </c>
      <c r="G272" s="98" t="str">
        <f>'Resultater - Vestdanmark'!G272</f>
        <v>t CO2-ækvivalenter</v>
      </c>
      <c r="H272" s="275">
        <f>'Resultater - Vestdanmark'!H272+'Resultater - Østdanmark'!H272</f>
        <v>1189.7832867844982</v>
      </c>
      <c r="I272" s="276">
        <f>'Resultater - Vestdanmark'!I272+'Resultater - Østdanmark'!I272</f>
        <v>1074.683237313302</v>
      </c>
      <c r="J272" s="277">
        <f>'Resultater - Vestdanmark'!J272+'Resultater - Østdanmark'!J272</f>
        <v>1024.9869026398546</v>
      </c>
    </row>
    <row r="273" spans="1:10" x14ac:dyDescent="0.25">
      <c r="A273" s="98" t="str">
        <f>'Resultater - Vestdanmark'!A273</f>
        <v>Frugtmark</v>
      </c>
      <c r="B273" s="98" t="str">
        <f>'Resultater - Vestdanmark'!B273</f>
        <v>Konventionel</v>
      </c>
      <c r="C273" s="98" t="str">
        <f>'Resultater - Vestdanmark'!C273</f>
        <v>OC12</v>
      </c>
      <c r="D273" s="98" t="str">
        <f>'Resultater - Vestdanmark'!D273</f>
        <v>Areal-frugt</v>
      </c>
      <c r="E273" s="98" t="str">
        <f>'Resultater - Vestdanmark'!E273</f>
        <v>Hektar</v>
      </c>
      <c r="F273" s="98" t="str">
        <f>'Resultater - Vestdanmark'!F273</f>
        <v>Frugt</v>
      </c>
      <c r="G273" s="98" t="str">
        <f>'Resultater - Vestdanmark'!G273</f>
        <v>Ton</v>
      </c>
      <c r="H273" s="275">
        <f>'Resultater - Vestdanmark'!H273+'Resultater - Østdanmark'!H273</f>
        <v>769.15923740920027</v>
      </c>
      <c r="I273" s="276">
        <f>'Resultater - Vestdanmark'!I273+'Resultater - Østdanmark'!I273</f>
        <v>734.11637255662265</v>
      </c>
      <c r="J273" s="277">
        <f>'Resultater - Vestdanmark'!J273+'Resultater - Østdanmark'!J273</f>
        <v>751.11391215500782</v>
      </c>
    </row>
    <row r="274" spans="1:10" x14ac:dyDescent="0.25">
      <c r="A274" s="98" t="str">
        <f>'Resultater - Vestdanmark'!A274</f>
        <v>Frugtmark</v>
      </c>
      <c r="B274" s="98" t="str">
        <f>'Resultater - Vestdanmark'!B274</f>
        <v>Konventionel</v>
      </c>
      <c r="C274" s="98" t="str">
        <f>'Resultater - Vestdanmark'!C274</f>
        <v>OC12</v>
      </c>
      <c r="D274" s="98" t="str">
        <f>'Resultater - Vestdanmark'!D274</f>
        <v>Areal-frugt</v>
      </c>
      <c r="E274" s="98" t="str">
        <f>'Resultater - Vestdanmark'!E274</f>
        <v>Hektar</v>
      </c>
      <c r="F274" s="98" t="str">
        <f>'Resultater - Vestdanmark'!F274</f>
        <v>Gødning</v>
      </c>
      <c r="G274" s="98" t="str">
        <f>'Resultater - Vestdanmark'!G274</f>
        <v>kg N</v>
      </c>
      <c r="H274" s="275">
        <f>'Resultater - Vestdanmark'!H274+'Resultater - Østdanmark'!H274</f>
        <v>-9059.5905466336899</v>
      </c>
      <c r="I274" s="276">
        <f>'Resultater - Vestdanmark'!I274+'Resultater - Østdanmark'!I274</f>
        <v>-8066.0783159799794</v>
      </c>
      <c r="J274" s="277">
        <f>'Resultater - Vestdanmark'!J274+'Resultater - Østdanmark'!J274</f>
        <v>-7693.0804747785933</v>
      </c>
    </row>
    <row r="275" spans="1:10" x14ac:dyDescent="0.25">
      <c r="A275" s="98" t="str">
        <f>'Resultater - Vestdanmark'!A275</f>
        <v>Frugtmark</v>
      </c>
      <c r="B275" s="98" t="str">
        <f>'Resultater - Vestdanmark'!B275</f>
        <v>Konventionel</v>
      </c>
      <c r="C275" s="98" t="str">
        <f>'Resultater - Vestdanmark'!C275</f>
        <v>OC12</v>
      </c>
      <c r="D275" s="98" t="str">
        <f>'Resultater - Vestdanmark'!D275</f>
        <v>Areal-frugt</v>
      </c>
      <c r="E275" s="98" t="str">
        <f>'Resultater - Vestdanmark'!E275</f>
        <v>Hektar</v>
      </c>
      <c r="F275" s="98" t="str">
        <f>'Resultater - Vestdanmark'!F275</f>
        <v>CO2 - atmosfære</v>
      </c>
      <c r="G275" s="98" t="str">
        <f>'Resultater - Vestdanmark'!G275</f>
        <v>t CO2-ækvivalenter</v>
      </c>
      <c r="H275" s="275">
        <f>'Resultater - Vestdanmark'!H275+'Resultater - Østdanmark'!H275</f>
        <v>1844.3834346765289</v>
      </c>
      <c r="I275" s="276">
        <f>'Resultater - Vestdanmark'!I275+'Resultater - Østdanmark'!I275</f>
        <v>1642.1207064733087</v>
      </c>
      <c r="J275" s="277">
        <f>'Resultater - Vestdanmark'!J275+'Resultater - Østdanmark'!J275</f>
        <v>1566.1844888329247</v>
      </c>
    </row>
    <row r="276" spans="1:10" x14ac:dyDescent="0.25">
      <c r="A276" s="98" t="str">
        <f>'Resultater - Vestdanmark'!A276</f>
        <v>Frugtmark</v>
      </c>
      <c r="B276" s="98" t="str">
        <f>'Resultater - Vestdanmark'!B276</f>
        <v>Økologisk</v>
      </c>
      <c r="C276" s="98" t="str">
        <f>'Resultater - Vestdanmark'!C276</f>
        <v>JB1-10</v>
      </c>
      <c r="D276" s="98" t="str">
        <f>'Resultater - Vestdanmark'!D276</f>
        <v>Areal-frugt</v>
      </c>
      <c r="E276" s="98" t="str">
        <f>'Resultater - Vestdanmark'!E276</f>
        <v>Hektar</v>
      </c>
      <c r="F276" s="98" t="str">
        <f>'Resultater - Vestdanmark'!F276</f>
        <v>Frugt</v>
      </c>
      <c r="G276" s="98" t="str">
        <f>'Resultater - Vestdanmark'!G276</f>
        <v>Ton</v>
      </c>
      <c r="H276" s="275">
        <f>'Resultater - Vestdanmark'!H276+'Resultater - Østdanmark'!H276</f>
        <v>2695.7401202602077</v>
      </c>
      <c r="I276" s="276">
        <f>'Resultater - Vestdanmark'!I276+'Resultater - Østdanmark'!I276</f>
        <v>3413.877256526388</v>
      </c>
      <c r="J276" s="277">
        <f>'Resultater - Vestdanmark'!J276+'Resultater - Østdanmark'!J276</f>
        <v>4678.0585777783135</v>
      </c>
    </row>
    <row r="277" spans="1:10" x14ac:dyDescent="0.25">
      <c r="A277" s="98" t="str">
        <f>'Resultater - Vestdanmark'!A277</f>
        <v>Frugtmark</v>
      </c>
      <c r="B277" s="98" t="str">
        <f>'Resultater - Vestdanmark'!B277</f>
        <v>Økologisk</v>
      </c>
      <c r="C277" s="98" t="str">
        <f>'Resultater - Vestdanmark'!C277</f>
        <v>JB1-10</v>
      </c>
      <c r="D277" s="98" t="str">
        <f>'Resultater - Vestdanmark'!D277</f>
        <v>Areal-frugt</v>
      </c>
      <c r="E277" s="98" t="str">
        <f>'Resultater - Vestdanmark'!E277</f>
        <v>Hektar</v>
      </c>
      <c r="F277" s="98" t="str">
        <f>'Resultater - Vestdanmark'!F277</f>
        <v>Gødning</v>
      </c>
      <c r="G277" s="98" t="str">
        <f>'Resultater - Vestdanmark'!G277</f>
        <v>kg N</v>
      </c>
      <c r="H277" s="275">
        <f>'Resultater - Vestdanmark'!H277+'Resultater - Østdanmark'!H277</f>
        <v>-44452.722831145948</v>
      </c>
      <c r="I277" s="276">
        <f>'Resultater - Vestdanmark'!I277+'Resultater - Østdanmark'!I277</f>
        <v>-52513.80200517887</v>
      </c>
      <c r="J277" s="277">
        <f>'Resultater - Vestdanmark'!J277+'Resultater - Østdanmark'!J277</f>
        <v>-67079.244214571008</v>
      </c>
    </row>
    <row r="278" spans="1:10" x14ac:dyDescent="0.25">
      <c r="A278" s="98" t="str">
        <f>'Resultater - Vestdanmark'!A278</f>
        <v>Frugtmark</v>
      </c>
      <c r="B278" s="98" t="str">
        <f>'Resultater - Vestdanmark'!B278</f>
        <v>Økologisk</v>
      </c>
      <c r="C278" s="98" t="str">
        <f>'Resultater - Vestdanmark'!C278</f>
        <v>JB1-10</v>
      </c>
      <c r="D278" s="98" t="str">
        <f>'Resultater - Vestdanmark'!D278</f>
        <v>Areal-frugt</v>
      </c>
      <c r="E278" s="98" t="str">
        <f>'Resultater - Vestdanmark'!E278</f>
        <v>Hektar</v>
      </c>
      <c r="F278" s="98" t="str">
        <f>'Resultater - Vestdanmark'!F278</f>
        <v>CO2 - atmosfære</v>
      </c>
      <c r="G278" s="98" t="str">
        <f>'Resultater - Vestdanmark'!G278</f>
        <v>t CO2-ækvivalenter</v>
      </c>
      <c r="H278" s="275">
        <f>'Resultater - Vestdanmark'!H278+'Resultater - Østdanmark'!H278</f>
        <v>1094.9933194057135</v>
      </c>
      <c r="I278" s="276">
        <f>'Resultater - Vestdanmark'!I278+'Resultater - Østdanmark'!I278</f>
        <v>1293.5599601106114</v>
      </c>
      <c r="J278" s="277">
        <f>'Resultater - Vestdanmark'!J278+'Resultater - Østdanmark'!J278</f>
        <v>1652.3470241574423</v>
      </c>
    </row>
    <row r="279" spans="1:10" x14ac:dyDescent="0.25">
      <c r="A279" s="98" t="str">
        <f>'Resultater - Vestdanmark'!A279</f>
        <v>Frugtmark</v>
      </c>
      <c r="B279" s="98" t="str">
        <f>'Resultater - Vestdanmark'!B279</f>
        <v>Økologisk</v>
      </c>
      <c r="C279" s="98" t="str">
        <f>'Resultater - Vestdanmark'!C279</f>
        <v>OC6</v>
      </c>
      <c r="D279" s="98" t="str">
        <f>'Resultater - Vestdanmark'!D279</f>
        <v>Areal-frugt</v>
      </c>
      <c r="E279" s="98" t="str">
        <f>'Resultater - Vestdanmark'!E279</f>
        <v>Hektar</v>
      </c>
      <c r="F279" s="98" t="str">
        <f>'Resultater - Vestdanmark'!F279</f>
        <v>Frugt</v>
      </c>
      <c r="G279" s="98" t="str">
        <f>'Resultater - Vestdanmark'!G279</f>
        <v>Ton</v>
      </c>
      <c r="H279" s="275">
        <f>'Resultater - Vestdanmark'!H279+'Resultater - Østdanmark'!H279</f>
        <v>82.860065216772895</v>
      </c>
      <c r="I279" s="276">
        <f>'Resultater - Vestdanmark'!I279+'Resultater - Østdanmark'!I279</f>
        <v>97.933321563963048</v>
      </c>
      <c r="J279" s="277">
        <f>'Resultater - Vestdanmark'!J279+'Resultater - Østdanmark'!J279</f>
        <v>136.18767941367852</v>
      </c>
    </row>
    <row r="280" spans="1:10" x14ac:dyDescent="0.25">
      <c r="A280" s="98" t="str">
        <f>'Resultater - Vestdanmark'!A280</f>
        <v>Frugtmark</v>
      </c>
      <c r="B280" s="98" t="str">
        <f>'Resultater - Vestdanmark'!B280</f>
        <v>Økologisk</v>
      </c>
      <c r="C280" s="98" t="str">
        <f>'Resultater - Vestdanmark'!C280</f>
        <v>OC6</v>
      </c>
      <c r="D280" s="98" t="str">
        <f>'Resultater - Vestdanmark'!D280</f>
        <v>Areal-frugt</v>
      </c>
      <c r="E280" s="98" t="str">
        <f>'Resultater - Vestdanmark'!E280</f>
        <v>Hektar</v>
      </c>
      <c r="F280" s="98" t="str">
        <f>'Resultater - Vestdanmark'!F280</f>
        <v>Gødning</v>
      </c>
      <c r="G280" s="98" t="str">
        <f>'Resultater - Vestdanmark'!G280</f>
        <v>kg N</v>
      </c>
      <c r="H280" s="275">
        <f>'Resultater - Vestdanmark'!H280+'Resultater - Østdanmark'!H280</f>
        <v>-1138.6345828767378</v>
      </c>
      <c r="I280" s="276">
        <f>'Resultater - Vestdanmark'!I280+'Resultater - Østdanmark'!I280</f>
        <v>-1255.3788239085441</v>
      </c>
      <c r="J280" s="277">
        <f>'Resultater - Vestdanmark'!J280+'Resultater - Østdanmark'!J280</f>
        <v>-1627.3429198814456</v>
      </c>
    </row>
    <row r="281" spans="1:10" x14ac:dyDescent="0.25">
      <c r="A281" s="98" t="str">
        <f>'Resultater - Vestdanmark'!A281</f>
        <v>Frugtmark</v>
      </c>
      <c r="B281" s="98" t="str">
        <f>'Resultater - Vestdanmark'!B281</f>
        <v>Økologisk</v>
      </c>
      <c r="C281" s="98" t="str">
        <f>'Resultater - Vestdanmark'!C281</f>
        <v>OC6</v>
      </c>
      <c r="D281" s="98" t="str">
        <f>'Resultater - Vestdanmark'!D281</f>
        <v>Areal-frugt</v>
      </c>
      <c r="E281" s="98" t="str">
        <f>'Resultater - Vestdanmark'!E281</f>
        <v>Hektar</v>
      </c>
      <c r="F281" s="98" t="str">
        <f>'Resultater - Vestdanmark'!F281</f>
        <v>CO2 - atmosfære</v>
      </c>
      <c r="G281" s="98" t="str">
        <f>'Resultater - Vestdanmark'!G281</f>
        <v>t CO2-ækvivalenter</v>
      </c>
      <c r="H281" s="275">
        <f>'Resultater - Vestdanmark'!H281+'Resultater - Østdanmark'!H281</f>
        <v>152.12749271780797</v>
      </c>
      <c r="I281" s="276">
        <f>'Resultater - Vestdanmark'!I281+'Resultater - Østdanmark'!I281</f>
        <v>167.72512952288531</v>
      </c>
      <c r="J281" s="277">
        <f>'Resultater - Vestdanmark'!J281+'Resultater - Østdanmark'!J281</f>
        <v>217.42146419633275</v>
      </c>
    </row>
    <row r="282" spans="1:10" x14ac:dyDescent="0.25">
      <c r="A282" s="98" t="str">
        <f>'Resultater - Vestdanmark'!A282</f>
        <v>Frugtmark</v>
      </c>
      <c r="B282" s="98" t="str">
        <f>'Resultater - Vestdanmark'!B282</f>
        <v>Økologisk</v>
      </c>
      <c r="C282" s="98" t="str">
        <f>'Resultater - Vestdanmark'!C282</f>
        <v>OC12</v>
      </c>
      <c r="D282" s="98" t="str">
        <f>'Resultater - Vestdanmark'!D282</f>
        <v>Areal-frugt</v>
      </c>
      <c r="E282" s="98" t="str">
        <f>'Resultater - Vestdanmark'!E282</f>
        <v>Hektar</v>
      </c>
      <c r="F282" s="98" t="str">
        <f>'Resultater - Vestdanmark'!F282</f>
        <v>Frugt</v>
      </c>
      <c r="G282" s="98" t="str">
        <f>'Resultater - Vestdanmark'!G282</f>
        <v>Ton</v>
      </c>
      <c r="H282" s="275">
        <f>'Resultater - Vestdanmark'!H282+'Resultater - Østdanmark'!H282</f>
        <v>56.05714294768709</v>
      </c>
      <c r="I282" s="276">
        <f>'Resultater - Vestdanmark'!I282+'Resultater - Østdanmark'!I282</f>
        <v>65.30665302685793</v>
      </c>
      <c r="J282" s="277">
        <f>'Resultater - Vestdanmark'!J282+'Resultater - Østdanmark'!J282</f>
        <v>90.816500287832753</v>
      </c>
    </row>
    <row r="283" spans="1:10" x14ac:dyDescent="0.25">
      <c r="A283" s="98" t="str">
        <f>'Resultater - Vestdanmark'!A283</f>
        <v>Frugtmark</v>
      </c>
      <c r="B283" s="98" t="str">
        <f>'Resultater - Vestdanmark'!B283</f>
        <v>Økologisk</v>
      </c>
      <c r="C283" s="98" t="str">
        <f>'Resultater - Vestdanmark'!C283</f>
        <v>OC12</v>
      </c>
      <c r="D283" s="98" t="str">
        <f>'Resultater - Vestdanmark'!D283</f>
        <v>Areal-frugt</v>
      </c>
      <c r="E283" s="98" t="str">
        <f>'Resultater - Vestdanmark'!E283</f>
        <v>Hektar</v>
      </c>
      <c r="F283" s="98" t="str">
        <f>'Resultater - Vestdanmark'!F283</f>
        <v>Gødning</v>
      </c>
      <c r="G283" s="98" t="str">
        <f>'Resultater - Vestdanmark'!G283</f>
        <v>kg N</v>
      </c>
      <c r="H283" s="275">
        <f>'Resultater - Vestdanmark'!H283+'Resultater - Østdanmark'!H283</f>
        <v>-660.27259066769261</v>
      </c>
      <c r="I283" s="276">
        <f>'Resultater - Vestdanmark'!I283+'Resultater - Østdanmark'!I283</f>
        <v>-717.55459701116706</v>
      </c>
      <c r="J283" s="277">
        <f>'Resultater - Vestdanmark'!J283+'Resultater - Østdanmark'!J283</f>
        <v>-930.16336649595701</v>
      </c>
    </row>
    <row r="284" spans="1:10" x14ac:dyDescent="0.25">
      <c r="A284" s="98" t="str">
        <f>'Resultater - Vestdanmark'!A284</f>
        <v>Frugtmark</v>
      </c>
      <c r="B284" s="98" t="str">
        <f>'Resultater - Vestdanmark'!B284</f>
        <v>Økologisk</v>
      </c>
      <c r="C284" s="98" t="str">
        <f>'Resultater - Vestdanmark'!C284</f>
        <v>OC12</v>
      </c>
      <c r="D284" s="98" t="str">
        <f>'Resultater - Vestdanmark'!D284</f>
        <v>Areal-frugt</v>
      </c>
      <c r="E284" s="98" t="str">
        <f>'Resultater - Vestdanmark'!E284</f>
        <v>Hektar</v>
      </c>
      <c r="F284" s="98" t="str">
        <f>'Resultater - Vestdanmark'!F284</f>
        <v>CO2 - atmosfære</v>
      </c>
      <c r="G284" s="98" t="str">
        <f>'Resultater - Vestdanmark'!G284</f>
        <v>t CO2-ækvivalenter</v>
      </c>
      <c r="H284" s="275">
        <f>'Resultater - Vestdanmark'!H284+'Resultater - Østdanmark'!H284</f>
        <v>235.82565887767433</v>
      </c>
      <c r="I284" s="276">
        <f>'Resultater - Vestdanmark'!I284+'Resultater - Østdanmark'!I284</f>
        <v>256.28473453629681</v>
      </c>
      <c r="J284" s="277">
        <f>'Resultater - Vestdanmark'!J284+'Resultater - Østdanmark'!J284</f>
        <v>332.22095217668095</v>
      </c>
    </row>
    <row r="285" spans="1:10" x14ac:dyDescent="0.25">
      <c r="A285" s="98" t="str">
        <f>'Resultater - Vestdanmark'!A285</f>
        <v>Øvrig mark</v>
      </c>
      <c r="B285" s="98" t="str">
        <f>'Resultater - Vestdanmark'!B285</f>
        <v>Konventionel</v>
      </c>
      <c r="C285" s="98" t="str">
        <f>'Resultater - Vestdanmark'!C285</f>
        <v>JB1-10</v>
      </c>
      <c r="D285" s="98" t="str">
        <f>'Resultater - Vestdanmark'!D285</f>
        <v>Areal-øvrige</v>
      </c>
      <c r="E285" s="98" t="str">
        <f>'Resultater - Vestdanmark'!E285</f>
        <v>Hektar</v>
      </c>
      <c r="F285" s="98" t="str">
        <f>'Resultater - Vestdanmark'!F285</f>
        <v>Øvrige</v>
      </c>
      <c r="G285" s="98" t="str">
        <f>'Resultater - Vestdanmark'!G285</f>
        <v>Ton</v>
      </c>
      <c r="H285" s="275">
        <f>'Resultater - Vestdanmark'!H285+'Resultater - Østdanmark'!H285</f>
        <v>1770707.1441729828</v>
      </c>
      <c r="I285" s="276">
        <f>'Resultater - Vestdanmark'!I285+'Resultater - Østdanmark'!I285</f>
        <v>1835520.5705254728</v>
      </c>
      <c r="J285" s="277">
        <f>'Resultater - Vestdanmark'!J285+'Resultater - Østdanmark'!J285</f>
        <v>1847582.1149742226</v>
      </c>
    </row>
    <row r="286" spans="1:10" x14ac:dyDescent="0.25">
      <c r="A286" s="98" t="str">
        <f>'Resultater - Vestdanmark'!A286</f>
        <v>Øvrig mark</v>
      </c>
      <c r="B286" s="98" t="str">
        <f>'Resultater - Vestdanmark'!B286</f>
        <v>Konventionel</v>
      </c>
      <c r="C286" s="98" t="str">
        <f>'Resultater - Vestdanmark'!C286</f>
        <v>JB1-10</v>
      </c>
      <c r="D286" s="98" t="str">
        <f>'Resultater - Vestdanmark'!D286</f>
        <v>Areal-øvrige</v>
      </c>
      <c r="E286" s="98" t="str">
        <f>'Resultater - Vestdanmark'!E286</f>
        <v>Hektar</v>
      </c>
      <c r="F286" s="98" t="str">
        <f>'Resultater - Vestdanmark'!F286</f>
        <v>Gødning</v>
      </c>
      <c r="G286" s="98" t="str">
        <f>'Resultater - Vestdanmark'!G286</f>
        <v>kg N</v>
      </c>
      <c r="H286" s="275">
        <f>'Resultater - Vestdanmark'!H286+'Resultater - Østdanmark'!H286</f>
        <v>-8443698.8320951127</v>
      </c>
      <c r="I286" s="276">
        <f>'Resultater - Vestdanmark'!I286+'Resultater - Østdanmark'!I286</f>
        <v>-8164892.3977108663</v>
      </c>
      <c r="J286" s="277">
        <f>'Resultater - Vestdanmark'!J286+'Resultater - Østdanmark'!J286</f>
        <v>-7661113.6368267238</v>
      </c>
    </row>
    <row r="287" spans="1:10" x14ac:dyDescent="0.25">
      <c r="A287" s="98" t="str">
        <f>'Resultater - Vestdanmark'!A287</f>
        <v>Øvrig mark</v>
      </c>
      <c r="B287" s="98" t="str">
        <f>'Resultater - Vestdanmark'!B287</f>
        <v>Konventionel</v>
      </c>
      <c r="C287" s="98" t="str">
        <f>'Resultater - Vestdanmark'!C287</f>
        <v>JB1-10</v>
      </c>
      <c r="D287" s="98" t="str">
        <f>'Resultater - Vestdanmark'!D287</f>
        <v>Areal-øvrige</v>
      </c>
      <c r="E287" s="98" t="str">
        <f>'Resultater - Vestdanmark'!E287</f>
        <v>Hektar</v>
      </c>
      <c r="F287" s="98" t="str">
        <f>'Resultater - Vestdanmark'!F287</f>
        <v>CO2 - atmosfære</v>
      </c>
      <c r="G287" s="98" t="str">
        <f>'Resultater - Vestdanmark'!G287</f>
        <v>t CO2-ækvivalenter</v>
      </c>
      <c r="H287" s="275">
        <f>'Resultater - Vestdanmark'!H287+'Resultater - Østdanmark'!H287</f>
        <v>135120.63677615169</v>
      </c>
      <c r="I287" s="276">
        <f>'Resultater - Vestdanmark'!I287+'Resultater - Østdanmark'!I287</f>
        <v>130659.02537806489</v>
      </c>
      <c r="J287" s="277">
        <f>'Resultater - Vestdanmark'!J287+'Resultater - Østdanmark'!J287</f>
        <v>122597.28510066141</v>
      </c>
    </row>
    <row r="288" spans="1:10" x14ac:dyDescent="0.25">
      <c r="A288" s="98" t="str">
        <f>'Resultater - Vestdanmark'!A288</f>
        <v>Øvrig mark</v>
      </c>
      <c r="B288" s="98" t="str">
        <f>'Resultater - Vestdanmark'!B288</f>
        <v>Konventionel</v>
      </c>
      <c r="C288" s="98" t="str">
        <f>'Resultater - Vestdanmark'!C288</f>
        <v>OC6</v>
      </c>
      <c r="D288" s="98" t="str">
        <f>'Resultater - Vestdanmark'!D288</f>
        <v>Areal-øvrige</v>
      </c>
      <c r="E288" s="98" t="str">
        <f>'Resultater - Vestdanmark'!E288</f>
        <v>Hektar</v>
      </c>
      <c r="F288" s="98" t="str">
        <f>'Resultater - Vestdanmark'!F288</f>
        <v>Øvrige</v>
      </c>
      <c r="G288" s="98" t="str">
        <f>'Resultater - Vestdanmark'!G288</f>
        <v>Ton</v>
      </c>
      <c r="H288" s="275">
        <f>'Resultater - Vestdanmark'!H288+'Resultater - Østdanmark'!H288</f>
        <v>59290.041004910265</v>
      </c>
      <c r="I288" s="276">
        <f>'Resultater - Vestdanmark'!I288+'Resultater - Østdanmark'!I288</f>
        <v>57394.892530161625</v>
      </c>
      <c r="J288" s="277">
        <f>'Resultater - Vestdanmark'!J288+'Resultater - Østdanmark'!J288</f>
        <v>58723.798947449352</v>
      </c>
    </row>
    <row r="289" spans="1:10" x14ac:dyDescent="0.25">
      <c r="A289" s="98" t="str">
        <f>'Resultater - Vestdanmark'!A289</f>
        <v>Øvrig mark</v>
      </c>
      <c r="B289" s="98" t="str">
        <f>'Resultater - Vestdanmark'!B289</f>
        <v>Konventionel</v>
      </c>
      <c r="C289" s="98" t="str">
        <f>'Resultater - Vestdanmark'!C289</f>
        <v>OC6</v>
      </c>
      <c r="D289" s="98" t="str">
        <f>'Resultater - Vestdanmark'!D289</f>
        <v>Areal-øvrige</v>
      </c>
      <c r="E289" s="98" t="str">
        <f>'Resultater - Vestdanmark'!E289</f>
        <v>Hektar</v>
      </c>
      <c r="F289" s="98" t="str">
        <f>'Resultater - Vestdanmark'!F289</f>
        <v>Gødning</v>
      </c>
      <c r="G289" s="98" t="str">
        <f>'Resultater - Vestdanmark'!G289</f>
        <v>kg N</v>
      </c>
      <c r="H289" s="275">
        <f>'Resultater - Vestdanmark'!H289+'Resultater - Østdanmark'!H289</f>
        <v>-207278.07918935828</v>
      </c>
      <c r="I289" s="276">
        <f>'Resultater - Vestdanmark'!I289+'Resultater - Østdanmark'!I289</f>
        <v>-187175.96740515521</v>
      </c>
      <c r="J289" s="277">
        <f>'Resultater - Vestdanmark'!J289+'Resultater - Østdanmark'!J289</f>
        <v>-178520.4313401769</v>
      </c>
    </row>
    <row r="290" spans="1:10" x14ac:dyDescent="0.25">
      <c r="A290" s="98" t="str">
        <f>'Resultater - Vestdanmark'!A290</f>
        <v>Øvrig mark</v>
      </c>
      <c r="B290" s="98" t="str">
        <f>'Resultater - Vestdanmark'!B290</f>
        <v>Konventionel</v>
      </c>
      <c r="C290" s="98" t="str">
        <f>'Resultater - Vestdanmark'!C290</f>
        <v>OC6</v>
      </c>
      <c r="D290" s="98" t="str">
        <f>'Resultater - Vestdanmark'!D290</f>
        <v>Areal-øvrige</v>
      </c>
      <c r="E290" s="98" t="str">
        <f>'Resultater - Vestdanmark'!E290</f>
        <v>Hektar</v>
      </c>
      <c r="F290" s="98" t="str">
        <f>'Resultater - Vestdanmark'!F290</f>
        <v>CO2 - atmosfære</v>
      </c>
      <c r="G290" s="98" t="str">
        <f>'Resultater - Vestdanmark'!G290</f>
        <v>t CO2-ækvivalenter</v>
      </c>
      <c r="H290" s="275">
        <f>'Resultater - Vestdanmark'!H290+'Resultater - Østdanmark'!H290</f>
        <v>26517.821531805323</v>
      </c>
      <c r="I290" s="276">
        <f>'Resultater - Vestdanmark'!I290+'Resultater - Østdanmark'!I290</f>
        <v>23946.086909453301</v>
      </c>
      <c r="J290" s="277">
        <f>'Resultater - Vestdanmark'!J290+'Resultater - Østdanmark'!J290</f>
        <v>22838.753410750258</v>
      </c>
    </row>
    <row r="291" spans="1:10" x14ac:dyDescent="0.25">
      <c r="A291" s="98" t="str">
        <f>'Resultater - Vestdanmark'!A291</f>
        <v>Øvrig mark</v>
      </c>
      <c r="B291" s="98" t="str">
        <f>'Resultater - Vestdanmark'!B291</f>
        <v>Konventionel</v>
      </c>
      <c r="C291" s="98" t="str">
        <f>'Resultater - Vestdanmark'!C291</f>
        <v>OC12</v>
      </c>
      <c r="D291" s="98" t="str">
        <f>'Resultater - Vestdanmark'!D291</f>
        <v>Areal-øvrige</v>
      </c>
      <c r="E291" s="98" t="str">
        <f>'Resultater - Vestdanmark'!E291</f>
        <v>Hektar</v>
      </c>
      <c r="F291" s="98" t="str">
        <f>'Resultater - Vestdanmark'!F291</f>
        <v>Øvrige</v>
      </c>
      <c r="G291" s="98" t="str">
        <f>'Resultater - Vestdanmark'!G291</f>
        <v>Ton</v>
      </c>
      <c r="H291" s="275">
        <f>'Resultater - Vestdanmark'!H291+'Resultater - Østdanmark'!H291</f>
        <v>39797.443271560704</v>
      </c>
      <c r="I291" s="276">
        <f>'Resultater - Vestdanmark'!I291+'Resultater - Østdanmark'!I291</f>
        <v>37802.438710875453</v>
      </c>
      <c r="J291" s="277">
        <f>'Resultater - Vestdanmark'!J291+'Resultater - Østdanmark'!J291</f>
        <v>38677.70654704413</v>
      </c>
    </row>
    <row r="292" spans="1:10" x14ac:dyDescent="0.25">
      <c r="A292" s="98" t="str">
        <f>'Resultater - Vestdanmark'!A292</f>
        <v>Øvrig mark</v>
      </c>
      <c r="B292" s="98" t="str">
        <f>'Resultater - Vestdanmark'!B292</f>
        <v>Konventionel</v>
      </c>
      <c r="C292" s="98" t="str">
        <f>'Resultater - Vestdanmark'!C292</f>
        <v>OC12</v>
      </c>
      <c r="D292" s="98" t="str">
        <f>'Resultater - Vestdanmark'!D292</f>
        <v>Areal-øvrige</v>
      </c>
      <c r="E292" s="98" t="str">
        <f>'Resultater - Vestdanmark'!E292</f>
        <v>Hektar</v>
      </c>
      <c r="F292" s="98" t="str">
        <f>'Resultater - Vestdanmark'!F292</f>
        <v>Gødning</v>
      </c>
      <c r="G292" s="98" t="str">
        <f>'Resultater - Vestdanmark'!G292</f>
        <v>kg N</v>
      </c>
      <c r="H292" s="275">
        <f>'Resultater - Vestdanmark'!H292+'Resultater - Østdanmark'!H292</f>
        <v>-102957.62524429863</v>
      </c>
      <c r="I292" s="276">
        <f>'Resultater - Vestdanmark'!I292+'Resultater - Østdanmark'!I292</f>
        <v>-91228.046883705596</v>
      </c>
      <c r="J292" s="277">
        <f>'Resultater - Vestdanmark'!J292+'Resultater - Østdanmark'!J292</f>
        <v>-87009.408877522685</v>
      </c>
    </row>
    <row r="293" spans="1:10" x14ac:dyDescent="0.25">
      <c r="A293" s="98" t="str">
        <f>'Resultater - Vestdanmark'!A293</f>
        <v>Øvrig mark</v>
      </c>
      <c r="B293" s="98" t="str">
        <f>'Resultater - Vestdanmark'!B293</f>
        <v>Konventionel</v>
      </c>
      <c r="C293" s="98" t="str">
        <f>'Resultater - Vestdanmark'!C293</f>
        <v>OC12</v>
      </c>
      <c r="D293" s="98" t="str">
        <f>'Resultater - Vestdanmark'!D293</f>
        <v>Areal-øvrige</v>
      </c>
      <c r="E293" s="98" t="str">
        <f>'Resultater - Vestdanmark'!E293</f>
        <v>Hektar</v>
      </c>
      <c r="F293" s="98" t="str">
        <f>'Resultater - Vestdanmark'!F293</f>
        <v>CO2 - atmosfære</v>
      </c>
      <c r="G293" s="98" t="str">
        <f>'Resultater - Vestdanmark'!G293</f>
        <v>t CO2-ækvivalenter</v>
      </c>
      <c r="H293" s="275">
        <f>'Resultater - Vestdanmark'!H293+'Resultater - Østdanmark'!H293</f>
        <v>39069.861329482206</v>
      </c>
      <c r="I293" s="276">
        <f>'Resultater - Vestdanmark'!I293+'Resultater - Østdanmark'!I293</f>
        <v>34618.777702463121</v>
      </c>
      <c r="J293" s="277">
        <f>'Resultater - Vestdanmark'!J293+'Resultater - Østdanmark'!J293</f>
        <v>33017.909369401241</v>
      </c>
    </row>
    <row r="294" spans="1:10" x14ac:dyDescent="0.25">
      <c r="A294" s="98" t="str">
        <f>'Resultater - Vestdanmark'!A294</f>
        <v>Øvrig mark</v>
      </c>
      <c r="B294" s="98" t="str">
        <f>'Resultater - Vestdanmark'!B294</f>
        <v>Økologisk</v>
      </c>
      <c r="C294" s="98" t="str">
        <f>'Resultater - Vestdanmark'!C294</f>
        <v>JB1-10</v>
      </c>
      <c r="D294" s="98" t="str">
        <f>'Resultater - Vestdanmark'!D294</f>
        <v>Areal-øvrige</v>
      </c>
      <c r="E294" s="98" t="str">
        <f>'Resultater - Vestdanmark'!E294</f>
        <v>Hektar</v>
      </c>
      <c r="F294" s="98" t="str">
        <f>'Resultater - Vestdanmark'!F294</f>
        <v>Øvrige</v>
      </c>
      <c r="G294" s="98" t="str">
        <f>'Resultater - Vestdanmark'!G294</f>
        <v>Ton</v>
      </c>
      <c r="H294" s="275">
        <f>'Resultater - Vestdanmark'!H294+'Resultater - Østdanmark'!H294</f>
        <v>129051.01918003485</v>
      </c>
      <c r="I294" s="276">
        <f>'Resultater - Vestdanmark'!I294+'Resultater - Østdanmark'!I294</f>
        <v>163287.06115830652</v>
      </c>
      <c r="J294" s="277">
        <f>'Resultater - Vestdanmark'!J294+'Resultater - Østdanmark'!J294</f>
        <v>223389.47390142875</v>
      </c>
    </row>
    <row r="295" spans="1:10" x14ac:dyDescent="0.25">
      <c r="A295" s="98" t="str">
        <f>'Resultater - Vestdanmark'!A295</f>
        <v>Øvrig mark</v>
      </c>
      <c r="B295" s="98" t="str">
        <f>'Resultater - Vestdanmark'!B295</f>
        <v>Økologisk</v>
      </c>
      <c r="C295" s="98" t="str">
        <f>'Resultater - Vestdanmark'!C295</f>
        <v>JB1-10</v>
      </c>
      <c r="D295" s="98" t="str">
        <f>'Resultater - Vestdanmark'!D295</f>
        <v>Areal-øvrige</v>
      </c>
      <c r="E295" s="98" t="str">
        <f>'Resultater - Vestdanmark'!E295</f>
        <v>Hektar</v>
      </c>
      <c r="F295" s="98" t="str">
        <f>'Resultater - Vestdanmark'!F295</f>
        <v>Gødning</v>
      </c>
      <c r="G295" s="98" t="str">
        <f>'Resultater - Vestdanmark'!G295</f>
        <v>kg N</v>
      </c>
      <c r="H295" s="275">
        <f>'Resultater - Vestdanmark'!H295+'Resultater - Østdanmark'!H295</f>
        <v>-615385.74773192033</v>
      </c>
      <c r="I295" s="276">
        <f>'Resultater - Vestdanmark'!I295+'Resultater - Østdanmark'!I295</f>
        <v>-726345.05202757358</v>
      </c>
      <c r="J295" s="277">
        <f>'Resultater - Vestdanmark'!J295+'Resultater - Østdanmark'!J295</f>
        <v>-926298.28517995845</v>
      </c>
    </row>
    <row r="296" spans="1:10" x14ac:dyDescent="0.25">
      <c r="A296" s="98" t="str">
        <f>'Resultater - Vestdanmark'!A296</f>
        <v>Øvrig mark</v>
      </c>
      <c r="B296" s="98" t="str">
        <f>'Resultater - Vestdanmark'!B296</f>
        <v>Økologisk</v>
      </c>
      <c r="C296" s="98" t="str">
        <f>'Resultater - Vestdanmark'!C296</f>
        <v>JB1-10</v>
      </c>
      <c r="D296" s="98" t="str">
        <f>'Resultater - Vestdanmark'!D296</f>
        <v>Areal-øvrige</v>
      </c>
      <c r="E296" s="98" t="str">
        <f>'Resultater - Vestdanmark'!E296</f>
        <v>Hektar</v>
      </c>
      <c r="F296" s="98" t="str">
        <f>'Resultater - Vestdanmark'!F296</f>
        <v>CO2 - atmosfære</v>
      </c>
      <c r="G296" s="98" t="str">
        <f>'Resultater - Vestdanmark'!G296</f>
        <v>t CO2-ækvivalenter</v>
      </c>
      <c r="H296" s="275">
        <f>'Resultater - Vestdanmark'!H296+'Resultater - Østdanmark'!H296</f>
        <v>17276.729229188404</v>
      </c>
      <c r="I296" s="276">
        <f>'Resultater - Vestdanmark'!I296+'Resultater - Østdanmark'!I296</f>
        <v>20391.871012761574</v>
      </c>
      <c r="J296" s="277">
        <f>'Resultater - Vestdanmark'!J296+'Resultater - Østdanmark'!J296</f>
        <v>26005.484718322117</v>
      </c>
    </row>
    <row r="297" spans="1:10" x14ac:dyDescent="0.25">
      <c r="A297" s="98" t="str">
        <f>'Resultater - Vestdanmark'!A297</f>
        <v>Øvrig mark</v>
      </c>
      <c r="B297" s="98" t="str">
        <f>'Resultater - Vestdanmark'!B297</f>
        <v>Økologisk</v>
      </c>
      <c r="C297" s="98" t="str">
        <f>'Resultater - Vestdanmark'!C297</f>
        <v>OC6</v>
      </c>
      <c r="D297" s="98" t="str">
        <f>'Resultater - Vestdanmark'!D297</f>
        <v>Areal-øvrige</v>
      </c>
      <c r="E297" s="98" t="str">
        <f>'Resultater - Vestdanmark'!E297</f>
        <v>Hektar</v>
      </c>
      <c r="F297" s="98" t="str">
        <f>'Resultater - Vestdanmark'!F297</f>
        <v>Øvrige</v>
      </c>
      <c r="G297" s="98" t="str">
        <f>'Resultater - Vestdanmark'!G297</f>
        <v>Ton</v>
      </c>
      <c r="H297" s="275">
        <f>'Resultater - Vestdanmark'!H297+'Resultater - Østdanmark'!H297</f>
        <v>4321.1212221563428</v>
      </c>
      <c r="I297" s="276">
        <f>'Resultater - Vestdanmark'!I297+'Resultater - Østdanmark'!I297</f>
        <v>5105.8230984924121</v>
      </c>
      <c r="J297" s="277">
        <f>'Resultater - Vestdanmark'!J297+'Resultater - Østdanmark'!J297</f>
        <v>7100.2411454643307</v>
      </c>
    </row>
    <row r="298" spans="1:10" x14ac:dyDescent="0.25">
      <c r="A298" s="98" t="str">
        <f>'Resultater - Vestdanmark'!A298</f>
        <v>Øvrig mark</v>
      </c>
      <c r="B298" s="98" t="str">
        <f>'Resultater - Vestdanmark'!B298</f>
        <v>Økologisk</v>
      </c>
      <c r="C298" s="98" t="str">
        <f>'Resultater - Vestdanmark'!C298</f>
        <v>OC6</v>
      </c>
      <c r="D298" s="98" t="str">
        <f>'Resultater - Vestdanmark'!D298</f>
        <v>Areal-øvrige</v>
      </c>
      <c r="E298" s="98" t="str">
        <f>'Resultater - Vestdanmark'!E298</f>
        <v>Hektar</v>
      </c>
      <c r="F298" s="98" t="str">
        <f>'Resultater - Vestdanmark'!F298</f>
        <v>Gødning</v>
      </c>
      <c r="G298" s="98" t="str">
        <f>'Resultater - Vestdanmark'!G298</f>
        <v>kg N</v>
      </c>
      <c r="H298" s="275">
        <f>'Resultater - Vestdanmark'!H298+'Resultater - Østdanmark'!H298</f>
        <v>-15106.646777302138</v>
      </c>
      <c r="I298" s="276">
        <f>'Resultater - Vestdanmark'!I298+'Resultater - Østdanmark'!I298</f>
        <v>-16651.08750500196</v>
      </c>
      <c r="J298" s="277">
        <f>'Resultater - Vestdanmark'!J298+'Resultater - Østdanmark'!J298</f>
        <v>-21584.743062039575</v>
      </c>
    </row>
    <row r="299" spans="1:10" x14ac:dyDescent="0.25">
      <c r="A299" s="98" t="str">
        <f>'Resultater - Vestdanmark'!A299</f>
        <v>Øvrig mark</v>
      </c>
      <c r="B299" s="98" t="str">
        <f>'Resultater - Vestdanmark'!B299</f>
        <v>Økologisk</v>
      </c>
      <c r="C299" s="98" t="str">
        <f>'Resultater - Vestdanmark'!C299</f>
        <v>OC6</v>
      </c>
      <c r="D299" s="98" t="str">
        <f>'Resultater - Vestdanmark'!D299</f>
        <v>Areal-øvrige</v>
      </c>
      <c r="E299" s="98" t="str">
        <f>'Resultater - Vestdanmark'!E299</f>
        <v>Hektar</v>
      </c>
      <c r="F299" s="98" t="str">
        <f>'Resultater - Vestdanmark'!F299</f>
        <v>CO2 - atmosfære</v>
      </c>
      <c r="G299" s="98" t="str">
        <f>'Resultater - Vestdanmark'!G299</f>
        <v>t CO2-ækvivalenter</v>
      </c>
      <c r="H299" s="275">
        <f>'Resultater - Vestdanmark'!H299+'Resultater - Østdanmark'!H299</f>
        <v>3390.6088165638589</v>
      </c>
      <c r="I299" s="276">
        <f>'Resultater - Vestdanmark'!I299+'Resultater - Østdanmark'!I299</f>
        <v>3737.2505581227697</v>
      </c>
      <c r="J299" s="277">
        <f>'Resultater - Vestdanmark'!J299+'Resultater - Østdanmark'!J299</f>
        <v>4844.5840568258127</v>
      </c>
    </row>
    <row r="300" spans="1:10" x14ac:dyDescent="0.25">
      <c r="A300" s="98" t="str">
        <f>'Resultater - Vestdanmark'!A300</f>
        <v>Øvrig mark</v>
      </c>
      <c r="B300" s="98" t="str">
        <f>'Resultater - Vestdanmark'!B300</f>
        <v>Økologisk</v>
      </c>
      <c r="C300" s="98" t="str">
        <f>'Resultater - Vestdanmark'!C300</f>
        <v>OC12</v>
      </c>
      <c r="D300" s="98" t="str">
        <f>'Resultater - Vestdanmark'!D300</f>
        <v>Areal-øvrige</v>
      </c>
      <c r="E300" s="98" t="str">
        <f>'Resultater - Vestdanmark'!E300</f>
        <v>Hektar</v>
      </c>
      <c r="F300" s="98" t="str">
        <f>'Resultater - Vestdanmark'!F300</f>
        <v>Øvrige</v>
      </c>
      <c r="G300" s="98" t="str">
        <f>'Resultater - Vestdanmark'!G300</f>
        <v>Ton</v>
      </c>
      <c r="H300" s="275">
        <f>'Resultater - Vestdanmark'!H300+'Resultater - Østdanmark'!H300</f>
        <v>2900.4799759551861</v>
      </c>
      <c r="I300" s="276">
        <f>'Resultater - Vestdanmark'!I300+'Resultater - Østdanmark'!I300</f>
        <v>3362.8874668229669</v>
      </c>
      <c r="J300" s="277">
        <f>'Resultater - Vestdanmark'!J300+'Resultater - Østdanmark'!J300</f>
        <v>4676.4863370516987</v>
      </c>
    </row>
    <row r="301" spans="1:10" x14ac:dyDescent="0.25">
      <c r="A301" s="98" t="str">
        <f>'Resultater - Vestdanmark'!A301</f>
        <v>Øvrig mark</v>
      </c>
      <c r="B301" s="98" t="str">
        <f>'Resultater - Vestdanmark'!B301</f>
        <v>Økologisk</v>
      </c>
      <c r="C301" s="98" t="str">
        <f>'Resultater - Vestdanmark'!C301</f>
        <v>OC12</v>
      </c>
      <c r="D301" s="98" t="str">
        <f>'Resultater - Vestdanmark'!D301</f>
        <v>Areal-øvrige</v>
      </c>
      <c r="E301" s="98" t="str">
        <f>'Resultater - Vestdanmark'!E301</f>
        <v>Hektar</v>
      </c>
      <c r="F301" s="98" t="str">
        <f>'Resultater - Vestdanmark'!F301</f>
        <v>Gødning</v>
      </c>
      <c r="G301" s="98" t="str">
        <f>'Resultater - Vestdanmark'!G301</f>
        <v>kg N</v>
      </c>
      <c r="H301" s="275">
        <f>'Resultater - Vestdanmark'!H301+'Resultater - Østdanmark'!H301</f>
        <v>-7503.6611863552844</v>
      </c>
      <c r="I301" s="276">
        <f>'Resultater - Vestdanmark'!I301+'Resultater - Østdanmark'!I301</f>
        <v>-8115.6048643943886</v>
      </c>
      <c r="J301" s="277">
        <f>'Resultater - Vestdanmark'!J301+'Resultater - Østdanmark'!J301</f>
        <v>-10520.228527918651</v>
      </c>
    </row>
    <row r="302" spans="1:10" x14ac:dyDescent="0.25">
      <c r="A302" s="98" t="str">
        <f>'Resultater - Vestdanmark'!A302</f>
        <v>Øvrig mark</v>
      </c>
      <c r="B302" s="98" t="str">
        <f>'Resultater - Vestdanmark'!B302</f>
        <v>Økologisk</v>
      </c>
      <c r="C302" s="98" t="str">
        <f>'Resultater - Vestdanmark'!C302</f>
        <v>OC12</v>
      </c>
      <c r="D302" s="98" t="str">
        <f>'Resultater - Vestdanmark'!D302</f>
        <v>Areal-øvrige</v>
      </c>
      <c r="E302" s="98" t="str">
        <f>'Resultater - Vestdanmark'!E302</f>
        <v>Hektar</v>
      </c>
      <c r="F302" s="98" t="str">
        <f>'Resultater - Vestdanmark'!F302</f>
        <v>CO2 - atmosfære</v>
      </c>
      <c r="G302" s="98" t="str">
        <f>'Resultater - Vestdanmark'!G302</f>
        <v>t CO2-ækvivalenter</v>
      </c>
      <c r="H302" s="275">
        <f>'Resultater - Vestdanmark'!H302+'Resultater - Østdanmark'!H302</f>
        <v>4995.5316324451924</v>
      </c>
      <c r="I302" s="276">
        <f>'Resultater - Vestdanmark'!I302+'Resultater - Østdanmark'!I302</f>
        <v>5402.9306240838396</v>
      </c>
      <c r="J302" s="277">
        <f>'Resultater - Vestdanmark'!J302+'Resultater - Østdanmark'!J302</f>
        <v>7003.7989571457174</v>
      </c>
    </row>
    <row r="303" spans="1:10" x14ac:dyDescent="0.25">
      <c r="A303" s="98" t="str">
        <f>'Resultater - Vestdanmark'!A303</f>
        <v>Majsmark</v>
      </c>
      <c r="B303" s="98" t="str">
        <f>'Resultater - Vestdanmark'!B303</f>
        <v>Konventionel</v>
      </c>
      <c r="C303" s="98" t="str">
        <f>'Resultater - Vestdanmark'!C303</f>
        <v>JB1-10</v>
      </c>
      <c r="D303" s="98" t="str">
        <f>'Resultater - Vestdanmark'!D303</f>
        <v>Areal-majs</v>
      </c>
      <c r="E303" s="98" t="str">
        <f>'Resultater - Vestdanmark'!E303</f>
        <v>Hektar</v>
      </c>
      <c r="F303" s="98" t="str">
        <f>'Resultater - Vestdanmark'!F303</f>
        <v>Majs</v>
      </c>
      <c r="G303" s="98" t="str">
        <f>'Resultater - Vestdanmark'!G303</f>
        <v>Ton</v>
      </c>
      <c r="H303" s="275">
        <f>'Resultater - Vestdanmark'!H303+'Resultater - Østdanmark'!H303</f>
        <v>6824552.1371091604</v>
      </c>
      <c r="I303" s="276">
        <f>'Resultater - Vestdanmark'!I303+'Resultater - Østdanmark'!I303</f>
        <v>7069142.6019592835</v>
      </c>
      <c r="J303" s="277">
        <f>'Resultater - Vestdanmark'!J303+'Resultater - Østdanmark'!J303</f>
        <v>7105817.7032715734</v>
      </c>
    </row>
    <row r="304" spans="1:10" x14ac:dyDescent="0.25">
      <c r="A304" s="98" t="str">
        <f>'Resultater - Vestdanmark'!A304</f>
        <v>Majsmark</v>
      </c>
      <c r="B304" s="98" t="str">
        <f>'Resultater - Vestdanmark'!B304</f>
        <v>Konventionel</v>
      </c>
      <c r="C304" s="98" t="str">
        <f>'Resultater - Vestdanmark'!C304</f>
        <v>JB1-10</v>
      </c>
      <c r="D304" s="98" t="str">
        <f>'Resultater - Vestdanmark'!D304</f>
        <v>Areal-majs</v>
      </c>
      <c r="E304" s="98" t="str">
        <f>'Resultater - Vestdanmark'!E304</f>
        <v>Hektar</v>
      </c>
      <c r="F304" s="98" t="str">
        <f>'Resultater - Vestdanmark'!F304</f>
        <v>Gødning</v>
      </c>
      <c r="G304" s="98" t="str">
        <f>'Resultater - Vestdanmark'!G304</f>
        <v>kg N</v>
      </c>
      <c r="H304" s="275">
        <f>'Resultater - Vestdanmark'!H304+'Resultater - Østdanmark'!H304</f>
        <v>-24532202.694618411</v>
      </c>
      <c r="I304" s="276">
        <f>'Resultater - Vestdanmark'!I304+'Resultater - Østdanmark'!I304</f>
        <v>-23704693.568640556</v>
      </c>
      <c r="J304" s="277">
        <f>'Resultater - Vestdanmark'!J304+'Resultater - Østdanmark'!J304</f>
        <v>-22211536.880299523</v>
      </c>
    </row>
    <row r="305" spans="1:10" x14ac:dyDescent="0.25">
      <c r="A305" s="98" t="str">
        <f>'Resultater - Vestdanmark'!A305</f>
        <v>Majsmark</v>
      </c>
      <c r="B305" s="98" t="str">
        <f>'Resultater - Vestdanmark'!B305</f>
        <v>Konventionel</v>
      </c>
      <c r="C305" s="98" t="str">
        <f>'Resultater - Vestdanmark'!C305</f>
        <v>JB1-10</v>
      </c>
      <c r="D305" s="98" t="str">
        <f>'Resultater - Vestdanmark'!D305</f>
        <v>Areal-majs</v>
      </c>
      <c r="E305" s="98" t="str">
        <f>'Resultater - Vestdanmark'!E305</f>
        <v>Hektar</v>
      </c>
      <c r="F305" s="98" t="str">
        <f>'Resultater - Vestdanmark'!F305</f>
        <v>CO2 - atmosfære</v>
      </c>
      <c r="G305" s="98" t="str">
        <f>'Resultater - Vestdanmark'!G305</f>
        <v>t CO2-ækvivalenter</v>
      </c>
      <c r="H305" s="275">
        <f>'Resultater - Vestdanmark'!H305+'Resultater - Østdanmark'!H305</f>
        <v>348617.06930478453</v>
      </c>
      <c r="I305" s="276">
        <f>'Resultater - Vestdanmark'!I305+'Resultater - Østdanmark'!I305</f>
        <v>336857.67656241788</v>
      </c>
      <c r="J305" s="277">
        <f>'Resultater - Vestdanmark'!J305+'Resultater - Østdanmark'!J305</f>
        <v>315639.03936207877</v>
      </c>
    </row>
    <row r="306" spans="1:10" x14ac:dyDescent="0.25">
      <c r="A306" s="98" t="str">
        <f>'Resultater - Vestdanmark'!A306</f>
        <v>Majsmark</v>
      </c>
      <c r="B306" s="98" t="str">
        <f>'Resultater - Vestdanmark'!B306</f>
        <v>Konventionel</v>
      </c>
      <c r="C306" s="98" t="str">
        <f>'Resultater - Vestdanmark'!C306</f>
        <v>OC6</v>
      </c>
      <c r="D306" s="98" t="str">
        <f>'Resultater - Vestdanmark'!D306</f>
        <v>Areal-majs</v>
      </c>
      <c r="E306" s="98" t="str">
        <f>'Resultater - Vestdanmark'!E306</f>
        <v>Hektar</v>
      </c>
      <c r="F306" s="98" t="str">
        <f>'Resultater - Vestdanmark'!F306</f>
        <v>Majs</v>
      </c>
      <c r="G306" s="98" t="str">
        <f>'Resultater - Vestdanmark'!G306</f>
        <v>Ton</v>
      </c>
      <c r="H306" s="275">
        <f>'Resultater - Vestdanmark'!H306+'Resultater - Østdanmark'!H306</f>
        <v>263505.94367690803</v>
      </c>
      <c r="I306" s="276">
        <f>'Resultater - Vestdanmark'!I306+'Resultater - Østdanmark'!I306</f>
        <v>255033.99459825942</v>
      </c>
      <c r="J306" s="277">
        <f>'Resultater - Vestdanmark'!J306+'Resultater - Østdanmark'!J306</f>
        <v>260938.98539286802</v>
      </c>
    </row>
    <row r="307" spans="1:10" x14ac:dyDescent="0.25">
      <c r="A307" s="98" t="str">
        <f>'Resultater - Vestdanmark'!A307</f>
        <v>Majsmark</v>
      </c>
      <c r="B307" s="98" t="str">
        <f>'Resultater - Vestdanmark'!B307</f>
        <v>Konventionel</v>
      </c>
      <c r="C307" s="98" t="str">
        <f>'Resultater - Vestdanmark'!C307</f>
        <v>OC6</v>
      </c>
      <c r="D307" s="98" t="str">
        <f>'Resultater - Vestdanmark'!D307</f>
        <v>Areal-majs</v>
      </c>
      <c r="E307" s="98" t="str">
        <f>'Resultater - Vestdanmark'!E307</f>
        <v>Hektar</v>
      </c>
      <c r="F307" s="98" t="str">
        <f>'Resultater - Vestdanmark'!F307</f>
        <v>Gødning</v>
      </c>
      <c r="G307" s="98" t="str">
        <f>'Resultater - Vestdanmark'!G307</f>
        <v>kg N</v>
      </c>
      <c r="H307" s="275">
        <f>'Resultater - Vestdanmark'!H307+'Resultater - Østdanmark'!H307</f>
        <v>-641349.74683588033</v>
      </c>
      <c r="I307" s="276">
        <f>'Resultater - Vestdanmark'!I307+'Resultater - Østdanmark'!I307</f>
        <v>-579038.978917717</v>
      </c>
      <c r="J307" s="277">
        <f>'Resultater - Vestdanmark'!J307+'Resultater - Østdanmark'!J307</f>
        <v>-552262.60995042382</v>
      </c>
    </row>
    <row r="308" spans="1:10" x14ac:dyDescent="0.25">
      <c r="A308" s="98" t="str">
        <f>'Resultater - Vestdanmark'!A308</f>
        <v>Majsmark</v>
      </c>
      <c r="B308" s="98" t="str">
        <f>'Resultater - Vestdanmark'!B308</f>
        <v>Konventionel</v>
      </c>
      <c r="C308" s="98" t="str">
        <f>'Resultater - Vestdanmark'!C308</f>
        <v>OC6</v>
      </c>
      <c r="D308" s="98" t="str">
        <f>'Resultater - Vestdanmark'!D308</f>
        <v>Areal-majs</v>
      </c>
      <c r="E308" s="98" t="str">
        <f>'Resultater - Vestdanmark'!E308</f>
        <v>Hektar</v>
      </c>
      <c r="F308" s="98" t="str">
        <f>'Resultater - Vestdanmark'!F308</f>
        <v>CO2 - atmosfære</v>
      </c>
      <c r="G308" s="98" t="str">
        <f>'Resultater - Vestdanmark'!G308</f>
        <v>t CO2-ækvivalenter</v>
      </c>
      <c r="H308" s="275">
        <f>'Resultater - Vestdanmark'!H308+'Resultater - Østdanmark'!H308</f>
        <v>78894.37795433517</v>
      </c>
      <c r="I308" s="276">
        <f>'Resultater - Vestdanmark'!I308+'Resultater - Østdanmark'!I308</f>
        <v>71229.341367022964</v>
      </c>
      <c r="J308" s="277">
        <f>'Resultater - Vestdanmark'!J308+'Resultater - Østdanmark'!J308</f>
        <v>67935.498991669316</v>
      </c>
    </row>
    <row r="309" spans="1:10" x14ac:dyDescent="0.25">
      <c r="A309" s="98" t="str">
        <f>'Resultater - Vestdanmark'!A309</f>
        <v>Majsmark</v>
      </c>
      <c r="B309" s="98" t="str">
        <f>'Resultater - Vestdanmark'!B309</f>
        <v>Konventionel</v>
      </c>
      <c r="C309" s="98" t="str">
        <f>'Resultater - Vestdanmark'!C309</f>
        <v>OC12</v>
      </c>
      <c r="D309" s="98" t="str">
        <f>'Resultater - Vestdanmark'!D309</f>
        <v>Areal-majs</v>
      </c>
      <c r="E309" s="98" t="str">
        <f>'Resultater - Vestdanmark'!E309</f>
        <v>Hektar</v>
      </c>
      <c r="F309" s="98" t="str">
        <f>'Resultater - Vestdanmark'!F309</f>
        <v>Majs</v>
      </c>
      <c r="G309" s="98" t="str">
        <f>'Resultater - Vestdanmark'!G309</f>
        <v>Ton</v>
      </c>
      <c r="H309" s="275">
        <f>'Resultater - Vestdanmark'!H309+'Resultater - Østdanmark'!H309</f>
        <v>104547.38485235954</v>
      </c>
      <c r="I309" s="276">
        <f>'Resultater - Vestdanmark'!I309+'Resultater - Østdanmark'!I309</f>
        <v>98956.351809630025</v>
      </c>
      <c r="J309" s="277">
        <f>'Resultater - Vestdanmark'!J309+'Resultater - Østdanmark'!J309</f>
        <v>101247.56144787601</v>
      </c>
    </row>
    <row r="310" spans="1:10" x14ac:dyDescent="0.25">
      <c r="A310" s="98" t="str">
        <f>'Resultater - Vestdanmark'!A310</f>
        <v>Majsmark</v>
      </c>
      <c r="B310" s="98" t="str">
        <f>'Resultater - Vestdanmark'!B310</f>
        <v>Konventionel</v>
      </c>
      <c r="C310" s="98" t="str">
        <f>'Resultater - Vestdanmark'!C310</f>
        <v>OC12</v>
      </c>
      <c r="D310" s="98" t="str">
        <f>'Resultater - Vestdanmark'!D310</f>
        <v>Areal-majs</v>
      </c>
      <c r="E310" s="98" t="str">
        <f>'Resultater - Vestdanmark'!E310</f>
        <v>Hektar</v>
      </c>
      <c r="F310" s="98" t="str">
        <f>'Resultater - Vestdanmark'!F310</f>
        <v>Gødning</v>
      </c>
      <c r="G310" s="98" t="str">
        <f>'Resultater - Vestdanmark'!G310</f>
        <v>kg N</v>
      </c>
      <c r="H310" s="275">
        <f>'Resultater - Vestdanmark'!H310+'Resultater - Østdanmark'!H310</f>
        <v>-167775.11450454078</v>
      </c>
      <c r="I310" s="276">
        <f>'Resultater - Vestdanmark'!I310+'Resultater - Østdanmark'!I310</f>
        <v>-148136.90290009041</v>
      </c>
      <c r="J310" s="277">
        <f>'Resultater - Vestdanmark'!J310+'Resultater - Østdanmark'!J310</f>
        <v>-141286.64149430586</v>
      </c>
    </row>
    <row r="311" spans="1:10" x14ac:dyDescent="0.25">
      <c r="A311" s="98" t="str">
        <f>'Resultater - Vestdanmark'!A311</f>
        <v>Majsmark</v>
      </c>
      <c r="B311" s="98" t="str">
        <f>'Resultater - Vestdanmark'!B311</f>
        <v>Konventionel</v>
      </c>
      <c r="C311" s="98" t="str">
        <f>'Resultater - Vestdanmark'!C311</f>
        <v>OC12</v>
      </c>
      <c r="D311" s="98" t="str">
        <f>'Resultater - Vestdanmark'!D311</f>
        <v>Areal-majs</v>
      </c>
      <c r="E311" s="98" t="str">
        <f>'Resultater - Vestdanmark'!E311</f>
        <v>Hektar</v>
      </c>
      <c r="F311" s="98" t="str">
        <f>'Resultater - Vestdanmark'!F311</f>
        <v>CO2 - atmosfære</v>
      </c>
      <c r="G311" s="98" t="str">
        <f>'Resultater - Vestdanmark'!G311</f>
        <v>t CO2-ækvivalenter</v>
      </c>
      <c r="H311" s="275">
        <f>'Resultater - Vestdanmark'!H311+'Resultater - Østdanmark'!H311</f>
        <v>68706.752116598291</v>
      </c>
      <c r="I311" s="276">
        <f>'Resultater - Vestdanmark'!I311+'Resultater - Østdanmark'!I311</f>
        <v>60664.571721103719</v>
      </c>
      <c r="J311" s="277">
        <f>'Resultater - Vestdanmark'!J311+'Resultater - Østdanmark'!J311</f>
        <v>57859.27360683302</v>
      </c>
    </row>
    <row r="312" spans="1:10" x14ac:dyDescent="0.25">
      <c r="A312" s="98" t="str">
        <f>'Resultater - Vestdanmark'!A312</f>
        <v>Majsmark</v>
      </c>
      <c r="B312" s="98" t="str">
        <f>'Resultater - Vestdanmark'!B312</f>
        <v>Økologisk</v>
      </c>
      <c r="C312" s="98" t="str">
        <f>'Resultater - Vestdanmark'!C312</f>
        <v>JB1-10</v>
      </c>
      <c r="D312" s="98" t="str">
        <f>'Resultater - Vestdanmark'!D312</f>
        <v>Areal-majs</v>
      </c>
      <c r="E312" s="98" t="str">
        <f>'Resultater - Vestdanmark'!E312</f>
        <v>Hektar</v>
      </c>
      <c r="F312" s="98" t="str">
        <f>'Resultater - Vestdanmark'!F312</f>
        <v>Majs</v>
      </c>
      <c r="G312" s="98" t="str">
        <f>'Resultater - Vestdanmark'!G312</f>
        <v>Ton</v>
      </c>
      <c r="H312" s="275">
        <f>'Resultater - Vestdanmark'!H312+'Resultater - Østdanmark'!H312</f>
        <v>724255.98356433213</v>
      </c>
      <c r="I312" s="276">
        <f>'Resultater - Vestdanmark'!I312+'Resultater - Østdanmark'!I312</f>
        <v>915719.57057749992</v>
      </c>
      <c r="J312" s="277">
        <f>'Resultater - Vestdanmark'!J312+'Resultater - Østdanmark'!J312</f>
        <v>1251054.5713941767</v>
      </c>
    </row>
    <row r="313" spans="1:10" x14ac:dyDescent="0.25">
      <c r="A313" s="98" t="str">
        <f>'Resultater - Vestdanmark'!A313</f>
        <v>Majsmark</v>
      </c>
      <c r="B313" s="98" t="str">
        <f>'Resultater - Vestdanmark'!B313</f>
        <v>Økologisk</v>
      </c>
      <c r="C313" s="98" t="str">
        <f>'Resultater - Vestdanmark'!C313</f>
        <v>JB1-10</v>
      </c>
      <c r="D313" s="98" t="str">
        <f>'Resultater - Vestdanmark'!D313</f>
        <v>Areal-majs</v>
      </c>
      <c r="E313" s="98" t="str">
        <f>'Resultater - Vestdanmark'!E313</f>
        <v>Hektar</v>
      </c>
      <c r="F313" s="98" t="str">
        <f>'Resultater - Vestdanmark'!F313</f>
        <v>Gødning</v>
      </c>
      <c r="G313" s="98" t="str">
        <f>'Resultater - Vestdanmark'!G313</f>
        <v>kg N</v>
      </c>
      <c r="H313" s="275">
        <f>'Resultater - Vestdanmark'!H313+'Resultater - Østdanmark'!H313</f>
        <v>-2603481.405758102</v>
      </c>
      <c r="I313" s="276">
        <f>'Resultater - Vestdanmark'!I313+'Resultater - Østdanmark'!I313</f>
        <v>-3070648.4559146515</v>
      </c>
      <c r="J313" s="277">
        <f>'Resultater - Vestdanmark'!J313+'Resultater - Østdanmark'!J313</f>
        <v>-3910576.644683037</v>
      </c>
    </row>
    <row r="314" spans="1:10" x14ac:dyDescent="0.25">
      <c r="A314" s="98" t="str">
        <f>'Resultater - Vestdanmark'!A314</f>
        <v>Majsmark</v>
      </c>
      <c r="B314" s="98" t="str">
        <f>'Resultater - Vestdanmark'!B314</f>
        <v>Økologisk</v>
      </c>
      <c r="C314" s="98" t="str">
        <f>'Resultater - Vestdanmark'!C314</f>
        <v>JB1-10</v>
      </c>
      <c r="D314" s="98" t="str">
        <f>'Resultater - Vestdanmark'!D314</f>
        <v>Areal-majs</v>
      </c>
      <c r="E314" s="98" t="str">
        <f>'Resultater - Vestdanmark'!E314</f>
        <v>Hektar</v>
      </c>
      <c r="F314" s="98" t="str">
        <f>'Resultater - Vestdanmark'!F314</f>
        <v>CO2 - atmosfære</v>
      </c>
      <c r="G314" s="98" t="str">
        <f>'Resultater - Vestdanmark'!G314</f>
        <v>t CO2-ækvivalenter</v>
      </c>
      <c r="H314" s="275">
        <f>'Resultater - Vestdanmark'!H314+'Resultater - Østdanmark'!H314</f>
        <v>44574.706386485894</v>
      </c>
      <c r="I314" s="276">
        <f>'Resultater - Vestdanmark'!I314+'Resultater - Østdanmark'!I314</f>
        <v>52573.163394134572</v>
      </c>
      <c r="J314" s="277">
        <f>'Resultater - Vestdanmark'!J314+'Resultater - Østdanmark'!J314</f>
        <v>66953.735622259133</v>
      </c>
    </row>
    <row r="315" spans="1:10" x14ac:dyDescent="0.25">
      <c r="A315" s="98" t="str">
        <f>'Resultater - Vestdanmark'!A315</f>
        <v>Majsmark</v>
      </c>
      <c r="B315" s="98" t="str">
        <f>'Resultater - Vestdanmark'!B315</f>
        <v>Økologisk</v>
      </c>
      <c r="C315" s="98" t="str">
        <f>'Resultater - Vestdanmark'!C315</f>
        <v>OC6</v>
      </c>
      <c r="D315" s="98" t="str">
        <f>'Resultater - Vestdanmark'!D315</f>
        <v>Areal-majs</v>
      </c>
      <c r="E315" s="98" t="str">
        <f>'Resultater - Vestdanmark'!E315</f>
        <v>Hektar</v>
      </c>
      <c r="F315" s="98" t="str">
        <f>'Resultater - Vestdanmark'!F315</f>
        <v>Majs</v>
      </c>
      <c r="G315" s="98" t="str">
        <f>'Resultater - Vestdanmark'!G315</f>
        <v>Ton</v>
      </c>
      <c r="H315" s="275">
        <f>'Resultater - Vestdanmark'!H315+'Resultater - Østdanmark'!H315</f>
        <v>27964.583254485577</v>
      </c>
      <c r="I315" s="276">
        <f>'Resultater - Vestdanmark'!I315+'Resultater - Østdanmark'!I315</f>
        <v>33036.484502583786</v>
      </c>
      <c r="J315" s="277">
        <f>'Resultater - Vestdanmark'!J315+'Resultater - Østdanmark'!J315</f>
        <v>45941.075913107961</v>
      </c>
    </row>
    <row r="316" spans="1:10" x14ac:dyDescent="0.25">
      <c r="A316" s="98" t="str">
        <f>'Resultater - Vestdanmark'!A316</f>
        <v>Majsmark</v>
      </c>
      <c r="B316" s="98" t="str">
        <f>'Resultater - Vestdanmark'!B316</f>
        <v>Økologisk</v>
      </c>
      <c r="C316" s="98" t="str">
        <f>'Resultater - Vestdanmark'!C316</f>
        <v>OC6</v>
      </c>
      <c r="D316" s="98" t="str">
        <f>'Resultater - Vestdanmark'!D316</f>
        <v>Areal-majs</v>
      </c>
      <c r="E316" s="98" t="str">
        <f>'Resultater - Vestdanmark'!E316</f>
        <v>Hektar</v>
      </c>
      <c r="F316" s="98" t="str">
        <f>'Resultater - Vestdanmark'!F316</f>
        <v>Gødning</v>
      </c>
      <c r="G316" s="98" t="str">
        <f>'Resultater - Vestdanmark'!G316</f>
        <v>kg N</v>
      </c>
      <c r="H316" s="275">
        <f>'Resultater - Vestdanmark'!H316+'Resultater - Østdanmark'!H316</f>
        <v>-68063.278347246393</v>
      </c>
      <c r="I316" s="276">
        <f>'Resultater - Vestdanmark'!I316+'Resultater - Østdanmark'!I316</f>
        <v>-75007.303569630283</v>
      </c>
      <c r="J316" s="277">
        <f>'Resultater - Vestdanmark'!J316+'Resultater - Østdanmark'!J316</f>
        <v>-97231.689812483673</v>
      </c>
    </row>
    <row r="317" spans="1:10" x14ac:dyDescent="0.25">
      <c r="A317" s="98" t="str">
        <f>'Resultater - Vestdanmark'!A317</f>
        <v>Majsmark</v>
      </c>
      <c r="B317" s="98" t="str">
        <f>'Resultater - Vestdanmark'!B317</f>
        <v>Økologisk</v>
      </c>
      <c r="C317" s="98" t="str">
        <f>'Resultater - Vestdanmark'!C317</f>
        <v>OC6</v>
      </c>
      <c r="D317" s="98" t="str">
        <f>'Resultater - Vestdanmark'!D317</f>
        <v>Areal-majs</v>
      </c>
      <c r="E317" s="98" t="str">
        <f>'Resultater - Vestdanmark'!E317</f>
        <v>Hektar</v>
      </c>
      <c r="F317" s="98" t="str">
        <f>'Resultater - Vestdanmark'!F317</f>
        <v>CO2 - atmosfære</v>
      </c>
      <c r="G317" s="98" t="str">
        <f>'Resultater - Vestdanmark'!G317</f>
        <v>t CO2-ækvivalenter</v>
      </c>
      <c r="H317" s="275">
        <f>'Resultater - Vestdanmark'!H317+'Resultater - Østdanmark'!H317</f>
        <v>10087.55463371877</v>
      </c>
      <c r="I317" s="276">
        <f>'Resultater - Vestdanmark'!I317+'Resultater - Østdanmark'!I317</f>
        <v>11116.718016818617</v>
      </c>
      <c r="J317" s="277">
        <f>'Resultater - Vestdanmark'!J317+'Resultater - Østdanmark'!J317</f>
        <v>14410.560392172278</v>
      </c>
    </row>
    <row r="318" spans="1:10" x14ac:dyDescent="0.25">
      <c r="A318" s="98" t="str">
        <f>'Resultater - Vestdanmark'!A318</f>
        <v>Majsmark</v>
      </c>
      <c r="B318" s="98" t="str">
        <f>'Resultater - Vestdanmark'!B318</f>
        <v>Økologisk</v>
      </c>
      <c r="C318" s="98" t="str">
        <f>'Resultater - Vestdanmark'!C318</f>
        <v>OC12</v>
      </c>
      <c r="D318" s="98" t="str">
        <f>'Resultater - Vestdanmark'!D318</f>
        <v>Areal-majs</v>
      </c>
      <c r="E318" s="98" t="str">
        <f>'Resultater - Vestdanmark'!E318</f>
        <v>Hektar</v>
      </c>
      <c r="F318" s="98" t="str">
        <f>'Resultater - Vestdanmark'!F318</f>
        <v>Majs</v>
      </c>
      <c r="G318" s="98" t="str">
        <f>'Resultater - Vestdanmark'!G318</f>
        <v>Ton</v>
      </c>
      <c r="H318" s="275">
        <f>'Resultater - Vestdanmark'!H318+'Resultater - Østdanmark'!H318</f>
        <v>11095.097161555068</v>
      </c>
      <c r="I318" s="276">
        <f>'Resultater - Vestdanmark'!I318+'Resultater - Østdanmark'!I318</f>
        <v>12818.565572565367</v>
      </c>
      <c r="J318" s="277">
        <f>'Resultater - Vestdanmark'!J318+'Resultater - Østdanmark'!J318</f>
        <v>17825.707030671503</v>
      </c>
    </row>
    <row r="319" spans="1:10" x14ac:dyDescent="0.25">
      <c r="A319" s="98" t="str">
        <f>'Resultater - Vestdanmark'!A319</f>
        <v>Majsmark</v>
      </c>
      <c r="B319" s="98" t="str">
        <f>'Resultater - Vestdanmark'!B319</f>
        <v>Økologisk</v>
      </c>
      <c r="C319" s="98" t="str">
        <f>'Resultater - Vestdanmark'!C319</f>
        <v>OC12</v>
      </c>
      <c r="D319" s="98" t="str">
        <f>'Resultater - Vestdanmark'!D319</f>
        <v>Areal-majs</v>
      </c>
      <c r="E319" s="98" t="str">
        <f>'Resultater - Vestdanmark'!E319</f>
        <v>Hektar</v>
      </c>
      <c r="F319" s="98" t="str">
        <f>'Resultater - Vestdanmark'!F319</f>
        <v>Gødning</v>
      </c>
      <c r="G319" s="98" t="str">
        <f>'Resultater - Vestdanmark'!G319</f>
        <v>kg N</v>
      </c>
      <c r="H319" s="275">
        <f>'Resultater - Vestdanmark'!H319+'Resultater - Østdanmark'!H319</f>
        <v>-17805.143565739752</v>
      </c>
      <c r="I319" s="276">
        <f>'Resultater - Vestdanmark'!I319+'Resultater - Østdanmark'!I319</f>
        <v>-19189.294762953905</v>
      </c>
      <c r="J319" s="277">
        <f>'Resultater - Vestdanmark'!J319+'Resultater - Østdanmark'!J319</f>
        <v>-24875.011729755064</v>
      </c>
    </row>
    <row r="320" spans="1:10" x14ac:dyDescent="0.25">
      <c r="A320" s="98" t="str">
        <f>'Resultater - Vestdanmark'!A320</f>
        <v>Majsmark</v>
      </c>
      <c r="B320" s="98" t="str">
        <f>'Resultater - Vestdanmark'!B320</f>
        <v>Økologisk</v>
      </c>
      <c r="C320" s="98" t="str">
        <f>'Resultater - Vestdanmark'!C320</f>
        <v>OC12</v>
      </c>
      <c r="D320" s="98" t="str">
        <f>'Resultater - Vestdanmark'!D320</f>
        <v>Areal-majs</v>
      </c>
      <c r="E320" s="98" t="str">
        <f>'Resultater - Vestdanmark'!E320</f>
        <v>Hektar</v>
      </c>
      <c r="F320" s="98" t="str">
        <f>'Resultater - Vestdanmark'!F320</f>
        <v>CO2 - atmosfære</v>
      </c>
      <c r="G320" s="98" t="str">
        <f>'Resultater - Vestdanmark'!G320</f>
        <v>t CO2-ækvivalenter</v>
      </c>
      <c r="H320" s="275">
        <f>'Resultater - Vestdanmark'!H320+'Resultater - Østdanmark'!H320</f>
        <v>8784.9493671490909</v>
      </c>
      <c r="I320" s="276">
        <f>'Resultater - Vestdanmark'!I320+'Resultater - Østdanmark'!I320</f>
        <v>9467.8811356635852</v>
      </c>
      <c r="J320" s="277">
        <f>'Resultater - Vestdanmark'!J320+'Resultater - Østdanmark'!J320</f>
        <v>12273.179249934276</v>
      </c>
    </row>
    <row r="321" spans="1:10" x14ac:dyDescent="0.25">
      <c r="A321" s="98" t="str">
        <f>'Resultater - Vestdanmark'!A321</f>
        <v>Rapsmark</v>
      </c>
      <c r="B321" s="98" t="str">
        <f>'Resultater - Vestdanmark'!B321</f>
        <v>Konventionel</v>
      </c>
      <c r="C321" s="98" t="str">
        <f>'Resultater - Vestdanmark'!C321</f>
        <v>JB1-10</v>
      </c>
      <c r="D321" s="98" t="str">
        <f>'Resultater - Vestdanmark'!D321</f>
        <v>Areal-raps</v>
      </c>
      <c r="E321" s="98" t="str">
        <f>'Resultater - Vestdanmark'!E321</f>
        <v>Hektar</v>
      </c>
      <c r="F321" s="98" t="str">
        <f>'Resultater - Vestdanmark'!F321</f>
        <v>Raps</v>
      </c>
      <c r="G321" s="98" t="str">
        <f>'Resultater - Vestdanmark'!G321</f>
        <v>Ton</v>
      </c>
      <c r="H321" s="275">
        <f>'Resultater - Vestdanmark'!H321+'Resultater - Østdanmark'!H321</f>
        <v>613620.0150142312</v>
      </c>
      <c r="I321" s="276">
        <f>'Resultater - Vestdanmark'!I321+'Resultater - Østdanmark'!I321</f>
        <v>636342.11967852374</v>
      </c>
      <c r="J321" s="277">
        <f>'Resultater - Vestdanmark'!J321+'Resultater - Østdanmark'!J321</f>
        <v>641014.79835312942</v>
      </c>
    </row>
    <row r="322" spans="1:10" x14ac:dyDescent="0.25">
      <c r="A322" s="98" t="str">
        <f>'Resultater - Vestdanmark'!A322</f>
        <v>Rapsmark</v>
      </c>
      <c r="B322" s="98" t="str">
        <f>'Resultater - Vestdanmark'!B322</f>
        <v>Konventionel</v>
      </c>
      <c r="C322" s="98" t="str">
        <f>'Resultater - Vestdanmark'!C322</f>
        <v>JB1-10</v>
      </c>
      <c r="D322" s="98" t="str">
        <f>'Resultater - Vestdanmark'!D322</f>
        <v>Areal-raps</v>
      </c>
      <c r="E322" s="98" t="str">
        <f>'Resultater - Vestdanmark'!E322</f>
        <v>Hektar</v>
      </c>
      <c r="F322" s="98" t="str">
        <f>'Resultater - Vestdanmark'!F322</f>
        <v>Halm</v>
      </c>
      <c r="G322" s="98" t="str">
        <f>'Resultater - Vestdanmark'!G322</f>
        <v>Ton</v>
      </c>
      <c r="H322" s="275">
        <f>'Resultater - Vestdanmark'!H322+'Resultater - Østdanmark'!H322</f>
        <v>327737.51811917598</v>
      </c>
      <c r="I322" s="276">
        <f>'Resultater - Vestdanmark'!I322+'Resultater - Østdanmark'!I322</f>
        <v>315203.04622135824</v>
      </c>
      <c r="J322" s="277">
        <f>'Resultater - Vestdanmark'!J322+'Resultater - Østdanmark'!J322</f>
        <v>295981.61558740149</v>
      </c>
    </row>
    <row r="323" spans="1:10" x14ac:dyDescent="0.25">
      <c r="A323" s="98" t="str">
        <f>'Resultater - Vestdanmark'!A323</f>
        <v>Rapsmark</v>
      </c>
      <c r="B323" s="98" t="str">
        <f>'Resultater - Vestdanmark'!B323</f>
        <v>Konventionel</v>
      </c>
      <c r="C323" s="98" t="str">
        <f>'Resultater - Vestdanmark'!C323</f>
        <v>JB1-10</v>
      </c>
      <c r="D323" s="98" t="str">
        <f>'Resultater - Vestdanmark'!D323</f>
        <v>Areal-raps</v>
      </c>
      <c r="E323" s="98" t="str">
        <f>'Resultater - Vestdanmark'!E323</f>
        <v>Hektar</v>
      </c>
      <c r="F323" s="98" t="str">
        <f>'Resultater - Vestdanmark'!F323</f>
        <v>Gødning</v>
      </c>
      <c r="G323" s="98" t="str">
        <f>'Resultater - Vestdanmark'!G323</f>
        <v>kg N</v>
      </c>
      <c r="H323" s="275">
        <f>'Resultater - Vestdanmark'!H323+'Resultater - Østdanmark'!H323</f>
        <v>-24405341.506247833</v>
      </c>
      <c r="I323" s="276">
        <f>'Resultater - Vestdanmark'!I323+'Resultater - Østdanmark'!I323</f>
        <v>-23609199.233323783</v>
      </c>
      <c r="J323" s="277">
        <f>'Resultater - Vestdanmark'!J323+'Resultater - Østdanmark'!J323</f>
        <v>-22169484.132766336</v>
      </c>
    </row>
    <row r="324" spans="1:10" x14ac:dyDescent="0.25">
      <c r="A324" s="98" t="str">
        <f>'Resultater - Vestdanmark'!A324</f>
        <v>Rapsmark</v>
      </c>
      <c r="B324" s="98" t="str">
        <f>'Resultater - Vestdanmark'!B324</f>
        <v>Konventionel</v>
      </c>
      <c r="C324" s="98" t="str">
        <f>'Resultater - Vestdanmark'!C324</f>
        <v>JB1-10</v>
      </c>
      <c r="D324" s="98" t="str">
        <f>'Resultater - Vestdanmark'!D324</f>
        <v>Areal-raps</v>
      </c>
      <c r="E324" s="98" t="str">
        <f>'Resultater - Vestdanmark'!E324</f>
        <v>Hektar</v>
      </c>
      <c r="F324" s="98" t="str">
        <f>'Resultater - Vestdanmark'!F324</f>
        <v>CO2 - atmosfære</v>
      </c>
      <c r="G324" s="98" t="str">
        <f>'Resultater - Vestdanmark'!G324</f>
        <v>t CO2-ækvivalenter</v>
      </c>
      <c r="H324" s="275">
        <f>'Resultater - Vestdanmark'!H324+'Resultater - Østdanmark'!H324</f>
        <v>317087.35725322756</v>
      </c>
      <c r="I324" s="276">
        <f>'Resultater - Vestdanmark'!I324+'Resultater - Østdanmark'!I324</f>
        <v>306743.44752943056</v>
      </c>
      <c r="J324" s="277">
        <f>'Resultater - Vestdanmark'!J324+'Resultater - Østdanmark'!J324</f>
        <v>288037.8925870235</v>
      </c>
    </row>
    <row r="325" spans="1:10" x14ac:dyDescent="0.25">
      <c r="A325" s="98" t="str">
        <f>'Resultater - Vestdanmark'!A325</f>
        <v>Rapsmark</v>
      </c>
      <c r="B325" s="98" t="str">
        <f>'Resultater - Vestdanmark'!B325</f>
        <v>Konventionel</v>
      </c>
      <c r="C325" s="98" t="str">
        <f>'Resultater - Vestdanmark'!C325</f>
        <v>OC6</v>
      </c>
      <c r="D325" s="98" t="str">
        <f>'Resultater - Vestdanmark'!D325</f>
        <v>Areal-raps</v>
      </c>
      <c r="E325" s="98" t="str">
        <f>'Resultater - Vestdanmark'!E325</f>
        <v>Hektar</v>
      </c>
      <c r="F325" s="98" t="str">
        <f>'Resultater - Vestdanmark'!F325</f>
        <v>Raps</v>
      </c>
      <c r="G325" s="98" t="str">
        <f>'Resultater - Vestdanmark'!G325</f>
        <v>Ton</v>
      </c>
      <c r="H325" s="275">
        <f>'Resultater - Vestdanmark'!H325+'Resultater - Østdanmark'!H325</f>
        <v>13566.838006498305</v>
      </c>
      <c r="I325" s="276">
        <f>'Resultater - Vestdanmark'!I325+'Resultater - Østdanmark'!I325</f>
        <v>13134.762151756913</v>
      </c>
      <c r="J325" s="277">
        <f>'Resultater - Vestdanmark'!J325+'Resultater - Østdanmark'!J325</f>
        <v>13438.881019195247</v>
      </c>
    </row>
    <row r="326" spans="1:10" x14ac:dyDescent="0.25">
      <c r="A326" s="98" t="str">
        <f>'Resultater - Vestdanmark'!A326</f>
        <v>Rapsmark</v>
      </c>
      <c r="B326" s="98" t="str">
        <f>'Resultater - Vestdanmark'!B326</f>
        <v>Konventionel</v>
      </c>
      <c r="C326" s="98" t="str">
        <f>'Resultater - Vestdanmark'!C326</f>
        <v>OC6</v>
      </c>
      <c r="D326" s="98" t="str">
        <f>'Resultater - Vestdanmark'!D326</f>
        <v>Areal-raps</v>
      </c>
      <c r="E326" s="98" t="str">
        <f>'Resultater - Vestdanmark'!E326</f>
        <v>Hektar</v>
      </c>
      <c r="F326" s="98" t="str">
        <f>'Resultater - Vestdanmark'!F326</f>
        <v>Halm</v>
      </c>
      <c r="G326" s="98" t="str">
        <f>'Resultater - Vestdanmark'!G326</f>
        <v>Ton</v>
      </c>
      <c r="H326" s="275">
        <f>'Resultater - Vestdanmark'!H326+'Resultater - Østdanmark'!H326</f>
        <v>7246.116013460778</v>
      </c>
      <c r="I326" s="276">
        <f>'Resultater - Vestdanmark'!I326+'Resultater - Østdanmark'!I326</f>
        <v>6506.1181927079469</v>
      </c>
      <c r="J326" s="277">
        <f>'Resultater - Vestdanmark'!J326+'Resultater - Østdanmark'!J326</f>
        <v>6205.2572358197176</v>
      </c>
    </row>
    <row r="327" spans="1:10" x14ac:dyDescent="0.25">
      <c r="A327" s="98" t="str">
        <f>'Resultater - Vestdanmark'!A327</f>
        <v>Rapsmark</v>
      </c>
      <c r="B327" s="98" t="str">
        <f>'Resultater - Vestdanmark'!B327</f>
        <v>Konventionel</v>
      </c>
      <c r="C327" s="98" t="str">
        <f>'Resultater - Vestdanmark'!C327</f>
        <v>OC6</v>
      </c>
      <c r="D327" s="98" t="str">
        <f>'Resultater - Vestdanmark'!D327</f>
        <v>Areal-raps</v>
      </c>
      <c r="E327" s="98" t="str">
        <f>'Resultater - Vestdanmark'!E327</f>
        <v>Hektar</v>
      </c>
      <c r="F327" s="98" t="str">
        <f>'Resultater - Vestdanmark'!F327</f>
        <v>Gødning</v>
      </c>
      <c r="G327" s="98" t="str">
        <f>'Resultater - Vestdanmark'!G327</f>
        <v>kg N</v>
      </c>
      <c r="H327" s="275">
        <f>'Resultater - Vestdanmark'!H327+'Resultater - Østdanmark'!H327</f>
        <v>-372574.14979966939</v>
      </c>
      <c r="I327" s="276">
        <f>'Resultater - Vestdanmark'!I327+'Resultater - Østdanmark'!I327</f>
        <v>-336481.74468650221</v>
      </c>
      <c r="J327" s="277">
        <f>'Resultater - Vestdanmark'!J327+'Resultater - Østdanmark'!J327</f>
        <v>-320921.8952212304</v>
      </c>
    </row>
    <row r="328" spans="1:10" x14ac:dyDescent="0.25">
      <c r="A328" s="98" t="str">
        <f>'Resultater - Vestdanmark'!A328</f>
        <v>Rapsmark</v>
      </c>
      <c r="B328" s="98" t="str">
        <f>'Resultater - Vestdanmark'!B328</f>
        <v>Konventionel</v>
      </c>
      <c r="C328" s="98" t="str">
        <f>'Resultater - Vestdanmark'!C328</f>
        <v>OC6</v>
      </c>
      <c r="D328" s="98" t="str">
        <f>'Resultater - Vestdanmark'!D328</f>
        <v>Areal-raps</v>
      </c>
      <c r="E328" s="98" t="str">
        <f>'Resultater - Vestdanmark'!E328</f>
        <v>Hektar</v>
      </c>
      <c r="F328" s="98" t="str">
        <f>'Resultater - Vestdanmark'!F328</f>
        <v>CO2 - atmosfære</v>
      </c>
      <c r="G328" s="98" t="str">
        <f>'Resultater - Vestdanmark'!G328</f>
        <v>t CO2-ækvivalenter</v>
      </c>
      <c r="H328" s="275">
        <f>'Resultater - Vestdanmark'!H328+'Resultater - Østdanmark'!H328</f>
        <v>41090.289191876247</v>
      </c>
      <c r="I328" s="276">
        <f>'Resultater - Vestdanmark'!I328+'Resultater - Østdanmark'!I328</f>
        <v>37109.746353550465</v>
      </c>
      <c r="J328" s="277">
        <f>'Resultater - Vestdanmark'!J328+'Resultater - Østdanmark'!J328</f>
        <v>35393.688718704201</v>
      </c>
    </row>
    <row r="329" spans="1:10" x14ac:dyDescent="0.25">
      <c r="A329" s="98" t="str">
        <f>'Resultater - Vestdanmark'!A329</f>
        <v>Rapsmark</v>
      </c>
      <c r="B329" s="98" t="str">
        <f>'Resultater - Vestdanmark'!B329</f>
        <v>Konventionel</v>
      </c>
      <c r="C329" s="98" t="str">
        <f>'Resultater - Vestdanmark'!C329</f>
        <v>OC12</v>
      </c>
      <c r="D329" s="98" t="str">
        <f>'Resultater - Vestdanmark'!D329</f>
        <v>Areal-raps</v>
      </c>
      <c r="E329" s="98" t="str">
        <f>'Resultater - Vestdanmark'!E329</f>
        <v>Hektar</v>
      </c>
      <c r="F329" s="98" t="str">
        <f>'Resultater - Vestdanmark'!F329</f>
        <v>Raps</v>
      </c>
      <c r="G329" s="98" t="str">
        <f>'Resultater - Vestdanmark'!G329</f>
        <v>Ton</v>
      </c>
      <c r="H329" s="275">
        <f>'Resultater - Vestdanmark'!H329+'Resultater - Østdanmark'!H329</f>
        <v>6570.1536799285823</v>
      </c>
      <c r="I329" s="276">
        <f>'Resultater - Vestdanmark'!I329+'Resultater - Østdanmark'!I329</f>
        <v>6254.3444938717212</v>
      </c>
      <c r="J329" s="277">
        <f>'Resultater - Vestdanmark'!J329+'Resultater - Østdanmark'!J329</f>
        <v>6399.1559599697976</v>
      </c>
    </row>
    <row r="330" spans="1:10" x14ac:dyDescent="0.25">
      <c r="A330" s="98" t="str">
        <f>'Resultater - Vestdanmark'!A330</f>
        <v>Rapsmark</v>
      </c>
      <c r="B330" s="98" t="str">
        <f>'Resultater - Vestdanmark'!B330</f>
        <v>Konventionel</v>
      </c>
      <c r="C330" s="98" t="str">
        <f>'Resultater - Vestdanmark'!C330</f>
        <v>OC12</v>
      </c>
      <c r="D330" s="98" t="str">
        <f>'Resultater - Vestdanmark'!D330</f>
        <v>Areal-raps</v>
      </c>
      <c r="E330" s="98" t="str">
        <f>'Resultater - Vestdanmark'!E330</f>
        <v>Hektar</v>
      </c>
      <c r="F330" s="98" t="str">
        <f>'Resultater - Vestdanmark'!F330</f>
        <v>Halm</v>
      </c>
      <c r="G330" s="98" t="str">
        <f>'Resultater - Vestdanmark'!G330</f>
        <v>Ton</v>
      </c>
      <c r="H330" s="275">
        <f>'Resultater - Vestdanmark'!H330+'Resultater - Østdanmark'!H330</f>
        <v>3509.1519312182554</v>
      </c>
      <c r="I330" s="276">
        <f>'Resultater - Vestdanmark'!I330+'Resultater - Østdanmark'!I330</f>
        <v>3098.000864035339</v>
      </c>
      <c r="J330" s="277">
        <f>'Resultater - Vestdanmark'!J330+'Resultater - Østdanmark'!J330</f>
        <v>2954.7407084730107</v>
      </c>
    </row>
    <row r="331" spans="1:10" x14ac:dyDescent="0.25">
      <c r="A331" s="98" t="str">
        <f>'Resultater - Vestdanmark'!A331</f>
        <v>Rapsmark</v>
      </c>
      <c r="B331" s="98" t="str">
        <f>'Resultater - Vestdanmark'!B331</f>
        <v>Konventionel</v>
      </c>
      <c r="C331" s="98" t="str">
        <f>'Resultater - Vestdanmark'!C331</f>
        <v>OC12</v>
      </c>
      <c r="D331" s="98" t="str">
        <f>'Resultater - Vestdanmark'!D331</f>
        <v>Areal-raps</v>
      </c>
      <c r="E331" s="98" t="str">
        <f>'Resultater - Vestdanmark'!E331</f>
        <v>Hektar</v>
      </c>
      <c r="F331" s="98" t="str">
        <f>'Resultater - Vestdanmark'!F331</f>
        <v>Gødning</v>
      </c>
      <c r="G331" s="98" t="str">
        <f>'Resultater - Vestdanmark'!G331</f>
        <v>kg N</v>
      </c>
      <c r="H331" s="275">
        <f>'Resultater - Vestdanmark'!H331+'Resultater - Østdanmark'!H331</f>
        <v>-122657.08980386153</v>
      </c>
      <c r="I331" s="276">
        <f>'Resultater - Vestdanmark'!I331+'Resultater - Østdanmark'!I331</f>
        <v>-108919.12446623133</v>
      </c>
      <c r="J331" s="277">
        <f>'Resultater - Vestdanmark'!J331+'Resultater - Østdanmark'!J331</f>
        <v>-103882.40194756167</v>
      </c>
    </row>
    <row r="332" spans="1:10" x14ac:dyDescent="0.25">
      <c r="A332" s="98" t="str">
        <f>'Resultater - Vestdanmark'!A332</f>
        <v>Rapsmark</v>
      </c>
      <c r="B332" s="98" t="str">
        <f>'Resultater - Vestdanmark'!B332</f>
        <v>Konventionel</v>
      </c>
      <c r="C332" s="98" t="str">
        <f>'Resultater - Vestdanmark'!C332</f>
        <v>OC12</v>
      </c>
      <c r="D332" s="98" t="str">
        <f>'Resultater - Vestdanmark'!D332</f>
        <v>Areal-raps</v>
      </c>
      <c r="E332" s="98" t="str">
        <f>'Resultater - Vestdanmark'!E332</f>
        <v>Hektar</v>
      </c>
      <c r="F332" s="98" t="str">
        <f>'Resultater - Vestdanmark'!F332</f>
        <v>CO2 - atmosfære</v>
      </c>
      <c r="G332" s="98" t="str">
        <f>'Resultater - Vestdanmark'!G332</f>
        <v>t CO2-ækvivalenter</v>
      </c>
      <c r="H332" s="275">
        <f>'Resultater - Vestdanmark'!H332+'Resultater - Østdanmark'!H332</f>
        <v>43678.396988286549</v>
      </c>
      <c r="I332" s="276">
        <f>'Resultater - Vestdanmark'!I332+'Resultater - Østdanmark'!I332</f>
        <v>38786.28431230619</v>
      </c>
      <c r="J332" s="277">
        <f>'Resultater - Vestdanmark'!J332+'Resultater - Østdanmark'!J332</f>
        <v>36992.69891058105</v>
      </c>
    </row>
    <row r="333" spans="1:10" x14ac:dyDescent="0.25">
      <c r="A333" s="98" t="str">
        <f>'Resultater - Vestdanmark'!A333</f>
        <v>Rapsmark</v>
      </c>
      <c r="B333" s="98" t="str">
        <f>'Resultater - Vestdanmark'!B333</f>
        <v>Økologisk</v>
      </c>
      <c r="C333" s="98" t="str">
        <f>'Resultater - Vestdanmark'!C333</f>
        <v>JB1-10</v>
      </c>
      <c r="D333" s="98" t="str">
        <f>'Resultater - Vestdanmark'!D333</f>
        <v>Areal-raps</v>
      </c>
      <c r="E333" s="98" t="str">
        <f>'Resultater - Vestdanmark'!E333</f>
        <v>Hektar</v>
      </c>
      <c r="F333" s="98" t="str">
        <f>'Resultater - Vestdanmark'!F333</f>
        <v>Raps</v>
      </c>
      <c r="G333" s="98" t="str">
        <f>'Resultater - Vestdanmark'!G333</f>
        <v>Ton</v>
      </c>
      <c r="H333" s="275">
        <f>'Resultater - Vestdanmark'!H333+'Resultater - Østdanmark'!H333</f>
        <v>43152.111373008069</v>
      </c>
      <c r="I333" s="276">
        <f>'Resultater - Vestdanmark'!I333+'Resultater - Østdanmark'!I333</f>
        <v>54622.430504196993</v>
      </c>
      <c r="J333" s="277">
        <f>'Resultater - Vestdanmark'!J333+'Resultater - Østdanmark'!J333</f>
        <v>74785.059807865109</v>
      </c>
    </row>
    <row r="334" spans="1:10" x14ac:dyDescent="0.25">
      <c r="A334" s="98" t="str">
        <f>'Resultater - Vestdanmark'!A334</f>
        <v>Rapsmark</v>
      </c>
      <c r="B334" s="98" t="str">
        <f>'Resultater - Vestdanmark'!B334</f>
        <v>Økologisk</v>
      </c>
      <c r="C334" s="98" t="str">
        <f>'Resultater - Vestdanmark'!C334</f>
        <v>JB1-10</v>
      </c>
      <c r="D334" s="98" t="str">
        <f>'Resultater - Vestdanmark'!D334</f>
        <v>Areal-raps</v>
      </c>
      <c r="E334" s="98" t="str">
        <f>'Resultater - Vestdanmark'!E334</f>
        <v>Hektar</v>
      </c>
      <c r="F334" s="98" t="str">
        <f>'Resultater - Vestdanmark'!F334</f>
        <v>Halm</v>
      </c>
      <c r="G334" s="98" t="str">
        <f>'Resultater - Vestdanmark'!G334</f>
        <v>Ton</v>
      </c>
      <c r="H334" s="275">
        <f>'Resultater - Vestdanmark'!H334+'Resultater - Østdanmark'!H334</f>
        <v>23047.758444880474</v>
      </c>
      <c r="I334" s="276">
        <f>'Resultater - Vestdanmark'!I334+'Resultater - Østdanmark'!I334</f>
        <v>27056.446453105033</v>
      </c>
      <c r="J334" s="277">
        <f>'Resultater - Vestdanmark'!J334+'Resultater - Østdanmark'!J334</f>
        <v>34531.188485196843</v>
      </c>
    </row>
    <row r="335" spans="1:10" x14ac:dyDescent="0.25">
      <c r="A335" s="98" t="str">
        <f>'Resultater - Vestdanmark'!A335</f>
        <v>Rapsmark</v>
      </c>
      <c r="B335" s="98" t="str">
        <f>'Resultater - Vestdanmark'!B335</f>
        <v>Økologisk</v>
      </c>
      <c r="C335" s="98" t="str">
        <f>'Resultater - Vestdanmark'!C335</f>
        <v>JB1-10</v>
      </c>
      <c r="D335" s="98" t="str">
        <f>'Resultater - Vestdanmark'!D335</f>
        <v>Areal-raps</v>
      </c>
      <c r="E335" s="98" t="str">
        <f>'Resultater - Vestdanmark'!E335</f>
        <v>Hektar</v>
      </c>
      <c r="F335" s="98" t="str">
        <f>'Resultater - Vestdanmark'!F335</f>
        <v>Gødning</v>
      </c>
      <c r="G335" s="98" t="str">
        <f>'Resultater - Vestdanmark'!G335</f>
        <v>kg N</v>
      </c>
      <c r="H335" s="275">
        <f>'Resultater - Vestdanmark'!H335+'Resultater - Østdanmark'!H335</f>
        <v>-1716277.1568810029</v>
      </c>
      <c r="I335" s="276">
        <f>'Resultater - Vestdanmark'!I335+'Resultater - Østdanmark'!I335</f>
        <v>-2026569.9919934007</v>
      </c>
      <c r="J335" s="277">
        <f>'Resultater - Vestdanmark'!J335+'Resultater - Østdanmark'!J335</f>
        <v>-2586439.8154894062</v>
      </c>
    </row>
    <row r="336" spans="1:10" x14ac:dyDescent="0.25">
      <c r="A336" s="98" t="str">
        <f>'Resultater - Vestdanmark'!A336</f>
        <v>Rapsmark</v>
      </c>
      <c r="B336" s="98" t="str">
        <f>'Resultater - Vestdanmark'!B336</f>
        <v>Økologisk</v>
      </c>
      <c r="C336" s="98" t="str">
        <f>'Resultater - Vestdanmark'!C336</f>
        <v>JB1-10</v>
      </c>
      <c r="D336" s="98" t="str">
        <f>'Resultater - Vestdanmark'!D336</f>
        <v>Areal-raps</v>
      </c>
      <c r="E336" s="98" t="str">
        <f>'Resultater - Vestdanmark'!E336</f>
        <v>Hektar</v>
      </c>
      <c r="F336" s="98" t="str">
        <f>'Resultater - Vestdanmark'!F336</f>
        <v>CO2 - atmosfære</v>
      </c>
      <c r="G336" s="98" t="str">
        <f>'Resultater - Vestdanmark'!G336</f>
        <v>t CO2-ækvivalenter</v>
      </c>
      <c r="H336" s="275">
        <f>'Resultater - Vestdanmark'!H336+'Resultater - Østdanmark'!H336</f>
        <v>40543.269658642035</v>
      </c>
      <c r="I336" s="276">
        <f>'Resultater - Vestdanmark'!I336+'Resultater - Østdanmark'!I336</f>
        <v>47873.254816731947</v>
      </c>
      <c r="J336" s="277">
        <f>'Resultater - Vestdanmark'!J336+'Resultater - Østdanmark'!J336</f>
        <v>61098.946912398926</v>
      </c>
    </row>
    <row r="337" spans="1:10" x14ac:dyDescent="0.25">
      <c r="A337" s="98" t="str">
        <f>'Resultater - Vestdanmark'!A337</f>
        <v>Rapsmark</v>
      </c>
      <c r="B337" s="98" t="str">
        <f>'Resultater - Vestdanmark'!B337</f>
        <v>Økologisk</v>
      </c>
      <c r="C337" s="98" t="str">
        <f>'Resultater - Vestdanmark'!C337</f>
        <v>OC6</v>
      </c>
      <c r="D337" s="98" t="str">
        <f>'Resultater - Vestdanmark'!D337</f>
        <v>Areal-raps</v>
      </c>
      <c r="E337" s="98" t="str">
        <f>'Resultater - Vestdanmark'!E337</f>
        <v>Hektar</v>
      </c>
      <c r="F337" s="98" t="str">
        <f>'Resultater - Vestdanmark'!F337</f>
        <v>Raps</v>
      </c>
      <c r="G337" s="98" t="str">
        <f>'Resultater - Vestdanmark'!G337</f>
        <v>Ton</v>
      </c>
      <c r="H337" s="275">
        <f>'Resultater - Vestdanmark'!H337+'Resultater - Østdanmark'!H337</f>
        <v>954.07204835454411</v>
      </c>
      <c r="I337" s="276">
        <f>'Resultater - Vestdanmark'!I337+'Resultater - Østdanmark'!I337</f>
        <v>1127.4636875930069</v>
      </c>
      <c r="J337" s="277">
        <f>'Resultater - Vestdanmark'!J337+'Resultater - Østdanmark'!J337</f>
        <v>1567.869452239446</v>
      </c>
    </row>
    <row r="338" spans="1:10" x14ac:dyDescent="0.25">
      <c r="A338" s="98" t="str">
        <f>'Resultater - Vestdanmark'!A338</f>
        <v>Rapsmark</v>
      </c>
      <c r="B338" s="98" t="str">
        <f>'Resultater - Vestdanmark'!B338</f>
        <v>Økologisk</v>
      </c>
      <c r="C338" s="98" t="str">
        <f>'Resultater - Vestdanmark'!C338</f>
        <v>OC6</v>
      </c>
      <c r="D338" s="98" t="str">
        <f>'Resultater - Vestdanmark'!D338</f>
        <v>Areal-raps</v>
      </c>
      <c r="E338" s="98" t="str">
        <f>'Resultater - Vestdanmark'!E338</f>
        <v>Hektar</v>
      </c>
      <c r="F338" s="98" t="str">
        <f>'Resultater - Vestdanmark'!F338</f>
        <v>Halm</v>
      </c>
      <c r="G338" s="98" t="str">
        <f>'Resultater - Vestdanmark'!G338</f>
        <v>Ton</v>
      </c>
      <c r="H338" s="275">
        <f>'Resultater - Vestdanmark'!H338+'Resultater - Østdanmark'!H338</f>
        <v>509.57465138640373</v>
      </c>
      <c r="I338" s="276">
        <f>'Resultater - Vestdanmark'!I338+'Resultater - Østdanmark'!I338</f>
        <v>558.47315122377472</v>
      </c>
      <c r="J338" s="277">
        <f>'Resultater - Vestdanmark'!J338+'Resultater - Østdanmark'!J338</f>
        <v>723.94667751230054</v>
      </c>
    </row>
    <row r="339" spans="1:10" x14ac:dyDescent="0.25">
      <c r="A339" s="98" t="str">
        <f>'Resultater - Vestdanmark'!A339</f>
        <v>Rapsmark</v>
      </c>
      <c r="B339" s="98" t="str">
        <f>'Resultater - Vestdanmark'!B339</f>
        <v>Økologisk</v>
      </c>
      <c r="C339" s="98" t="str">
        <f>'Resultater - Vestdanmark'!C339</f>
        <v>OC6</v>
      </c>
      <c r="D339" s="98" t="str">
        <f>'Resultater - Vestdanmark'!D339</f>
        <v>Areal-raps</v>
      </c>
      <c r="E339" s="98" t="str">
        <f>'Resultater - Vestdanmark'!E339</f>
        <v>Hektar</v>
      </c>
      <c r="F339" s="98" t="str">
        <f>'Resultater - Vestdanmark'!F339</f>
        <v>Gødning</v>
      </c>
      <c r="G339" s="98" t="str">
        <f>'Resultater - Vestdanmark'!G339</f>
        <v>kg N</v>
      </c>
      <c r="H339" s="275">
        <f>'Resultater - Vestdanmark'!H339+'Resultater - Østdanmark'!H339</f>
        <v>-26200.842237009252</v>
      </c>
      <c r="I339" s="276">
        <f>'Resultater - Vestdanmark'!I339+'Resultater - Østdanmark'!I339</f>
        <v>-28882.97056991074</v>
      </c>
      <c r="J339" s="277">
        <f>'Resultater - Vestdanmark'!J339+'Resultater - Østdanmark'!J339</f>
        <v>-37440.887775810217</v>
      </c>
    </row>
    <row r="340" spans="1:10" x14ac:dyDescent="0.25">
      <c r="A340" s="98" t="str">
        <f>'Resultater - Vestdanmark'!A340</f>
        <v>Rapsmark</v>
      </c>
      <c r="B340" s="98" t="str">
        <f>'Resultater - Vestdanmark'!B340</f>
        <v>Økologisk</v>
      </c>
      <c r="C340" s="98" t="str">
        <f>'Resultater - Vestdanmark'!C340</f>
        <v>OC6</v>
      </c>
      <c r="D340" s="98" t="str">
        <f>'Resultater - Vestdanmark'!D340</f>
        <v>Areal-raps</v>
      </c>
      <c r="E340" s="98" t="str">
        <f>'Resultater - Vestdanmark'!E340</f>
        <v>Hektar</v>
      </c>
      <c r="F340" s="98" t="str">
        <f>'Resultater - Vestdanmark'!F340</f>
        <v>CO2 - atmosfære</v>
      </c>
      <c r="G340" s="98" t="str">
        <f>'Resultater - Vestdanmark'!G340</f>
        <v>t CO2-ækvivalenter</v>
      </c>
      <c r="H340" s="275">
        <f>'Resultater - Vestdanmark'!H340+'Resultater - Østdanmark'!H340</f>
        <v>5253.8665984320505</v>
      </c>
      <c r="I340" s="276">
        <f>'Resultater - Vestdanmark'!I340+'Resultater - Østdanmark'!I340</f>
        <v>5791.6945176061427</v>
      </c>
      <c r="J340" s="277">
        <f>'Resultater - Vestdanmark'!J340+'Resultater - Østdanmark'!J340</f>
        <v>7507.7521524524063</v>
      </c>
    </row>
    <row r="341" spans="1:10" x14ac:dyDescent="0.25">
      <c r="A341" s="98" t="str">
        <f>'Resultater - Vestdanmark'!A341</f>
        <v>Rapsmark</v>
      </c>
      <c r="B341" s="98" t="str">
        <f>'Resultater - Vestdanmark'!B341</f>
        <v>Økologisk</v>
      </c>
      <c r="C341" s="98" t="str">
        <f>'Resultater - Vestdanmark'!C341</f>
        <v>OC12</v>
      </c>
      <c r="D341" s="98" t="str">
        <f>'Resultater - Vestdanmark'!D341</f>
        <v>Areal-raps</v>
      </c>
      <c r="E341" s="98" t="str">
        <f>'Resultater - Vestdanmark'!E341</f>
        <v>Hektar</v>
      </c>
      <c r="F341" s="98" t="str">
        <f>'Resultater - Vestdanmark'!F341</f>
        <v>Raps</v>
      </c>
      <c r="G341" s="98" t="str">
        <f>'Resultater - Vestdanmark'!G341</f>
        <v>Ton</v>
      </c>
      <c r="H341" s="275">
        <f>'Resultater - Vestdanmark'!H341+'Resultater - Østdanmark'!H341</f>
        <v>462.03838922607775</v>
      </c>
      <c r="I341" s="276">
        <f>'Resultater - Vestdanmark'!I341+'Resultater - Østdanmark'!I341</f>
        <v>536.86136262424895</v>
      </c>
      <c r="J341" s="277">
        <f>'Resultater - Vestdanmark'!J341+'Resultater - Østdanmark'!J341</f>
        <v>746.56819532980978</v>
      </c>
    </row>
    <row r="342" spans="1:10" x14ac:dyDescent="0.25">
      <c r="A342" s="98" t="str">
        <f>'Resultater - Vestdanmark'!A342</f>
        <v>Rapsmark</v>
      </c>
      <c r="B342" s="98" t="str">
        <f>'Resultater - Vestdanmark'!B342</f>
        <v>Økologisk</v>
      </c>
      <c r="C342" s="98" t="str">
        <f>'Resultater - Vestdanmark'!C342</f>
        <v>OC12</v>
      </c>
      <c r="D342" s="98" t="str">
        <f>'Resultater - Vestdanmark'!D342</f>
        <v>Areal-raps</v>
      </c>
      <c r="E342" s="98" t="str">
        <f>'Resultater - Vestdanmark'!E342</f>
        <v>Hektar</v>
      </c>
      <c r="F342" s="98" t="str">
        <f>'Resultater - Vestdanmark'!F342</f>
        <v>Halm</v>
      </c>
      <c r="G342" s="98" t="str">
        <f>'Resultater - Vestdanmark'!G342</f>
        <v>Ton</v>
      </c>
      <c r="H342" s="275">
        <f>'Resultater - Vestdanmark'!H342+'Resultater - Østdanmark'!H342</f>
        <v>246.77701387759424</v>
      </c>
      <c r="I342" s="276">
        <f>'Resultater - Vestdanmark'!I342+'Resultater - Østdanmark'!I342</f>
        <v>265.92666376257102</v>
      </c>
      <c r="J342" s="277">
        <f>'Resultater - Vestdanmark'!J342+'Resultater - Østdanmark'!J342</f>
        <v>344.71974932185128</v>
      </c>
    </row>
    <row r="343" spans="1:10" x14ac:dyDescent="0.25">
      <c r="A343" s="98" t="str">
        <f>'Resultater - Vestdanmark'!A343</f>
        <v>Rapsmark</v>
      </c>
      <c r="B343" s="98" t="str">
        <f>'Resultater - Vestdanmark'!B343</f>
        <v>Økologisk</v>
      </c>
      <c r="C343" s="98" t="str">
        <f>'Resultater - Vestdanmark'!C343</f>
        <v>OC12</v>
      </c>
      <c r="D343" s="98" t="str">
        <f>'Resultater - Vestdanmark'!D343</f>
        <v>Areal-raps</v>
      </c>
      <c r="E343" s="98" t="str">
        <f>'Resultater - Vestdanmark'!E343</f>
        <v>Hektar</v>
      </c>
      <c r="F343" s="98" t="str">
        <f>'Resultater - Vestdanmark'!F343</f>
        <v>Gødning</v>
      </c>
      <c r="G343" s="98" t="str">
        <f>'Resultater - Vestdanmark'!G343</f>
        <v>kg N</v>
      </c>
      <c r="H343" s="275">
        <f>'Resultater - Vestdanmark'!H343+'Resultater - Østdanmark'!H343</f>
        <v>-8625.7166819803479</v>
      </c>
      <c r="I343" s="276">
        <f>'Resultater - Vestdanmark'!I343+'Resultater - Østdanmark'!I343</f>
        <v>-9349.4161752805521</v>
      </c>
      <c r="J343" s="277">
        <f>'Resultater - Vestdanmark'!J343+'Resultater - Østdanmark'!J343</f>
        <v>-12119.61356054886</v>
      </c>
    </row>
    <row r="344" spans="1:10" x14ac:dyDescent="0.25">
      <c r="A344" s="98" t="str">
        <f>'Resultater - Vestdanmark'!A344</f>
        <v>Rapsmark</v>
      </c>
      <c r="B344" s="98" t="str">
        <f>'Resultater - Vestdanmark'!B344</f>
        <v>Økologisk</v>
      </c>
      <c r="C344" s="98" t="str">
        <f>'Resultater - Vestdanmark'!C344</f>
        <v>OC12</v>
      </c>
      <c r="D344" s="98" t="str">
        <f>'Resultater - Vestdanmark'!D344</f>
        <v>Areal-raps</v>
      </c>
      <c r="E344" s="98" t="str">
        <f>'Resultater - Vestdanmark'!E344</f>
        <v>Hektar</v>
      </c>
      <c r="F344" s="98" t="str">
        <f>'Resultater - Vestdanmark'!F344</f>
        <v>CO2 - atmosfære</v>
      </c>
      <c r="G344" s="98" t="str">
        <f>'Resultater - Vestdanmark'!G344</f>
        <v>t CO2-ækvivalenter</v>
      </c>
      <c r="H344" s="275">
        <f>'Resultater - Vestdanmark'!H344+'Resultater - Østdanmark'!H344</f>
        <v>5584.7859804107484</v>
      </c>
      <c r="I344" s="276">
        <f>'Resultater - Vestdanmark'!I344+'Resultater - Østdanmark'!I344</f>
        <v>6053.3507308223543</v>
      </c>
      <c r="J344" s="277">
        <f>'Resultater - Vestdanmark'!J344+'Resultater - Østdanmark'!J344</f>
        <v>7846.9361325474947</v>
      </c>
    </row>
    <row r="345" spans="1:10" x14ac:dyDescent="0.25">
      <c r="A345" s="98" t="str">
        <f>'Resultater - Vestdanmark'!A345</f>
        <v>Frøgræsmark</v>
      </c>
      <c r="B345" s="98" t="str">
        <f>'Resultater - Vestdanmark'!B345</f>
        <v>Konventionel</v>
      </c>
      <c r="C345" s="98" t="str">
        <f>'Resultater - Vestdanmark'!C345</f>
        <v>JB1-10</v>
      </c>
      <c r="D345" s="98" t="str">
        <f>'Resultater - Vestdanmark'!D345</f>
        <v>Areal-frøgræs</v>
      </c>
      <c r="E345" s="98" t="str">
        <f>'Resultater - Vestdanmark'!E345</f>
        <v>Hektar</v>
      </c>
      <c r="F345" s="98" t="str">
        <f>'Resultater - Vestdanmark'!F345</f>
        <v>Frø</v>
      </c>
      <c r="G345" s="98" t="str">
        <f>'Resultater - Vestdanmark'!G345</f>
        <v>Ton</v>
      </c>
      <c r="H345" s="275">
        <f>'Resultater - Vestdanmark'!H345+'Resultater - Østdanmark'!H345</f>
        <v>1241441.5414695307</v>
      </c>
      <c r="I345" s="276">
        <f>'Resultater - Vestdanmark'!I345+'Resultater - Østdanmark'!I345</f>
        <v>1288261.9227973837</v>
      </c>
      <c r="J345" s="277">
        <f>'Resultater - Vestdanmark'!J345+'Resultater - Østdanmark'!J345</f>
        <v>1299316.8989705339</v>
      </c>
    </row>
    <row r="346" spans="1:10" x14ac:dyDescent="0.25">
      <c r="A346" s="98" t="str">
        <f>'Resultater - Vestdanmark'!A346</f>
        <v>Frøgræsmark</v>
      </c>
      <c r="B346" s="98" t="str">
        <f>'Resultater - Vestdanmark'!B346</f>
        <v>Konventionel</v>
      </c>
      <c r="C346" s="98" t="str">
        <f>'Resultater - Vestdanmark'!C346</f>
        <v>JB1-10</v>
      </c>
      <c r="D346" s="98" t="str">
        <f>'Resultater - Vestdanmark'!D346</f>
        <v>Areal-frøgræs</v>
      </c>
      <c r="E346" s="98" t="str">
        <f>'Resultater - Vestdanmark'!E346</f>
        <v>Hektar</v>
      </c>
      <c r="F346" s="98" t="str">
        <f>'Resultater - Vestdanmark'!F346</f>
        <v>Halm</v>
      </c>
      <c r="G346" s="98" t="str">
        <f>'Resultater - Vestdanmark'!G346</f>
        <v>Ton</v>
      </c>
      <c r="H346" s="275">
        <f>'Resultater - Vestdanmark'!H346+'Resultater - Østdanmark'!H346</f>
        <v>206239.95017814124</v>
      </c>
      <c r="I346" s="276">
        <f>'Resultater - Vestdanmark'!I346+'Resultater - Østdanmark'!I346</f>
        <v>198483.21408403112</v>
      </c>
      <c r="J346" s="277">
        <f>'Resultater - Vestdanmark'!J346+'Resultater - Østdanmark'!J346</f>
        <v>186608.59600526781</v>
      </c>
    </row>
    <row r="347" spans="1:10" x14ac:dyDescent="0.25">
      <c r="A347" s="98" t="str">
        <f>'Resultater - Vestdanmark'!A347</f>
        <v>Frøgræsmark</v>
      </c>
      <c r="B347" s="98" t="str">
        <f>'Resultater - Vestdanmark'!B347</f>
        <v>Konventionel</v>
      </c>
      <c r="C347" s="98" t="str">
        <f>'Resultater - Vestdanmark'!C347</f>
        <v>JB1-10</v>
      </c>
      <c r="D347" s="98" t="str">
        <f>'Resultater - Vestdanmark'!D347</f>
        <v>Areal-frøgræs</v>
      </c>
      <c r="E347" s="98" t="str">
        <f>'Resultater - Vestdanmark'!E347</f>
        <v>Hektar</v>
      </c>
      <c r="F347" s="98" t="str">
        <f>'Resultater - Vestdanmark'!F347</f>
        <v>Gødning</v>
      </c>
      <c r="G347" s="98" t="str">
        <f>'Resultater - Vestdanmark'!G347</f>
        <v>kg N</v>
      </c>
      <c r="H347" s="275">
        <f>'Resultater - Vestdanmark'!H347+'Resultater - Østdanmark'!H347</f>
        <v>-13032265.787648994</v>
      </c>
      <c r="I347" s="276">
        <f>'Resultater - Vestdanmark'!I347+'Resultater - Østdanmark'!I347</f>
        <v>-12615458.522290116</v>
      </c>
      <c r="J347" s="277">
        <f>'Resultater - Vestdanmark'!J347+'Resultater - Østdanmark'!J347</f>
        <v>-11860715.847792447</v>
      </c>
    </row>
    <row r="348" spans="1:10" x14ac:dyDescent="0.25">
      <c r="A348" s="98" t="str">
        <f>'Resultater - Vestdanmark'!A348</f>
        <v>Frøgræsmark</v>
      </c>
      <c r="B348" s="98" t="str">
        <f>'Resultater - Vestdanmark'!B348</f>
        <v>Konventionel</v>
      </c>
      <c r="C348" s="98" t="str">
        <f>'Resultater - Vestdanmark'!C348</f>
        <v>JB1-10</v>
      </c>
      <c r="D348" s="98" t="str">
        <f>'Resultater - Vestdanmark'!D348</f>
        <v>Areal-frøgræs</v>
      </c>
      <c r="E348" s="98" t="str">
        <f>'Resultater - Vestdanmark'!E348</f>
        <v>Hektar</v>
      </c>
      <c r="F348" s="98" t="str">
        <f>'Resultater - Vestdanmark'!F348</f>
        <v>CO2 - atmosfære</v>
      </c>
      <c r="G348" s="98" t="str">
        <f>'Resultater - Vestdanmark'!G348</f>
        <v>t CO2-ækvivalenter</v>
      </c>
      <c r="H348" s="275">
        <f>'Resultater - Vestdanmark'!H348+'Resultater - Østdanmark'!H348</f>
        <v>197542.59544633992</v>
      </c>
      <c r="I348" s="276">
        <f>'Resultater - Vestdanmark'!I348+'Resultater - Østdanmark'!I348</f>
        <v>191224.64656918327</v>
      </c>
      <c r="J348" s="277">
        <f>'Resultater - Vestdanmark'!J348+'Resultater - Østdanmark'!J348</f>
        <v>179784.28544980817</v>
      </c>
    </row>
    <row r="349" spans="1:10" x14ac:dyDescent="0.25">
      <c r="A349" s="98" t="str">
        <f>'Resultater - Vestdanmark'!A349</f>
        <v>Frøgræsmark</v>
      </c>
      <c r="B349" s="98" t="str">
        <f>'Resultater - Vestdanmark'!B349</f>
        <v>Konventionel</v>
      </c>
      <c r="C349" s="98" t="str">
        <f>'Resultater - Vestdanmark'!C349</f>
        <v>OC6</v>
      </c>
      <c r="D349" s="98" t="str">
        <f>'Resultater - Vestdanmark'!D349</f>
        <v>Areal-frøgræs</v>
      </c>
      <c r="E349" s="98" t="str">
        <f>'Resultater - Vestdanmark'!E349</f>
        <v>Hektar</v>
      </c>
      <c r="F349" s="98" t="str">
        <f>'Resultater - Vestdanmark'!F349</f>
        <v>Frø</v>
      </c>
      <c r="G349" s="98" t="str">
        <f>'Resultater - Vestdanmark'!G349</f>
        <v>Ton</v>
      </c>
      <c r="H349" s="275">
        <f>'Resultater - Vestdanmark'!H349+'Resultater - Østdanmark'!H349</f>
        <v>87728.525972100848</v>
      </c>
      <c r="I349" s="276">
        <f>'Resultater - Vestdanmark'!I349+'Resultater - Østdanmark'!I349</f>
        <v>84952.738113946456</v>
      </c>
      <c r="J349" s="277">
        <f>'Resultater - Vestdanmark'!J349+'Resultater - Østdanmark'!J349</f>
        <v>86919.711722032924</v>
      </c>
    </row>
    <row r="350" spans="1:10" x14ac:dyDescent="0.25">
      <c r="A350" s="98" t="str">
        <f>'Resultater - Vestdanmark'!A350</f>
        <v>Frøgræsmark</v>
      </c>
      <c r="B350" s="98" t="str">
        <f>'Resultater - Vestdanmark'!B350</f>
        <v>Konventionel</v>
      </c>
      <c r="C350" s="98" t="str">
        <f>'Resultater - Vestdanmark'!C350</f>
        <v>OC6</v>
      </c>
      <c r="D350" s="98" t="str">
        <f>'Resultater - Vestdanmark'!D350</f>
        <v>Areal-frøgræs</v>
      </c>
      <c r="E350" s="98" t="str">
        <f>'Resultater - Vestdanmark'!E350</f>
        <v>Hektar</v>
      </c>
      <c r="F350" s="98" t="str">
        <f>'Resultater - Vestdanmark'!F350</f>
        <v>Halm</v>
      </c>
      <c r="G350" s="98" t="str">
        <f>'Resultater - Vestdanmark'!G350</f>
        <v>Ton</v>
      </c>
      <c r="H350" s="275">
        <f>'Resultater - Vestdanmark'!H350+'Resultater - Østdanmark'!H350</f>
        <v>14574.288213579908</v>
      </c>
      <c r="I350" s="276">
        <f>'Resultater - Vestdanmark'!I350+'Resultater - Østdanmark'!I350</f>
        <v>13088.71449796553</v>
      </c>
      <c r="J350" s="277">
        <f>'Resultater - Vestdanmark'!J350+'Resultater - Østdanmark'!J350</f>
        <v>12483.456024071169</v>
      </c>
    </row>
    <row r="351" spans="1:10" x14ac:dyDescent="0.25">
      <c r="A351" s="98" t="str">
        <f>'Resultater - Vestdanmark'!A351</f>
        <v>Frøgræsmark</v>
      </c>
      <c r="B351" s="98" t="str">
        <f>'Resultater - Vestdanmark'!B351</f>
        <v>Konventionel</v>
      </c>
      <c r="C351" s="98" t="str">
        <f>'Resultater - Vestdanmark'!C351</f>
        <v>OC6</v>
      </c>
      <c r="D351" s="98" t="str">
        <f>'Resultater - Vestdanmark'!D351</f>
        <v>Areal-frøgræs</v>
      </c>
      <c r="E351" s="98" t="str">
        <f>'Resultater - Vestdanmark'!E351</f>
        <v>Hektar</v>
      </c>
      <c r="F351" s="98" t="str">
        <f>'Resultater - Vestdanmark'!F351</f>
        <v>Gødning</v>
      </c>
      <c r="G351" s="98" t="str">
        <f>'Resultater - Vestdanmark'!G351</f>
        <v>kg N</v>
      </c>
      <c r="H351" s="275">
        <f>'Resultater - Vestdanmark'!H351+'Resultater - Østdanmark'!H351</f>
        <v>-690710.01096458826</v>
      </c>
      <c r="I351" s="276">
        <f>'Resultater - Vestdanmark'!I351+'Resultater - Østdanmark'!I351</f>
        <v>-623932.36483945861</v>
      </c>
      <c r="J351" s="277">
        <f>'Resultater - Vestdanmark'!J351+'Resultater - Østdanmark'!J351</f>
        <v>-595080.00114746043</v>
      </c>
    </row>
    <row r="352" spans="1:10" x14ac:dyDescent="0.25">
      <c r="A352" s="98" t="str">
        <f>'Resultater - Vestdanmark'!A352</f>
        <v>Frøgræsmark</v>
      </c>
      <c r="B352" s="98" t="str">
        <f>'Resultater - Vestdanmark'!B352</f>
        <v>Konventionel</v>
      </c>
      <c r="C352" s="98" t="str">
        <f>'Resultater - Vestdanmark'!C352</f>
        <v>OC6</v>
      </c>
      <c r="D352" s="98" t="str">
        <f>'Resultater - Vestdanmark'!D352</f>
        <v>Areal-frøgræs</v>
      </c>
      <c r="E352" s="98" t="str">
        <f>'Resultater - Vestdanmark'!E352</f>
        <v>Hektar</v>
      </c>
      <c r="F352" s="98" t="str">
        <f>'Resultater - Vestdanmark'!F352</f>
        <v>CO2 - atmosfære</v>
      </c>
      <c r="G352" s="98" t="str">
        <f>'Resultater - Vestdanmark'!G352</f>
        <v>t CO2-ækvivalenter</v>
      </c>
      <c r="H352" s="275">
        <f>'Resultater - Vestdanmark'!H352+'Resultater - Østdanmark'!H352</f>
        <v>81819.432532653533</v>
      </c>
      <c r="I352" s="276">
        <f>'Resultater - Vestdanmark'!I352+'Resultater - Østdanmark'!I352</f>
        <v>73909.153218481864</v>
      </c>
      <c r="J352" s="277">
        <f>'Resultater - Vestdanmark'!J352+'Resultater - Østdanmark'!J352</f>
        <v>70491.388907800632</v>
      </c>
    </row>
    <row r="353" spans="1:10" x14ac:dyDescent="0.25">
      <c r="A353" s="98" t="str">
        <f>'Resultater - Vestdanmark'!A353</f>
        <v>Frøgræsmark</v>
      </c>
      <c r="B353" s="98" t="str">
        <f>'Resultater - Vestdanmark'!B353</f>
        <v>Konventionel</v>
      </c>
      <c r="C353" s="98" t="str">
        <f>'Resultater - Vestdanmark'!C353</f>
        <v>OC12</v>
      </c>
      <c r="D353" s="98" t="str">
        <f>'Resultater - Vestdanmark'!D353</f>
        <v>Areal-frøgræs</v>
      </c>
      <c r="E353" s="98" t="str">
        <f>'Resultater - Vestdanmark'!E353</f>
        <v>Hektar</v>
      </c>
      <c r="F353" s="98" t="str">
        <f>'Resultater - Vestdanmark'!F353</f>
        <v>Frø</v>
      </c>
      <c r="G353" s="98" t="str">
        <f>'Resultater - Vestdanmark'!G353</f>
        <v>Ton</v>
      </c>
      <c r="H353" s="275">
        <f>'Resultater - Vestdanmark'!H353+'Resultater - Østdanmark'!H353</f>
        <v>76654.605084511393</v>
      </c>
      <c r="I353" s="276">
        <f>'Resultater - Vestdanmark'!I353+'Resultater - Østdanmark'!I353</f>
        <v>73249.473027797256</v>
      </c>
      <c r="J353" s="277">
        <f>'Resultater - Vestdanmark'!J353+'Resultater - Østdanmark'!J353</f>
        <v>74945.472279271242</v>
      </c>
    </row>
    <row r="354" spans="1:10" x14ac:dyDescent="0.25">
      <c r="A354" s="98" t="str">
        <f>'Resultater - Vestdanmark'!A354</f>
        <v>Frøgræsmark</v>
      </c>
      <c r="B354" s="98" t="str">
        <f>'Resultater - Vestdanmark'!B354</f>
        <v>Konventionel</v>
      </c>
      <c r="C354" s="98" t="str">
        <f>'Resultater - Vestdanmark'!C354</f>
        <v>OC12</v>
      </c>
      <c r="D354" s="98" t="str">
        <f>'Resultater - Vestdanmark'!D354</f>
        <v>Areal-frøgræs</v>
      </c>
      <c r="E354" s="98" t="str">
        <f>'Resultater - Vestdanmark'!E354</f>
        <v>Hektar</v>
      </c>
      <c r="F354" s="98" t="str">
        <f>'Resultater - Vestdanmark'!F354</f>
        <v>Halm</v>
      </c>
      <c r="G354" s="98" t="str">
        <f>'Resultater - Vestdanmark'!G354</f>
        <v>Ton</v>
      </c>
      <c r="H354" s="275">
        <f>'Resultater - Vestdanmark'!H354+'Resultater - Østdanmark'!H354</f>
        <v>12734.584275986817</v>
      </c>
      <c r="I354" s="276">
        <f>'Resultater - Vestdanmark'!I354+'Resultater - Østdanmark'!I354</f>
        <v>11285.586090248351</v>
      </c>
      <c r="J354" s="277">
        <f>'Resultater - Vestdanmark'!J354+'Resultater - Østdanmark'!J354</f>
        <v>10763.709276826461</v>
      </c>
    </row>
    <row r="355" spans="1:10" x14ac:dyDescent="0.25">
      <c r="A355" s="98" t="str">
        <f>'Resultater - Vestdanmark'!A355</f>
        <v>Frøgræsmark</v>
      </c>
      <c r="B355" s="98" t="str">
        <f>'Resultater - Vestdanmark'!B355</f>
        <v>Konventionel</v>
      </c>
      <c r="C355" s="98" t="str">
        <f>'Resultater - Vestdanmark'!C355</f>
        <v>OC12</v>
      </c>
      <c r="D355" s="98" t="str">
        <f>'Resultater - Vestdanmark'!D355</f>
        <v>Areal-frøgræs</v>
      </c>
      <c r="E355" s="98" t="str">
        <f>'Resultater - Vestdanmark'!E355</f>
        <v>Hektar</v>
      </c>
      <c r="F355" s="98" t="str">
        <f>'Resultater - Vestdanmark'!F355</f>
        <v>Gødning</v>
      </c>
      <c r="G355" s="98" t="str">
        <f>'Resultater - Vestdanmark'!G355</f>
        <v>kg N</v>
      </c>
      <c r="H355" s="275">
        <f>'Resultater - Vestdanmark'!H355+'Resultater - Østdanmark'!H355</f>
        <v>-459826.35229782818</v>
      </c>
      <c r="I355" s="276">
        <f>'Resultater - Vestdanmark'!I355+'Resultater - Østdanmark'!I355</f>
        <v>-409888.11465793045</v>
      </c>
      <c r="J355" s="277">
        <f>'Resultater - Vestdanmark'!J355+'Resultater - Østdanmark'!J355</f>
        <v>-390933.75097432674</v>
      </c>
    </row>
    <row r="356" spans="1:10" x14ac:dyDescent="0.25">
      <c r="A356" s="98" t="str">
        <f>'Resultater - Vestdanmark'!A356</f>
        <v>Frøgræsmark</v>
      </c>
      <c r="B356" s="98" t="str">
        <f>'Resultater - Vestdanmark'!B356</f>
        <v>Konventionel</v>
      </c>
      <c r="C356" s="98" t="str">
        <f>'Resultater - Vestdanmark'!C356</f>
        <v>OC12</v>
      </c>
      <c r="D356" s="98" t="str">
        <f>'Resultater - Vestdanmark'!D356</f>
        <v>Areal-frøgræs</v>
      </c>
      <c r="E356" s="98" t="str">
        <f>'Resultater - Vestdanmark'!E356</f>
        <v>Hektar</v>
      </c>
      <c r="F356" s="98" t="str">
        <f>'Resultater - Vestdanmark'!F356</f>
        <v>CO2 - atmosfære</v>
      </c>
      <c r="G356" s="98" t="str">
        <f>'Resultater - Vestdanmark'!G356</f>
        <v>t CO2-ækvivalenter</v>
      </c>
      <c r="H356" s="275">
        <f>'Resultater - Vestdanmark'!H356+'Resultater - Østdanmark'!H356</f>
        <v>156922.23534513626</v>
      </c>
      <c r="I356" s="276">
        <f>'Resultater - Vestdanmark'!I356+'Resultater - Østdanmark'!I356</f>
        <v>139880.10663613668</v>
      </c>
      <c r="J356" s="277">
        <f>'Resultater - Vestdanmark'!J356+'Resultater - Østdanmark'!J356</f>
        <v>133411.66239862746</v>
      </c>
    </row>
    <row r="357" spans="1:10" x14ac:dyDescent="0.25">
      <c r="A357" s="98" t="str">
        <f>'Resultater - Vestdanmark'!A357</f>
        <v>Frøgræsmark</v>
      </c>
      <c r="B357" s="98" t="str">
        <f>'Resultater - Vestdanmark'!B357</f>
        <v>Økologisk</v>
      </c>
      <c r="C357" s="98" t="str">
        <f>'Resultater - Vestdanmark'!C357</f>
        <v>JB1-10</v>
      </c>
      <c r="D357" s="98" t="str">
        <f>'Resultater - Vestdanmark'!D357</f>
        <v>Areal-frøgræs</v>
      </c>
      <c r="E357" s="98" t="str">
        <f>'Resultater - Vestdanmark'!E357</f>
        <v>Hektar</v>
      </c>
      <c r="F357" s="98" t="str">
        <f>'Resultater - Vestdanmark'!F357</f>
        <v>Frø</v>
      </c>
      <c r="G357" s="98" t="str">
        <f>'Resultater - Vestdanmark'!G357</f>
        <v>Ton</v>
      </c>
      <c r="H357" s="275">
        <f>'Resultater - Vestdanmark'!H357+'Resultater - Østdanmark'!H357</f>
        <v>90477.579370643434</v>
      </c>
      <c r="I357" s="276">
        <f>'Resultater - Vestdanmark'!I357+'Resultater - Østdanmark'!I357</f>
        <v>114603.18492399847</v>
      </c>
      <c r="J357" s="277">
        <f>'Resultater - Vestdanmark'!J357+'Resultater - Østdanmark'!J357</f>
        <v>157099.22505734637</v>
      </c>
    </row>
    <row r="358" spans="1:10" x14ac:dyDescent="0.25">
      <c r="A358" s="98" t="str">
        <f>'Resultater - Vestdanmark'!A358</f>
        <v>Frøgræsmark</v>
      </c>
      <c r="B358" s="98" t="str">
        <f>'Resultater - Vestdanmark'!B358</f>
        <v>Økologisk</v>
      </c>
      <c r="C358" s="98" t="str">
        <f>'Resultater - Vestdanmark'!C358</f>
        <v>JB1-10</v>
      </c>
      <c r="D358" s="98" t="str">
        <f>'Resultater - Vestdanmark'!D358</f>
        <v>Areal-frøgræs</v>
      </c>
      <c r="E358" s="98" t="str">
        <f>'Resultater - Vestdanmark'!E358</f>
        <v>Hektar</v>
      </c>
      <c r="F358" s="98" t="str">
        <f>'Resultater - Vestdanmark'!F358</f>
        <v>Halm</v>
      </c>
      <c r="G358" s="98" t="str">
        <f>'Resultater - Vestdanmark'!G358</f>
        <v>Ton</v>
      </c>
      <c r="H358" s="275">
        <f>'Resultater - Vestdanmark'!H358+'Resultater - Østdanmark'!H358</f>
        <v>15030.986831286333</v>
      </c>
      <c r="I358" s="276">
        <f>'Resultater - Vestdanmark'!I358+'Resultater - Østdanmark'!I358</f>
        <v>17656.974940770167</v>
      </c>
      <c r="J358" s="277">
        <f>'Resultater - Vestdanmark'!J358+'Resultater - Østdanmark'!J358</f>
        <v>22562.675698818741</v>
      </c>
    </row>
    <row r="359" spans="1:10" x14ac:dyDescent="0.25">
      <c r="A359" s="98" t="str">
        <f>'Resultater - Vestdanmark'!A359</f>
        <v>Frøgræsmark</v>
      </c>
      <c r="B359" s="98" t="str">
        <f>'Resultater - Vestdanmark'!B359</f>
        <v>Økologisk</v>
      </c>
      <c r="C359" s="98" t="str">
        <f>'Resultater - Vestdanmark'!C359</f>
        <v>JB1-10</v>
      </c>
      <c r="D359" s="98" t="str">
        <f>'Resultater - Vestdanmark'!D359</f>
        <v>Areal-frøgræs</v>
      </c>
      <c r="E359" s="98" t="str">
        <f>'Resultater - Vestdanmark'!E359</f>
        <v>Hektar</v>
      </c>
      <c r="F359" s="98" t="str">
        <f>'Resultater - Vestdanmark'!F359</f>
        <v>Gødning</v>
      </c>
      <c r="G359" s="98" t="str">
        <f>'Resultater - Vestdanmark'!G359</f>
        <v>kg N</v>
      </c>
      <c r="H359" s="275">
        <f>'Resultater - Vestdanmark'!H359+'Resultater - Østdanmark'!H359</f>
        <v>-949805.38574983133</v>
      </c>
      <c r="I359" s="276">
        <f>'Resultater - Vestdanmark'!I359+'Resultater - Østdanmark'!I359</f>
        <v>-1122265.3564048836</v>
      </c>
      <c r="J359" s="277">
        <f>'Resultater - Vestdanmark'!J359+'Resultater - Østdanmark'!J359</f>
        <v>-1434068.3706876319</v>
      </c>
    </row>
    <row r="360" spans="1:10" x14ac:dyDescent="0.25">
      <c r="A360" s="98" t="str">
        <f>'Resultater - Vestdanmark'!A360</f>
        <v>Frøgræsmark</v>
      </c>
      <c r="B360" s="98" t="str">
        <f>'Resultater - Vestdanmark'!B360</f>
        <v>Økologisk</v>
      </c>
      <c r="C360" s="98" t="str">
        <f>'Resultater - Vestdanmark'!C360</f>
        <v>JB1-10</v>
      </c>
      <c r="D360" s="98" t="str">
        <f>'Resultater - Vestdanmark'!D360</f>
        <v>Areal-frøgræs</v>
      </c>
      <c r="E360" s="98" t="str">
        <f>'Resultater - Vestdanmark'!E360</f>
        <v>Hektar</v>
      </c>
      <c r="F360" s="98" t="str">
        <f>'Resultater - Vestdanmark'!F360</f>
        <v>CO2 - atmosfære</v>
      </c>
      <c r="G360" s="98" t="str">
        <f>'Resultater - Vestdanmark'!G360</f>
        <v>t CO2-ækvivalenter</v>
      </c>
      <c r="H360" s="275">
        <f>'Resultater - Vestdanmark'!H360+'Resultater - Østdanmark'!H360</f>
        <v>25258.095389318682</v>
      </c>
      <c r="I360" s="276">
        <f>'Resultater - Vestdanmark'!I360+'Resultater - Østdanmark'!I360</f>
        <v>29844.309002126869</v>
      </c>
      <c r="J360" s="277">
        <f>'Resultater - Vestdanmark'!J360+'Resultater - Østdanmark'!J360</f>
        <v>38136.060549959308</v>
      </c>
    </row>
    <row r="361" spans="1:10" x14ac:dyDescent="0.25">
      <c r="A361" s="98" t="str">
        <f>'Resultater - Vestdanmark'!A361</f>
        <v>Frøgræsmark</v>
      </c>
      <c r="B361" s="98" t="str">
        <f>'Resultater - Vestdanmark'!B361</f>
        <v>Økologisk</v>
      </c>
      <c r="C361" s="98" t="str">
        <f>'Resultater - Vestdanmark'!C361</f>
        <v>OC6</v>
      </c>
      <c r="D361" s="98" t="str">
        <f>'Resultater - Vestdanmark'!D361</f>
        <v>Areal-frøgræs</v>
      </c>
      <c r="E361" s="98" t="str">
        <f>'Resultater - Vestdanmark'!E361</f>
        <v>Hektar</v>
      </c>
      <c r="F361" s="98" t="str">
        <f>'Resultater - Vestdanmark'!F361</f>
        <v>Frø</v>
      </c>
      <c r="G361" s="98" t="str">
        <f>'Resultater - Vestdanmark'!G361</f>
        <v>Ton</v>
      </c>
      <c r="H361" s="275">
        <f>'Resultater - Vestdanmark'!H361+'Resultater - Østdanmark'!H361</f>
        <v>6393.7482407061234</v>
      </c>
      <c r="I361" s="276">
        <f>'Resultater - Vestdanmark'!I361+'Resultater - Østdanmark'!I361</f>
        <v>7557.3562981135019</v>
      </c>
      <c r="J361" s="277">
        <f>'Resultater - Vestdanmark'!J361+'Resultater - Østdanmark'!J361</f>
        <v>10509.383326391251</v>
      </c>
    </row>
    <row r="362" spans="1:10" x14ac:dyDescent="0.25">
      <c r="A362" s="98" t="str">
        <f>'Resultater - Vestdanmark'!A362</f>
        <v>Frøgræsmark</v>
      </c>
      <c r="B362" s="98" t="str">
        <f>'Resultater - Vestdanmark'!B362</f>
        <v>Økologisk</v>
      </c>
      <c r="C362" s="98" t="str">
        <f>'Resultater - Vestdanmark'!C362</f>
        <v>OC6</v>
      </c>
      <c r="D362" s="98" t="str">
        <f>'Resultater - Vestdanmark'!D362</f>
        <v>Areal-frøgræs</v>
      </c>
      <c r="E362" s="98" t="str">
        <f>'Resultater - Vestdanmark'!E362</f>
        <v>Hektar</v>
      </c>
      <c r="F362" s="98" t="str">
        <f>'Resultater - Vestdanmark'!F362</f>
        <v>Halm</v>
      </c>
      <c r="G362" s="98" t="str">
        <f>'Resultater - Vestdanmark'!G362</f>
        <v>Ton</v>
      </c>
      <c r="H362" s="275">
        <f>'Resultater - Vestdanmark'!H362+'Resultater - Østdanmark'!H362</f>
        <v>1062.1896195401109</v>
      </c>
      <c r="I362" s="276">
        <f>'Resultater - Vestdanmark'!I362+'Resultater - Østdanmark'!I362</f>
        <v>1164.3659891542745</v>
      </c>
      <c r="J362" s="277">
        <f>'Resultater - Vestdanmark'!J362+'Resultater - Østdanmark'!J362</f>
        <v>1509.3633192740594</v>
      </c>
    </row>
    <row r="363" spans="1:10" x14ac:dyDescent="0.25">
      <c r="A363" s="98" t="str">
        <f>'Resultater - Vestdanmark'!A363</f>
        <v>Frøgræsmark</v>
      </c>
      <c r="B363" s="98" t="str">
        <f>'Resultater - Vestdanmark'!B363</f>
        <v>Økologisk</v>
      </c>
      <c r="C363" s="98" t="str">
        <f>'Resultater - Vestdanmark'!C363</f>
        <v>OC6</v>
      </c>
      <c r="D363" s="98" t="str">
        <f>'Resultater - Vestdanmark'!D363</f>
        <v>Areal-frøgræs</v>
      </c>
      <c r="E363" s="98" t="str">
        <f>'Resultater - Vestdanmark'!E363</f>
        <v>Hektar</v>
      </c>
      <c r="F363" s="98" t="str">
        <f>'Resultater - Vestdanmark'!F363</f>
        <v>Gødning</v>
      </c>
      <c r="G363" s="98" t="str">
        <f>'Resultater - Vestdanmark'!G363</f>
        <v>kg N</v>
      </c>
      <c r="H363" s="275">
        <f>'Resultater - Vestdanmark'!H363+'Resultater - Østdanmark'!H363</f>
        <v>-50339.679921755182</v>
      </c>
      <c r="I363" s="276">
        <f>'Resultater - Vestdanmark'!I363+'Resultater - Østdanmark'!I363</f>
        <v>-55504.734652481304</v>
      </c>
      <c r="J363" s="277">
        <f>'Resultater - Vestdanmark'!J363+'Resultater - Østdanmark'!J363</f>
        <v>-71950.581956920214</v>
      </c>
    </row>
    <row r="364" spans="1:10" x14ac:dyDescent="0.25">
      <c r="A364" s="98" t="str">
        <f>'Resultater - Vestdanmark'!A364</f>
        <v>Frøgræsmark</v>
      </c>
      <c r="B364" s="98" t="str">
        <f>'Resultater - Vestdanmark'!B364</f>
        <v>Økologisk</v>
      </c>
      <c r="C364" s="98" t="str">
        <f>'Resultater - Vestdanmark'!C364</f>
        <v>OC6</v>
      </c>
      <c r="D364" s="98" t="str">
        <f>'Resultater - Vestdanmark'!D364</f>
        <v>Areal-frøgræs</v>
      </c>
      <c r="E364" s="98" t="str">
        <f>'Resultater - Vestdanmark'!E364</f>
        <v>Hektar</v>
      </c>
      <c r="F364" s="98" t="str">
        <f>'Resultater - Vestdanmark'!F364</f>
        <v>CO2 - atmosfære</v>
      </c>
      <c r="G364" s="98" t="str">
        <f>'Resultater - Vestdanmark'!G364</f>
        <v>t CO2-ækvivalenter</v>
      </c>
      <c r="H364" s="275">
        <f>'Resultater - Vestdanmark'!H364+'Resultater - Østdanmark'!H364</f>
        <v>10461.556541465279</v>
      </c>
      <c r="I364" s="276">
        <f>'Resultater - Vestdanmark'!I364+'Resultater - Østdanmark'!I364</f>
        <v>11534.954548549194</v>
      </c>
      <c r="J364" s="277">
        <f>'Resultater - Vestdanmark'!J364+'Resultater - Østdanmark'!J364</f>
        <v>14952.718859230434</v>
      </c>
    </row>
    <row r="365" spans="1:10" x14ac:dyDescent="0.25">
      <c r="A365" s="98" t="str">
        <f>'Resultater - Vestdanmark'!A365</f>
        <v>Frøgræsmark</v>
      </c>
      <c r="B365" s="98" t="str">
        <f>'Resultater - Vestdanmark'!B365</f>
        <v>Økologisk</v>
      </c>
      <c r="C365" s="98" t="str">
        <f>'Resultater - Vestdanmark'!C365</f>
        <v>OC12</v>
      </c>
      <c r="D365" s="98" t="str">
        <f>'Resultater - Vestdanmark'!D365</f>
        <v>Areal-frøgræs</v>
      </c>
      <c r="E365" s="98" t="str">
        <f>'Resultater - Vestdanmark'!E365</f>
        <v>Hektar</v>
      </c>
      <c r="F365" s="98" t="str">
        <f>'Resultater - Vestdanmark'!F365</f>
        <v>Frø</v>
      </c>
      <c r="G365" s="98" t="str">
        <f>'Resultater - Vestdanmark'!G365</f>
        <v>Ton</v>
      </c>
      <c r="H365" s="275">
        <f>'Resultater - Vestdanmark'!H365+'Resultater - Østdanmark'!H365</f>
        <v>5586.669113270872</v>
      </c>
      <c r="I365" s="276">
        <f>'Resultater - Vestdanmark'!I365+'Resultater - Østdanmark'!I365</f>
        <v>6516.2392479641603</v>
      </c>
      <c r="J365" s="277">
        <f>'Resultater - Vestdanmark'!J365+'Resultater - Østdanmark'!J365</f>
        <v>9061.5889210391597</v>
      </c>
    </row>
    <row r="366" spans="1:10" x14ac:dyDescent="0.25">
      <c r="A366" s="98" t="str">
        <f>'Resultater - Vestdanmark'!A366</f>
        <v>Frøgræsmark</v>
      </c>
      <c r="B366" s="98" t="str">
        <f>'Resultater - Vestdanmark'!B366</f>
        <v>Økologisk</v>
      </c>
      <c r="C366" s="98" t="str">
        <f>'Resultater - Vestdanmark'!C366</f>
        <v>OC12</v>
      </c>
      <c r="D366" s="98" t="str">
        <f>'Resultater - Vestdanmark'!D366</f>
        <v>Areal-frøgræs</v>
      </c>
      <c r="E366" s="98" t="str">
        <f>'Resultater - Vestdanmark'!E366</f>
        <v>Hektar</v>
      </c>
      <c r="F366" s="98" t="str">
        <f>'Resultater - Vestdanmark'!F366</f>
        <v>Halm</v>
      </c>
      <c r="G366" s="98" t="str">
        <f>'Resultater - Vestdanmark'!G366</f>
        <v>Ton</v>
      </c>
      <c r="H366" s="275">
        <f>'Resultater - Vestdanmark'!H366+'Resultater - Østdanmark'!H366</f>
        <v>928.11004070224612</v>
      </c>
      <c r="I366" s="276">
        <f>'Resultater - Vestdanmark'!I366+'Resultater - Østdanmark'!I366</f>
        <v>1003.9605198203591</v>
      </c>
      <c r="J366" s="277">
        <f>'Resultater - Vestdanmark'!J366+'Resultater - Østdanmark'!J366</f>
        <v>1301.430303470836</v>
      </c>
    </row>
    <row r="367" spans="1:10" x14ac:dyDescent="0.25">
      <c r="A367" s="98" t="str">
        <f>'Resultater - Vestdanmark'!A367</f>
        <v>Frøgræsmark</v>
      </c>
      <c r="B367" s="98" t="str">
        <f>'Resultater - Vestdanmark'!B367</f>
        <v>Økologisk</v>
      </c>
      <c r="C367" s="98" t="str">
        <f>'Resultater - Vestdanmark'!C367</f>
        <v>OC12</v>
      </c>
      <c r="D367" s="98" t="str">
        <f>'Resultater - Vestdanmark'!D367</f>
        <v>Areal-frøgræs</v>
      </c>
      <c r="E367" s="98" t="str">
        <f>'Resultater - Vestdanmark'!E367</f>
        <v>Hektar</v>
      </c>
      <c r="F367" s="98" t="str">
        <f>'Resultater - Vestdanmark'!F367</f>
        <v>Gødning</v>
      </c>
      <c r="G367" s="98" t="str">
        <f>'Resultater - Vestdanmark'!G367</f>
        <v>kg N</v>
      </c>
      <c r="H367" s="275">
        <f>'Resultater - Vestdanmark'!H367+'Resultater - Østdanmark'!H367</f>
        <v>-33512.633416062716</v>
      </c>
      <c r="I367" s="276">
        <f>'Resultater - Vestdanmark'!I367+'Resultater - Østdanmark'!I367</f>
        <v>-36463.457136332654</v>
      </c>
      <c r="J367" s="277">
        <f>'Resultater - Vestdanmark'!J367+'Resultater - Østdanmark'!J367</f>
        <v>-47267.44443598677</v>
      </c>
    </row>
    <row r="368" spans="1:10" x14ac:dyDescent="0.25">
      <c r="A368" s="98" t="str">
        <f>'Resultater - Vestdanmark'!A368</f>
        <v>Frøgræsmark</v>
      </c>
      <c r="B368" s="98" t="str">
        <f>'Resultater - Vestdanmark'!B368</f>
        <v>Økologisk</v>
      </c>
      <c r="C368" s="98" t="str">
        <f>'Resultater - Vestdanmark'!C368</f>
        <v>OC12</v>
      </c>
      <c r="D368" s="98" t="str">
        <f>'Resultater - Vestdanmark'!D368</f>
        <v>Areal-frøgræs</v>
      </c>
      <c r="E368" s="98" t="str">
        <f>'Resultater - Vestdanmark'!E368</f>
        <v>Hektar</v>
      </c>
      <c r="F368" s="98" t="str">
        <f>'Resultater - Vestdanmark'!F368</f>
        <v>CO2 - atmosfære</v>
      </c>
      <c r="G368" s="98" t="str">
        <f>'Resultater - Vestdanmark'!G368</f>
        <v>t CO2-ækvivalenter</v>
      </c>
      <c r="H368" s="275">
        <f>'Resultater - Vestdanmark'!H368+'Resultater - Østdanmark'!H368</f>
        <v>20064.314636026029</v>
      </c>
      <c r="I368" s="276">
        <f>'Resultater - Vestdanmark'!I368+'Resultater - Østdanmark'!I368</f>
        <v>21830.999301593587</v>
      </c>
      <c r="J368" s="277">
        <f>'Resultater - Vestdanmark'!J368+'Resultater - Østdanmark'!J368</f>
        <v>28299.443539102795</v>
      </c>
    </row>
    <row r="369" spans="1:10" x14ac:dyDescent="0.25">
      <c r="A369" s="98" t="str">
        <f>'Resultater - Vestdanmark'!A369</f>
        <v>Juletræsmark</v>
      </c>
      <c r="B369" s="98" t="str">
        <f>'Resultater - Vestdanmark'!B369</f>
        <v>Konventionel</v>
      </c>
      <c r="C369" s="98" t="str">
        <f>'Resultater - Vestdanmark'!C369</f>
        <v>JB1-10</v>
      </c>
      <c r="D369" s="98" t="str">
        <f>'Resultater - Vestdanmark'!D369</f>
        <v>Areal-juletræer</v>
      </c>
      <c r="E369" s="98" t="str">
        <f>'Resultater - Vestdanmark'!E369</f>
        <v>Hektar</v>
      </c>
      <c r="F369" s="98" t="str">
        <f>'Resultater - Vestdanmark'!F369</f>
        <v>Juletræer</v>
      </c>
      <c r="G369" s="98" t="str">
        <f>'Resultater - Vestdanmark'!G369</f>
        <v>Ton</v>
      </c>
      <c r="H369" s="275">
        <f>'Resultater - Vestdanmark'!H369+'Resultater - Østdanmark'!H369</f>
        <v>804386.70310434792</v>
      </c>
      <c r="I369" s="276">
        <f>'Resultater - Vestdanmark'!I369+'Resultater - Østdanmark'!I369</f>
        <v>833678.13526144146</v>
      </c>
      <c r="J369" s="277">
        <f>'Resultater - Vestdanmark'!J369+'Resultater - Østdanmark'!J369</f>
        <v>838871.78065986792</v>
      </c>
    </row>
    <row r="370" spans="1:10" x14ac:dyDescent="0.25">
      <c r="A370" s="98" t="str">
        <f>'Resultater - Vestdanmark'!A370</f>
        <v>Juletræsmark</v>
      </c>
      <c r="B370" s="98" t="str">
        <f>'Resultater - Vestdanmark'!B370</f>
        <v>Konventionel</v>
      </c>
      <c r="C370" s="98" t="str">
        <f>'Resultater - Vestdanmark'!C370</f>
        <v>JB1-10</v>
      </c>
      <c r="D370" s="98" t="str">
        <f>'Resultater - Vestdanmark'!D370</f>
        <v>Areal-juletræer</v>
      </c>
      <c r="E370" s="98" t="str">
        <f>'Resultater - Vestdanmark'!E370</f>
        <v>Hektar</v>
      </c>
      <c r="F370" s="98" t="str">
        <f>'Resultater - Vestdanmark'!F370</f>
        <v>Gødning</v>
      </c>
      <c r="G370" s="98" t="str">
        <f>'Resultater - Vestdanmark'!G370</f>
        <v>kg N</v>
      </c>
      <c r="H370" s="275">
        <f>'Resultater - Vestdanmark'!H370+'Resultater - Østdanmark'!H370</f>
        <v>-1769650.7468295656</v>
      </c>
      <c r="I370" s="276">
        <f>'Resultater - Vestdanmark'!I370+'Resultater - Østdanmark'!I370</f>
        <v>-1710906.6208723611</v>
      </c>
      <c r="J370" s="277">
        <f>'Resultater - Vestdanmark'!J370+'Resultater - Østdanmark'!J370</f>
        <v>-1604798.1890884428</v>
      </c>
    </row>
    <row r="371" spans="1:10" x14ac:dyDescent="0.25">
      <c r="A371" s="98" t="str">
        <f>'Resultater - Vestdanmark'!A371</f>
        <v>Juletræsmark</v>
      </c>
      <c r="B371" s="98" t="str">
        <f>'Resultater - Vestdanmark'!B371</f>
        <v>Konventionel</v>
      </c>
      <c r="C371" s="98" t="str">
        <f>'Resultater - Vestdanmark'!C371</f>
        <v>JB1-10</v>
      </c>
      <c r="D371" s="98" t="str">
        <f>'Resultater - Vestdanmark'!D371</f>
        <v>Areal-juletræer</v>
      </c>
      <c r="E371" s="98" t="str">
        <f>'Resultater - Vestdanmark'!E371</f>
        <v>Hektar</v>
      </c>
      <c r="F371" s="98" t="str">
        <f>'Resultater - Vestdanmark'!F371</f>
        <v>CO2 - atmosfære</v>
      </c>
      <c r="G371" s="98" t="str">
        <f>'Resultater - Vestdanmark'!G371</f>
        <v>t CO2-ækvivalenter</v>
      </c>
      <c r="H371" s="275">
        <f>'Resultater - Vestdanmark'!H371+'Resultater - Østdanmark'!H371</f>
        <v>31623.568231448324</v>
      </c>
      <c r="I371" s="276">
        <f>'Resultater - Vestdanmark'!I371+'Resultater - Østdanmark'!I371</f>
        <v>30573.813708567115</v>
      </c>
      <c r="J371" s="277">
        <f>'Resultater - Vestdanmark'!J371+'Resultater - Østdanmark'!J371</f>
        <v>28677.66146583654</v>
      </c>
    </row>
    <row r="372" spans="1:10" x14ac:dyDescent="0.25">
      <c r="A372" s="98" t="str">
        <f>'Resultater - Vestdanmark'!A372</f>
        <v>Juletræsmark</v>
      </c>
      <c r="B372" s="98" t="str">
        <f>'Resultater - Vestdanmark'!B372</f>
        <v>Konventionel</v>
      </c>
      <c r="C372" s="98" t="str">
        <f>'Resultater - Vestdanmark'!C372</f>
        <v>OC6</v>
      </c>
      <c r="D372" s="98" t="str">
        <f>'Resultater - Vestdanmark'!D372</f>
        <v>Areal-juletræer</v>
      </c>
      <c r="E372" s="98" t="str">
        <f>'Resultater - Vestdanmark'!E372</f>
        <v>Hektar</v>
      </c>
      <c r="F372" s="98" t="str">
        <f>'Resultater - Vestdanmark'!F372</f>
        <v>Juletræer</v>
      </c>
      <c r="G372" s="98" t="str">
        <f>'Resultater - Vestdanmark'!G372</f>
        <v>Ton</v>
      </c>
      <c r="H372" s="275">
        <f>'Resultater - Vestdanmark'!H372+'Resultater - Østdanmark'!H372</f>
        <v>27393.452669089784</v>
      </c>
      <c r="I372" s="276">
        <f>'Resultater - Vestdanmark'!I372+'Resultater - Østdanmark'!I372</f>
        <v>26516.518845337214</v>
      </c>
      <c r="J372" s="277">
        <f>'Resultater - Vestdanmark'!J372+'Resultater - Østdanmark'!J372</f>
        <v>27130.475427609435</v>
      </c>
    </row>
    <row r="373" spans="1:10" x14ac:dyDescent="0.25">
      <c r="A373" s="98" t="str">
        <f>'Resultater - Vestdanmark'!A373</f>
        <v>Juletræsmark</v>
      </c>
      <c r="B373" s="98" t="str">
        <f>'Resultater - Vestdanmark'!B373</f>
        <v>Konventionel</v>
      </c>
      <c r="C373" s="98" t="str">
        <f>'Resultater - Vestdanmark'!C373</f>
        <v>OC6</v>
      </c>
      <c r="D373" s="98" t="str">
        <f>'Resultater - Vestdanmark'!D373</f>
        <v>Areal-juletræer</v>
      </c>
      <c r="E373" s="98" t="str">
        <f>'Resultater - Vestdanmark'!E373</f>
        <v>Hektar</v>
      </c>
      <c r="F373" s="98" t="str">
        <f>'Resultater - Vestdanmark'!F373</f>
        <v>Gødning</v>
      </c>
      <c r="G373" s="98" t="str">
        <f>'Resultater - Vestdanmark'!G373</f>
        <v>kg N</v>
      </c>
      <c r="H373" s="275">
        <f>'Resultater - Vestdanmark'!H373+'Resultater - Østdanmark'!H373</f>
        <v>-45655.75444848297</v>
      </c>
      <c r="I373" s="276">
        <f>'Resultater - Vestdanmark'!I373+'Resultater - Østdanmark'!I373</f>
        <v>-41225.931040636213</v>
      </c>
      <c r="J373" s="277">
        <f>'Resultater - Vestdanmark'!J373+'Resultater - Østdanmark'!J373</f>
        <v>-39319.529605231066</v>
      </c>
    </row>
    <row r="374" spans="1:10" x14ac:dyDescent="0.25">
      <c r="A374" s="98" t="str">
        <f>'Resultater - Vestdanmark'!A374</f>
        <v>Juletræsmark</v>
      </c>
      <c r="B374" s="98" t="str">
        <f>'Resultater - Vestdanmark'!B374</f>
        <v>Konventionel</v>
      </c>
      <c r="C374" s="98" t="str">
        <f>'Resultater - Vestdanmark'!C374</f>
        <v>OC6</v>
      </c>
      <c r="D374" s="98" t="str">
        <f>'Resultater - Vestdanmark'!D374</f>
        <v>Areal-juletræer</v>
      </c>
      <c r="E374" s="98" t="str">
        <f>'Resultater - Vestdanmark'!E374</f>
        <v>Hektar</v>
      </c>
      <c r="F374" s="98" t="str">
        <f>'Resultater - Vestdanmark'!F374</f>
        <v>CO2 - atmosfære</v>
      </c>
      <c r="G374" s="98" t="str">
        <f>'Resultater - Vestdanmark'!G374</f>
        <v>t CO2-ækvivalenter</v>
      </c>
      <c r="H374" s="275">
        <f>'Resultater - Vestdanmark'!H374+'Resultater - Østdanmark'!H374</f>
        <v>4867.6770004669015</v>
      </c>
      <c r="I374" s="276">
        <f>'Resultater - Vestdanmark'!I374+'Resultater - Østdanmark'!I374</f>
        <v>4395.3827677029512</v>
      </c>
      <c r="J374" s="277">
        <f>'Resultater - Vestdanmark'!J374+'Resultater - Østdanmark'!J374</f>
        <v>4192.1280732426994</v>
      </c>
    </row>
    <row r="375" spans="1:10" x14ac:dyDescent="0.25">
      <c r="A375" s="98" t="str">
        <f>'Resultater - Vestdanmark'!A375</f>
        <v>Juletræsmark</v>
      </c>
      <c r="B375" s="98" t="str">
        <f>'Resultater - Vestdanmark'!B375</f>
        <v>Konventionel</v>
      </c>
      <c r="C375" s="98" t="str">
        <f>'Resultater - Vestdanmark'!C375</f>
        <v>OC12</v>
      </c>
      <c r="D375" s="98" t="str">
        <f>'Resultater - Vestdanmark'!D375</f>
        <v>Areal-juletræer</v>
      </c>
      <c r="E375" s="98" t="str">
        <f>'Resultater - Vestdanmark'!E375</f>
        <v>Hektar</v>
      </c>
      <c r="F375" s="98" t="str">
        <f>'Resultater - Vestdanmark'!F375</f>
        <v>Juletræer</v>
      </c>
      <c r="G375" s="98" t="str">
        <f>'Resultater - Vestdanmark'!G375</f>
        <v>Ton</v>
      </c>
      <c r="H375" s="275">
        <f>'Resultater - Vestdanmark'!H375+'Resultater - Østdanmark'!H375</f>
        <v>18360.165184548681</v>
      </c>
      <c r="I375" s="276">
        <f>'Resultater - Vestdanmark'!I375+'Resultater - Østdanmark'!I375</f>
        <v>17423.892491464536</v>
      </c>
      <c r="J375" s="277">
        <f>'Resultater - Vestdanmark'!J375+'Resultater - Østdanmark'!J375</f>
        <v>17827.320767488756</v>
      </c>
    </row>
    <row r="376" spans="1:10" x14ac:dyDescent="0.25">
      <c r="A376" s="98" t="str">
        <f>'Resultater - Vestdanmark'!A376</f>
        <v>Juletræsmark</v>
      </c>
      <c r="B376" s="98" t="str">
        <f>'Resultater - Vestdanmark'!B376</f>
        <v>Konventionel</v>
      </c>
      <c r="C376" s="98" t="str">
        <f>'Resultater - Vestdanmark'!C376</f>
        <v>OC12</v>
      </c>
      <c r="D376" s="98" t="str">
        <f>'Resultater - Vestdanmark'!D376</f>
        <v>Areal-juletræer</v>
      </c>
      <c r="E376" s="98" t="str">
        <f>'Resultater - Vestdanmark'!E376</f>
        <v>Hektar</v>
      </c>
      <c r="F376" s="98" t="str">
        <f>'Resultater - Vestdanmark'!F376</f>
        <v>Gødning</v>
      </c>
      <c r="G376" s="98" t="str">
        <f>'Resultater - Vestdanmark'!G376</f>
        <v>kg N</v>
      </c>
      <c r="H376" s="275">
        <f>'Resultater - Vestdanmark'!H376+'Resultater - Østdanmark'!H376</f>
        <v>-23605.926665848303</v>
      </c>
      <c r="I376" s="276">
        <f>'Resultater - Vestdanmark'!I376+'Resultater - Østdanmark'!I376</f>
        <v>-20897.525642747976</v>
      </c>
      <c r="J376" s="277">
        <f>'Resultater - Vestdanmark'!J376+'Resultater - Østdanmark'!J376</f>
        <v>-19931.166075453275</v>
      </c>
    </row>
    <row r="377" spans="1:10" x14ac:dyDescent="0.25">
      <c r="A377" s="98" t="str">
        <f>'Resultater - Vestdanmark'!A377</f>
        <v>Juletræsmark</v>
      </c>
      <c r="B377" s="98" t="str">
        <f>'Resultater - Vestdanmark'!B377</f>
        <v>Konventionel</v>
      </c>
      <c r="C377" s="98" t="str">
        <f>'Resultater - Vestdanmark'!C377</f>
        <v>OC12</v>
      </c>
      <c r="D377" s="98" t="str">
        <f>'Resultater - Vestdanmark'!D377</f>
        <v>Areal-juletræer</v>
      </c>
      <c r="E377" s="98" t="str">
        <f>'Resultater - Vestdanmark'!E377</f>
        <v>Hektar</v>
      </c>
      <c r="F377" s="98" t="str">
        <f>'Resultater - Vestdanmark'!F377</f>
        <v>CO2 - atmosfære</v>
      </c>
      <c r="G377" s="98" t="str">
        <f>'Resultater - Vestdanmark'!G377</f>
        <v>t CO2-ækvivalenter</v>
      </c>
      <c r="H377" s="275">
        <f>'Resultater - Vestdanmark'!H377+'Resultater - Østdanmark'!H377</f>
        <v>7475.6545232364842</v>
      </c>
      <c r="I377" s="276">
        <f>'Resultater - Vestdanmark'!I377+'Resultater - Østdanmark'!I377</f>
        <v>6617.9432100699232</v>
      </c>
      <c r="J377" s="277">
        <f>'Resultater - Vestdanmark'!J377+'Resultater - Østdanmark'!J377</f>
        <v>6311.9111541129323</v>
      </c>
    </row>
    <row r="378" spans="1:10" x14ac:dyDescent="0.25">
      <c r="A378" s="98" t="str">
        <f>'Resultater - Vestdanmark'!A378</f>
        <v>Juletræsmark</v>
      </c>
      <c r="B378" s="98" t="str">
        <f>'Resultater - Vestdanmark'!B378</f>
        <v>Økologisk</v>
      </c>
      <c r="C378" s="98" t="str">
        <f>'Resultater - Vestdanmark'!C378</f>
        <v>JB1-10</v>
      </c>
      <c r="D378" s="98" t="str">
        <f>'Resultater - Vestdanmark'!D378</f>
        <v>Areal-juletræer</v>
      </c>
      <c r="E378" s="98" t="str">
        <f>'Resultater - Vestdanmark'!E378</f>
        <v>Hektar</v>
      </c>
      <c r="F378" s="98" t="str">
        <f>'Resultater - Vestdanmark'!F378</f>
        <v>Juletræer</v>
      </c>
      <c r="G378" s="98" t="str">
        <f>'Resultater - Vestdanmark'!G378</f>
        <v>Ton</v>
      </c>
      <c r="H378" s="275">
        <f>'Resultater - Vestdanmark'!H378+'Resultater - Østdanmark'!H378</f>
        <v>58624.558099339294</v>
      </c>
      <c r="I378" s="276">
        <f>'Resultater - Vestdanmark'!I378+'Resultater - Østdanmark'!I378</f>
        <v>74163.621396957125</v>
      </c>
      <c r="J378" s="277">
        <f>'Resultater - Vestdanmark'!J378+'Resultater - Østdanmark'!J378</f>
        <v>101427.22438887492</v>
      </c>
    </row>
    <row r="379" spans="1:10" x14ac:dyDescent="0.25">
      <c r="A379" s="98" t="str">
        <f>'Resultater - Vestdanmark'!A379</f>
        <v>Juletræsmark</v>
      </c>
      <c r="B379" s="98" t="str">
        <f>'Resultater - Vestdanmark'!B379</f>
        <v>Økologisk</v>
      </c>
      <c r="C379" s="98" t="str">
        <f>'Resultater - Vestdanmark'!C379</f>
        <v>JB1-10</v>
      </c>
      <c r="D379" s="98" t="str">
        <f>'Resultater - Vestdanmark'!D379</f>
        <v>Areal-juletræer</v>
      </c>
      <c r="E379" s="98" t="str">
        <f>'Resultater - Vestdanmark'!E379</f>
        <v>Hektar</v>
      </c>
      <c r="F379" s="98" t="str">
        <f>'Resultater - Vestdanmark'!F379</f>
        <v>Gødning</v>
      </c>
      <c r="G379" s="98" t="str">
        <f>'Resultater - Vestdanmark'!G379</f>
        <v>kg N</v>
      </c>
      <c r="H379" s="275">
        <f>'Resultater - Vestdanmark'!H379+'Resultater - Østdanmark'!H379</f>
        <v>-128974.02781854646</v>
      </c>
      <c r="I379" s="276">
        <f>'Resultater - Vestdanmark'!I379+'Resultater - Østdanmark'!I379</f>
        <v>-152201.46182211352</v>
      </c>
      <c r="J379" s="277">
        <f>'Resultater - Vestdanmark'!J379+'Resultater - Østdanmark'!J379</f>
        <v>-194034.69013523898</v>
      </c>
    </row>
    <row r="380" spans="1:10" x14ac:dyDescent="0.25">
      <c r="A380" s="98" t="str">
        <f>'Resultater - Vestdanmark'!A380</f>
        <v>Juletræsmark</v>
      </c>
      <c r="B380" s="98" t="str">
        <f>'Resultater - Vestdanmark'!B380</f>
        <v>Økologisk</v>
      </c>
      <c r="C380" s="98" t="str">
        <f>'Resultater - Vestdanmark'!C380</f>
        <v>JB1-10</v>
      </c>
      <c r="D380" s="98" t="str">
        <f>'Resultater - Vestdanmark'!D380</f>
        <v>Areal-juletræer</v>
      </c>
      <c r="E380" s="98" t="str">
        <f>'Resultater - Vestdanmark'!E380</f>
        <v>Hektar</v>
      </c>
      <c r="F380" s="98" t="str">
        <f>'Resultater - Vestdanmark'!F380</f>
        <v>CO2 - atmosfære</v>
      </c>
      <c r="G380" s="98" t="str">
        <f>'Resultater - Vestdanmark'!G380</f>
        <v>t CO2-ækvivalenter</v>
      </c>
      <c r="H380" s="275">
        <f>'Resultater - Vestdanmark'!H380+'Resultater - Østdanmark'!H380</f>
        <v>4043.4373211296634</v>
      </c>
      <c r="I380" s="276">
        <f>'Resultater - Vestdanmark'!I380+'Resultater - Østdanmark'!I380</f>
        <v>4771.635665498914</v>
      </c>
      <c r="J380" s="277">
        <f>'Resultater - Vestdanmark'!J380+'Resultater - Østdanmark'!J380</f>
        <v>6083.140310935024</v>
      </c>
    </row>
    <row r="381" spans="1:10" x14ac:dyDescent="0.25">
      <c r="A381" s="98" t="str">
        <f>'Resultater - Vestdanmark'!A381</f>
        <v>Juletræsmark</v>
      </c>
      <c r="B381" s="98" t="str">
        <f>'Resultater - Vestdanmark'!B381</f>
        <v>Økologisk</v>
      </c>
      <c r="C381" s="98" t="str">
        <f>'Resultater - Vestdanmark'!C381</f>
        <v>OC6</v>
      </c>
      <c r="D381" s="98" t="str">
        <f>'Resultater - Vestdanmark'!D381</f>
        <v>Areal-juletræer</v>
      </c>
      <c r="E381" s="98" t="str">
        <f>'Resultater - Vestdanmark'!E381</f>
        <v>Hektar</v>
      </c>
      <c r="F381" s="98" t="str">
        <f>'Resultater - Vestdanmark'!F381</f>
        <v>Juletræer</v>
      </c>
      <c r="G381" s="98" t="str">
        <f>'Resultater - Vestdanmark'!G381</f>
        <v>Ton</v>
      </c>
      <c r="H381" s="275">
        <f>'Resultater - Vestdanmark'!H381+'Resultater - Østdanmark'!H381</f>
        <v>1996.4639536467182</v>
      </c>
      <c r="I381" s="276">
        <f>'Resultater - Vestdanmark'!I381+'Resultater - Østdanmark'!I381</f>
        <v>2358.8972545071661</v>
      </c>
      <c r="J381" s="277">
        <f>'Resultater - Vestdanmark'!J381+'Resultater - Østdanmark'!J381</f>
        <v>3280.3211198836862</v>
      </c>
    </row>
    <row r="382" spans="1:10" x14ac:dyDescent="0.25">
      <c r="A382" s="98" t="str">
        <f>'Resultater - Vestdanmark'!A382</f>
        <v>Juletræsmark</v>
      </c>
      <c r="B382" s="98" t="str">
        <f>'Resultater - Vestdanmark'!B382</f>
        <v>Økologisk</v>
      </c>
      <c r="C382" s="98" t="str">
        <f>'Resultater - Vestdanmark'!C382</f>
        <v>OC6</v>
      </c>
      <c r="D382" s="98" t="str">
        <f>'Resultater - Vestdanmark'!D382</f>
        <v>Areal-juletræer</v>
      </c>
      <c r="E382" s="98" t="str">
        <f>'Resultater - Vestdanmark'!E382</f>
        <v>Hektar</v>
      </c>
      <c r="F382" s="98" t="str">
        <f>'Resultater - Vestdanmark'!F382</f>
        <v>Gødning</v>
      </c>
      <c r="G382" s="98" t="str">
        <f>'Resultater - Vestdanmark'!G382</f>
        <v>kg N</v>
      </c>
      <c r="H382" s="275">
        <f>'Resultater - Vestdanmark'!H382+'Resultater - Østdanmark'!H382</f>
        <v>-3327.4399227445301</v>
      </c>
      <c r="I382" s="276">
        <f>'Resultater - Vestdanmark'!I382+'Resultater - Østdanmark'!I382</f>
        <v>-3667.4397613606434</v>
      </c>
      <c r="J382" s="277">
        <f>'Resultater - Vestdanmark'!J382+'Resultater - Østdanmark'!J382</f>
        <v>-4754.0885795415734</v>
      </c>
    </row>
    <row r="383" spans="1:10" x14ac:dyDescent="0.25">
      <c r="A383" s="98" t="str">
        <f>'Resultater - Vestdanmark'!A383</f>
        <v>Juletræsmark</v>
      </c>
      <c r="B383" s="98" t="str">
        <f>'Resultater - Vestdanmark'!B383</f>
        <v>Økologisk</v>
      </c>
      <c r="C383" s="98" t="str">
        <f>'Resultater - Vestdanmark'!C383</f>
        <v>OC6</v>
      </c>
      <c r="D383" s="98" t="str">
        <f>'Resultater - Vestdanmark'!D383</f>
        <v>Areal-juletræer</v>
      </c>
      <c r="E383" s="98" t="str">
        <f>'Resultater - Vestdanmark'!E383</f>
        <v>Hektar</v>
      </c>
      <c r="F383" s="98" t="str">
        <f>'Resultater - Vestdanmark'!F383</f>
        <v>CO2 - atmosfære</v>
      </c>
      <c r="G383" s="98" t="str">
        <f>'Resultater - Vestdanmark'!G383</f>
        <v>t CO2-ækvivalenter</v>
      </c>
      <c r="H383" s="275">
        <f>'Resultater - Vestdanmark'!H383+'Resultater - Østdanmark'!H383</f>
        <v>622.38855232406365</v>
      </c>
      <c r="I383" s="276">
        <f>'Resultater - Vestdanmark'!I383+'Resultater - Østdanmark'!I383</f>
        <v>685.984593803351</v>
      </c>
      <c r="J383" s="277">
        <f>'Resultater - Vestdanmark'!J383+'Resultater - Østdanmark'!J383</f>
        <v>889.23928826360293</v>
      </c>
    </row>
    <row r="384" spans="1:10" x14ac:dyDescent="0.25">
      <c r="A384" s="98" t="str">
        <f>'Resultater - Vestdanmark'!A384</f>
        <v>Juletræsmark</v>
      </c>
      <c r="B384" s="98" t="str">
        <f>'Resultater - Vestdanmark'!B384</f>
        <v>Økologisk</v>
      </c>
      <c r="C384" s="98" t="str">
        <f>'Resultater - Vestdanmark'!C384</f>
        <v>OC12</v>
      </c>
      <c r="D384" s="98" t="str">
        <f>'Resultater - Vestdanmark'!D384</f>
        <v>Areal-juletræer</v>
      </c>
      <c r="E384" s="98" t="str">
        <f>'Resultater - Vestdanmark'!E384</f>
        <v>Hektar</v>
      </c>
      <c r="F384" s="98" t="str">
        <f>'Resultater - Vestdanmark'!F384</f>
        <v>Juletræer</v>
      </c>
      <c r="G384" s="98" t="str">
        <f>'Resultater - Vestdanmark'!G384</f>
        <v>Ton</v>
      </c>
      <c r="H384" s="275">
        <f>'Resultater - Vestdanmark'!H384+'Resultater - Østdanmark'!H384</f>
        <v>1338.1083581082171</v>
      </c>
      <c r="I384" s="276">
        <f>'Resultater - Vestdanmark'!I384+'Resultater - Østdanmark'!I384</f>
        <v>1550.0214187493596</v>
      </c>
      <c r="J384" s="277">
        <f>'Resultater - Vestdanmark'!J384+'Resultater - Østdanmark'!J384</f>
        <v>2155.4851473418225</v>
      </c>
    </row>
    <row r="385" spans="1:10" x14ac:dyDescent="0.25">
      <c r="A385" s="98" t="str">
        <f>'Resultater - Vestdanmark'!A385</f>
        <v>Juletræsmark</v>
      </c>
      <c r="B385" s="98" t="str">
        <f>'Resultater - Vestdanmark'!B385</f>
        <v>Økologisk</v>
      </c>
      <c r="C385" s="98" t="str">
        <f>'Resultater - Vestdanmark'!C385</f>
        <v>OC12</v>
      </c>
      <c r="D385" s="98" t="str">
        <f>'Resultater - Vestdanmark'!D385</f>
        <v>Areal-juletræer</v>
      </c>
      <c r="E385" s="98" t="str">
        <f>'Resultater - Vestdanmark'!E385</f>
        <v>Hektar</v>
      </c>
      <c r="F385" s="98" t="str">
        <f>'Resultater - Vestdanmark'!F385</f>
        <v>Gødning</v>
      </c>
      <c r="G385" s="98" t="str">
        <f>'Resultater - Vestdanmark'!G385</f>
        <v>kg N</v>
      </c>
      <c r="H385" s="275">
        <f>'Resultater - Vestdanmark'!H385+'Resultater - Østdanmark'!H385</f>
        <v>-1720.4250318534218</v>
      </c>
      <c r="I385" s="276">
        <f>'Resultater - Vestdanmark'!I385+'Resultater - Østdanmark'!I385</f>
        <v>-1859.0342175831868</v>
      </c>
      <c r="J385" s="277">
        <f>'Resultater - Vestdanmark'!J385+'Resultater - Østdanmark'!J385</f>
        <v>-2409.859170941168</v>
      </c>
    </row>
    <row r="386" spans="1:10" x14ac:dyDescent="0.25">
      <c r="A386" s="98" t="str">
        <f>'Resultater - Vestdanmark'!A386</f>
        <v>Juletræsmark</v>
      </c>
      <c r="B386" s="98" t="str">
        <f>'Resultater - Vestdanmark'!B386</f>
        <v>Økologisk</v>
      </c>
      <c r="C386" s="98" t="str">
        <f>'Resultater - Vestdanmark'!C386</f>
        <v>OC12</v>
      </c>
      <c r="D386" s="98" t="str">
        <f>'Resultater - Vestdanmark'!D386</f>
        <v>Areal-juletræer</v>
      </c>
      <c r="E386" s="98" t="str">
        <f>'Resultater - Vestdanmark'!E386</f>
        <v>Hektar</v>
      </c>
      <c r="F386" s="98" t="str">
        <f>'Resultater - Vestdanmark'!F386</f>
        <v>CO2 - atmosfære</v>
      </c>
      <c r="G386" s="98" t="str">
        <f>'Resultater - Vestdanmark'!G386</f>
        <v>t CO2-ækvivalenter</v>
      </c>
      <c r="H386" s="275">
        <f>'Resultater - Vestdanmark'!H386+'Resultater - Østdanmark'!H386</f>
        <v>955.84850760346353</v>
      </c>
      <c r="I386" s="276">
        <f>'Resultater - Vestdanmark'!I386+'Resultater - Østdanmark'!I386</f>
        <v>1032.8581888548435</v>
      </c>
      <c r="J386" s="277">
        <f>'Resultater - Vestdanmark'!J386+'Resultater - Østdanmark'!J386</f>
        <v>1338.8902448118342</v>
      </c>
    </row>
    <row r="387" spans="1:10" x14ac:dyDescent="0.25">
      <c r="A387" s="98" t="str">
        <f>'Resultater - Vestdanmark'!A387</f>
        <v>Pil- og poppeldyrkning</v>
      </c>
      <c r="B387" s="98" t="str">
        <f>'Resultater - Vestdanmark'!B387</f>
        <v>Konventionel</v>
      </c>
      <c r="C387" s="98" t="str">
        <f>'Resultater - Vestdanmark'!C387</f>
        <v>JB1-10</v>
      </c>
      <c r="D387" s="98" t="str">
        <f>'Resultater - Vestdanmark'!D387</f>
        <v>Areal-pil-poppel</v>
      </c>
      <c r="E387" s="98" t="str">
        <f>'Resultater - Vestdanmark'!E387</f>
        <v>Hektar</v>
      </c>
      <c r="F387" s="98" t="str">
        <f>'Resultater - Vestdanmark'!F387</f>
        <v>Pil &amp; poppel</v>
      </c>
      <c r="G387" s="98" t="str">
        <f>'Resultater - Vestdanmark'!G387</f>
        <v>Ton</v>
      </c>
      <c r="H387" s="275">
        <f>'Resultater - Vestdanmark'!H387+'Resultater - Østdanmark'!H387</f>
        <v>151198.05286083202</v>
      </c>
      <c r="I387" s="276">
        <f>'Resultater - Vestdanmark'!I387+'Resultater - Østdanmark'!I387</f>
        <v>156732.37506424324</v>
      </c>
      <c r="J387" s="277">
        <f>'Resultater - Vestdanmark'!J387+'Resultater - Østdanmark'!J387</f>
        <v>157762.29242869659</v>
      </c>
    </row>
    <row r="388" spans="1:10" x14ac:dyDescent="0.25">
      <c r="A388" s="98" t="str">
        <f>'Resultater - Vestdanmark'!A388</f>
        <v>Pil- og poppeldyrkning</v>
      </c>
      <c r="B388" s="98" t="str">
        <f>'Resultater - Vestdanmark'!B388</f>
        <v>Konventionel</v>
      </c>
      <c r="C388" s="98" t="str">
        <f>'Resultater - Vestdanmark'!C388</f>
        <v>JB1-10</v>
      </c>
      <c r="D388" s="98" t="str">
        <f>'Resultater - Vestdanmark'!D388</f>
        <v>Areal-pil-poppel</v>
      </c>
      <c r="E388" s="98" t="str">
        <f>'Resultater - Vestdanmark'!E388</f>
        <v>Hektar</v>
      </c>
      <c r="F388" s="98" t="str">
        <f>'Resultater - Vestdanmark'!F388</f>
        <v>Gødning</v>
      </c>
      <c r="G388" s="98" t="str">
        <f>'Resultater - Vestdanmark'!G388</f>
        <v>kg N</v>
      </c>
      <c r="H388" s="275">
        <f>'Resultater - Vestdanmark'!H388+'Resultater - Østdanmark'!H388</f>
        <v>-743894.42007529351</v>
      </c>
      <c r="I388" s="276">
        <f>'Resultater - Vestdanmark'!I388+'Resultater - Østdanmark'!I388</f>
        <v>-719331.42286947451</v>
      </c>
      <c r="J388" s="277">
        <f>'Resultater - Vestdanmark'!J388+'Resultater - Østdanmark'!J388</f>
        <v>-674948.2423905977</v>
      </c>
    </row>
    <row r="389" spans="1:10" x14ac:dyDescent="0.25">
      <c r="A389" s="98" t="str">
        <f>'Resultater - Vestdanmark'!A389</f>
        <v>Pil- og poppeldyrkning</v>
      </c>
      <c r="B389" s="98" t="str">
        <f>'Resultater - Vestdanmark'!B389</f>
        <v>Konventionel</v>
      </c>
      <c r="C389" s="98" t="str">
        <f>'Resultater - Vestdanmark'!C389</f>
        <v>JB1-10</v>
      </c>
      <c r="D389" s="98" t="str">
        <f>'Resultater - Vestdanmark'!D389</f>
        <v>Areal-pil-poppel</v>
      </c>
      <c r="E389" s="98" t="str">
        <f>'Resultater - Vestdanmark'!E389</f>
        <v>Hektar</v>
      </c>
      <c r="F389" s="98" t="str">
        <f>'Resultater - Vestdanmark'!F389</f>
        <v>CO2 - atmosfære</v>
      </c>
      <c r="G389" s="98" t="str">
        <f>'Resultater - Vestdanmark'!G389</f>
        <v>t CO2-ækvivalenter</v>
      </c>
      <c r="H389" s="275">
        <f>'Resultater - Vestdanmark'!H389+'Resultater - Østdanmark'!H389</f>
        <v>12185.575596215564</v>
      </c>
      <c r="I389" s="276">
        <f>'Resultater - Vestdanmark'!I389+'Resultater - Østdanmark'!I389</f>
        <v>11783.214385748568</v>
      </c>
      <c r="J389" s="277">
        <f>'Resultater - Vestdanmark'!J389+'Resultater - Østdanmark'!J389</f>
        <v>11056.182986761743</v>
      </c>
    </row>
    <row r="390" spans="1:10" x14ac:dyDescent="0.25">
      <c r="A390" s="98" t="str">
        <f>'Resultater - Vestdanmark'!A390</f>
        <v>Pil- og poppeldyrkning</v>
      </c>
      <c r="B390" s="98" t="str">
        <f>'Resultater - Vestdanmark'!B390</f>
        <v>Konventionel</v>
      </c>
      <c r="C390" s="98" t="str">
        <f>'Resultater - Vestdanmark'!C390</f>
        <v>OC6</v>
      </c>
      <c r="D390" s="98" t="str">
        <f>'Resultater - Vestdanmark'!D390</f>
        <v>Areal-pil-poppel</v>
      </c>
      <c r="E390" s="98" t="str">
        <f>'Resultater - Vestdanmark'!E390</f>
        <v>Hektar</v>
      </c>
      <c r="F390" s="98" t="str">
        <f>'Resultater - Vestdanmark'!F390</f>
        <v>Pil &amp; poppel</v>
      </c>
      <c r="G390" s="98" t="str">
        <f>'Resultater - Vestdanmark'!G390</f>
        <v>Ton</v>
      </c>
      <c r="H390" s="275">
        <f>'Resultater - Vestdanmark'!H390+'Resultater - Østdanmark'!H390</f>
        <v>22604.883417166257</v>
      </c>
      <c r="I390" s="276">
        <f>'Resultater - Vestdanmark'!I390+'Resultater - Østdanmark'!I390</f>
        <v>21882.340312054126</v>
      </c>
      <c r="J390" s="277">
        <f>'Resultater - Vestdanmark'!J390+'Resultater - Østdanmark'!J390</f>
        <v>22388.998329589063</v>
      </c>
    </row>
    <row r="391" spans="1:10" x14ac:dyDescent="0.25">
      <c r="A391" s="98" t="str">
        <f>'Resultater - Vestdanmark'!A391</f>
        <v>Pil- og poppeldyrkning</v>
      </c>
      <c r="B391" s="98" t="str">
        <f>'Resultater - Vestdanmark'!B391</f>
        <v>Konventionel</v>
      </c>
      <c r="C391" s="98" t="str">
        <f>'Resultater - Vestdanmark'!C391</f>
        <v>OC6</v>
      </c>
      <c r="D391" s="98" t="str">
        <f>'Resultater - Vestdanmark'!D391</f>
        <v>Areal-pil-poppel</v>
      </c>
      <c r="E391" s="98" t="str">
        <f>'Resultater - Vestdanmark'!E391</f>
        <v>Hektar</v>
      </c>
      <c r="F391" s="98" t="str">
        <f>'Resultater - Vestdanmark'!F391</f>
        <v>Gødning</v>
      </c>
      <c r="G391" s="98" t="str">
        <f>'Resultater - Vestdanmark'!G391</f>
        <v>kg N</v>
      </c>
      <c r="H391" s="275">
        <f>'Resultater - Vestdanmark'!H391+'Resultater - Østdanmark'!H391</f>
        <v>-92680.022010381668</v>
      </c>
      <c r="I391" s="276">
        <f>'Resultater - Vestdanmark'!I391+'Resultater - Østdanmark'!I391</f>
        <v>-83691.786641251776</v>
      </c>
      <c r="J391" s="277">
        <f>'Resultater - Vestdanmark'!J391+'Resultater - Østdanmark'!J391</f>
        <v>-79821.646218534937</v>
      </c>
    </row>
    <row r="392" spans="1:10" x14ac:dyDescent="0.25">
      <c r="A392" s="98" t="str">
        <f>'Resultater - Vestdanmark'!A392</f>
        <v>Pil- og poppeldyrkning</v>
      </c>
      <c r="B392" s="98" t="str">
        <f>'Resultater - Vestdanmark'!B392</f>
        <v>Konventionel</v>
      </c>
      <c r="C392" s="98" t="str">
        <f>'Resultater - Vestdanmark'!C392</f>
        <v>OC6</v>
      </c>
      <c r="D392" s="98" t="str">
        <f>'Resultater - Vestdanmark'!D392</f>
        <v>Areal-pil-poppel</v>
      </c>
      <c r="E392" s="98" t="str">
        <f>'Resultater - Vestdanmark'!E392</f>
        <v>Hektar</v>
      </c>
      <c r="F392" s="98" t="str">
        <f>'Resultater - Vestdanmark'!F392</f>
        <v>CO2 - atmosfære</v>
      </c>
      <c r="G392" s="98" t="str">
        <f>'Resultater - Vestdanmark'!G392</f>
        <v>t CO2-ækvivalenter</v>
      </c>
      <c r="H392" s="275">
        <f>'Resultater - Vestdanmark'!H392+'Resultater - Østdanmark'!H392</f>
        <v>8234.3839053876236</v>
      </c>
      <c r="I392" s="276">
        <f>'Resultater - Vestdanmark'!I392+'Resultater - Østdanmark'!I392</f>
        <v>7435.8020853152429</v>
      </c>
      <c r="J392" s="277">
        <f>'Resultater - Vestdanmark'!J392+'Resultater - Østdanmark'!J392</f>
        <v>7091.9499657630931</v>
      </c>
    </row>
    <row r="393" spans="1:10" x14ac:dyDescent="0.25">
      <c r="A393" s="98" t="str">
        <f>'Resultater - Vestdanmark'!A393</f>
        <v>Pil- og poppeldyrkning</v>
      </c>
      <c r="B393" s="98" t="str">
        <f>'Resultater - Vestdanmark'!B393</f>
        <v>Konventionel</v>
      </c>
      <c r="C393" s="98" t="str">
        <f>'Resultater - Vestdanmark'!C393</f>
        <v>OC12</v>
      </c>
      <c r="D393" s="98" t="str">
        <f>'Resultater - Vestdanmark'!D393</f>
        <v>Areal-pil-poppel</v>
      </c>
      <c r="E393" s="98" t="str">
        <f>'Resultater - Vestdanmark'!E393</f>
        <v>Hektar</v>
      </c>
      <c r="F393" s="98" t="str">
        <f>'Resultater - Vestdanmark'!F393</f>
        <v>Pil &amp; poppel</v>
      </c>
      <c r="G393" s="98" t="str">
        <f>'Resultater - Vestdanmark'!G393</f>
        <v>Ton</v>
      </c>
      <c r="H393" s="275">
        <f>'Resultater - Vestdanmark'!H393+'Resultater - Østdanmark'!H393</f>
        <v>21807.878272481728</v>
      </c>
      <c r="I393" s="276">
        <f>'Resultater - Vestdanmark'!I393+'Resultater - Østdanmark'!I393</f>
        <v>20714.671949764004</v>
      </c>
      <c r="J393" s="277">
        <f>'Resultater - Vestdanmark'!J393+'Resultater - Østdanmark'!J393</f>
        <v>21194.294077666509</v>
      </c>
    </row>
    <row r="394" spans="1:10" x14ac:dyDescent="0.25">
      <c r="A394" s="98" t="str">
        <f>'Resultater - Vestdanmark'!A394</f>
        <v>Pil- og poppeldyrkning</v>
      </c>
      <c r="B394" s="98" t="str">
        <f>'Resultater - Vestdanmark'!B394</f>
        <v>Konventionel</v>
      </c>
      <c r="C394" s="98" t="str">
        <f>'Resultater - Vestdanmark'!C394</f>
        <v>OC12</v>
      </c>
      <c r="D394" s="98" t="str">
        <f>'Resultater - Vestdanmark'!D394</f>
        <v>Areal-pil-poppel</v>
      </c>
      <c r="E394" s="98" t="str">
        <f>'Resultater - Vestdanmark'!E394</f>
        <v>Hektar</v>
      </c>
      <c r="F394" s="98" t="str">
        <f>'Resultater - Vestdanmark'!F394</f>
        <v>Gødning</v>
      </c>
      <c r="G394" s="98" t="str">
        <f>'Resultater - Vestdanmark'!G394</f>
        <v>kg N</v>
      </c>
      <c r="H394" s="275">
        <f>'Resultater - Vestdanmark'!H394+'Resultater - Østdanmark'!H394</f>
        <v>-76639.115071864377</v>
      </c>
      <c r="I394" s="276">
        <f>'Resultater - Vestdanmark'!I394+'Resultater - Østdanmark'!I394</f>
        <v>-67907.906445121873</v>
      </c>
      <c r="J394" s="277">
        <f>'Resultater - Vestdanmark'!J394+'Resultater - Østdanmark'!J394</f>
        <v>-64767.656436098907</v>
      </c>
    </row>
    <row r="395" spans="1:10" x14ac:dyDescent="0.25">
      <c r="A395" s="98" t="str">
        <f>'Resultater - Vestdanmark'!A395</f>
        <v>Pil- og poppeldyrkning</v>
      </c>
      <c r="B395" s="98" t="str">
        <f>'Resultater - Vestdanmark'!B395</f>
        <v>Konventionel</v>
      </c>
      <c r="C395" s="98" t="str">
        <f>'Resultater - Vestdanmark'!C395</f>
        <v>OC12</v>
      </c>
      <c r="D395" s="98" t="str">
        <f>'Resultater - Vestdanmark'!D395</f>
        <v>Areal-pil-poppel</v>
      </c>
      <c r="E395" s="98" t="str">
        <f>'Resultater - Vestdanmark'!E395</f>
        <v>Hektar</v>
      </c>
      <c r="F395" s="98" t="str">
        <f>'Resultater - Vestdanmark'!F395</f>
        <v>CO2 - atmosfære</v>
      </c>
      <c r="G395" s="98" t="str">
        <f>'Resultater - Vestdanmark'!G395</f>
        <v>t CO2-ækvivalenter</v>
      </c>
      <c r="H395" s="275">
        <f>'Resultater - Vestdanmark'!H395+'Resultater - Østdanmark'!H395</f>
        <v>18202.871953106896</v>
      </c>
      <c r="I395" s="276">
        <f>'Resultater - Vestdanmark'!I395+'Resultater - Østdanmark'!I395</f>
        <v>16129.086621955503</v>
      </c>
      <c r="J395" s="277">
        <f>'Resultater - Vestdanmark'!J395+'Resultater - Østdanmark'!J395</f>
        <v>15383.232905333283</v>
      </c>
    </row>
    <row r="396" spans="1:10" x14ac:dyDescent="0.25">
      <c r="A396" s="98" t="str">
        <f>'Resultater - Vestdanmark'!A396</f>
        <v>Pil- og poppeldyrkning</v>
      </c>
      <c r="B396" s="98" t="str">
        <f>'Resultater - Vestdanmark'!B396</f>
        <v>Økologisk</v>
      </c>
      <c r="C396" s="98" t="str">
        <f>'Resultater - Vestdanmark'!C396</f>
        <v>JB1-10</v>
      </c>
      <c r="D396" s="98" t="str">
        <f>'Resultater - Vestdanmark'!D396</f>
        <v>Areal-pil-poppel</v>
      </c>
      <c r="E396" s="98" t="str">
        <f>'Resultater - Vestdanmark'!E396</f>
        <v>Hektar</v>
      </c>
      <c r="F396" s="98" t="str">
        <f>'Resultater - Vestdanmark'!F396</f>
        <v>Pil &amp; poppel</v>
      </c>
      <c r="G396" s="98" t="str">
        <f>'Resultater - Vestdanmark'!G396</f>
        <v>Ton</v>
      </c>
      <c r="H396" s="275">
        <f>'Resultater - Vestdanmark'!H396+'Resultater - Østdanmark'!H396</f>
        <v>11019.474837461308</v>
      </c>
      <c r="I396" s="276">
        <f>'Resultater - Vestdanmark'!I396+'Resultater - Østdanmark'!I396</f>
        <v>13942.839608316204</v>
      </c>
      <c r="J396" s="277">
        <f>'Resultater - Vestdanmark'!J396+'Resultater - Østdanmark'!J396</f>
        <v>19074.89535728786</v>
      </c>
    </row>
    <row r="397" spans="1:10" x14ac:dyDescent="0.25">
      <c r="A397" s="98" t="str">
        <f>'Resultater - Vestdanmark'!A397</f>
        <v>Pil- og poppeldyrkning</v>
      </c>
      <c r="B397" s="98" t="str">
        <f>'Resultater - Vestdanmark'!B397</f>
        <v>Økologisk</v>
      </c>
      <c r="C397" s="98" t="str">
        <f>'Resultater - Vestdanmark'!C397</f>
        <v>JB1-10</v>
      </c>
      <c r="D397" s="98" t="str">
        <f>'Resultater - Vestdanmark'!D397</f>
        <v>Areal-pil-poppel</v>
      </c>
      <c r="E397" s="98" t="str">
        <f>'Resultater - Vestdanmark'!E397</f>
        <v>Hektar</v>
      </c>
      <c r="F397" s="98" t="str">
        <f>'Resultater - Vestdanmark'!F397</f>
        <v>Gødning</v>
      </c>
      <c r="G397" s="98" t="str">
        <f>'Resultater - Vestdanmark'!G397</f>
        <v>kg N</v>
      </c>
      <c r="H397" s="275">
        <f>'Resultater - Vestdanmark'!H397+'Resultater - Østdanmark'!H397</f>
        <v>-54215.816200309637</v>
      </c>
      <c r="I397" s="276">
        <f>'Resultater - Vestdanmark'!I397+'Resultater - Østdanmark'!I397</f>
        <v>-63991.390739660194</v>
      </c>
      <c r="J397" s="277">
        <f>'Resultater - Vestdanmark'!J397+'Resultater - Østdanmark'!J397</f>
        <v>-81607.378398135887</v>
      </c>
    </row>
    <row r="398" spans="1:10" x14ac:dyDescent="0.25">
      <c r="A398" s="98" t="str">
        <f>'Resultater - Vestdanmark'!A398</f>
        <v>Pil- og poppeldyrkning</v>
      </c>
      <c r="B398" s="98" t="str">
        <f>'Resultater - Vestdanmark'!B398</f>
        <v>Økologisk</v>
      </c>
      <c r="C398" s="98" t="str">
        <f>'Resultater - Vestdanmark'!C398</f>
        <v>JB1-10</v>
      </c>
      <c r="D398" s="98" t="str">
        <f>'Resultater - Vestdanmark'!D398</f>
        <v>Areal-pil-poppel</v>
      </c>
      <c r="E398" s="98" t="str">
        <f>'Resultater - Vestdanmark'!E398</f>
        <v>Hektar</v>
      </c>
      <c r="F398" s="98" t="str">
        <f>'Resultater - Vestdanmark'!F398</f>
        <v>CO2 - atmosfære</v>
      </c>
      <c r="G398" s="98" t="str">
        <f>'Resultater - Vestdanmark'!G398</f>
        <v>t CO2-ækvivalenter</v>
      </c>
      <c r="H398" s="275">
        <f>'Resultater - Vestdanmark'!H398+'Resultater - Østdanmark'!H398</f>
        <v>1558.0661481516906</v>
      </c>
      <c r="I398" s="276">
        <f>'Resultater - Vestdanmark'!I398+'Resultater - Østdanmark'!I398</f>
        <v>1838.9987769665397</v>
      </c>
      <c r="J398" s="277">
        <f>'Resultater - Vestdanmark'!J398+'Resultater - Østdanmark'!J398</f>
        <v>2345.2509365858245</v>
      </c>
    </row>
    <row r="399" spans="1:10" x14ac:dyDescent="0.25">
      <c r="A399" s="98" t="str">
        <f>'Resultater - Vestdanmark'!A399</f>
        <v>Pil- og poppeldyrkning</v>
      </c>
      <c r="B399" s="98" t="str">
        <f>'Resultater - Vestdanmark'!B399</f>
        <v>Økologisk</v>
      </c>
      <c r="C399" s="98" t="str">
        <f>'Resultater - Vestdanmark'!C399</f>
        <v>OC6</v>
      </c>
      <c r="D399" s="98" t="str">
        <f>'Resultater - Vestdanmark'!D399</f>
        <v>Areal-pil-poppel</v>
      </c>
      <c r="E399" s="98" t="str">
        <f>'Resultater - Vestdanmark'!E399</f>
        <v>Hektar</v>
      </c>
      <c r="F399" s="98" t="str">
        <f>'Resultater - Vestdanmark'!F399</f>
        <v>Pil &amp; poppel</v>
      </c>
      <c r="G399" s="98" t="str">
        <f>'Resultater - Vestdanmark'!G399</f>
        <v>Ton</v>
      </c>
      <c r="H399" s="275">
        <f>'Resultater - Vestdanmark'!H399+'Resultater - Østdanmark'!H399</f>
        <v>1647.4679356385941</v>
      </c>
      <c r="I399" s="276">
        <f>'Resultater - Vestdanmark'!I399+'Resultater - Østdanmark'!I399</f>
        <v>1946.6428751590347</v>
      </c>
      <c r="J399" s="277">
        <f>'Resultater - Vestdanmark'!J399+'Resultater - Østdanmark'!J399</f>
        <v>2707.0334343957684</v>
      </c>
    </row>
    <row r="400" spans="1:10" x14ac:dyDescent="0.25">
      <c r="A400" s="98" t="str">
        <f>'Resultater - Vestdanmark'!A400</f>
        <v>Pil- og poppeldyrkning</v>
      </c>
      <c r="B400" s="98" t="str">
        <f>'Resultater - Vestdanmark'!B400</f>
        <v>Økologisk</v>
      </c>
      <c r="C400" s="98" t="str">
        <f>'Resultater - Vestdanmark'!C400</f>
        <v>OC6</v>
      </c>
      <c r="D400" s="98" t="str">
        <f>'Resultater - Vestdanmark'!D400</f>
        <v>Areal-pil-poppel</v>
      </c>
      <c r="E400" s="98" t="str">
        <f>'Resultater - Vestdanmark'!E400</f>
        <v>Hektar</v>
      </c>
      <c r="F400" s="98" t="str">
        <f>'Resultater - Vestdanmark'!F400</f>
        <v>Gødning</v>
      </c>
      <c r="G400" s="98" t="str">
        <f>'Resultater - Vestdanmark'!G400</f>
        <v>kg N</v>
      </c>
      <c r="H400" s="275">
        <f>'Resultater - Vestdanmark'!H400+'Resultater - Østdanmark'!H400</f>
        <v>-6754.6185361182361</v>
      </c>
      <c r="I400" s="276">
        <f>'Resultater - Vestdanmark'!I400+'Resultater - Østdanmark'!I400</f>
        <v>-7445.1826382015315</v>
      </c>
      <c r="J400" s="277">
        <f>'Resultater - Vestdanmark'!J400+'Resultater - Østdanmark'!J400</f>
        <v>-9651.162679150133</v>
      </c>
    </row>
    <row r="401" spans="1:10" x14ac:dyDescent="0.25">
      <c r="A401" s="98" t="str">
        <f>'Resultater - Vestdanmark'!A401</f>
        <v>Pil- og poppeldyrkning</v>
      </c>
      <c r="B401" s="98" t="str">
        <f>'Resultater - Vestdanmark'!B401</f>
        <v>Økologisk</v>
      </c>
      <c r="C401" s="98" t="str">
        <f>'Resultater - Vestdanmark'!C401</f>
        <v>OC6</v>
      </c>
      <c r="D401" s="98" t="str">
        <f>'Resultater - Vestdanmark'!D401</f>
        <v>Areal-pil-poppel</v>
      </c>
      <c r="E401" s="98" t="str">
        <f>'Resultater - Vestdanmark'!E401</f>
        <v>Hektar</v>
      </c>
      <c r="F401" s="98" t="str">
        <f>'Resultater - Vestdanmark'!F401</f>
        <v>CO2 - atmosfære</v>
      </c>
      <c r="G401" s="98" t="str">
        <f>'Resultater - Vestdanmark'!G401</f>
        <v>t CO2-ækvivalenter</v>
      </c>
      <c r="H401" s="275">
        <f>'Resultater - Vestdanmark'!H401+'Resultater - Østdanmark'!H401</f>
        <v>1052.8607953369108</v>
      </c>
      <c r="I401" s="276">
        <f>'Resultater - Vestdanmark'!I401+'Resultater - Østdanmark'!I401</f>
        <v>1160.5009034885063</v>
      </c>
      <c r="J401" s="277">
        <f>'Resultater - Vestdanmark'!J401+'Resultater - Østdanmark'!J401</f>
        <v>1504.3530230406561</v>
      </c>
    </row>
    <row r="402" spans="1:10" x14ac:dyDescent="0.25">
      <c r="A402" s="98" t="str">
        <f>'Resultater - Vestdanmark'!A402</f>
        <v>Pil- og poppeldyrkning</v>
      </c>
      <c r="B402" s="98" t="str">
        <f>'Resultater - Vestdanmark'!B402</f>
        <v>Økologisk</v>
      </c>
      <c r="C402" s="98" t="str">
        <f>'Resultater - Vestdanmark'!C402</f>
        <v>OC12</v>
      </c>
      <c r="D402" s="98" t="str">
        <f>'Resultater - Vestdanmark'!D402</f>
        <v>Areal-pil-poppel</v>
      </c>
      <c r="E402" s="98" t="str">
        <f>'Resultater - Vestdanmark'!E402</f>
        <v>Hektar</v>
      </c>
      <c r="F402" s="98" t="str">
        <f>'Resultater - Vestdanmark'!F402</f>
        <v>Pil &amp; poppel</v>
      </c>
      <c r="G402" s="98" t="str">
        <f>'Resultater - Vestdanmark'!G402</f>
        <v>Ton</v>
      </c>
      <c r="H402" s="275">
        <f>'Resultater - Vestdanmark'!H402+'Resultater - Østdanmark'!H402</f>
        <v>1589.3813533645339</v>
      </c>
      <c r="I402" s="276">
        <f>'Resultater - Vestdanmark'!I402+'Resultater - Østdanmark'!I402</f>
        <v>1842.7676376119539</v>
      </c>
      <c r="J402" s="277">
        <f>'Resultater - Vestdanmark'!J402+'Resultater - Østdanmark'!J402</f>
        <v>2562.5828293905861</v>
      </c>
    </row>
    <row r="403" spans="1:10" x14ac:dyDescent="0.25">
      <c r="A403" s="98" t="str">
        <f>'Resultater - Vestdanmark'!A403</f>
        <v>Pil- og poppeldyrkning</v>
      </c>
      <c r="B403" s="98" t="str">
        <f>'Resultater - Vestdanmark'!B403</f>
        <v>Økologisk</v>
      </c>
      <c r="C403" s="98" t="str">
        <f>'Resultater - Vestdanmark'!C403</f>
        <v>OC12</v>
      </c>
      <c r="D403" s="98" t="str">
        <f>'Resultater - Vestdanmark'!D403</f>
        <v>Areal-pil-poppel</v>
      </c>
      <c r="E403" s="98" t="str">
        <f>'Resultater - Vestdanmark'!E403</f>
        <v>Hektar</v>
      </c>
      <c r="F403" s="98" t="str">
        <f>'Resultater - Vestdanmark'!F403</f>
        <v>Gødning</v>
      </c>
      <c r="G403" s="98" t="str">
        <f>'Resultater - Vestdanmark'!G403</f>
        <v>kg N</v>
      </c>
      <c r="H403" s="275">
        <f>'Resultater - Vestdanmark'!H403+'Resultater - Østdanmark'!H403</f>
        <v>-5585.5401846810773</v>
      </c>
      <c r="I403" s="276">
        <f>'Resultater - Vestdanmark'!I403+'Resultater - Østdanmark'!I403</f>
        <v>-6041.0559548579531</v>
      </c>
      <c r="J403" s="277">
        <f>'Resultater - Vestdanmark'!J403+'Resultater - Østdanmark'!J403</f>
        <v>-7830.9984600010484</v>
      </c>
    </row>
    <row r="404" spans="1:10" x14ac:dyDescent="0.25">
      <c r="A404" s="98" t="str">
        <f>'Resultater - Vestdanmark'!A404</f>
        <v>Pil- og poppeldyrkning</v>
      </c>
      <c r="B404" s="98" t="str">
        <f>'Resultater - Vestdanmark'!B404</f>
        <v>Økologisk</v>
      </c>
      <c r="C404" s="98" t="str">
        <f>'Resultater - Vestdanmark'!C404</f>
        <v>OC12</v>
      </c>
      <c r="D404" s="98" t="str">
        <f>'Resultater - Vestdanmark'!D404</f>
        <v>Areal-pil-poppel</v>
      </c>
      <c r="E404" s="98" t="str">
        <f>'Resultater - Vestdanmark'!E404</f>
        <v>Hektar</v>
      </c>
      <c r="F404" s="98" t="str">
        <f>'Resultater - Vestdanmark'!F404</f>
        <v>CO2 - atmosfære</v>
      </c>
      <c r="G404" s="98" t="str">
        <f>'Resultater - Vestdanmark'!G404</f>
        <v>t CO2-ækvivalenter</v>
      </c>
      <c r="H404" s="275">
        <f>'Resultater - Vestdanmark'!H404+'Resultater - Østdanmark'!H404</f>
        <v>2327.4467722381351</v>
      </c>
      <c r="I404" s="276">
        <f>'Resultater - Vestdanmark'!I404+'Resultater - Østdanmark'!I404</f>
        <v>2517.2562935999922</v>
      </c>
      <c r="J404" s="277">
        <f>'Resultater - Vestdanmark'!J404+'Resultater - Østdanmark'!J404</f>
        <v>3263.1100102222117</v>
      </c>
    </row>
    <row r="405" spans="1:10" x14ac:dyDescent="0.25">
      <c r="A405" s="98" t="str">
        <f>'Resultater - Vestdanmark'!A405</f>
        <v>Permanent græs</v>
      </c>
      <c r="B405" s="98" t="str">
        <f>'Resultater - Vestdanmark'!B405</f>
        <v>Konventionel</v>
      </c>
      <c r="C405" s="98" t="str">
        <f>'Resultater - Vestdanmark'!C405</f>
        <v>JB1-10</v>
      </c>
      <c r="D405" s="98" t="str">
        <f>'Resultater - Vestdanmark'!D405</f>
        <v>Areal-permanent græs</v>
      </c>
      <c r="E405" s="98" t="str">
        <f>'Resultater - Vestdanmark'!E405</f>
        <v>Hektar</v>
      </c>
      <c r="F405" s="98" t="str">
        <f>'Resultater - Vestdanmark'!F405</f>
        <v>Græs</v>
      </c>
      <c r="G405" s="98" t="str">
        <f>'Resultater - Vestdanmark'!G405</f>
        <v>Ton</v>
      </c>
      <c r="H405" s="275">
        <f>'Resultater - Vestdanmark'!H405+'Resultater - Østdanmark'!H405</f>
        <v>2074307.374215838</v>
      </c>
      <c r="I405" s="276">
        <f>'Resultater - Vestdanmark'!I405+'Resultater - Østdanmark'!I405</f>
        <v>2150288.1854507397</v>
      </c>
      <c r="J405" s="277">
        <f>'Resultater - Vestdanmark'!J405+'Resultater - Østdanmark'!J405</f>
        <v>2164520.7260758132</v>
      </c>
    </row>
    <row r="406" spans="1:10" x14ac:dyDescent="0.25">
      <c r="A406" s="98" t="str">
        <f>'Resultater - Vestdanmark'!A406</f>
        <v>Permanent græs</v>
      </c>
      <c r="B406" s="98" t="str">
        <f>'Resultater - Vestdanmark'!B406</f>
        <v>Konventionel</v>
      </c>
      <c r="C406" s="98" t="str">
        <f>'Resultater - Vestdanmark'!C406</f>
        <v>JB1-10</v>
      </c>
      <c r="D406" s="98" t="str">
        <f>'Resultater - Vestdanmark'!D406</f>
        <v>Areal-permanent græs</v>
      </c>
      <c r="E406" s="98" t="str">
        <f>'Resultater - Vestdanmark'!E406</f>
        <v>Hektar</v>
      </c>
      <c r="F406" s="98" t="str">
        <f>'Resultater - Vestdanmark'!F406</f>
        <v>Gødning</v>
      </c>
      <c r="G406" s="98" t="str">
        <f>'Resultater - Vestdanmark'!G406</f>
        <v>kg N</v>
      </c>
      <c r="H406" s="275">
        <f>'Resultater - Vestdanmark'!H406+'Resultater - Østdanmark'!H406</f>
        <v>-7521056.4692379907</v>
      </c>
      <c r="I406" s="276">
        <f>'Resultater - Vestdanmark'!I406+'Resultater - Østdanmark'!I406</f>
        <v>-7272900.0893288031</v>
      </c>
      <c r="J406" s="277">
        <f>'Resultater - Vestdanmark'!J406+'Resultater - Østdanmark'!J406</f>
        <v>-6824481.2752650417</v>
      </c>
    </row>
    <row r="407" spans="1:10" x14ac:dyDescent="0.25">
      <c r="A407" s="98" t="str">
        <f>'Resultater - Vestdanmark'!A407</f>
        <v>Permanent græs</v>
      </c>
      <c r="B407" s="98" t="str">
        <f>'Resultater - Vestdanmark'!B407</f>
        <v>Konventionel</v>
      </c>
      <c r="C407" s="98" t="str">
        <f>'Resultater - Vestdanmark'!C407</f>
        <v>JB1-10</v>
      </c>
      <c r="D407" s="98" t="str">
        <f>'Resultater - Vestdanmark'!D407</f>
        <v>Areal-permanent græs</v>
      </c>
      <c r="E407" s="98" t="str">
        <f>'Resultater - Vestdanmark'!E407</f>
        <v>Hektar</v>
      </c>
      <c r="F407" s="98" t="str">
        <f>'Resultater - Vestdanmark'!F407</f>
        <v>CO2 - atmosfære</v>
      </c>
      <c r="G407" s="98" t="str">
        <f>'Resultater - Vestdanmark'!G407</f>
        <v>t CO2-ækvivalenter</v>
      </c>
      <c r="H407" s="275">
        <f>'Resultater - Vestdanmark'!H407+'Resultater - Østdanmark'!H407</f>
        <v>295681.96678242408</v>
      </c>
      <c r="I407" s="276">
        <f>'Resultater - Vestdanmark'!I407+'Resultater - Østdanmark'!I407</f>
        <v>285925.97481756262</v>
      </c>
      <c r="J407" s="277">
        <f>'Resultater - Vestdanmark'!J407+'Resultater - Østdanmark'!J407</f>
        <v>268296.88807596971</v>
      </c>
    </row>
    <row r="408" spans="1:10" x14ac:dyDescent="0.25">
      <c r="A408" s="98" t="str">
        <f>'Resultater - Vestdanmark'!A408</f>
        <v>Permanent græs</v>
      </c>
      <c r="B408" s="98" t="str">
        <f>'Resultater - Vestdanmark'!B408</f>
        <v>Konventionel</v>
      </c>
      <c r="C408" s="98" t="str">
        <f>'Resultater - Vestdanmark'!C408</f>
        <v>OC6</v>
      </c>
      <c r="D408" s="98" t="str">
        <f>'Resultater - Vestdanmark'!D408</f>
        <v>Areal-permanent græs</v>
      </c>
      <c r="E408" s="98" t="str">
        <f>'Resultater - Vestdanmark'!E408</f>
        <v>Hektar</v>
      </c>
      <c r="F408" s="98" t="str">
        <f>'Resultater - Vestdanmark'!F408</f>
        <v>Græs</v>
      </c>
      <c r="G408" s="98" t="str">
        <f>'Resultater - Vestdanmark'!G408</f>
        <v>Ton</v>
      </c>
      <c r="H408" s="275">
        <f>'Resultater - Vestdanmark'!H408+'Resultater - Østdanmark'!H408</f>
        <v>362795.13500095531</v>
      </c>
      <c r="I408" s="276">
        <f>'Resultater - Vestdanmark'!I408+'Resultater - Østdanmark'!I408</f>
        <v>350840.45448944712</v>
      </c>
      <c r="J408" s="277">
        <f>'Resultater - Vestdanmark'!J408+'Resultater - Østdanmark'!J408</f>
        <v>358963.72314388631</v>
      </c>
    </row>
    <row r="409" spans="1:10" x14ac:dyDescent="0.25">
      <c r="A409" s="98" t="str">
        <f>'Resultater - Vestdanmark'!A409</f>
        <v>Permanent græs</v>
      </c>
      <c r="B409" s="98" t="str">
        <f>'Resultater - Vestdanmark'!B409</f>
        <v>Konventionel</v>
      </c>
      <c r="C409" s="98" t="str">
        <f>'Resultater - Vestdanmark'!C409</f>
        <v>OC6</v>
      </c>
      <c r="D409" s="98" t="str">
        <f>'Resultater - Vestdanmark'!D409</f>
        <v>Areal-permanent græs</v>
      </c>
      <c r="E409" s="98" t="str">
        <f>'Resultater - Vestdanmark'!E409</f>
        <v>Hektar</v>
      </c>
      <c r="F409" s="98" t="str">
        <f>'Resultater - Vestdanmark'!F409</f>
        <v>Gødning</v>
      </c>
      <c r="G409" s="98" t="str">
        <f>'Resultater - Vestdanmark'!G409</f>
        <v>kg N</v>
      </c>
      <c r="H409" s="275">
        <f>'Resultater - Vestdanmark'!H409+'Resultater - Østdanmark'!H409</f>
        <v>-1096190.2797950064</v>
      </c>
      <c r="I409" s="276">
        <f>'Resultater - Vestdanmark'!I409+'Resultater - Østdanmark'!I409</f>
        <v>-988870.38725834398</v>
      </c>
      <c r="J409" s="277">
        <f>'Resultater - Vestdanmark'!J409+'Resultater - Østdanmark'!J409</f>
        <v>-943142.27686489455</v>
      </c>
    </row>
    <row r="410" spans="1:10" x14ac:dyDescent="0.25">
      <c r="A410" s="98" t="str">
        <f>'Resultater - Vestdanmark'!A410</f>
        <v>Permanent græs</v>
      </c>
      <c r="B410" s="98" t="str">
        <f>'Resultater - Vestdanmark'!B410</f>
        <v>Konventionel</v>
      </c>
      <c r="C410" s="98" t="str">
        <f>'Resultater - Vestdanmark'!C410</f>
        <v>OC6</v>
      </c>
      <c r="D410" s="98" t="str">
        <f>'Resultater - Vestdanmark'!D410</f>
        <v>Areal-permanent græs</v>
      </c>
      <c r="E410" s="98" t="str">
        <f>'Resultater - Vestdanmark'!E410</f>
        <v>Hektar</v>
      </c>
      <c r="F410" s="98" t="str">
        <f>'Resultater - Vestdanmark'!F410</f>
        <v>CO2 - atmosfære</v>
      </c>
      <c r="G410" s="98" t="str">
        <f>'Resultater - Vestdanmark'!G410</f>
        <v>t CO2-ækvivalenter</v>
      </c>
      <c r="H410" s="275">
        <f>'Resultater - Vestdanmark'!H410+'Resultater - Østdanmark'!H410</f>
        <v>233744.91463565463</v>
      </c>
      <c r="I410" s="276">
        <f>'Resultater - Vestdanmark'!I410+'Resultater - Østdanmark'!I410</f>
        <v>210860.67676010903</v>
      </c>
      <c r="J410" s="277">
        <f>'Resultater - Vestdanmark'!J410+'Resultater - Østdanmark'!J410</f>
        <v>201109.89401975719</v>
      </c>
    </row>
    <row r="411" spans="1:10" x14ac:dyDescent="0.25">
      <c r="A411" s="98" t="str">
        <f>'Resultater - Vestdanmark'!A411</f>
        <v>Permanent græs</v>
      </c>
      <c r="B411" s="98" t="str">
        <f>'Resultater - Vestdanmark'!B411</f>
        <v>Konventionel</v>
      </c>
      <c r="C411" s="98" t="str">
        <f>'Resultater - Vestdanmark'!C411</f>
        <v>OC12</v>
      </c>
      <c r="D411" s="98" t="str">
        <f>'Resultater - Vestdanmark'!D411</f>
        <v>Areal-permanent græs</v>
      </c>
      <c r="E411" s="98" t="str">
        <f>'Resultater - Vestdanmark'!E411</f>
        <v>Hektar</v>
      </c>
      <c r="F411" s="98" t="str">
        <f>'Resultater - Vestdanmark'!F411</f>
        <v>Græs</v>
      </c>
      <c r="G411" s="98" t="str">
        <f>'Resultater - Vestdanmark'!G411</f>
        <v>Ton</v>
      </c>
      <c r="H411" s="275">
        <f>'Resultater - Vestdanmark'!H411+'Resultater - Østdanmark'!H411</f>
        <v>458081.74348965334</v>
      </c>
      <c r="I411" s="276">
        <f>'Resultater - Vestdanmark'!I411+'Resultater - Østdanmark'!I411</f>
        <v>429568.9249919146</v>
      </c>
      <c r="J411" s="277">
        <f>'Resultater - Vestdanmark'!J411+'Resultater - Østdanmark'!J411</f>
        <v>439515.05218065623</v>
      </c>
    </row>
    <row r="412" spans="1:10" x14ac:dyDescent="0.25">
      <c r="A412" s="98" t="str">
        <f>'Resultater - Vestdanmark'!A412</f>
        <v>Permanent græs</v>
      </c>
      <c r="B412" s="98" t="str">
        <f>'Resultater - Vestdanmark'!B412</f>
        <v>Konventionel</v>
      </c>
      <c r="C412" s="98" t="str">
        <f>'Resultater - Vestdanmark'!C412</f>
        <v>OC12</v>
      </c>
      <c r="D412" s="98" t="str">
        <f>'Resultater - Vestdanmark'!D412</f>
        <v>Areal-permanent græs</v>
      </c>
      <c r="E412" s="98" t="str">
        <f>'Resultater - Vestdanmark'!E412</f>
        <v>Hektar</v>
      </c>
      <c r="F412" s="98" t="str">
        <f>'Resultater - Vestdanmark'!F412</f>
        <v>Gødning</v>
      </c>
      <c r="G412" s="98" t="str">
        <f>'Resultater - Vestdanmark'!G412</f>
        <v>kg N</v>
      </c>
      <c r="H412" s="275">
        <f>'Resultater - Vestdanmark'!H412+'Resultater - Østdanmark'!H412</f>
        <v>-1186371.4479686453</v>
      </c>
      <c r="I412" s="276">
        <f>'Resultater - Vestdanmark'!I412+'Resultater - Østdanmark'!I412</f>
        <v>-1037805.0367140777</v>
      </c>
      <c r="J412" s="277">
        <f>'Resultater - Vestdanmark'!J412+'Resultater - Østdanmark'!J412</f>
        <v>-989814.05235735734</v>
      </c>
    </row>
    <row r="413" spans="1:10" x14ac:dyDescent="0.25">
      <c r="A413" s="98" t="str">
        <f>'Resultater - Vestdanmark'!A413</f>
        <v>Permanent græs</v>
      </c>
      <c r="B413" s="98" t="str">
        <f>'Resultater - Vestdanmark'!B413</f>
        <v>Konventionel</v>
      </c>
      <c r="C413" s="98" t="str">
        <f>'Resultater - Vestdanmark'!C413</f>
        <v>OC12</v>
      </c>
      <c r="D413" s="98" t="str">
        <f>'Resultater - Vestdanmark'!D413</f>
        <v>Areal-permanent græs</v>
      </c>
      <c r="E413" s="98" t="str">
        <f>'Resultater - Vestdanmark'!E413</f>
        <v>Hektar</v>
      </c>
      <c r="F413" s="98" t="str">
        <f>'Resultater - Vestdanmark'!F413</f>
        <v>CO2 - atmosfære</v>
      </c>
      <c r="G413" s="98" t="str">
        <f>'Resultater - Vestdanmark'!G413</f>
        <v>t CO2-ækvivalenter</v>
      </c>
      <c r="H413" s="275">
        <f>'Resultater - Vestdanmark'!H413+'Resultater - Østdanmark'!H413</f>
        <v>676271.92832627031</v>
      </c>
      <c r="I413" s="276">
        <f>'Resultater - Vestdanmark'!I413+'Resultater - Østdanmark'!I413</f>
        <v>591584.03938923357</v>
      </c>
      <c r="J413" s="277">
        <f>'Resultater - Vestdanmark'!J413+'Resultater - Østdanmark'!J413</f>
        <v>564227.55201863311</v>
      </c>
    </row>
    <row r="414" spans="1:10" x14ac:dyDescent="0.25">
      <c r="A414" s="98" t="str">
        <f>'Resultater - Vestdanmark'!A414</f>
        <v>Permanent græs</v>
      </c>
      <c r="B414" s="98" t="str">
        <f>'Resultater - Vestdanmark'!B414</f>
        <v>Økologisk</v>
      </c>
      <c r="C414" s="98" t="str">
        <f>'Resultater - Vestdanmark'!C414</f>
        <v>JB1-10</v>
      </c>
      <c r="D414" s="98" t="str">
        <f>'Resultater - Vestdanmark'!D414</f>
        <v>Areal-permanent græs</v>
      </c>
      <c r="E414" s="98" t="str">
        <f>'Resultater - Vestdanmark'!E414</f>
        <v>Hektar</v>
      </c>
      <c r="F414" s="98" t="str">
        <f>'Resultater - Vestdanmark'!F414</f>
        <v>Græs</v>
      </c>
      <c r="G414" s="98" t="str">
        <f>'Resultater - Vestdanmark'!G414</f>
        <v>Ton</v>
      </c>
      <c r="H414" s="275">
        <f>'Resultater - Vestdanmark'!H414+'Resultater - Østdanmark'!H414</f>
        <v>265224.08195726445</v>
      </c>
      <c r="I414" s="276">
        <f>'Resultater - Vestdanmark'!I414+'Resultater - Østdanmark'!I414</f>
        <v>335594.1098680346</v>
      </c>
      <c r="J414" s="277">
        <f>'Resultater - Vestdanmark'!J414+'Resultater - Østdanmark'!J414</f>
        <v>459140.76007668761</v>
      </c>
    </row>
    <row r="415" spans="1:10" x14ac:dyDescent="0.25">
      <c r="A415" s="98" t="str">
        <f>'Resultater - Vestdanmark'!A415</f>
        <v>Permanent græs</v>
      </c>
      <c r="B415" s="98" t="str">
        <f>'Resultater - Vestdanmark'!B415</f>
        <v>Økologisk</v>
      </c>
      <c r="C415" s="98" t="str">
        <f>'Resultater - Vestdanmark'!C415</f>
        <v>JB1-10</v>
      </c>
      <c r="D415" s="98" t="str">
        <f>'Resultater - Vestdanmark'!D415</f>
        <v>Areal-permanent græs</v>
      </c>
      <c r="E415" s="98" t="str">
        <f>'Resultater - Vestdanmark'!E415</f>
        <v>Hektar</v>
      </c>
      <c r="F415" s="98" t="str">
        <f>'Resultater - Vestdanmark'!F415</f>
        <v>Gødning</v>
      </c>
      <c r="G415" s="98" t="str">
        <f>'Resultater - Vestdanmark'!G415</f>
        <v>kg N</v>
      </c>
      <c r="H415" s="275">
        <f>'Resultater - Vestdanmark'!H415+'Resultater - Østdanmark'!H415</f>
        <v>-961653.66917064704</v>
      </c>
      <c r="I415" s="276">
        <f>'Resultater - Vestdanmark'!I415+'Resultater - Østdanmark'!I415</f>
        <v>-1135076.8925542063</v>
      </c>
      <c r="J415" s="277">
        <f>'Resultater - Vestdanmark'!J415+'Resultater - Østdanmark'!J415</f>
        <v>-1447617.2402077359</v>
      </c>
    </row>
    <row r="416" spans="1:10" x14ac:dyDescent="0.25">
      <c r="A416" s="98" t="str">
        <f>'Resultater - Vestdanmark'!A416</f>
        <v>Permanent græs</v>
      </c>
      <c r="B416" s="98" t="str">
        <f>'Resultater - Vestdanmark'!B416</f>
        <v>Økologisk</v>
      </c>
      <c r="C416" s="98" t="str">
        <f>'Resultater - Vestdanmark'!C416</f>
        <v>JB1-10</v>
      </c>
      <c r="D416" s="98" t="str">
        <f>'Resultater - Vestdanmark'!D416</f>
        <v>Areal-permanent græs</v>
      </c>
      <c r="E416" s="98" t="str">
        <f>'Resultater - Vestdanmark'!E416</f>
        <v>Hektar</v>
      </c>
      <c r="F416" s="98" t="str">
        <f>'Resultater - Vestdanmark'!F416</f>
        <v>CO2 - atmosfære</v>
      </c>
      <c r="G416" s="98" t="str">
        <f>'Resultater - Vestdanmark'!G416</f>
        <v>t CO2-ækvivalenter</v>
      </c>
      <c r="H416" s="275">
        <f>'Resultater - Vestdanmark'!H416+'Resultater - Østdanmark'!H416</f>
        <v>37806.344019209348</v>
      </c>
      <c r="I416" s="276">
        <f>'Resultater - Vestdanmark'!I416+'Resultater - Østdanmark'!I416</f>
        <v>44624.285087134056</v>
      </c>
      <c r="J416" s="277">
        <f>'Resultater - Vestdanmark'!J416+'Resultater - Østdanmark'!J416</f>
        <v>56911.461107023875</v>
      </c>
    </row>
    <row r="417" spans="1:10" x14ac:dyDescent="0.25">
      <c r="A417" s="98" t="str">
        <f>'Resultater - Vestdanmark'!A417</f>
        <v>Permanent græs</v>
      </c>
      <c r="B417" s="98" t="str">
        <f>'Resultater - Vestdanmark'!B417</f>
        <v>Økologisk</v>
      </c>
      <c r="C417" s="98" t="str">
        <f>'Resultater - Vestdanmark'!C417</f>
        <v>OC6</v>
      </c>
      <c r="D417" s="98" t="str">
        <f>'Resultater - Vestdanmark'!D417</f>
        <v>Areal-permanent græs</v>
      </c>
      <c r="E417" s="98" t="str">
        <f>'Resultater - Vestdanmark'!E417</f>
        <v>Hektar</v>
      </c>
      <c r="F417" s="98" t="str">
        <f>'Resultater - Vestdanmark'!F417</f>
        <v>Græs</v>
      </c>
      <c r="G417" s="98" t="str">
        <f>'Resultater - Vestdanmark'!G417</f>
        <v>Ton</v>
      </c>
      <c r="H417" s="275">
        <f>'Resultater - Vestdanmark'!H417+'Resultater - Østdanmark'!H417</f>
        <v>46387.535336013323</v>
      </c>
      <c r="I417" s="276">
        <f>'Resultater - Vestdanmark'!I417+'Resultater - Østdanmark'!I417</f>
        <v>54755.446654422398</v>
      </c>
      <c r="J417" s="277">
        <f>'Resultater - Vestdanmark'!J417+'Resultater - Østdanmark'!J417</f>
        <v>76143.820060824364</v>
      </c>
    </row>
    <row r="418" spans="1:10" x14ac:dyDescent="0.25">
      <c r="A418" s="98" t="str">
        <f>'Resultater - Vestdanmark'!A418</f>
        <v>Permanent græs</v>
      </c>
      <c r="B418" s="98" t="str">
        <f>'Resultater - Vestdanmark'!B418</f>
        <v>Økologisk</v>
      </c>
      <c r="C418" s="98" t="str">
        <f>'Resultater - Vestdanmark'!C418</f>
        <v>OC6</v>
      </c>
      <c r="D418" s="98" t="str">
        <f>'Resultater - Vestdanmark'!D418</f>
        <v>Areal-permanent græs</v>
      </c>
      <c r="E418" s="98" t="str">
        <f>'Resultater - Vestdanmark'!E418</f>
        <v>Hektar</v>
      </c>
      <c r="F418" s="98" t="str">
        <f>'Resultater - Vestdanmark'!F418</f>
        <v>Gødning</v>
      </c>
      <c r="G418" s="98" t="str">
        <f>'Resultater - Vestdanmark'!G418</f>
        <v>kg N</v>
      </c>
      <c r="H418" s="275">
        <f>'Resultater - Vestdanmark'!H418+'Resultater - Østdanmark'!H418</f>
        <v>-140160.5491177584</v>
      </c>
      <c r="I418" s="276">
        <f>'Resultater - Vestdanmark'!I418+'Resultater - Østdanmark'!I418</f>
        <v>-154332.37257789186</v>
      </c>
      <c r="J418" s="277">
        <f>'Resultater - Vestdanmark'!J418+'Resultater - Østdanmark'!J418</f>
        <v>-200060.48297134126</v>
      </c>
    </row>
    <row r="419" spans="1:10" x14ac:dyDescent="0.25">
      <c r="A419" s="98" t="str">
        <f>'Resultater - Vestdanmark'!A419</f>
        <v>Permanent græs</v>
      </c>
      <c r="B419" s="98" t="str">
        <f>'Resultater - Vestdanmark'!B419</f>
        <v>Økologisk</v>
      </c>
      <c r="C419" s="98" t="str">
        <f>'Resultater - Vestdanmark'!C419</f>
        <v>OC6</v>
      </c>
      <c r="D419" s="98" t="str">
        <f>'Resultater - Vestdanmark'!D419</f>
        <v>Areal-permanent græs</v>
      </c>
      <c r="E419" s="98" t="str">
        <f>'Resultater - Vestdanmark'!E419</f>
        <v>Hektar</v>
      </c>
      <c r="F419" s="98" t="str">
        <f>'Resultater - Vestdanmark'!F419</f>
        <v>CO2 - atmosfære</v>
      </c>
      <c r="G419" s="98" t="str">
        <f>'Resultater - Vestdanmark'!G419</f>
        <v>t CO2-ækvivalenter</v>
      </c>
      <c r="H419" s="275">
        <f>'Resultater - Vestdanmark'!H419+'Resultater - Østdanmark'!H419</f>
        <v>29886.978741449482</v>
      </c>
      <c r="I419" s="276">
        <f>'Resultater - Vestdanmark'!I419+'Resultater - Østdanmark'!I419</f>
        <v>32908.891748687543</v>
      </c>
      <c r="J419" s="277">
        <f>'Resultater - Vestdanmark'!J419+'Resultater - Østdanmark'!J419</f>
        <v>42659.674489039404</v>
      </c>
    </row>
    <row r="420" spans="1:10" x14ac:dyDescent="0.25">
      <c r="A420" s="98" t="str">
        <f>'Resultater - Vestdanmark'!A420</f>
        <v>Permanent græs</v>
      </c>
      <c r="B420" s="98" t="str">
        <f>'Resultater - Vestdanmark'!B420</f>
        <v>Økologisk</v>
      </c>
      <c r="C420" s="98" t="str">
        <f>'Resultater - Vestdanmark'!C420</f>
        <v>OC12</v>
      </c>
      <c r="D420" s="98" t="str">
        <f>'Resultater - Vestdanmark'!D420</f>
        <v>Areal-permanent græs</v>
      </c>
      <c r="E420" s="98" t="str">
        <f>'Resultater - Vestdanmark'!E420</f>
        <v>Hektar</v>
      </c>
      <c r="F420" s="98" t="str">
        <f>'Resultater - Vestdanmark'!F420</f>
        <v>Græs</v>
      </c>
      <c r="G420" s="98" t="str">
        <f>'Resultater - Vestdanmark'!G420</f>
        <v>Ton</v>
      </c>
      <c r="H420" s="275">
        <f>'Resultater - Vestdanmark'!H420+'Resultater - Østdanmark'!H420</f>
        <v>58571.025388344671</v>
      </c>
      <c r="I420" s="276">
        <f>'Resultater - Vestdanmark'!I420+'Resultater - Østdanmark'!I420</f>
        <v>67042.548987177433</v>
      </c>
      <c r="J420" s="277">
        <f>'Resultater - Vestdanmark'!J420+'Resultater - Østdanmark'!J420</f>
        <v>93230.46561407861</v>
      </c>
    </row>
    <row r="421" spans="1:10" x14ac:dyDescent="0.25">
      <c r="A421" s="98" t="str">
        <f>'Resultater - Vestdanmark'!A421</f>
        <v>Permanent græs</v>
      </c>
      <c r="B421" s="98" t="str">
        <f>'Resultater - Vestdanmark'!B421</f>
        <v>Økologisk</v>
      </c>
      <c r="C421" s="98" t="str">
        <f>'Resultater - Vestdanmark'!C421</f>
        <v>OC12</v>
      </c>
      <c r="D421" s="98" t="str">
        <f>'Resultater - Vestdanmark'!D421</f>
        <v>Areal-permanent græs</v>
      </c>
      <c r="E421" s="98" t="str">
        <f>'Resultater - Vestdanmark'!E421</f>
        <v>Hektar</v>
      </c>
      <c r="F421" s="98" t="str">
        <f>'Resultater - Vestdanmark'!F421</f>
        <v>Gødning</v>
      </c>
      <c r="G421" s="98" t="str">
        <f>'Resultater - Vestdanmark'!G421</f>
        <v>kg N</v>
      </c>
      <c r="H421" s="275">
        <f>'Resultater - Vestdanmark'!H421+'Resultater - Østdanmark'!H421</f>
        <v>-151691.24984032079</v>
      </c>
      <c r="I421" s="276">
        <f>'Resultater - Vestdanmark'!I421+'Resultater - Østdanmark'!I421</f>
        <v>-161969.57220393119</v>
      </c>
      <c r="J421" s="277">
        <f>'Resultater - Vestdanmark'!J421+'Resultater - Østdanmark'!J421</f>
        <v>-209960.55656065157</v>
      </c>
    </row>
    <row r="422" spans="1:10" x14ac:dyDescent="0.25">
      <c r="A422" s="98" t="str">
        <f>'Resultater - Vestdanmark'!A422</f>
        <v>Permanent græs</v>
      </c>
      <c r="B422" s="98" t="str">
        <f>'Resultater - Vestdanmark'!B422</f>
        <v>Økologisk</v>
      </c>
      <c r="C422" s="98" t="str">
        <f>'Resultater - Vestdanmark'!C422</f>
        <v>OC12</v>
      </c>
      <c r="D422" s="98" t="str">
        <f>'Resultater - Vestdanmark'!D422</f>
        <v>Areal-permanent græs</v>
      </c>
      <c r="E422" s="98" t="str">
        <f>'Resultater - Vestdanmark'!E422</f>
        <v>Hektar</v>
      </c>
      <c r="F422" s="98" t="str">
        <f>'Resultater - Vestdanmark'!F422</f>
        <v>CO2 - atmosfære</v>
      </c>
      <c r="G422" s="98" t="str">
        <f>'Resultater - Vestdanmark'!G422</f>
        <v>t CO2-ækvivalenter</v>
      </c>
      <c r="H422" s="275">
        <f>'Resultater - Vestdanmark'!H422+'Resultater - Østdanmark'!H422</f>
        <v>86469.152823414028</v>
      </c>
      <c r="I422" s="276">
        <f>'Resultater - Vestdanmark'!I422+'Resultater - Østdanmark'!I422</f>
        <v>92328.144875776328</v>
      </c>
      <c r="J422" s="277">
        <f>'Resultater - Vestdanmark'!J422+'Resultater - Østdanmark'!J422</f>
        <v>119684.63224637673</v>
      </c>
    </row>
    <row r="423" spans="1:10" x14ac:dyDescent="0.25">
      <c r="A423" s="98" t="str">
        <f>'Resultater - Vestdanmark'!A423</f>
        <v>Tømmerproduktion</v>
      </c>
      <c r="B423" s="98" t="str">
        <f>'Resultater - Vestdanmark'!B423</f>
        <v/>
      </c>
      <c r="C423" s="98" t="str">
        <f>'Resultater - Vestdanmark'!C423</f>
        <v/>
      </c>
      <c r="D423" s="98" t="str">
        <f>'Resultater - Vestdanmark'!D423</f>
        <v>Træer</v>
      </c>
      <c r="E423" s="98" t="str">
        <f>'Resultater - Vestdanmark'!E423</f>
        <v>m3</v>
      </c>
      <c r="F423" s="98" t="str">
        <f>'Resultater - Vestdanmark'!F423</f>
        <v>Træmaterialer</v>
      </c>
      <c r="G423" s="98" t="str">
        <f>'Resultater - Vestdanmark'!G423</f>
        <v>m3</v>
      </c>
      <c r="H423" s="275">
        <f ca="1">'Resultater - Vestdanmark'!H423+'Resultater - Østdanmark'!H423</f>
        <v>827707.93518034508</v>
      </c>
      <c r="I423" s="276">
        <f ca="1">'Resultater - Vestdanmark'!I423+'Resultater - Østdanmark'!I423</f>
        <v>783305.19520584797</v>
      </c>
      <c r="J423" s="277">
        <f ca="1">'Resultater - Vestdanmark'!J423+'Resultater - Østdanmark'!J423</f>
        <v>712886.15579109383</v>
      </c>
    </row>
    <row r="424" spans="1:10" x14ac:dyDescent="0.25">
      <c r="A424" s="98" t="str">
        <f>'Resultater - Vestdanmark'!A424</f>
        <v>Tømmerproduktion</v>
      </c>
      <c r="B424" s="98" t="str">
        <f>'Resultater - Vestdanmark'!B424</f>
        <v/>
      </c>
      <c r="C424" s="98" t="str">
        <f>'Resultater - Vestdanmark'!C424</f>
        <v/>
      </c>
      <c r="D424" s="98" t="str">
        <f>'Resultater - Vestdanmark'!D424</f>
        <v>Træer</v>
      </c>
      <c r="E424" s="98" t="str">
        <f>'Resultater - Vestdanmark'!E424</f>
        <v>m3</v>
      </c>
      <c r="F424" s="98" t="str">
        <f>'Resultater - Vestdanmark'!F424</f>
        <v>Træ til energi</v>
      </c>
      <c r="G424" s="98" t="str">
        <f>'Resultater - Vestdanmark'!G424</f>
        <v>m3</v>
      </c>
      <c r="H424" s="275">
        <f ca="1">'Resultater - Vestdanmark'!H424+'Resultater - Østdanmark'!H424</f>
        <v>896683.59644537373</v>
      </c>
      <c r="I424" s="276">
        <f ca="1">'Resultater - Vestdanmark'!I424+'Resultater - Østdanmark'!I424</f>
        <v>848580.62813966849</v>
      </c>
      <c r="J424" s="277">
        <f ca="1">'Resultater - Vestdanmark'!J424+'Resultater - Østdanmark'!J424</f>
        <v>772293.33544035186</v>
      </c>
    </row>
    <row r="425" spans="1:10" s="168" customFormat="1" x14ac:dyDescent="0.25">
      <c r="A425" s="98" t="str">
        <f>'Resultater - Vestdanmark'!A425</f>
        <v>Tømmerproduktion</v>
      </c>
      <c r="B425" s="98" t="str">
        <f>'Resultater - Vestdanmark'!B425</f>
        <v/>
      </c>
      <c r="C425" s="98" t="str">
        <f>'Resultater - Vestdanmark'!C425</f>
        <v/>
      </c>
      <c r="D425" s="98" t="str">
        <f>'Resultater - Vestdanmark'!D425</f>
        <v>CO2 - HWP</v>
      </c>
      <c r="E425" s="98" t="str">
        <f>'Resultater - Vestdanmark'!E425</f>
        <v>t CO2-ækvivalenter</v>
      </c>
      <c r="F425" s="98" t="str">
        <f>'Resultater - Vestdanmark'!F425</f>
        <v>CO2 - atmosfære</v>
      </c>
      <c r="G425" s="98" t="str">
        <f>'Resultater - Vestdanmark'!G425</f>
        <v>t CO2-ækvivalenter</v>
      </c>
      <c r="H425" s="275">
        <f ca="1">'Resultater - Vestdanmark'!H425+'Resultater - Østdanmark'!H425</f>
        <v>-606450.26032409817</v>
      </c>
      <c r="I425" s="276">
        <f ca="1">'Resultater - Vestdanmark'!I425+'Resultater - Østdanmark'!I425</f>
        <v>-573916.98128676519</v>
      </c>
      <c r="J425" s="277">
        <f ca="1">'Resultater - Vestdanmark'!J425+'Resultater - Østdanmark'!J425</f>
        <v>-542123.43798862817</v>
      </c>
    </row>
    <row r="426" spans="1:10" x14ac:dyDescent="0.25">
      <c r="A426" s="98" t="str">
        <f>'Resultater - Vestdanmark'!A426</f>
        <v>Mejeri</v>
      </c>
      <c r="B426" s="98" t="str">
        <f>'Resultater - Vestdanmark'!B426</f>
        <v/>
      </c>
      <c r="C426" s="98" t="str">
        <f>'Resultater - Vestdanmark'!C426</f>
        <v/>
      </c>
      <c r="D426" s="98" t="str">
        <f>'Resultater - Vestdanmark'!D426</f>
        <v>Råmælk</v>
      </c>
      <c r="E426" s="98" t="str">
        <f>'Resultater - Vestdanmark'!E426</f>
        <v>Ton</v>
      </c>
      <c r="F426" s="98" t="str">
        <f>'Resultater - Vestdanmark'!F426</f>
        <v>Mejeriprodukter</v>
      </c>
      <c r="G426" s="98" t="str">
        <f>'Resultater - Vestdanmark'!G426</f>
        <v>Ton</v>
      </c>
      <c r="H426" s="275">
        <f>'Resultater - Vestdanmark'!H426+'Resultater - Østdanmark'!H426</f>
        <v>3383628.2</v>
      </c>
      <c r="I426" s="276">
        <f>'Resultater - Vestdanmark'!I426+'Resultater - Østdanmark'!I426</f>
        <v>4019968.1027908651</v>
      </c>
      <c r="J426" s="277">
        <f>'Resultater - Vestdanmark'!J426+'Resultater - Østdanmark'!J426</f>
        <v>3945296.1183936791</v>
      </c>
    </row>
    <row r="427" spans="1:10" x14ac:dyDescent="0.25">
      <c r="A427" s="98" t="str">
        <f>'Resultater - Vestdanmark'!A427</f>
        <v>Mejeri</v>
      </c>
      <c r="B427" s="98" t="str">
        <f>'Resultater - Vestdanmark'!B427</f>
        <v/>
      </c>
      <c r="C427" s="98" t="str">
        <f>'Resultater - Vestdanmark'!C427</f>
        <v/>
      </c>
      <c r="D427" s="98" t="str">
        <f>'Resultater - Vestdanmark'!D427</f>
        <v>Råmælk</v>
      </c>
      <c r="E427" s="98" t="str">
        <f>'Resultater - Vestdanmark'!E427</f>
        <v>Ton</v>
      </c>
      <c r="F427" s="98" t="str">
        <f>'Resultater - Vestdanmark'!F427</f>
        <v>Spildevandsslam</v>
      </c>
      <c r="G427" s="98" t="str">
        <f>'Resultater - Vestdanmark'!G427</f>
        <v>Ton</v>
      </c>
      <c r="H427" s="275">
        <f>'Resultater - Vestdanmark'!H427+'Resultater - Østdanmark'!H427</f>
        <v>131725</v>
      </c>
      <c r="I427" s="276">
        <f>'Resultater - Vestdanmark'!I427+'Resultater - Østdanmark'!I427</f>
        <v>156497.77902315825</v>
      </c>
      <c r="J427" s="277">
        <f>'Resultater - Vestdanmark'!J427+'Resultater - Østdanmark'!J427</f>
        <v>153590.79085444653</v>
      </c>
    </row>
    <row r="428" spans="1:10" s="168" customFormat="1" x14ac:dyDescent="0.25">
      <c r="A428" s="98" t="str">
        <f>'Resultater - Vestdanmark'!A428</f>
        <v>Mejeri</v>
      </c>
      <c r="B428" s="98" t="str">
        <f>'Resultater - Vestdanmark'!B428</f>
        <v/>
      </c>
      <c r="C428" s="98" t="str">
        <f>'Resultater - Vestdanmark'!C428</f>
        <v/>
      </c>
      <c r="D428" s="98" t="str">
        <f>'Resultater - Vestdanmark'!D428</f>
        <v>Råmælk</v>
      </c>
      <c r="E428" s="98" t="str">
        <f>'Resultater - Vestdanmark'!E428</f>
        <v>Ton</v>
      </c>
      <c r="F428" s="98" t="str">
        <f>'Resultater - Vestdanmark'!F428</f>
        <v>Industriaffald</v>
      </c>
      <c r="G428" s="98" t="str">
        <f>'Resultater - Vestdanmark'!G428</f>
        <v>Ton</v>
      </c>
      <c r="H428" s="275">
        <f>'Resultater - Vestdanmark'!H428+'Resultater - Østdanmark'!H428</f>
        <v>17308.665000000001</v>
      </c>
      <c r="I428" s="276">
        <f>'Resultater - Vestdanmark'!I428+'Resultater - Østdanmark'!I428</f>
        <v>20563.808163642996</v>
      </c>
      <c r="J428" s="277">
        <f>'Resultater - Vestdanmark'!J428+'Resultater - Østdanmark'!J428</f>
        <v>20181.829918274274</v>
      </c>
    </row>
    <row r="429" spans="1:10" x14ac:dyDescent="0.25">
      <c r="A429" s="98" t="str">
        <f>'Resultater - Vestdanmark'!A429</f>
        <v>Mejeri</v>
      </c>
      <c r="B429" s="98" t="str">
        <f>'Resultater - Vestdanmark'!B429</f>
        <v/>
      </c>
      <c r="C429" s="98" t="str">
        <f>'Resultater - Vestdanmark'!C429</f>
        <v/>
      </c>
      <c r="D429" s="98" t="str">
        <f>'Resultater - Vestdanmark'!D429</f>
        <v>Råmælk</v>
      </c>
      <c r="E429" s="98" t="str">
        <f>'Resultater - Vestdanmark'!E429</f>
        <v>Ton</v>
      </c>
      <c r="F429" s="98" t="str">
        <f>'Resultater - Vestdanmark'!F429</f>
        <v>Mælk til foder</v>
      </c>
      <c r="G429" s="98" t="str">
        <f>'Resultater - Vestdanmark'!G429</f>
        <v>Ton</v>
      </c>
      <c r="H429" s="275">
        <f>'Resultater - Vestdanmark'!H429+'Resultater - Østdanmark'!H429</f>
        <v>1753646.8000000003</v>
      </c>
      <c r="I429" s="276">
        <f>'Resultater - Vestdanmark'!I429+'Resultater - Østdanmark'!I429</f>
        <v>2083445.2791123071</v>
      </c>
      <c r="J429" s="277">
        <f>'Resultater - Vestdanmark'!J429+'Resultater - Østdanmark'!J429</f>
        <v>2044744.7249297362</v>
      </c>
    </row>
    <row r="430" spans="1:10" x14ac:dyDescent="0.25">
      <c r="A430" s="98" t="str">
        <f>'Resultater - Vestdanmark'!A430</f>
        <v>Slagteri</v>
      </c>
      <c r="B430" s="98" t="str">
        <f>'Resultater - Vestdanmark'!B430</f>
        <v/>
      </c>
      <c r="C430" s="98" t="str">
        <f>'Resultater - Vestdanmark'!C430</f>
        <v/>
      </c>
      <c r="D430" s="98" t="str">
        <f>'Resultater - Vestdanmark'!D430</f>
        <v>Slagtesvin</v>
      </c>
      <c r="E430" s="98" t="str">
        <f>'Resultater - Vestdanmark'!E430</f>
        <v>Antal</v>
      </c>
      <c r="F430" s="98" t="str">
        <f>'Resultater - Vestdanmark'!F430</f>
        <v>Svinekød</v>
      </c>
      <c r="G430" s="98" t="str">
        <f>'Resultater - Vestdanmark'!G430</f>
        <v>Ton</v>
      </c>
      <c r="H430" s="275">
        <f>'Resultater - Vestdanmark'!H430+'Resultater - Østdanmark'!H430</f>
        <v>1601127.6966659406</v>
      </c>
      <c r="I430" s="276">
        <f>'Resultater - Vestdanmark'!I430+'Resultater - Østdanmark'!I430</f>
        <v>1893219.7653721168</v>
      </c>
      <c r="J430" s="277">
        <f>'Resultater - Vestdanmark'!J430+'Resultater - Østdanmark'!J430</f>
        <v>1841201.8445695294</v>
      </c>
    </row>
    <row r="431" spans="1:10" x14ac:dyDescent="0.25">
      <c r="A431" s="98" t="str">
        <f>'Resultater - Vestdanmark'!A431</f>
        <v>Slagteri</v>
      </c>
      <c r="B431" s="98" t="str">
        <f>'Resultater - Vestdanmark'!B431</f>
        <v/>
      </c>
      <c r="C431" s="98" t="str">
        <f>'Resultater - Vestdanmark'!C431</f>
        <v/>
      </c>
      <c r="D431" s="98" t="str">
        <f>'Resultater - Vestdanmark'!D431</f>
        <v>Slagtesvin</v>
      </c>
      <c r="E431" s="98" t="str">
        <f>'Resultater - Vestdanmark'!E431</f>
        <v>Antal</v>
      </c>
      <c r="F431" s="98" t="str">
        <f>'Resultater - Vestdanmark'!F431</f>
        <v>Industriaffald</v>
      </c>
      <c r="G431" s="98" t="str">
        <f>'Resultater - Vestdanmark'!G431</f>
        <v>Ton</v>
      </c>
      <c r="H431" s="275">
        <f>'Resultater - Vestdanmark'!H431+'Resultater - Østdanmark'!H431</f>
        <v>22728.326432774025</v>
      </c>
      <c r="I431" s="276">
        <f>'Resultater - Vestdanmark'!I431+'Resultater - Østdanmark'!I431</f>
        <v>36271.11801266433</v>
      </c>
      <c r="J431" s="277">
        <f>'Resultater - Vestdanmark'!J431+'Resultater - Østdanmark'!J431</f>
        <v>35274.536327477232</v>
      </c>
    </row>
    <row r="432" spans="1:10" x14ac:dyDescent="0.25">
      <c r="A432" s="98" t="str">
        <f>'Resultater - Vestdanmark'!A432</f>
        <v>Slagteri</v>
      </c>
      <c r="B432" s="98" t="str">
        <f>'Resultater - Vestdanmark'!B432</f>
        <v/>
      </c>
      <c r="C432" s="98" t="str">
        <f>'Resultater - Vestdanmark'!C432</f>
        <v/>
      </c>
      <c r="D432" s="98" t="str">
        <f>'Resultater - Vestdanmark'!D432</f>
        <v>Slagtesvin</v>
      </c>
      <c r="E432" s="98" t="str">
        <f>'Resultater - Vestdanmark'!E432</f>
        <v>Antal</v>
      </c>
      <c r="F432" s="98" t="str">
        <f>'Resultater - Vestdanmark'!F432</f>
        <v>Slagteriaffald til foder</v>
      </c>
      <c r="G432" s="98" t="str">
        <f>'Resultater - Vestdanmark'!G432</f>
        <v>Ton</v>
      </c>
      <c r="H432" s="275">
        <f>'Resultater - Vestdanmark'!H432+'Resultater - Østdanmark'!H432</f>
        <v>142794.72651993899</v>
      </c>
      <c r="I432" s="276">
        <f>'Resultater - Vestdanmark'!I432+'Resultater - Østdanmark'!I432</f>
        <v>168844.62070164204</v>
      </c>
      <c r="J432" s="277">
        <f>'Resultater - Vestdanmark'!J432+'Resultater - Østdanmark'!J432</f>
        <v>164205.46244424098</v>
      </c>
    </row>
    <row r="433" spans="1:10" x14ac:dyDescent="0.25">
      <c r="A433" s="98" t="str">
        <f>'Resultater - Vestdanmark'!A433</f>
        <v>Slagteri</v>
      </c>
      <c r="B433" s="98" t="str">
        <f>'Resultater - Vestdanmark'!B433</f>
        <v/>
      </c>
      <c r="C433" s="98" t="str">
        <f>'Resultater - Vestdanmark'!C433</f>
        <v/>
      </c>
      <c r="D433" s="98" t="str">
        <f>'Resultater - Vestdanmark'!D433</f>
        <v>Slagtesvin</v>
      </c>
      <c r="E433" s="98" t="str">
        <f>'Resultater - Vestdanmark'!E433</f>
        <v>Antal</v>
      </c>
      <c r="F433" s="98" t="str">
        <f>'Resultater - Vestdanmark'!F433</f>
        <v>Slagteriaffald til andet</v>
      </c>
      <c r="G433" s="98" t="str">
        <f>'Resultater - Vestdanmark'!G433</f>
        <v>Ton</v>
      </c>
      <c r="H433" s="275">
        <f>'Resultater - Vestdanmark'!H433+'Resultater - Østdanmark'!H433</f>
        <v>140895.61996077577</v>
      </c>
      <c r="I433" s="276">
        <f>'Resultater - Vestdanmark'!I433+'Resultater - Østdanmark'!I433</f>
        <v>166599.06209826362</v>
      </c>
      <c r="J433" s="277">
        <f>'Resultater - Vestdanmark'!J433+'Resultater - Østdanmark'!J433</f>
        <v>162021.60258906108</v>
      </c>
    </row>
    <row r="434" spans="1:10" x14ac:dyDescent="0.25">
      <c r="A434" s="98" t="str">
        <f>'Resultater - Vestdanmark'!A434</f>
        <v>Slagteri</v>
      </c>
      <c r="B434" s="98" t="str">
        <f>'Resultater - Vestdanmark'!B434</f>
        <v/>
      </c>
      <c r="C434" s="98" t="str">
        <f>'Resultater - Vestdanmark'!C434</f>
        <v/>
      </c>
      <c r="D434" s="98" t="str">
        <f>'Resultater - Vestdanmark'!D434</f>
        <v>Slagtekøer</v>
      </c>
      <c r="E434" s="98" t="str">
        <f>'Resultater - Vestdanmark'!E434</f>
        <v>Antal</v>
      </c>
      <c r="F434" s="98" t="str">
        <f>'Resultater - Vestdanmark'!F434</f>
        <v>Oksekød</v>
      </c>
      <c r="G434" s="98" t="str">
        <f>'Resultater - Vestdanmark'!G434</f>
        <v>Ton</v>
      </c>
      <c r="H434" s="275">
        <f>'Resultater - Vestdanmark'!H434+'Resultater - Østdanmark'!H434</f>
        <v>115671.91919191919</v>
      </c>
      <c r="I434" s="276">
        <f>'Resultater - Vestdanmark'!I434+'Resultater - Østdanmark'!I434</f>
        <v>136456.72063438955</v>
      </c>
      <c r="J434" s="277">
        <f>'Resultater - Vestdanmark'!J434+'Resultater - Østdanmark'!J434</f>
        <v>132112.41514111587</v>
      </c>
    </row>
    <row r="435" spans="1:10" x14ac:dyDescent="0.25">
      <c r="A435" s="98" t="str">
        <f>'Resultater - Vestdanmark'!A435</f>
        <v>Slagteri</v>
      </c>
      <c r="B435" s="98" t="str">
        <f>'Resultater - Vestdanmark'!B435</f>
        <v/>
      </c>
      <c r="C435" s="98" t="str">
        <f>'Resultater - Vestdanmark'!C435</f>
        <v/>
      </c>
      <c r="D435" s="98" t="str">
        <f>'Resultater - Vestdanmark'!D435</f>
        <v>Slagtekøer</v>
      </c>
      <c r="E435" s="98" t="str">
        <f>'Resultater - Vestdanmark'!E435</f>
        <v>Antal</v>
      </c>
      <c r="F435" s="98" t="str">
        <f>'Resultater - Vestdanmark'!F435</f>
        <v>Industriaffald</v>
      </c>
      <c r="G435" s="98" t="str">
        <f>'Resultater - Vestdanmark'!G435</f>
        <v>Ton</v>
      </c>
      <c r="H435" s="275">
        <f>'Resultater - Vestdanmark'!H435+'Resultater - Østdanmark'!H435</f>
        <v>50006.545454545456</v>
      </c>
      <c r="I435" s="276">
        <f>'Resultater - Vestdanmark'!I435+'Resultater - Østdanmark'!I435</f>
        <v>66182.615315787814</v>
      </c>
      <c r="J435" s="277">
        <f>'Resultater - Vestdanmark'!J435+'Resultater - Østdanmark'!J435</f>
        <v>64075.59194648124</v>
      </c>
    </row>
    <row r="436" spans="1:10" x14ac:dyDescent="0.25">
      <c r="A436" s="98" t="str">
        <f>'Resultater - Vestdanmark'!A436</f>
        <v>Slagteri</v>
      </c>
      <c r="B436" s="98" t="str">
        <f>'Resultater - Vestdanmark'!B436</f>
        <v/>
      </c>
      <c r="C436" s="98" t="str">
        <f>'Resultater - Vestdanmark'!C436</f>
        <v/>
      </c>
      <c r="D436" s="98" t="str">
        <f>'Resultater - Vestdanmark'!D436</f>
        <v>Slagtekøer</v>
      </c>
      <c r="E436" s="98" t="str">
        <f>'Resultater - Vestdanmark'!E436</f>
        <v>Antal</v>
      </c>
      <c r="F436" s="98" t="str">
        <f>'Resultater - Vestdanmark'!F436</f>
        <v>Slagteriaffald til foder</v>
      </c>
      <c r="G436" s="98" t="str">
        <f>'Resultater - Vestdanmark'!G436</f>
        <v>Ton</v>
      </c>
      <c r="H436" s="275">
        <f>'Resultater - Vestdanmark'!H436+'Resultater - Østdanmark'!H436</f>
        <v>7405.2525252525256</v>
      </c>
      <c r="I436" s="276">
        <f>'Resultater - Vestdanmark'!I436+'Resultater - Østdanmark'!I436</f>
        <v>8735.884060062217</v>
      </c>
      <c r="J436" s="277">
        <f>'Resultater - Vestdanmark'!J436+'Resultater - Østdanmark'!J436</f>
        <v>8457.7640163275155</v>
      </c>
    </row>
    <row r="437" spans="1:10" x14ac:dyDescent="0.25">
      <c r="A437" s="98" t="str">
        <f>'Resultater - Vestdanmark'!A437</f>
        <v>Slagteri</v>
      </c>
      <c r="B437" s="98" t="str">
        <f>'Resultater - Vestdanmark'!B437</f>
        <v/>
      </c>
      <c r="C437" s="98" t="str">
        <f>'Resultater - Vestdanmark'!C437</f>
        <v/>
      </c>
      <c r="D437" s="98" t="str">
        <f>'Resultater - Vestdanmark'!D437</f>
        <v>Slagtekøer</v>
      </c>
      <c r="E437" s="98" t="str">
        <f>'Resultater - Vestdanmark'!E437</f>
        <v>Antal</v>
      </c>
      <c r="F437" s="98" t="str">
        <f>'Resultater - Vestdanmark'!F437</f>
        <v>Slagteriaffald til andet</v>
      </c>
      <c r="G437" s="98" t="str">
        <f>'Resultater - Vestdanmark'!G437</f>
        <v>Ton</v>
      </c>
      <c r="H437" s="275">
        <f>'Resultater - Vestdanmark'!H437+'Resultater - Østdanmark'!H437</f>
        <v>76114.747474747448</v>
      </c>
      <c r="I437" s="276">
        <f>'Resultater - Vestdanmark'!I437+'Resultater - Østdanmark'!I437</f>
        <v>89791.618440133156</v>
      </c>
      <c r="J437" s="277">
        <f>'Resultater - Vestdanmark'!J437+'Resultater - Østdanmark'!J437</f>
        <v>86932.966851366335</v>
      </c>
    </row>
    <row r="438" spans="1:10" x14ac:dyDescent="0.25">
      <c r="A438" s="98" t="str">
        <f>'Resultater - Vestdanmark'!A438</f>
        <v>Slagteri</v>
      </c>
      <c r="B438" s="98" t="str">
        <f>'Resultater - Vestdanmark'!B438</f>
        <v/>
      </c>
      <c r="C438" s="98" t="str">
        <f>'Resultater - Vestdanmark'!C438</f>
        <v/>
      </c>
      <c r="D438" s="98" t="str">
        <f>'Resultater - Vestdanmark'!D438</f>
        <v>Slagtefjerkræ</v>
      </c>
      <c r="E438" s="98" t="str">
        <f>'Resultater - Vestdanmark'!E438</f>
        <v>Antal</v>
      </c>
      <c r="F438" s="98" t="str">
        <f>'Resultater - Vestdanmark'!F438</f>
        <v>Fjerkrækød</v>
      </c>
      <c r="G438" s="98" t="str">
        <f>'Resultater - Vestdanmark'!G438</f>
        <v>Ton</v>
      </c>
      <c r="H438" s="275">
        <f>'Resultater - Vestdanmark'!H438+'Resultater - Østdanmark'!H438</f>
        <v>201545.30567673693</v>
      </c>
      <c r="I438" s="276">
        <f>'Resultater - Vestdanmark'!I438+'Resultater - Østdanmark'!I438</f>
        <v>236247.52226772945</v>
      </c>
      <c r="J438" s="277">
        <f>'Resultater - Vestdanmark'!J438+'Resultater - Østdanmark'!J438</f>
        <v>225880.63937128911</v>
      </c>
    </row>
    <row r="439" spans="1:10" ht="15.75" thickBot="1" x14ac:dyDescent="0.3">
      <c r="A439" s="98" t="str">
        <f>'Resultater - Vestdanmark'!A439</f>
        <v>Slagteri</v>
      </c>
      <c r="B439" s="98" t="str">
        <f>'Resultater - Vestdanmark'!B439</f>
        <v/>
      </c>
      <c r="C439" s="98" t="str">
        <f>'Resultater - Vestdanmark'!C439</f>
        <v/>
      </c>
      <c r="D439" s="98" t="str">
        <f>'Resultater - Vestdanmark'!D439</f>
        <v>Slagtefjerkræ</v>
      </c>
      <c r="E439" s="98" t="str">
        <f>'Resultater - Vestdanmark'!E439</f>
        <v>Antal</v>
      </c>
      <c r="F439" s="98" t="str">
        <f>'Resultater - Vestdanmark'!F439</f>
        <v>Industriaffald</v>
      </c>
      <c r="G439" s="98" t="str">
        <f>'Resultater - Vestdanmark'!G439</f>
        <v>Ton</v>
      </c>
      <c r="H439" s="278">
        <f>'Resultater - Vestdanmark'!H439+'Resultater - Østdanmark'!H439</f>
        <v>550.81037157810442</v>
      </c>
      <c r="I439" s="279">
        <f>'Resultater - Vestdanmark'!I439+'Resultater - Østdanmark'!I439</f>
        <v>871.39509065374796</v>
      </c>
      <c r="J439" s="280">
        <f>'Resultater - Vestdanmark'!J439+'Resultater - Østdanmark'!J439</f>
        <v>833.15701401858678</v>
      </c>
    </row>
    <row r="440" spans="1:10" x14ac:dyDescent="0.25">
      <c r="A440" s="98" t="str">
        <f>'Resultater - Vestdanmark'!A440</f>
        <v>Foderproduktion</v>
      </c>
      <c r="B440" s="98" t="str">
        <f>'Resultater - Vestdanmark'!B440</f>
        <v/>
      </c>
      <c r="C440" s="98" t="str">
        <f>'Resultater - Vestdanmark'!C440</f>
        <v/>
      </c>
      <c r="D440" s="98" t="str">
        <f>'Resultater - Vestdanmark'!D440</f>
        <v>Korn</v>
      </c>
      <c r="E440" s="98" t="str">
        <f>'Resultater - Vestdanmark'!E440</f>
        <v>Ton</v>
      </c>
      <c r="F440" s="98" t="str">
        <f>'Resultater - Vestdanmark'!F440</f>
        <v>Foder</v>
      </c>
      <c r="G440" s="98" t="str">
        <f>'Resultater - Vestdanmark'!G440</f>
        <v>FE</v>
      </c>
      <c r="H440" s="272">
        <f>'Resultater - Vestdanmark'!H440+'Resultater - Østdanmark'!H440</f>
        <v>5940049093.1121235</v>
      </c>
      <c r="I440" s="273">
        <f>'Resultater - Vestdanmark'!I440+'Resultater - Østdanmark'!I440</f>
        <v>7128058911.7345467</v>
      </c>
      <c r="J440" s="274">
        <f>'Resultater - Vestdanmark'!J440+'Resultater - Østdanmark'!J440</f>
        <v>7128058911.7345467</v>
      </c>
    </row>
    <row r="441" spans="1:10" x14ac:dyDescent="0.25">
      <c r="A441" s="98" t="str">
        <f>'Resultater - Vestdanmark'!A441</f>
        <v>Foderproduktion</v>
      </c>
      <c r="B441" s="98" t="str">
        <f>'Resultater - Vestdanmark'!B441</f>
        <v/>
      </c>
      <c r="C441" s="98" t="str">
        <f>'Resultater - Vestdanmark'!C441</f>
        <v/>
      </c>
      <c r="D441" s="98" t="str">
        <f>'Resultater - Vestdanmark'!D441</f>
        <v>Halm</v>
      </c>
      <c r="E441" s="98" t="str">
        <f>'Resultater - Vestdanmark'!E441</f>
        <v>Ton</v>
      </c>
      <c r="F441" s="98" t="str">
        <f>'Resultater - Vestdanmark'!F441</f>
        <v>Foder</v>
      </c>
      <c r="G441" s="98" t="str">
        <f>'Resultater - Vestdanmark'!G441</f>
        <v>FE</v>
      </c>
      <c r="H441" s="275">
        <f>'Resultater - Vestdanmark'!H441+'Resultater - Østdanmark'!H441</f>
        <v>164945487.85478973</v>
      </c>
      <c r="I441" s="276">
        <f>'Resultater - Vestdanmark'!I441+'Resultater - Østdanmark'!I441</f>
        <v>197934585.42574769</v>
      </c>
      <c r="J441" s="277">
        <f>'Resultater - Vestdanmark'!J441+'Resultater - Østdanmark'!J441</f>
        <v>197934585.42574769</v>
      </c>
    </row>
    <row r="442" spans="1:10" x14ac:dyDescent="0.25">
      <c r="A442" s="98" t="str">
        <f>'Resultater - Vestdanmark'!A442</f>
        <v>Foderproduktion</v>
      </c>
      <c r="B442" s="98" t="str">
        <f>'Resultater - Vestdanmark'!B442</f>
        <v/>
      </c>
      <c r="C442" s="98" t="str">
        <f>'Resultater - Vestdanmark'!C442</f>
        <v/>
      </c>
      <c r="D442" s="98" t="str">
        <f>'Resultater - Vestdanmark'!D442</f>
        <v>Kartofler</v>
      </c>
      <c r="E442" s="98" t="str">
        <f>'Resultater - Vestdanmark'!E442</f>
        <v>Ton</v>
      </c>
      <c r="F442" s="98" t="str">
        <f>'Resultater - Vestdanmark'!F442</f>
        <v>Foder</v>
      </c>
      <c r="G442" s="98" t="str">
        <f>'Resultater - Vestdanmark'!G442</f>
        <v>FE</v>
      </c>
      <c r="H442" s="275">
        <f>'Resultater - Vestdanmark'!H442+'Resultater - Østdanmark'!H442</f>
        <v>0</v>
      </c>
      <c r="I442" s="276">
        <f>'Resultater - Vestdanmark'!I442+'Resultater - Østdanmark'!I442</f>
        <v>0</v>
      </c>
      <c r="J442" s="277">
        <f>'Resultater - Vestdanmark'!J442+'Resultater - Østdanmark'!J442</f>
        <v>0</v>
      </c>
    </row>
    <row r="443" spans="1:10" x14ac:dyDescent="0.25">
      <c r="A443" s="98" t="str">
        <f>'Resultater - Vestdanmark'!A443</f>
        <v>Foderproduktion</v>
      </c>
      <c r="B443" s="98" t="str">
        <f>'Resultater - Vestdanmark'!B443</f>
        <v/>
      </c>
      <c r="C443" s="98" t="str">
        <f>'Resultater - Vestdanmark'!C443</f>
        <v/>
      </c>
      <c r="D443" s="98" t="str">
        <f>'Resultater - Vestdanmark'!D443</f>
        <v>Bælgsæd</v>
      </c>
      <c r="E443" s="98" t="str">
        <f>'Resultater - Vestdanmark'!E443</f>
        <v>Ton</v>
      </c>
      <c r="F443" s="98" t="str">
        <f>'Resultater - Vestdanmark'!F443</f>
        <v>Foder</v>
      </c>
      <c r="G443" s="98" t="str">
        <f>'Resultater - Vestdanmark'!G443</f>
        <v>FE</v>
      </c>
      <c r="H443" s="275">
        <f>'Resultater - Vestdanmark'!H443+'Resultater - Østdanmark'!H443</f>
        <v>78449683.248009756</v>
      </c>
      <c r="I443" s="276">
        <f>'Resultater - Vestdanmark'!I443+'Resultater - Østdanmark'!I443</f>
        <v>94139619.897611693</v>
      </c>
      <c r="J443" s="277">
        <f>'Resultater - Vestdanmark'!J443+'Resultater - Østdanmark'!J443</f>
        <v>94139619.897611693</v>
      </c>
    </row>
    <row r="444" spans="1:10" x14ac:dyDescent="0.25">
      <c r="A444" s="98" t="str">
        <f>'Resultater - Vestdanmark'!A444</f>
        <v>Foderproduktion</v>
      </c>
      <c r="B444" s="98" t="str">
        <f>'Resultater - Vestdanmark'!B444</f>
        <v/>
      </c>
      <c r="C444" s="98" t="str">
        <f>'Resultater - Vestdanmark'!C444</f>
        <v/>
      </c>
      <c r="D444" s="98" t="str">
        <f>'Resultater - Vestdanmark'!D444</f>
        <v>Roer</v>
      </c>
      <c r="E444" s="98" t="str">
        <f>'Resultater - Vestdanmark'!E444</f>
        <v>Ton</v>
      </c>
      <c r="F444" s="98" t="str">
        <f>'Resultater - Vestdanmark'!F444</f>
        <v>Foder</v>
      </c>
      <c r="G444" s="98" t="str">
        <f>'Resultater - Vestdanmark'!G444</f>
        <v>FE</v>
      </c>
      <c r="H444" s="275">
        <f>'Resultater - Vestdanmark'!H444+'Resultater - Østdanmark'!H444</f>
        <v>143824419.28801787</v>
      </c>
      <c r="I444" s="276">
        <f>'Resultater - Vestdanmark'!I444+'Resultater - Østdanmark'!I444</f>
        <v>172589303.14562145</v>
      </c>
      <c r="J444" s="277">
        <f>'Resultater - Vestdanmark'!J444+'Resultater - Østdanmark'!J444</f>
        <v>172589303.14562148</v>
      </c>
    </row>
    <row r="445" spans="1:10" x14ac:dyDescent="0.25">
      <c r="A445" s="98" t="str">
        <f>'Resultater - Vestdanmark'!A445</f>
        <v>Foderproduktion</v>
      </c>
      <c r="B445" s="98" t="str">
        <f>'Resultater - Vestdanmark'!B445</f>
        <v/>
      </c>
      <c r="C445" s="98" t="str">
        <f>'Resultater - Vestdanmark'!C445</f>
        <v/>
      </c>
      <c r="D445" s="98" t="str">
        <f>'Resultater - Vestdanmark'!D445</f>
        <v>Majs</v>
      </c>
      <c r="E445" s="98" t="str">
        <f>'Resultater - Vestdanmark'!E445</f>
        <v>Ton</v>
      </c>
      <c r="F445" s="98" t="str">
        <f>'Resultater - Vestdanmark'!F445</f>
        <v>Foder</v>
      </c>
      <c r="G445" s="98" t="str">
        <f>'Resultater - Vestdanmark'!G445</f>
        <v>FE</v>
      </c>
      <c r="H445" s="275">
        <f>'Resultater - Vestdanmark'!H445+'Resultater - Østdanmark'!H445</f>
        <v>1682645129.1528244</v>
      </c>
      <c r="I445" s="276">
        <f>'Resultater - Vestdanmark'!I445+'Resultater - Østdanmark'!I445</f>
        <v>2019174154.9833891</v>
      </c>
      <c r="J445" s="277">
        <f>'Resultater - Vestdanmark'!J445+'Resultater - Østdanmark'!J445</f>
        <v>2019174154.9833891</v>
      </c>
    </row>
    <row r="446" spans="1:10" x14ac:dyDescent="0.25">
      <c r="A446" s="98" t="str">
        <f>'Resultater - Vestdanmark'!A446</f>
        <v>Foderproduktion</v>
      </c>
      <c r="B446" s="98" t="str">
        <f>'Resultater - Vestdanmark'!B446</f>
        <v/>
      </c>
      <c r="C446" s="98" t="str">
        <f>'Resultater - Vestdanmark'!C446</f>
        <v/>
      </c>
      <c r="D446" s="98" t="str">
        <f>'Resultater - Vestdanmark'!D446</f>
        <v>Rapskage</v>
      </c>
      <c r="E446" s="98" t="str">
        <f>'Resultater - Vestdanmark'!E446</f>
        <v>Ton</v>
      </c>
      <c r="F446" s="98" t="str">
        <f>'Resultater - Vestdanmark'!F446</f>
        <v>Foder</v>
      </c>
      <c r="G446" s="98" t="str">
        <f>'Resultater - Vestdanmark'!G446</f>
        <v>FE</v>
      </c>
      <c r="H446" s="275">
        <f>'Resultater - Vestdanmark'!H446+'Resultater - Østdanmark'!H446</f>
        <v>242389405.93295321</v>
      </c>
      <c r="I446" s="276">
        <f>'Resultater - Vestdanmark'!I446+'Resultater - Østdanmark'!I446</f>
        <v>290867287.11954385</v>
      </c>
      <c r="J446" s="277">
        <f>'Resultater - Vestdanmark'!J446+'Resultater - Østdanmark'!J446</f>
        <v>290867287.11954385</v>
      </c>
    </row>
    <row r="447" spans="1:10" x14ac:dyDescent="0.25">
      <c r="A447" s="98" t="str">
        <f>'Resultater - Vestdanmark'!A447</f>
        <v>Foderproduktion</v>
      </c>
      <c r="B447" s="98" t="str">
        <f>'Resultater - Vestdanmark'!B447</f>
        <v/>
      </c>
      <c r="C447" s="98" t="str">
        <f>'Resultater - Vestdanmark'!C447</f>
        <v/>
      </c>
      <c r="D447" s="98" t="str">
        <f>'Resultater - Vestdanmark'!D447</f>
        <v>Tang</v>
      </c>
      <c r="E447" s="98" t="str">
        <f>'Resultater - Vestdanmark'!E447</f>
        <v>Ton</v>
      </c>
      <c r="F447" s="98" t="str">
        <f>'Resultater - Vestdanmark'!F447</f>
        <v>Foder</v>
      </c>
      <c r="G447" s="98" t="str">
        <f>'Resultater - Vestdanmark'!G447</f>
        <v>FE</v>
      </c>
      <c r="H447" s="275">
        <f>'Resultater - Vestdanmark'!H447+'Resultater - Østdanmark'!H447</f>
        <v>0</v>
      </c>
      <c r="I447" s="276">
        <f>'Resultater - Vestdanmark'!I447+'Resultater - Østdanmark'!I447</f>
        <v>0</v>
      </c>
      <c r="J447" s="277">
        <f>'Resultater - Vestdanmark'!J447+'Resultater - Østdanmark'!J447</f>
        <v>0</v>
      </c>
    </row>
    <row r="448" spans="1:10" x14ac:dyDescent="0.25">
      <c r="A448" s="98" t="str">
        <f>'Resultater - Vestdanmark'!A448</f>
        <v>Foderproduktion</v>
      </c>
      <c r="B448" s="98" t="str">
        <f>'Resultater - Vestdanmark'!B448</f>
        <v/>
      </c>
      <c r="C448" s="98" t="str">
        <f>'Resultater - Vestdanmark'!C448</f>
        <v/>
      </c>
      <c r="D448" s="98" t="str">
        <f>'Resultater - Vestdanmark'!D448</f>
        <v>Muslinger</v>
      </c>
      <c r="E448" s="98" t="str">
        <f>'Resultater - Vestdanmark'!E448</f>
        <v>Ton</v>
      </c>
      <c r="F448" s="98" t="str">
        <f>'Resultater - Vestdanmark'!F448</f>
        <v>Foder</v>
      </c>
      <c r="G448" s="98" t="str">
        <f>'Resultater - Vestdanmark'!G448</f>
        <v>FE</v>
      </c>
      <c r="H448" s="275">
        <f>'Resultater - Vestdanmark'!H448+'Resultater - Østdanmark'!H448</f>
        <v>0</v>
      </c>
      <c r="I448" s="276">
        <f>'Resultater - Vestdanmark'!I448+'Resultater - Østdanmark'!I448</f>
        <v>0</v>
      </c>
      <c r="J448" s="277">
        <f>'Resultater - Vestdanmark'!J448+'Resultater - Østdanmark'!J448</f>
        <v>0</v>
      </c>
    </row>
    <row r="449" spans="1:10" x14ac:dyDescent="0.25">
      <c r="A449" s="98" t="str">
        <f>'Resultater - Vestdanmark'!A449</f>
        <v>Foderproduktion</v>
      </c>
      <c r="B449" s="98" t="str">
        <f>'Resultater - Vestdanmark'!B449</f>
        <v/>
      </c>
      <c r="C449" s="98" t="str">
        <f>'Resultater - Vestdanmark'!C449</f>
        <v/>
      </c>
      <c r="D449" s="98" t="str">
        <f>'Resultater - Vestdanmark'!D449</f>
        <v>Græs</v>
      </c>
      <c r="E449" s="98" t="str">
        <f>'Resultater - Vestdanmark'!E449</f>
        <v>Ton</v>
      </c>
      <c r="F449" s="98" t="str">
        <f>'Resultater - Vestdanmark'!F449</f>
        <v>Foder</v>
      </c>
      <c r="G449" s="98" t="str">
        <f>'Resultater - Vestdanmark'!G449</f>
        <v>FE</v>
      </c>
      <c r="H449" s="275">
        <f>'Resultater - Vestdanmark'!H449+'Resultater - Østdanmark'!H449</f>
        <v>2285098465.8907456</v>
      </c>
      <c r="I449" s="276">
        <f>'Resultater - Vestdanmark'!I449+'Resultater - Østdanmark'!I449</f>
        <v>2742118159.0688944</v>
      </c>
      <c r="J449" s="277">
        <f>'Resultater - Vestdanmark'!J449+'Resultater - Østdanmark'!J449</f>
        <v>2742118159.0688944</v>
      </c>
    </row>
    <row r="450" spans="1:10" x14ac:dyDescent="0.25">
      <c r="A450" s="98" t="str">
        <f>'Resultater - Vestdanmark'!A450</f>
        <v>Foderproduktion</v>
      </c>
      <c r="B450" s="98" t="str">
        <f>'Resultater - Vestdanmark'!B450</f>
        <v/>
      </c>
      <c r="C450" s="98" t="str">
        <f>'Resultater - Vestdanmark'!C450</f>
        <v/>
      </c>
      <c r="D450" s="98" t="str">
        <f>'Resultater - Vestdanmark'!D450</f>
        <v>Mælk til foder</v>
      </c>
      <c r="E450" s="98" t="str">
        <f>'Resultater - Vestdanmark'!E450</f>
        <v>Ton</v>
      </c>
      <c r="F450" s="98" t="str">
        <f>'Resultater - Vestdanmark'!F450</f>
        <v>Foder</v>
      </c>
      <c r="G450" s="98" t="str">
        <f>'Resultater - Vestdanmark'!G450</f>
        <v>FE</v>
      </c>
      <c r="H450" s="275">
        <f>'Resultater - Vestdanmark'!H450+'Resultater - Østdanmark'!H450</f>
        <v>163939722.68494347</v>
      </c>
      <c r="I450" s="276">
        <f>'Resultater - Vestdanmark'!I450+'Resultater - Østdanmark'!I450</f>
        <v>196727667.22193214</v>
      </c>
      <c r="J450" s="277">
        <f>'Resultater - Vestdanmark'!J450+'Resultater - Østdanmark'!J450</f>
        <v>196727667.22193214</v>
      </c>
    </row>
    <row r="451" spans="1:10" x14ac:dyDescent="0.25">
      <c r="A451" s="98" t="str">
        <f>'Resultater - Vestdanmark'!A451</f>
        <v>Foderproduktion</v>
      </c>
      <c r="B451" s="98" t="str">
        <f>'Resultater - Vestdanmark'!B451</f>
        <v/>
      </c>
      <c r="C451" s="98" t="str">
        <f>'Resultater - Vestdanmark'!C451</f>
        <v/>
      </c>
      <c r="D451" s="98" t="str">
        <f>'Resultater - Vestdanmark'!D451</f>
        <v>Fiberfraktion</v>
      </c>
      <c r="E451" s="98" t="str">
        <f>'Resultater - Vestdanmark'!E451</f>
        <v>Ton</v>
      </c>
      <c r="F451" s="98" t="str">
        <f>'Resultater - Vestdanmark'!F451</f>
        <v>Foder</v>
      </c>
      <c r="G451" s="98" t="str">
        <f>'Resultater - Vestdanmark'!G451</f>
        <v>FE</v>
      </c>
      <c r="H451" s="275">
        <f>'Resultater - Vestdanmark'!H451+'Resultater - Østdanmark'!H451</f>
        <v>0</v>
      </c>
      <c r="I451" s="276">
        <f>SUMIFS('Forbrug af biomasse'!$E$1:$E$425,'Forbrug af biomasse'!$A$1:$A$425,$F451,'Forbrug af biomasse'!$C$1:$C$425,$D451,'Forbrug af biomasse'!$B$1:$B$425,$A$1,'Forbrug af biomasse'!$D$1:$D$425,I$2)*'[1]Processer - data'!I451</f>
        <v>0</v>
      </c>
      <c r="J451" s="277">
        <f>'Resultater - Vestdanmark'!J451+'Resultater - Østdanmark'!J451</f>
        <v>0</v>
      </c>
    </row>
    <row r="452" spans="1:10" x14ac:dyDescent="0.25">
      <c r="A452" s="98" t="str">
        <f>'Resultater - Vestdanmark'!A452</f>
        <v>Foderproduktion</v>
      </c>
      <c r="B452" s="98" t="str">
        <f>'Resultater - Vestdanmark'!B452</f>
        <v/>
      </c>
      <c r="C452" s="98" t="str">
        <f>'Resultater - Vestdanmark'!C452</f>
        <v/>
      </c>
      <c r="D452" s="98" t="str">
        <f>'Resultater - Vestdanmark'!D452</f>
        <v>Græsprotein</v>
      </c>
      <c r="E452" s="98" t="str">
        <f>'Resultater - Vestdanmark'!E452</f>
        <v>Ton</v>
      </c>
      <c r="F452" s="98" t="str">
        <f>'Resultater - Vestdanmark'!F452</f>
        <v>Foder</v>
      </c>
      <c r="G452" s="98" t="str">
        <f>'Resultater - Vestdanmark'!G452</f>
        <v>FE</v>
      </c>
      <c r="H452" s="275">
        <f>'Resultater - Vestdanmark'!H452+'Resultater - Østdanmark'!H452</f>
        <v>0</v>
      </c>
      <c r="I452" s="276">
        <f>SUMIFS('Forbrug af biomasse'!$E$1:$E$425,'Forbrug af biomasse'!$A$1:$A$425,$F452,'Forbrug af biomasse'!$C$1:$C$425,$D452,'Forbrug af biomasse'!$B$1:$B$425,$A$1,'Forbrug af biomasse'!$D$1:$D$425,I$2)*'[1]Processer - data'!I452</f>
        <v>0</v>
      </c>
      <c r="J452" s="277">
        <f>'Resultater - Vestdanmark'!J452+'Resultater - Østdanmark'!J452</f>
        <v>0</v>
      </c>
    </row>
    <row r="453" spans="1:10" x14ac:dyDescent="0.25">
      <c r="A453" s="98" t="str">
        <f>'Resultater - Vestdanmark'!A453</f>
        <v>Foderproduktion</v>
      </c>
      <c r="B453" s="98" t="str">
        <f>'Resultater - Vestdanmark'!B453</f>
        <v/>
      </c>
      <c r="C453" s="98" t="str">
        <f>'Resultater - Vestdanmark'!C453</f>
        <v/>
      </c>
      <c r="D453" s="98" t="str">
        <f>'Resultater - Vestdanmark'!D453</f>
        <v>Slagteriaffald til foder</v>
      </c>
      <c r="E453" s="98" t="str">
        <f>'Resultater - Vestdanmark'!E453</f>
        <v>Ton</v>
      </c>
      <c r="F453" s="98" t="str">
        <f>'Resultater - Vestdanmark'!F453</f>
        <v>Foder</v>
      </c>
      <c r="G453" s="98" t="str">
        <f>'Resultater - Vestdanmark'!G453</f>
        <v>FE</v>
      </c>
      <c r="H453" s="275">
        <f>'Resultater - Vestdanmark'!H453+'Resultater - Østdanmark'!H453</f>
        <v>121697585.55139975</v>
      </c>
      <c r="I453" s="276">
        <f>'Resultater - Vestdanmark'!I453+'Resultater - Østdanmark'!I453</f>
        <v>146037102.66167969</v>
      </c>
      <c r="J453" s="277">
        <f>'Resultater - Vestdanmark'!J453+'Resultater - Østdanmark'!J453</f>
        <v>146037102.66167969</v>
      </c>
    </row>
    <row r="454" spans="1:10" x14ac:dyDescent="0.25">
      <c r="A454" s="98" t="str">
        <f>'Resultater - Vestdanmark'!A454</f>
        <v>Foderproduktion</v>
      </c>
      <c r="B454" s="98" t="str">
        <f>'Resultater - Vestdanmark'!B454</f>
        <v/>
      </c>
      <c r="C454" s="98" t="str">
        <f>'Resultater - Vestdanmark'!C454</f>
        <v/>
      </c>
      <c r="D454" s="98" t="str">
        <f>'Resultater - Vestdanmark'!D454</f>
        <v>Import af foder</v>
      </c>
      <c r="E454" s="98" t="str">
        <f>'Resultater - Vestdanmark'!E454</f>
        <v>Ton</v>
      </c>
      <c r="F454" s="98" t="str">
        <f>'Resultater - Vestdanmark'!F454</f>
        <v>Foder</v>
      </c>
      <c r="G454" s="98" t="str">
        <f>'Resultater - Vestdanmark'!G454</f>
        <v>FE</v>
      </c>
      <c r="H454" s="275">
        <f>'Resultater - Vestdanmark'!H454+'Resultater - Østdanmark'!H454</f>
        <v>4029095270.4041944</v>
      </c>
      <c r="I454" s="276">
        <f>'Resultater - Vestdanmark'!I454+'Resultater - Østdanmark'!I454</f>
        <v>4834914324.4850321</v>
      </c>
      <c r="J454" s="277">
        <f>'Resultater - Vestdanmark'!J454+'Resultater - Østdanmark'!J454</f>
        <v>4834914324.4850321</v>
      </c>
    </row>
    <row r="455" spans="1:10" x14ac:dyDescent="0.25">
      <c r="A455" s="98" t="str">
        <f>'Resultater - Vestdanmark'!A455</f>
        <v>Biogasanlæg</v>
      </c>
      <c r="B455" s="98" t="str">
        <f>'Resultater - Vestdanmark'!B455</f>
        <v/>
      </c>
      <c r="C455" s="98" t="str">
        <f>'Resultater - Vestdanmark'!C455</f>
        <v/>
      </c>
      <c r="D455" s="98" t="str">
        <f>'Resultater - Vestdanmark'!D455</f>
        <v>Halm</v>
      </c>
      <c r="E455" s="98" t="str">
        <f>'Resultater - Vestdanmark'!E455</f>
        <v>Ton</v>
      </c>
      <c r="F455" s="98" t="str">
        <f>'Resultater - Vestdanmark'!F455</f>
        <v>Biogas</v>
      </c>
      <c r="G455" s="98" t="str">
        <f>'Resultater - Vestdanmark'!G455</f>
        <v>Nm3 CH4</v>
      </c>
      <c r="H455" s="275">
        <f>'Resultater - Vestdanmark'!H455+'Resultater - Østdanmark'!H455</f>
        <v>12195000.399999995</v>
      </c>
      <c r="I455" s="276">
        <f>'Resultater - Vestdanmark'!I455+'Resultater - Østdanmark'!I455</f>
        <v>12195000.399999999</v>
      </c>
      <c r="J455" s="277">
        <f>'Resultater - Vestdanmark'!J455+'Resultater - Østdanmark'!J455</f>
        <v>12195000.399999997</v>
      </c>
    </row>
    <row r="456" spans="1:10" x14ac:dyDescent="0.25">
      <c r="A456" s="98" t="str">
        <f>'Resultater - Vestdanmark'!A456</f>
        <v>Biogasanlæg</v>
      </c>
      <c r="B456" s="98" t="str">
        <f>'Resultater - Vestdanmark'!B456</f>
        <v/>
      </c>
      <c r="C456" s="98" t="str">
        <f>'Resultater - Vestdanmark'!C456</f>
        <v/>
      </c>
      <c r="D456" s="98" t="str">
        <f>'Resultater - Vestdanmark'!D456</f>
        <v>Korn</v>
      </c>
      <c r="E456" s="98" t="str">
        <f>'Resultater - Vestdanmark'!E456</f>
        <v>Ton</v>
      </c>
      <c r="F456" s="98" t="str">
        <f>'Resultater - Vestdanmark'!F456</f>
        <v>Biogas</v>
      </c>
      <c r="G456" s="98" t="str">
        <f>'Resultater - Vestdanmark'!G456</f>
        <v>Nm3 CH4</v>
      </c>
      <c r="H456" s="275">
        <f>'Resultater - Vestdanmark'!H456+'Resultater - Østdanmark'!H456</f>
        <v>361184.4</v>
      </c>
      <c r="I456" s="276">
        <f>'Resultater - Vestdanmark'!I456+'Resultater - Østdanmark'!I456</f>
        <v>361184.4</v>
      </c>
      <c r="J456" s="277">
        <f>'Resultater - Vestdanmark'!J456+'Resultater - Østdanmark'!J456</f>
        <v>361184.4</v>
      </c>
    </row>
    <row r="457" spans="1:10" x14ac:dyDescent="0.25">
      <c r="A457" s="98" t="str">
        <f>'Resultater - Vestdanmark'!A457</f>
        <v>Biogasanlæg</v>
      </c>
      <c r="B457" s="98" t="str">
        <f>'Resultater - Vestdanmark'!B457</f>
        <v/>
      </c>
      <c r="C457" s="98" t="str">
        <f>'Resultater - Vestdanmark'!C457</f>
        <v/>
      </c>
      <c r="D457" s="98" t="str">
        <f>'Resultater - Vestdanmark'!D457</f>
        <v>Græs</v>
      </c>
      <c r="E457" s="98" t="str">
        <f>'Resultater - Vestdanmark'!E457</f>
        <v>Ton</v>
      </c>
      <c r="F457" s="98" t="str">
        <f>'Resultater - Vestdanmark'!F457</f>
        <v>Biogas</v>
      </c>
      <c r="G457" s="98" t="str">
        <f>'Resultater - Vestdanmark'!G457</f>
        <v>Nm3 CH4</v>
      </c>
      <c r="H457" s="275">
        <f>'Resultater - Vestdanmark'!H457+'Resultater - Østdanmark'!H457</f>
        <v>4390946.2499999981</v>
      </c>
      <c r="I457" s="276">
        <f>'Resultater - Vestdanmark'!I457+'Resultater - Østdanmark'!I457</f>
        <v>4390946.25</v>
      </c>
      <c r="J457" s="277">
        <f>'Resultater - Vestdanmark'!J457+'Resultater - Østdanmark'!J457</f>
        <v>4390946.25</v>
      </c>
    </row>
    <row r="458" spans="1:10" x14ac:dyDescent="0.25">
      <c r="A458" s="98" t="str">
        <f>'Resultater - Vestdanmark'!A458</f>
        <v>Biogasanlæg</v>
      </c>
      <c r="B458" s="98" t="str">
        <f>'Resultater - Vestdanmark'!B458</f>
        <v/>
      </c>
      <c r="C458" s="98" t="str">
        <f>'Resultater - Vestdanmark'!C458</f>
        <v/>
      </c>
      <c r="D458" s="98" t="str">
        <f>'Resultater - Vestdanmark'!D458</f>
        <v>Svinegylle</v>
      </c>
      <c r="E458" s="98" t="str">
        <f>'Resultater - Vestdanmark'!E458</f>
        <v>Ton</v>
      </c>
      <c r="F458" s="98" t="str">
        <f>'Resultater - Vestdanmark'!F458</f>
        <v>Biogas</v>
      </c>
      <c r="G458" s="98" t="str">
        <f>'Resultater - Vestdanmark'!G458</f>
        <v>Nm3 CH4</v>
      </c>
      <c r="H458" s="275">
        <f>'Resultater - Vestdanmark'!H458+'Resultater - Østdanmark'!H458</f>
        <v>34978432</v>
      </c>
      <c r="I458" s="276">
        <f>'Resultater - Vestdanmark'!I458+'Resultater - Østdanmark'!I458</f>
        <v>131721703.16226736</v>
      </c>
      <c r="J458" s="277">
        <f>'Resultater - Vestdanmark'!J458+'Resultater - Østdanmark'!J458</f>
        <v>126107269.64474285</v>
      </c>
    </row>
    <row r="459" spans="1:10" s="168" customFormat="1" x14ac:dyDescent="0.25">
      <c r="A459" s="98" t="str">
        <f>'Resultater - Vestdanmark'!A459</f>
        <v>Biogasanlæg</v>
      </c>
      <c r="B459" s="98" t="str">
        <f>'Resultater - Vestdanmark'!B459</f>
        <v/>
      </c>
      <c r="C459" s="98" t="str">
        <f>'Resultater - Vestdanmark'!C459</f>
        <v/>
      </c>
      <c r="D459" s="98" t="str">
        <f>'Resultater - Vestdanmark'!D459</f>
        <v>Svinegylle</v>
      </c>
      <c r="E459" s="98" t="str">
        <f>'Resultater - Vestdanmark'!E459</f>
        <v>Ton</v>
      </c>
      <c r="F459" s="98" t="str">
        <f>'Resultater - Vestdanmark'!F459</f>
        <v>CO2 - atmosfære</v>
      </c>
      <c r="G459" s="98" t="str">
        <f>'Resultater - Vestdanmark'!G459</f>
        <v>t CO2-ækvivalenter</v>
      </c>
      <c r="H459" s="281">
        <f>'Resultater - Vestdanmark'!H459+'Resultater - Østdanmark'!H459</f>
        <v>-37099.291058504961</v>
      </c>
      <c r="I459" s="282">
        <f>'Resultater - Vestdanmark'!I459+'Resultater - Østdanmark'!I459</f>
        <v>-139708.42959281162</v>
      </c>
      <c r="J459" s="283">
        <f>'Resultater - Vestdanmark'!J459+'Resultater - Østdanmark'!J459</f>
        <v>-133753.57423522248</v>
      </c>
    </row>
    <row r="460" spans="1:10" x14ac:dyDescent="0.25">
      <c r="A460" s="98" t="str">
        <f>'Resultater - Vestdanmark'!A460</f>
        <v>Biogasanlæg</v>
      </c>
      <c r="B460" s="98" t="str">
        <f>'Resultater - Vestdanmark'!B460</f>
        <v/>
      </c>
      <c r="C460" s="98" t="str">
        <f>'Resultater - Vestdanmark'!C460</f>
        <v/>
      </c>
      <c r="D460" s="98" t="str">
        <f>'Resultater - Vestdanmark'!D460</f>
        <v>Kvæggylle</v>
      </c>
      <c r="E460" s="98" t="str">
        <f>'Resultater - Vestdanmark'!E460</f>
        <v>Ton</v>
      </c>
      <c r="F460" s="98" t="str">
        <f>'Resultater - Vestdanmark'!F460</f>
        <v>Biogas</v>
      </c>
      <c r="G460" s="98" t="str">
        <f>'Resultater - Vestdanmark'!G460</f>
        <v>Nm3 CH4</v>
      </c>
      <c r="H460" s="275">
        <f>'Resultater - Vestdanmark'!H460+'Resultater - Østdanmark'!H460</f>
        <v>61384486.300000004</v>
      </c>
      <c r="I460" s="276">
        <f>'Resultater - Vestdanmark'!I460+'Resultater - Østdanmark'!I460</f>
        <v>178823711.43955845</v>
      </c>
      <c r="J460" s="277">
        <f>'Resultater - Vestdanmark'!J460+'Resultater - Østdanmark'!J460</f>
        <v>175406726.56304315</v>
      </c>
    </row>
    <row r="461" spans="1:10" s="168" customFormat="1" x14ac:dyDescent="0.25">
      <c r="A461" s="98" t="str">
        <f>'Resultater - Vestdanmark'!A461</f>
        <v>Biogasanlæg</v>
      </c>
      <c r="B461" s="98" t="str">
        <f>'Resultater - Vestdanmark'!B461</f>
        <v/>
      </c>
      <c r="C461" s="98" t="str">
        <f>'Resultater - Vestdanmark'!C461</f>
        <v/>
      </c>
      <c r="D461" s="98" t="str">
        <f>'Resultater - Vestdanmark'!D461</f>
        <v>Kvæggylle</v>
      </c>
      <c r="E461" s="98" t="str">
        <f>'Resultater - Vestdanmark'!E461</f>
        <v>Ton</v>
      </c>
      <c r="F461" s="98" t="str">
        <f>'Resultater - Vestdanmark'!F461</f>
        <v>CO2 - atmosfære</v>
      </c>
      <c r="G461" s="98" t="str">
        <f>'Resultater - Vestdanmark'!G461</f>
        <v>t CO2-ækvivalenter</v>
      </c>
      <c r="H461" s="281">
        <f>'Resultater - Vestdanmark'!H461+'Resultater - Østdanmark'!H461</f>
        <v>-128107.91983655478</v>
      </c>
      <c r="I461" s="282">
        <f>'Resultater - Vestdanmark'!I461+'Resultater - Østdanmark'!I461</f>
        <v>-373200.70706487534</v>
      </c>
      <c r="J461" s="283">
        <f>'Resultater - Vestdanmark'!J461+'Resultater - Østdanmark'!J461</f>
        <v>-366069.54329649277</v>
      </c>
    </row>
    <row r="462" spans="1:10" x14ac:dyDescent="0.25">
      <c r="A462" s="98" t="str">
        <f>'Resultater - Vestdanmark'!A462</f>
        <v>Biogasanlæg</v>
      </c>
      <c r="B462" s="98" t="str">
        <f>'Resultater - Vestdanmark'!B462</f>
        <v/>
      </c>
      <c r="C462" s="98" t="str">
        <f>'Resultater - Vestdanmark'!C462</f>
        <v/>
      </c>
      <c r="D462" s="98" t="str">
        <f>'Resultater - Vestdanmark'!D462</f>
        <v>Fjerkrægylle</v>
      </c>
      <c r="E462" s="98" t="str">
        <f>'Resultater - Vestdanmark'!E462</f>
        <v>Ton</v>
      </c>
      <c r="F462" s="98" t="str">
        <f>'Resultater - Vestdanmark'!F462</f>
        <v>Biogas</v>
      </c>
      <c r="G462" s="98" t="str">
        <f>'Resultater - Vestdanmark'!G462</f>
        <v>Nm3 CH4</v>
      </c>
      <c r="H462" s="275">
        <f>'Resultater - Vestdanmark'!H462+'Resultater - Østdanmark'!H462</f>
        <v>58183.649999999994</v>
      </c>
      <c r="I462" s="276">
        <f>'Resultater - Vestdanmark'!I462+'Resultater - Østdanmark'!I462</f>
        <v>71077.414557088938</v>
      </c>
      <c r="J462" s="277">
        <f>'Resultater - Vestdanmark'!J462+'Resultater - Østdanmark'!J462</f>
        <v>73401.632742028654</v>
      </c>
    </row>
    <row r="463" spans="1:10" x14ac:dyDescent="0.25">
      <c r="A463" s="98" t="str">
        <f>'Resultater - Vestdanmark'!A463</f>
        <v>Biogasanlæg</v>
      </c>
      <c r="B463" s="98" t="str">
        <f>'Resultater - Vestdanmark'!B463</f>
        <v/>
      </c>
      <c r="C463" s="98" t="str">
        <f>'Resultater - Vestdanmark'!C463</f>
        <v/>
      </c>
      <c r="D463" s="98" t="str">
        <f>'Resultater - Vestdanmark'!D463</f>
        <v>Dybstrøelse</v>
      </c>
      <c r="E463" s="98" t="str">
        <f>'Resultater - Vestdanmark'!E463</f>
        <v>Ton</v>
      </c>
      <c r="F463" s="98" t="str">
        <f>'Resultater - Vestdanmark'!F463</f>
        <v>Biogas</v>
      </c>
      <c r="G463" s="98" t="str">
        <f>'Resultater - Vestdanmark'!G463</f>
        <v>Nm3 CH4</v>
      </c>
      <c r="H463" s="275">
        <f>'Resultater - Vestdanmark'!H463+'Resultater - Østdanmark'!H463</f>
        <v>45425220.000000007</v>
      </c>
      <c r="I463" s="276">
        <f>'Resultater - Vestdanmark'!I463+'Resultater - Østdanmark'!I463</f>
        <v>108395313.40983701</v>
      </c>
      <c r="J463" s="277">
        <f>'Resultater - Vestdanmark'!J463+'Resultater - Østdanmark'!J463</f>
        <v>113581290.04936469</v>
      </c>
    </row>
    <row r="464" spans="1:10" x14ac:dyDescent="0.25">
      <c r="A464" s="98" t="str">
        <f>'Resultater - Vestdanmark'!A464</f>
        <v>Biogasanlæg</v>
      </c>
      <c r="B464" s="98" t="str">
        <f>'Resultater - Vestdanmark'!B464</f>
        <v/>
      </c>
      <c r="C464" s="98" t="str">
        <f>'Resultater - Vestdanmark'!C464</f>
        <v/>
      </c>
      <c r="D464" s="98" t="str">
        <f>'Resultater - Vestdanmark'!D464</f>
        <v>Majs</v>
      </c>
      <c r="E464" s="98" t="str">
        <f>'Resultater - Vestdanmark'!E464</f>
        <v>Ton</v>
      </c>
      <c r="F464" s="98" t="str">
        <f>'Resultater - Vestdanmark'!F464</f>
        <v>Biogas</v>
      </c>
      <c r="G464" s="98" t="str">
        <f>'Resultater - Vestdanmark'!G464</f>
        <v>Nm3 CH4</v>
      </c>
      <c r="H464" s="275">
        <f>'Resultater - Vestdanmark'!H464+'Resultater - Østdanmark'!H464</f>
        <v>33002600</v>
      </c>
      <c r="I464" s="276">
        <f>'Resultater - Vestdanmark'!I464+'Resultater - Østdanmark'!I464</f>
        <v>33002600.000000004</v>
      </c>
      <c r="J464" s="277">
        <f>'Resultater - Vestdanmark'!J464+'Resultater - Østdanmark'!J464</f>
        <v>33002600.000000004</v>
      </c>
    </row>
    <row r="465" spans="1:12" x14ac:dyDescent="0.25">
      <c r="A465" s="98" t="str">
        <f>'Resultater - Vestdanmark'!A465</f>
        <v>Biogasanlæg</v>
      </c>
      <c r="B465" s="98" t="str">
        <f>'Resultater - Vestdanmark'!B465</f>
        <v/>
      </c>
      <c r="C465" s="98" t="str">
        <f>'Resultater - Vestdanmark'!C465</f>
        <v/>
      </c>
      <c r="D465" s="98" t="str">
        <f>'Resultater - Vestdanmark'!D465</f>
        <v>Roer</v>
      </c>
      <c r="E465" s="98" t="str">
        <f>'Resultater - Vestdanmark'!E465</f>
        <v>Ton</v>
      </c>
      <c r="F465" s="98" t="str">
        <f>'Resultater - Vestdanmark'!F465</f>
        <v>Biogas</v>
      </c>
      <c r="G465" s="98" t="str">
        <f>'Resultater - Vestdanmark'!G465</f>
        <v>Nm3 CH4</v>
      </c>
      <c r="H465" s="275">
        <f>'Resultater - Vestdanmark'!H465+'Resultater - Østdanmark'!H465</f>
        <v>2165561.9999999995</v>
      </c>
      <c r="I465" s="276">
        <f>'Resultater - Vestdanmark'!I465+'Resultater - Østdanmark'!I465</f>
        <v>2165562</v>
      </c>
      <c r="J465" s="277">
        <f>'Resultater - Vestdanmark'!J465+'Resultater - Østdanmark'!J465</f>
        <v>2165562</v>
      </c>
    </row>
    <row r="466" spans="1:12" x14ac:dyDescent="0.25">
      <c r="A466" s="98" t="str">
        <f>'Resultater - Vestdanmark'!A466</f>
        <v>Biogasanlæg</v>
      </c>
      <c r="B466" s="98" t="str">
        <f>'Resultater - Vestdanmark'!B466</f>
        <v/>
      </c>
      <c r="C466" s="98" t="str">
        <f>'Resultater - Vestdanmark'!C466</f>
        <v/>
      </c>
      <c r="D466" s="98" t="str">
        <f>'Resultater - Vestdanmark'!D466</f>
        <v>Bioaffald</v>
      </c>
      <c r="E466" s="98" t="str">
        <f>'Resultater - Vestdanmark'!E466</f>
        <v>Ton</v>
      </c>
      <c r="F466" s="98" t="str">
        <f>'Resultater - Vestdanmark'!F466</f>
        <v>Biogas</v>
      </c>
      <c r="G466" s="98" t="str">
        <f>'Resultater - Vestdanmark'!G466</f>
        <v>Nm3 CH4</v>
      </c>
      <c r="H466" s="275">
        <f ca="1">'Resultater - Vestdanmark'!H466+'Resultater - Østdanmark'!H466</f>
        <v>69194816.600000009</v>
      </c>
      <c r="I466" s="276">
        <f ca="1">'Resultater - Vestdanmark'!I466+'Resultater - Østdanmark'!I466</f>
        <v>34543125.5</v>
      </c>
      <c r="J466" s="277">
        <f ca="1">'Resultater - Vestdanmark'!J466+'Resultater - Østdanmark'!J466</f>
        <v>35091837.300000004</v>
      </c>
    </row>
    <row r="467" spans="1:12" x14ac:dyDescent="0.25">
      <c r="A467" s="98" t="str">
        <f>'Resultater - Vestdanmark'!A467</f>
        <v>Biogasanlæg</v>
      </c>
      <c r="B467" s="98" t="str">
        <f>'Resultater - Vestdanmark'!B467</f>
        <v/>
      </c>
      <c r="C467" s="98" t="str">
        <f>'Resultater - Vestdanmark'!C467</f>
        <v/>
      </c>
      <c r="D467" s="98" t="str">
        <f>'Resultater - Vestdanmark'!D467</f>
        <v>Industriaffald</v>
      </c>
      <c r="E467" s="98" t="str">
        <f>'Resultater - Vestdanmark'!E467</f>
        <v>Ton</v>
      </c>
      <c r="F467" s="98" t="str">
        <f>'Resultater - Vestdanmark'!F467</f>
        <v>Biogas</v>
      </c>
      <c r="G467" s="98" t="str">
        <f>'Resultater - Vestdanmark'!G467</f>
        <v>Nm3 CH4</v>
      </c>
      <c r="H467" s="275">
        <f>'Resultater - Vestdanmark'!H467+'Resultater - Østdanmark'!H467</f>
        <v>102149122.13</v>
      </c>
      <c r="I467" s="276">
        <f>'Resultater - Vestdanmark'!I467+'Resultater - Østdanmark'!I467</f>
        <v>74480686.959999979</v>
      </c>
      <c r="J467" s="277">
        <f>'Resultater - Vestdanmark'!J467+'Resultater - Østdanmark'!J467</f>
        <v>74179468.039999992</v>
      </c>
    </row>
    <row r="468" spans="1:12" x14ac:dyDescent="0.25">
      <c r="A468" s="98" t="str">
        <f>'Resultater - Vestdanmark'!A468</f>
        <v>Biogasanlæg</v>
      </c>
      <c r="B468" s="98" t="str">
        <f>'Resultater - Vestdanmark'!B468</f>
        <v/>
      </c>
      <c r="C468" s="98" t="str">
        <f>'Resultater - Vestdanmark'!C468</f>
        <v/>
      </c>
      <c r="D468" s="98" t="str">
        <f>'Resultater - Vestdanmark'!D468</f>
        <v>Muslinger</v>
      </c>
      <c r="E468" s="98" t="str">
        <f>'Resultater - Vestdanmark'!E468</f>
        <v>Ton</v>
      </c>
      <c r="F468" s="98" t="str">
        <f>'Resultater - Vestdanmark'!F468</f>
        <v>Biogas</v>
      </c>
      <c r="G468" s="98" t="str">
        <f>'Resultater - Vestdanmark'!G468</f>
        <v>Nm3 CH4</v>
      </c>
      <c r="H468" s="275">
        <f>'Resultater - Vestdanmark'!H468+'Resultater - Østdanmark'!H468</f>
        <v>0</v>
      </c>
      <c r="I468" s="276">
        <f>'Resultater - Vestdanmark'!I468+'Resultater - Østdanmark'!I468</f>
        <v>0</v>
      </c>
      <c r="J468" s="277">
        <f>'Resultater - Vestdanmark'!J468+'Resultater - Østdanmark'!J468</f>
        <v>0</v>
      </c>
    </row>
    <row r="469" spans="1:12" x14ac:dyDescent="0.25">
      <c r="A469" s="98" t="str">
        <f>'Resultater - Vestdanmark'!A469</f>
        <v>Biogasanlæg</v>
      </c>
      <c r="B469" s="98" t="str">
        <f>'Resultater - Vestdanmark'!B469</f>
        <v/>
      </c>
      <c r="C469" s="98" t="str">
        <f>'Resultater - Vestdanmark'!C469</f>
        <v/>
      </c>
      <c r="D469" s="98" t="str">
        <f>'Resultater - Vestdanmark'!D469</f>
        <v>Tang</v>
      </c>
      <c r="E469" s="98" t="str">
        <f>'Resultater - Vestdanmark'!E469</f>
        <v>Ton</v>
      </c>
      <c r="F469" s="98" t="str">
        <f>'Resultater - Vestdanmark'!F469</f>
        <v>Biogas</v>
      </c>
      <c r="G469" s="98" t="str">
        <f>'Resultater - Vestdanmark'!G469</f>
        <v>Nm3 CH4</v>
      </c>
      <c r="H469" s="275">
        <f>'Resultater - Vestdanmark'!H469+'Resultater - Østdanmark'!H469</f>
        <v>0</v>
      </c>
      <c r="I469" s="276">
        <f>'Resultater - Vestdanmark'!I469+'Resultater - Østdanmark'!I469</f>
        <v>0</v>
      </c>
      <c r="J469" s="277">
        <f>'Resultater - Vestdanmark'!J469+'Resultater - Østdanmark'!J469</f>
        <v>0</v>
      </c>
    </row>
    <row r="470" spans="1:12" x14ac:dyDescent="0.25">
      <c r="A470" s="98" t="str">
        <f>'Resultater - Vestdanmark'!A470</f>
        <v>Biogasanlæg</v>
      </c>
      <c r="B470" s="98" t="str">
        <f>'Resultater - Vestdanmark'!B470</f>
        <v/>
      </c>
      <c r="C470" s="98" t="str">
        <f>'Resultater - Vestdanmark'!C470</f>
        <v/>
      </c>
      <c r="D470" s="98" t="str">
        <f>'Resultater - Vestdanmark'!D470</f>
        <v>Have/parkaffald</v>
      </c>
      <c r="E470" s="98" t="str">
        <f>'Resultater - Vestdanmark'!E470</f>
        <v>Ton</v>
      </c>
      <c r="F470" s="98" t="str">
        <f>'Resultater - Vestdanmark'!F470</f>
        <v>Biogas</v>
      </c>
      <c r="G470" s="98" t="str">
        <f>'Resultater - Vestdanmark'!G470</f>
        <v>Nm3 CH4</v>
      </c>
      <c r="H470" s="275">
        <f>'Resultater - Vestdanmark'!H470+'Resultater - Østdanmark'!H470</f>
        <v>3689.3999999999996</v>
      </c>
      <c r="I470" s="276">
        <f>'Resultater - Vestdanmark'!I470+'Resultater - Østdanmark'!I470</f>
        <v>3689.3999999999996</v>
      </c>
      <c r="J470" s="277">
        <f>'Resultater - Vestdanmark'!J470+'Resultater - Østdanmark'!J470</f>
        <v>3689.3999999999996</v>
      </c>
    </row>
    <row r="471" spans="1:12" x14ac:dyDescent="0.25">
      <c r="A471" s="98" t="str">
        <f>'Resultater - Vestdanmark'!A471</f>
        <v>Biogasanlæg</v>
      </c>
      <c r="B471" s="98" t="str">
        <f>'Resultater - Vestdanmark'!B471</f>
        <v/>
      </c>
      <c r="C471" s="98" t="str">
        <f>'Resultater - Vestdanmark'!C471</f>
        <v/>
      </c>
      <c r="D471" s="98" t="str">
        <f>'Resultater - Vestdanmark'!D471</f>
        <v>Brun saft</v>
      </c>
      <c r="E471" s="98" t="str">
        <f>'Resultater - Vestdanmark'!E471</f>
        <v>PJ</v>
      </c>
      <c r="F471" s="98" t="str">
        <f>'Resultater - Vestdanmark'!F471</f>
        <v>Biogas</v>
      </c>
      <c r="G471" s="98" t="str">
        <f>'Resultater - Vestdanmark'!G471</f>
        <v>Nm3 CH4</v>
      </c>
      <c r="H471" s="275">
        <f>'Resultater - Vestdanmark'!H471+'Resultater - Østdanmark'!H471</f>
        <v>0</v>
      </c>
      <c r="I471" s="276">
        <f>'Resultater - Vestdanmark'!I471+'Resultater - Østdanmark'!I471</f>
        <v>0</v>
      </c>
      <c r="J471" s="277">
        <f>'Resultater - Vestdanmark'!J471+'Resultater - Østdanmark'!J471</f>
        <v>0</v>
      </c>
    </row>
    <row r="472" spans="1:12" x14ac:dyDescent="0.25">
      <c r="A472" s="98" t="str">
        <f>'Resultater - Vestdanmark'!A472</f>
        <v>Biogasanlæg</v>
      </c>
      <c r="B472" s="98" t="str">
        <f>'Resultater - Vestdanmark'!B472</f>
        <v/>
      </c>
      <c r="C472" s="98" t="str">
        <f>'Resultater - Vestdanmark'!C472</f>
        <v/>
      </c>
      <c r="D472" s="98" t="str">
        <f>'Resultater - Vestdanmark'!D472</f>
        <v>Glycerin</v>
      </c>
      <c r="E472" s="98" t="str">
        <f>'Resultater - Vestdanmark'!E472</f>
        <v>Ton</v>
      </c>
      <c r="F472" s="98" t="str">
        <f>'Resultater - Vestdanmark'!F472</f>
        <v>Biogas</v>
      </c>
      <c r="G472" s="98" t="str">
        <f>'Resultater - Vestdanmark'!G472</f>
        <v>Nm3 CH4</v>
      </c>
      <c r="H472" s="275">
        <f>'Resultater - Vestdanmark'!H472+'Resultater - Østdanmark'!H472</f>
        <v>60431253.120000005</v>
      </c>
      <c r="I472" s="276">
        <f>'Resultater - Vestdanmark'!I472+'Resultater - Østdanmark'!I472</f>
        <v>60431253.120000005</v>
      </c>
      <c r="J472" s="277">
        <f>'Resultater - Vestdanmark'!J472+'Resultater - Østdanmark'!J472</f>
        <v>60431253.120000005</v>
      </c>
    </row>
    <row r="473" spans="1:12" x14ac:dyDescent="0.25">
      <c r="A473" s="98" t="str">
        <f>'Resultater - Vestdanmark'!A473</f>
        <v>Biogasanlæg</v>
      </c>
      <c r="B473" s="98" t="str">
        <f>'Resultater - Vestdanmark'!B473</f>
        <v/>
      </c>
      <c r="C473" s="98" t="str">
        <f>'Resultater - Vestdanmark'!C473</f>
        <v/>
      </c>
      <c r="D473" s="98" t="str">
        <f>'Resultater - Vestdanmark'!D473</f>
        <v>Spildevandsslam</v>
      </c>
      <c r="E473" s="98" t="str">
        <f>'Resultater - Vestdanmark'!E473</f>
        <v>Ton</v>
      </c>
      <c r="F473" s="98" t="str">
        <f>'Resultater - Vestdanmark'!F473</f>
        <v>Biogas</v>
      </c>
      <c r="G473" s="98" t="str">
        <f>'Resultater - Vestdanmark'!G473</f>
        <v>Nm3 CH4</v>
      </c>
      <c r="H473" s="275">
        <f>'Resultater - Vestdanmark'!H473+'Resultater - Østdanmark'!H473</f>
        <v>37096792.599999994</v>
      </c>
      <c r="I473" s="276">
        <f>'Resultater - Vestdanmark'!I473+'Resultater - Østdanmark'!I473</f>
        <v>38714582.110441938</v>
      </c>
      <c r="J473" s="277">
        <f>'Resultater - Vestdanmark'!J473+'Resultater - Østdanmark'!J473</f>
        <v>40315367.435598418</v>
      </c>
      <c r="L473" s="98"/>
    </row>
    <row r="474" spans="1:12" x14ac:dyDescent="0.25">
      <c r="A474" s="98" t="str">
        <f>'Resultater - Vestdanmark'!A474</f>
        <v>Biogasanlæg</v>
      </c>
      <c r="B474" s="98" t="str">
        <f>'Resultater - Vestdanmark'!B474</f>
        <v/>
      </c>
      <c r="C474" s="98" t="str">
        <f>'Resultater - Vestdanmark'!C474</f>
        <v/>
      </c>
      <c r="D474" s="98" t="str">
        <f>'Resultater - Vestdanmark'!D474</f>
        <v>Total til biogas</v>
      </c>
      <c r="E474" s="98" t="str">
        <f>'Resultater - Vestdanmark'!E474</f>
        <v>Ton</v>
      </c>
      <c r="F474" s="98" t="str">
        <f>'Resultater - Vestdanmark'!F474</f>
        <v>Biogasgylle</v>
      </c>
      <c r="G474" s="98" t="str">
        <f>'Resultater - Vestdanmark'!G474</f>
        <v>Ton</v>
      </c>
      <c r="H474" s="281">
        <f ca="1">'Resultater - Vestdanmark'!H474+'Resultater - Østdanmark'!H474</f>
        <v>12034020.807749998</v>
      </c>
      <c r="I474" s="282">
        <f ca="1">'Resultater - Vestdanmark'!I474+'Resultater - Østdanmark'!I474</f>
        <v>27591344.701732997</v>
      </c>
      <c r="J474" s="283">
        <f ca="1">'Resultater - Vestdanmark'!J474+'Resultater - Østdanmark'!J474</f>
        <v>27126557.620579563</v>
      </c>
    </row>
    <row r="475" spans="1:12" x14ac:dyDescent="0.25">
      <c r="A475" s="98" t="str">
        <f>'Resultater - Vestdanmark'!A475</f>
        <v>Gødning</v>
      </c>
      <c r="B475" s="98" t="str">
        <f>'Resultater - Vestdanmark'!B475</f>
        <v/>
      </c>
      <c r="C475" s="98" t="str">
        <f>'Resultater - Vestdanmark'!C475</f>
        <v/>
      </c>
      <c r="D475" s="98" t="str">
        <f>'Resultater - Vestdanmark'!D475</f>
        <v>Svinegylle</v>
      </c>
      <c r="E475" s="98" t="str">
        <f>'Resultater - Vestdanmark'!E475</f>
        <v>Ton</v>
      </c>
      <c r="F475" s="98" t="str">
        <f>'Resultater - Vestdanmark'!F475</f>
        <v>Gødning</v>
      </c>
      <c r="G475" s="98" t="str">
        <f>'Resultater - Vestdanmark'!G475</f>
        <v>kg N</v>
      </c>
      <c r="H475" s="281">
        <f>'Resultater - Vestdanmark'!H475+'Resultater - Østdanmark'!H475</f>
        <v>78133292.533333316</v>
      </c>
      <c r="I475" s="282">
        <f>'Resultater - Vestdanmark'!I475+'Resultater - Østdanmark'!I475</f>
        <v>51591000.405221365</v>
      </c>
      <c r="J475" s="283">
        <f>'Resultater - Vestdanmark'!J475+'Resultater - Østdanmark'!J475</f>
        <v>49392013.944190934</v>
      </c>
    </row>
    <row r="476" spans="1:12" x14ac:dyDescent="0.25">
      <c r="A476" s="98" t="str">
        <f>'Resultater - Vestdanmark'!A476</f>
        <v>Gødning</v>
      </c>
      <c r="B476" s="98" t="str">
        <f>'Resultater - Vestdanmark'!B476</f>
        <v/>
      </c>
      <c r="C476" s="98" t="str">
        <f>'Resultater - Vestdanmark'!C476</f>
        <v/>
      </c>
      <c r="D476" s="98" t="str">
        <f>'Resultater - Vestdanmark'!D476</f>
        <v>Kvæggylle</v>
      </c>
      <c r="E476" s="98" t="str">
        <f>'Resultater - Vestdanmark'!E476</f>
        <v>Ton</v>
      </c>
      <c r="F476" s="98" t="str">
        <f>'Resultater - Vestdanmark'!F476</f>
        <v>Gødning</v>
      </c>
      <c r="G476" s="98" t="str">
        <f>'Resultater - Vestdanmark'!G476</f>
        <v>kg N</v>
      </c>
      <c r="H476" s="281">
        <f>'Resultater - Vestdanmark'!H476+'Resultater - Østdanmark'!H476</f>
        <v>77571922.666666672</v>
      </c>
      <c r="I476" s="282">
        <f>'Resultater - Vestdanmark'!I476+'Resultater - Østdanmark'!I476</f>
        <v>32040082.67674059</v>
      </c>
      <c r="J476" s="283">
        <f>'Resultater - Vestdanmark'!J476+'Resultater - Østdanmark'!J476</f>
        <v>31427856.942986455</v>
      </c>
    </row>
    <row r="477" spans="1:12" x14ac:dyDescent="0.25">
      <c r="A477" s="98" t="str">
        <f>'Resultater - Vestdanmark'!A477</f>
        <v>Gødning</v>
      </c>
      <c r="B477" s="98" t="str">
        <f>'Resultater - Vestdanmark'!B477</f>
        <v/>
      </c>
      <c r="C477" s="98" t="str">
        <f>'Resultater - Vestdanmark'!C477</f>
        <v/>
      </c>
      <c r="D477" s="98" t="str">
        <f>'Resultater - Vestdanmark'!D477</f>
        <v>Fjerkrægylle</v>
      </c>
      <c r="E477" s="98" t="str">
        <f>'Resultater - Vestdanmark'!E477</f>
        <v>Ton</v>
      </c>
      <c r="F477" s="98" t="str">
        <f>'Resultater - Vestdanmark'!F477</f>
        <v>Gødning</v>
      </c>
      <c r="G477" s="98" t="str">
        <f>'Resultater - Vestdanmark'!G477</f>
        <v>kg N</v>
      </c>
      <c r="H477" s="281">
        <f>'Resultater - Vestdanmark'!H477+'Resultater - Østdanmark'!H477</f>
        <v>31090.5</v>
      </c>
      <c r="I477" s="282">
        <f>'Resultater - Vestdanmark'!I477+'Resultater - Østdanmark'!I477</f>
        <v>37980.297854933022</v>
      </c>
      <c r="J477" s="283">
        <f>'Resultater - Vestdanmark'!J477+'Resultater - Østdanmark'!J477</f>
        <v>39222.246503374095</v>
      </c>
    </row>
    <row r="478" spans="1:12" x14ac:dyDescent="0.25">
      <c r="A478" s="98" t="str">
        <f>'Resultater - Vestdanmark'!A478</f>
        <v>Gødning</v>
      </c>
      <c r="B478" s="98" t="str">
        <f>'Resultater - Vestdanmark'!B478</f>
        <v/>
      </c>
      <c r="C478" s="98" t="str">
        <f>'Resultater - Vestdanmark'!C478</f>
        <v/>
      </c>
      <c r="D478" s="98" t="str">
        <f>'Resultater - Vestdanmark'!D478</f>
        <v>Dybstrøelse</v>
      </c>
      <c r="E478" s="98" t="str">
        <f>'Resultater - Vestdanmark'!E478</f>
        <v>Ton</v>
      </c>
      <c r="F478" s="98" t="str">
        <f>'Resultater - Vestdanmark'!F478</f>
        <v>Gødning</v>
      </c>
      <c r="G478" s="98" t="str">
        <f>'Resultater - Vestdanmark'!G478</f>
        <v>kg N</v>
      </c>
      <c r="H478" s="281">
        <f>'Resultater - Vestdanmark'!H478+'Resultater - Østdanmark'!H478</f>
        <v>11532709.900000002</v>
      </c>
      <c r="I478" s="282">
        <f>'Resultater - Vestdanmark'!I478+'Resultater - Østdanmark'!I478</f>
        <v>9574919.3512022682</v>
      </c>
      <c r="J478" s="283">
        <f>'Resultater - Vestdanmark'!J478+'Resultater - Østdanmark'!J478</f>
        <v>10033013.954360548</v>
      </c>
    </row>
    <row r="479" spans="1:12" x14ac:dyDescent="0.25">
      <c r="A479" s="98" t="str">
        <f>'Resultater - Vestdanmark'!A479</f>
        <v>Gødning</v>
      </c>
      <c r="B479" s="98" t="str">
        <f>'Resultater - Vestdanmark'!B479</f>
        <v/>
      </c>
      <c r="C479" s="98" t="str">
        <f>'Resultater - Vestdanmark'!C479</f>
        <v/>
      </c>
      <c r="D479" s="98" t="str">
        <f>'Resultater - Vestdanmark'!D479</f>
        <v>Biogasgylle</v>
      </c>
      <c r="E479" s="98" t="str">
        <f>'Resultater - Vestdanmark'!E479</f>
        <v>Ton</v>
      </c>
      <c r="F479" s="98" t="str">
        <f>'Resultater - Vestdanmark'!F479</f>
        <v>Gødning</v>
      </c>
      <c r="G479" s="98" t="str">
        <f>'Resultater - Vestdanmark'!G479</f>
        <v>kg N</v>
      </c>
      <c r="H479" s="281">
        <f ca="1">'Resultater - Vestdanmark'!H479+'Resultater - Østdanmark'!H479</f>
        <v>61624442.148559391</v>
      </c>
      <c r="I479" s="282">
        <f ca="1">'Resultater - Vestdanmark'!I479+'Resultater - Østdanmark'!I479</f>
        <v>172801555.89384663</v>
      </c>
      <c r="J479" s="283">
        <f ca="1">'Resultater - Vestdanmark'!J479+'Resultater - Østdanmark'!J479</f>
        <v>168584806.91208297</v>
      </c>
    </row>
    <row r="480" spans="1:12" x14ac:dyDescent="0.25">
      <c r="A480" s="98" t="str">
        <f>'Resultater - Vestdanmark'!A480</f>
        <v>Gødning</v>
      </c>
      <c r="B480" s="98" t="str">
        <f>'Resultater - Vestdanmark'!B480</f>
        <v/>
      </c>
      <c r="C480" s="98" t="str">
        <f>'Resultater - Vestdanmark'!C480</f>
        <v/>
      </c>
      <c r="D480" s="98" t="str">
        <f>'Resultater - Vestdanmark'!D480</f>
        <v>Kunstgødning</v>
      </c>
      <c r="E480" s="98" t="str">
        <f>'Resultater - Vestdanmark'!E480</f>
        <v>Ton</v>
      </c>
      <c r="F480" s="98" t="str">
        <f>'Resultater - Vestdanmark'!F480</f>
        <v>Gødning</v>
      </c>
      <c r="G480" s="98" t="str">
        <f>'Resultater - Vestdanmark'!G480</f>
        <v>kg N</v>
      </c>
      <c r="H480" s="281">
        <f ca="1">'Resultater - Vestdanmark'!H480+'Resultater - Østdanmark'!H480</f>
        <v>151170766.56868804</v>
      </c>
      <c r="I480" s="282">
        <f ca="1">'Resultater - Vestdanmark'!I480+'Resultater - Østdanmark'!I480</f>
        <v>106729987.41510947</v>
      </c>
      <c r="J480" s="283">
        <f ca="1">'Resultater - Vestdanmark'!J480+'Resultater - Østdanmark'!J480</f>
        <v>102654982.23010565</v>
      </c>
    </row>
    <row r="481" spans="1:13" x14ac:dyDescent="0.25">
      <c r="A481" s="98" t="str">
        <f>'Resultater - Vestdanmark'!A481</f>
        <v>Til energi</v>
      </c>
      <c r="B481" s="98" t="str">
        <f>'Resultater - Vestdanmark'!B481</f>
        <v/>
      </c>
      <c r="C481" s="98" t="str">
        <f>'Resultater - Vestdanmark'!C481</f>
        <v/>
      </c>
      <c r="D481" s="98" t="str">
        <f>'Resultater - Vestdanmark'!D481</f>
        <v>Halm</v>
      </c>
      <c r="E481" s="98" t="str">
        <f>'Resultater - Vestdanmark'!E481</f>
        <v>Ton</v>
      </c>
      <c r="F481" s="98" t="str">
        <f>'Resultater - Vestdanmark'!F481</f>
        <v>Energi</v>
      </c>
      <c r="G481" s="98" t="str">
        <f>'Resultater - Vestdanmark'!G481</f>
        <v>PJ</v>
      </c>
      <c r="H481" s="285">
        <f>'Resultater - Vestdanmark'!H481+'Resultater - Østdanmark'!H481</f>
        <v>19.591464268115235</v>
      </c>
      <c r="I481" s="286">
        <f>'Resultater - Vestdanmark'!I481+'Resultater - Østdanmark'!I481</f>
        <v>15.133563575560331</v>
      </c>
      <c r="J481" s="287">
        <f>'Resultater - Vestdanmark'!J481+'Resultater - Østdanmark'!J481</f>
        <v>14.085160780100617</v>
      </c>
      <c r="L481" s="167" t="s">
        <v>215</v>
      </c>
      <c r="M481" s="165">
        <v>17963.28</v>
      </c>
    </row>
    <row r="482" spans="1:13" x14ac:dyDescent="0.25">
      <c r="A482" s="98" t="str">
        <f>'Resultater - Vestdanmark'!A482</f>
        <v>Til energi</v>
      </c>
      <c r="B482" s="98" t="str">
        <f>'Resultater - Vestdanmark'!B482</f>
        <v/>
      </c>
      <c r="C482" s="98" t="str">
        <f>'Resultater - Vestdanmark'!C482</f>
        <v/>
      </c>
      <c r="D482" s="98" t="str">
        <f>'Resultater - Vestdanmark'!D482</f>
        <v>Rapsolie</v>
      </c>
      <c r="E482" s="98" t="str">
        <f>'Resultater - Vestdanmark'!E482</f>
        <v>Ton</v>
      </c>
      <c r="F482" s="98" t="str">
        <f>'Resultater - Vestdanmark'!F482</f>
        <v>Energi</v>
      </c>
      <c r="G482" s="98" t="str">
        <f>'Resultater - Vestdanmark'!G482</f>
        <v>PJ</v>
      </c>
      <c r="H482" s="285">
        <f>'Resultater - Vestdanmark'!H482+'Resultater - Østdanmark'!H482</f>
        <v>3.9505661308495017</v>
      </c>
      <c r="I482" s="286">
        <f>'Resultater - Vestdanmark'!I482+'Resultater - Østdanmark'!I482</f>
        <v>7.9746013970399474</v>
      </c>
      <c r="J482" s="287">
        <f>'Resultater - Vestdanmark'!J482+'Resultater - Østdanmark'!J482</f>
        <v>8.2650661272225623</v>
      </c>
      <c r="L482" s="167" t="s">
        <v>219</v>
      </c>
      <c r="M482" s="165">
        <v>14758.1</v>
      </c>
    </row>
    <row r="483" spans="1:13" x14ac:dyDescent="0.25">
      <c r="A483" s="98" t="str">
        <f>'Resultater - Vestdanmark'!A483</f>
        <v>Til energi</v>
      </c>
      <c r="B483" s="98" t="str">
        <f>'Resultater - Vestdanmark'!B483</f>
        <v/>
      </c>
      <c r="C483" s="98" t="str">
        <f>'Resultater - Vestdanmark'!C483</f>
        <v/>
      </c>
      <c r="D483" s="98" t="str">
        <f>'Resultater - Vestdanmark'!D483</f>
        <v>Pil &amp; poppel</v>
      </c>
      <c r="E483" s="98" t="str">
        <f>'Resultater - Vestdanmark'!E483</f>
        <v>Ton</v>
      </c>
      <c r="F483" s="98" t="str">
        <f>'Resultater - Vestdanmark'!F483</f>
        <v>Energi</v>
      </c>
      <c r="G483" s="98" t="str">
        <f>'Resultater - Vestdanmark'!G483</f>
        <v>PJ</v>
      </c>
      <c r="H483" s="284">
        <f>'Resultater - Vestdanmark'!H483+'Resultater - Østdanmark'!H483</f>
        <v>3.8615553516557766</v>
      </c>
      <c r="I483" s="286">
        <f>'Resultater - Vestdanmark'!I483+'Resultater - Østdanmark'!I483</f>
        <v>3.9939341290275325</v>
      </c>
      <c r="J483" s="287">
        <f>'Resultater - Vestdanmark'!J483+'Resultater - Østdanmark'!J483</f>
        <v>4.152697774809285</v>
      </c>
      <c r="L483" s="167" t="s">
        <v>216</v>
      </c>
      <c r="M483" s="165">
        <v>1988.19</v>
      </c>
    </row>
    <row r="484" spans="1:13" x14ac:dyDescent="0.25">
      <c r="A484" s="98" t="str">
        <f>'Resultater - Vestdanmark'!A484</f>
        <v>Til energi</v>
      </c>
      <c r="B484" s="98" t="str">
        <f>'Resultater - Vestdanmark'!B484</f>
        <v/>
      </c>
      <c r="C484" s="98" t="str">
        <f>'Resultater - Vestdanmark'!C484</f>
        <v/>
      </c>
      <c r="D484" s="98" t="str">
        <f>'Resultater - Vestdanmark'!D484</f>
        <v>Træ til energi</v>
      </c>
      <c r="E484" s="98" t="str">
        <f>'Resultater - Vestdanmark'!E484</f>
        <v>m3</v>
      </c>
      <c r="F484" s="98" t="str">
        <f>'Resultater - Vestdanmark'!F484</f>
        <v>Energi</v>
      </c>
      <c r="G484" s="98" t="str">
        <f>'Resultater - Vestdanmark'!G484</f>
        <v>PJ</v>
      </c>
      <c r="H484" s="284">
        <f ca="1">'Resultater - Vestdanmark'!H484+'Resultater - Østdanmark'!H484</f>
        <v>43.629875452920871</v>
      </c>
      <c r="I484" s="286">
        <f ca="1">'Resultater - Vestdanmark'!I484+'Resultater - Østdanmark'!I484</f>
        <v>41.289332451561776</v>
      </c>
      <c r="J484" s="287">
        <f ca="1">'Resultater - Vestdanmark'!J484+'Resultater - Østdanmark'!J484</f>
        <v>37.486106778285574</v>
      </c>
      <c r="L484" s="167" t="s">
        <v>217</v>
      </c>
      <c r="M484" s="165">
        <v>8944.93</v>
      </c>
    </row>
    <row r="485" spans="1:13" x14ac:dyDescent="0.25">
      <c r="A485" s="98" t="str">
        <f>'Resultater - Vestdanmark'!A485</f>
        <v>Til energi</v>
      </c>
      <c r="B485" s="98" t="str">
        <f>'Resultater - Vestdanmark'!B485</f>
        <v/>
      </c>
      <c r="C485" s="98" t="str">
        <f>'Resultater - Vestdanmark'!C485</f>
        <v/>
      </c>
      <c r="D485" s="98" t="str">
        <f>'Resultater - Vestdanmark'!D485</f>
        <v>Have/parkaffald</v>
      </c>
      <c r="E485" s="98" t="str">
        <f>'Resultater - Vestdanmark'!E485</f>
        <v>Ton</v>
      </c>
      <c r="F485" s="98" t="str">
        <f>'Resultater - Vestdanmark'!F485</f>
        <v>Energi</v>
      </c>
      <c r="G485" s="98" t="str">
        <f>'Resultater - Vestdanmark'!G485</f>
        <v>PJ</v>
      </c>
      <c r="H485" s="284">
        <f>'Resultater - Vestdanmark'!H485+'Resultater - Østdanmark'!H485</f>
        <v>17.543930524502301</v>
      </c>
      <c r="I485" s="286">
        <f>'Resultater - Vestdanmark'!I485+'Resultater - Østdanmark'!I485</f>
        <v>17.543930524502301</v>
      </c>
      <c r="J485" s="287">
        <f>'Resultater - Vestdanmark'!J485+'Resultater - Østdanmark'!J485</f>
        <v>17.543930524502301</v>
      </c>
      <c r="L485" s="167" t="s">
        <v>218</v>
      </c>
      <c r="M485" s="165">
        <v>18651.71</v>
      </c>
    </row>
    <row r="486" spans="1:13" x14ac:dyDescent="0.25">
      <c r="A486" s="98" t="str">
        <f>'Resultater - Vestdanmark'!A486</f>
        <v>Til energi</v>
      </c>
      <c r="B486" s="98" t="str">
        <f>'Resultater - Vestdanmark'!B486</f>
        <v/>
      </c>
      <c r="C486" s="98" t="str">
        <f>'Resultater - Vestdanmark'!C486</f>
        <v/>
      </c>
      <c r="D486" s="98" t="str">
        <f>'Resultater - Vestdanmark'!D486</f>
        <v>Bioaffald</v>
      </c>
      <c r="E486" s="98" t="str">
        <f>'Resultater - Vestdanmark'!E486</f>
        <v>Ton</v>
      </c>
      <c r="F486" s="98" t="str">
        <f>'Resultater - Vestdanmark'!F486</f>
        <v>Energi</v>
      </c>
      <c r="G486" s="98" t="str">
        <f>'Resultater - Vestdanmark'!G486</f>
        <v>PJ</v>
      </c>
      <c r="H486" s="284">
        <f ca="1">'Resultater - Vestdanmark'!H486+'Resultater - Østdanmark'!H486</f>
        <v>0</v>
      </c>
      <c r="I486" s="286">
        <f ca="1">'Resultater - Vestdanmark'!I486+'Resultater - Østdanmark'!I486</f>
        <v>0</v>
      </c>
      <c r="J486" s="287">
        <f ca="1">'Resultater - Vestdanmark'!J486+'Resultater - Østdanmark'!J486</f>
        <v>0</v>
      </c>
      <c r="L486" s="166" t="s">
        <v>109</v>
      </c>
      <c r="M486" s="165">
        <v>16604.849999999999</v>
      </c>
    </row>
    <row r="487" spans="1:13" s="168" customFormat="1" x14ac:dyDescent="0.25">
      <c r="A487" s="98" t="str">
        <f>'Resultater - Vestdanmark'!A487</f>
        <v>Til energi</v>
      </c>
      <c r="B487" s="98" t="str">
        <f>'Resultater - Vestdanmark'!B487</f>
        <v/>
      </c>
      <c r="C487" s="98" t="str">
        <f>'Resultater - Vestdanmark'!C487</f>
        <v/>
      </c>
      <c r="D487" s="98" t="str">
        <f>'Resultater - Vestdanmark'!D487</f>
        <v>Pyrolyseolie</v>
      </c>
      <c r="E487" s="98" t="str">
        <f>'Resultater - Vestdanmark'!E487</f>
        <v>Ton</v>
      </c>
      <c r="F487" s="98" t="str">
        <f>'Resultater - Vestdanmark'!F487</f>
        <v>Energi</v>
      </c>
      <c r="G487" s="98" t="str">
        <f>'Resultater - Vestdanmark'!G487</f>
        <v>PJ</v>
      </c>
      <c r="H487" s="284">
        <f>'Resultater - Vestdanmark'!H487+'Resultater - Østdanmark'!H487</f>
        <v>0</v>
      </c>
      <c r="I487" s="286">
        <f>'Resultater - Vestdanmark'!I487+'Resultater - Østdanmark'!I487</f>
        <v>0</v>
      </c>
      <c r="J487" s="287">
        <f>'Resultater - Vestdanmark'!J487+'Resultater - Østdanmark'!J487</f>
        <v>0</v>
      </c>
      <c r="L487" s="166"/>
      <c r="M487" s="165"/>
    </row>
    <row r="488" spans="1:13" s="168" customFormat="1" x14ac:dyDescent="0.25">
      <c r="A488" s="98" t="str">
        <f>'Resultater - Vestdanmark'!A488</f>
        <v>Til energi</v>
      </c>
      <c r="B488" s="98" t="str">
        <f>'Resultater - Vestdanmark'!B488</f>
        <v/>
      </c>
      <c r="C488" s="98" t="str">
        <f>'Resultater - Vestdanmark'!C488</f>
        <v/>
      </c>
      <c r="D488" s="98" t="str">
        <f>'Resultater - Vestdanmark'!D488</f>
        <v>Pyrolysegas</v>
      </c>
      <c r="E488" s="98" t="str">
        <f>'Resultater - Vestdanmark'!E488</f>
        <v>Ton</v>
      </c>
      <c r="F488" s="98" t="str">
        <f>'Resultater - Vestdanmark'!F488</f>
        <v>Energi</v>
      </c>
      <c r="G488" s="98" t="str">
        <f>'Resultater - Vestdanmark'!G488</f>
        <v>PJ</v>
      </c>
      <c r="H488" s="284">
        <f>'Resultater - Vestdanmark'!H488+'Resultater - Østdanmark'!H488</f>
        <v>0</v>
      </c>
      <c r="I488" s="286">
        <f>'Resultater - Vestdanmark'!I488+'Resultater - Østdanmark'!I488</f>
        <v>0</v>
      </c>
      <c r="J488" s="287">
        <f>'Resultater - Vestdanmark'!J488+'Resultater - Østdanmark'!J488</f>
        <v>0</v>
      </c>
      <c r="L488" s="166"/>
      <c r="M488" s="165"/>
    </row>
    <row r="489" spans="1:13" x14ac:dyDescent="0.25">
      <c r="A489" s="98" t="str">
        <f>'Resultater - Vestdanmark'!A489</f>
        <v>Til energi</v>
      </c>
      <c r="B489" s="98" t="str">
        <f>'Resultater - Vestdanmark'!B489</f>
        <v/>
      </c>
      <c r="C489" s="98" t="str">
        <f>'Resultater - Vestdanmark'!C489</f>
        <v/>
      </c>
      <c r="D489" s="98" t="str">
        <f>'Resultater - Vestdanmark'!D489</f>
        <v>Biogas</v>
      </c>
      <c r="E489" s="98" t="str">
        <f>'Resultater - Vestdanmark'!E489</f>
        <v>Nm3 CH4</v>
      </c>
      <c r="F489" s="98" t="str">
        <f>'Resultater - Vestdanmark'!F489</f>
        <v>Energi</v>
      </c>
      <c r="G489" s="98" t="str">
        <f>'Resultater - Vestdanmark'!G489</f>
        <v>PJ</v>
      </c>
      <c r="H489" s="288">
        <f ca="1">'Resultater - Vestdanmark'!H489+'Resultater - Østdanmark'!H489</f>
        <v>16.609927730843868</v>
      </c>
      <c r="I489" s="289">
        <f ca="1">'Resultater - Vestdanmark'!I489+'Resultater - Østdanmark'!I489</f>
        <v>24.368472198837154</v>
      </c>
      <c r="J489" s="290">
        <f ca="1">'Resultater - Vestdanmark'!J489+'Resultater - Østdanmark'!J489</f>
        <v>24.297327254934746</v>
      </c>
    </row>
    <row r="490" spans="1:13" x14ac:dyDescent="0.25">
      <c r="A490" s="154" t="str">
        <f>'Resultater - Vestdanmark'!A490</f>
        <v>Proteinproces</v>
      </c>
      <c r="B490" s="154" t="str">
        <f>'Resultater - Vestdanmark'!B490</f>
        <v/>
      </c>
      <c r="C490" s="154" t="str">
        <f>'Resultater - Vestdanmark'!C490</f>
        <v/>
      </c>
      <c r="D490" s="154" t="str">
        <f>'Resultater - Vestdanmark'!D490</f>
        <v>Græs</v>
      </c>
      <c r="E490" s="154" t="str">
        <f>'Resultater - Vestdanmark'!E490</f>
        <v>Ton</v>
      </c>
      <c r="F490" s="154" t="str">
        <f>'Resultater - Vestdanmark'!F490</f>
        <v>Græsprotein</v>
      </c>
      <c r="G490" s="154" t="str">
        <f>'Resultater - Vestdanmark'!G490</f>
        <v>Ton</v>
      </c>
      <c r="H490" s="291">
        <f>'Resultater - Vestdanmark'!H490+'Resultater - Østdanmark'!H490</f>
        <v>0</v>
      </c>
      <c r="I490" s="292">
        <f>'Resultater - Vestdanmark'!I490+'Resultater - Østdanmark'!I490</f>
        <v>0</v>
      </c>
      <c r="J490" s="293">
        <f>'Resultater - Vestdanmark'!J490+'Resultater - Østdanmark'!J490</f>
        <v>0</v>
      </c>
    </row>
    <row r="491" spans="1:13" x14ac:dyDescent="0.25">
      <c r="A491" s="154" t="str">
        <f>'Resultater - Vestdanmark'!A491</f>
        <v>Proteinproces</v>
      </c>
      <c r="B491" s="154" t="str">
        <f>'Resultater - Vestdanmark'!B491</f>
        <v/>
      </c>
      <c r="C491" s="154" t="str">
        <f>'Resultater - Vestdanmark'!C491</f>
        <v/>
      </c>
      <c r="D491" s="154" t="str">
        <f>'Resultater - Vestdanmark'!D491</f>
        <v>Græs</v>
      </c>
      <c r="E491" s="154" t="str">
        <f>'Resultater - Vestdanmark'!E491</f>
        <v>Ton</v>
      </c>
      <c r="F491" s="154" t="str">
        <f>'Resultater - Vestdanmark'!F491</f>
        <v>Fiberfraktion</v>
      </c>
      <c r="G491" s="154" t="str">
        <f>'Resultater - Vestdanmark'!G491</f>
        <v>Ton</v>
      </c>
      <c r="H491" s="291">
        <f>'Resultater - Vestdanmark'!H491+'Resultater - Østdanmark'!H491</f>
        <v>0</v>
      </c>
      <c r="I491" s="292">
        <f>'Resultater - Vestdanmark'!I491+'Resultater - Østdanmark'!I491</f>
        <v>0</v>
      </c>
      <c r="J491" s="293">
        <f>'Resultater - Vestdanmark'!J491+'Resultater - Østdanmark'!J491</f>
        <v>0</v>
      </c>
    </row>
    <row r="492" spans="1:13" x14ac:dyDescent="0.25">
      <c r="A492" s="154" t="str">
        <f>'Resultater - Vestdanmark'!A492</f>
        <v>Proteinproces</v>
      </c>
      <c r="B492" s="154" t="str">
        <f>'Resultater - Vestdanmark'!B492</f>
        <v/>
      </c>
      <c r="C492" s="154" t="str">
        <f>'Resultater - Vestdanmark'!C492</f>
        <v/>
      </c>
      <c r="D492" s="154" t="str">
        <f>'Resultater - Vestdanmark'!D492</f>
        <v>Græs</v>
      </c>
      <c r="E492" s="154" t="str">
        <f>'Resultater - Vestdanmark'!E492</f>
        <v>Ton</v>
      </c>
      <c r="F492" s="154" t="str">
        <f>'Resultater - Vestdanmark'!F492</f>
        <v>Brun saft</v>
      </c>
      <c r="G492" s="154" t="str">
        <f>'Resultater - Vestdanmark'!G492</f>
        <v>PJ</v>
      </c>
      <c r="H492" s="291">
        <f>'Resultater - Vestdanmark'!H492+'Resultater - Østdanmark'!H492</f>
        <v>0</v>
      </c>
      <c r="I492" s="292">
        <f>'Resultater - Vestdanmark'!I492+'Resultater - Østdanmark'!I492</f>
        <v>0</v>
      </c>
      <c r="J492" s="293">
        <f>'Resultater - Vestdanmark'!J492+'Resultater - Østdanmark'!J492</f>
        <v>0</v>
      </c>
    </row>
    <row r="493" spans="1:13" x14ac:dyDescent="0.25">
      <c r="A493" s="154" t="str">
        <f>'Resultater - Vestdanmark'!A493</f>
        <v>Rapskageproduktion</v>
      </c>
      <c r="B493" s="154" t="str">
        <f>'Resultater - Vestdanmark'!B493</f>
        <v/>
      </c>
      <c r="C493" s="154" t="str">
        <f>'Resultater - Vestdanmark'!C493</f>
        <v/>
      </c>
      <c r="D493" s="154" t="str">
        <f>'Resultater - Vestdanmark'!D493</f>
        <v>Raps</v>
      </c>
      <c r="E493" s="154" t="str">
        <f>'Resultater - Vestdanmark'!E493</f>
        <v>Ton</v>
      </c>
      <c r="F493" s="154" t="str">
        <f>'Resultater - Vestdanmark'!F493</f>
        <v>Rapskage</v>
      </c>
      <c r="G493" s="154" t="str">
        <f>'Resultater - Vestdanmark'!G493</f>
        <v>Ton</v>
      </c>
      <c r="H493" s="291">
        <f>'Resultater - Vestdanmark'!H493+'Resultater - Østdanmark'!H493</f>
        <v>339162.61425562343</v>
      </c>
      <c r="I493" s="292">
        <f>'Resultater - Vestdanmark'!I493+'Resultater - Østdanmark'!I493</f>
        <v>356008.99093928334</v>
      </c>
      <c r="J493" s="293">
        <f>'Resultater - Vestdanmark'!J493+'Resultater - Østdanmark'!J493</f>
        <v>368976.16639386443</v>
      </c>
    </row>
    <row r="494" spans="1:13" x14ac:dyDescent="0.25">
      <c r="A494" s="154" t="str">
        <f>'Resultater - Vestdanmark'!A494</f>
        <v>Rapskageproduktion</v>
      </c>
      <c r="B494" s="154" t="str">
        <f>'Resultater - Vestdanmark'!B494</f>
        <v/>
      </c>
      <c r="C494" s="154" t="str">
        <f>'Resultater - Vestdanmark'!C494</f>
        <v/>
      </c>
      <c r="D494" s="154" t="str">
        <f>'Resultater - Vestdanmark'!D494</f>
        <v>Raps</v>
      </c>
      <c r="E494" s="154" t="str">
        <f>'Resultater - Vestdanmark'!E494</f>
        <v>Ton</v>
      </c>
      <c r="F494" s="154" t="str">
        <f>'Resultater - Vestdanmark'!F494</f>
        <v>Rapsolie</v>
      </c>
      <c r="G494" s="154" t="str">
        <f>'Resultater - Vestdanmark'!G494</f>
        <v>Ton</v>
      </c>
      <c r="H494" s="291">
        <f>'Resultater - Vestdanmark'!H494+'Resultater - Østdanmark'!H494</f>
        <v>217064.073123599</v>
      </c>
      <c r="I494" s="292">
        <f>'Resultater - Vestdanmark'!I494+'Resultater - Østdanmark'!I494</f>
        <v>227845.75420114136</v>
      </c>
      <c r="J494" s="293">
        <f>'Resultater - Vestdanmark'!J494+'Resultater - Østdanmark'!J494</f>
        <v>236144.74649207323</v>
      </c>
    </row>
    <row r="495" spans="1:13" x14ac:dyDescent="0.25">
      <c r="A495" s="154" t="str">
        <f>'Resultater - Vestdanmark'!A495</f>
        <v>Pyrolyseproces</v>
      </c>
      <c r="B495" s="154" t="str">
        <f>'Resultater - Vestdanmark'!B495</f>
        <v/>
      </c>
      <c r="C495" s="154" t="str">
        <f>'Resultater - Vestdanmark'!C495</f>
        <v/>
      </c>
      <c r="D495" s="154" t="str">
        <f>'Resultater - Vestdanmark'!D495</f>
        <v>Halm</v>
      </c>
      <c r="E495" s="154" t="str">
        <f>'Resultater - Vestdanmark'!E495</f>
        <v>Ton</v>
      </c>
      <c r="F495" s="154" t="str">
        <f>'Resultater - Vestdanmark'!F495</f>
        <v>CO2 - atmosfære</v>
      </c>
      <c r="G495" s="154" t="str">
        <f>'Resultater - Vestdanmark'!G495</f>
        <v>t CO2-ækvivalenter</v>
      </c>
      <c r="H495" s="291">
        <f>'Resultater - Vestdanmark'!H495+'Resultater - Østdanmark'!H495</f>
        <v>0</v>
      </c>
      <c r="I495" s="292">
        <f>'Resultater - Vestdanmark'!I495+'Resultater - Østdanmark'!I495</f>
        <v>0</v>
      </c>
      <c r="J495" s="293">
        <f>'Resultater - Vestdanmark'!J495+'Resultater - Østdanmark'!J495</f>
        <v>0</v>
      </c>
    </row>
    <row r="496" spans="1:13" x14ac:dyDescent="0.25">
      <c r="A496" s="154" t="str">
        <f>'Resultater - Vestdanmark'!A496</f>
        <v>Pyrolyseproces</v>
      </c>
      <c r="B496" s="154" t="str">
        <f>'Resultater - Vestdanmark'!B496</f>
        <v/>
      </c>
      <c r="C496" s="154" t="str">
        <f>'Resultater - Vestdanmark'!C496</f>
        <v/>
      </c>
      <c r="D496" s="154" t="str">
        <f>'Resultater - Vestdanmark'!D496</f>
        <v>Halm</v>
      </c>
      <c r="E496" s="154" t="str">
        <f>'Resultater - Vestdanmark'!E496</f>
        <v>Ton</v>
      </c>
      <c r="F496" s="154" t="str">
        <f>'Resultater - Vestdanmark'!F496</f>
        <v>Pyrolyseolie</v>
      </c>
      <c r="G496" s="154" t="str">
        <f>'Resultater - Vestdanmark'!G496</f>
        <v>Ton</v>
      </c>
      <c r="H496" s="291">
        <f>'Resultater - Vestdanmark'!H496+'Resultater - Østdanmark'!H496</f>
        <v>0</v>
      </c>
      <c r="I496" s="292">
        <f>'Resultater - Vestdanmark'!I496+'Resultater - Østdanmark'!I496</f>
        <v>0</v>
      </c>
      <c r="J496" s="293">
        <f>'Resultater - Vestdanmark'!J496+'Resultater - Østdanmark'!J496</f>
        <v>0</v>
      </c>
    </row>
    <row r="497" spans="1:10" ht="15.75" thickBot="1" x14ac:dyDescent="0.3">
      <c r="A497" s="154" t="str">
        <f>'Resultater - Vestdanmark'!A497</f>
        <v>Pyrolyseproces</v>
      </c>
      <c r="B497" s="154" t="str">
        <f>'Resultater - Vestdanmark'!B497</f>
        <v/>
      </c>
      <c r="C497" s="154" t="str">
        <f>'Resultater - Vestdanmark'!C497</f>
        <v/>
      </c>
      <c r="D497" s="154" t="str">
        <f>'Resultater - Vestdanmark'!D497</f>
        <v>Halm</v>
      </c>
      <c r="E497" s="154" t="str">
        <f>'Resultater - Vestdanmark'!E497</f>
        <v>Ton</v>
      </c>
      <c r="F497" s="154" t="str">
        <f>'Resultater - Vestdanmark'!F497</f>
        <v>Pyrolysegas</v>
      </c>
      <c r="G497" s="154" t="str">
        <f>'Resultater - Vestdanmark'!G497</f>
        <v>Ton</v>
      </c>
      <c r="H497" s="294">
        <f>'Resultater - Vestdanmark'!H497+'Resultater - Østdanmark'!H497</f>
        <v>0</v>
      </c>
      <c r="I497" s="295">
        <f>'Resultater - Vestdanmark'!I497+'Resultater - Østdanmark'!I497</f>
        <v>0</v>
      </c>
      <c r="J497" s="296">
        <f>'Resultater - Vestdanmark'!J497+'Resultater - Østdanmark'!J497</f>
        <v>0</v>
      </c>
    </row>
    <row r="498" spans="1:10" x14ac:dyDescent="0.25">
      <c r="A498" s="98"/>
      <c r="B498" s="98"/>
      <c r="C498" s="98"/>
      <c r="D498" s="98"/>
      <c r="E498" s="98"/>
      <c r="F498" s="98"/>
      <c r="G498" s="98"/>
      <c r="H498" s="97"/>
      <c r="I498" s="97"/>
      <c r="J498" s="97"/>
    </row>
    <row r="499" spans="1:10" x14ac:dyDescent="0.25">
      <c r="A499" s="98"/>
      <c r="B499" s="98"/>
      <c r="C499" s="98"/>
      <c r="D499" s="98"/>
      <c r="E499" s="98"/>
      <c r="F499" s="98"/>
      <c r="G499" s="98"/>
      <c r="H499" s="97"/>
      <c r="I499" s="97"/>
      <c r="J499" s="97"/>
    </row>
    <row r="500" spans="1:10" x14ac:dyDescent="0.25">
      <c r="A500" s="98"/>
      <c r="B500" s="98"/>
      <c r="C500" s="98"/>
      <c r="D500" s="98"/>
      <c r="E500" s="98"/>
      <c r="F500" s="98"/>
      <c r="G500" s="98"/>
      <c r="H500" s="97"/>
      <c r="I500" s="97"/>
      <c r="J500" s="97"/>
    </row>
    <row r="501" spans="1:10" x14ac:dyDescent="0.25">
      <c r="A501" s="98"/>
      <c r="B501" s="98"/>
      <c r="C501" s="98"/>
      <c r="D501" s="98"/>
      <c r="E501" s="98"/>
      <c r="F501" s="98"/>
      <c r="G501" s="98"/>
      <c r="H501" s="97"/>
      <c r="I501" s="97"/>
      <c r="J501" s="97"/>
    </row>
    <row r="502" spans="1:10" x14ac:dyDescent="0.25">
      <c r="A502" s="98"/>
      <c r="B502" s="98"/>
      <c r="C502" s="98"/>
      <c r="D502" s="98"/>
      <c r="E502" s="98"/>
      <c r="F502" s="98"/>
      <c r="G502" s="98"/>
      <c r="H502" s="97"/>
      <c r="I502" s="97"/>
      <c r="J502" s="97"/>
    </row>
    <row r="503" spans="1:10" x14ac:dyDescent="0.25">
      <c r="A503" s="98"/>
      <c r="B503" s="98"/>
      <c r="C503" s="98"/>
      <c r="D503" s="98"/>
      <c r="E503" s="98"/>
      <c r="F503" s="98"/>
      <c r="G503" s="98"/>
      <c r="H503" s="97"/>
      <c r="I503" s="97"/>
      <c r="J503" s="97"/>
    </row>
    <row r="504" spans="1:10" x14ac:dyDescent="0.25">
      <c r="A504" s="98"/>
      <c r="B504" s="98"/>
      <c r="C504" s="98"/>
      <c r="D504" s="98"/>
      <c r="E504" s="98"/>
      <c r="F504" s="98"/>
      <c r="G504" s="98"/>
      <c r="H504" s="97"/>
      <c r="I504" s="97"/>
      <c r="J504" s="97"/>
    </row>
    <row r="505" spans="1:10" x14ac:dyDescent="0.25">
      <c r="A505" s="98"/>
      <c r="B505" s="98"/>
      <c r="C505" s="98"/>
      <c r="D505" s="98"/>
      <c r="E505" s="98"/>
      <c r="F505" s="98"/>
      <c r="G505" s="98"/>
      <c r="H505" s="97"/>
      <c r="I505" s="97"/>
      <c r="J505" s="97"/>
    </row>
    <row r="506" spans="1:10" x14ac:dyDescent="0.25">
      <c r="A506" s="98"/>
      <c r="B506" s="98"/>
      <c r="C506" s="98"/>
      <c r="D506" s="98"/>
      <c r="E506" s="98"/>
      <c r="F506" s="98"/>
      <c r="G506" s="98"/>
      <c r="H506" s="97"/>
      <c r="I506" s="97"/>
      <c r="J506" s="97"/>
    </row>
    <row r="507" spans="1:10" x14ac:dyDescent="0.25">
      <c r="A507" s="98"/>
      <c r="B507" s="98"/>
      <c r="C507" s="98"/>
      <c r="D507" s="98"/>
      <c r="E507" s="98"/>
      <c r="F507" s="98"/>
      <c r="G507" s="98"/>
      <c r="H507" s="97"/>
      <c r="I507" s="97"/>
      <c r="J507" s="97"/>
    </row>
    <row r="508" spans="1:10" x14ac:dyDescent="0.25">
      <c r="A508" s="98"/>
      <c r="B508" s="98"/>
      <c r="C508" s="98"/>
      <c r="D508" s="98"/>
      <c r="E508" s="98"/>
      <c r="F508" s="98"/>
      <c r="G508" s="98"/>
      <c r="H508" s="97"/>
      <c r="I508" s="97"/>
      <c r="J508" s="97"/>
    </row>
    <row r="509" spans="1:10" x14ac:dyDescent="0.25">
      <c r="A509" s="98"/>
      <c r="B509" s="98"/>
      <c r="C509" s="98"/>
      <c r="D509" s="98"/>
      <c r="E509" s="98"/>
      <c r="F509" s="98"/>
      <c r="G509" s="98"/>
      <c r="H509" s="97"/>
      <c r="I509" s="97"/>
      <c r="J509" s="97"/>
    </row>
    <row r="510" spans="1:10" x14ac:dyDescent="0.25">
      <c r="H510" s="97"/>
      <c r="I510" s="97"/>
      <c r="J510" s="97"/>
    </row>
    <row r="511" spans="1:10" x14ac:dyDescent="0.25">
      <c r="H511" s="97"/>
      <c r="I511" s="97"/>
      <c r="J511" s="97"/>
    </row>
  </sheetData>
  <autoFilter ref="A2:O497" xr:uid="{0BA69478-A184-4362-901E-6AC334CD2ACE}"/>
  <pageMargins left="0.7" right="0.7" top="0.75" bottom="0.75" header="0.3" footer="0.3"/>
  <pageSetup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EB0F6-BC35-420D-A381-2F9B028DCC93}">
  <sheetPr codeName="Sheet23">
    <tabColor rgb="FFFF0000"/>
  </sheetPr>
  <dimension ref="A1:Z290"/>
  <sheetViews>
    <sheetView zoomScale="106" workbookViewId="0">
      <pane xSplit="5" ySplit="2" topLeftCell="F3" activePane="bottomRight" state="frozen"/>
      <selection pane="topRight" activeCell="F1" sqref="F1"/>
      <selection pane="bottomLeft" activeCell="A3" sqref="A3"/>
      <selection pane="bottomRight" activeCell="C95" sqref="C95"/>
    </sheetView>
  </sheetViews>
  <sheetFormatPr defaultColWidth="18" defaultRowHeight="15" x14ac:dyDescent="0.25"/>
  <cols>
    <col min="1" max="2" width="18.140625" style="187" bestFit="1" customWidth="1"/>
    <col min="3" max="3" width="8.140625" style="187" bestFit="1" customWidth="1"/>
    <col min="4" max="4" width="7.85546875" style="187" customWidth="1"/>
    <col min="5" max="5" width="11.140625" style="187" bestFit="1" customWidth="1"/>
    <col min="6" max="6" width="14.28515625" style="187" bestFit="1" customWidth="1"/>
    <col min="7" max="7" width="10.7109375" style="187" bestFit="1" customWidth="1"/>
    <col min="8" max="8" width="11.7109375" style="187" bestFit="1" customWidth="1"/>
    <col min="9" max="9" width="9" style="187" bestFit="1" customWidth="1"/>
    <col min="10" max="11" width="9.5703125" style="187" bestFit="1" customWidth="1"/>
    <col min="12" max="12" width="10.5703125" style="187" bestFit="1" customWidth="1"/>
    <col min="13" max="13" width="20" style="103" bestFit="1" customWidth="1"/>
    <col min="14" max="14" width="26.42578125" style="103" bestFit="1" customWidth="1"/>
    <col min="15" max="15" width="21.42578125" style="103" bestFit="1" customWidth="1"/>
    <col min="16" max="16" width="20.5703125" style="103" bestFit="1" customWidth="1"/>
    <col min="17" max="17" width="20.28515625" style="103" bestFit="1" customWidth="1"/>
    <col min="18" max="18" width="19.85546875" style="103" bestFit="1" customWidth="1"/>
    <col min="19" max="19" width="18.5703125" style="103" bestFit="1" customWidth="1"/>
    <col min="20" max="20" width="23.7109375" style="103" bestFit="1" customWidth="1"/>
    <col min="21" max="21" width="24" style="103" bestFit="1" customWidth="1"/>
    <col min="22" max="22" width="23.42578125" style="103" bestFit="1" customWidth="1"/>
    <col min="23" max="23" width="22.28515625" style="103" bestFit="1" customWidth="1"/>
    <col min="24" max="24" width="27.42578125" style="103" bestFit="1" customWidth="1"/>
    <col min="25" max="16384" width="18" style="103"/>
  </cols>
  <sheetData>
    <row r="1" spans="1:26" ht="15.75" thickTop="1" x14ac:dyDescent="0.25">
      <c r="A1" s="438" t="s">
        <v>248</v>
      </c>
      <c r="B1" s="438"/>
      <c r="C1" s="438"/>
      <c r="F1" s="439" t="s">
        <v>250</v>
      </c>
      <c r="G1" s="439"/>
      <c r="H1" s="439"/>
      <c r="I1" s="439"/>
      <c r="J1" s="439"/>
      <c r="K1" s="439"/>
      <c r="L1" s="439"/>
      <c r="M1" s="440"/>
      <c r="N1" s="441" t="s">
        <v>251</v>
      </c>
      <c r="O1" s="442"/>
      <c r="P1" s="443"/>
      <c r="Q1" s="435" t="s">
        <v>122</v>
      </c>
      <c r="R1" s="435"/>
      <c r="S1" s="435"/>
      <c r="T1" s="436"/>
      <c r="U1" s="437" t="s">
        <v>229</v>
      </c>
      <c r="V1" s="435"/>
      <c r="W1" s="435"/>
      <c r="X1" s="436"/>
    </row>
    <row r="2" spans="1:26" x14ac:dyDescent="0.25">
      <c r="A2" s="194" t="s">
        <v>128</v>
      </c>
      <c r="B2" s="194" t="s">
        <v>314</v>
      </c>
      <c r="C2" s="194" t="s">
        <v>129</v>
      </c>
      <c r="D2" s="194" t="s">
        <v>58</v>
      </c>
      <c r="E2" s="194" t="s">
        <v>64</v>
      </c>
      <c r="F2" s="194" t="s">
        <v>132</v>
      </c>
      <c r="G2" s="194" t="s">
        <v>112</v>
      </c>
      <c r="H2" s="194" t="s">
        <v>124</v>
      </c>
      <c r="I2" s="194" t="s">
        <v>127</v>
      </c>
      <c r="J2" s="194" t="s">
        <v>109</v>
      </c>
      <c r="K2" s="194" t="s">
        <v>114</v>
      </c>
      <c r="L2" s="194" t="s">
        <v>120</v>
      </c>
      <c r="M2" s="185" t="s">
        <v>223</v>
      </c>
      <c r="N2" s="197" t="s">
        <v>249</v>
      </c>
      <c r="O2" s="194" t="s">
        <v>130</v>
      </c>
      <c r="P2" s="198" t="s">
        <v>190</v>
      </c>
      <c r="Q2" s="194" t="s">
        <v>131</v>
      </c>
      <c r="R2" s="194" t="s">
        <v>232</v>
      </c>
      <c r="S2" s="194" t="s">
        <v>233</v>
      </c>
      <c r="T2" s="196" t="s">
        <v>287</v>
      </c>
      <c r="U2" s="195" t="s">
        <v>235</v>
      </c>
      <c r="V2" s="194" t="s">
        <v>234</v>
      </c>
      <c r="W2" s="194" t="s">
        <v>236</v>
      </c>
      <c r="X2" s="196" t="s">
        <v>286</v>
      </c>
      <c r="Y2" s="95" t="s">
        <v>281</v>
      </c>
      <c r="Z2" s="194" t="s">
        <v>303</v>
      </c>
    </row>
    <row r="3" spans="1:26" x14ac:dyDescent="0.25">
      <c r="A3" s="189" t="s">
        <v>15</v>
      </c>
      <c r="B3" s="189"/>
      <c r="C3" s="189">
        <f>IF(COUNTIFS('Resultater - Danmark'!$D$3:$D$504,'Resultat-Produktion &amp; forbrug'!A3,'Resultater - Danmark'!$A$3:$A$504,"Til energi")+COUNTIFS('Resultater - Danmark'!$D$3:$D$504,'Resultat-Produktion &amp; forbrug'!A3,'Resultater - Danmark'!$A$3:$A$504,"Biogasanlæg")&gt;0,1,0)</f>
        <v>0</v>
      </c>
      <c r="D3" s="189">
        <f t="shared" ref="D3:D15" si="0">År1</f>
        <v>2019</v>
      </c>
      <c r="E3" s="187" t="s">
        <v>23</v>
      </c>
      <c r="F3" s="190">
        <f>IF(E3="Vestdanmark",SUMIFS(IF(D3=År1,'Resultater - Vestdanmark'!H$3:H$504,IF(D3=År2,'Resultater - Vestdanmark'!I$3:I$504,'Resultater - Vestdanmark'!J$3:J$504)),'Resultater - Vestdanmark'!$F$3:$F$504,$A3,IF(D3=År1,'Resultater - Vestdanmark'!H$3:H$504,IF(D3=År2,'Resultater - Vestdanmark'!I$3:I$504,'Resultater - Vestdanmark'!J$3:J$504)),"&gt;0"),SUMIFS(IF(D3=År1,'Resultater - Østdanmark'!H$3:H$504,IF(D3=År2,'Resultater - Østdanmark'!I$3:I$504,'Resultater - Østdanmark'!J$3:J$504)),'Resultater - Østdanmark'!$F$3:$F$504,$A3,IF(D3=År1,'Resultater - Østdanmark'!H$3:H$504,IF(D3=År2,'Resultater - Østdanmark'!I$3:I$504,'Resultater - Østdanmark'!J$3:J$504)),"&gt;0"))</f>
        <v>216549.9929685164</v>
      </c>
      <c r="G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forbrug'!G$2,'Forbrug af biomasse'!$B$2:$B$425,$E3)</f>
        <v>0</v>
      </c>
      <c r="H3" s="187">
        <f>IF(E3="Vestdanmark",-IF(A3="Halm",SUMIFS(IF(D3=År1,'Resultater - Vestdanmark'!H$3:H$504,IF(D3=År2,'Resultater - Vestdanmark'!I$3:I$504,'Resultater - Vestdanmark'!J$3:J$504)),'Resultater - Vestdanmark'!$F$3:$F$504,$A3,'Resultater - Vestdanmark'!H$3:H$504,"&lt;0"),0),-IF(A3="Halm",SUMIFS(IF(D3=År1,'Resultater - Østdanmark'!H$3:H$504,IF(D3=År2,'Resultater - Østdanmark'!I$3:I$504,'Resultater - Østdanmark'!J$3:J$504)),'Resultater - Østdanmark'!$F$3:$F$504,$A3,'Resultater - Østdanmark'!H$3:H$504,"&lt;0"),0))</f>
        <v>0</v>
      </c>
      <c r="I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forbrug'!I$2,'Forbrug af biomasse'!$B$2:$B$425,$E3)</f>
        <v>31522.55833067331</v>
      </c>
      <c r="J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forbrug'!J$2,'Forbrug af biomasse'!$B$2:$B$425,$E3)</f>
        <v>0</v>
      </c>
      <c r="K3" s="190">
        <f>SUMIFS('Forbrug af biomasse'!$E$2:$E$425,'Forbrug af biomasse'!$C$2:$C$425,'Resultat-Produktion &amp; forbrug'!$A3,'Forbrug af biomasse'!$D$2:$D$425,'Resultat-Produktion &amp; forbrug'!$D3,'Forbrug af biomasse'!$A$2:$A$425,'Resultat-Produktion &amp; forbrug'!K$2,'Forbrug af biomasse'!$B$2:$B$425,$E3)</f>
        <v>0</v>
      </c>
      <c r="L3" s="190">
        <f>IF(A3&lt;&gt;"Biogas",SUMIFS('Forbrug af biomasse'!$E$2:$E$425,'Forbrug af biomasse'!$C$2:$C$425,'Resultat-Produktion &amp; forbrug'!$A3,'Forbrug af biomasse'!$D$2:$D$425,'Resultat-Produktion &amp; forbrug'!$D3,'Forbrug af biomasse'!$A$2:$A$425,'Resultat-Produktion &amp; forbrug'!L$2,'Forbrug af biomasse'!$B$2:$B$425,$E3),F3)</f>
        <v>0</v>
      </c>
      <c r="M3" s="154">
        <f>SUMIFS('Forbrug af biomasse'!E:E,'Forbrug af biomasse'!C:C,'Resultat-Produktion &amp; forbrug'!$A3,'Forbrug af biomasse'!D:D,'Resultat-Produktion &amp; forbrug'!$D3,'Forbrug af biomasse'!G:G,1,'Forbrug af biomasse'!B:B,$E3)</f>
        <v>0</v>
      </c>
      <c r="N3" s="199">
        <f>F3-SUM(G3:M3)</f>
        <v>185027.43463784308</v>
      </c>
      <c r="O3" s="190">
        <f t="shared" ref="O3:O66" si="1">IF(C3=1,IF(N3+IF(SUMIFS($N$3:$N$290,$A$3:$A$290,A3,$D$3:$D$290,D3,$E$3:$E$290,"&lt;&gt;"&amp;E3)&lt;0,SUMIFS($N$3:$N$290,$A$3:$A$290,A3,$D$3:$D$290,D3,$E$3:$E$290,"&lt;&gt;"&amp;E3),0)&gt;0,N3+IF(SUMIFS($N$3:$N$290,$A$3:$A$290,A3,$D$3:$D$290,D3,$E$3:$E$290,"&lt;&gt;"&amp;E3)&lt;0,SUMIFS($N$3:$N$290,$A$3:$A$290,A3,$D$3:$D$290,D3,$E$3:$E$290,"&lt;&gt;"&amp;E3),0),0),0)</f>
        <v>0</v>
      </c>
      <c r="P3" s="200">
        <f>SUM(J3,L3)</f>
        <v>0</v>
      </c>
      <c r="Q3" s="187">
        <f>IFERROR(VLOOKUP(A3,[1]Energiindhold!$A$2:$C$11,3,FALSE),IFERROR(VLOOKUP(A3,[1]Biogasudbytte!$A$2:$B$18,2,FALSE)*[1]Energiindhold!$C$10,0))*O3</f>
        <v>0</v>
      </c>
      <c r="R3" s="187">
        <f>IF(A3&lt;&gt;"Biogas",IFERROR(VLOOKUP(A3,[1]Biogasudbytte!$A$2:$B$18,2,FALSE)*[1]Energiindhold!$C$10,0)*J3*IFERROR(VLOOKUP(A3,Biogasanlæg!$F$3:$G$8,2,FALSE),1)+IFERROR(VLOOKUP(A3,[1]Energiindhold!$A$2:$C$11,3,FALSE),0)*L3+IF(D3&lt;&gt;År1,Q3,0),0)</f>
        <v>0</v>
      </c>
      <c r="S3" s="187">
        <f>IFERROR(VLOOKUP(A3,[1]Biogasudbytte!$A$2:$B$18,2,FALSE)*[1]Energiindhold!$C$10,0)*J3*IFERROR(VLOOKUP(A3,Biogasanlæg!$F$3:$G$8,2,FALSE),1)</f>
        <v>0</v>
      </c>
      <c r="T3" s="188">
        <f>R3-S3</f>
        <v>0</v>
      </c>
      <c r="U3" s="186">
        <f>O3*IFERROR(VLOOKUP(A3,[1]Tørstofindhold!A$2:B$24,2,FALSE),0)</f>
        <v>0</v>
      </c>
      <c r="V3" s="187">
        <f>IF(D3=År1,P3,SUM(O3,P3))*IFERROR(VLOOKUP(A3,[1]Tørstofindhold!A$2:B$24,2,FALSE),0)</f>
        <v>0</v>
      </c>
      <c r="W3" s="187">
        <f>J3*IFERROR(VLOOKUP(A3,[1]Tørstofindhold!A$2:B$24,2,FALSE),0)</f>
        <v>0</v>
      </c>
      <c r="X3" s="188">
        <f>V3-W3</f>
        <v>0</v>
      </c>
      <c r="Y3" s="168">
        <f t="shared" ref="Y3:Y66" si="2">IF(SUMIFS($N$3:$N$290,$A$3:$A$290,A3,$D$3:$D$290,D3)&lt;0,1,0)</f>
        <v>0</v>
      </c>
      <c r="Z3" s="103">
        <f t="shared" ref="Z3:Z66" si="3">IF(SUMIFS($N$3:$N$290,$A$3:$A$290,A3,$D$3:$D$290,D3)&gt;0,1,0)</f>
        <v>1</v>
      </c>
    </row>
    <row r="4" spans="1:26" x14ac:dyDescent="0.25">
      <c r="A4" s="189" t="s">
        <v>49</v>
      </c>
      <c r="B4" s="189"/>
      <c r="C4" s="189">
        <f>IF(COUNTIFS('Resultater - Danmark'!$D$3:$D$504,'Resultat-Produktion &amp; forbrug'!A4,'Resultater - Danmark'!$A$3:$A$504,"Til energi")+COUNTIFS('Resultater - Danmark'!$D$3:$D$504,'Resultat-Produktion &amp; forbrug'!A4,'Resultater - Danmark'!$A$3:$A$504,"Biogasanlæg")&gt;0,1,0)</f>
        <v>0</v>
      </c>
      <c r="D4" s="189">
        <f t="shared" si="0"/>
        <v>2019</v>
      </c>
      <c r="E4" s="187" t="s">
        <v>23</v>
      </c>
      <c r="F4" s="190">
        <f>IF(E4="Vestdanmark",SUMIFS(IF(D4=År1,'Resultater - Vestdanmark'!H$3:H$504,IF(D4=År2,'Resultater - Vestdanmark'!I$3:I$504,'Resultater - Vestdanmark'!J$3:J$504)),'Resultater - Vestdanmark'!$F$3:$F$504,$A4,IF(D4=År1,'Resultater - Vestdanmark'!H$3:H$504,IF(D4=År2,'Resultater - Vestdanmark'!I$3:I$504,'Resultater - Vestdanmark'!J$3:J$504)),"&gt;0"),SUMIFS(IF(D4=År1,'Resultater - Østdanmark'!H$3:H$504,IF(D4=År2,'Resultater - Østdanmark'!I$3:I$504,'Resultater - Østdanmark'!J$3:J$504)),'Resultater - Østdanmark'!$F$3:$F$504,$A4,IF(D4=År1,'Resultater - Østdanmark'!H$3:H$504,IF(D4=År2,'Resultater - Østdanmark'!I$3:I$504,'Resultater - Østdanmark'!J$3:J$504)),"&gt;0"))</f>
        <v>258397.36122446082</v>
      </c>
      <c r="G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forbrug'!G$2,'Forbrug af biomasse'!$B$2:$B$425,$E4)</f>
        <v>64498.47547519199</v>
      </c>
      <c r="H4" s="187">
        <f>IF(E4="Vestdanmark",-IF(A4="Halm",SUMIFS(IF(D4=År1,'Resultater - Vestdanmark'!H$3:H$504,IF(D4=År2,'Resultater - Vestdanmark'!I$3:I$504,'Resultater - Vestdanmark'!J$3:J$504)),'Resultater - Vestdanmark'!$F$3:$F$504,$A4,'Resultater - Vestdanmark'!H$3:H$504,"&lt;0"),0),-IF(A4="Halm",SUMIFS(IF(D4=År1,'Resultater - Østdanmark'!H$3:H$504,IF(D4=År2,'Resultater - Østdanmark'!I$3:I$504,'Resultater - Østdanmark'!J$3:J$504)),'Resultater - Østdanmark'!$F$3:$F$504,$A4,'Resultater - Østdanmark'!H$3:H$504,"&lt;0"),0))</f>
        <v>0</v>
      </c>
      <c r="I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forbrug'!I$2,'Forbrug af biomasse'!$B$2:$B$425,$E4)</f>
        <v>0</v>
      </c>
      <c r="J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forbrug'!J$2,'Forbrug af biomasse'!$B$2:$B$425,$E4)</f>
        <v>0</v>
      </c>
      <c r="K4" s="190">
        <f>SUMIFS('Forbrug af biomasse'!$E$2:$E$425,'Forbrug af biomasse'!$C$2:$C$425,'Resultat-Produktion &amp; forbrug'!$A4,'Forbrug af biomasse'!$D$2:$D$425,'Resultat-Produktion &amp; forbrug'!$D4,'Forbrug af biomasse'!$A$2:$A$425,'Resultat-Produktion &amp; forbrug'!K$2,'Forbrug af biomasse'!$B$2:$B$425,$E4)</f>
        <v>0</v>
      </c>
      <c r="L4" s="190">
        <f>IF(A4&lt;&gt;"Biogas",SUMIFS('Forbrug af biomasse'!$E$2:$E$425,'Forbrug af biomasse'!$C$2:$C$425,'Resultat-Produktion &amp; forbrug'!$A4,'Forbrug af biomasse'!$D$2:$D$425,'Resultat-Produktion &amp; forbrug'!$D4,'Forbrug af biomasse'!$A$2:$A$425,'Resultat-Produktion &amp; forbrug'!L$2,'Forbrug af biomasse'!$B$2:$B$425,$E4),F4)</f>
        <v>0</v>
      </c>
      <c r="M4" s="154">
        <f>SUMIFS('Forbrug af biomasse'!E:E,'Forbrug af biomasse'!C:C,'Resultat-Produktion &amp; forbrug'!$A4,'Forbrug af biomasse'!D:D,'Resultat-Produktion &amp; forbrug'!$D4,'Forbrug af biomasse'!G:G,1,'Forbrug af biomasse'!B:B,$E4)</f>
        <v>0</v>
      </c>
      <c r="N4" s="199">
        <f t="shared" ref="N4:N15" si="4">F4-SUM(G4:M4)</f>
        <v>193898.88574926884</v>
      </c>
      <c r="O4" s="190">
        <f t="shared" si="1"/>
        <v>0</v>
      </c>
      <c r="P4" s="200">
        <f t="shared" ref="P4:P15" si="5">SUM(J4,L4)</f>
        <v>0</v>
      </c>
      <c r="Q4" s="187">
        <f>IFERROR(VLOOKUP(A4,[1]Energiindhold!$A$2:$C$11,3,FALSE),IFERROR(VLOOKUP(A4,[1]Biogasudbytte!$A$2:$B$18,2,FALSE)*[1]Energiindhold!$C$10,0))*O4</f>
        <v>0</v>
      </c>
      <c r="R4" s="187">
        <f>IF(A4&lt;&gt;"Biogas",IFERROR(VLOOKUP(A4,[1]Biogasudbytte!$A$2:$B$18,2,FALSE)*[1]Energiindhold!$C$10,0)*J4*IFERROR(VLOOKUP(A4,Biogasanlæg!$F$3:$G$8,2,FALSE),1)+IFERROR(VLOOKUP(A4,[1]Energiindhold!$A$2:$C$11,3,FALSE),0)*L4+IF(D4&lt;&gt;År1,Q4,0),0)</f>
        <v>0</v>
      </c>
      <c r="S4" s="187">
        <f>IFERROR(VLOOKUP(A4,[1]Biogasudbytte!$A$2:$B$18,2,FALSE)*[1]Energiindhold!$C$10,0)*J4*IFERROR(VLOOKUP(A4,Biogasanlæg!$F$3:$G$8,2,FALSE),1)</f>
        <v>0</v>
      </c>
      <c r="T4" s="188">
        <f t="shared" ref="T4:T15" si="6">R4-S4</f>
        <v>0</v>
      </c>
      <c r="U4" s="186">
        <f>O4*IFERROR(VLOOKUP(A4,[1]Tørstofindhold!A$2:B$24,2,FALSE),0)</f>
        <v>0</v>
      </c>
      <c r="V4" s="187">
        <f>IF(D4=År1,P4,SUM(O4,P4))*IFERROR(VLOOKUP(A4,[1]Tørstofindhold!A$2:B$24,2,FALSE),0)</f>
        <v>0</v>
      </c>
      <c r="W4" s="187">
        <f>J4*IFERROR(VLOOKUP(A4,[1]Tørstofindhold!A$2:B$24,2,FALSE),0)</f>
        <v>0</v>
      </c>
      <c r="X4" s="188">
        <f t="shared" ref="X4:X15" si="7">V4-W4</f>
        <v>0</v>
      </c>
      <c r="Y4" s="168">
        <f t="shared" si="2"/>
        <v>0</v>
      </c>
      <c r="Z4" s="103">
        <f t="shared" si="3"/>
        <v>1</v>
      </c>
    </row>
    <row r="5" spans="1:26" x14ac:dyDescent="0.25">
      <c r="A5" s="189" t="s">
        <v>102</v>
      </c>
      <c r="B5" s="189" t="s">
        <v>230</v>
      </c>
      <c r="C5" s="189">
        <f>IF(COUNTIFS('Resultater - Danmark'!$D$3:$D$504,'Resultat-Produktion &amp; forbrug'!A5,'Resultater - Danmark'!$A$3:$A$504,"Til energi")+COUNTIFS('Resultater - Danmark'!$D$3:$D$504,'Resultat-Produktion &amp; forbrug'!A5,'Resultater - Danmark'!$A$3:$A$504,"Biogasanlæg")&gt;0,1,0)</f>
        <v>1</v>
      </c>
      <c r="D5" s="189">
        <f t="shared" si="0"/>
        <v>2019</v>
      </c>
      <c r="E5" s="187" t="s">
        <v>23</v>
      </c>
      <c r="F5" s="190">
        <f ca="1">IF(E5="Vestdanmark",SUMIFS(IF(D5=År1,'Resultater - Vestdanmark'!H$3:H$504,IF(D5=År2,'Resultater - Vestdanmark'!I$3:I$504,'Resultater - Vestdanmark'!J$3:J$504)),'Resultater - Vestdanmark'!$F$3:$F$504,$A5,IF(D5=År1,'Resultater - Vestdanmark'!H$3:H$504,IF(D5=År2,'Resultater - Vestdanmark'!I$3:I$504,'Resultater - Vestdanmark'!J$3:J$504)),"&gt;0"),SUMIFS(IF(D5=År1,'Resultater - Østdanmark'!H$3:H$504,IF(D5=År2,'Resultater - Østdanmark'!I$3:I$504,'Resultater - Østdanmark'!J$3:J$504)),'Resultater - Østdanmark'!$F$3:$F$504,$A5,IF(D5=År1,'Resultater - Østdanmark'!H$3:H$504,IF(D5=År2,'Resultater - Østdanmark'!I$3:I$504,'Resultater - Østdanmark'!J$3:J$504)),"&gt;0"))</f>
        <v>193591.30306616417</v>
      </c>
      <c r="G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forbrug'!G$2,'Forbrug af biomasse'!$B$2:$B$425,$E5)</f>
        <v>0</v>
      </c>
      <c r="H5" s="187">
        <f>IF(E5="Vestdanmark",-IF(A5="Halm",SUMIFS(IF(D5=År1,'Resultater - Vestdanmark'!H$3:H$504,IF(D5=År2,'Resultater - Vestdanmark'!I$3:I$504,'Resultater - Vestdanmark'!J$3:J$504)),'Resultater - Vestdanmark'!$F$3:$F$504,$A5,'Resultater - Vestdanmark'!H$3:H$504,"&lt;0"),0),-IF(A5="Halm",SUMIFS(IF(D5=År1,'Resultater - Østdanmark'!H$3:H$504,IF(D5=År2,'Resultater - Østdanmark'!I$3:I$504,'Resultater - Østdanmark'!J$3:J$504)),'Resultater - Østdanmark'!$F$3:$F$504,$A5,'Resultater - Østdanmark'!H$3:H$504,"&lt;0"),0))</f>
        <v>0</v>
      </c>
      <c r="I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forbrug'!I$2,'Forbrug af biomasse'!$B$2:$B$425,$E5)</f>
        <v>0</v>
      </c>
      <c r="J5" s="190">
        <f ca="1">SUMIFS('Forbrug af biomasse'!$E$2:$E$425,'Forbrug af biomasse'!$C$2:$C$425,'Resultat-Produktion &amp; forbrug'!$A5,'Forbrug af biomasse'!$D$2:$D$425,'Resultat-Produktion &amp; forbrug'!$D5,'Forbrug af biomasse'!$A$2:$A$425,'Resultat-Produktion &amp; forbrug'!J$2,'Forbrug af biomasse'!$B$2:$B$425,$E5)</f>
        <v>393543.64426779439</v>
      </c>
      <c r="K5" s="190">
        <f>SUMIFS('Forbrug af biomasse'!$E$2:$E$425,'Forbrug af biomasse'!$C$2:$C$425,'Resultat-Produktion &amp; forbrug'!$A5,'Forbrug af biomasse'!$D$2:$D$425,'Resultat-Produktion &amp; forbrug'!$D5,'Forbrug af biomasse'!$A$2:$A$425,'Resultat-Produktion &amp; forbrug'!K$2,'Forbrug af biomasse'!$B$2:$B$425,$E5)</f>
        <v>0</v>
      </c>
      <c r="L5" s="190">
        <f ca="1">IF(A5&lt;&gt;"Biogas",SUMIFS('Forbrug af biomasse'!$E$2:$E$425,'Forbrug af biomasse'!$C$2:$C$425,'Resultat-Produktion &amp; forbrug'!$A5,'Forbrug af biomasse'!$D$2:$D$425,'Resultat-Produktion &amp; forbrug'!$D5,'Forbrug af biomasse'!$A$2:$A$425,'Resultat-Produktion &amp; forbrug'!L$2,'Forbrug af biomasse'!$B$2:$B$425,$E5),F5)</f>
        <v>0</v>
      </c>
      <c r="M5" s="154">
        <f ca="1">SUMIFS('Forbrug af biomasse'!E:E,'Forbrug af biomasse'!C:C,'Resultat-Produktion &amp; forbrug'!$A5,'Forbrug af biomasse'!D:D,'Resultat-Produktion &amp; forbrug'!$D5,'Forbrug af biomasse'!G:G,1,'Forbrug af biomasse'!B:B,$E5)</f>
        <v>0</v>
      </c>
      <c r="N5" s="199">
        <f t="shared" ca="1" si="4"/>
        <v>-199952.34120163022</v>
      </c>
      <c r="O5" s="190">
        <f t="shared" ca="1" si="1"/>
        <v>0</v>
      </c>
      <c r="P5" s="200">
        <f t="shared" ca="1" si="5"/>
        <v>393543.64426779439</v>
      </c>
      <c r="Q5" s="187">
        <f ca="1">IFERROR(VLOOKUP(A5,[1]Energiindhold!$A$2:$C$11,3,FALSE),IFERROR(VLOOKUP(A5,[1]Biogasudbytte!$A$2:$B$18,2,FALSE)*[1]Energiindhold!$C$10,0))*O5</f>
        <v>0</v>
      </c>
      <c r="R5" s="187">
        <f ca="1">IF(A5&lt;&gt;"Biogas",IFERROR(VLOOKUP(A5,[1]Biogasudbytte!$A$2:$B$18,2,FALSE)*[1]Energiindhold!$C$10,0)*J5*IFERROR(VLOOKUP(A5,Biogasanlæg!$F$3:$G$8,2,FALSE),1)+IFERROR(VLOOKUP(A5,[1]Energiindhold!$A$2:$C$11,3,FALSE),0)*L5+IF(D5&lt;&gt;År1,Q5,0),0)</f>
        <v>1.3407677770923916</v>
      </c>
      <c r="S5" s="187">
        <f ca="1">IFERROR(VLOOKUP(A5,[1]Biogasudbytte!$A$2:$B$18,2,FALSE)*[1]Energiindhold!$C$10,0)*J5*IFERROR(VLOOKUP(A5,Biogasanlæg!$F$3:$G$8,2,FALSE),1)</f>
        <v>1.3407677770923916</v>
      </c>
      <c r="T5" s="188">
        <f t="shared" ca="1" si="6"/>
        <v>0</v>
      </c>
      <c r="U5" s="186">
        <f ca="1">O5*IFERROR(VLOOKUP(A5,[1]Tørstofindhold!A$2:B$24,2,FALSE),0)</f>
        <v>0</v>
      </c>
      <c r="V5" s="187">
        <f ca="1">IF(D5=År1,P5,SUM(O5,P5))*IFERROR(VLOOKUP(A5,[1]Tørstofindhold!A$2:B$24,2,FALSE),0)</f>
        <v>110192.22039498243</v>
      </c>
      <c r="W5" s="187">
        <f ca="1">J5*IFERROR(VLOOKUP(A5,[1]Tørstofindhold!A$2:B$24,2,FALSE),0)</f>
        <v>110192.22039498243</v>
      </c>
      <c r="X5" s="188">
        <f t="shared" ca="1" si="7"/>
        <v>0</v>
      </c>
      <c r="Y5" s="168">
        <f t="shared" ca="1" si="2"/>
        <v>1</v>
      </c>
      <c r="Z5" s="103">
        <f t="shared" ca="1" si="3"/>
        <v>0</v>
      </c>
    </row>
    <row r="6" spans="1:26" x14ac:dyDescent="0.25">
      <c r="A6" s="189" t="s">
        <v>109</v>
      </c>
      <c r="B6" s="189"/>
      <c r="C6" s="189">
        <f>IF(COUNTIFS('Resultater - Danmark'!$D$3:$D$504,'Resultat-Produktion &amp; forbrug'!A6,'Resultater - Danmark'!$A$3:$A$504,"Til energi")+COUNTIFS('Resultater - Danmark'!$D$3:$D$504,'Resultat-Produktion &amp; forbrug'!A6,'Resultater - Danmark'!$A$3:$A$504,"Biogasanlæg")&gt;0,1,0)</f>
        <v>1</v>
      </c>
      <c r="D6" s="189">
        <f t="shared" si="0"/>
        <v>2019</v>
      </c>
      <c r="E6" s="187" t="s">
        <v>23</v>
      </c>
      <c r="F6" s="190">
        <f ca="1">IF(E6="Vestdanmark",SUMIFS(IF(D6=År1,'Resultater - Vestdanmark'!H$3:H$504,IF(D6=År2,'Resultater - Vestdanmark'!I$3:I$504,'Resultater - Vestdanmark'!J$3:J$504)),'Resultater - Vestdanmark'!$F$3:$F$504,$A6,IF(D6=År1,'Resultater - Vestdanmark'!H$3:H$504,IF(D6=År2,'Resultater - Vestdanmark'!I$3:I$504,'Resultater - Vestdanmark'!J$3:J$504)),"&gt;0"),SUMIFS(IF(D6=År1,'Resultater - Østdanmark'!H$3:H$504,IF(D6=År2,'Resultater - Østdanmark'!I$3:I$504,'Resultater - Østdanmark'!J$3:J$504)),'Resultater - Østdanmark'!$F$3:$F$504,$A6,IF(D6=År1,'Resultater - Østdanmark'!H$3:H$504,IF(D6=År2,'Resultater - Østdanmark'!I$3:I$504,'Resultater - Østdanmark'!J$3:J$504)),"&gt;0"))</f>
        <v>352020220.25091624</v>
      </c>
      <c r="G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forbrug'!G$2,'Forbrug af biomasse'!$B$2:$B$425,$E6)</f>
        <v>0</v>
      </c>
      <c r="H6" s="187">
        <f>IF(E6="Vestdanmark",-IF(A6="Halm",SUMIFS(IF(D6=År1,'Resultater - Vestdanmark'!H$3:H$504,IF(D6=År2,'Resultater - Vestdanmark'!I$3:I$504,'Resultater - Vestdanmark'!J$3:J$504)),'Resultater - Vestdanmark'!$F$3:$F$504,$A6,'Resultater - Vestdanmark'!H$3:H$504,"&lt;0"),0),-IF(A6="Halm",SUMIFS(IF(D6=År1,'Resultater - Østdanmark'!H$3:H$504,IF(D6=År2,'Resultater - Østdanmark'!I$3:I$504,'Resultater - Østdanmark'!J$3:J$504)),'Resultater - Østdanmark'!$F$3:$F$504,$A6,'Resultater - Østdanmark'!H$3:H$504,"&lt;0"),0))</f>
        <v>0</v>
      </c>
      <c r="I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forbrug'!I$2,'Forbrug af biomasse'!$B$2:$B$425,$E6)</f>
        <v>0</v>
      </c>
      <c r="J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forbrug'!J$2,'Forbrug af biomasse'!$B$2:$B$425,$E6)</f>
        <v>0</v>
      </c>
      <c r="K6" s="190">
        <f>SUMIFS('Forbrug af biomasse'!$E$2:$E$425,'Forbrug af biomasse'!$C$2:$C$425,'Resultat-Produktion &amp; forbrug'!$A6,'Forbrug af biomasse'!$D$2:$D$425,'Resultat-Produktion &amp; forbrug'!$D6,'Forbrug af biomasse'!$A$2:$A$425,'Resultat-Produktion &amp; forbrug'!K$2,'Forbrug af biomasse'!$B$2:$B$425,$E6)</f>
        <v>0</v>
      </c>
      <c r="L6" s="190">
        <f ca="1">IF(A6&lt;&gt;"Biogas",SUMIFS('Forbrug af biomasse'!$E$2:$E$425,'Forbrug af biomasse'!$C$2:$C$425,'Resultat-Produktion &amp; forbrug'!$A6,'Forbrug af biomasse'!$D$2:$D$425,'Resultat-Produktion &amp; forbrug'!$D6,'Forbrug af biomasse'!$A$2:$A$425,'Resultat-Produktion &amp; forbrug'!L$2,'Forbrug af biomasse'!$B$2:$B$425,$E6),F6)</f>
        <v>352020220.25091624</v>
      </c>
      <c r="M6" s="154">
        <f>SUMIFS('Forbrug af biomasse'!E:E,'Forbrug af biomasse'!C:C,'Resultat-Produktion &amp; forbrug'!$A6,'Forbrug af biomasse'!D:D,'Resultat-Produktion &amp; forbrug'!$D6,'Forbrug af biomasse'!G:G,1,'Forbrug af biomasse'!B:B,$E6)</f>
        <v>0</v>
      </c>
      <c r="N6" s="199">
        <f t="shared" ca="1" si="4"/>
        <v>0</v>
      </c>
      <c r="O6" s="190">
        <f t="shared" ca="1" si="1"/>
        <v>0</v>
      </c>
      <c r="P6" s="200">
        <f t="shared" ca="1" si="5"/>
        <v>352020220.25091624</v>
      </c>
      <c r="Q6" s="187">
        <f ca="1">IFERROR(VLOOKUP(A6,[1]Energiindhold!$A$2:$C$11,3,FALSE),IFERROR(VLOOKUP(A6,[1]Biogasudbytte!$A$2:$B$18,2,FALSE)*[1]Energiindhold!$C$10,0))*O6</f>
        <v>0</v>
      </c>
      <c r="R6" s="187">
        <f>IF(A6&lt;&gt;"Biogas",IFERROR(VLOOKUP(A6,[1]Biogasudbytte!$A$2:$B$18,2,FALSE)*[1]Energiindhold!$C$10,0)*J6*IFERROR(VLOOKUP(A6,Biogasanlæg!$F$3:$G$8,2,FALSE),1)+IFERROR(VLOOKUP(A6,[1]Energiindhold!$A$2:$C$11,3,FALSE),0)*L6+IF(D6&lt;&gt;År1,Q6,0),0)</f>
        <v>0</v>
      </c>
      <c r="S6" s="187">
        <f>IFERROR(VLOOKUP(A6,[1]Biogasudbytte!$A$2:$B$18,2,FALSE)*[1]Energiindhold!$C$10,0)*J6*IFERROR(VLOOKUP(A6,Biogasanlæg!$F$3:$G$8,2,FALSE),1)</f>
        <v>0</v>
      </c>
      <c r="T6" s="188">
        <f t="shared" si="6"/>
        <v>0</v>
      </c>
      <c r="U6" s="186">
        <f ca="1">O6*IFERROR(VLOOKUP(A6,[1]Tørstofindhold!A$2:B$24,2,FALSE),0)</f>
        <v>0</v>
      </c>
      <c r="V6" s="187">
        <f ca="1">IF(D6=År1,P6,SUM(O6,P6))*IFERROR(VLOOKUP(A6,[1]Tørstofindhold!A$2:B$24,2,FALSE),0)</f>
        <v>0</v>
      </c>
      <c r="W6" s="187">
        <f>J6*IFERROR(VLOOKUP(A6,[1]Tørstofindhold!A$2:B$24,2,FALSE),0)</f>
        <v>0</v>
      </c>
      <c r="X6" s="188">
        <f t="shared" ca="1" si="7"/>
        <v>0</v>
      </c>
      <c r="Y6" s="168">
        <f t="shared" ca="1" si="2"/>
        <v>0</v>
      </c>
      <c r="Z6" s="103">
        <f t="shared" ca="1" si="3"/>
        <v>0</v>
      </c>
    </row>
    <row r="7" spans="1:26" x14ac:dyDescent="0.25">
      <c r="A7" s="189" t="s">
        <v>110</v>
      </c>
      <c r="B7" s="189"/>
      <c r="C7" s="189">
        <f>IF(COUNTIFS('Resultater - Danmark'!$D$3:$D$504,'Resultat-Produktion &amp; forbrug'!A7,'Resultater - Danmark'!$A$3:$A$504,"Til energi")+COUNTIFS('Resultater - Danmark'!$D$3:$D$504,'Resultat-Produktion &amp; forbrug'!A7,'Resultater - Danmark'!$A$3:$A$504,"Biogasanlæg")&gt;0,1,0)</f>
        <v>0</v>
      </c>
      <c r="D7" s="189">
        <f t="shared" si="0"/>
        <v>2019</v>
      </c>
      <c r="E7" s="187" t="s">
        <v>23</v>
      </c>
      <c r="F7" s="190">
        <f ca="1">IF(E7="Vestdanmark",SUMIFS(IF(D7=År1,'Resultater - Vestdanmark'!H$3:H$504,IF(D7=År2,'Resultater - Vestdanmark'!I$3:I$504,'Resultater - Vestdanmark'!J$3:J$504)),'Resultater - Vestdanmark'!$F$3:$F$504,$A7,IF(D7=År1,'Resultater - Vestdanmark'!H$3:H$504,IF(D7=År2,'Resultater - Vestdanmark'!I$3:I$504,'Resultater - Vestdanmark'!J$3:J$504)),"&gt;0"),SUMIFS(IF(D7=År1,'Resultater - Østdanmark'!H$3:H$504,IF(D7=År2,'Resultater - Østdanmark'!I$3:I$504,'Resultater - Østdanmark'!J$3:J$504)),'Resultater - Østdanmark'!$F$3:$F$504,$A7,IF(D7=År1,'Resultater - Østdanmark'!H$3:H$504,IF(D7=År2,'Resultater - Østdanmark'!I$3:I$504,'Resultater - Østdanmark'!J$3:J$504)),"&gt;0"))</f>
        <v>9570947.4163383078</v>
      </c>
      <c r="G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forbrug'!G$2,'Forbrug af biomasse'!$B$2:$B$425,$E7)</f>
        <v>0</v>
      </c>
      <c r="H7" s="187">
        <f>IF(E7="Vestdanmark",-IF(A7="Halm",SUMIFS(IF(D7=År1,'Resultater - Vestdanmark'!H$3:H$504,IF(D7=År2,'Resultater - Vestdanmark'!I$3:I$504,'Resultater - Vestdanmark'!J$3:J$504)),'Resultater - Vestdanmark'!$F$3:$F$504,$A7,'Resultater - Vestdanmark'!H$3:H$504,"&lt;0"),0),-IF(A7="Halm",SUMIFS(IF(D7=År1,'Resultater - Østdanmark'!H$3:H$504,IF(D7=År2,'Resultater - Østdanmark'!I$3:I$504,'Resultater - Østdanmark'!J$3:J$504)),'Resultater - Østdanmark'!$F$3:$F$504,$A7,'Resultater - Østdanmark'!H$3:H$504,"&lt;0"),0))</f>
        <v>0</v>
      </c>
      <c r="I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forbrug'!I$2,'Forbrug af biomasse'!$B$2:$B$425,$E7)</f>
        <v>0</v>
      </c>
      <c r="J7" s="190">
        <f>SUMIFS('Forbrug af biomasse'!$E$2:$E$425,'Forbrug af biomasse'!$C$2:$C$425,'Resultat-Produktion &amp; forbrug'!$A7,'Forbrug af biomasse'!$D$2:$D$425,'Resultat-Produktion &amp; forbrug'!$D7,'Forbrug af biomasse'!$A$2:$A$425,'Resultat-Produktion &amp; forbrug'!J$2,'Forbrug af biomasse'!$B$2:$B$425,$E7)</f>
        <v>0</v>
      </c>
      <c r="K7" s="190">
        <f ca="1">SUMIFS('Forbrug af biomasse'!$E$2:$E$425,'Forbrug af biomasse'!$C$2:$C$425,'Resultat-Produktion &amp; forbrug'!$A7,'Forbrug af biomasse'!$D$2:$D$425,'Resultat-Produktion &amp; forbrug'!$D7,'Forbrug af biomasse'!$A$2:$A$425,'Resultat-Produktion &amp; forbrug'!K$2,'Forbrug af biomasse'!$B$2:$B$425,$E7)</f>
        <v>7001629.6154696662</v>
      </c>
      <c r="L7" s="190">
        <f>IF(A7&lt;&gt;"Biogas",SUMIFS('Forbrug af biomasse'!$E$2:$E$425,'Forbrug af biomasse'!$C$2:$C$425,'Resultat-Produktion &amp; forbrug'!$A7,'Forbrug af biomasse'!$D$2:$D$425,'Resultat-Produktion &amp; forbrug'!$D7,'Forbrug af biomasse'!$A$2:$A$425,'Resultat-Produktion &amp; forbrug'!L$2,'Forbrug af biomasse'!$B$2:$B$425,$E7),F7)</f>
        <v>0</v>
      </c>
      <c r="M7" s="154">
        <f>SUMIFS('Forbrug af biomasse'!E:E,'Forbrug af biomasse'!C:C,'Resultat-Produktion &amp; forbrug'!$A7,'Forbrug af biomasse'!D:D,'Resultat-Produktion &amp; forbrug'!$D7,'Forbrug af biomasse'!G:G,1,'Forbrug af biomasse'!B:B,$E7)</f>
        <v>0</v>
      </c>
      <c r="N7" s="199">
        <f t="shared" ca="1" si="4"/>
        <v>2569317.8008686416</v>
      </c>
      <c r="O7" s="190">
        <f t="shared" si="1"/>
        <v>0</v>
      </c>
      <c r="P7" s="200">
        <f t="shared" si="5"/>
        <v>0</v>
      </c>
      <c r="Q7" s="187">
        <f>IFERROR(VLOOKUP(A7,[1]Energiindhold!$A$2:$C$11,3,FALSE),IFERROR(VLOOKUP(A7,[1]Biogasudbytte!$A$2:$B$18,2,FALSE)*[1]Energiindhold!$C$10,0))*O7</f>
        <v>0</v>
      </c>
      <c r="R7" s="187">
        <f>IF(A7&lt;&gt;"Biogas",IFERROR(VLOOKUP(A7,[1]Biogasudbytte!$A$2:$B$18,2,FALSE)*[1]Energiindhold!$C$10,0)*J7*IFERROR(VLOOKUP(A7,Biogasanlæg!$F$3:$G$8,2,FALSE),1)+IFERROR(VLOOKUP(A7,[1]Energiindhold!$A$2:$C$11,3,FALSE),0)*L7+IF(D7&lt;&gt;År1,Q7,0),0)</f>
        <v>0</v>
      </c>
      <c r="S7" s="187">
        <f>IFERROR(VLOOKUP(A7,[1]Biogasudbytte!$A$2:$B$18,2,FALSE)*[1]Energiindhold!$C$10,0)*J7*IFERROR(VLOOKUP(A7,Biogasanlæg!$F$3:$G$8,2,FALSE),1)</f>
        <v>0</v>
      </c>
      <c r="T7" s="188">
        <f t="shared" si="6"/>
        <v>0</v>
      </c>
      <c r="U7" s="186">
        <f>O7*IFERROR(VLOOKUP(A7,[1]Tørstofindhold!A$2:B$24,2,FALSE),0)</f>
        <v>0</v>
      </c>
      <c r="V7" s="187">
        <f>IF(D7=År1,P7,SUM(O7,P7))*IFERROR(VLOOKUP(A7,[1]Tørstofindhold!A$2:B$24,2,FALSE),0)</f>
        <v>0</v>
      </c>
      <c r="W7" s="187">
        <f>J7*IFERROR(VLOOKUP(A7,[1]Tørstofindhold!A$2:B$24,2,FALSE),0)</f>
        <v>0</v>
      </c>
      <c r="X7" s="188">
        <f t="shared" si="7"/>
        <v>0</v>
      </c>
      <c r="Y7" s="168">
        <f t="shared" ca="1" si="2"/>
        <v>0</v>
      </c>
      <c r="Z7" s="103">
        <f t="shared" ca="1" si="3"/>
        <v>1</v>
      </c>
    </row>
    <row r="8" spans="1:26" x14ac:dyDescent="0.25">
      <c r="A8" s="189" t="s">
        <v>208</v>
      </c>
      <c r="B8" s="189" t="s">
        <v>230</v>
      </c>
      <c r="C8" s="189">
        <f>IF(COUNTIFS('Resultater - Danmark'!$D$3:$D$504,'Resultat-Produktion &amp; forbrug'!A8,'Resultater - Danmark'!$A$3:$A$504,"Til energi")+COUNTIFS('Resultater - Danmark'!$D$3:$D$504,'Resultat-Produktion &amp; forbrug'!A8,'Resultater - Danmark'!$A$3:$A$504,"Biogasanlæg")&gt;0,1,0)</f>
        <v>1</v>
      </c>
      <c r="D8" s="189">
        <f t="shared" si="0"/>
        <v>2019</v>
      </c>
      <c r="E8" s="187" t="s">
        <v>23</v>
      </c>
      <c r="F8" s="190">
        <f>IF(E8="Vestdanmark",SUMIFS(IF(D8=År1,'Resultater - Vestdanmark'!H$3:H$504,IF(D8=År2,'Resultater - Vestdanmark'!I$3:I$504,'Resultater - Vestdanmark'!J$3:J$504)),'Resultater - Vestdanmark'!$F$3:$F$504,$A8,IF(D8=År1,'Resultater - Vestdanmark'!H$3:H$504,IF(D8=År2,'Resultater - Vestdanmark'!I$3:I$504,'Resultater - Vestdanmark'!J$3:J$504)),"&gt;0"),SUMIFS(IF(D8=År1,'Resultater - Østdanmark'!H$3:H$504,IF(D8=År2,'Resultater - Østdanmark'!I$3:I$504,'Resultater - Østdanmark'!J$3:J$504)),'Resultater - Østdanmark'!$F$3:$F$504,$A8,IF(D8=År1,'Resultater - Østdanmark'!H$3:H$504,IF(D8=År2,'Resultater - Østdanmark'!I$3:I$504,'Resultater - Østdanmark'!J$3:J$504)),"&gt;0"))</f>
        <v>0</v>
      </c>
      <c r="G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forbrug'!G$2,'Forbrug af biomasse'!$B$2:$B$425,$E8)</f>
        <v>0</v>
      </c>
      <c r="H8" s="187">
        <f>IF(E8="Vestdanmark",-IF(A8="Halm",SUMIFS(IF(D8=År1,'Resultater - Vestdanmark'!H$3:H$504,IF(D8=År2,'Resultater - Vestdanmark'!I$3:I$504,'Resultater - Vestdanmark'!J$3:J$504)),'Resultater - Vestdanmark'!$F$3:$F$504,$A8,'Resultater - Vestdanmark'!H$3:H$504,"&lt;0"),0),-IF(A8="Halm",SUMIFS(IF(D8=År1,'Resultater - Østdanmark'!H$3:H$504,IF(D8=År2,'Resultater - Østdanmark'!I$3:I$504,'Resultater - Østdanmark'!J$3:J$504)),'Resultater - Østdanmark'!$F$3:$F$504,$A8,'Resultater - Østdanmark'!H$3:H$504,"&lt;0"),0))</f>
        <v>0</v>
      </c>
      <c r="I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forbrug'!I$2,'Forbrug af biomasse'!$B$2:$B$425,$E8)</f>
        <v>0</v>
      </c>
      <c r="J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forbrug'!J$2,'Forbrug af biomasse'!$B$2:$B$425,$E8)</f>
        <v>0</v>
      </c>
      <c r="K8" s="190">
        <f>SUMIFS('Forbrug af biomasse'!$E$2:$E$425,'Forbrug af biomasse'!$C$2:$C$425,'Resultat-Produktion &amp; forbrug'!$A8,'Forbrug af biomasse'!$D$2:$D$425,'Resultat-Produktion &amp; forbrug'!$D8,'Forbrug af biomasse'!$A$2:$A$425,'Resultat-Produktion &amp; forbrug'!K$2,'Forbrug af biomasse'!$B$2:$B$425,$E8)</f>
        <v>0</v>
      </c>
      <c r="L8" s="190">
        <f>IF(A8&lt;&gt;"Biogas",SUMIFS('Forbrug af biomasse'!$E$2:$E$425,'Forbrug af biomasse'!$C$2:$C$425,'Resultat-Produktion &amp; forbrug'!$A8,'Forbrug af biomasse'!$D$2:$D$425,'Resultat-Produktion &amp; forbrug'!$D8,'Forbrug af biomasse'!$A$2:$A$425,'Resultat-Produktion &amp; forbrug'!L$2,'Forbrug af biomasse'!$B$2:$B$425,$E8),F8)</f>
        <v>0</v>
      </c>
      <c r="M8" s="154">
        <f>SUMIFS('Forbrug af biomasse'!E:E,'Forbrug af biomasse'!C:C,'Resultat-Produktion &amp; forbrug'!$A8,'Forbrug af biomasse'!D:D,'Resultat-Produktion &amp; forbrug'!$D8,'Forbrug af biomasse'!G:G,1,'Forbrug af biomasse'!B:B,$E8)</f>
        <v>0</v>
      </c>
      <c r="N8" s="199">
        <f t="shared" si="4"/>
        <v>0</v>
      </c>
      <c r="O8" s="190">
        <f t="shared" si="1"/>
        <v>0</v>
      </c>
      <c r="P8" s="200">
        <f t="shared" si="5"/>
        <v>0</v>
      </c>
      <c r="Q8" s="187">
        <f>IFERROR(VLOOKUP(A8,[1]Energiindhold!$A$2:$C$11,3,FALSE),IFERROR(VLOOKUP(A8,[1]Biogasudbytte!$A$2:$B$18,2,FALSE)*[1]Energiindhold!$C$10,0))*O8</f>
        <v>0</v>
      </c>
      <c r="R8" s="187">
        <f>IF(A8&lt;&gt;"Biogas",IFERROR(VLOOKUP(A8,[1]Biogasudbytte!$A$2:$B$18,2,FALSE)*[1]Energiindhold!$C$10,0)*J8*IFERROR(VLOOKUP(A8,Biogasanlæg!$F$3:$G$8,2,FALSE),1)+IFERROR(VLOOKUP(A8,[1]Energiindhold!$A$2:$C$11,3,FALSE),0)*L8+IF(D8&lt;&gt;År1,Q8,0),0)</f>
        <v>0</v>
      </c>
      <c r="S8" s="187">
        <f>IFERROR(VLOOKUP(A8,[1]Biogasudbytte!$A$2:$B$18,2,FALSE)*[1]Energiindhold!$C$10,0)*J8*IFERROR(VLOOKUP(A8,Biogasanlæg!$F$3:$G$8,2,FALSE),1)</f>
        <v>0</v>
      </c>
      <c r="T8" s="188">
        <f t="shared" si="6"/>
        <v>0</v>
      </c>
      <c r="U8" s="186">
        <f>O8*IFERROR(VLOOKUP(A8,[1]Tørstofindhold!A$2:B$24,2,FALSE),0)</f>
        <v>0</v>
      </c>
      <c r="V8" s="187">
        <f>IF(D8=År1,P8,SUM(O8,P8))*IFERROR(VLOOKUP(A8,[1]Tørstofindhold!A$2:B$24,2,FALSE),0)</f>
        <v>0</v>
      </c>
      <c r="W8" s="187">
        <f>J8*IFERROR(VLOOKUP(A8,[1]Tørstofindhold!A$2:B$24,2,FALSE),0)</f>
        <v>0</v>
      </c>
      <c r="X8" s="188">
        <f t="shared" si="7"/>
        <v>0</v>
      </c>
      <c r="Y8" s="168">
        <f t="shared" si="2"/>
        <v>0</v>
      </c>
      <c r="Z8" s="103">
        <f t="shared" si="3"/>
        <v>0</v>
      </c>
    </row>
    <row r="9" spans="1:26" x14ac:dyDescent="0.25">
      <c r="A9" s="187" t="s">
        <v>101</v>
      </c>
      <c r="B9" s="189" t="s">
        <v>222</v>
      </c>
      <c r="C9" s="189">
        <f>IF(COUNTIFS('Resultater - Danmark'!$D$3:$D$504,'Resultat-Produktion &amp; forbrug'!A9,'Resultater - Danmark'!$A$3:$A$504,"Til energi")+COUNTIFS('Resultater - Danmark'!$D$3:$D$504,'Resultat-Produktion &amp; forbrug'!A9,'Resultater - Danmark'!$A$3:$A$504,"Biogasanlæg")&gt;0,1,0)</f>
        <v>1</v>
      </c>
      <c r="D9" s="189">
        <f t="shared" si="0"/>
        <v>2019</v>
      </c>
      <c r="E9" s="187" t="s">
        <v>23</v>
      </c>
      <c r="F9" s="190">
        <f>IF(E9="Vestdanmark",SUMIFS(IF(D9=År1,'Resultater - Vestdanmark'!H$3:H$504,IF(D9=År2,'Resultater - Vestdanmark'!I$3:I$504,'Resultater - Vestdanmark'!J$3:J$504)),'Resultater - Vestdanmark'!$F$3:$F$504,$A9,IF(D9=År1,'Resultater - Vestdanmark'!H$3:H$504,IF(D9=År2,'Resultater - Vestdanmark'!I$3:I$504,'Resultater - Vestdanmark'!J$3:J$504)),"&gt;0"),SUMIFS(IF(D9=År1,'Resultater - Østdanmark'!H$3:H$504,IF(D9=År2,'Resultater - Østdanmark'!I$3:I$504,'Resultater - Østdanmark'!J$3:J$504)),'Resultater - Østdanmark'!$F$3:$F$504,$A9,IF(D9=År1,'Resultater - Østdanmark'!H$3:H$504,IF(D9=År2,'Resultater - Østdanmark'!I$3:I$504,'Resultater - Østdanmark'!J$3:J$504)),"&gt;0"))</f>
        <v>2600310.0770241949</v>
      </c>
      <c r="G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forbrug'!G$2,'Forbrug af biomasse'!$B$2:$B$425,$E9)</f>
        <v>0</v>
      </c>
      <c r="H9" s="187">
        <f>IF(E9="Vestdanmark",-IF(A9="Halm",SUMIFS(IF(D9=År1,'Resultater - Vestdanmark'!H$3:H$504,IF(D9=År2,'Resultater - Vestdanmark'!I$3:I$504,'Resultater - Vestdanmark'!J$3:J$504)),'Resultater - Vestdanmark'!$F$3:$F$504,$A9,'Resultater - Vestdanmark'!H$3:H$504,"&lt;0"),0),-IF(A9="Halm",SUMIFS(IF(D9=År1,'Resultater - Østdanmark'!H$3:H$504,IF(D9=År2,'Resultater - Østdanmark'!I$3:I$504,'Resultater - Østdanmark'!J$3:J$504)),'Resultater - Østdanmark'!$F$3:$F$504,$A9,'Resultater - Østdanmark'!H$3:H$504,"&lt;0"),0))</f>
        <v>0</v>
      </c>
      <c r="I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forbrug'!I$2,'Forbrug af biomasse'!$B$2:$B$425,$E9)</f>
        <v>0</v>
      </c>
      <c r="J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forbrug'!J$2,'Forbrug af biomasse'!$B$2:$B$425,$E9)</f>
        <v>671194.67155029252</v>
      </c>
      <c r="K9" s="190">
        <f>SUMIFS('Forbrug af biomasse'!$E$2:$E$425,'Forbrug af biomasse'!$C$2:$C$425,'Resultat-Produktion &amp; forbrug'!$A9,'Forbrug af biomasse'!$D$2:$D$425,'Resultat-Produktion &amp; forbrug'!$D9,'Forbrug af biomasse'!$A$2:$A$425,'Resultat-Produktion &amp; forbrug'!K$2,'Forbrug af biomasse'!$B$2:$B$425,$E9)</f>
        <v>730307.97492940596</v>
      </c>
      <c r="L9" s="190">
        <f>IF(A9&lt;&gt;"Biogas",SUMIFS('Forbrug af biomasse'!$E$2:$E$425,'Forbrug af biomasse'!$C$2:$C$425,'Resultat-Produktion &amp; forbrug'!$A9,'Forbrug af biomasse'!$D$2:$D$425,'Resultat-Produktion &amp; forbrug'!$D9,'Forbrug af biomasse'!$A$2:$A$425,'Resultat-Produktion &amp; forbrug'!L$2,'Forbrug af biomasse'!$B$2:$B$425,$E9),F9)</f>
        <v>0</v>
      </c>
      <c r="M9" s="154">
        <f>SUMIFS('Forbrug af biomasse'!E:E,'Forbrug af biomasse'!C:C,'Resultat-Produktion &amp; forbrug'!$A9,'Forbrug af biomasse'!D:D,'Resultat-Produktion &amp; forbrug'!$D9,'Forbrug af biomasse'!G:G,1,'Forbrug af biomasse'!B:B,$E9)</f>
        <v>0</v>
      </c>
      <c r="N9" s="199">
        <f t="shared" si="4"/>
        <v>1198807.4305444965</v>
      </c>
      <c r="O9" s="190">
        <f t="shared" si="1"/>
        <v>1198807.4305444965</v>
      </c>
      <c r="P9" s="200">
        <f>SUM(J9,L9)</f>
        <v>671194.67155029252</v>
      </c>
      <c r="Q9" s="187">
        <f>IFERROR(VLOOKUP(A9,[1]Energiindhold!$A$2:$C$11,3,FALSE),IFERROR(VLOOKUP(A9,[1]Biogasudbytte!$A$2:$B$18,2,FALSE)*[1]Energiindhold!$C$10,0))*O9</f>
        <v>2.5822312053928456</v>
      </c>
      <c r="R9" s="187">
        <f>IF(A9&lt;&gt;"Biogas",IFERROR(VLOOKUP(A9,[1]Biogasudbytte!$A$2:$B$18,2,FALSE)*[1]Energiindhold!$C$10,0)*J9*IFERROR(VLOOKUP(A9,Biogasanlæg!$F$3:$G$8,2,FALSE),1)+IFERROR(VLOOKUP(A9,[1]Energiindhold!$A$2:$C$11,3,FALSE),0)*L9+IF(D9&lt;&gt;År1,Q9,0),0)</f>
        <v>1.4457533225193302</v>
      </c>
      <c r="S9" s="187">
        <f>IFERROR(VLOOKUP(A9,[1]Biogasudbytte!$A$2:$B$18,2,FALSE)*[1]Energiindhold!$C$10,0)*J9*IFERROR(VLOOKUP(A9,Biogasanlæg!$F$3:$G$8,2,FALSE),1)</f>
        <v>1.4457533225193302</v>
      </c>
      <c r="T9" s="188">
        <f t="shared" si="6"/>
        <v>0</v>
      </c>
      <c r="U9" s="186">
        <f>O9*IFERROR(VLOOKUP(A9,[1]Tørstofindhold!A$2:B$24,2,FALSE),0)</f>
        <v>359642.22916334897</v>
      </c>
      <c r="V9" s="187">
        <f>IF(D9=År1,P9,SUM(O9,P9))*IFERROR(VLOOKUP(A9,[1]Tørstofindhold!A$2:B$24,2,FALSE),0)</f>
        <v>201358.40146508775</v>
      </c>
      <c r="W9" s="187">
        <f>J9*IFERROR(VLOOKUP(A9,[1]Tørstofindhold!A$2:B$24,2,FALSE),0)</f>
        <v>201358.40146508775</v>
      </c>
      <c r="X9" s="188">
        <f t="shared" si="7"/>
        <v>0</v>
      </c>
      <c r="Y9" s="168">
        <f t="shared" si="2"/>
        <v>0</v>
      </c>
      <c r="Z9" s="103">
        <f t="shared" si="3"/>
        <v>1</v>
      </c>
    </row>
    <row r="10" spans="1:26" x14ac:dyDescent="0.25">
      <c r="A10" s="187" t="s">
        <v>204</v>
      </c>
      <c r="B10" s="189"/>
      <c r="C10" s="189">
        <f>IF(COUNTIFS('Resultater - Danmark'!$D$3:$D$504,'Resultat-Produktion &amp; forbrug'!A10,'Resultater - Danmark'!$A$3:$A$504,"Til energi")+COUNTIFS('Resultater - Danmark'!$D$3:$D$504,'Resultat-Produktion &amp; forbrug'!A10,'Resultater - Danmark'!$A$3:$A$504,"Biogasanlæg")&gt;0,1,0)</f>
        <v>0</v>
      </c>
      <c r="D10" s="189">
        <f t="shared" si="0"/>
        <v>2019</v>
      </c>
      <c r="E10" s="187" t="s">
        <v>23</v>
      </c>
      <c r="F10" s="190">
        <f>IF(E10="Vestdanmark",SUMIFS(IF(D10=År1,'Resultater - Vestdanmark'!H$3:H$504,IF(D10=År2,'Resultater - Vestdanmark'!I$3:I$504,'Resultater - Vestdanmark'!J$3:J$504)),'Resultater - Vestdanmark'!$F$3:$F$504,$A10,IF(D10=År1,'Resultater - Vestdanmark'!H$3:H$504,IF(D10=År2,'Resultater - Vestdanmark'!I$3:I$504,'Resultater - Vestdanmark'!J$3:J$504)),"&gt;0"),SUMIFS(IF(D10=År1,'Resultater - Østdanmark'!H$3:H$504,IF(D10=År2,'Resultater - Østdanmark'!I$3:I$504,'Resultater - Østdanmark'!J$3:J$504)),'Resultater - Østdanmark'!$F$3:$F$504,$A10,IF(D10=År1,'Resultater - Østdanmark'!H$3:H$504,IF(D10=År2,'Resultater - Østdanmark'!I$3:I$504,'Resultater - Østdanmark'!J$3:J$504)),"&gt;0"))</f>
        <v>0</v>
      </c>
      <c r="G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forbrug'!G$2,'Forbrug af biomasse'!$B$2:$B$425,$E10)</f>
        <v>0</v>
      </c>
      <c r="H10" s="187">
        <f>IF(E10="Vestdanmark",-IF(A10="Halm",SUMIFS(IF(D10=År1,'Resultater - Vestdanmark'!H$3:H$504,IF(D10=År2,'Resultater - Vestdanmark'!I$3:I$504,'Resultater - Vestdanmark'!J$3:J$504)),'Resultater - Vestdanmark'!$F$3:$F$504,$A10,'Resultater - Vestdanmark'!H$3:H$504,"&lt;0"),0),-IF(A10="Halm",SUMIFS(IF(D10=År1,'Resultater - Østdanmark'!H$3:H$504,IF(D10=År2,'Resultater - Østdanmark'!I$3:I$504,'Resultater - Østdanmark'!J$3:J$504)),'Resultater - Østdanmark'!$F$3:$F$504,$A10,'Resultater - Østdanmark'!H$3:H$504,"&lt;0"),0))</f>
        <v>0</v>
      </c>
      <c r="I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forbrug'!I$2,'Forbrug af biomasse'!$B$2:$B$425,$E10)</f>
        <v>0</v>
      </c>
      <c r="J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forbrug'!J$2,'Forbrug af biomasse'!$B$2:$B$425,$E10)</f>
        <v>0</v>
      </c>
      <c r="K10" s="190">
        <f>SUMIFS('Forbrug af biomasse'!$E$2:$E$425,'Forbrug af biomasse'!$C$2:$C$425,'Resultat-Produktion &amp; forbrug'!$A10,'Forbrug af biomasse'!$D$2:$D$425,'Resultat-Produktion &amp; forbrug'!$D10,'Forbrug af biomasse'!$A$2:$A$425,'Resultat-Produktion &amp; forbrug'!K$2,'Forbrug af biomasse'!$B$2:$B$425,$E10)</f>
        <v>0</v>
      </c>
      <c r="L10" s="190">
        <f>IF(A10&lt;&gt;"Biogas",SUMIFS('Forbrug af biomasse'!$E$2:$E$425,'Forbrug af biomasse'!$C$2:$C$425,'Resultat-Produktion &amp; forbrug'!$A10,'Forbrug af biomasse'!$D$2:$D$425,'Resultat-Produktion &amp; forbrug'!$D10,'Forbrug af biomasse'!$A$2:$A$425,'Resultat-Produktion &amp; forbrug'!L$2,'Forbrug af biomasse'!$B$2:$B$425,$E10),F10)</f>
        <v>0</v>
      </c>
      <c r="M10" s="154">
        <f>SUMIFS('Forbrug af biomasse'!E:E,'Forbrug af biomasse'!C:C,'Resultat-Produktion &amp; forbrug'!$A10,'Forbrug af biomasse'!D:D,'Resultat-Produktion &amp; forbrug'!$D10,'Forbrug af biomasse'!G:G,1,'Forbrug af biomasse'!B:B,$E10)</f>
        <v>0</v>
      </c>
      <c r="N10" s="199">
        <f t="shared" si="4"/>
        <v>0</v>
      </c>
      <c r="O10" s="190">
        <f t="shared" si="1"/>
        <v>0</v>
      </c>
      <c r="P10" s="200">
        <f t="shared" si="5"/>
        <v>0</v>
      </c>
      <c r="Q10" s="187">
        <f>IFERROR(VLOOKUP(A10,[1]Energiindhold!$A$2:$C$11,3,FALSE),IFERROR(VLOOKUP(A10,[1]Biogasudbytte!$A$2:$B$18,2,FALSE)*[1]Energiindhold!$C$10,0))*O10</f>
        <v>0</v>
      </c>
      <c r="R10" s="187">
        <f>IF(A10&lt;&gt;"Biogas",IFERROR(VLOOKUP(A10,[1]Biogasudbytte!$A$2:$B$18,2,FALSE)*[1]Energiindhold!$C$10,0)*J10*IFERROR(VLOOKUP(A10,Biogasanlæg!$F$3:$G$8,2,FALSE),1)+IFERROR(VLOOKUP(A10,[1]Energiindhold!$A$2:$C$11,3,FALSE),0)*L10+IF(D10&lt;&gt;År1,Q10,0),0)</f>
        <v>0</v>
      </c>
      <c r="S10" s="187">
        <f>IFERROR(VLOOKUP(A10,[1]Biogasudbytte!$A$2:$B$18,2,FALSE)*[1]Energiindhold!$C$10,0)*J10*IFERROR(VLOOKUP(A10,Biogasanlæg!$F$3:$G$8,2,FALSE),1)</f>
        <v>0</v>
      </c>
      <c r="T10" s="188">
        <f t="shared" si="6"/>
        <v>0</v>
      </c>
      <c r="U10" s="186">
        <f>O10*IFERROR(VLOOKUP(A10,[1]Tørstofindhold!A$2:B$24,2,FALSE),0)</f>
        <v>0</v>
      </c>
      <c r="V10" s="187">
        <f>IF(D10=År1,P10,SUM(O10,P10))*IFERROR(VLOOKUP(A10,[1]Tørstofindhold!A$2:B$24,2,FALSE),0)</f>
        <v>0</v>
      </c>
      <c r="W10" s="187">
        <f>J10*IFERROR(VLOOKUP(A10,[1]Tørstofindhold!A$2:B$24,2,FALSE),0)</f>
        <v>0</v>
      </c>
      <c r="X10" s="188">
        <f t="shared" si="7"/>
        <v>0</v>
      </c>
      <c r="Y10" s="168">
        <f t="shared" si="2"/>
        <v>0</v>
      </c>
      <c r="Z10" s="103">
        <f t="shared" si="3"/>
        <v>0</v>
      </c>
    </row>
    <row r="11" spans="1:26" x14ac:dyDescent="0.25">
      <c r="A11" s="187" t="s">
        <v>137</v>
      </c>
      <c r="B11" s="189" t="s">
        <v>222</v>
      </c>
      <c r="C11" s="189">
        <f>IF(COUNTIFS('Resultater - Danmark'!$D$3:$D$504,'Resultat-Produktion &amp; forbrug'!A11,'Resultater - Danmark'!$A$3:$A$504,"Til energi")+COUNTIFS('Resultater - Danmark'!$D$3:$D$504,'Resultat-Produktion &amp; forbrug'!A11,'Resultater - Danmark'!$A$3:$A$504,"Biogasanlæg")&gt;0,1,0)</f>
        <v>1</v>
      </c>
      <c r="D11" s="189">
        <f t="shared" si="0"/>
        <v>2019</v>
      </c>
      <c r="E11" s="187" t="s">
        <v>23</v>
      </c>
      <c r="F11" s="190">
        <f>IF(E11="Vestdanmark",SUMIFS(IF(D11=År1,'Resultater - Vestdanmark'!H$3:H$504,IF(D11=År2,'Resultater - Vestdanmark'!I$3:I$504,'Resultater - Vestdanmark'!J$3:J$504)),'Resultater - Vestdanmark'!$F$3:$F$504,$A11,IF(D11=År1,'Resultater - Vestdanmark'!H$3:H$504,IF(D11=År2,'Resultater - Vestdanmark'!I$3:I$504,'Resultater - Vestdanmark'!J$3:J$504)),"&gt;0"),SUMIFS(IF(D11=År1,'Resultater - Østdanmark'!H$3:H$504,IF(D11=År2,'Resultater - Østdanmark'!I$3:I$504,'Resultater - Østdanmark'!J$3:J$504)),'Resultater - Østdanmark'!$F$3:$F$504,$A11,IF(D11=År1,'Resultater - Østdanmark'!H$3:H$504,IF(D11=År2,'Resultater - Østdanmark'!I$3:I$504,'Resultater - Østdanmark'!J$3:J$504)),"&gt;0"))</f>
        <v>8207.6123560951182</v>
      </c>
      <c r="G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forbrug'!G$2,'Forbrug af biomasse'!$B$2:$B$425,$E11)</f>
        <v>0</v>
      </c>
      <c r="H11" s="187">
        <f>IF(E11="Vestdanmark",-IF(A11="Halm",SUMIFS(IF(D11=År1,'Resultater - Vestdanmark'!H$3:H$504,IF(D11=År2,'Resultater - Vestdanmark'!I$3:I$504,'Resultater - Vestdanmark'!J$3:J$504)),'Resultater - Vestdanmark'!$F$3:$F$504,$A11,'Resultater - Vestdanmark'!H$3:H$504,"&lt;0"),0),-IF(A11="Halm",SUMIFS(IF(D11=År1,'Resultater - Østdanmark'!H$3:H$504,IF(D11=År2,'Resultater - Østdanmark'!I$3:I$504,'Resultater - Østdanmark'!J$3:J$504)),'Resultater - Østdanmark'!$F$3:$F$504,$A11,'Resultater - Østdanmark'!H$3:H$504,"&lt;0"),0))</f>
        <v>0</v>
      </c>
      <c r="I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forbrug'!I$2,'Forbrug af biomasse'!$B$2:$B$425,$E11)</f>
        <v>0</v>
      </c>
      <c r="J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forbrug'!J$2,'Forbrug af biomasse'!$B$2:$B$425,$E11)</f>
        <v>4103.8061780475591</v>
      </c>
      <c r="K11" s="190">
        <f>SUMIFS('Forbrug af biomasse'!$E$2:$E$425,'Forbrug af biomasse'!$C$2:$C$425,'Resultat-Produktion &amp; forbrug'!$A11,'Forbrug af biomasse'!$D$2:$D$425,'Resultat-Produktion &amp; forbrug'!$D11,'Forbrug af biomasse'!$A$2:$A$425,'Resultat-Produktion &amp; forbrug'!K$2,'Forbrug af biomasse'!$B$2:$B$425,$E11)</f>
        <v>4103.8061780475591</v>
      </c>
      <c r="L11" s="190">
        <f>IF(A11&lt;&gt;"Biogas",SUMIFS('Forbrug af biomasse'!$E$2:$E$425,'Forbrug af biomasse'!$C$2:$C$425,'Resultat-Produktion &amp; forbrug'!$A11,'Forbrug af biomasse'!$D$2:$D$425,'Resultat-Produktion &amp; forbrug'!$D11,'Forbrug af biomasse'!$A$2:$A$425,'Resultat-Produktion &amp; forbrug'!L$2,'Forbrug af biomasse'!$B$2:$B$425,$E11),F11)</f>
        <v>0</v>
      </c>
      <c r="M11" s="154">
        <f>SUMIFS('Forbrug af biomasse'!E:E,'Forbrug af biomasse'!C:C,'Resultat-Produktion &amp; forbrug'!$A11,'Forbrug af biomasse'!D:D,'Resultat-Produktion &amp; forbrug'!$D11,'Forbrug af biomasse'!G:G,1,'Forbrug af biomasse'!B:B,$E11)</f>
        <v>0</v>
      </c>
      <c r="N11" s="199">
        <f t="shared" si="4"/>
        <v>0</v>
      </c>
      <c r="O11" s="190">
        <f t="shared" si="1"/>
        <v>0</v>
      </c>
      <c r="P11" s="200">
        <f t="shared" si="5"/>
        <v>4103.8061780475591</v>
      </c>
      <c r="Q11" s="187">
        <f>IFERROR(VLOOKUP(A11,[1]Energiindhold!$A$2:$C$11,3,FALSE),IFERROR(VLOOKUP(A11,[1]Biogasudbytte!$A$2:$B$18,2,FALSE)*[1]Energiindhold!$C$10,0))*O11</f>
        <v>0</v>
      </c>
      <c r="R11" s="187">
        <f>IF(A11&lt;&gt;"Biogas",IFERROR(VLOOKUP(A11,[1]Biogasudbytte!$A$2:$B$18,2,FALSE)*[1]Energiindhold!$C$10,0)*J11*IFERROR(VLOOKUP(A11,Biogasanlæg!$F$3:$G$8,2,FALSE),1)+IFERROR(VLOOKUP(A11,[1]Energiindhold!$A$2:$C$11,3,FALSE),0)*L11+IF(D11&lt;&gt;År1,Q11,0),0)</f>
        <v>1.9299790074739866E-3</v>
      </c>
      <c r="S11" s="187">
        <f>IFERROR(VLOOKUP(A11,[1]Biogasudbytte!$A$2:$B$18,2,FALSE)*[1]Energiindhold!$C$10,0)*J11*IFERROR(VLOOKUP(A11,Biogasanlæg!$F$3:$G$8,2,FALSE),1)</f>
        <v>1.9299790074739866E-3</v>
      </c>
      <c r="T11" s="188">
        <f t="shared" si="6"/>
        <v>0</v>
      </c>
      <c r="U11" s="186">
        <f>O11*IFERROR(VLOOKUP(A11,[1]Tørstofindhold!A$2:B$24,2,FALSE),0)</f>
        <v>0</v>
      </c>
      <c r="V11" s="187">
        <f>IF(D11=År1,P11,SUM(O11,P11))*IFERROR(VLOOKUP(A11,[1]Tørstofindhold!A$2:B$24,2,FALSE),0)</f>
        <v>258.53978921699621</v>
      </c>
      <c r="W11" s="187">
        <f>J11*IFERROR(VLOOKUP(A11,[1]Tørstofindhold!A$2:B$24,2,FALSE),0)</f>
        <v>258.53978921699621</v>
      </c>
      <c r="X11" s="188">
        <f t="shared" si="7"/>
        <v>0</v>
      </c>
      <c r="Y11" s="168">
        <f t="shared" si="2"/>
        <v>0</v>
      </c>
      <c r="Z11" s="103">
        <f t="shared" si="3"/>
        <v>0</v>
      </c>
    </row>
    <row r="12" spans="1:26" x14ac:dyDescent="0.25">
      <c r="A12" s="187" t="s">
        <v>96</v>
      </c>
      <c r="B12" s="189"/>
      <c r="C12" s="189">
        <f>IF(COUNTIFS('Resultater - Danmark'!$D$3:$D$504,'Resultat-Produktion &amp; forbrug'!A12,'Resultater - Danmark'!$A$3:$A$504,"Til energi")+COUNTIFS('Resultater - Danmark'!$D$3:$D$504,'Resultat-Produktion &amp; forbrug'!A12,'Resultater - Danmark'!$A$3:$A$504,"Biogasanlæg")&gt;0,1,0)</f>
        <v>0</v>
      </c>
      <c r="D12" s="189">
        <f t="shared" si="0"/>
        <v>2019</v>
      </c>
      <c r="E12" s="187" t="s">
        <v>23</v>
      </c>
      <c r="F12" s="190">
        <f>IF(E12="Vestdanmark",SUMIFS(IF(D12=År1,'Resultater - Vestdanmark'!H$3:H$504,IF(D12=År2,'Resultater - Vestdanmark'!I$3:I$504,'Resultater - Vestdanmark'!J$3:J$504)),'Resultater - Vestdanmark'!$F$3:$F$504,$A12,IF(D12=År1,'Resultater - Vestdanmark'!H$3:H$504,IF(D12=År2,'Resultater - Vestdanmark'!I$3:I$504,'Resultater - Vestdanmark'!J$3:J$504)),"&gt;0"),SUMIFS(IF(D12=År1,'Resultater - Østdanmark'!H$3:H$504,IF(D12=År2,'Resultater - Østdanmark'!I$3:I$504,'Resultater - Østdanmark'!J$3:J$504)),'Resultater - Østdanmark'!$F$3:$F$504,$A12,IF(D12=År1,'Resultater - Østdanmark'!H$3:H$504,IF(D12=År2,'Resultater - Østdanmark'!I$3:I$504,'Resultater - Østdanmark'!J$3:J$504)),"&gt;0"))</f>
        <v>185576.29959415729</v>
      </c>
      <c r="G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forbrug'!G$2,'Forbrug af biomasse'!$B$2:$B$425,$E12)</f>
        <v>0</v>
      </c>
      <c r="H12" s="187">
        <f>IF(E12="Vestdanmark",-IF(A12="Halm",SUMIFS(IF(D12=År1,'Resultater - Vestdanmark'!H$3:H$504,IF(D12=År2,'Resultater - Vestdanmark'!I$3:I$504,'Resultater - Vestdanmark'!J$3:J$504)),'Resultater - Vestdanmark'!$F$3:$F$504,$A12,'Resultater - Vestdanmark'!H$3:H$504,"&lt;0"),0),-IF(A12="Halm",SUMIFS(IF(D12=År1,'Resultater - Østdanmark'!H$3:H$504,IF(D12=År2,'Resultater - Østdanmark'!I$3:I$504,'Resultater - Østdanmark'!J$3:J$504)),'Resultater - Østdanmark'!$F$3:$F$504,$A12,'Resultater - Østdanmark'!H$3:H$504,"&lt;0"),0))</f>
        <v>0</v>
      </c>
      <c r="I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forbrug'!I$2,'Forbrug af biomasse'!$B$2:$B$425,$E12)</f>
        <v>34149.438191562753</v>
      </c>
      <c r="J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forbrug'!J$2,'Forbrug af biomasse'!$B$2:$B$425,$E12)</f>
        <v>0</v>
      </c>
      <c r="K12" s="190">
        <f>SUMIFS('Forbrug af biomasse'!$E$2:$E$425,'Forbrug af biomasse'!$C$2:$C$425,'Resultat-Produktion &amp; forbrug'!$A12,'Forbrug af biomasse'!$D$2:$D$425,'Resultat-Produktion &amp; forbrug'!$D12,'Forbrug af biomasse'!$A$2:$A$425,'Resultat-Produktion &amp; forbrug'!K$2,'Forbrug af biomasse'!$B$2:$B$425,$E12)</f>
        <v>0</v>
      </c>
      <c r="L12" s="190">
        <f>IF(A12&lt;&gt;"Biogas",SUMIFS('Forbrug af biomasse'!$E$2:$E$425,'Forbrug af biomasse'!$C$2:$C$425,'Resultat-Produktion &amp; forbrug'!$A12,'Forbrug af biomasse'!$D$2:$D$425,'Resultat-Produktion &amp; forbrug'!$D12,'Forbrug af biomasse'!$A$2:$A$425,'Resultat-Produktion &amp; forbrug'!L$2,'Forbrug af biomasse'!$B$2:$B$425,$E12),F12)</f>
        <v>0</v>
      </c>
      <c r="M12" s="154">
        <f>SUMIFS('Forbrug af biomasse'!E:E,'Forbrug af biomasse'!C:C,'Resultat-Produktion &amp; forbrug'!$A12,'Forbrug af biomasse'!D:D,'Resultat-Produktion &amp; forbrug'!$D12,'Forbrug af biomasse'!G:G,1,'Forbrug af biomasse'!B:B,$E12)</f>
        <v>0</v>
      </c>
      <c r="N12" s="199">
        <f t="shared" si="4"/>
        <v>151426.86140259454</v>
      </c>
      <c r="O12" s="190">
        <f t="shared" si="1"/>
        <v>0</v>
      </c>
      <c r="P12" s="200">
        <f t="shared" si="5"/>
        <v>0</v>
      </c>
      <c r="Q12" s="187">
        <f>IFERROR(VLOOKUP(A12,[1]Energiindhold!$A$2:$C$11,3,FALSE),IFERROR(VLOOKUP(A12,[1]Biogasudbytte!$A$2:$B$18,2,FALSE)*[1]Energiindhold!$C$10,0))*O12</f>
        <v>0</v>
      </c>
      <c r="R12" s="187">
        <f>IF(A12&lt;&gt;"Biogas",IFERROR(VLOOKUP(A12,[1]Biogasudbytte!$A$2:$B$18,2,FALSE)*[1]Energiindhold!$C$10,0)*J12*IFERROR(VLOOKUP(A12,Biogasanlæg!$F$3:$G$8,2,FALSE),1)+IFERROR(VLOOKUP(A12,[1]Energiindhold!$A$2:$C$11,3,FALSE),0)*L12+IF(D12&lt;&gt;År1,Q12,0),0)</f>
        <v>0</v>
      </c>
      <c r="S12" s="187">
        <f>IFERROR(VLOOKUP(A12,[1]Biogasudbytte!$A$2:$B$18,2,FALSE)*[1]Energiindhold!$C$10,0)*J12*IFERROR(VLOOKUP(A12,Biogasanlæg!$F$3:$G$8,2,FALSE),1)</f>
        <v>0</v>
      </c>
      <c r="T12" s="188">
        <f t="shared" si="6"/>
        <v>0</v>
      </c>
      <c r="U12" s="186">
        <f>O12*IFERROR(VLOOKUP(A12,[1]Tørstofindhold!A$2:B$24,2,FALSE),0)</f>
        <v>0</v>
      </c>
      <c r="V12" s="187">
        <f>IF(D12=År1,P12,SUM(O12,P12))*IFERROR(VLOOKUP(A12,[1]Tørstofindhold!A$2:B$24,2,FALSE),0)</f>
        <v>0</v>
      </c>
      <c r="W12" s="187">
        <f>J12*IFERROR(VLOOKUP(A12,[1]Tørstofindhold!A$2:B$24,2,FALSE),0)</f>
        <v>0</v>
      </c>
      <c r="X12" s="188">
        <f t="shared" si="7"/>
        <v>0</v>
      </c>
      <c r="Y12" s="168">
        <f t="shared" si="2"/>
        <v>0</v>
      </c>
      <c r="Z12" s="103">
        <f t="shared" si="3"/>
        <v>1</v>
      </c>
    </row>
    <row r="13" spans="1:26" x14ac:dyDescent="0.25">
      <c r="A13" s="187" t="s">
        <v>113</v>
      </c>
      <c r="B13" s="189"/>
      <c r="C13" s="189">
        <f>IF(COUNTIFS('Resultater - Danmark'!$D$3:$D$504,'Resultat-Produktion &amp; forbrug'!A13,'Resultater - Danmark'!$A$3:$A$504,"Til energi")+COUNTIFS('Resultater - Danmark'!$D$3:$D$504,'Resultat-Produktion &amp; forbrug'!A13,'Resultater - Danmark'!$A$3:$A$504,"Biogasanlæg")&gt;0,1,0)</f>
        <v>0</v>
      </c>
      <c r="D13" s="189">
        <f t="shared" si="0"/>
        <v>2019</v>
      </c>
      <c r="E13" s="187" t="s">
        <v>23</v>
      </c>
      <c r="F13" s="190">
        <f>IF(E13="Vestdanmark",SUMIFS(IF(D13=År1,'Resultater - Vestdanmark'!H$3:H$504,IF(D13=År2,'Resultater - Vestdanmark'!I$3:I$504,'Resultater - Vestdanmark'!J$3:J$504)),'Resultater - Vestdanmark'!$F$3:$F$504,$A13,IF(D13=År1,'Resultater - Vestdanmark'!H$3:H$504,IF(D13=År2,'Resultater - Vestdanmark'!I$3:I$504,'Resultater - Vestdanmark'!J$3:J$504)),"&gt;0"),SUMIFS(IF(D13=År1,'Resultater - Østdanmark'!H$3:H$504,IF(D13=År2,'Resultater - Østdanmark'!I$3:I$504,'Resultater - Østdanmark'!J$3:J$504)),'Resultater - Østdanmark'!$F$3:$F$504,$A13,IF(D13=År1,'Resultater - Østdanmark'!H$3:H$504,IF(D13=År2,'Resultater - Østdanmark'!I$3:I$504,'Resultater - Østdanmark'!J$3:J$504)),"&gt;0"))</f>
        <v>887836.84200071916</v>
      </c>
      <c r="G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forbrug'!G$2,'Forbrug af biomasse'!$B$2:$B$425,$E13)</f>
        <v>0</v>
      </c>
      <c r="H13" s="187">
        <f>IF(E13="Vestdanmark",-IF(A13="Halm",SUMIFS(IF(D13=År1,'Resultater - Vestdanmark'!H$3:H$504,IF(D13=År2,'Resultater - Vestdanmark'!I$3:I$504,'Resultater - Vestdanmark'!J$3:J$504)),'Resultater - Vestdanmark'!$F$3:$F$504,$A13,'Resultater - Vestdanmark'!H$3:H$504,"&lt;0"),0),-IF(A13="Halm",SUMIFS(IF(D13=År1,'Resultater - Østdanmark'!H$3:H$504,IF(D13=År2,'Resultater - Østdanmark'!I$3:I$504,'Resultater - Østdanmark'!J$3:J$504)),'Resultater - Østdanmark'!$F$3:$F$504,$A13,'Resultater - Østdanmark'!H$3:H$504,"&lt;0"),0))</f>
        <v>0</v>
      </c>
      <c r="I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forbrug'!I$2,'Forbrug af biomasse'!$B$2:$B$425,$E13)</f>
        <v>0</v>
      </c>
      <c r="J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forbrug'!J$2,'Forbrug af biomasse'!$B$2:$B$425,$E13)</f>
        <v>0</v>
      </c>
      <c r="K13" s="190">
        <f>SUMIFS('Forbrug af biomasse'!$E$2:$E$425,'Forbrug af biomasse'!$C$2:$C$425,'Resultat-Produktion &amp; forbrug'!$A13,'Forbrug af biomasse'!$D$2:$D$425,'Resultat-Produktion &amp; forbrug'!$D13,'Forbrug af biomasse'!$A$2:$A$425,'Resultat-Produktion &amp; forbrug'!K$2,'Forbrug af biomasse'!$B$2:$B$425,$E13)</f>
        <v>0</v>
      </c>
      <c r="L13" s="190">
        <f>IF(A13&lt;&gt;"Biogas",SUMIFS('Forbrug af biomasse'!$E$2:$E$425,'Forbrug af biomasse'!$C$2:$C$425,'Resultat-Produktion &amp; forbrug'!$A13,'Forbrug af biomasse'!$D$2:$D$425,'Resultat-Produktion &amp; forbrug'!$D13,'Forbrug af biomasse'!$A$2:$A$425,'Resultat-Produktion &amp; forbrug'!L$2,'Forbrug af biomasse'!$B$2:$B$425,$E13),F13)</f>
        <v>0</v>
      </c>
      <c r="M13" s="154">
        <f>SUMIFS('Forbrug af biomasse'!E:E,'Forbrug af biomasse'!C:C,'Resultat-Produktion &amp; forbrug'!$A13,'Forbrug af biomasse'!D:D,'Resultat-Produktion &amp; forbrug'!$D13,'Forbrug af biomasse'!G:G,1,'Forbrug af biomasse'!B:B,$E13)</f>
        <v>0</v>
      </c>
      <c r="N13" s="199">
        <f t="shared" si="4"/>
        <v>887836.84200071916</v>
      </c>
      <c r="O13" s="190">
        <f t="shared" si="1"/>
        <v>0</v>
      </c>
      <c r="P13" s="200">
        <f t="shared" si="5"/>
        <v>0</v>
      </c>
      <c r="Q13" s="187">
        <f>IFERROR(VLOOKUP(A13,[1]Energiindhold!$A$2:$C$11,3,FALSE),IFERROR(VLOOKUP(A13,[1]Biogasudbytte!$A$2:$B$18,2,FALSE)*[1]Energiindhold!$C$10,0))*O13</f>
        <v>0</v>
      </c>
      <c r="R13" s="187">
        <f>IF(A13&lt;&gt;"Biogas",IFERROR(VLOOKUP(A13,[1]Biogasudbytte!$A$2:$B$18,2,FALSE)*[1]Energiindhold!$C$10,0)*J13*IFERROR(VLOOKUP(A13,Biogasanlæg!$F$3:$G$8,2,FALSE),1)+IFERROR(VLOOKUP(A13,[1]Energiindhold!$A$2:$C$11,3,FALSE),0)*L13+IF(D13&lt;&gt;År1,Q13,0),0)</f>
        <v>0</v>
      </c>
      <c r="S13" s="187">
        <f>IFERROR(VLOOKUP(A13,[1]Biogasudbytte!$A$2:$B$18,2,FALSE)*[1]Energiindhold!$C$10,0)*J13*IFERROR(VLOOKUP(A13,Biogasanlæg!$F$3:$G$8,2,FALSE),1)</f>
        <v>0</v>
      </c>
      <c r="T13" s="188">
        <f t="shared" si="6"/>
        <v>0</v>
      </c>
      <c r="U13" s="186">
        <f>O13*IFERROR(VLOOKUP(A13,[1]Tørstofindhold!A$2:B$24,2,FALSE),0)</f>
        <v>0</v>
      </c>
      <c r="V13" s="187">
        <f>IF(D13=År1,P13,SUM(O13,P13))*IFERROR(VLOOKUP(A13,[1]Tørstofindhold!A$2:B$24,2,FALSE),0)</f>
        <v>0</v>
      </c>
      <c r="W13" s="187">
        <f>J13*IFERROR(VLOOKUP(A13,[1]Tørstofindhold!A$2:B$24,2,FALSE),0)</f>
        <v>0</v>
      </c>
      <c r="X13" s="188">
        <f t="shared" si="7"/>
        <v>0</v>
      </c>
      <c r="Y13" s="168">
        <f t="shared" si="2"/>
        <v>0</v>
      </c>
      <c r="Z13" s="103">
        <f t="shared" si="3"/>
        <v>1</v>
      </c>
    </row>
    <row r="14" spans="1:26" x14ac:dyDescent="0.25">
      <c r="A14" s="187" t="s">
        <v>54</v>
      </c>
      <c r="B14" s="189"/>
      <c r="C14" s="189">
        <f>IF(COUNTIFS('Resultater - Danmark'!$D$3:$D$504,'Resultat-Produktion &amp; forbrug'!A14,'Resultater - Danmark'!$A$3:$A$504,"Til energi")+COUNTIFS('Resultater - Danmark'!$D$3:$D$504,'Resultat-Produktion &amp; forbrug'!A14,'Resultater - Danmark'!$A$3:$A$504,"Biogasanlæg")&gt;0,1,0)</f>
        <v>0</v>
      </c>
      <c r="D14" s="189">
        <f t="shared" si="0"/>
        <v>2019</v>
      </c>
      <c r="E14" s="187" t="s">
        <v>23</v>
      </c>
      <c r="F14" s="190">
        <f>IF(E14="Vestdanmark",SUMIFS(IF(D14=År1,'Resultater - Vestdanmark'!H$3:H$504,IF(D14=År2,'Resultater - Vestdanmark'!I$3:I$504,'Resultater - Vestdanmark'!J$3:J$504)),'Resultater - Vestdanmark'!$F$3:$F$504,$A14,IF(D14=År1,'Resultater - Vestdanmark'!H$3:H$504,IF(D14=År2,'Resultater - Vestdanmark'!I$3:I$504,'Resultater - Vestdanmark'!J$3:J$504)),"&gt;0"),SUMIFS(IF(D14=År1,'Resultater - Østdanmark'!H$3:H$504,IF(D14=År2,'Resultater - Østdanmark'!I$3:I$504,'Resultater - Østdanmark'!J$3:J$504)),'Resultater - Østdanmark'!$F$3:$F$504,$A14,IF(D14=År1,'Resultater - Østdanmark'!H$3:H$504,IF(D14=År2,'Resultater - Østdanmark'!I$3:I$504,'Resultater - Østdanmark'!J$3:J$504)),"&gt;0"))</f>
        <v>25948.722839676255</v>
      </c>
      <c r="G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forbrug'!G$2,'Forbrug af biomasse'!$B$2:$B$425,$E14)</f>
        <v>0</v>
      </c>
      <c r="H14" s="187">
        <f>IF(E14="Vestdanmark",-IF(A14="Halm",SUMIFS(IF(D14=År1,'Resultater - Vestdanmark'!H$3:H$504,IF(D14=År2,'Resultater - Vestdanmark'!I$3:I$504,'Resultater - Vestdanmark'!J$3:J$504)),'Resultater - Vestdanmark'!$F$3:$F$504,$A14,'Resultater - Vestdanmark'!H$3:H$504,"&lt;0"),0),-IF(A14="Halm",SUMIFS(IF(D14=År1,'Resultater - Østdanmark'!H$3:H$504,IF(D14=År2,'Resultater - Østdanmark'!I$3:I$504,'Resultater - Østdanmark'!J$3:J$504)),'Resultater - Østdanmark'!$F$3:$F$504,$A14,'Resultater - Østdanmark'!H$3:H$504,"&lt;0"),0))</f>
        <v>0</v>
      </c>
      <c r="I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forbrug'!I$2,'Forbrug af biomasse'!$B$2:$B$425,$E14)</f>
        <v>249553.58678449702</v>
      </c>
      <c r="J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forbrug'!J$2,'Forbrug af biomasse'!$B$2:$B$425,$E14)</f>
        <v>0</v>
      </c>
      <c r="K14" s="190">
        <f>SUMIFS('Forbrug af biomasse'!$E$2:$E$425,'Forbrug af biomasse'!$C$2:$C$425,'Resultat-Produktion &amp; forbrug'!$A14,'Forbrug af biomasse'!$D$2:$D$425,'Resultat-Produktion &amp; forbrug'!$D14,'Forbrug af biomasse'!$A$2:$A$425,'Resultat-Produktion &amp; forbrug'!K$2,'Forbrug af biomasse'!$B$2:$B$425,$E14)</f>
        <v>0</v>
      </c>
      <c r="L14" s="190">
        <f>IF(A14&lt;&gt;"Biogas",SUMIFS('Forbrug af biomasse'!$E$2:$E$425,'Forbrug af biomasse'!$C$2:$C$425,'Resultat-Produktion &amp; forbrug'!$A14,'Forbrug af biomasse'!$D$2:$D$425,'Resultat-Produktion &amp; forbrug'!$D14,'Forbrug af biomasse'!$A$2:$A$425,'Resultat-Produktion &amp; forbrug'!L$2,'Forbrug af biomasse'!$B$2:$B$425,$E14),F14)</f>
        <v>0</v>
      </c>
      <c r="M14" s="154">
        <f>SUMIFS('Forbrug af biomasse'!E:E,'Forbrug af biomasse'!C:C,'Resultat-Produktion &amp; forbrug'!$A14,'Forbrug af biomasse'!D:D,'Resultat-Produktion &amp; forbrug'!$D14,'Forbrug af biomasse'!G:G,1,'Forbrug af biomasse'!B:B,$E14)</f>
        <v>0</v>
      </c>
      <c r="N14" s="199">
        <f t="shared" si="4"/>
        <v>-223604.86394482077</v>
      </c>
      <c r="O14" s="190">
        <f t="shared" si="1"/>
        <v>0</v>
      </c>
      <c r="P14" s="200">
        <f t="shared" si="5"/>
        <v>0</v>
      </c>
      <c r="Q14" s="187">
        <f>IFERROR(VLOOKUP(A14,[1]Energiindhold!$A$2:$C$11,3,FALSE),IFERROR(VLOOKUP(A14,[1]Biogasudbytte!$A$2:$B$18,2,FALSE)*[1]Energiindhold!$C$10,0))*O14</f>
        <v>0</v>
      </c>
      <c r="R14" s="187">
        <f>IF(A14&lt;&gt;"Biogas",IFERROR(VLOOKUP(A14,[1]Biogasudbytte!$A$2:$B$18,2,FALSE)*[1]Energiindhold!$C$10,0)*J14*IFERROR(VLOOKUP(A14,Biogasanlæg!$F$3:$G$8,2,FALSE),1)+IFERROR(VLOOKUP(A14,[1]Energiindhold!$A$2:$C$11,3,FALSE),0)*L14+IF(D14&lt;&gt;År1,Q14,0),0)</f>
        <v>0</v>
      </c>
      <c r="S14" s="187">
        <f>IFERROR(VLOOKUP(A14,[1]Biogasudbytte!$A$2:$B$18,2,FALSE)*[1]Energiindhold!$C$10,0)*J14*IFERROR(VLOOKUP(A14,Biogasanlæg!$F$3:$G$8,2,FALSE),1)</f>
        <v>0</v>
      </c>
      <c r="T14" s="188">
        <f t="shared" si="6"/>
        <v>0</v>
      </c>
      <c r="U14" s="186">
        <f>O14*IFERROR(VLOOKUP(A14,[1]Tørstofindhold!A$2:B$24,2,FALSE),0)</f>
        <v>0</v>
      </c>
      <c r="V14" s="187">
        <f>IF(D14=År1,P14,SUM(O14,P14))*IFERROR(VLOOKUP(A14,[1]Tørstofindhold!A$2:B$24,2,FALSE),0)</f>
        <v>0</v>
      </c>
      <c r="W14" s="187">
        <f>J14*IFERROR(VLOOKUP(A14,[1]Tørstofindhold!A$2:B$24,2,FALSE),0)</f>
        <v>0</v>
      </c>
      <c r="X14" s="188">
        <f t="shared" si="7"/>
        <v>0</v>
      </c>
      <c r="Y14" s="168">
        <f t="shared" si="2"/>
        <v>1</v>
      </c>
      <c r="Z14" s="103">
        <f t="shared" si="3"/>
        <v>0</v>
      </c>
    </row>
    <row r="15" spans="1:26" x14ac:dyDescent="0.25">
      <c r="A15" s="189" t="s">
        <v>158</v>
      </c>
      <c r="B15" s="189" t="s">
        <v>158</v>
      </c>
      <c r="C15" s="189">
        <f>IF(COUNTIFS('Resultater - Danmark'!$D$3:$D$504,'Resultat-Produktion &amp; forbrug'!A15,'Resultater - Danmark'!$A$3:$A$504,"Til energi")+COUNTIFS('Resultater - Danmark'!$D$3:$D$504,'Resultat-Produktion &amp; forbrug'!A15,'Resultater - Danmark'!$A$3:$A$504,"Biogasanlæg")&gt;0,1,0)</f>
        <v>1</v>
      </c>
      <c r="D15" s="189">
        <f t="shared" si="0"/>
        <v>2019</v>
      </c>
      <c r="E15" s="187" t="s">
        <v>23</v>
      </c>
      <c r="F15" s="190">
        <f>IF(E15="Vestdanmark",SUMIFS(IF(D15=År1,'Resultater - Vestdanmark'!H$3:H$504,IF(D15=År2,'Resultater - Vestdanmark'!I$3:I$504,'Resultater - Vestdanmark'!J$3:J$504)),'Resultater - Vestdanmark'!$F$3:$F$504,$A15,IF(D15=År1,'Resultater - Vestdanmark'!H$3:H$504,IF(D15=År2,'Resultater - Vestdanmark'!I$3:I$504,'Resultater - Vestdanmark'!J$3:J$504)),"&gt;0"),SUMIFS(IF(D15=År1,'Resultater - Østdanmark'!H$3:H$504,IF(D15=År2,'Resultater - Østdanmark'!I$3:I$504,'Resultater - Østdanmark'!J$3:J$504)),'Resultater - Østdanmark'!$F$3:$F$504,$A15,IF(D15=År1,'Resultater - Østdanmark'!H$3:H$504,IF(D15=År2,'Resultater - Østdanmark'!I$3:I$504,'Resultater - Østdanmark'!J$3:J$504)),"&gt;0"))</f>
        <v>0</v>
      </c>
      <c r="G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forbrug'!G$2,'Forbrug af biomasse'!$B$2:$B$425,$E15)</f>
        <v>0</v>
      </c>
      <c r="H15" s="187">
        <f>IF(E15="Vestdanmark",-IF(A15="Halm",SUMIFS(IF(D15=År1,'Resultater - Vestdanmark'!H$3:H$504,IF(D15=År2,'Resultater - Vestdanmark'!I$3:I$504,'Resultater - Vestdanmark'!J$3:J$504)),'Resultater - Vestdanmark'!$F$3:$F$504,$A15,'Resultater - Vestdanmark'!H$3:H$504,"&lt;0"),0),-IF(A15="Halm",SUMIFS(IF(D15=År1,'Resultater - Østdanmark'!H$3:H$504,IF(D15=År2,'Resultater - Østdanmark'!I$3:I$504,'Resultater - Østdanmark'!J$3:J$504)),'Resultater - Østdanmark'!$F$3:$F$504,$A15,'Resultater - Østdanmark'!H$3:H$504,"&lt;0"),0))</f>
        <v>0</v>
      </c>
      <c r="I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forbrug'!I$2,'Forbrug af biomasse'!$B$2:$B$425,$E15)</f>
        <v>0</v>
      </c>
      <c r="J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forbrug'!J$2,'Forbrug af biomasse'!$B$2:$B$425,$E15)</f>
        <v>114193.60000000001</v>
      </c>
      <c r="K15" s="190">
        <f>SUMIFS('Forbrug af biomasse'!$E$2:$E$425,'Forbrug af biomasse'!$C$2:$C$425,'Resultat-Produktion &amp; forbrug'!$A15,'Forbrug af biomasse'!$D$2:$D$425,'Resultat-Produktion &amp; forbrug'!$D15,'Forbrug af biomasse'!$A$2:$A$425,'Resultat-Produktion &amp; forbrug'!K$2,'Forbrug af biomasse'!$B$2:$B$425,$E15)</f>
        <v>0</v>
      </c>
      <c r="L15" s="190">
        <f>IF(A15&lt;&gt;"Biogas",SUMIFS('Forbrug af biomasse'!$E$2:$E$425,'Forbrug af biomasse'!$C$2:$C$425,'Resultat-Produktion &amp; forbrug'!$A15,'Forbrug af biomasse'!$D$2:$D$425,'Resultat-Produktion &amp; forbrug'!$D15,'Forbrug af biomasse'!$A$2:$A$425,'Resultat-Produktion &amp; forbrug'!L$2,'Forbrug af biomasse'!$B$2:$B$425,$E15),F15)</f>
        <v>0</v>
      </c>
      <c r="M15" s="154">
        <f>SUMIFS('Forbrug af biomasse'!E:E,'Forbrug af biomasse'!C:C,'Resultat-Produktion &amp; forbrug'!$A15,'Forbrug af biomasse'!D:D,'Resultat-Produktion &amp; forbrug'!$D15,'Forbrug af biomasse'!G:G,1,'Forbrug af biomasse'!B:B,$E15)</f>
        <v>0</v>
      </c>
      <c r="N15" s="199">
        <f t="shared" si="4"/>
        <v>-114193.60000000001</v>
      </c>
      <c r="O15" s="190">
        <f t="shared" si="1"/>
        <v>0</v>
      </c>
      <c r="P15" s="200">
        <f t="shared" si="5"/>
        <v>114193.60000000001</v>
      </c>
      <c r="Q15" s="187">
        <f>IFERROR(VLOOKUP(A15,[1]Energiindhold!$A$2:$C$11,3,FALSE),IFERROR(VLOOKUP(A15,[1]Biogasudbytte!$A$2:$B$18,2,FALSE)*[1]Energiindhold!$C$10,0))*O15</f>
        <v>0</v>
      </c>
      <c r="R15" s="187">
        <f>IF(A15&lt;&gt;"Biogas",IFERROR(VLOOKUP(A15,[1]Biogasudbytte!$A$2:$B$18,2,FALSE)*[1]Energiindhold!$C$10,0)*J15*IFERROR(VLOOKUP(A15,Biogasanlæg!$F$3:$G$8,2,FALSE),1)+IFERROR(VLOOKUP(A15,[1]Energiindhold!$A$2:$C$11,3,FALSE),0)*L15+IF(D15&lt;&gt;År1,Q15,0),0)</f>
        <v>1.7355855896064003</v>
      </c>
      <c r="S15" s="187">
        <f>IFERROR(VLOOKUP(A15,[1]Biogasudbytte!$A$2:$B$18,2,FALSE)*[1]Energiindhold!$C$10,0)*J15*IFERROR(VLOOKUP(A15,Biogasanlæg!$F$3:$G$8,2,FALSE),1)</f>
        <v>1.7355855896064003</v>
      </c>
      <c r="T15" s="188">
        <f t="shared" si="6"/>
        <v>0</v>
      </c>
      <c r="U15" s="186">
        <f>O15*IFERROR(VLOOKUP(A15,[1]Tørstofindhold!A$2:B$24,2,FALSE),0)</f>
        <v>0</v>
      </c>
      <c r="V15" s="187">
        <f>IF(D15=År1,P15,SUM(O15,P15))*IFERROR(VLOOKUP(A15,[1]Tørstofindhold!A$2:B$24,2,FALSE),0)</f>
        <v>102774.24</v>
      </c>
      <c r="W15" s="187">
        <f>J15*IFERROR(VLOOKUP(A15,[1]Tørstofindhold!A$2:B$24,2,FALSE),0)</f>
        <v>102774.24</v>
      </c>
      <c r="X15" s="188">
        <f t="shared" si="7"/>
        <v>0</v>
      </c>
      <c r="Y15" s="168">
        <f t="shared" si="2"/>
        <v>1</v>
      </c>
      <c r="Z15" s="103">
        <f t="shared" si="3"/>
        <v>0</v>
      </c>
    </row>
    <row r="16" spans="1:26" x14ac:dyDescent="0.25">
      <c r="A16" s="189" t="s">
        <v>51</v>
      </c>
      <c r="B16" s="189" t="s">
        <v>224</v>
      </c>
      <c r="C16" s="189">
        <f>IF(COUNTIFS('Resultater - Danmark'!$D$3:$D$504,'Resultat-Produktion &amp; forbrug'!A16,'Resultater - Danmark'!$A$3:$A$504,"Til energi")+COUNTIFS('Resultater - Danmark'!$D$3:$D$504,'Resultat-Produktion &amp; forbrug'!A16,'Resultater - Danmark'!$A$3:$A$504,"Biogasanlæg")&gt;0,1,0)</f>
        <v>1</v>
      </c>
      <c r="D16" s="189">
        <f t="shared" ref="D16:D50" si="8">År1</f>
        <v>2019</v>
      </c>
      <c r="E16" s="187" t="s">
        <v>23</v>
      </c>
      <c r="F16" s="190">
        <f>IF(E16="Vestdanmark",SUMIFS(IF(D16=År1,'Resultater - Vestdanmark'!H$3:H$504,IF(D16=År2,'Resultater - Vestdanmark'!I$3:I$504,'Resultater - Vestdanmark'!J$3:J$504)),'Resultater - Vestdanmark'!$F$3:$F$504,$A16,IF(D16=År1,'Resultater - Vestdanmark'!H$3:H$504,IF(D16=År2,'Resultater - Vestdanmark'!I$3:I$504,'Resultater - Vestdanmark'!J$3:J$504)),"&gt;0"),SUMIFS(IF(D16=År1,'Resultater - Østdanmark'!H$3:H$504,IF(D16=År2,'Resultater - Østdanmark'!I$3:I$504,'Resultater - Østdanmark'!J$3:J$504)),'Resultater - Østdanmark'!$F$3:$F$504,$A16,IF(D16=År1,'Resultater - Østdanmark'!H$3:H$504,IF(D16=År2,'Resultater - Østdanmark'!I$3:I$504,'Resultater - Østdanmark'!J$3:J$504)),"&gt;0"))</f>
        <v>15764158.337739769</v>
      </c>
      <c r="G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forbrug'!G$2,'Forbrug af biomasse'!$B$2:$B$425,$E16)</f>
        <v>12237689.9092583</v>
      </c>
      <c r="H16" s="187">
        <f>IF(E16="Vestdanmark",-IF(A16="Halm",SUMIFS(IF(D16=År1,'Resultater - Vestdanmark'!H$3:H$504,IF(D16=År2,'Resultater - Vestdanmark'!I$3:I$504,'Resultater - Vestdanmark'!J$3:J$504)),'Resultater - Vestdanmark'!$F$3:$F$504,$A16,'Resultater - Vestdanmark'!H$3:H$504,"&lt;0"),0),-IF(A16="Halm",SUMIFS(IF(D16=År1,'Resultater - Østdanmark'!H$3:H$504,IF(D16=År2,'Resultater - Østdanmark'!I$3:I$504,'Resultater - Østdanmark'!J$3:J$504)),'Resultater - Østdanmark'!$F$3:$F$504,$A16,'Resultater - Østdanmark'!H$3:H$504,"&lt;0"),0))</f>
        <v>0</v>
      </c>
      <c r="I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forbrug'!I$2,'Forbrug af biomasse'!$B$2:$B$425,$E16)</f>
        <v>0</v>
      </c>
      <c r="J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forbrug'!J$2,'Forbrug af biomasse'!$B$2:$B$425,$E16)</f>
        <v>75399.16825098735</v>
      </c>
      <c r="K16" s="190">
        <f>SUMIFS('Forbrug af biomasse'!$E$2:$E$425,'Forbrug af biomasse'!$C$2:$C$425,'Resultat-Produktion &amp; forbrug'!$A16,'Forbrug af biomasse'!$D$2:$D$425,'Resultat-Produktion &amp; forbrug'!$D16,'Forbrug af biomasse'!$A$2:$A$425,'Resultat-Produktion &amp; forbrug'!K$2,'Forbrug af biomasse'!$B$2:$B$425,$E16)</f>
        <v>0</v>
      </c>
      <c r="L16" s="190">
        <f>IF(A16&lt;&gt;"Biogas",SUMIFS('Forbrug af biomasse'!$E$2:$E$425,'Forbrug af biomasse'!$C$2:$C$425,'Resultat-Produktion &amp; forbrug'!$A16,'Forbrug af biomasse'!$D$2:$D$425,'Resultat-Produktion &amp; forbrug'!$D16,'Forbrug af biomasse'!$A$2:$A$425,'Resultat-Produktion &amp; forbrug'!L$2,'Forbrug af biomasse'!$B$2:$B$425,$E16),F16)</f>
        <v>0</v>
      </c>
      <c r="M16" s="154">
        <f>SUMIFS('Forbrug af biomasse'!E:E,'Forbrug af biomasse'!C:C,'Resultat-Produktion &amp; forbrug'!$A16,'Forbrug af biomasse'!D:D,'Resultat-Produktion &amp; forbrug'!$D16,'Forbrug af biomasse'!G:G,1,'Forbrug af biomasse'!B:B,$E16)</f>
        <v>0</v>
      </c>
      <c r="N16" s="199">
        <f t="shared" ref="N16:N81" si="9">F16-SUM(G16:M16)</f>
        <v>3451069.2602304816</v>
      </c>
      <c r="O16" s="190">
        <f t="shared" si="1"/>
        <v>3451069.2602304816</v>
      </c>
      <c r="P16" s="200">
        <f t="shared" ref="P16:P81" si="10">SUM(J16,L16)</f>
        <v>75399.16825098735</v>
      </c>
      <c r="Q16" s="187">
        <f>IFERROR(VLOOKUP(A16,[1]Energiindhold!$A$2:$C$11,3,FALSE),IFERROR(VLOOKUP(A16,[1]Biogasudbytte!$A$2:$B$18,2,FALSE)*[1]Energiindhold!$C$10,0))*O16</f>
        <v>6.3495360551665581</v>
      </c>
      <c r="R16" s="187">
        <f>IF(A16&lt;&gt;"Biogas",IFERROR(VLOOKUP(A16,[1]Biogasudbytte!$A$2:$B$18,2,FALSE)*[1]Energiindhold!$C$10,0)*J16*IFERROR(VLOOKUP(A16,Biogasanlæg!$F$3:$G$8,2,FALSE),1)+IFERROR(VLOOKUP(A16,[1]Energiindhold!$A$2:$C$11,3,FALSE),0)*L16+IF(D16&lt;&gt;År1,Q16,0),0)</f>
        <v>0.13872504468578536</v>
      </c>
      <c r="S16" s="187">
        <f>IFERROR(VLOOKUP(A16,[1]Biogasudbytte!$A$2:$B$18,2,FALSE)*[1]Energiindhold!$C$10,0)*J16*IFERROR(VLOOKUP(A16,Biogasanlæg!$F$3:$G$8,2,FALSE),1)</f>
        <v>0.13872504468578536</v>
      </c>
      <c r="T16" s="188">
        <f t="shared" ref="T16:T81" si="11">R16-S16</f>
        <v>0</v>
      </c>
      <c r="U16" s="186">
        <f>O16*IFERROR(VLOOKUP(A16,[1]Tørstofindhold!A$2:B$24,2,FALSE),0)</f>
        <v>966299.39286453498</v>
      </c>
      <c r="V16" s="187">
        <f>IF(D16=År1,P16,SUM(O16,P16))*IFERROR(VLOOKUP(A16,[1]Tørstofindhold!A$2:B$24,2,FALSE),0)</f>
        <v>21111.767110276462</v>
      </c>
      <c r="W16" s="187">
        <f>J16*IFERROR(VLOOKUP(A16,[1]Tørstofindhold!A$2:B$24,2,FALSE),0)</f>
        <v>21111.767110276462</v>
      </c>
      <c r="X16" s="188">
        <f t="shared" ref="X16:X81" si="12">V16-W16</f>
        <v>0</v>
      </c>
      <c r="Y16" s="168">
        <f t="shared" si="2"/>
        <v>0</v>
      </c>
      <c r="Z16" s="103">
        <f t="shared" si="3"/>
        <v>1</v>
      </c>
    </row>
    <row r="17" spans="1:26" x14ac:dyDescent="0.25">
      <c r="A17" s="189" t="s">
        <v>203</v>
      </c>
      <c r="B17" s="189"/>
      <c r="C17" s="189">
        <f>IF(COUNTIFS('Resultater - Danmark'!$D$3:$D$504,'Resultat-Produktion &amp; forbrug'!A17,'Resultater - Danmark'!$A$3:$A$504,"Til energi")+COUNTIFS('Resultater - Danmark'!$D$3:$D$504,'Resultat-Produktion &amp; forbrug'!A17,'Resultater - Danmark'!$A$3:$A$504,"Biogasanlæg")&gt;0,1,0)</f>
        <v>0</v>
      </c>
      <c r="D17" s="189">
        <f t="shared" si="8"/>
        <v>2019</v>
      </c>
      <c r="E17" s="187" t="s">
        <v>23</v>
      </c>
      <c r="F17" s="190">
        <f>IF(E17="Vestdanmark",SUMIFS(IF(D17=År1,'Resultater - Vestdanmark'!H$3:H$504,IF(D17=År2,'Resultater - Vestdanmark'!I$3:I$504,'Resultater - Vestdanmark'!J$3:J$504)),'Resultater - Vestdanmark'!$F$3:$F$504,$A17,IF(D17=År1,'Resultater - Vestdanmark'!H$3:H$504,IF(D17=År2,'Resultater - Vestdanmark'!I$3:I$504,'Resultater - Vestdanmark'!J$3:J$504)),"&gt;0"),SUMIFS(IF(D17=År1,'Resultater - Østdanmark'!H$3:H$504,IF(D17=År2,'Resultater - Østdanmark'!I$3:I$504,'Resultater - Østdanmark'!J$3:J$504)),'Resultater - Østdanmark'!$F$3:$F$504,$A17,IF(D17=År1,'Resultater - Østdanmark'!H$3:H$504,IF(D17=År2,'Resultater - Østdanmark'!I$3:I$504,'Resultater - Østdanmark'!J$3:J$504)),"&gt;0"))</f>
        <v>0</v>
      </c>
      <c r="G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forbrug'!G$2,'Forbrug af biomasse'!$B$2:$B$425,$E17)</f>
        <v>0</v>
      </c>
      <c r="H17" s="187">
        <f>IF(E17="Vestdanmark",-IF(A17="Halm",SUMIFS(IF(D17=År1,'Resultater - Vestdanmark'!H$3:H$504,IF(D17=År2,'Resultater - Vestdanmark'!I$3:I$504,'Resultater - Vestdanmark'!J$3:J$504)),'Resultater - Vestdanmark'!$F$3:$F$504,$A17,'Resultater - Vestdanmark'!H$3:H$504,"&lt;0"),0),-IF(A17="Halm",SUMIFS(IF(D17=År1,'Resultater - Østdanmark'!H$3:H$504,IF(D17=År2,'Resultater - Østdanmark'!I$3:I$504,'Resultater - Østdanmark'!J$3:J$504)),'Resultater - Østdanmark'!$F$3:$F$504,$A17,'Resultater - Østdanmark'!H$3:H$504,"&lt;0"),0))</f>
        <v>0</v>
      </c>
      <c r="I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forbrug'!I$2,'Forbrug af biomasse'!$B$2:$B$425,$E17)</f>
        <v>0</v>
      </c>
      <c r="J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forbrug'!J$2,'Forbrug af biomasse'!$B$2:$B$425,$E17)</f>
        <v>0</v>
      </c>
      <c r="K17" s="190">
        <f>SUMIFS('Forbrug af biomasse'!$E$2:$E$425,'Forbrug af biomasse'!$C$2:$C$425,'Resultat-Produktion &amp; forbrug'!$A17,'Forbrug af biomasse'!$D$2:$D$425,'Resultat-Produktion &amp; forbrug'!$D17,'Forbrug af biomasse'!$A$2:$A$425,'Resultat-Produktion &amp; forbrug'!K$2,'Forbrug af biomasse'!$B$2:$B$425,$E17)</f>
        <v>0</v>
      </c>
      <c r="L17" s="190">
        <f>IF(A17&lt;&gt;"Biogas",SUMIFS('Forbrug af biomasse'!$E$2:$E$425,'Forbrug af biomasse'!$C$2:$C$425,'Resultat-Produktion &amp; forbrug'!$A17,'Forbrug af biomasse'!$D$2:$D$425,'Resultat-Produktion &amp; forbrug'!$D17,'Forbrug af biomasse'!$A$2:$A$425,'Resultat-Produktion &amp; forbrug'!L$2,'Forbrug af biomasse'!$B$2:$B$425,$E17),F17)</f>
        <v>0</v>
      </c>
      <c r="M17" s="154">
        <f>SUMIFS('Forbrug af biomasse'!E:E,'Forbrug af biomasse'!C:C,'Resultat-Produktion &amp; forbrug'!$A17,'Forbrug af biomasse'!D:D,'Resultat-Produktion &amp; forbrug'!$D17,'Forbrug af biomasse'!G:G,1,'Forbrug af biomasse'!B:B,$E17)</f>
        <v>0</v>
      </c>
      <c r="N17" s="199">
        <f t="shared" si="9"/>
        <v>0</v>
      </c>
      <c r="O17" s="190">
        <f t="shared" si="1"/>
        <v>0</v>
      </c>
      <c r="P17" s="200">
        <f t="shared" si="10"/>
        <v>0</v>
      </c>
      <c r="Q17" s="187">
        <f>IFERROR(VLOOKUP(A17,[1]Energiindhold!$A$2:$C$11,3,FALSE),IFERROR(VLOOKUP(A17,[1]Biogasudbytte!$A$2:$B$18,2,FALSE)*[1]Energiindhold!$C$10,0))*O17</f>
        <v>0</v>
      </c>
      <c r="R17" s="187">
        <f>IF(A17&lt;&gt;"Biogas",IFERROR(VLOOKUP(A17,[1]Biogasudbytte!$A$2:$B$18,2,FALSE)*[1]Energiindhold!$C$10,0)*J17*IFERROR(VLOOKUP(A17,Biogasanlæg!$F$3:$G$8,2,FALSE),1)+IFERROR(VLOOKUP(A17,[1]Energiindhold!$A$2:$C$11,3,FALSE),0)*L17+IF(D17&lt;&gt;År1,Q17,0),0)</f>
        <v>0</v>
      </c>
      <c r="S17" s="187">
        <f>IFERROR(VLOOKUP(A17,[1]Biogasudbytte!$A$2:$B$18,2,FALSE)*[1]Energiindhold!$C$10,0)*J17*IFERROR(VLOOKUP(A17,Biogasanlæg!$F$3:$G$8,2,FALSE),1)</f>
        <v>0</v>
      </c>
      <c r="T17" s="188">
        <f t="shared" si="11"/>
        <v>0</v>
      </c>
      <c r="U17" s="186">
        <f>O17*IFERROR(VLOOKUP(A17,[1]Tørstofindhold!A$2:B$24,2,FALSE),0)</f>
        <v>0</v>
      </c>
      <c r="V17" s="187">
        <f>IF(D17=År1,P17,SUM(O17,P17))*IFERROR(VLOOKUP(A17,[1]Tørstofindhold!A$2:B$24,2,FALSE),0)</f>
        <v>0</v>
      </c>
      <c r="W17" s="187">
        <f>J17*IFERROR(VLOOKUP(A17,[1]Tørstofindhold!A$2:B$24,2,FALSE),0)</f>
        <v>0</v>
      </c>
      <c r="X17" s="188">
        <f t="shared" si="12"/>
        <v>0</v>
      </c>
      <c r="Y17" s="168">
        <f t="shared" si="2"/>
        <v>0</v>
      </c>
      <c r="Z17" s="103">
        <f t="shared" si="3"/>
        <v>0</v>
      </c>
    </row>
    <row r="18" spans="1:26" x14ac:dyDescent="0.25">
      <c r="A18" s="189" t="s">
        <v>6</v>
      </c>
      <c r="B18" s="189"/>
      <c r="C18" s="189">
        <f>IF(COUNTIFS('Resultater - Danmark'!$D$3:$D$504,'Resultat-Produktion &amp; forbrug'!A18,'Resultater - Danmark'!$A$3:$A$504,"Til energi")+COUNTIFS('Resultater - Danmark'!$D$3:$D$504,'Resultat-Produktion &amp; forbrug'!A18,'Resultater - Danmark'!$A$3:$A$504,"Biogasanlæg")&gt;0,1,0)</f>
        <v>0</v>
      </c>
      <c r="D18" s="189">
        <f t="shared" si="8"/>
        <v>2019</v>
      </c>
      <c r="E18" s="187" t="s">
        <v>23</v>
      </c>
      <c r="F18" s="190">
        <f>IF(E18="Vestdanmark",SUMIFS(IF(D18=År1,'Resultater - Vestdanmark'!H$3:H$504,IF(D18=År2,'Resultater - Vestdanmark'!I$3:I$504,'Resultater - Vestdanmark'!J$3:J$504)),'Resultater - Vestdanmark'!$F$3:$F$504,$A18,IF(D18=År1,'Resultater - Vestdanmark'!H$3:H$504,IF(D18=År2,'Resultater - Vestdanmark'!I$3:I$504,'Resultater - Vestdanmark'!J$3:J$504)),"&gt;0"),SUMIFS(IF(D18=År1,'Resultater - Østdanmark'!H$3:H$504,IF(D18=År2,'Resultater - Østdanmark'!I$3:I$504,'Resultater - Østdanmark'!J$3:J$504)),'Resultater - Østdanmark'!$F$3:$F$504,$A18,IF(D18=År1,'Resultater - Østdanmark'!H$3:H$504,IF(D18=År2,'Resultater - Østdanmark'!I$3:I$504,'Resultater - Østdanmark'!J$3:J$504)),"&gt;0"))</f>
        <v>185022.9677154524</v>
      </c>
      <c r="G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forbrug'!G$2,'Forbrug af biomasse'!$B$2:$B$425,$E18)</f>
        <v>0</v>
      </c>
      <c r="H18" s="187">
        <f>IF(E18="Vestdanmark",-IF(A18="Halm",SUMIFS(IF(D18=År1,'Resultater - Vestdanmark'!H$3:H$504,IF(D18=År2,'Resultater - Vestdanmark'!I$3:I$504,'Resultater - Vestdanmark'!J$3:J$504)),'Resultater - Vestdanmark'!$F$3:$F$504,$A18,'Resultater - Vestdanmark'!H$3:H$504,"&lt;0"),0),-IF(A18="Halm",SUMIFS(IF(D18=År1,'Resultater - Østdanmark'!H$3:H$504,IF(D18=År2,'Resultater - Østdanmark'!I$3:I$504,'Resultater - Østdanmark'!J$3:J$504)),'Resultater - Østdanmark'!$F$3:$F$504,$A18,'Resultater - Østdanmark'!H$3:H$504,"&lt;0"),0))</f>
        <v>0</v>
      </c>
      <c r="I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forbrug'!I$2,'Forbrug af biomasse'!$B$2:$B$425,$E18)</f>
        <v>261374.54615849949</v>
      </c>
      <c r="J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forbrug'!J$2,'Forbrug af biomasse'!$B$2:$B$425,$E18)</f>
        <v>0</v>
      </c>
      <c r="K18" s="190">
        <f>SUMIFS('Forbrug af biomasse'!$E$2:$E$425,'Forbrug af biomasse'!$C$2:$C$425,'Resultat-Produktion &amp; forbrug'!$A18,'Forbrug af biomasse'!$D$2:$D$425,'Resultat-Produktion &amp; forbrug'!$D18,'Forbrug af biomasse'!$A$2:$A$425,'Resultat-Produktion &amp; forbrug'!K$2,'Forbrug af biomasse'!$B$2:$B$425,$E18)</f>
        <v>0</v>
      </c>
      <c r="L18" s="190">
        <f>IF(A18&lt;&gt;"Biogas",SUMIFS('Forbrug af biomasse'!$E$2:$E$425,'Forbrug af biomasse'!$C$2:$C$425,'Resultat-Produktion &amp; forbrug'!$A18,'Forbrug af biomasse'!$D$2:$D$425,'Resultat-Produktion &amp; forbrug'!$D18,'Forbrug af biomasse'!$A$2:$A$425,'Resultat-Produktion &amp; forbrug'!L$2,'Forbrug af biomasse'!$B$2:$B$425,$E18),F18)</f>
        <v>0</v>
      </c>
      <c r="M18" s="154">
        <f>SUMIFS('Forbrug af biomasse'!E:E,'Forbrug af biomasse'!C:C,'Resultat-Produktion &amp; forbrug'!$A18,'Forbrug af biomasse'!D:D,'Resultat-Produktion &amp; forbrug'!$D18,'Forbrug af biomasse'!G:G,1,'Forbrug af biomasse'!B:B,$E18)</f>
        <v>0</v>
      </c>
      <c r="N18" s="199">
        <f t="shared" si="9"/>
        <v>-76351.578443047096</v>
      </c>
      <c r="O18" s="190">
        <f t="shared" si="1"/>
        <v>0</v>
      </c>
      <c r="P18" s="200">
        <f t="shared" si="10"/>
        <v>0</v>
      </c>
      <c r="Q18" s="187">
        <f>IFERROR(VLOOKUP(A18,[1]Energiindhold!$A$2:$C$11,3,FALSE),IFERROR(VLOOKUP(A18,[1]Biogasudbytte!$A$2:$B$18,2,FALSE)*[1]Energiindhold!$C$10,0))*O18</f>
        <v>0</v>
      </c>
      <c r="R18" s="187">
        <f>IF(A18&lt;&gt;"Biogas",IFERROR(VLOOKUP(A18,[1]Biogasudbytte!$A$2:$B$18,2,FALSE)*[1]Energiindhold!$C$10,0)*J18*IFERROR(VLOOKUP(A18,Biogasanlæg!$F$3:$G$8,2,FALSE),1)+IFERROR(VLOOKUP(A18,[1]Energiindhold!$A$2:$C$11,3,FALSE),0)*L18+IF(D18&lt;&gt;År1,Q18,0),0)</f>
        <v>0</v>
      </c>
      <c r="S18" s="187">
        <f>IFERROR(VLOOKUP(A18,[1]Biogasudbytte!$A$2:$B$18,2,FALSE)*[1]Energiindhold!$C$10,0)*J18*IFERROR(VLOOKUP(A18,Biogasanlæg!$F$3:$G$8,2,FALSE),1)</f>
        <v>0</v>
      </c>
      <c r="T18" s="188">
        <f t="shared" si="11"/>
        <v>0</v>
      </c>
      <c r="U18" s="186">
        <f>O18*IFERROR(VLOOKUP(A18,[1]Tørstofindhold!A$2:B$24,2,FALSE),0)</f>
        <v>0</v>
      </c>
      <c r="V18" s="187">
        <f>IF(D18=År1,P18,SUM(O18,P18))*IFERROR(VLOOKUP(A18,[1]Tørstofindhold!A$2:B$24,2,FALSE),0)</f>
        <v>0</v>
      </c>
      <c r="W18" s="187">
        <f>J18*IFERROR(VLOOKUP(A18,[1]Tørstofindhold!A$2:B$24,2,FALSE),0)</f>
        <v>0</v>
      </c>
      <c r="X18" s="188">
        <f t="shared" si="12"/>
        <v>0</v>
      </c>
      <c r="Y18" s="168">
        <f t="shared" si="2"/>
        <v>1</v>
      </c>
      <c r="Z18" s="103">
        <f t="shared" si="3"/>
        <v>0</v>
      </c>
    </row>
    <row r="19" spans="1:26" x14ac:dyDescent="0.25">
      <c r="A19" s="189" t="s">
        <v>67</v>
      </c>
      <c r="B19" s="189" t="s">
        <v>227</v>
      </c>
      <c r="C19" s="189">
        <f>IF(COUNTIFS('Resultater - Danmark'!$D$3:$D$504,'Resultat-Produktion &amp; forbrug'!A19,'Resultater - Danmark'!$A$3:$A$504,"Til energi")+COUNTIFS('Resultater - Danmark'!$D$3:$D$504,'Resultat-Produktion &amp; forbrug'!A19,'Resultater - Danmark'!$A$3:$A$504,"Biogasanlæg")&gt;0,1,0)</f>
        <v>1</v>
      </c>
      <c r="D19" s="189">
        <f t="shared" si="8"/>
        <v>2019</v>
      </c>
      <c r="E19" s="187" t="s">
        <v>23</v>
      </c>
      <c r="F19" s="190">
        <f>IF(E19="Vestdanmark",SUMIFS(IF(D19=År1,'Resultater - Vestdanmark'!H$3:H$504,IF(D19=År2,'Resultater - Vestdanmark'!I$3:I$504,'Resultater - Vestdanmark'!J$3:J$504)),'Resultater - Vestdanmark'!$F$3:$F$504,$A19,IF(D19=År1,'Resultater - Vestdanmark'!H$3:H$504,IF(D19=År2,'Resultater - Vestdanmark'!I$3:I$504,'Resultater - Vestdanmark'!J$3:J$504)),"&gt;0"),SUMIFS(IF(D19=År1,'Resultater - Østdanmark'!H$3:H$504,IF(D19=År2,'Resultater - Østdanmark'!I$3:I$504,'Resultater - Østdanmark'!J$3:J$504)),'Resultater - Østdanmark'!$F$3:$F$504,$A19,IF(D19=År1,'Resultater - Østdanmark'!H$3:H$504,IF(D19=År2,'Resultater - Østdanmark'!I$3:I$504,'Resultater - Østdanmark'!J$3:J$504)),"&gt;0"))</f>
        <v>2717336.5701075909</v>
      </c>
      <c r="G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forbrug'!G$2,'Forbrug af biomasse'!$B$2:$B$425,$E19)</f>
        <v>773085.89354292618</v>
      </c>
      <c r="H19" s="187">
        <f>IF(E19="Vestdanmark",-IF(A19="Halm",SUMIFS(IF(D19=År1,'Resultater - Vestdanmark'!H$3:H$504,IF(D19=År2,'Resultater - Vestdanmark'!I$3:I$504,'Resultater - Vestdanmark'!J$3:J$504)),'Resultater - Vestdanmark'!$F$3:$F$504,$A19,'Resultater - Vestdanmark'!H$3:H$504,"&lt;0"),0),-IF(A19="Halm",SUMIFS(IF(D19=År1,'Resultater - Østdanmark'!H$3:H$504,IF(D19=År2,'Resultater - Østdanmark'!I$3:I$504,'Resultater - Østdanmark'!J$3:J$504)),'Resultater - Østdanmark'!$F$3:$F$504,$A19,'Resultater - Østdanmark'!H$3:H$504,"&lt;0"),0))</f>
        <v>728216.84089200001</v>
      </c>
      <c r="I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forbrug'!I$2,'Forbrug af biomasse'!$B$2:$B$425,$E19)</f>
        <v>0</v>
      </c>
      <c r="J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forbrug'!J$2,'Forbrug af biomasse'!$B$2:$B$425,$E19)</f>
        <v>53194.904606816119</v>
      </c>
      <c r="K19" s="190">
        <f>SUMIFS('Forbrug af biomasse'!$E$2:$E$425,'Forbrug af biomasse'!$C$2:$C$425,'Resultat-Produktion &amp; forbrug'!$A19,'Forbrug af biomasse'!$D$2:$D$425,'Resultat-Produktion &amp; forbrug'!$D19,'Forbrug af biomasse'!$A$2:$A$425,'Resultat-Produktion &amp; forbrug'!K$2,'Forbrug af biomasse'!$B$2:$B$425,$E19)</f>
        <v>0</v>
      </c>
      <c r="L19" s="190">
        <f>IF(A19&lt;&gt;"Biogas",SUMIFS('Forbrug af biomasse'!$E$2:$E$425,'Forbrug af biomasse'!$C$2:$C$425,'Resultat-Produktion &amp; forbrug'!$A19,'Forbrug af biomasse'!$D$2:$D$425,'Resultat-Produktion &amp; forbrug'!$D19,'Forbrug af biomasse'!$A$2:$A$425,'Resultat-Produktion &amp; forbrug'!L$2,'Forbrug af biomasse'!$B$2:$B$425,$E19),F19)</f>
        <v>1162838.9310658472</v>
      </c>
      <c r="M19" s="154">
        <f>SUMIFS('Forbrug af biomasse'!E:E,'Forbrug af biomasse'!C:C,'Resultat-Produktion &amp; forbrug'!$A19,'Forbrug af biomasse'!D:D,'Resultat-Produktion &amp; forbrug'!$D19,'Forbrug af biomasse'!G:G,1,'Forbrug af biomasse'!B:B,$E19)</f>
        <v>0</v>
      </c>
      <c r="N19" s="199">
        <f t="shared" si="9"/>
        <v>0</v>
      </c>
      <c r="O19" s="190">
        <f t="shared" si="1"/>
        <v>0</v>
      </c>
      <c r="P19" s="200">
        <f t="shared" si="10"/>
        <v>1216033.8356726633</v>
      </c>
      <c r="Q19" s="187">
        <f>IFERROR(VLOOKUP(A19,[1]Energiindhold!$A$2:$C$11,3,FALSE),IFERROR(VLOOKUP(A19,[1]Biogasudbytte!$A$2:$B$18,2,FALSE)*[1]Energiindhold!$C$10,0))*O19</f>
        <v>0</v>
      </c>
      <c r="R19" s="187">
        <f>IF(A19&lt;&gt;"Biogas",IFERROR(VLOOKUP(A19,[1]Biogasudbytte!$A$2:$B$18,2,FALSE)*[1]Energiindhold!$C$10,0)*J19*IFERROR(VLOOKUP(A19,Biogasanlæg!$F$3:$G$8,2,FALSE),1)+IFERROR(VLOOKUP(A19,[1]Energiindhold!$A$2:$C$11,3,FALSE),0)*L19+IF(D19&lt;&gt;År1,Q19,0),0)</f>
        <v>12.325575345409394</v>
      </c>
      <c r="S19" s="187">
        <f>IFERROR(VLOOKUP(A19,[1]Biogasudbytte!$A$2:$B$18,2,FALSE)*[1]Energiindhold!$C$10,0)*J19*IFERROR(VLOOKUP(A19,Biogasanlæg!$F$3:$G$8,2,FALSE),1)</f>
        <v>0.30669735030678263</v>
      </c>
      <c r="T19" s="188">
        <f t="shared" si="11"/>
        <v>12.018877995102612</v>
      </c>
      <c r="U19" s="186">
        <f>O19*IFERROR(VLOOKUP(A19,[1]Tørstofindhold!A$2:B$24,2,FALSE),0)</f>
        <v>0</v>
      </c>
      <c r="V19" s="187">
        <f>IF(D19=År1,P19,SUM(O19,P19))*IFERROR(VLOOKUP(A19,[1]Tørstofindhold!A$2:B$24,2,FALSE),0)</f>
        <v>1033628.7603217638</v>
      </c>
      <c r="W19" s="187">
        <f>J19*IFERROR(VLOOKUP(A19,[1]Tørstofindhold!A$2:B$24,2,FALSE),0)</f>
        <v>45215.6689157937</v>
      </c>
      <c r="X19" s="188">
        <f t="shared" si="12"/>
        <v>988413.09140597016</v>
      </c>
      <c r="Y19" s="168">
        <f t="shared" si="2"/>
        <v>0</v>
      </c>
      <c r="Z19" s="103">
        <f t="shared" si="3"/>
        <v>0</v>
      </c>
    </row>
    <row r="20" spans="1:26" x14ac:dyDescent="0.25">
      <c r="A20" s="189" t="s">
        <v>162</v>
      </c>
      <c r="B20" s="189" t="s">
        <v>230</v>
      </c>
      <c r="C20" s="189">
        <f>IF(COUNTIFS('Resultater - Danmark'!$D$3:$D$504,'Resultat-Produktion &amp; forbrug'!A20,'Resultater - Danmark'!$A$3:$A$504,"Til energi")+COUNTIFS('Resultater - Danmark'!$D$3:$D$504,'Resultat-Produktion &amp; forbrug'!A20,'Resultater - Danmark'!$A$3:$A$504,"Biogasanlæg")&gt;0,1,0)</f>
        <v>1</v>
      </c>
      <c r="D20" s="189">
        <f t="shared" si="8"/>
        <v>2019</v>
      </c>
      <c r="E20" s="187" t="s">
        <v>23</v>
      </c>
      <c r="F20" s="190">
        <f>IF(E20="Vestdanmark",SUMIFS(IF(D20=År1,'Resultater - Vestdanmark'!H$3:H$504,IF(D20=År2,'Resultater - Vestdanmark'!I$3:I$504,'Resultater - Vestdanmark'!J$3:J$504)),'Resultater - Vestdanmark'!$F$3:$F$504,$A20,IF(D20=År1,'Resultater - Vestdanmark'!H$3:H$504,IF(D20=År2,'Resultater - Vestdanmark'!I$3:I$504,'Resultater - Vestdanmark'!J$3:J$504)),"&gt;0"),SUMIFS(IF(D20=År1,'Resultater - Østdanmark'!H$3:H$504,IF(D20=År2,'Resultater - Østdanmark'!I$3:I$504,'Resultater - Østdanmark'!J$3:J$504)),'Resultater - Østdanmark'!$F$3:$F$504,$A20,IF(D20=År1,'Resultater - Østdanmark'!H$3:H$504,IF(D20=År2,'Resultater - Østdanmark'!I$3:I$504,'Resultater - Østdanmark'!J$3:J$504)),"&gt;0"))</f>
        <v>530462.48766233202</v>
      </c>
      <c r="G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forbrug'!G$2,'Forbrug af biomasse'!$B$2:$B$425,$E20)</f>
        <v>0</v>
      </c>
      <c r="H20" s="187">
        <f>IF(E20="Vestdanmark",-IF(A20="Halm",SUMIFS(IF(D20=År1,'Resultater - Vestdanmark'!H$3:H$504,IF(D20=År2,'Resultater - Vestdanmark'!I$3:I$504,'Resultater - Vestdanmark'!J$3:J$504)),'Resultater - Vestdanmark'!$F$3:$F$504,$A20,'Resultater - Vestdanmark'!H$3:H$504,"&lt;0"),0),-IF(A20="Halm",SUMIFS(IF(D20=År1,'Resultater - Østdanmark'!H$3:H$504,IF(D20=År2,'Resultater - Østdanmark'!I$3:I$504,'Resultater - Østdanmark'!J$3:J$504)),'Resultater - Østdanmark'!$F$3:$F$504,$A20,'Resultater - Østdanmark'!H$3:H$504,"&lt;0"),0))</f>
        <v>0</v>
      </c>
      <c r="I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forbrug'!I$2,'Forbrug af biomasse'!$B$2:$B$425,$E20)</f>
        <v>0</v>
      </c>
      <c r="J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forbrug'!J$2,'Forbrug af biomasse'!$B$2:$B$425,$E20)</f>
        <v>42.099811904105366</v>
      </c>
      <c r="K20" s="190">
        <f>SUMIFS('Forbrug af biomasse'!$E$2:$E$425,'Forbrug af biomasse'!$C$2:$C$425,'Resultat-Produktion &amp; forbrug'!$A20,'Forbrug af biomasse'!$D$2:$D$425,'Resultat-Produktion &amp; forbrug'!$D20,'Forbrug af biomasse'!$A$2:$A$425,'Resultat-Produktion &amp; forbrug'!K$2,'Forbrug af biomasse'!$B$2:$B$425,$E20)</f>
        <v>0</v>
      </c>
      <c r="L20" s="190">
        <f>IF(A20&lt;&gt;"Biogas",SUMIFS('Forbrug af biomasse'!$E$2:$E$425,'Forbrug af biomasse'!$C$2:$C$425,'Resultat-Produktion &amp; forbrug'!$A20,'Forbrug af biomasse'!$D$2:$D$425,'Resultat-Produktion &amp; forbrug'!$D20,'Forbrug af biomasse'!$A$2:$A$425,'Resultat-Produktion &amp; forbrug'!L$2,'Forbrug af biomasse'!$B$2:$B$425,$E20),F20)</f>
        <v>530420.38785042788</v>
      </c>
      <c r="M20" s="154">
        <f>SUMIFS('Forbrug af biomasse'!E:E,'Forbrug af biomasse'!C:C,'Resultat-Produktion &amp; forbrug'!$A20,'Forbrug af biomasse'!D:D,'Resultat-Produktion &amp; forbrug'!$D20,'Forbrug af biomasse'!G:G,1,'Forbrug af biomasse'!B:B,$E20)</f>
        <v>0</v>
      </c>
      <c r="N20" s="199">
        <f t="shared" si="9"/>
        <v>0</v>
      </c>
      <c r="O20" s="190">
        <f t="shared" si="1"/>
        <v>0</v>
      </c>
      <c r="P20" s="200">
        <f t="shared" si="10"/>
        <v>530462.48766233202</v>
      </c>
      <c r="Q20" s="187">
        <f>IFERROR(VLOOKUP(A20,[1]Energiindhold!$A$2:$C$11,3,FALSE),IFERROR(VLOOKUP(A20,[1]Biogasudbytte!$A$2:$B$18,2,FALSE)*[1]Energiindhold!$C$10,0))*O20</f>
        <v>0</v>
      </c>
      <c r="R20" s="187">
        <f>IF(A20&lt;&gt;"Biogas",IFERROR(VLOOKUP(A20,[1]Biogasudbytte!$A$2:$B$18,2,FALSE)*[1]Energiindhold!$C$10,0)*J20*IFERROR(VLOOKUP(A20,Biogasanlæg!$F$3:$G$8,2,FALSE),1)+IFERROR(VLOOKUP(A20,[1]Energiindhold!$A$2:$C$11,3,FALSE),0)*L20+IF(D20&lt;&gt;År1,Q20,0),0)</f>
        <v>9.4692532209947728</v>
      </c>
      <c r="S20" s="187">
        <f>IFERROR(VLOOKUP(A20,[1]Biogasudbytte!$A$2:$B$18,2,FALSE)*[1]Energiindhold!$C$10,0)*J20*IFERROR(VLOOKUP(A20,Biogasanlæg!$F$3:$G$8,2,FALSE),1)</f>
        <v>7.148842760000421E-5</v>
      </c>
      <c r="T20" s="188">
        <f t="shared" si="11"/>
        <v>9.4691817325671721</v>
      </c>
      <c r="U20" s="186">
        <f>O20*IFERROR(VLOOKUP(A20,[1]Tørstofindhold!A$2:B$24,2,FALSE),0)</f>
        <v>0</v>
      </c>
      <c r="V20" s="187">
        <f>IF(D20=År1,P20,SUM(O20,P20))*IFERROR(VLOOKUP(A20,[1]Tørstofindhold!A$2:B$24,2,FALSE),0)</f>
        <v>159138.74629869961</v>
      </c>
      <c r="W20" s="187">
        <f>J20*IFERROR(VLOOKUP(A20,[1]Tørstofindhold!A$2:B$24,2,FALSE),0)</f>
        <v>12.629943571231609</v>
      </c>
      <c r="X20" s="188">
        <f t="shared" si="12"/>
        <v>159126.11635512838</v>
      </c>
      <c r="Y20" s="168">
        <f t="shared" si="2"/>
        <v>0</v>
      </c>
      <c r="Z20" s="103">
        <f t="shared" si="3"/>
        <v>0</v>
      </c>
    </row>
    <row r="21" spans="1:26" x14ac:dyDescent="0.25">
      <c r="A21" s="187" t="s">
        <v>159</v>
      </c>
      <c r="B21" s="189"/>
      <c r="C21" s="189">
        <f>IF(COUNTIFS('Resultater - Danmark'!$D$3:$D$504,'Resultat-Produktion &amp; forbrug'!A21,'Resultater - Danmark'!$A$3:$A$504,"Til energi")+COUNTIFS('Resultater - Danmark'!$D$3:$D$504,'Resultat-Produktion &amp; forbrug'!A21,'Resultater - Danmark'!$A$3:$A$504,"Biogasanlæg")&gt;0,1,0)</f>
        <v>0</v>
      </c>
      <c r="D21" s="189">
        <f t="shared" si="8"/>
        <v>2019</v>
      </c>
      <c r="E21" s="187" t="s">
        <v>23</v>
      </c>
      <c r="F21" s="190">
        <f>IF(E21="Vestdanmark",SUMIFS(IF(D21=År1,'Resultater - Vestdanmark'!H$3:H$504,IF(D21=År2,'Resultater - Vestdanmark'!I$3:I$504,'Resultater - Vestdanmark'!J$3:J$504)),'Resultater - Vestdanmark'!$F$3:$F$504,$A21,IF(D21=År1,'Resultater - Vestdanmark'!H$3:H$504,IF(D21=År2,'Resultater - Vestdanmark'!I$3:I$504,'Resultater - Vestdanmark'!J$3:J$504)),"&gt;0"),SUMIFS(IF(D21=År1,'Resultater - Østdanmark'!H$3:H$504,IF(D21=År2,'Resultater - Østdanmark'!I$3:I$504,'Resultater - Østdanmark'!J$3:J$504)),'Resultater - Østdanmark'!$F$3:$F$504,$A21,IF(D21=År1,'Resultater - Østdanmark'!H$3:H$504,IF(D21=År2,'Resultater - Østdanmark'!I$3:I$504,'Resultater - Østdanmark'!J$3:J$504)),"&gt;0"))</f>
        <v>0</v>
      </c>
      <c r="G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forbrug'!G$2,'Forbrug af biomasse'!$B$2:$B$425,$E21)</f>
        <v>4828427.5390456235</v>
      </c>
      <c r="H21" s="187">
        <f>IF(E21="Vestdanmark",-IF(A21="Halm",SUMIFS(IF(D21=År1,'Resultater - Vestdanmark'!H$3:H$504,IF(D21=År2,'Resultater - Vestdanmark'!I$3:I$504,'Resultater - Vestdanmark'!J$3:J$504)),'Resultater - Vestdanmark'!$F$3:$F$504,$A21,'Resultater - Vestdanmark'!H$3:H$504,"&lt;0"),0),-IF(A21="Halm",SUMIFS(IF(D21=År1,'Resultater - Østdanmark'!H$3:H$504,IF(D21=År2,'Resultater - Østdanmark'!I$3:I$504,'Resultater - Østdanmark'!J$3:J$504)),'Resultater - Østdanmark'!$F$3:$F$504,$A21,'Resultater - Østdanmark'!H$3:H$504,"&lt;0"),0))</f>
        <v>0</v>
      </c>
      <c r="I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forbrug'!I$2,'Forbrug af biomasse'!$B$2:$B$425,$E21)</f>
        <v>0</v>
      </c>
      <c r="J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forbrug'!J$2,'Forbrug af biomasse'!$B$2:$B$425,$E21)</f>
        <v>0</v>
      </c>
      <c r="K21" s="190">
        <f>SUMIFS('Forbrug af biomasse'!$E$2:$E$425,'Forbrug af biomasse'!$C$2:$C$425,'Resultat-Produktion &amp; forbrug'!$A21,'Forbrug af biomasse'!$D$2:$D$425,'Resultat-Produktion &amp; forbrug'!$D21,'Forbrug af biomasse'!$A$2:$A$425,'Resultat-Produktion &amp; forbrug'!K$2,'Forbrug af biomasse'!$B$2:$B$425,$E21)</f>
        <v>0</v>
      </c>
      <c r="L21" s="190">
        <f>IF(A21&lt;&gt;"Biogas",SUMIFS('Forbrug af biomasse'!$E$2:$E$425,'Forbrug af biomasse'!$C$2:$C$425,'Resultat-Produktion &amp; forbrug'!$A21,'Forbrug af biomasse'!$D$2:$D$425,'Resultat-Produktion &amp; forbrug'!$D21,'Forbrug af biomasse'!$A$2:$A$425,'Resultat-Produktion &amp; forbrug'!L$2,'Forbrug af biomasse'!$B$2:$B$425,$E21),F21)</f>
        <v>0</v>
      </c>
      <c r="M21" s="154">
        <f>SUMIFS('Forbrug af biomasse'!E:E,'Forbrug af biomasse'!C:C,'Resultat-Produktion &amp; forbrug'!$A21,'Forbrug af biomasse'!D:D,'Resultat-Produktion &amp; forbrug'!$D21,'Forbrug af biomasse'!G:G,1,'Forbrug af biomasse'!B:B,$E21)</f>
        <v>0</v>
      </c>
      <c r="N21" s="199">
        <f t="shared" si="9"/>
        <v>-4828427.5390456235</v>
      </c>
      <c r="O21" s="190">
        <f t="shared" si="1"/>
        <v>0</v>
      </c>
      <c r="P21" s="200">
        <f t="shared" si="10"/>
        <v>0</v>
      </c>
      <c r="Q21" s="187">
        <f>IFERROR(VLOOKUP(A21,[1]Energiindhold!$A$2:$C$11,3,FALSE),IFERROR(VLOOKUP(A21,[1]Biogasudbytte!$A$2:$B$18,2,FALSE)*[1]Energiindhold!$C$10,0))*O21</f>
        <v>0</v>
      </c>
      <c r="R21" s="187">
        <f>IF(A21&lt;&gt;"Biogas",IFERROR(VLOOKUP(A21,[1]Biogasudbytte!$A$2:$B$18,2,FALSE)*[1]Energiindhold!$C$10,0)*J21*IFERROR(VLOOKUP(A21,Biogasanlæg!$F$3:$G$8,2,FALSE),1)+IFERROR(VLOOKUP(A21,[1]Energiindhold!$A$2:$C$11,3,FALSE),0)*L21+IF(D21&lt;&gt;År1,Q21,0),0)</f>
        <v>0</v>
      </c>
      <c r="S21" s="187">
        <f>IFERROR(VLOOKUP(A21,[1]Biogasudbytte!$A$2:$B$18,2,FALSE)*[1]Energiindhold!$C$10,0)*J21*IFERROR(VLOOKUP(A21,Biogasanlæg!$F$3:$G$8,2,FALSE),1)</f>
        <v>0</v>
      </c>
      <c r="T21" s="188">
        <f t="shared" si="11"/>
        <v>0</v>
      </c>
      <c r="U21" s="186">
        <f>O21*IFERROR(VLOOKUP(A21,[1]Tørstofindhold!A$2:B$24,2,FALSE),0)</f>
        <v>0</v>
      </c>
      <c r="V21" s="187">
        <f>IF(D21=År1,P21,SUM(O21,P21))*IFERROR(VLOOKUP(A21,[1]Tørstofindhold!A$2:B$24,2,FALSE),0)</f>
        <v>0</v>
      </c>
      <c r="W21" s="187">
        <f>J21*IFERROR(VLOOKUP(A21,[1]Tørstofindhold!A$2:B$24,2,FALSE),0)</f>
        <v>0</v>
      </c>
      <c r="X21" s="188">
        <f t="shared" si="12"/>
        <v>0</v>
      </c>
      <c r="Y21" s="168">
        <f t="shared" si="2"/>
        <v>1</v>
      </c>
      <c r="Z21" s="103">
        <f t="shared" si="3"/>
        <v>0</v>
      </c>
    </row>
    <row r="22" spans="1:26" x14ac:dyDescent="0.25">
      <c r="A22" s="189" t="s">
        <v>103</v>
      </c>
      <c r="B22" s="189" t="s">
        <v>230</v>
      </c>
      <c r="C22" s="189">
        <f>IF(COUNTIFS('Resultater - Danmark'!$D$3:$D$504,'Resultat-Produktion &amp; forbrug'!A22,'Resultater - Danmark'!$A$3:$A$504,"Til energi")+COUNTIFS('Resultater - Danmark'!$D$3:$D$504,'Resultat-Produktion &amp; forbrug'!A22,'Resultater - Danmark'!$A$3:$A$504,"Biogasanlæg")&gt;0,1,0)</f>
        <v>1</v>
      </c>
      <c r="D22" s="189">
        <f t="shared" si="8"/>
        <v>2019</v>
      </c>
      <c r="E22" s="187" t="s">
        <v>23</v>
      </c>
      <c r="F22" s="190">
        <f>IF(E22="Vestdanmark",SUMIFS(IF(D22=År1,'Resultater - Vestdanmark'!H$3:H$504,IF(D22=År2,'Resultater - Vestdanmark'!I$3:I$504,'Resultater - Vestdanmark'!J$3:J$504)),'Resultater - Vestdanmark'!$F$3:$F$504,$A22,IF(D22=År1,'Resultater - Vestdanmark'!H$3:H$504,IF(D22=År2,'Resultater - Vestdanmark'!I$3:I$504,'Resultater - Vestdanmark'!J$3:J$504)),"&gt;0"),SUMIFS(IF(D22=År1,'Resultater - Østdanmark'!H$3:H$504,IF(D22=År2,'Resultater - Østdanmark'!I$3:I$504,'Resultater - Østdanmark'!J$3:J$504)),'Resultater - Østdanmark'!$F$3:$F$504,$A22,IF(D22=År1,'Resultater - Østdanmark'!H$3:H$504,IF(D22=År2,'Resultater - Østdanmark'!I$3:I$504,'Resultater - Østdanmark'!J$3:J$504)),"&gt;0"))</f>
        <v>513042.22037196398</v>
      </c>
      <c r="G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forbrug'!G$2,'Forbrug af biomasse'!$B$2:$B$425,$E22)</f>
        <v>0</v>
      </c>
      <c r="H22" s="187">
        <f>IF(E22="Vestdanmark",-IF(A22="Halm",SUMIFS(IF(D22=År1,'Resultater - Vestdanmark'!H$3:H$504,IF(D22=År2,'Resultater - Vestdanmark'!I$3:I$504,'Resultater - Vestdanmark'!J$3:J$504)),'Resultater - Vestdanmark'!$F$3:$F$504,$A22,'Resultater - Vestdanmark'!H$3:H$504,"&lt;0"),0),-IF(A22="Halm",SUMIFS(IF(D22=År1,'Resultater - Østdanmark'!H$3:H$504,IF(D22=År2,'Resultater - Østdanmark'!I$3:I$504,'Resultater - Østdanmark'!J$3:J$504)),'Resultater - Østdanmark'!$F$3:$F$504,$A22,'Resultater - Østdanmark'!H$3:H$504,"&lt;0"),0))</f>
        <v>0</v>
      </c>
      <c r="I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forbrug'!I$2,'Forbrug af biomasse'!$B$2:$B$425,$E22)</f>
        <v>0</v>
      </c>
      <c r="J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forbrug'!J$2,'Forbrug af biomasse'!$B$2:$B$425,$E22)</f>
        <v>716103.75203569303</v>
      </c>
      <c r="K22" s="190">
        <f>SUMIFS('Forbrug af biomasse'!$E$2:$E$425,'Forbrug af biomasse'!$C$2:$C$425,'Resultat-Produktion &amp; forbrug'!$A22,'Forbrug af biomasse'!$D$2:$D$425,'Resultat-Produktion &amp; forbrug'!$D22,'Forbrug af biomasse'!$A$2:$A$425,'Resultat-Produktion &amp; forbrug'!K$2,'Forbrug af biomasse'!$B$2:$B$425,$E22)</f>
        <v>0</v>
      </c>
      <c r="L22" s="190">
        <f>IF(A22&lt;&gt;"Biogas",SUMIFS('Forbrug af biomasse'!$E$2:$E$425,'Forbrug af biomasse'!$C$2:$C$425,'Resultat-Produktion &amp; forbrug'!$A22,'Forbrug af biomasse'!$D$2:$D$425,'Resultat-Produktion &amp; forbrug'!$D22,'Forbrug af biomasse'!$A$2:$A$425,'Resultat-Produktion &amp; forbrug'!L$2,'Forbrug af biomasse'!$B$2:$B$425,$E22),F22)</f>
        <v>0</v>
      </c>
      <c r="M22" s="154">
        <f>SUMIFS('Forbrug af biomasse'!E:E,'Forbrug af biomasse'!C:C,'Resultat-Produktion &amp; forbrug'!$A22,'Forbrug af biomasse'!D:D,'Resultat-Produktion &amp; forbrug'!$D22,'Forbrug af biomasse'!G:G,1,'Forbrug af biomasse'!B:B,$E22)</f>
        <v>0</v>
      </c>
      <c r="N22" s="199">
        <f t="shared" si="9"/>
        <v>-203061.53166372905</v>
      </c>
      <c r="O22" s="190">
        <f t="shared" si="1"/>
        <v>0</v>
      </c>
      <c r="P22" s="200">
        <f t="shared" si="10"/>
        <v>716103.75203569303</v>
      </c>
      <c r="Q22" s="187">
        <f>IFERROR(VLOOKUP(A22,[1]Energiindhold!$A$2:$C$11,3,FALSE),IFERROR(VLOOKUP(A22,[1]Biogasudbytte!$A$2:$B$18,2,FALSE)*[1]Energiindhold!$C$10,0))*O22</f>
        <v>0</v>
      </c>
      <c r="R22" s="187">
        <f>IF(A22&lt;&gt;"Biogas",IFERROR(VLOOKUP(A22,[1]Biogasudbytte!$A$2:$B$18,2,FALSE)*[1]Energiindhold!$C$10,0)*J22*IFERROR(VLOOKUP(A22,Biogasanlæg!$F$3:$G$8,2,FALSE),1)+IFERROR(VLOOKUP(A22,[1]Energiindhold!$A$2:$C$11,3,FALSE),0)*L22+IF(D22&lt;&gt;År1,Q22,0),0)</f>
        <v>2.637525053399659</v>
      </c>
      <c r="S22" s="187">
        <f>IFERROR(VLOOKUP(A22,[1]Biogasudbytte!$A$2:$B$18,2,FALSE)*[1]Energiindhold!$C$10,0)*J22*IFERROR(VLOOKUP(A22,Biogasanlæg!$F$3:$G$8,2,FALSE),1)</f>
        <v>2.637525053399659</v>
      </c>
      <c r="T22" s="188">
        <f t="shared" si="11"/>
        <v>0</v>
      </c>
      <c r="U22" s="186">
        <f>O22*IFERROR(VLOOKUP(A22,[1]Tørstofindhold!A$2:B$24,2,FALSE),0)</f>
        <v>0</v>
      </c>
      <c r="V22" s="187">
        <f>IF(D22=År1,P22,SUM(O22,P22))*IFERROR(VLOOKUP(A22,[1]Tørstofindhold!A$2:B$24,2,FALSE),0)</f>
        <v>300763.57585499104</v>
      </c>
      <c r="W22" s="187">
        <f>J22*IFERROR(VLOOKUP(A22,[1]Tørstofindhold!A$2:B$24,2,FALSE),0)</f>
        <v>300763.57585499104</v>
      </c>
      <c r="X22" s="188">
        <f t="shared" si="12"/>
        <v>0</v>
      </c>
      <c r="Y22" s="168">
        <f t="shared" si="2"/>
        <v>1</v>
      </c>
      <c r="Z22" s="103">
        <f t="shared" si="3"/>
        <v>0</v>
      </c>
    </row>
    <row r="23" spans="1:26" x14ac:dyDescent="0.25">
      <c r="A23" s="189" t="s">
        <v>56</v>
      </c>
      <c r="B23" s="189"/>
      <c r="C23" s="189">
        <f>IF(COUNTIFS('Resultater - Danmark'!$D$3:$D$504,'Resultat-Produktion &amp; forbrug'!A23,'Resultater - Danmark'!$A$3:$A$504,"Til energi")+COUNTIFS('Resultater - Danmark'!$D$3:$D$504,'Resultat-Produktion &amp; forbrug'!A23,'Resultater - Danmark'!$A$3:$A$504,"Biogasanlæg")&gt;0,1,0)</f>
        <v>0</v>
      </c>
      <c r="D23" s="189">
        <f t="shared" si="8"/>
        <v>2019</v>
      </c>
      <c r="E23" s="187" t="s">
        <v>23</v>
      </c>
      <c r="F23" s="190">
        <f>IF(E23="Vestdanmark",SUMIFS(IF(D23=År1,'Resultater - Vestdanmark'!H$3:H$504,IF(D23=År2,'Resultater - Vestdanmark'!I$3:I$504,'Resultater - Vestdanmark'!J$3:J$504)),'Resultater - Vestdanmark'!$F$3:$F$504,$A23,IF(D23=År1,'Resultater - Vestdanmark'!H$3:H$504,IF(D23=År2,'Resultater - Vestdanmark'!I$3:I$504,'Resultater - Vestdanmark'!J$3:J$504)),"&gt;0"),SUMIFS(IF(D23=År1,'Resultater - Østdanmark'!H$3:H$504,IF(D23=År2,'Resultater - Østdanmark'!I$3:I$504,'Resultater - Østdanmark'!J$3:J$504)),'Resultater - Østdanmark'!$F$3:$F$504,$A23,IF(D23=År1,'Resultater - Østdanmark'!H$3:H$504,IF(D23=År2,'Resultater - Østdanmark'!I$3:I$504,'Resultater - Østdanmark'!J$3:J$504)),"&gt;0"))</f>
        <v>766472.09789043549</v>
      </c>
      <c r="G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forbrug'!G$2,'Forbrug af biomasse'!$B$2:$B$425,$E23)</f>
        <v>0</v>
      </c>
      <c r="H23" s="187">
        <f>IF(E23="Vestdanmark",-IF(A23="Halm",SUMIFS(IF(D23=År1,'Resultater - Vestdanmark'!H$3:H$504,IF(D23=År2,'Resultater - Vestdanmark'!I$3:I$504,'Resultater - Vestdanmark'!J$3:J$504)),'Resultater - Vestdanmark'!$F$3:$F$504,$A23,'Resultater - Vestdanmark'!H$3:H$504,"&lt;0"),0),-IF(A23="Halm",SUMIFS(IF(D23=År1,'Resultater - Østdanmark'!H$3:H$504,IF(D23=År2,'Resultater - Østdanmark'!I$3:I$504,'Resultater - Østdanmark'!J$3:J$504)),'Resultater - Østdanmark'!$F$3:$F$504,$A23,'Resultater - Østdanmark'!H$3:H$504,"&lt;0"),0))</f>
        <v>0</v>
      </c>
      <c r="I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forbrug'!I$2,'Forbrug af biomasse'!$B$2:$B$425,$E23)</f>
        <v>0</v>
      </c>
      <c r="J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forbrug'!J$2,'Forbrug af biomasse'!$B$2:$B$425,$E23)</f>
        <v>0</v>
      </c>
      <c r="K23" s="190">
        <f>SUMIFS('Forbrug af biomasse'!$E$2:$E$425,'Forbrug af biomasse'!$C$2:$C$425,'Resultat-Produktion &amp; forbrug'!$A23,'Forbrug af biomasse'!$D$2:$D$425,'Resultat-Produktion &amp; forbrug'!$D23,'Forbrug af biomasse'!$A$2:$A$425,'Resultat-Produktion &amp; forbrug'!K$2,'Forbrug af biomasse'!$B$2:$B$425,$E23)</f>
        <v>0</v>
      </c>
      <c r="L23" s="190">
        <f>IF(A23&lt;&gt;"Biogas",SUMIFS('Forbrug af biomasse'!$E$2:$E$425,'Forbrug af biomasse'!$C$2:$C$425,'Resultat-Produktion &amp; forbrug'!$A23,'Forbrug af biomasse'!$D$2:$D$425,'Resultat-Produktion &amp; forbrug'!$D23,'Forbrug af biomasse'!$A$2:$A$425,'Resultat-Produktion &amp; forbrug'!L$2,'Forbrug af biomasse'!$B$2:$B$425,$E23),F23)</f>
        <v>0</v>
      </c>
      <c r="M23" s="154">
        <f>SUMIFS('Forbrug af biomasse'!E:E,'Forbrug af biomasse'!C:C,'Resultat-Produktion &amp; forbrug'!$A23,'Forbrug af biomasse'!D:D,'Resultat-Produktion &amp; forbrug'!$D23,'Forbrug af biomasse'!G:G,1,'Forbrug af biomasse'!B:B,$E23)</f>
        <v>0</v>
      </c>
      <c r="N23" s="199">
        <f t="shared" si="9"/>
        <v>766472.09789043549</v>
      </c>
      <c r="O23" s="190">
        <f t="shared" si="1"/>
        <v>0</v>
      </c>
      <c r="P23" s="200">
        <f t="shared" si="10"/>
        <v>0</v>
      </c>
      <c r="Q23" s="187">
        <f>IFERROR(VLOOKUP(A23,[1]Energiindhold!$A$2:$C$11,3,FALSE),IFERROR(VLOOKUP(A23,[1]Biogasudbytte!$A$2:$B$18,2,FALSE)*[1]Energiindhold!$C$10,0))*O23</f>
        <v>0</v>
      </c>
      <c r="R23" s="187">
        <f>IF(A23&lt;&gt;"Biogas",IFERROR(VLOOKUP(A23,[1]Biogasudbytte!$A$2:$B$18,2,FALSE)*[1]Energiindhold!$C$10,0)*J23*IFERROR(VLOOKUP(A23,Biogasanlæg!$F$3:$G$8,2,FALSE),1)+IFERROR(VLOOKUP(A23,[1]Energiindhold!$A$2:$C$11,3,FALSE),0)*L23+IF(D23&lt;&gt;År1,Q23,0),0)</f>
        <v>0</v>
      </c>
      <c r="S23" s="187">
        <f>IFERROR(VLOOKUP(A23,[1]Biogasudbytte!$A$2:$B$18,2,FALSE)*[1]Energiindhold!$C$10,0)*J23*IFERROR(VLOOKUP(A23,Biogasanlæg!$F$3:$G$8,2,FALSE),1)</f>
        <v>0</v>
      </c>
      <c r="T23" s="188">
        <f t="shared" si="11"/>
        <v>0</v>
      </c>
      <c r="U23" s="186">
        <f>O23*IFERROR(VLOOKUP(A23,[1]Tørstofindhold!A$2:B$24,2,FALSE),0)</f>
        <v>0</v>
      </c>
      <c r="V23" s="187">
        <f>IF(D23=År1,P23,SUM(O23,P23))*IFERROR(VLOOKUP(A23,[1]Tørstofindhold!A$2:B$24,2,FALSE),0)</f>
        <v>0</v>
      </c>
      <c r="W23" s="187">
        <f>J23*IFERROR(VLOOKUP(A23,[1]Tørstofindhold!A$2:B$24,2,FALSE),0)</f>
        <v>0</v>
      </c>
      <c r="X23" s="188">
        <f t="shared" si="12"/>
        <v>0</v>
      </c>
      <c r="Y23" s="168">
        <f t="shared" si="2"/>
        <v>0</v>
      </c>
      <c r="Z23" s="103">
        <f t="shared" si="3"/>
        <v>1</v>
      </c>
    </row>
    <row r="24" spans="1:26" x14ac:dyDescent="0.25">
      <c r="A24" s="189" t="s">
        <v>12</v>
      </c>
      <c r="B24" s="189"/>
      <c r="C24" s="189">
        <f>IF(COUNTIFS('Resultater - Danmark'!$D$3:$D$504,'Resultat-Produktion &amp; forbrug'!A24,'Resultater - Danmark'!$A$3:$A$504,"Til energi")+COUNTIFS('Resultater - Danmark'!$D$3:$D$504,'Resultat-Produktion &amp; forbrug'!A24,'Resultater - Danmark'!$A$3:$A$504,"Biogasanlæg")&gt;0,1,0)</f>
        <v>0</v>
      </c>
      <c r="D24" s="189">
        <f t="shared" si="8"/>
        <v>2019</v>
      </c>
      <c r="E24" s="187" t="s">
        <v>23</v>
      </c>
      <c r="F24" s="190">
        <f>IF(E24="Vestdanmark",SUMIFS(IF(D24=År1,'Resultater - Vestdanmark'!H$3:H$504,IF(D24=År2,'Resultater - Vestdanmark'!I$3:I$504,'Resultater - Vestdanmark'!J$3:J$504)),'Resultater - Vestdanmark'!$F$3:$F$504,$A24,IF(D24=År1,'Resultater - Vestdanmark'!H$3:H$504,IF(D24=År2,'Resultater - Vestdanmark'!I$3:I$504,'Resultater - Vestdanmark'!J$3:J$504)),"&gt;0"),SUMIFS(IF(D24=År1,'Resultater - Østdanmark'!H$3:H$504,IF(D24=År2,'Resultater - Østdanmark'!I$3:I$504,'Resultater - Østdanmark'!J$3:J$504)),'Resultater - Østdanmark'!$F$3:$F$504,$A24,IF(D24=År1,'Resultater - Østdanmark'!H$3:H$504,IF(D24=År2,'Resultater - Østdanmark'!I$3:I$504,'Resultater - Østdanmark'!J$3:J$504)),"&gt;0"))</f>
        <v>2146636.3631328358</v>
      </c>
      <c r="G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forbrug'!G$2,'Forbrug af biomasse'!$B$2:$B$425,$E24)</f>
        <v>0</v>
      </c>
      <c r="H24" s="187">
        <f>IF(E24="Vestdanmark",-IF(A24="Halm",SUMIFS(IF(D24=År1,'Resultater - Vestdanmark'!H$3:H$504,IF(D24=År2,'Resultater - Vestdanmark'!I$3:I$504,'Resultater - Vestdanmark'!J$3:J$504)),'Resultater - Vestdanmark'!$F$3:$F$504,$A24,'Resultater - Vestdanmark'!H$3:H$504,"&lt;0"),0),-IF(A24="Halm",SUMIFS(IF(D24=År1,'Resultater - Østdanmark'!H$3:H$504,IF(D24=År2,'Resultater - Østdanmark'!I$3:I$504,'Resultater - Østdanmark'!J$3:J$504)),'Resultater - Østdanmark'!$F$3:$F$504,$A24,'Resultater - Østdanmark'!H$3:H$504,"&lt;0"),0))</f>
        <v>0</v>
      </c>
      <c r="I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forbrug'!I$2,'Forbrug af biomasse'!$B$2:$B$425,$E24)</f>
        <v>119523.03367046962</v>
      </c>
      <c r="J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forbrug'!J$2,'Forbrug af biomasse'!$B$2:$B$425,$E24)</f>
        <v>0</v>
      </c>
      <c r="K24" s="190">
        <f>SUMIFS('Forbrug af biomasse'!$E$2:$E$425,'Forbrug af biomasse'!$C$2:$C$425,'Resultat-Produktion &amp; forbrug'!$A24,'Forbrug af biomasse'!$D$2:$D$425,'Resultat-Produktion &amp; forbrug'!$D24,'Forbrug af biomasse'!$A$2:$A$425,'Resultat-Produktion &amp; forbrug'!K$2,'Forbrug af biomasse'!$B$2:$B$425,$E24)</f>
        <v>0</v>
      </c>
      <c r="L24" s="190">
        <f>IF(A24&lt;&gt;"Biogas",SUMIFS('Forbrug af biomasse'!$E$2:$E$425,'Forbrug af biomasse'!$C$2:$C$425,'Resultat-Produktion &amp; forbrug'!$A24,'Forbrug af biomasse'!$D$2:$D$425,'Resultat-Produktion &amp; forbrug'!$D24,'Forbrug af biomasse'!$A$2:$A$425,'Resultat-Produktion &amp; forbrug'!L$2,'Forbrug af biomasse'!$B$2:$B$425,$E24),F24)</f>
        <v>0</v>
      </c>
      <c r="M24" s="154">
        <f>SUMIFS('Forbrug af biomasse'!E:E,'Forbrug af biomasse'!C:C,'Resultat-Produktion &amp; forbrug'!$A24,'Forbrug af biomasse'!D:D,'Resultat-Produktion &amp; forbrug'!$D24,'Forbrug af biomasse'!G:G,1,'Forbrug af biomasse'!B:B,$E24)</f>
        <v>0</v>
      </c>
      <c r="N24" s="199">
        <f t="shared" si="9"/>
        <v>2027113.3294623662</v>
      </c>
      <c r="O24" s="190">
        <f t="shared" si="1"/>
        <v>0</v>
      </c>
      <c r="P24" s="200">
        <f t="shared" si="10"/>
        <v>0</v>
      </c>
      <c r="Q24" s="187">
        <f>IFERROR(VLOOKUP(A24,[1]Energiindhold!$A$2:$C$11,3,FALSE),IFERROR(VLOOKUP(A24,[1]Biogasudbytte!$A$2:$B$18,2,FALSE)*[1]Energiindhold!$C$10,0))*O24</f>
        <v>0</v>
      </c>
      <c r="R24" s="187">
        <f>IF(A24&lt;&gt;"Biogas",IFERROR(VLOOKUP(A24,[1]Biogasudbytte!$A$2:$B$18,2,FALSE)*[1]Energiindhold!$C$10,0)*J24*IFERROR(VLOOKUP(A24,Biogasanlæg!$F$3:$G$8,2,FALSE),1)+IFERROR(VLOOKUP(A24,[1]Energiindhold!$A$2:$C$11,3,FALSE),0)*L24+IF(D24&lt;&gt;År1,Q24,0),0)</f>
        <v>0</v>
      </c>
      <c r="S24" s="187">
        <f>IFERROR(VLOOKUP(A24,[1]Biogasudbytte!$A$2:$B$18,2,FALSE)*[1]Energiindhold!$C$10,0)*J24*IFERROR(VLOOKUP(A24,Biogasanlæg!$F$3:$G$8,2,FALSE),1)</f>
        <v>0</v>
      </c>
      <c r="T24" s="188">
        <f t="shared" si="11"/>
        <v>0</v>
      </c>
      <c r="U24" s="186">
        <f>O24*IFERROR(VLOOKUP(A24,[1]Tørstofindhold!A$2:B$24,2,FALSE),0)</f>
        <v>0</v>
      </c>
      <c r="V24" s="187">
        <f>IF(D24=År1,P24,SUM(O24,P24))*IFERROR(VLOOKUP(A24,[1]Tørstofindhold!A$2:B$24,2,FALSE),0)</f>
        <v>0</v>
      </c>
      <c r="W24" s="187">
        <f>J24*IFERROR(VLOOKUP(A24,[1]Tørstofindhold!A$2:B$24,2,FALSE),0)</f>
        <v>0</v>
      </c>
      <c r="X24" s="188">
        <f t="shared" si="12"/>
        <v>0</v>
      </c>
      <c r="Y24" s="168">
        <f t="shared" si="2"/>
        <v>0</v>
      </c>
      <c r="Z24" s="103">
        <f t="shared" si="3"/>
        <v>1</v>
      </c>
    </row>
    <row r="25" spans="1:26" x14ac:dyDescent="0.25">
      <c r="A25" s="189" t="s">
        <v>48</v>
      </c>
      <c r="B25" s="189" t="s">
        <v>227</v>
      </c>
      <c r="C25" s="189">
        <f>IF(COUNTIFS('Resultater - Danmark'!$D$3:$D$504,'Resultat-Produktion &amp; forbrug'!A25,'Resultater - Danmark'!$A$3:$A$504,"Til energi")+COUNTIFS('Resultater - Danmark'!$D$3:$D$504,'Resultat-Produktion &amp; forbrug'!A25,'Resultater - Danmark'!$A$3:$A$504,"Biogasanlæg")&gt;0,1,0)</f>
        <v>1</v>
      </c>
      <c r="D25" s="189">
        <f t="shared" si="8"/>
        <v>2019</v>
      </c>
      <c r="E25" s="187" t="s">
        <v>23</v>
      </c>
      <c r="F25" s="190">
        <f>IF(E25="Vestdanmark",SUMIFS(IF(D25=År1,'Resultater - Vestdanmark'!H$3:H$504,IF(D25=År2,'Resultater - Vestdanmark'!I$3:I$504,'Resultater - Vestdanmark'!J$3:J$504)),'Resultater - Vestdanmark'!$F$3:$F$504,$A25,IF(D25=År1,'Resultater - Vestdanmark'!H$3:H$504,IF(D25=År2,'Resultater - Vestdanmark'!I$3:I$504,'Resultater - Vestdanmark'!J$3:J$504)),"&gt;0"),SUMIFS(IF(D25=År1,'Resultater - Østdanmark'!H$3:H$504,IF(D25=År2,'Resultater - Østdanmark'!I$3:I$504,'Resultater - Østdanmark'!J$3:J$504)),'Resultater - Østdanmark'!$F$3:$F$504,$A25,IF(D25=År1,'Resultater - Østdanmark'!H$3:H$504,IF(D25=År2,'Resultater - Østdanmark'!I$3:I$504,'Resultater - Østdanmark'!J$3:J$504)),"&gt;0"))</f>
        <v>6843435.2641521301</v>
      </c>
      <c r="G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forbrug'!G$2,'Forbrug af biomasse'!$B$2:$B$425,$E25)</f>
        <v>5879215.2019956242</v>
      </c>
      <c r="H25" s="187">
        <f>IF(E25="Vestdanmark",-IF(A25="Halm",SUMIFS(IF(D25=År1,'Resultater - Vestdanmark'!H$3:H$504,IF(D25=År2,'Resultater - Vestdanmark'!I$3:I$504,'Resultater - Vestdanmark'!J$3:J$504)),'Resultater - Vestdanmark'!$F$3:$F$504,$A25,'Resultater - Vestdanmark'!H$3:H$504,"&lt;0"),0),-IF(A25="Halm",SUMIFS(IF(D25=År1,'Resultater - Østdanmark'!H$3:H$504,IF(D25=År2,'Resultater - Østdanmark'!I$3:I$504,'Resultater - Østdanmark'!J$3:J$504)),'Resultater - Østdanmark'!$F$3:$F$504,$A25,'Resultater - Østdanmark'!H$3:H$504,"&lt;0"),0))</f>
        <v>0</v>
      </c>
      <c r="I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forbrug'!I$2,'Forbrug af biomasse'!$B$2:$B$425,$E25)</f>
        <v>286329.90483694919</v>
      </c>
      <c r="J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forbrug'!J$2,'Forbrug af biomasse'!$B$2:$B$425,$E25)</f>
        <v>2843.3935258054057</v>
      </c>
      <c r="K25" s="190">
        <f>SUMIFS('Forbrug af biomasse'!$E$2:$E$425,'Forbrug af biomasse'!$C$2:$C$425,'Resultat-Produktion &amp; forbrug'!$A25,'Forbrug af biomasse'!$D$2:$D$425,'Resultat-Produktion &amp; forbrug'!$D25,'Forbrug af biomasse'!$A$2:$A$425,'Resultat-Produktion &amp; forbrug'!K$2,'Forbrug af biomasse'!$B$2:$B$425,$E25)</f>
        <v>0</v>
      </c>
      <c r="L25" s="190">
        <f>IF(A25&lt;&gt;"Biogas",SUMIFS('Forbrug af biomasse'!$E$2:$E$425,'Forbrug af biomasse'!$C$2:$C$425,'Resultat-Produktion &amp; forbrug'!$A25,'Forbrug af biomasse'!$D$2:$D$425,'Resultat-Produktion &amp; forbrug'!$D25,'Forbrug af biomasse'!$A$2:$A$425,'Resultat-Produktion &amp; forbrug'!L$2,'Forbrug af biomasse'!$B$2:$B$425,$E25),F25)</f>
        <v>0</v>
      </c>
      <c r="M25" s="154">
        <f>SUMIFS('Forbrug af biomasse'!E:E,'Forbrug af biomasse'!C:C,'Resultat-Produktion &amp; forbrug'!$A25,'Forbrug af biomasse'!D:D,'Resultat-Produktion &amp; forbrug'!$D25,'Forbrug af biomasse'!G:G,1,'Forbrug af biomasse'!B:B,$E25)</f>
        <v>0</v>
      </c>
      <c r="N25" s="199">
        <f t="shared" si="9"/>
        <v>675046.7637937516</v>
      </c>
      <c r="O25" s="190">
        <f t="shared" si="1"/>
        <v>675046.7637937516</v>
      </c>
      <c r="P25" s="200">
        <f t="shared" si="10"/>
        <v>2843.3935258054057</v>
      </c>
      <c r="Q25" s="187">
        <f>IFERROR(VLOOKUP(A25,[1]Energiindhold!$A$2:$C$11,3,FALSE),IFERROR(VLOOKUP(A25,[1]Biogasudbytte!$A$2:$B$18,2,FALSE)*[1]Energiindhold!$C$10,0))*O25</f>
        <v>2.3119406594466687</v>
      </c>
      <c r="R25" s="187">
        <f>IF(A25&lt;&gt;"Biogas",IFERROR(VLOOKUP(A25,[1]Biogasudbytte!$A$2:$B$18,2,FALSE)*[1]Energiindhold!$C$10,0)*J25*IFERROR(VLOOKUP(A25,Biogasanlæg!$F$3:$G$8,2,FALSE),1)+IFERROR(VLOOKUP(A25,[1]Energiindhold!$A$2:$C$11,3,FALSE),0)*L25+IF(D25&lt;&gt;År1,Q25,0),0)</f>
        <v>9.7382247507899044E-3</v>
      </c>
      <c r="S25" s="187">
        <f>IFERROR(VLOOKUP(A25,[1]Biogasudbytte!$A$2:$B$18,2,FALSE)*[1]Energiindhold!$C$10,0)*J25*IFERROR(VLOOKUP(A25,Biogasanlæg!$F$3:$G$8,2,FALSE),1)</f>
        <v>9.7382247507899044E-3</v>
      </c>
      <c r="T25" s="188">
        <f t="shared" si="11"/>
        <v>0</v>
      </c>
      <c r="U25" s="186">
        <f>O25*IFERROR(VLOOKUP(A25,[1]Tørstofindhold!A$2:B$24,2,FALSE),0)</f>
        <v>209264.496776063</v>
      </c>
      <c r="V25" s="187">
        <f>IF(D25=År1,P25,SUM(O25,P25))*IFERROR(VLOOKUP(A25,[1]Tørstofindhold!A$2:B$24,2,FALSE),0)</f>
        <v>881.45199299967578</v>
      </c>
      <c r="W25" s="187">
        <f>J25*IFERROR(VLOOKUP(A25,[1]Tørstofindhold!A$2:B$24,2,FALSE),0)</f>
        <v>881.45199299967578</v>
      </c>
      <c r="X25" s="188">
        <f t="shared" si="12"/>
        <v>0</v>
      </c>
      <c r="Y25" s="168">
        <f t="shared" si="2"/>
        <v>0</v>
      </c>
      <c r="Z25" s="103">
        <f t="shared" si="3"/>
        <v>1</v>
      </c>
    </row>
    <row r="26" spans="1:26" x14ac:dyDescent="0.25">
      <c r="A26" s="189" t="s">
        <v>115</v>
      </c>
      <c r="B26" s="189"/>
      <c r="C26" s="189">
        <f>IF(COUNTIFS('Resultater - Danmark'!$D$3:$D$504,'Resultat-Produktion &amp; forbrug'!A26,'Resultater - Danmark'!$A$3:$A$504,"Til energi")+COUNTIFS('Resultater - Danmark'!$D$3:$D$504,'Resultat-Produktion &amp; forbrug'!A26,'Resultater - Danmark'!$A$3:$A$504,"Biogasanlæg")&gt;0,1,0)</f>
        <v>0</v>
      </c>
      <c r="D26" s="189">
        <f t="shared" si="8"/>
        <v>2019</v>
      </c>
      <c r="E26" s="187" t="s">
        <v>23</v>
      </c>
      <c r="F26" s="190">
        <f>IF(E26="Vestdanmark",SUMIFS(IF(D26=År1,'Resultater - Vestdanmark'!H$3:H$504,IF(D26=År2,'Resultater - Vestdanmark'!I$3:I$504,'Resultater - Vestdanmark'!J$3:J$504)),'Resultater - Vestdanmark'!$F$3:$F$504,$A26,IF(D26=År1,'Resultater - Vestdanmark'!H$3:H$504,IF(D26=År2,'Resultater - Vestdanmark'!I$3:I$504,'Resultater - Vestdanmark'!J$3:J$504)),"&gt;0"),SUMIFS(IF(D26=År1,'Resultater - Østdanmark'!H$3:H$504,IF(D26=År2,'Resultater - Østdanmark'!I$3:I$504,'Resultater - Østdanmark'!J$3:J$504)),'Resultater - Østdanmark'!$F$3:$F$504,$A26,IF(D26=År1,'Resultater - Østdanmark'!H$3:H$504,IF(D26=År2,'Resultater - Østdanmark'!I$3:I$504,'Resultater - Østdanmark'!J$3:J$504)),"&gt;0"))</f>
        <v>0</v>
      </c>
      <c r="G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forbrug'!G$2,'Forbrug af biomasse'!$B$2:$B$425,$E26)</f>
        <v>0</v>
      </c>
      <c r="H26" s="187">
        <f>IF(E26="Vestdanmark",-IF(A26="Halm",SUMIFS(IF(D26=År1,'Resultater - Vestdanmark'!H$3:H$504,IF(D26=År2,'Resultater - Vestdanmark'!I$3:I$504,'Resultater - Vestdanmark'!J$3:J$504)),'Resultater - Vestdanmark'!$F$3:$F$504,$A26,'Resultater - Vestdanmark'!H$3:H$504,"&lt;0"),0),-IF(A26="Halm",SUMIFS(IF(D26=År1,'Resultater - Østdanmark'!H$3:H$504,IF(D26=År2,'Resultater - Østdanmark'!I$3:I$504,'Resultater - Østdanmark'!J$3:J$504)),'Resultater - Østdanmark'!$F$3:$F$504,$A26,'Resultater - Østdanmark'!H$3:H$504,"&lt;0"),0))</f>
        <v>0</v>
      </c>
      <c r="I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forbrug'!I$2,'Forbrug af biomasse'!$B$2:$B$425,$E26)</f>
        <v>0</v>
      </c>
      <c r="J26" s="190">
        <f>SUMIFS('Forbrug af biomasse'!$E$2:$E$425,'Forbrug af biomasse'!$C$2:$C$425,'Resultat-Produktion &amp; forbrug'!$A26,'Forbrug af biomasse'!$D$2:$D$425,'Resultat-Produktion &amp; forbrug'!$D26,'Forbrug af biomasse'!$A$2:$A$425,'Resultat-Produktion &amp; forbrug'!J$2,'Forbrug af biomasse'!$B$2:$B$425,$E26)</f>
        <v>0</v>
      </c>
      <c r="K26" s="190">
        <f ca="1">SUMIFS('Forbrug af biomasse'!$E$2:$E$425,'Forbrug af biomasse'!$C$2:$C$425,'Resultat-Produktion &amp; forbrug'!$A26,'Forbrug af biomasse'!$D$2:$D$425,'Resultat-Produktion &amp; forbrug'!$D26,'Forbrug af biomasse'!$A$2:$A$425,'Resultat-Produktion &amp; forbrug'!K$2,'Forbrug af biomasse'!$B$2:$B$425,$E26)</f>
        <v>569996.93502990273</v>
      </c>
      <c r="L26" s="190">
        <f>IF(A26&lt;&gt;"Biogas",SUMIFS('Forbrug af biomasse'!$E$2:$E$425,'Forbrug af biomasse'!$C$2:$C$425,'Resultat-Produktion &amp; forbrug'!$A26,'Forbrug af biomasse'!$D$2:$D$425,'Resultat-Produktion &amp; forbrug'!$D26,'Forbrug af biomasse'!$A$2:$A$425,'Resultat-Produktion &amp; forbrug'!L$2,'Forbrug af biomasse'!$B$2:$B$425,$E26),F26)</f>
        <v>0</v>
      </c>
      <c r="M26" s="154">
        <f>SUMIFS('Forbrug af biomasse'!E:E,'Forbrug af biomasse'!C:C,'Resultat-Produktion &amp; forbrug'!$A26,'Forbrug af biomasse'!D:D,'Resultat-Produktion &amp; forbrug'!$D26,'Forbrug af biomasse'!G:G,1,'Forbrug af biomasse'!B:B,$E26)</f>
        <v>0</v>
      </c>
      <c r="N26" s="199">
        <f t="shared" ca="1" si="9"/>
        <v>-569996.93502990273</v>
      </c>
      <c r="O26" s="190">
        <f t="shared" si="1"/>
        <v>0</v>
      </c>
      <c r="P26" s="200">
        <f t="shared" si="10"/>
        <v>0</v>
      </c>
      <c r="Q26" s="187">
        <f>IFERROR(VLOOKUP(A26,[1]Energiindhold!$A$2:$C$11,3,FALSE),IFERROR(VLOOKUP(A26,[1]Biogasudbytte!$A$2:$B$18,2,FALSE)*[1]Energiindhold!$C$10,0))*O26</f>
        <v>0</v>
      </c>
      <c r="R26" s="187">
        <f>IF(A26&lt;&gt;"Biogas",IFERROR(VLOOKUP(A26,[1]Biogasudbytte!$A$2:$B$18,2,FALSE)*[1]Energiindhold!$C$10,0)*J26*IFERROR(VLOOKUP(A26,Biogasanlæg!$F$3:$G$8,2,FALSE),1)+IFERROR(VLOOKUP(A26,[1]Energiindhold!$A$2:$C$11,3,FALSE),0)*L26+IF(D26&lt;&gt;År1,Q26,0),0)</f>
        <v>0</v>
      </c>
      <c r="S26" s="187">
        <f>IFERROR(VLOOKUP(A26,[1]Biogasudbytte!$A$2:$B$18,2,FALSE)*[1]Energiindhold!$C$10,0)*J26*IFERROR(VLOOKUP(A26,Biogasanlæg!$F$3:$G$8,2,FALSE),1)</f>
        <v>0</v>
      </c>
      <c r="T26" s="188">
        <f t="shared" si="11"/>
        <v>0</v>
      </c>
      <c r="U26" s="186">
        <f>O26*IFERROR(VLOOKUP(A26,[1]Tørstofindhold!A$2:B$24,2,FALSE),0)</f>
        <v>0</v>
      </c>
      <c r="V26" s="187">
        <f>IF(D26=År1,P26,SUM(O26,P26))*IFERROR(VLOOKUP(A26,[1]Tørstofindhold!A$2:B$24,2,FALSE),0)</f>
        <v>0</v>
      </c>
      <c r="W26" s="187">
        <f>J26*IFERROR(VLOOKUP(A26,[1]Tørstofindhold!A$2:B$24,2,FALSE),0)</f>
        <v>0</v>
      </c>
      <c r="X26" s="188">
        <f t="shared" si="12"/>
        <v>0</v>
      </c>
      <c r="Y26" s="168">
        <f t="shared" ca="1" si="2"/>
        <v>1</v>
      </c>
      <c r="Z26" s="103">
        <f t="shared" ca="1" si="3"/>
        <v>0</v>
      </c>
    </row>
    <row r="27" spans="1:26" x14ac:dyDescent="0.25">
      <c r="A27" s="189" t="s">
        <v>136</v>
      </c>
      <c r="B27" s="189" t="s">
        <v>222</v>
      </c>
      <c r="C27" s="189">
        <f>IF(COUNTIFS('Resultater - Danmark'!$D$3:$D$504,'Resultat-Produktion &amp; forbrug'!A27,'Resultater - Danmark'!$A$3:$A$504,"Til energi")+COUNTIFS('Resultater - Danmark'!$D$3:$D$504,'Resultat-Produktion &amp; forbrug'!A27,'Resultater - Danmark'!$A$3:$A$504,"Biogasanlæg")&gt;0,1,0)</f>
        <v>1</v>
      </c>
      <c r="D27" s="189">
        <f t="shared" si="8"/>
        <v>2019</v>
      </c>
      <c r="E27" s="187" t="s">
        <v>23</v>
      </c>
      <c r="F27" s="190">
        <f>IF(E27="Vestdanmark",SUMIFS(IF(D27=År1,'Resultater - Vestdanmark'!H$3:H$504,IF(D27=År2,'Resultater - Vestdanmark'!I$3:I$504,'Resultater - Vestdanmark'!J$3:J$504)),'Resultater - Vestdanmark'!$F$3:$F$504,$A27,IF(D27=År1,'Resultater - Vestdanmark'!H$3:H$504,IF(D27=År2,'Resultater - Vestdanmark'!I$3:I$504,'Resultater - Vestdanmark'!J$3:J$504)),"&gt;0"),SUMIFS(IF(D27=År1,'Resultater - Østdanmark'!H$3:H$504,IF(D27=År2,'Resultater - Østdanmark'!I$3:I$504,'Resultater - Østdanmark'!J$3:J$504)),'Resultater - Østdanmark'!$F$3:$F$504,$A27,IF(D27=År1,'Resultater - Østdanmark'!H$3:H$504,IF(D27=År2,'Resultater - Østdanmark'!I$3:I$504,'Resultater - Østdanmark'!J$3:J$504)),"&gt;0"))</f>
        <v>13124915.780770566</v>
      </c>
      <c r="G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forbrug'!G$2,'Forbrug af biomasse'!$B$2:$B$425,$E27)</f>
        <v>0</v>
      </c>
      <c r="H27" s="187">
        <f>IF(E27="Vestdanmark",-IF(A27="Halm",SUMIFS(IF(D27=År1,'Resultater - Vestdanmark'!H$3:H$504,IF(D27=År2,'Resultater - Vestdanmark'!I$3:I$504,'Resultater - Vestdanmark'!J$3:J$504)),'Resultater - Vestdanmark'!$F$3:$F$504,$A27,'Resultater - Vestdanmark'!H$3:H$504,"&lt;0"),0),-IF(A27="Halm",SUMIFS(IF(D27=År1,'Resultater - Østdanmark'!H$3:H$504,IF(D27=År2,'Resultater - Østdanmark'!I$3:I$504,'Resultater - Østdanmark'!J$3:J$504)),'Resultater - Østdanmark'!$F$3:$F$504,$A27,'Resultater - Østdanmark'!H$3:H$504,"&lt;0"),0))</f>
        <v>0</v>
      </c>
      <c r="I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forbrug'!I$2,'Forbrug af biomasse'!$B$2:$B$425,$E27)</f>
        <v>0</v>
      </c>
      <c r="J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forbrug'!J$2,'Forbrug af biomasse'!$B$2:$B$425,$E27)</f>
        <v>4066864.6068164087</v>
      </c>
      <c r="K27" s="190">
        <f>SUMIFS('Forbrug af biomasse'!$E$2:$E$425,'Forbrug af biomasse'!$C$2:$C$425,'Resultat-Produktion &amp; forbrug'!$A27,'Forbrug af biomasse'!$D$2:$D$425,'Resultat-Produktion &amp; forbrug'!$D27,'Forbrug af biomasse'!$A$2:$A$425,'Resultat-Produktion &amp; forbrug'!K$2,'Forbrug af biomasse'!$B$2:$B$425,$E27)</f>
        <v>9058051.1739541572</v>
      </c>
      <c r="L27" s="190">
        <f>IF(A27&lt;&gt;"Biogas",SUMIFS('Forbrug af biomasse'!$E$2:$E$425,'Forbrug af biomasse'!$C$2:$C$425,'Resultat-Produktion &amp; forbrug'!$A27,'Forbrug af biomasse'!$D$2:$D$425,'Resultat-Produktion &amp; forbrug'!$D27,'Forbrug af biomasse'!$A$2:$A$425,'Resultat-Produktion &amp; forbrug'!L$2,'Forbrug af biomasse'!$B$2:$B$425,$E27),F27)</f>
        <v>0</v>
      </c>
      <c r="M27" s="154">
        <f>SUMIFS('Forbrug af biomasse'!E:E,'Forbrug af biomasse'!C:C,'Resultat-Produktion &amp; forbrug'!$A27,'Forbrug af biomasse'!D:D,'Resultat-Produktion &amp; forbrug'!$D27,'Forbrug af biomasse'!G:G,1,'Forbrug af biomasse'!B:B,$E27)</f>
        <v>0</v>
      </c>
      <c r="N27" s="199">
        <f t="shared" si="9"/>
        <v>0</v>
      </c>
      <c r="O27" s="190">
        <f t="shared" si="1"/>
        <v>0</v>
      </c>
      <c r="P27" s="200">
        <f t="shared" si="10"/>
        <v>4066864.6068164087</v>
      </c>
      <c r="Q27" s="187">
        <f>IFERROR(VLOOKUP(A27,[1]Energiindhold!$A$2:$C$11,3,FALSE),IFERROR(VLOOKUP(A27,[1]Biogasudbytte!$A$2:$B$18,2,FALSE)*[1]Energiindhold!$C$10,0))*O27</f>
        <v>0</v>
      </c>
      <c r="R27" s="187">
        <f>IF(A27&lt;&gt;"Biogas",IFERROR(VLOOKUP(A27,[1]Biogasudbytte!$A$2:$B$18,2,FALSE)*[1]Energiindhold!$C$10,0)*J27*IFERROR(VLOOKUP(A27,Biogasanlæg!$F$3:$G$8,2,FALSE),1)+IFERROR(VLOOKUP(A27,[1]Energiindhold!$A$2:$C$11,3,FALSE),0)*L27+IF(D27&lt;&gt;År1,Q27,0),0)</f>
        <v>2.0586061953243981</v>
      </c>
      <c r="S27" s="187">
        <f>IFERROR(VLOOKUP(A27,[1]Biogasudbytte!$A$2:$B$18,2,FALSE)*[1]Energiindhold!$C$10,0)*J27*IFERROR(VLOOKUP(A27,Biogasanlæg!$F$3:$G$8,2,FALSE),1)</f>
        <v>2.0586061953243981</v>
      </c>
      <c r="T27" s="188">
        <f t="shared" si="11"/>
        <v>0</v>
      </c>
      <c r="U27" s="186">
        <f>O27*IFERROR(VLOOKUP(A27,[1]Tørstofindhold!A$2:B$24,2,FALSE),0)</f>
        <v>0</v>
      </c>
      <c r="V27" s="187">
        <f>IF(D27=År1,P27,SUM(O27,P27))*IFERROR(VLOOKUP(A27,[1]Tørstofindhold!A$2:B$24,2,FALSE),0)</f>
        <v>309081.71011804708</v>
      </c>
      <c r="W27" s="187">
        <f>J27*IFERROR(VLOOKUP(A27,[1]Tørstofindhold!A$2:B$24,2,FALSE),0)</f>
        <v>309081.71011804708</v>
      </c>
      <c r="X27" s="188">
        <f t="shared" si="12"/>
        <v>0</v>
      </c>
      <c r="Y27" s="168">
        <f t="shared" si="2"/>
        <v>0</v>
      </c>
      <c r="Z27" s="103">
        <f t="shared" si="3"/>
        <v>0</v>
      </c>
    </row>
    <row r="28" spans="1:26" x14ac:dyDescent="0.25">
      <c r="A28" s="189" t="s">
        <v>108</v>
      </c>
      <c r="B28" s="189"/>
      <c r="C28" s="189">
        <f>IF(COUNTIFS('Resultater - Danmark'!$D$3:$D$504,'Resultat-Produktion &amp; forbrug'!A28,'Resultater - Danmark'!$A$3:$A$504,"Til energi")+COUNTIFS('Resultater - Danmark'!$D$3:$D$504,'Resultat-Produktion &amp; forbrug'!A28,'Resultater - Danmark'!$A$3:$A$504,"Biogasanlæg")&gt;0,1,0)</f>
        <v>0</v>
      </c>
      <c r="D28" s="189">
        <f t="shared" si="8"/>
        <v>2019</v>
      </c>
      <c r="E28" s="187" t="s">
        <v>23</v>
      </c>
      <c r="F28" s="190">
        <f>IF(E28="Vestdanmark",SUMIFS(IF(D28=År1,'Resultater - Vestdanmark'!H$3:H$504,IF(D28=År2,'Resultater - Vestdanmark'!I$3:I$504,'Resultater - Vestdanmark'!J$3:J$504)),'Resultater - Vestdanmark'!$F$3:$F$504,$A28,IF(D28=År1,'Resultater - Vestdanmark'!H$3:H$504,IF(D28=År2,'Resultater - Vestdanmark'!I$3:I$504,'Resultater - Vestdanmark'!J$3:J$504)),"&gt;0"),SUMIFS(IF(D28=År1,'Resultater - Østdanmark'!H$3:H$504,IF(D28=År2,'Resultater - Østdanmark'!I$3:I$504,'Resultater - Østdanmark'!J$3:J$504)),'Resultater - Østdanmark'!$F$3:$F$504,$A28,IF(D28=År1,'Resultater - Østdanmark'!H$3:H$504,IF(D28=År2,'Resultater - Østdanmark'!I$3:I$504,'Resultater - Østdanmark'!J$3:J$504)),"&gt;0"))</f>
        <v>1638157.7192038004</v>
      </c>
      <c r="G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forbrug'!G$2,'Forbrug af biomasse'!$B$2:$B$425,$E28)</f>
        <v>1515714.1736670118</v>
      </c>
      <c r="H28" s="187">
        <f>IF(E28="Vestdanmark",-IF(A28="Halm",SUMIFS(IF(D28=År1,'Resultater - Vestdanmark'!H$3:H$504,IF(D28=År2,'Resultater - Vestdanmark'!I$3:I$504,'Resultater - Vestdanmark'!J$3:J$504)),'Resultater - Vestdanmark'!$F$3:$F$504,$A28,'Resultater - Vestdanmark'!H$3:H$504,"&lt;0"),0),-IF(A28="Halm",SUMIFS(IF(D28=År1,'Resultater - Østdanmark'!H$3:H$504,IF(D28=År2,'Resultater - Østdanmark'!I$3:I$504,'Resultater - Østdanmark'!J$3:J$504)),'Resultater - Østdanmark'!$F$3:$F$504,$A28,'Resultater - Østdanmark'!H$3:H$504,"&lt;0"),0))</f>
        <v>0</v>
      </c>
      <c r="I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forbrug'!I$2,'Forbrug af biomasse'!$B$2:$B$425,$E28)</f>
        <v>0</v>
      </c>
      <c r="J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forbrug'!J$2,'Forbrug af biomasse'!$B$2:$B$425,$E28)</f>
        <v>0</v>
      </c>
      <c r="K28" s="190">
        <f>SUMIFS('Forbrug af biomasse'!$E$2:$E$425,'Forbrug af biomasse'!$C$2:$C$425,'Resultat-Produktion &amp; forbrug'!$A28,'Forbrug af biomasse'!$D$2:$D$425,'Resultat-Produktion &amp; forbrug'!$D28,'Forbrug af biomasse'!$A$2:$A$425,'Resultat-Produktion &amp; forbrug'!K$2,'Forbrug af biomasse'!$B$2:$B$425,$E28)</f>
        <v>0</v>
      </c>
      <c r="L28" s="190">
        <f>IF(A28&lt;&gt;"Biogas",SUMIFS('Forbrug af biomasse'!$E$2:$E$425,'Forbrug af biomasse'!$C$2:$C$425,'Resultat-Produktion &amp; forbrug'!$A28,'Forbrug af biomasse'!$D$2:$D$425,'Resultat-Produktion &amp; forbrug'!$D28,'Forbrug af biomasse'!$A$2:$A$425,'Resultat-Produktion &amp; forbrug'!L$2,'Forbrug af biomasse'!$B$2:$B$425,$E28),F28)</f>
        <v>0</v>
      </c>
      <c r="M28" s="154">
        <f>SUMIFS('Forbrug af biomasse'!E:E,'Forbrug af biomasse'!C:C,'Resultat-Produktion &amp; forbrug'!$A28,'Forbrug af biomasse'!D:D,'Resultat-Produktion &amp; forbrug'!$D28,'Forbrug af biomasse'!G:G,1,'Forbrug af biomasse'!B:B,$E28)</f>
        <v>0</v>
      </c>
      <c r="N28" s="199">
        <f t="shared" si="9"/>
        <v>122443.54553678865</v>
      </c>
      <c r="O28" s="190">
        <f t="shared" si="1"/>
        <v>0</v>
      </c>
      <c r="P28" s="200">
        <f t="shared" si="10"/>
        <v>0</v>
      </c>
      <c r="Q28" s="187">
        <f>IFERROR(VLOOKUP(A28,[1]Energiindhold!$A$2:$C$11,3,FALSE),IFERROR(VLOOKUP(A28,[1]Biogasudbytte!$A$2:$B$18,2,FALSE)*[1]Energiindhold!$C$10,0))*O28</f>
        <v>0</v>
      </c>
      <c r="R28" s="187">
        <f>IF(A28&lt;&gt;"Biogas",IFERROR(VLOOKUP(A28,[1]Biogasudbytte!$A$2:$B$18,2,FALSE)*[1]Energiindhold!$C$10,0)*J28*IFERROR(VLOOKUP(A28,Biogasanlæg!$F$3:$G$8,2,FALSE),1)+IFERROR(VLOOKUP(A28,[1]Energiindhold!$A$2:$C$11,3,FALSE),0)*L28+IF(D28&lt;&gt;År1,Q28,0),0)</f>
        <v>0</v>
      </c>
      <c r="S28" s="187">
        <f>IFERROR(VLOOKUP(A28,[1]Biogasudbytte!$A$2:$B$18,2,FALSE)*[1]Energiindhold!$C$10,0)*J28*IFERROR(VLOOKUP(A28,Biogasanlæg!$F$3:$G$8,2,FALSE),1)</f>
        <v>0</v>
      </c>
      <c r="T28" s="188">
        <f t="shared" si="11"/>
        <v>0</v>
      </c>
      <c r="U28" s="186">
        <f>O28*IFERROR(VLOOKUP(A28,[1]Tørstofindhold!A$2:B$24,2,FALSE),0)</f>
        <v>0</v>
      </c>
      <c r="V28" s="187">
        <f>IF(D28=År1,P28,SUM(O28,P28))*IFERROR(VLOOKUP(A28,[1]Tørstofindhold!A$2:B$24,2,FALSE),0)</f>
        <v>0</v>
      </c>
      <c r="W28" s="187">
        <f>J28*IFERROR(VLOOKUP(A28,[1]Tørstofindhold!A$2:B$24,2,FALSE),0)</f>
        <v>0</v>
      </c>
      <c r="X28" s="188">
        <f t="shared" si="12"/>
        <v>0</v>
      </c>
      <c r="Y28" s="168">
        <f t="shared" si="2"/>
        <v>0</v>
      </c>
      <c r="Z28" s="103">
        <f t="shared" si="3"/>
        <v>1</v>
      </c>
    </row>
    <row r="29" spans="1:26" x14ac:dyDescent="0.25">
      <c r="A29" s="187" t="s">
        <v>53</v>
      </c>
      <c r="B29" s="189" t="s">
        <v>224</v>
      </c>
      <c r="C29" s="189">
        <f>IF(COUNTIFS('Resultater - Danmark'!$D$3:$D$504,'Resultat-Produktion &amp; forbrug'!A29,'Resultater - Danmark'!$A$3:$A$504,"Til energi")+COUNTIFS('Resultater - Danmark'!$D$3:$D$504,'Resultat-Produktion &amp; forbrug'!A29,'Resultater - Danmark'!$A$3:$A$504,"Biogasanlæg")&gt;0,1,0)</f>
        <v>1</v>
      </c>
      <c r="D29" s="189">
        <f t="shared" si="8"/>
        <v>2019</v>
      </c>
      <c r="E29" s="187" t="s">
        <v>23</v>
      </c>
      <c r="F29" s="190">
        <f>IF(E29="Vestdanmark",SUMIFS(IF(D29=År1,'Resultater - Vestdanmark'!H$3:H$504,IF(D29=År2,'Resultater - Vestdanmark'!I$3:I$504,'Resultater - Vestdanmark'!J$3:J$504)),'Resultater - Vestdanmark'!$F$3:$F$504,$A29,IF(D29=År1,'Resultater - Vestdanmark'!H$3:H$504,IF(D29=År2,'Resultater - Vestdanmark'!I$3:I$504,'Resultater - Vestdanmark'!J$3:J$504)),"&gt;0"),SUMIFS(IF(D29=År1,'Resultater - Østdanmark'!H$3:H$504,IF(D29=År2,'Resultater - Østdanmark'!I$3:I$504,'Resultater - Østdanmark'!J$3:J$504)),'Resultater - Østdanmark'!$F$3:$F$504,$A29,IF(D29=År1,'Resultater - Østdanmark'!H$3:H$504,IF(D29=År2,'Resultater - Østdanmark'!I$3:I$504,'Resultater - Østdanmark'!J$3:J$504)),"&gt;0"))</f>
        <v>7590675.3960505147</v>
      </c>
      <c r="G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forbrug'!G$2,'Forbrug af biomasse'!$B$2:$B$425,$E29)</f>
        <v>5657053.7864699634</v>
      </c>
      <c r="H29" s="187">
        <f>IF(E29="Vestdanmark",-IF(A29="Halm",SUMIFS(IF(D29=År1,'Resultater - Vestdanmark'!H$3:H$504,IF(D29=År2,'Resultater - Vestdanmark'!I$3:I$504,'Resultater - Vestdanmark'!J$3:J$504)),'Resultater - Vestdanmark'!$F$3:$F$504,$A29,'Resultater - Vestdanmark'!H$3:H$504,"&lt;0"),0),-IF(A29="Halm",SUMIFS(IF(D29=År1,'Resultater - Østdanmark'!H$3:H$504,IF(D29=År2,'Resultater - Østdanmark'!I$3:I$504,'Resultater - Østdanmark'!J$3:J$504)),'Resultater - Østdanmark'!$F$3:$F$504,$A29,'Resultater - Østdanmark'!H$3:H$504,"&lt;0"),0))</f>
        <v>0</v>
      </c>
      <c r="I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forbrug'!I$2,'Forbrug af biomasse'!$B$2:$B$425,$E29)</f>
        <v>0</v>
      </c>
      <c r="J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forbrug'!J$2,'Forbrug af biomasse'!$B$2:$B$425,$E29)</f>
        <v>314874.94627501385</v>
      </c>
      <c r="K29" s="190">
        <f>SUMIFS('Forbrug af biomasse'!$E$2:$E$425,'Forbrug af biomasse'!$C$2:$C$425,'Resultat-Produktion &amp; forbrug'!$A29,'Forbrug af biomasse'!$D$2:$D$425,'Resultat-Produktion &amp; forbrug'!$D29,'Forbrug af biomasse'!$A$2:$A$425,'Resultat-Produktion &amp; forbrug'!K$2,'Forbrug af biomasse'!$B$2:$B$425,$E29)</f>
        <v>0</v>
      </c>
      <c r="L29" s="190">
        <f>IF(A29&lt;&gt;"Biogas",SUMIFS('Forbrug af biomasse'!$E$2:$E$425,'Forbrug af biomasse'!$C$2:$C$425,'Resultat-Produktion &amp; forbrug'!$A29,'Forbrug af biomasse'!$D$2:$D$425,'Resultat-Produktion &amp; forbrug'!$D29,'Forbrug af biomasse'!$A$2:$A$425,'Resultat-Produktion &amp; forbrug'!L$2,'Forbrug af biomasse'!$B$2:$B$425,$E29),F29)</f>
        <v>0</v>
      </c>
      <c r="M29" s="154">
        <f>SUMIFS('Forbrug af biomasse'!E:E,'Forbrug af biomasse'!C:C,'Resultat-Produktion &amp; forbrug'!$A29,'Forbrug af biomasse'!D:D,'Resultat-Produktion &amp; forbrug'!$D29,'Forbrug af biomasse'!G:G,1,'Forbrug af biomasse'!B:B,$E29)</f>
        <v>0</v>
      </c>
      <c r="N29" s="199">
        <f t="shared" si="9"/>
        <v>1618746.6633055378</v>
      </c>
      <c r="O29" s="190">
        <f t="shared" si="1"/>
        <v>1274488.0820395502</v>
      </c>
      <c r="P29" s="200">
        <f t="shared" si="10"/>
        <v>314874.94627501385</v>
      </c>
      <c r="Q29" s="187">
        <f>IFERROR(VLOOKUP(A29,[1]Energiindhold!$A$2:$C$11,3,FALSE),IFERROR(VLOOKUP(A29,[1]Biogasudbytte!$A$2:$B$18,2,FALSE)*[1]Energiindhold!$C$10,0))*O29</f>
        <v>4.575412214521986</v>
      </c>
      <c r="R29" s="187">
        <f>IF(A29&lt;&gt;"Biogas",IFERROR(VLOOKUP(A29,[1]Biogasudbytte!$A$2:$B$18,2,FALSE)*[1]Energiindhold!$C$10,0)*J29*IFERROR(VLOOKUP(A29,Biogasanlæg!$F$3:$G$8,2,FALSE),1)+IFERROR(VLOOKUP(A29,[1]Energiindhold!$A$2:$C$11,3,FALSE),0)*L29+IF(D29&lt;&gt;År1,Q29,0),0)</f>
        <v>1.1304010571272998</v>
      </c>
      <c r="S29" s="187">
        <f>IFERROR(VLOOKUP(A29,[1]Biogasudbytte!$A$2:$B$18,2,FALSE)*[1]Energiindhold!$C$10,0)*J29*IFERROR(VLOOKUP(A29,Biogasanlæg!$F$3:$G$8,2,FALSE),1)</f>
        <v>1.1304010571272998</v>
      </c>
      <c r="T29" s="188">
        <f t="shared" si="11"/>
        <v>0</v>
      </c>
      <c r="U29" s="186">
        <f>O29*IFERROR(VLOOKUP(A29,[1]Tørstofindhold!A$2:B$24,2,FALSE),0)</f>
        <v>382346.42461186502</v>
      </c>
      <c r="V29" s="187">
        <f>IF(D29=År1,P29,SUM(O29,P29))*IFERROR(VLOOKUP(A29,[1]Tørstofindhold!A$2:B$24,2,FALSE),0)</f>
        <v>94462.483882504152</v>
      </c>
      <c r="W29" s="187">
        <f>J29*IFERROR(VLOOKUP(A29,[1]Tørstofindhold!A$2:B$24,2,FALSE),0)</f>
        <v>94462.483882504152</v>
      </c>
      <c r="X29" s="188">
        <f t="shared" si="12"/>
        <v>0</v>
      </c>
      <c r="Y29" s="168">
        <f t="shared" si="2"/>
        <v>0</v>
      </c>
      <c r="Z29" s="103">
        <f t="shared" si="3"/>
        <v>1</v>
      </c>
    </row>
    <row r="30" spans="1:26" x14ac:dyDescent="0.25">
      <c r="A30" s="189" t="s">
        <v>116</v>
      </c>
      <c r="B30" s="189"/>
      <c r="C30" s="189">
        <f>IF(COUNTIFS('Resultater - Danmark'!$D$3:$D$504,'Resultat-Produktion &amp; forbrug'!A30,'Resultater - Danmark'!$A$3:$A$504,"Til energi")+COUNTIFS('Resultater - Danmark'!$D$3:$D$504,'Resultat-Produktion &amp; forbrug'!A30,'Resultater - Danmark'!$A$3:$A$504,"Biogasanlæg")&gt;0,1,0)</f>
        <v>0</v>
      </c>
      <c r="D30" s="189">
        <f t="shared" si="8"/>
        <v>2019</v>
      </c>
      <c r="E30" s="187" t="s">
        <v>23</v>
      </c>
      <c r="F30" s="190">
        <f>IF(E30="Vestdanmark",SUMIFS(IF(D30=År1,'Resultater - Vestdanmark'!H$3:H$504,IF(D30=År2,'Resultater - Vestdanmark'!I$3:I$504,'Resultater - Vestdanmark'!J$3:J$504)),'Resultater - Vestdanmark'!$F$3:$F$504,$A30,IF(D30=År1,'Resultater - Vestdanmark'!H$3:H$504,IF(D30=År2,'Resultater - Vestdanmark'!I$3:I$504,'Resultater - Vestdanmark'!J$3:J$504)),"&gt;0"),SUMIFS(IF(D30=År1,'Resultater - Østdanmark'!H$3:H$504,IF(D30=År2,'Resultater - Østdanmark'!I$3:I$504,'Resultater - Østdanmark'!J$3:J$504)),'Resultater - Østdanmark'!$F$3:$F$504,$A30,IF(D30=År1,'Resultater - Østdanmark'!H$3:H$504,IF(D30=År2,'Resultater - Østdanmark'!I$3:I$504,'Resultater - Østdanmark'!J$3:J$504)),"&gt;0"))</f>
        <v>3160794.2116654618</v>
      </c>
      <c r="G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forbrug'!G$2,'Forbrug af biomasse'!$B$2:$B$425,$E30)</f>
        <v>0</v>
      </c>
      <c r="H30" s="187">
        <f>IF(E30="Vestdanmark",-IF(A30="Halm",SUMIFS(IF(D30=År1,'Resultater - Vestdanmark'!H$3:H$504,IF(D30=År2,'Resultater - Vestdanmark'!I$3:I$504,'Resultater - Vestdanmark'!J$3:J$504)),'Resultater - Vestdanmark'!$F$3:$F$504,$A30,'Resultater - Vestdanmark'!H$3:H$504,"&lt;0"),0),-IF(A30="Halm",SUMIFS(IF(D30=År1,'Resultater - Østdanmark'!H$3:H$504,IF(D30=År2,'Resultater - Østdanmark'!I$3:I$504,'Resultater - Østdanmark'!J$3:J$504)),'Resultater - Østdanmark'!$F$3:$F$504,$A30,'Resultater - Østdanmark'!H$3:H$504,"&lt;0"),0))</f>
        <v>0</v>
      </c>
      <c r="I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forbrug'!I$2,'Forbrug af biomasse'!$B$2:$B$425,$E30)</f>
        <v>457077.09579476295</v>
      </c>
      <c r="J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forbrug'!J$2,'Forbrug af biomasse'!$B$2:$B$425,$E30)</f>
        <v>0</v>
      </c>
      <c r="K30" s="190">
        <f>SUMIFS('Forbrug af biomasse'!$E$2:$E$425,'Forbrug af biomasse'!$C$2:$C$425,'Resultat-Produktion &amp; forbrug'!$A30,'Forbrug af biomasse'!$D$2:$D$425,'Resultat-Produktion &amp; forbrug'!$D30,'Forbrug af biomasse'!$A$2:$A$425,'Resultat-Produktion &amp; forbrug'!K$2,'Forbrug af biomasse'!$B$2:$B$425,$E30)</f>
        <v>0</v>
      </c>
      <c r="L30" s="190">
        <f>IF(A30&lt;&gt;"Biogas",SUMIFS('Forbrug af biomasse'!$E$2:$E$425,'Forbrug af biomasse'!$C$2:$C$425,'Resultat-Produktion &amp; forbrug'!$A30,'Forbrug af biomasse'!$D$2:$D$425,'Resultat-Produktion &amp; forbrug'!$D30,'Forbrug af biomasse'!$A$2:$A$425,'Resultat-Produktion &amp; forbrug'!L$2,'Forbrug af biomasse'!$B$2:$B$425,$E30),F30)</f>
        <v>0</v>
      </c>
      <c r="M30" s="154">
        <f>SUMIFS('Forbrug af biomasse'!E:E,'Forbrug af biomasse'!C:C,'Resultat-Produktion &amp; forbrug'!$A30,'Forbrug af biomasse'!D:D,'Resultat-Produktion &amp; forbrug'!$D30,'Forbrug af biomasse'!G:G,1,'Forbrug af biomasse'!B:B,$E30)</f>
        <v>0</v>
      </c>
      <c r="N30" s="199">
        <f t="shared" si="9"/>
        <v>2703717.1158706988</v>
      </c>
      <c r="O30" s="190">
        <f t="shared" si="1"/>
        <v>0</v>
      </c>
      <c r="P30" s="200">
        <f t="shared" si="10"/>
        <v>0</v>
      </c>
      <c r="Q30" s="187">
        <f>IFERROR(VLOOKUP(A30,[1]Energiindhold!$A$2:$C$11,3,FALSE),IFERROR(VLOOKUP(A30,[1]Biogasudbytte!$A$2:$B$18,2,FALSE)*[1]Energiindhold!$C$10,0))*O30</f>
        <v>0</v>
      </c>
      <c r="R30" s="187">
        <f>IF(A30&lt;&gt;"Biogas",IFERROR(VLOOKUP(A30,[1]Biogasudbytte!$A$2:$B$18,2,FALSE)*[1]Energiindhold!$C$10,0)*J30*IFERROR(VLOOKUP(A30,Biogasanlæg!$F$3:$G$8,2,FALSE),1)+IFERROR(VLOOKUP(A30,[1]Energiindhold!$A$2:$C$11,3,FALSE),0)*L30+IF(D30&lt;&gt;År1,Q30,0),0)</f>
        <v>0</v>
      </c>
      <c r="S30" s="187">
        <f>IFERROR(VLOOKUP(A30,[1]Biogasudbytte!$A$2:$B$18,2,FALSE)*[1]Energiindhold!$C$10,0)*J30*IFERROR(VLOOKUP(A30,Biogasanlæg!$F$3:$G$8,2,FALSE),1)</f>
        <v>0</v>
      </c>
      <c r="T30" s="188">
        <f t="shared" si="11"/>
        <v>0</v>
      </c>
      <c r="U30" s="186">
        <f>O30*IFERROR(VLOOKUP(A30,[1]Tørstofindhold!A$2:B$24,2,FALSE),0)</f>
        <v>0</v>
      </c>
      <c r="V30" s="187">
        <f>IF(D30=År1,P30,SUM(O30,P30))*IFERROR(VLOOKUP(A30,[1]Tørstofindhold!A$2:B$24,2,FALSE),0)</f>
        <v>0</v>
      </c>
      <c r="W30" s="187">
        <f>J30*IFERROR(VLOOKUP(A30,[1]Tørstofindhold!A$2:B$24,2,FALSE),0)</f>
        <v>0</v>
      </c>
      <c r="X30" s="188">
        <f t="shared" si="12"/>
        <v>0</v>
      </c>
      <c r="Y30" s="168">
        <f t="shared" si="2"/>
        <v>0</v>
      </c>
      <c r="Z30" s="103">
        <f t="shared" si="3"/>
        <v>1</v>
      </c>
    </row>
    <row r="31" spans="1:26" x14ac:dyDescent="0.25">
      <c r="A31" s="189" t="s">
        <v>106</v>
      </c>
      <c r="B31" s="189" t="s">
        <v>226</v>
      </c>
      <c r="C31" s="189">
        <f>IF(COUNTIFS('Resultater - Danmark'!$D$3:$D$504,'Resultat-Produktion &amp; forbrug'!A31,'Resultater - Danmark'!$A$3:$A$504,"Til energi")+COUNTIFS('Resultater - Danmark'!$D$3:$D$504,'Resultat-Produktion &amp; forbrug'!A31,'Resultater - Danmark'!$A$3:$A$504,"Biogasanlæg")&gt;0,1,0)</f>
        <v>1</v>
      </c>
      <c r="D31" s="189">
        <f t="shared" si="8"/>
        <v>2019</v>
      </c>
      <c r="E31" s="187" t="s">
        <v>23</v>
      </c>
      <c r="F31" s="190">
        <f>IF(E31="Vestdanmark",SUMIFS(IF(D31=År1,'Resultater - Vestdanmark'!H$3:H$504,IF(D31=År2,'Resultater - Vestdanmark'!I$3:I$504,'Resultater - Vestdanmark'!J$3:J$504)),'Resultater - Vestdanmark'!$F$3:$F$504,$A31,IF(D31=År1,'Resultater - Vestdanmark'!H$3:H$504,IF(D31=År2,'Resultater - Vestdanmark'!I$3:I$504,'Resultater - Vestdanmark'!J$3:J$504)),"&gt;0"),SUMIFS(IF(D31=År1,'Resultater - Østdanmark'!H$3:H$504,IF(D31=År2,'Resultater - Østdanmark'!I$3:I$504,'Resultater - Østdanmark'!J$3:J$504)),'Resultater - Østdanmark'!$F$3:$F$504,$A31,IF(D31=År1,'Resultater - Østdanmark'!H$3:H$504,IF(D31=År2,'Resultater - Østdanmark'!I$3:I$504,'Resultater - Østdanmark'!J$3:J$504)),"&gt;0"))</f>
        <v>878.90231344976178</v>
      </c>
      <c r="G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forbrug'!G$2,'Forbrug af biomasse'!$B$2:$B$425,$E31)</f>
        <v>0</v>
      </c>
      <c r="H31" s="187">
        <f>IF(E31="Vestdanmark",-IF(A31="Halm",SUMIFS(IF(D31=År1,'Resultater - Vestdanmark'!H$3:H$504,IF(D31=År2,'Resultater - Vestdanmark'!I$3:I$504,'Resultater - Vestdanmark'!J$3:J$504)),'Resultater - Vestdanmark'!$F$3:$F$504,$A31,'Resultater - Vestdanmark'!H$3:H$504,"&lt;0"),0),-IF(A31="Halm",SUMIFS(IF(D31=År1,'Resultater - Østdanmark'!H$3:H$504,IF(D31=År2,'Resultater - Østdanmark'!I$3:I$504,'Resultater - Østdanmark'!J$3:J$504)),'Resultater - Østdanmark'!$F$3:$F$504,$A31,'Resultater - Østdanmark'!H$3:H$504,"&lt;0"),0))</f>
        <v>0</v>
      </c>
      <c r="I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forbrug'!I$2,'Forbrug af biomasse'!$B$2:$B$425,$E31)</f>
        <v>0</v>
      </c>
      <c r="J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forbrug'!J$2,'Forbrug af biomasse'!$B$2:$B$425,$E31)</f>
        <v>0</v>
      </c>
      <c r="K31" s="190">
        <f>SUMIFS('Forbrug af biomasse'!$E$2:$E$425,'Forbrug af biomasse'!$C$2:$C$425,'Resultat-Produktion &amp; forbrug'!$A31,'Forbrug af biomasse'!$D$2:$D$425,'Resultat-Produktion &amp; forbrug'!$D31,'Forbrug af biomasse'!$A$2:$A$425,'Resultat-Produktion &amp; forbrug'!K$2,'Forbrug af biomasse'!$B$2:$B$425,$E31)</f>
        <v>0</v>
      </c>
      <c r="L31" s="190">
        <f>IF(A31&lt;&gt;"Biogas",SUMIFS('Forbrug af biomasse'!$E$2:$E$425,'Forbrug af biomasse'!$C$2:$C$425,'Resultat-Produktion &amp; forbrug'!$A31,'Forbrug af biomasse'!$D$2:$D$425,'Resultat-Produktion &amp; forbrug'!$D31,'Forbrug af biomasse'!$A$2:$A$425,'Resultat-Produktion &amp; forbrug'!L$2,'Forbrug af biomasse'!$B$2:$B$425,$E31),F31)</f>
        <v>0</v>
      </c>
      <c r="M31" s="154">
        <f>SUMIFS('Forbrug af biomasse'!E:E,'Forbrug af biomasse'!C:C,'Resultat-Produktion &amp; forbrug'!$A31,'Forbrug af biomasse'!D:D,'Resultat-Produktion &amp; forbrug'!$D31,'Forbrug af biomasse'!G:G,1,'Forbrug af biomasse'!B:B,$E31)</f>
        <v>0</v>
      </c>
      <c r="N31" s="199">
        <f t="shared" si="9"/>
        <v>878.90231344976178</v>
      </c>
      <c r="O31" s="190">
        <f t="shared" si="1"/>
        <v>878.90231344976178</v>
      </c>
      <c r="P31" s="200">
        <f t="shared" si="10"/>
        <v>0</v>
      </c>
      <c r="Q31" s="187">
        <f>IFERROR(VLOOKUP(A31,[1]Energiindhold!$A$2:$C$11,3,FALSE),IFERROR(VLOOKUP(A31,[1]Biogasudbytte!$A$2:$B$18,2,FALSE)*[1]Energiindhold!$C$10,0))*O31</f>
        <v>7.8881482632116122E-4</v>
      </c>
      <c r="R31" s="187">
        <f>IF(A31&lt;&gt;"Biogas",IFERROR(VLOOKUP(A31,[1]Biogasudbytte!$A$2:$B$18,2,FALSE)*[1]Energiindhold!$C$10,0)*J31*IFERROR(VLOOKUP(A31,Biogasanlæg!$F$3:$G$8,2,FALSE),1)+IFERROR(VLOOKUP(A31,[1]Energiindhold!$A$2:$C$11,3,FALSE),0)*L31+IF(D31&lt;&gt;År1,Q31,0),0)</f>
        <v>0</v>
      </c>
      <c r="S31" s="187">
        <f>IFERROR(VLOOKUP(A31,[1]Biogasudbytte!$A$2:$B$18,2,FALSE)*[1]Energiindhold!$C$10,0)*J31*IFERROR(VLOOKUP(A31,Biogasanlæg!$F$3:$G$8,2,FALSE),1)</f>
        <v>0</v>
      </c>
      <c r="T31" s="188">
        <f t="shared" si="11"/>
        <v>0</v>
      </c>
      <c r="U31" s="186">
        <f>O31*IFERROR(VLOOKUP(A31,[1]Tørstofindhold!A$2:B$24,2,FALSE),0)</f>
        <v>131.83534701746427</v>
      </c>
      <c r="V31" s="187">
        <f>IF(D31=År1,P31,SUM(O31,P31))*IFERROR(VLOOKUP(A31,[1]Tørstofindhold!A$2:B$24,2,FALSE),0)</f>
        <v>0</v>
      </c>
      <c r="W31" s="187">
        <f>J31*IFERROR(VLOOKUP(A31,[1]Tørstofindhold!A$2:B$24,2,FALSE),0)</f>
        <v>0</v>
      </c>
      <c r="X31" s="188">
        <f t="shared" si="12"/>
        <v>0</v>
      </c>
      <c r="Y31" s="168">
        <f t="shared" si="2"/>
        <v>0</v>
      </c>
      <c r="Z31" s="103">
        <f t="shared" si="3"/>
        <v>1</v>
      </c>
    </row>
    <row r="32" spans="1:26" x14ac:dyDescent="0.25">
      <c r="A32" s="189" t="s">
        <v>14</v>
      </c>
      <c r="B32" s="189"/>
      <c r="C32" s="189">
        <f>IF(COUNTIFS('Resultater - Danmark'!$D$3:$D$504,'Resultat-Produktion &amp; forbrug'!A32,'Resultater - Danmark'!$A$3:$A$504,"Til energi")+COUNTIFS('Resultater - Danmark'!$D$3:$D$504,'Resultat-Produktion &amp; forbrug'!A32,'Resultater - Danmark'!$A$3:$A$504,"Biogasanlæg")&gt;0,1,0)</f>
        <v>0</v>
      </c>
      <c r="D32" s="189">
        <f t="shared" si="8"/>
        <v>2019</v>
      </c>
      <c r="E32" s="187" t="s">
        <v>23</v>
      </c>
      <c r="F32" s="190">
        <f>IF(E32="Vestdanmark",SUMIFS(IF(D32=År1,'Resultater - Vestdanmark'!H$3:H$504,IF(D32=År2,'Resultater - Vestdanmark'!I$3:I$504,'Resultater - Vestdanmark'!J$3:J$504)),'Resultater - Vestdanmark'!$F$3:$F$504,$A32,IF(D32=År1,'Resultater - Vestdanmark'!H$3:H$504,IF(D32=År2,'Resultater - Vestdanmark'!I$3:I$504,'Resultater - Vestdanmark'!J$3:J$504)),"&gt;0"),SUMIFS(IF(D32=År1,'Resultater - Østdanmark'!H$3:H$504,IF(D32=År2,'Resultater - Østdanmark'!I$3:I$504,'Resultater - Østdanmark'!J$3:J$504)),'Resultater - Østdanmark'!$F$3:$F$504,$A32,IF(D32=År1,'Resultater - Østdanmark'!H$3:H$504,IF(D32=År2,'Resultater - Østdanmark'!I$3:I$504,'Resultater - Østdanmark'!J$3:J$504)),"&gt;0"))</f>
        <v>108094.85577035608</v>
      </c>
      <c r="G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forbrug'!G$2,'Forbrug af biomasse'!$B$2:$B$425,$E32)</f>
        <v>0</v>
      </c>
      <c r="H32" s="187">
        <f>IF(E32="Vestdanmark",-IF(A32="Halm",SUMIFS(IF(D32=År1,'Resultater - Vestdanmark'!H$3:H$504,IF(D32=År2,'Resultater - Vestdanmark'!I$3:I$504,'Resultater - Vestdanmark'!J$3:J$504)),'Resultater - Vestdanmark'!$F$3:$F$504,$A32,'Resultater - Vestdanmark'!H$3:H$504,"&lt;0"),0),-IF(A32="Halm",SUMIFS(IF(D32=År1,'Resultater - Østdanmark'!H$3:H$504,IF(D32=År2,'Resultater - Østdanmark'!I$3:I$504,'Resultater - Østdanmark'!J$3:J$504)),'Resultater - Østdanmark'!$F$3:$F$504,$A32,'Resultater - Østdanmark'!H$3:H$504,"&lt;0"),0))</f>
        <v>0</v>
      </c>
      <c r="I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forbrug'!I$2,'Forbrug af biomasse'!$B$2:$B$425,$E32)</f>
        <v>58080.313724265572</v>
      </c>
      <c r="J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forbrug'!J$2,'Forbrug af biomasse'!$B$2:$B$425,$E32)</f>
        <v>0</v>
      </c>
      <c r="K32" s="190">
        <f>SUMIFS('Forbrug af biomasse'!$E$2:$E$425,'Forbrug af biomasse'!$C$2:$C$425,'Resultat-Produktion &amp; forbrug'!$A32,'Forbrug af biomasse'!$D$2:$D$425,'Resultat-Produktion &amp; forbrug'!$D32,'Forbrug af biomasse'!$A$2:$A$425,'Resultat-Produktion &amp; forbrug'!K$2,'Forbrug af biomasse'!$B$2:$B$425,$E32)</f>
        <v>0</v>
      </c>
      <c r="L32" s="190">
        <f>IF(A32&lt;&gt;"Biogas",SUMIFS('Forbrug af biomasse'!$E$2:$E$425,'Forbrug af biomasse'!$C$2:$C$425,'Resultat-Produktion &amp; forbrug'!$A32,'Forbrug af biomasse'!$D$2:$D$425,'Resultat-Produktion &amp; forbrug'!$D32,'Forbrug af biomasse'!$A$2:$A$425,'Resultat-Produktion &amp; forbrug'!L$2,'Forbrug af biomasse'!$B$2:$B$425,$E32),F32)</f>
        <v>0</v>
      </c>
      <c r="M32" s="154">
        <f>SUMIFS('Forbrug af biomasse'!E:E,'Forbrug af biomasse'!C:C,'Resultat-Produktion &amp; forbrug'!$A32,'Forbrug af biomasse'!D:D,'Resultat-Produktion &amp; forbrug'!$D32,'Forbrug af biomasse'!G:G,1,'Forbrug af biomasse'!B:B,$E32)</f>
        <v>0</v>
      </c>
      <c r="N32" s="199">
        <f t="shared" si="9"/>
        <v>50014.542046090508</v>
      </c>
      <c r="O32" s="190">
        <f t="shared" si="1"/>
        <v>0</v>
      </c>
      <c r="P32" s="200">
        <f t="shared" si="10"/>
        <v>0</v>
      </c>
      <c r="Q32" s="187">
        <f>IFERROR(VLOOKUP(A32,[1]Energiindhold!$A$2:$C$11,3,FALSE),IFERROR(VLOOKUP(A32,[1]Biogasudbytte!$A$2:$B$18,2,FALSE)*[1]Energiindhold!$C$10,0))*O32</f>
        <v>0</v>
      </c>
      <c r="R32" s="187">
        <f>IF(A32&lt;&gt;"Biogas",IFERROR(VLOOKUP(A32,[1]Biogasudbytte!$A$2:$B$18,2,FALSE)*[1]Energiindhold!$C$10,0)*J32*IFERROR(VLOOKUP(A32,Biogasanlæg!$F$3:$G$8,2,FALSE),1)+IFERROR(VLOOKUP(A32,[1]Energiindhold!$A$2:$C$11,3,FALSE),0)*L32+IF(D32&lt;&gt;År1,Q32,0),0)</f>
        <v>0</v>
      </c>
      <c r="S32" s="187">
        <f>IFERROR(VLOOKUP(A32,[1]Biogasudbytte!$A$2:$B$18,2,FALSE)*[1]Energiindhold!$C$10,0)*J32*IFERROR(VLOOKUP(A32,Biogasanlæg!$F$3:$G$8,2,FALSE),1)</f>
        <v>0</v>
      </c>
      <c r="T32" s="188">
        <f t="shared" si="11"/>
        <v>0</v>
      </c>
      <c r="U32" s="186">
        <f>O32*IFERROR(VLOOKUP(A32,[1]Tørstofindhold!A$2:B$24,2,FALSE),0)</f>
        <v>0</v>
      </c>
      <c r="V32" s="187">
        <f>IF(D32=År1,P32,SUM(O32,P32))*IFERROR(VLOOKUP(A32,[1]Tørstofindhold!A$2:B$24,2,FALSE),0)</f>
        <v>0</v>
      </c>
      <c r="W32" s="187">
        <f>J32*IFERROR(VLOOKUP(A32,[1]Tørstofindhold!A$2:B$24,2,FALSE),0)</f>
        <v>0</v>
      </c>
      <c r="X32" s="188">
        <f t="shared" si="12"/>
        <v>0</v>
      </c>
      <c r="Y32" s="168">
        <f t="shared" si="2"/>
        <v>0</v>
      </c>
      <c r="Z32" s="103">
        <f t="shared" si="3"/>
        <v>1</v>
      </c>
    </row>
    <row r="33" spans="1:26" x14ac:dyDescent="0.25">
      <c r="A33" s="189" t="s">
        <v>55</v>
      </c>
      <c r="B33" s="189"/>
      <c r="C33" s="189">
        <f>IF(COUNTIFS('Resultater - Danmark'!$D$3:$D$504,'Resultat-Produktion &amp; forbrug'!A33,'Resultater - Danmark'!$A$3:$A$504,"Til energi")+COUNTIFS('Resultater - Danmark'!$D$3:$D$504,'Resultat-Produktion &amp; forbrug'!A33,'Resultater - Danmark'!$A$3:$A$504,"Biogasanlæg")&gt;0,1,0)</f>
        <v>0</v>
      </c>
      <c r="D33" s="189">
        <f t="shared" si="8"/>
        <v>2019</v>
      </c>
      <c r="E33" s="187" t="s">
        <v>23</v>
      </c>
      <c r="F33" s="190">
        <f>IF(E33="Vestdanmark",SUMIFS(IF(D33=År1,'Resultater - Vestdanmark'!H$3:H$504,IF(D33=År2,'Resultater - Vestdanmark'!I$3:I$504,'Resultater - Vestdanmark'!J$3:J$504)),'Resultater - Vestdanmark'!$F$3:$F$504,$A33,IF(D33=År1,'Resultater - Vestdanmark'!H$3:H$504,IF(D33=År2,'Resultater - Vestdanmark'!I$3:I$504,'Resultater - Vestdanmark'!J$3:J$504)),"&gt;0"),SUMIFS(IF(D33=År1,'Resultater - Østdanmark'!H$3:H$504,IF(D33=År2,'Resultater - Østdanmark'!I$3:I$504,'Resultater - Østdanmark'!J$3:J$504)),'Resultater - Østdanmark'!$F$3:$F$504,$A33,IF(D33=År1,'Resultater - Østdanmark'!H$3:H$504,IF(D33=År2,'Resultater - Østdanmark'!I$3:I$504,'Resultater - Østdanmark'!J$3:J$504)),"&gt;0"))</f>
        <v>1610618.3345669576</v>
      </c>
      <c r="G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forbrug'!G$2,'Forbrug af biomasse'!$B$2:$B$425,$E33)</f>
        <v>0</v>
      </c>
      <c r="H33" s="187">
        <f>IF(E33="Vestdanmark",-IF(A33="Halm",SUMIFS(IF(D33=År1,'Resultater - Vestdanmark'!H$3:H$504,IF(D33=År2,'Resultater - Vestdanmark'!I$3:I$504,'Resultater - Vestdanmark'!J$3:J$504)),'Resultater - Vestdanmark'!$F$3:$F$504,$A33,'Resultater - Vestdanmark'!H$3:H$504,"&lt;0"),0),-IF(A33="Halm",SUMIFS(IF(D33=År1,'Resultater - Østdanmark'!H$3:H$504,IF(D33=År2,'Resultater - Østdanmark'!I$3:I$504,'Resultater - Østdanmark'!J$3:J$504)),'Resultater - Østdanmark'!$F$3:$F$504,$A33,'Resultater - Østdanmark'!H$3:H$504,"&lt;0"),0))</f>
        <v>0</v>
      </c>
      <c r="I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forbrug'!I$2,'Forbrug af biomasse'!$B$2:$B$425,$E33)</f>
        <v>0</v>
      </c>
      <c r="J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forbrug'!J$2,'Forbrug af biomasse'!$B$2:$B$425,$E33)</f>
        <v>0</v>
      </c>
      <c r="K33" s="190">
        <f>SUMIFS('Forbrug af biomasse'!$E$2:$E$425,'Forbrug af biomasse'!$C$2:$C$425,'Resultat-Produktion &amp; forbrug'!$A33,'Forbrug af biomasse'!$D$2:$D$425,'Resultat-Produktion &amp; forbrug'!$D33,'Forbrug af biomasse'!$A$2:$A$425,'Resultat-Produktion &amp; forbrug'!K$2,'Forbrug af biomasse'!$B$2:$B$425,$E33)</f>
        <v>0</v>
      </c>
      <c r="L33" s="190">
        <f>IF(A33&lt;&gt;"Biogas",SUMIFS('Forbrug af biomasse'!$E$2:$E$425,'Forbrug af biomasse'!$C$2:$C$425,'Resultat-Produktion &amp; forbrug'!$A33,'Forbrug af biomasse'!$D$2:$D$425,'Resultat-Produktion &amp; forbrug'!$D33,'Forbrug af biomasse'!$A$2:$A$425,'Resultat-Produktion &amp; forbrug'!L$2,'Forbrug af biomasse'!$B$2:$B$425,$E33),F33)</f>
        <v>0</v>
      </c>
      <c r="M33" s="154">
        <f>SUMIFS('Forbrug af biomasse'!E:E,'Forbrug af biomasse'!C:C,'Resultat-Produktion &amp; forbrug'!$A33,'Forbrug af biomasse'!D:D,'Resultat-Produktion &amp; forbrug'!$D33,'Forbrug af biomasse'!G:G,1,'Forbrug af biomasse'!B:B,$E33)</f>
        <v>0</v>
      </c>
      <c r="N33" s="199">
        <f t="shared" si="9"/>
        <v>1610618.3345669576</v>
      </c>
      <c r="O33" s="190">
        <f t="shared" si="1"/>
        <v>0</v>
      </c>
      <c r="P33" s="200">
        <f t="shared" si="10"/>
        <v>0</v>
      </c>
      <c r="Q33" s="187">
        <f>IFERROR(VLOOKUP(A33,[1]Energiindhold!$A$2:$C$11,3,FALSE),IFERROR(VLOOKUP(A33,[1]Biogasudbytte!$A$2:$B$18,2,FALSE)*[1]Energiindhold!$C$10,0))*O33</f>
        <v>0</v>
      </c>
      <c r="R33" s="187">
        <f>IF(A33&lt;&gt;"Biogas",IFERROR(VLOOKUP(A33,[1]Biogasudbytte!$A$2:$B$18,2,FALSE)*[1]Energiindhold!$C$10,0)*J33*IFERROR(VLOOKUP(A33,Biogasanlæg!$F$3:$G$8,2,FALSE),1)+IFERROR(VLOOKUP(A33,[1]Energiindhold!$A$2:$C$11,3,FALSE),0)*L33+IF(D33&lt;&gt;År1,Q33,0),0)</f>
        <v>0</v>
      </c>
      <c r="S33" s="187">
        <f>IFERROR(VLOOKUP(A33,[1]Biogasudbytte!$A$2:$B$18,2,FALSE)*[1]Energiindhold!$C$10,0)*J33*IFERROR(VLOOKUP(A33,Biogasanlæg!$F$3:$G$8,2,FALSE),1)</f>
        <v>0</v>
      </c>
      <c r="T33" s="188">
        <f t="shared" si="11"/>
        <v>0</v>
      </c>
      <c r="U33" s="186">
        <f>O33*IFERROR(VLOOKUP(A33,[1]Tørstofindhold!A$2:B$24,2,FALSE),0)</f>
        <v>0</v>
      </c>
      <c r="V33" s="187">
        <f>IF(D33=År1,P33,SUM(O33,P33))*IFERROR(VLOOKUP(A33,[1]Tørstofindhold!A$2:B$24,2,FALSE),0)</f>
        <v>0</v>
      </c>
      <c r="W33" s="187">
        <f>J33*IFERROR(VLOOKUP(A33,[1]Tørstofindhold!A$2:B$24,2,FALSE),0)</f>
        <v>0</v>
      </c>
      <c r="X33" s="188">
        <f t="shared" si="12"/>
        <v>0</v>
      </c>
      <c r="Y33" s="168">
        <f t="shared" si="2"/>
        <v>0</v>
      </c>
      <c r="Z33" s="103">
        <f t="shared" si="3"/>
        <v>1</v>
      </c>
    </row>
    <row r="34" spans="1:26" x14ac:dyDescent="0.25">
      <c r="A34" s="189" t="s">
        <v>95</v>
      </c>
      <c r="B34" s="189" t="s">
        <v>225</v>
      </c>
      <c r="C34" s="189">
        <f>IF(COUNTIFS('Resultater - Danmark'!$D$3:$D$504,'Resultat-Produktion &amp; forbrug'!A34,'Resultater - Danmark'!$A$3:$A$504,"Til energi")+COUNTIFS('Resultater - Danmark'!$D$3:$D$504,'Resultat-Produktion &amp; forbrug'!A34,'Resultater - Danmark'!$A$3:$A$504,"Biogasanlæg")&gt;0,1,0)</f>
        <v>1</v>
      </c>
      <c r="D34" s="189">
        <f t="shared" si="8"/>
        <v>2019</v>
      </c>
      <c r="E34" s="187" t="s">
        <v>23</v>
      </c>
      <c r="F34" s="190">
        <f>IF(E34="Vestdanmark",SUMIFS(IF(D34=År1,'Resultater - Vestdanmark'!H$3:H$504,IF(D34=År2,'Resultater - Vestdanmark'!I$3:I$504,'Resultater - Vestdanmark'!J$3:J$504)),'Resultater - Vestdanmark'!$F$3:$F$504,$A34,IF(D34=År1,'Resultater - Vestdanmark'!H$3:H$504,IF(D34=År2,'Resultater - Vestdanmark'!I$3:I$504,'Resultater - Vestdanmark'!J$3:J$504)),"&gt;0"),SUMIFS(IF(D34=År1,'Resultater - Østdanmark'!H$3:H$504,IF(D34=År2,'Resultater - Østdanmark'!I$3:I$504,'Resultater - Østdanmark'!J$3:J$504)),'Resultater - Østdanmark'!$F$3:$F$504,$A34,IF(D34=År1,'Resultater - Østdanmark'!H$3:H$504,IF(D34=År2,'Resultater - Østdanmark'!I$3:I$504,'Resultater - Østdanmark'!J$3:J$504)),"&gt;0"))</f>
        <v>171006.78248665464</v>
      </c>
      <c r="G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forbrug'!G$2,'Forbrug af biomasse'!$B$2:$B$425,$E34)</f>
        <v>0</v>
      </c>
      <c r="H34" s="187">
        <f>IF(E34="Vestdanmark",-IF(A34="Halm",SUMIFS(IF(D34=År1,'Resultater - Vestdanmark'!H$3:H$504,IF(D34=År2,'Resultater - Vestdanmark'!I$3:I$504,'Resultater - Vestdanmark'!J$3:J$504)),'Resultater - Vestdanmark'!$F$3:$F$504,$A34,'Resultater - Vestdanmark'!H$3:H$504,"&lt;0"),0),-IF(A34="Halm",SUMIFS(IF(D34=År1,'Resultater - Østdanmark'!H$3:H$504,IF(D34=År2,'Resultater - Østdanmark'!I$3:I$504,'Resultater - Østdanmark'!J$3:J$504)),'Resultater - Østdanmark'!$F$3:$F$504,$A34,'Resultater - Østdanmark'!H$3:H$504,"&lt;0"),0))</f>
        <v>0</v>
      </c>
      <c r="I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forbrug'!I$2,'Forbrug af biomasse'!$B$2:$B$425,$E34)</f>
        <v>0</v>
      </c>
      <c r="J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forbrug'!J$2,'Forbrug af biomasse'!$B$2:$B$425,$E34)</f>
        <v>0</v>
      </c>
      <c r="K34" s="190">
        <f>SUMIFS('Forbrug af biomasse'!$E$2:$E$425,'Forbrug af biomasse'!$C$2:$C$425,'Resultat-Produktion &amp; forbrug'!$A34,'Forbrug af biomasse'!$D$2:$D$425,'Resultat-Produktion &amp; forbrug'!$D34,'Forbrug af biomasse'!$A$2:$A$425,'Resultat-Produktion &amp; forbrug'!K$2,'Forbrug af biomasse'!$B$2:$B$425,$E34)</f>
        <v>0</v>
      </c>
      <c r="L34" s="190">
        <f>IF(A34&lt;&gt;"Biogas",SUMIFS('Forbrug af biomasse'!$E$2:$E$425,'Forbrug af biomasse'!$C$2:$C$425,'Resultat-Produktion &amp; forbrug'!$A34,'Forbrug af biomasse'!$D$2:$D$425,'Resultat-Produktion &amp; forbrug'!$D34,'Forbrug af biomasse'!$A$2:$A$425,'Resultat-Produktion &amp; forbrug'!L$2,'Forbrug af biomasse'!$B$2:$B$425,$E34),F34)</f>
        <v>171006.78248665464</v>
      </c>
      <c r="M34" s="154">
        <f>SUMIFS('Forbrug af biomasse'!E:E,'Forbrug af biomasse'!C:C,'Resultat-Produktion &amp; forbrug'!$A34,'Forbrug af biomasse'!D:D,'Resultat-Produktion &amp; forbrug'!$D34,'Forbrug af biomasse'!G:G,1,'Forbrug af biomasse'!B:B,$E34)</f>
        <v>0</v>
      </c>
      <c r="N34" s="199">
        <f t="shared" si="9"/>
        <v>0</v>
      </c>
      <c r="O34" s="190">
        <f t="shared" si="1"/>
        <v>0</v>
      </c>
      <c r="P34" s="200">
        <f t="shared" si="10"/>
        <v>171006.78248665464</v>
      </c>
      <c r="Q34" s="187">
        <f>IFERROR(VLOOKUP(A34,[1]Energiindhold!$A$2:$C$11,3,FALSE),IFERROR(VLOOKUP(A34,[1]Biogasudbytte!$A$2:$B$18,2,FALSE)*[1]Energiindhold!$C$10,0))*O34</f>
        <v>0</v>
      </c>
      <c r="R34" s="187">
        <f>IF(A34&lt;&gt;"Biogas",IFERROR(VLOOKUP(A34,[1]Biogasudbytte!$A$2:$B$18,2,FALSE)*[1]Energiindhold!$C$10,0)*J34*IFERROR(VLOOKUP(A34,Biogasanlæg!$F$3:$G$8,2,FALSE),1)+IFERROR(VLOOKUP(A34,[1]Energiindhold!$A$2:$C$11,3,FALSE),0)*L34+IF(D34&lt;&gt;År1,Q34,0),0)</f>
        <v>3.146524797754445</v>
      </c>
      <c r="S34" s="187">
        <f>IFERROR(VLOOKUP(A34,[1]Biogasudbytte!$A$2:$B$18,2,FALSE)*[1]Energiindhold!$C$10,0)*J34*IFERROR(VLOOKUP(A34,Biogasanlæg!$F$3:$G$8,2,FALSE),1)</f>
        <v>0</v>
      </c>
      <c r="T34" s="188">
        <f t="shared" si="11"/>
        <v>3.146524797754445</v>
      </c>
      <c r="U34" s="186">
        <f>O34*IFERROR(VLOOKUP(A34,[1]Tørstofindhold!A$2:B$24,2,FALSE),0)</f>
        <v>0</v>
      </c>
      <c r="V34" s="187">
        <f>IF(D34=År1,P34,SUM(O34,P34))*IFERROR(VLOOKUP(A34,[1]Tørstofindhold!A$2:B$24,2,FALSE),0)</f>
        <v>70967.814731961684</v>
      </c>
      <c r="W34" s="187">
        <f>J34*IFERROR(VLOOKUP(A34,[1]Tørstofindhold!A$2:B$24,2,FALSE),0)</f>
        <v>0</v>
      </c>
      <c r="X34" s="188">
        <f t="shared" si="12"/>
        <v>70967.814731961684</v>
      </c>
      <c r="Y34" s="168">
        <f t="shared" si="2"/>
        <v>0</v>
      </c>
      <c r="Z34" s="103">
        <f t="shared" si="3"/>
        <v>0</v>
      </c>
    </row>
    <row r="35" spans="1:26" x14ac:dyDescent="0.25">
      <c r="A35" s="189" t="s">
        <v>309</v>
      </c>
      <c r="B35" s="189" t="s">
        <v>315</v>
      </c>
      <c r="C35" s="189">
        <f>IF(COUNTIFS('Resultater - Danmark'!$D$3:$D$504,'Resultat-Produktion &amp; forbrug'!A35,'Resultater - Danmark'!$A$3:$A$504,"Til energi")+COUNTIFS('Resultater - Danmark'!$D$3:$D$504,'Resultat-Produktion &amp; forbrug'!A35,'Resultater - Danmark'!$A$3:$A$504,"Biogasanlæg")&gt;0,1,0)</f>
        <v>1</v>
      </c>
      <c r="D35" s="189">
        <f t="shared" si="8"/>
        <v>2019</v>
      </c>
      <c r="E35" s="187" t="s">
        <v>23</v>
      </c>
      <c r="F35" s="190">
        <f>IF(E35="Vestdanmark",SUMIFS(IF(D35=År1,'Resultater - Vestdanmark'!H$3:H$504,IF(D35=År2,'Resultater - Vestdanmark'!I$3:I$504,'Resultater - Vestdanmark'!J$3:J$504)),'Resultater - Vestdanmark'!$F$3:$F$504,$A35,IF(D35=År1,'Resultater - Vestdanmark'!H$3:H$504,IF(D35=År2,'Resultater - Vestdanmark'!I$3:I$504,'Resultater - Vestdanmark'!J$3:J$504)),"&gt;0"),SUMIFS(IF(D35=År1,'Resultater - Østdanmark'!H$3:H$504,IF(D35=År2,'Resultater - Østdanmark'!I$3:I$504,'Resultater - Østdanmark'!J$3:J$504)),'Resultater - Østdanmark'!$F$3:$F$504,$A35,IF(D35=År1,'Resultater - Østdanmark'!H$3:H$504,IF(D35=År2,'Resultater - Østdanmark'!I$3:I$504,'Resultater - Østdanmark'!J$3:J$504)),"&gt;0"))</f>
        <v>0</v>
      </c>
      <c r="G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forbrug'!G$2,'Forbrug af biomasse'!$B$2:$B$425,$E35)</f>
        <v>0</v>
      </c>
      <c r="H35" s="187">
        <f>IF(E35="Vestdanmark",-IF(A35="Halm",SUMIFS(IF(D35=År1,'Resultater - Vestdanmark'!H$3:H$504,IF(D35=År2,'Resultater - Vestdanmark'!I$3:I$504,'Resultater - Vestdanmark'!J$3:J$504)),'Resultater - Vestdanmark'!$F$3:$F$504,$A35,'Resultater - Vestdanmark'!H$3:H$504,"&lt;0"),0),-IF(A35="Halm",SUMIFS(IF(D35=År1,'Resultater - Østdanmark'!H$3:H$504,IF(D35=År2,'Resultater - Østdanmark'!I$3:I$504,'Resultater - Østdanmark'!J$3:J$504)),'Resultater - Østdanmark'!$F$3:$F$504,$A35,'Resultater - Østdanmark'!H$3:H$504,"&lt;0"),0))</f>
        <v>0</v>
      </c>
      <c r="I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forbrug'!I$2,'Forbrug af biomasse'!$B$2:$B$425,$E35)</f>
        <v>0</v>
      </c>
      <c r="J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forbrug'!J$2,'Forbrug af biomasse'!$B$2:$B$425,$E35)</f>
        <v>0</v>
      </c>
      <c r="K35" s="190">
        <f>SUMIFS('Forbrug af biomasse'!$E$2:$E$425,'Forbrug af biomasse'!$C$2:$C$425,'Resultat-Produktion &amp; forbrug'!$A35,'Forbrug af biomasse'!$D$2:$D$425,'Resultat-Produktion &amp; forbrug'!$D35,'Forbrug af biomasse'!$A$2:$A$425,'Resultat-Produktion &amp; forbrug'!K$2,'Forbrug af biomasse'!$B$2:$B$425,$E35)</f>
        <v>0</v>
      </c>
      <c r="L35" s="190">
        <f>IF(A35&lt;&gt;"Biogas",SUMIFS('Forbrug af biomasse'!$E$2:$E$425,'Forbrug af biomasse'!$C$2:$C$425,'Resultat-Produktion &amp; forbrug'!$A35,'Forbrug af biomasse'!$D$2:$D$425,'Resultat-Produktion &amp; forbrug'!$D35,'Forbrug af biomasse'!$A$2:$A$425,'Resultat-Produktion &amp; forbrug'!L$2,'Forbrug af biomasse'!$B$2:$B$425,$E35),F35)</f>
        <v>0</v>
      </c>
      <c r="M35" s="154">
        <f>SUMIFS('Forbrug af biomasse'!E:E,'Forbrug af biomasse'!C:C,'Resultat-Produktion &amp; forbrug'!$A35,'Forbrug af biomasse'!D:D,'Resultat-Produktion &amp; forbrug'!$D35,'Forbrug af biomasse'!G:G,1,'Forbrug af biomasse'!B:B,$E35)</f>
        <v>0</v>
      </c>
      <c r="N35" s="199">
        <f t="shared" ref="N35:N36" si="13">F35-SUM(G35:M35)</f>
        <v>0</v>
      </c>
      <c r="O35" s="190">
        <f t="shared" si="1"/>
        <v>0</v>
      </c>
      <c r="P35" s="200">
        <f t="shared" ref="P35:P36" si="14">SUM(J35,L35)</f>
        <v>0</v>
      </c>
      <c r="Q35" s="187">
        <f>IFERROR(VLOOKUP(A35,[1]Energiindhold!$A$2:$C$11,3,FALSE),IFERROR(VLOOKUP(A35,[1]Biogasudbytte!$A$2:$B$18,2,FALSE)*[1]Energiindhold!$C$10,0))*O35</f>
        <v>0</v>
      </c>
      <c r="R35" s="187">
        <f>IF(A35&lt;&gt;"Biogas",IFERROR(VLOOKUP(A35,[1]Biogasudbytte!$A$2:$B$18,2,FALSE)*[1]Energiindhold!$C$10,0)*J35*IFERROR(VLOOKUP(A35,Biogasanlæg!$F$3:$G$8,2,FALSE),1)+IFERROR(VLOOKUP(A35,[1]Energiindhold!$A$2:$C$11,3,FALSE),0)*L35+IF(D35&lt;&gt;År1,Q35,0),0)</f>
        <v>0</v>
      </c>
      <c r="S35" s="187">
        <f>IFERROR(VLOOKUP(A35,[1]Biogasudbytte!$A$2:$B$18,2,FALSE)*[1]Energiindhold!$C$10,0)*J35*IFERROR(VLOOKUP(A35,Biogasanlæg!$F$3:$G$8,2,FALSE),1)</f>
        <v>0</v>
      </c>
      <c r="T35" s="188">
        <f t="shared" ref="T35:T36" si="15">R35-S35</f>
        <v>0</v>
      </c>
      <c r="U35" s="186">
        <f>O35*IFERROR(VLOOKUP(A35,[1]Tørstofindhold!A$2:B$24,2,FALSE),0)</f>
        <v>0</v>
      </c>
      <c r="V35" s="187">
        <f>IF(D35=År1,P35,SUM(O35,P35))*IFERROR(VLOOKUP(A35,[1]Tørstofindhold!A$2:B$24,2,FALSE),0)</f>
        <v>0</v>
      </c>
      <c r="W35" s="187">
        <f>J35*IFERROR(VLOOKUP(A35,[1]Tørstofindhold!A$2:B$24,2,FALSE),0)</f>
        <v>0</v>
      </c>
      <c r="X35" s="188">
        <f t="shared" ref="X35:X36" si="16">V35-W35</f>
        <v>0</v>
      </c>
      <c r="Y35" s="168">
        <f t="shared" si="2"/>
        <v>0</v>
      </c>
      <c r="Z35" s="103">
        <f t="shared" si="3"/>
        <v>0</v>
      </c>
    </row>
    <row r="36" spans="1:26" x14ac:dyDescent="0.25">
      <c r="A36" s="189" t="s">
        <v>310</v>
      </c>
      <c r="B36" s="189" t="s">
        <v>315</v>
      </c>
      <c r="C36" s="189">
        <f>IF(COUNTIFS('Resultater - Danmark'!$D$3:$D$504,'Resultat-Produktion &amp; forbrug'!A36,'Resultater - Danmark'!$A$3:$A$504,"Til energi")+COUNTIFS('Resultater - Danmark'!$D$3:$D$504,'Resultat-Produktion &amp; forbrug'!A36,'Resultater - Danmark'!$A$3:$A$504,"Biogasanlæg")&gt;0,1,0)</f>
        <v>1</v>
      </c>
      <c r="D36" s="189">
        <f t="shared" si="8"/>
        <v>2019</v>
      </c>
      <c r="E36" s="187" t="s">
        <v>23</v>
      </c>
      <c r="F36" s="190">
        <f>IF(E36="Vestdanmark",SUMIFS(IF(D36=År1,'Resultater - Vestdanmark'!H$3:H$504,IF(D36=År2,'Resultater - Vestdanmark'!I$3:I$504,'Resultater - Vestdanmark'!J$3:J$504)),'Resultater - Vestdanmark'!$F$3:$F$504,$A36,IF(D36=År1,'Resultater - Vestdanmark'!H$3:H$504,IF(D36=År2,'Resultater - Vestdanmark'!I$3:I$504,'Resultater - Vestdanmark'!J$3:J$504)),"&gt;0"),SUMIFS(IF(D36=År1,'Resultater - Østdanmark'!H$3:H$504,IF(D36=År2,'Resultater - Østdanmark'!I$3:I$504,'Resultater - Østdanmark'!J$3:J$504)),'Resultater - Østdanmark'!$F$3:$F$504,$A36,IF(D36=År1,'Resultater - Østdanmark'!H$3:H$504,IF(D36=År2,'Resultater - Østdanmark'!I$3:I$504,'Resultater - Østdanmark'!J$3:J$504)),"&gt;0"))</f>
        <v>0</v>
      </c>
      <c r="G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forbrug'!G$2,'Forbrug af biomasse'!$B$2:$B$425,$E36)</f>
        <v>0</v>
      </c>
      <c r="H36" s="187">
        <f>IF(E36="Vestdanmark",-IF(A36="Halm",SUMIFS(IF(D36=År1,'Resultater - Vestdanmark'!H$3:H$504,IF(D36=År2,'Resultater - Vestdanmark'!I$3:I$504,'Resultater - Vestdanmark'!J$3:J$504)),'Resultater - Vestdanmark'!$F$3:$F$504,$A36,'Resultater - Vestdanmark'!H$3:H$504,"&lt;0"),0),-IF(A36="Halm",SUMIFS(IF(D36=År1,'Resultater - Østdanmark'!H$3:H$504,IF(D36=År2,'Resultater - Østdanmark'!I$3:I$504,'Resultater - Østdanmark'!J$3:J$504)),'Resultater - Østdanmark'!$F$3:$F$504,$A36,'Resultater - Østdanmark'!H$3:H$504,"&lt;0"),0))</f>
        <v>0</v>
      </c>
      <c r="I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forbrug'!I$2,'Forbrug af biomasse'!$B$2:$B$425,$E36)</f>
        <v>0</v>
      </c>
      <c r="J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forbrug'!J$2,'Forbrug af biomasse'!$B$2:$B$425,$E36)</f>
        <v>0</v>
      </c>
      <c r="K36" s="190">
        <f>SUMIFS('Forbrug af biomasse'!$E$2:$E$425,'Forbrug af biomasse'!$C$2:$C$425,'Resultat-Produktion &amp; forbrug'!$A36,'Forbrug af biomasse'!$D$2:$D$425,'Resultat-Produktion &amp; forbrug'!$D36,'Forbrug af biomasse'!$A$2:$A$425,'Resultat-Produktion &amp; forbrug'!K$2,'Forbrug af biomasse'!$B$2:$B$425,$E36)</f>
        <v>0</v>
      </c>
      <c r="L36" s="190">
        <f>IF(A36&lt;&gt;"Biogas",SUMIFS('Forbrug af biomasse'!$E$2:$E$425,'Forbrug af biomasse'!$C$2:$C$425,'Resultat-Produktion &amp; forbrug'!$A36,'Forbrug af biomasse'!$D$2:$D$425,'Resultat-Produktion &amp; forbrug'!$D36,'Forbrug af biomasse'!$A$2:$A$425,'Resultat-Produktion &amp; forbrug'!L$2,'Forbrug af biomasse'!$B$2:$B$425,$E36),F36)</f>
        <v>0</v>
      </c>
      <c r="M36" s="154">
        <f>SUMIFS('Forbrug af biomasse'!E:E,'Forbrug af biomasse'!C:C,'Resultat-Produktion &amp; forbrug'!$A36,'Forbrug af biomasse'!D:D,'Resultat-Produktion &amp; forbrug'!$D36,'Forbrug af biomasse'!G:G,1,'Forbrug af biomasse'!B:B,$E36)</f>
        <v>0</v>
      </c>
      <c r="N36" s="199">
        <f t="shared" si="13"/>
        <v>0</v>
      </c>
      <c r="O36" s="190">
        <f t="shared" si="1"/>
        <v>0</v>
      </c>
      <c r="P36" s="200">
        <f t="shared" si="14"/>
        <v>0</v>
      </c>
      <c r="Q36" s="187">
        <f>IFERROR(VLOOKUP(A36,[1]Energiindhold!$A$2:$C$11,3,FALSE),IFERROR(VLOOKUP(A36,[1]Biogasudbytte!$A$2:$B$18,2,FALSE)*[1]Energiindhold!$C$10,0))*O36</f>
        <v>0</v>
      </c>
      <c r="R36" s="187">
        <f>IF(A36&lt;&gt;"Biogas",IFERROR(VLOOKUP(A36,[1]Biogasudbytte!$A$2:$B$18,2,FALSE)*[1]Energiindhold!$C$10,0)*J36*IFERROR(VLOOKUP(A36,Biogasanlæg!$F$3:$G$8,2,FALSE),1)+IFERROR(VLOOKUP(A36,[1]Energiindhold!$A$2:$C$11,3,FALSE),0)*L36+IF(D36&lt;&gt;År1,Q36,0),0)</f>
        <v>0</v>
      </c>
      <c r="S36" s="187">
        <f>IFERROR(VLOOKUP(A36,[1]Biogasudbytte!$A$2:$B$18,2,FALSE)*[1]Energiindhold!$C$10,0)*J36*IFERROR(VLOOKUP(A36,Biogasanlæg!$F$3:$G$8,2,FALSE),1)</f>
        <v>0</v>
      </c>
      <c r="T36" s="188">
        <f t="shared" si="15"/>
        <v>0</v>
      </c>
      <c r="U36" s="186">
        <f>O36*IFERROR(VLOOKUP(A36,[1]Tørstofindhold!A$2:B$24,2,FALSE),0)</f>
        <v>0</v>
      </c>
      <c r="V36" s="187">
        <f>IF(D36=År1,P36,SUM(O36,P36))*IFERROR(VLOOKUP(A36,[1]Tørstofindhold!A$2:B$24,2,FALSE),0)</f>
        <v>0</v>
      </c>
      <c r="W36" s="187">
        <f>J36*IFERROR(VLOOKUP(A36,[1]Tørstofindhold!A$2:B$24,2,FALSE),0)</f>
        <v>0</v>
      </c>
      <c r="X36" s="188">
        <f t="shared" si="16"/>
        <v>0</v>
      </c>
      <c r="Y36" s="168">
        <f t="shared" si="2"/>
        <v>0</v>
      </c>
      <c r="Z36" s="103">
        <f t="shared" si="3"/>
        <v>0</v>
      </c>
    </row>
    <row r="37" spans="1:26" x14ac:dyDescent="0.25">
      <c r="A37" s="189" t="s">
        <v>117</v>
      </c>
      <c r="B37" s="189"/>
      <c r="C37" s="189">
        <f>IF(COUNTIFS('Resultater - Danmark'!$D$3:$D$504,'Resultat-Produktion &amp; forbrug'!A37,'Resultater - Danmark'!$A$3:$A$504,"Til energi")+COUNTIFS('Resultater - Danmark'!$D$3:$D$504,'Resultat-Produktion &amp; forbrug'!A37,'Resultater - Danmark'!$A$3:$A$504,"Biogasanlæg")&gt;0,1,0)</f>
        <v>0</v>
      </c>
      <c r="D37" s="189">
        <f t="shared" si="8"/>
        <v>2019</v>
      </c>
      <c r="E37" s="187" t="s">
        <v>23</v>
      </c>
      <c r="F37" s="190">
        <f>IF(E37="Vestdanmark",SUMIFS(IF(D37=År1,'Resultater - Vestdanmark'!H$3:H$504,IF(D37=År2,'Resultater - Vestdanmark'!I$3:I$504,'Resultater - Vestdanmark'!J$3:J$504)),'Resultater - Vestdanmark'!$F$3:$F$504,$A37,IF(D37=År1,'Resultater - Vestdanmark'!H$3:H$504,IF(D37=År2,'Resultater - Vestdanmark'!I$3:I$504,'Resultater - Vestdanmark'!J$3:J$504)),"&gt;0"),SUMIFS(IF(D37=År1,'Resultater - Østdanmark'!H$3:H$504,IF(D37=År2,'Resultater - Østdanmark'!I$3:I$504,'Resultater - Østdanmark'!J$3:J$504)),'Resultater - Østdanmark'!$F$3:$F$504,$A37,IF(D37=År1,'Resultater - Østdanmark'!H$3:H$504,IF(D37=År2,'Resultater - Østdanmark'!I$3:I$504,'Resultater - Østdanmark'!J$3:J$504)),"&gt;0"))</f>
        <v>4922001.9803787302</v>
      </c>
      <c r="G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forbrug'!G$2,'Forbrug af biomasse'!$B$2:$B$425,$E37)</f>
        <v>0</v>
      </c>
      <c r="H37" s="187">
        <f>IF(E37="Vestdanmark",-IF(A37="Halm",SUMIFS(IF(D37=År1,'Resultater - Vestdanmark'!H$3:H$504,IF(D37=År2,'Resultater - Vestdanmark'!I$3:I$504,'Resultater - Vestdanmark'!J$3:J$504)),'Resultater - Vestdanmark'!$F$3:$F$504,$A37,'Resultater - Vestdanmark'!H$3:H$504,"&lt;0"),0),-IF(A37="Halm",SUMIFS(IF(D37=År1,'Resultater - Østdanmark'!H$3:H$504,IF(D37=År2,'Resultater - Østdanmark'!I$3:I$504,'Resultater - Østdanmark'!J$3:J$504)),'Resultater - Østdanmark'!$F$3:$F$504,$A37,'Resultater - Østdanmark'!H$3:H$504,"&lt;0"),0))</f>
        <v>0</v>
      </c>
      <c r="I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forbrug'!I$2,'Forbrug af biomasse'!$B$2:$B$425,$E37)</f>
        <v>0</v>
      </c>
      <c r="J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forbrug'!J$2,'Forbrug af biomasse'!$B$2:$B$425,$E37)</f>
        <v>0</v>
      </c>
      <c r="K37" s="190">
        <f>SUMIFS('Forbrug af biomasse'!$E$2:$E$425,'Forbrug af biomasse'!$C$2:$C$425,'Resultat-Produktion &amp; forbrug'!$A37,'Forbrug af biomasse'!$D$2:$D$425,'Resultat-Produktion &amp; forbrug'!$D37,'Forbrug af biomasse'!$A$2:$A$425,'Resultat-Produktion &amp; forbrug'!K$2,'Forbrug af biomasse'!$B$2:$B$425,$E37)</f>
        <v>0</v>
      </c>
      <c r="L37" s="190">
        <f>IF(A37&lt;&gt;"Biogas",SUMIFS('Forbrug af biomasse'!$E$2:$E$425,'Forbrug af biomasse'!$C$2:$C$425,'Resultat-Produktion &amp; forbrug'!$A37,'Forbrug af biomasse'!$D$2:$D$425,'Resultat-Produktion &amp; forbrug'!$D37,'Forbrug af biomasse'!$A$2:$A$425,'Resultat-Produktion &amp; forbrug'!L$2,'Forbrug af biomasse'!$B$2:$B$425,$E37),F37)</f>
        <v>0</v>
      </c>
      <c r="M37" s="154">
        <f>SUMIFS('Forbrug af biomasse'!E:E,'Forbrug af biomasse'!C:C,'Resultat-Produktion &amp; forbrug'!$A37,'Forbrug af biomasse'!D:D,'Resultat-Produktion &amp; forbrug'!$D37,'Forbrug af biomasse'!G:G,1,'Forbrug af biomasse'!B:B,$E37)</f>
        <v>0</v>
      </c>
      <c r="N37" s="199">
        <f t="shared" si="9"/>
        <v>4922001.9803787302</v>
      </c>
      <c r="O37" s="190">
        <f t="shared" si="1"/>
        <v>0</v>
      </c>
      <c r="P37" s="200">
        <f t="shared" si="10"/>
        <v>0</v>
      </c>
      <c r="Q37" s="187">
        <f>IFERROR(VLOOKUP(A37,[1]Energiindhold!$A$2:$C$11,3,FALSE),IFERROR(VLOOKUP(A37,[1]Biogasudbytte!$A$2:$B$18,2,FALSE)*[1]Energiindhold!$C$10,0))*O37</f>
        <v>0</v>
      </c>
      <c r="R37" s="187">
        <f>IF(A37&lt;&gt;"Biogas",IFERROR(VLOOKUP(A37,[1]Biogasudbytte!$A$2:$B$18,2,FALSE)*[1]Energiindhold!$C$10,0)*J37*IFERROR(VLOOKUP(A37,Biogasanlæg!$F$3:$G$8,2,FALSE),1)+IFERROR(VLOOKUP(A37,[1]Energiindhold!$A$2:$C$11,3,FALSE),0)*L37+IF(D37&lt;&gt;År1,Q37,0),0)</f>
        <v>0</v>
      </c>
      <c r="S37" s="187">
        <f>IFERROR(VLOOKUP(A37,[1]Biogasudbytte!$A$2:$B$18,2,FALSE)*[1]Energiindhold!$C$10,0)*J37*IFERROR(VLOOKUP(A37,Biogasanlæg!$F$3:$G$8,2,FALSE),1)</f>
        <v>0</v>
      </c>
      <c r="T37" s="188">
        <f t="shared" si="11"/>
        <v>0</v>
      </c>
      <c r="U37" s="186">
        <f>O37*IFERROR(VLOOKUP(A37,[1]Tørstofindhold!A$2:B$24,2,FALSE),0)</f>
        <v>0</v>
      </c>
      <c r="V37" s="187">
        <f>IF(D37=År1,P37,SUM(O37,P37))*IFERROR(VLOOKUP(A37,[1]Tørstofindhold!A$2:B$24,2,FALSE),0)</f>
        <v>0</v>
      </c>
      <c r="W37" s="187">
        <f>J37*IFERROR(VLOOKUP(A37,[1]Tørstofindhold!A$2:B$24,2,FALSE),0)</f>
        <v>0</v>
      </c>
      <c r="X37" s="188">
        <f t="shared" si="12"/>
        <v>0</v>
      </c>
      <c r="Y37" s="168">
        <f t="shared" si="2"/>
        <v>0</v>
      </c>
      <c r="Z37" s="103">
        <f t="shared" si="3"/>
        <v>1</v>
      </c>
    </row>
    <row r="38" spans="1:26" x14ac:dyDescent="0.25">
      <c r="A38" s="187" t="s">
        <v>50</v>
      </c>
      <c r="B38" s="189"/>
      <c r="C38" s="189">
        <f>IF(COUNTIFS('Resultater - Danmark'!$D$3:$D$504,'Resultat-Produktion &amp; forbrug'!A38,'Resultater - Danmark'!$A$3:$A$504,"Til energi")+COUNTIFS('Resultater - Danmark'!$D$3:$D$504,'Resultat-Produktion &amp; forbrug'!A38,'Resultater - Danmark'!$A$3:$A$504,"Biogasanlæg")&gt;0,1,0)</f>
        <v>0</v>
      </c>
      <c r="D38" s="189">
        <f t="shared" si="8"/>
        <v>2019</v>
      </c>
      <c r="E38" s="187" t="s">
        <v>23</v>
      </c>
      <c r="F38" s="190">
        <f>IF(E38="Vestdanmark",SUMIFS(IF(D38=År1,'Resultater - Vestdanmark'!H$3:H$504,IF(D38=År2,'Resultater - Vestdanmark'!I$3:I$504,'Resultater - Vestdanmark'!J$3:J$504)),'Resultater - Vestdanmark'!$F$3:$F$504,$A38,IF(D38=År1,'Resultater - Vestdanmark'!H$3:H$504,IF(D38=År2,'Resultater - Vestdanmark'!I$3:I$504,'Resultater - Vestdanmark'!J$3:J$504)),"&gt;0"),SUMIFS(IF(D38=År1,'Resultater - Østdanmark'!H$3:H$504,IF(D38=År2,'Resultater - Østdanmark'!I$3:I$504,'Resultater - Østdanmark'!J$3:J$504)),'Resultater - Østdanmark'!$F$3:$F$504,$A38,IF(D38=År1,'Resultater - Østdanmark'!H$3:H$504,IF(D38=År2,'Resultater - Østdanmark'!I$3:I$504,'Resultater - Østdanmark'!J$3:J$504)),"&gt;0"))</f>
        <v>485762.00237315823</v>
      </c>
      <c r="G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forbrug'!G$2,'Forbrug af biomasse'!$B$2:$B$425,$E38)</f>
        <v>0</v>
      </c>
      <c r="H38" s="187">
        <f>IF(E38="Vestdanmark",-IF(A38="Halm",SUMIFS(IF(D38=År1,'Resultater - Vestdanmark'!H$3:H$504,IF(D38=År2,'Resultater - Vestdanmark'!I$3:I$504,'Resultater - Vestdanmark'!J$3:J$504)),'Resultater - Vestdanmark'!$F$3:$F$504,$A38,'Resultater - Vestdanmark'!H$3:H$504,"&lt;0"),0),-IF(A38="Halm",SUMIFS(IF(D38=År1,'Resultater - Østdanmark'!H$3:H$504,IF(D38=År2,'Resultater - Østdanmark'!I$3:I$504,'Resultater - Østdanmark'!J$3:J$504)),'Resultater - Østdanmark'!$F$3:$F$504,$A38,'Resultater - Østdanmark'!H$3:H$504,"&lt;0"),0))</f>
        <v>0</v>
      </c>
      <c r="I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forbrug'!I$2,'Forbrug af biomasse'!$B$2:$B$425,$E38)</f>
        <v>0</v>
      </c>
      <c r="J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forbrug'!J$2,'Forbrug af biomasse'!$B$2:$B$425,$E38)</f>
        <v>0</v>
      </c>
      <c r="K38" s="190">
        <f>SUMIFS('Forbrug af biomasse'!$E$2:$E$425,'Forbrug af biomasse'!$C$2:$C$425,'Resultat-Produktion &amp; forbrug'!$A38,'Forbrug af biomasse'!$D$2:$D$425,'Resultat-Produktion &amp; forbrug'!$D38,'Forbrug af biomasse'!$A$2:$A$425,'Resultat-Produktion &amp; forbrug'!K$2,'Forbrug af biomasse'!$B$2:$B$425,$E38)</f>
        <v>0</v>
      </c>
      <c r="L38" s="190">
        <f>IF(A38&lt;&gt;"Biogas",SUMIFS('Forbrug af biomasse'!$E$2:$E$425,'Forbrug af biomasse'!$C$2:$C$425,'Resultat-Produktion &amp; forbrug'!$A38,'Forbrug af biomasse'!$D$2:$D$425,'Resultat-Produktion &amp; forbrug'!$D38,'Forbrug af biomasse'!$A$2:$A$425,'Resultat-Produktion &amp; forbrug'!L$2,'Forbrug af biomasse'!$B$2:$B$425,$E38),F38)</f>
        <v>0</v>
      </c>
      <c r="M38" s="154">
        <f>SUMIFS('Forbrug af biomasse'!E:E,'Forbrug af biomasse'!C:C,'Resultat-Produktion &amp; forbrug'!$A38,'Forbrug af biomasse'!D:D,'Resultat-Produktion &amp; forbrug'!$D38,'Forbrug af biomasse'!G:G,1,'Forbrug af biomasse'!B:B,$E38)</f>
        <v>485762.00237315823</v>
      </c>
      <c r="N38" s="199">
        <f t="shared" si="9"/>
        <v>0</v>
      </c>
      <c r="O38" s="190">
        <f t="shared" si="1"/>
        <v>0</v>
      </c>
      <c r="P38" s="200">
        <f t="shared" si="10"/>
        <v>0</v>
      </c>
      <c r="Q38" s="187">
        <f>IFERROR(VLOOKUP(A38,[1]Energiindhold!$A$2:$C$11,3,FALSE),IFERROR(VLOOKUP(A38,[1]Biogasudbytte!$A$2:$B$18,2,FALSE)*[1]Energiindhold!$C$10,0))*O38</f>
        <v>0</v>
      </c>
      <c r="R38" s="187">
        <f>IF(A38&lt;&gt;"Biogas",IFERROR(VLOOKUP(A38,[1]Biogasudbytte!$A$2:$B$18,2,FALSE)*[1]Energiindhold!$C$10,0)*J38*IFERROR(VLOOKUP(A38,Biogasanlæg!$F$3:$G$8,2,FALSE),1)+IFERROR(VLOOKUP(A38,[1]Energiindhold!$A$2:$C$11,3,FALSE),0)*L38+IF(D38&lt;&gt;År1,Q38,0),0)</f>
        <v>0</v>
      </c>
      <c r="S38" s="187">
        <f>IFERROR(VLOOKUP(A38,[1]Biogasudbytte!$A$2:$B$18,2,FALSE)*[1]Energiindhold!$C$10,0)*J38*IFERROR(VLOOKUP(A38,Biogasanlæg!$F$3:$G$8,2,FALSE),1)</f>
        <v>0</v>
      </c>
      <c r="T38" s="188">
        <f t="shared" si="11"/>
        <v>0</v>
      </c>
      <c r="U38" s="186">
        <f>O38*IFERROR(VLOOKUP(A38,[1]Tørstofindhold!A$2:B$24,2,FALSE),0)</f>
        <v>0</v>
      </c>
      <c r="V38" s="187">
        <f>IF(D38=År1,P38,SUM(O38,P38))*IFERROR(VLOOKUP(A38,[1]Tørstofindhold!A$2:B$24,2,FALSE),0)</f>
        <v>0</v>
      </c>
      <c r="W38" s="187">
        <f>J38*IFERROR(VLOOKUP(A38,[1]Tørstofindhold!A$2:B$24,2,FALSE),0)</f>
        <v>0</v>
      </c>
      <c r="X38" s="188">
        <f t="shared" si="12"/>
        <v>0</v>
      </c>
      <c r="Y38" s="168">
        <f t="shared" si="2"/>
        <v>0</v>
      </c>
      <c r="Z38" s="103">
        <f t="shared" si="3"/>
        <v>0</v>
      </c>
    </row>
    <row r="39" spans="1:26" x14ac:dyDescent="0.25">
      <c r="A39" s="187" t="s">
        <v>238</v>
      </c>
      <c r="B39" s="189"/>
      <c r="C39" s="189">
        <f>IF(COUNTIFS('Resultater - Danmark'!$D$3:$D$504,'Resultat-Produktion &amp; forbrug'!A39,'Resultater - Danmark'!$A$3:$A$504,"Til energi")+COUNTIFS('Resultater - Danmark'!$D$3:$D$504,'Resultat-Produktion &amp; forbrug'!A39,'Resultater - Danmark'!$A$3:$A$504,"Biogasanlæg")&gt;0,1,0)</f>
        <v>0</v>
      </c>
      <c r="D39" s="189">
        <f t="shared" si="8"/>
        <v>2019</v>
      </c>
      <c r="E39" s="187" t="s">
        <v>23</v>
      </c>
      <c r="F39" s="190">
        <f>IF(E39="Vestdanmark",SUMIFS(IF(D39=År1,'Resultater - Vestdanmark'!H$3:H$504,IF(D39=År2,'Resultater - Vestdanmark'!I$3:I$504,'Resultater - Vestdanmark'!J$3:J$504)),'Resultater - Vestdanmark'!$F$3:$F$504,$A39,IF(D39=År1,'Resultater - Vestdanmark'!H$3:H$504,IF(D39=År2,'Resultater - Vestdanmark'!I$3:I$504,'Resultater - Vestdanmark'!J$3:J$504)),"&gt;0"),SUMIFS(IF(D39=År1,'Resultater - Østdanmark'!H$3:H$504,IF(D39=År2,'Resultater - Østdanmark'!I$3:I$504,'Resultater - Østdanmark'!J$3:J$504)),'Resultater - Østdanmark'!$F$3:$F$504,$A39,IF(D39=År1,'Resultater - Østdanmark'!H$3:H$504,IF(D39=År2,'Resultater - Østdanmark'!I$3:I$504,'Resultater - Østdanmark'!J$3:J$504)),"&gt;0"))</f>
        <v>242881.00118657912</v>
      </c>
      <c r="G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forbrug'!G$2,'Forbrug af biomasse'!$B$2:$B$425,$E39)</f>
        <v>214099.10609126228</v>
      </c>
      <c r="H39" s="187">
        <f>IF(E39="Vestdanmark",-IF(A39="Halm",SUMIFS(IF(D39=År1,'Resultater - Vestdanmark'!H$3:H$504,IF(D39=År2,'Resultater - Vestdanmark'!I$3:I$504,'Resultater - Vestdanmark'!J$3:J$504)),'Resultater - Vestdanmark'!$F$3:$F$504,$A39,'Resultater - Vestdanmark'!H$3:H$504,"&lt;0"),0),-IF(A39="Halm",SUMIFS(IF(D39=År1,'Resultater - Østdanmark'!H$3:H$504,IF(D39=År2,'Resultater - Østdanmark'!I$3:I$504,'Resultater - Østdanmark'!J$3:J$504)),'Resultater - Østdanmark'!$F$3:$F$504,$A39,'Resultater - Østdanmark'!H$3:H$504,"&lt;0"),0))</f>
        <v>0</v>
      </c>
      <c r="I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forbrug'!I$2,'Forbrug af biomasse'!$B$2:$B$425,$E39)</f>
        <v>0</v>
      </c>
      <c r="J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forbrug'!J$2,'Forbrug af biomasse'!$B$2:$B$425,$E39)</f>
        <v>0</v>
      </c>
      <c r="K39" s="190">
        <f>SUMIFS('Forbrug af biomasse'!$E$2:$E$425,'Forbrug af biomasse'!$C$2:$C$425,'Resultat-Produktion &amp; forbrug'!$A39,'Forbrug af biomasse'!$D$2:$D$425,'Resultat-Produktion &amp; forbrug'!$D39,'Forbrug af biomasse'!$A$2:$A$425,'Resultat-Produktion &amp; forbrug'!K$2,'Forbrug af biomasse'!$B$2:$B$425,$E39)</f>
        <v>0</v>
      </c>
      <c r="L39" s="190">
        <f>IF(A39&lt;&gt;"Biogas",SUMIFS('Forbrug af biomasse'!$E$2:$E$425,'Forbrug af biomasse'!$C$2:$C$425,'Resultat-Produktion &amp; forbrug'!$A39,'Forbrug af biomasse'!$D$2:$D$425,'Resultat-Produktion &amp; forbrug'!$D39,'Forbrug af biomasse'!$A$2:$A$425,'Resultat-Produktion &amp; forbrug'!L$2,'Forbrug af biomasse'!$B$2:$B$425,$E39),F39)</f>
        <v>0</v>
      </c>
      <c r="M39" s="154">
        <f>SUMIFS('Forbrug af biomasse'!E:E,'Forbrug af biomasse'!C:C,'Resultat-Produktion &amp; forbrug'!$A39,'Forbrug af biomasse'!D:D,'Resultat-Produktion &amp; forbrug'!$D39,'Forbrug af biomasse'!G:G,1,'Forbrug af biomasse'!B:B,$E39)</f>
        <v>0</v>
      </c>
      <c r="N39" s="199">
        <f t="shared" si="9"/>
        <v>28781.895095316839</v>
      </c>
      <c r="O39" s="190">
        <f t="shared" si="1"/>
        <v>0</v>
      </c>
      <c r="P39" s="200">
        <f t="shared" si="10"/>
        <v>0</v>
      </c>
      <c r="Q39" s="187">
        <f>IFERROR(VLOOKUP(A39,[1]Energiindhold!$A$2:$C$11,3,FALSE),IFERROR(VLOOKUP(A39,[1]Biogasudbytte!$A$2:$B$18,2,FALSE)*[1]Energiindhold!$C$10,0))*O39</f>
        <v>0</v>
      </c>
      <c r="R39" s="187">
        <f>IF(A39&lt;&gt;"Biogas",IFERROR(VLOOKUP(A39,[1]Biogasudbytte!$A$2:$B$18,2,FALSE)*[1]Energiindhold!$C$10,0)*J39*IFERROR(VLOOKUP(A39,Biogasanlæg!$F$3:$G$8,2,FALSE),1)+IFERROR(VLOOKUP(A39,[1]Energiindhold!$A$2:$C$11,3,FALSE),0)*L39+IF(D39&lt;&gt;År1,Q39,0),0)</f>
        <v>0</v>
      </c>
      <c r="S39" s="187">
        <f>IFERROR(VLOOKUP(A39,[1]Biogasudbytte!$A$2:$B$18,2,FALSE)*[1]Energiindhold!$C$10,0)*J39*IFERROR(VLOOKUP(A39,Biogasanlæg!$F$3:$G$8,2,FALSE),1)</f>
        <v>0</v>
      </c>
      <c r="T39" s="188">
        <f t="shared" si="11"/>
        <v>0</v>
      </c>
      <c r="U39" s="186">
        <f>O39*IFERROR(VLOOKUP(A39,[1]Tørstofindhold!A$2:B$24,2,FALSE),0)</f>
        <v>0</v>
      </c>
      <c r="V39" s="187">
        <f>IF(D39=År1,P39,SUM(O39,P39))*IFERROR(VLOOKUP(A39,[1]Tørstofindhold!A$2:B$24,2,FALSE),0)</f>
        <v>0</v>
      </c>
      <c r="W39" s="187">
        <f>J39*IFERROR(VLOOKUP(A39,[1]Tørstofindhold!A$2:B$24,2,FALSE),0)</f>
        <v>0</v>
      </c>
      <c r="X39" s="188">
        <f t="shared" si="12"/>
        <v>0</v>
      </c>
      <c r="Y39" s="168">
        <f t="shared" si="2"/>
        <v>0</v>
      </c>
      <c r="Z39" s="103">
        <f t="shared" si="3"/>
        <v>1</v>
      </c>
    </row>
    <row r="40" spans="1:26" x14ac:dyDescent="0.25">
      <c r="A40" s="187" t="s">
        <v>231</v>
      </c>
      <c r="B40" s="189" t="s">
        <v>231</v>
      </c>
      <c r="C40" s="189">
        <f>IF(COUNTIFS('Resultater - Danmark'!$D$3:$D$504,'Resultat-Produktion &amp; forbrug'!A40,'Resultater - Danmark'!$A$3:$A$504,"Til energi")+COUNTIFS('Resultater - Danmark'!$D$3:$D$504,'Resultat-Produktion &amp; forbrug'!A40,'Resultater - Danmark'!$A$3:$A$504,"Biogasanlæg")&gt;0,1,0)</f>
        <v>1</v>
      </c>
      <c r="D40" s="189">
        <f t="shared" si="8"/>
        <v>2019</v>
      </c>
      <c r="E40" s="187" t="s">
        <v>23</v>
      </c>
      <c r="F40" s="190">
        <f>IF(E40="Vestdanmark",SUMIFS(IF(D40=År1,'Resultater - Vestdanmark'!H$3:H$504,IF(D40=År2,'Resultater - Vestdanmark'!I$3:I$504,'Resultater - Vestdanmark'!J$3:J$504)),'Resultater - Vestdanmark'!$F$3:$F$504,$A40,IF(D40=År1,'Resultater - Vestdanmark'!H$3:H$504,IF(D40=År2,'Resultater - Vestdanmark'!I$3:I$504,'Resultater - Vestdanmark'!J$3:J$504)),"&gt;0"),SUMIFS(IF(D40=År1,'Resultater - Østdanmark'!H$3:H$504,IF(D40=År2,'Resultater - Østdanmark'!I$3:I$504,'Resultater - Østdanmark'!J$3:J$504)),'Resultater - Østdanmark'!$F$3:$F$504,$A40,IF(D40=År1,'Resultater - Østdanmark'!H$3:H$504,IF(D40=År2,'Resultater - Østdanmark'!I$3:I$504,'Resultater - Østdanmark'!J$3:J$504)),"&gt;0"))</f>
        <v>155443.84075941064</v>
      </c>
      <c r="G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forbrug'!G$2,'Forbrug af biomasse'!$B$2:$B$425,$E40)</f>
        <v>0</v>
      </c>
      <c r="H40" s="187">
        <f>IF(E40="Vestdanmark",-IF(A40="Halm",SUMIFS(IF(D40=År1,'Resultater - Vestdanmark'!H$3:H$504,IF(D40=År2,'Resultater - Vestdanmark'!I$3:I$504,'Resultater - Vestdanmark'!J$3:J$504)),'Resultater - Vestdanmark'!$F$3:$F$504,$A40,'Resultater - Vestdanmark'!H$3:H$504,"&lt;0"),0),-IF(A40="Halm",SUMIFS(IF(D40=År1,'Resultater - Østdanmark'!H$3:H$504,IF(D40=År2,'Resultater - Østdanmark'!I$3:I$504,'Resultater - Østdanmark'!J$3:J$504)),'Resultater - Østdanmark'!$F$3:$F$504,$A40,'Resultater - Østdanmark'!H$3:H$504,"&lt;0"),0))</f>
        <v>0</v>
      </c>
      <c r="I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forbrug'!I$2,'Forbrug af biomasse'!$B$2:$B$425,$E40)</f>
        <v>0</v>
      </c>
      <c r="J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forbrug'!J$2,'Forbrug af biomasse'!$B$2:$B$425,$E40)</f>
        <v>0</v>
      </c>
      <c r="K40" s="190">
        <f>SUMIFS('Forbrug af biomasse'!$E$2:$E$425,'Forbrug af biomasse'!$C$2:$C$425,'Resultat-Produktion &amp; forbrug'!$A40,'Forbrug af biomasse'!$D$2:$D$425,'Resultat-Produktion &amp; forbrug'!$D40,'Forbrug af biomasse'!$A$2:$A$425,'Resultat-Produktion &amp; forbrug'!K$2,'Forbrug af biomasse'!$B$2:$B$425,$E40)</f>
        <v>0</v>
      </c>
      <c r="L40" s="190">
        <f>IF(A40&lt;&gt;"Biogas",SUMIFS('Forbrug af biomasse'!$E$2:$E$425,'Forbrug af biomasse'!$C$2:$C$425,'Resultat-Produktion &amp; forbrug'!$A40,'Forbrug af biomasse'!$D$2:$D$425,'Resultat-Produktion &amp; forbrug'!$D40,'Forbrug af biomasse'!$A$2:$A$425,'Resultat-Produktion &amp; forbrug'!L$2,'Forbrug af biomasse'!$B$2:$B$425,$E40),F40)</f>
        <v>80830.79719489353</v>
      </c>
      <c r="M40" s="154">
        <f>SUMIFS('Forbrug af biomasse'!E:E,'Forbrug af biomasse'!C:C,'Resultat-Produktion &amp; forbrug'!$A40,'Forbrug af biomasse'!D:D,'Resultat-Produktion &amp; forbrug'!$D40,'Forbrug af biomasse'!G:G,1,'Forbrug af biomasse'!B:B,$E40)</f>
        <v>74613.043564517109</v>
      </c>
      <c r="N40" s="199">
        <f t="shared" si="9"/>
        <v>0</v>
      </c>
      <c r="O40" s="190">
        <f t="shared" si="1"/>
        <v>0</v>
      </c>
      <c r="P40" s="200">
        <f t="shared" si="10"/>
        <v>80830.79719489353</v>
      </c>
      <c r="Q40" s="187">
        <f>IFERROR(VLOOKUP(A40,[1]Energiindhold!$A$2:$C$11,3,FALSE),IFERROR(VLOOKUP(A40,[1]Biogasudbytte!$A$2:$B$18,2,FALSE)*[1]Energiindhold!$C$10,0))*O40</f>
        <v>0</v>
      </c>
      <c r="R40" s="187">
        <f>IF(A40&lt;&gt;"Biogas",IFERROR(VLOOKUP(A40,[1]Biogasudbytte!$A$2:$B$18,2,FALSE)*[1]Energiindhold!$C$10,0)*J40*IFERROR(VLOOKUP(A40,Biogasanlæg!$F$3:$G$8,2,FALSE),1)+IFERROR(VLOOKUP(A40,[1]Energiindhold!$A$2:$C$11,3,FALSE),0)*L40+IF(D40&lt;&gt;År1,Q40,0),0)</f>
        <v>2.8290779018212735</v>
      </c>
      <c r="S40" s="187">
        <f>IFERROR(VLOOKUP(A40,[1]Biogasudbytte!$A$2:$B$18,2,FALSE)*[1]Energiindhold!$C$10,0)*J40*IFERROR(VLOOKUP(A40,Biogasanlæg!$F$3:$G$8,2,FALSE),1)</f>
        <v>0</v>
      </c>
      <c r="T40" s="188">
        <f t="shared" si="11"/>
        <v>2.8290779018212735</v>
      </c>
      <c r="U40" s="186">
        <f>O40*IFERROR(VLOOKUP(A40,[1]Tørstofindhold!A$2:B$24,2,FALSE),0)</f>
        <v>0</v>
      </c>
      <c r="V40" s="187">
        <f>IF(D40=År1,P40,SUM(O40,P40))*IFERROR(VLOOKUP(A40,[1]Tørstofindhold!A$2:B$24,2,FALSE),0)</f>
        <v>0</v>
      </c>
      <c r="W40" s="187">
        <f>J40*IFERROR(VLOOKUP(A40,[1]Tørstofindhold!A$2:B$24,2,FALSE),0)</f>
        <v>0</v>
      </c>
      <c r="X40" s="188">
        <f t="shared" si="12"/>
        <v>0</v>
      </c>
      <c r="Y40" s="168">
        <f t="shared" si="2"/>
        <v>0</v>
      </c>
      <c r="Z40" s="103">
        <f t="shared" si="3"/>
        <v>0</v>
      </c>
    </row>
    <row r="41" spans="1:26" x14ac:dyDescent="0.25">
      <c r="A41" s="187" t="s">
        <v>52</v>
      </c>
      <c r="B41" s="189" t="s">
        <v>224</v>
      </c>
      <c r="C41" s="189">
        <f>IF(COUNTIFS('Resultater - Danmark'!$D$3:$D$504,'Resultat-Produktion &amp; forbrug'!A41,'Resultater - Danmark'!$A$3:$A$504,"Til energi")+COUNTIFS('Resultater - Danmark'!$D$3:$D$504,'Resultat-Produktion &amp; forbrug'!A41,'Resultater - Danmark'!$A$3:$A$504,"Biogasanlæg")&gt;0,1,0)</f>
        <v>1</v>
      </c>
      <c r="D41" s="189">
        <f t="shared" si="8"/>
        <v>2019</v>
      </c>
      <c r="E41" s="187" t="s">
        <v>23</v>
      </c>
      <c r="F41" s="190">
        <f>IF(E41="Vestdanmark",SUMIFS(IF(D41=År1,'Resultater - Vestdanmark'!H$3:H$504,IF(D41=År2,'Resultater - Vestdanmark'!I$3:I$504,'Resultater - Vestdanmark'!J$3:J$504)),'Resultater - Vestdanmark'!$F$3:$F$504,$A41,IF(D41=År1,'Resultater - Vestdanmark'!H$3:H$504,IF(D41=År2,'Resultater - Vestdanmark'!I$3:I$504,'Resultater - Vestdanmark'!J$3:J$504)),"&gt;0"),SUMIFS(IF(D41=År1,'Resultater - Østdanmark'!H$3:H$504,IF(D41=År2,'Resultater - Østdanmark'!I$3:I$504,'Resultater - Østdanmark'!J$3:J$504)),'Resultater - Østdanmark'!$F$3:$F$504,$A41,IF(D41=År1,'Resultater - Østdanmark'!H$3:H$504,IF(D41=År2,'Resultater - Østdanmark'!I$3:I$504,'Resultater - Østdanmark'!J$3:J$504)),"&gt;0"))</f>
        <v>377517.57644613879</v>
      </c>
      <c r="G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forbrug'!G$2,'Forbrug af biomasse'!$B$2:$B$425,$E41)</f>
        <v>841167.61765562883</v>
      </c>
      <c r="H41" s="187">
        <f>IF(E41="Vestdanmark",-IF(A41="Halm",SUMIFS(IF(D41=År1,'Resultater - Vestdanmark'!H$3:H$504,IF(D41=År2,'Resultater - Vestdanmark'!I$3:I$504,'Resultater - Vestdanmark'!J$3:J$504)),'Resultater - Vestdanmark'!$F$3:$F$504,$A41,'Resultater - Vestdanmark'!H$3:H$504,"&lt;0"),0),-IF(A41="Halm",SUMIFS(IF(D41=År1,'Resultater - Østdanmark'!H$3:H$504,IF(D41=År2,'Resultater - Østdanmark'!I$3:I$504,'Resultater - Østdanmark'!J$3:J$504)),'Resultater - Østdanmark'!$F$3:$F$504,$A41,'Resultater - Østdanmark'!H$3:H$504,"&lt;0"),0))</f>
        <v>0</v>
      </c>
      <c r="I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forbrug'!I$2,'Forbrug af biomasse'!$B$2:$B$425,$E41)</f>
        <v>0</v>
      </c>
      <c r="J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forbrug'!J$2,'Forbrug af biomasse'!$B$2:$B$425,$E41)</f>
        <v>4141.9679702877811</v>
      </c>
      <c r="K41" s="190">
        <f>SUMIFS('Forbrug af biomasse'!$E$2:$E$425,'Forbrug af biomasse'!$C$2:$C$425,'Resultat-Produktion &amp; forbrug'!$A41,'Forbrug af biomasse'!$D$2:$D$425,'Resultat-Produktion &amp; forbrug'!$D41,'Forbrug af biomasse'!$A$2:$A$425,'Resultat-Produktion &amp; forbrug'!K$2,'Forbrug af biomasse'!$B$2:$B$425,$E41)</f>
        <v>0</v>
      </c>
      <c r="L41" s="190">
        <f>IF(A41&lt;&gt;"Biogas",SUMIFS('Forbrug af biomasse'!$E$2:$E$425,'Forbrug af biomasse'!$C$2:$C$425,'Resultat-Produktion &amp; forbrug'!$A41,'Forbrug af biomasse'!$D$2:$D$425,'Resultat-Produktion &amp; forbrug'!$D41,'Forbrug af biomasse'!$A$2:$A$425,'Resultat-Produktion &amp; forbrug'!L$2,'Forbrug af biomasse'!$B$2:$B$425,$E41),F41)</f>
        <v>0</v>
      </c>
      <c r="M41" s="154">
        <f>SUMIFS('Forbrug af biomasse'!E:E,'Forbrug af biomasse'!C:C,'Resultat-Produktion &amp; forbrug'!$A41,'Forbrug af biomasse'!D:D,'Resultat-Produktion &amp; forbrug'!$D41,'Forbrug af biomasse'!G:G,1,'Forbrug af biomasse'!B:B,$E41)</f>
        <v>0</v>
      </c>
      <c r="N41" s="199">
        <f t="shared" si="9"/>
        <v>-467792.00917977782</v>
      </c>
      <c r="O41" s="190">
        <f t="shared" si="1"/>
        <v>0</v>
      </c>
      <c r="P41" s="200">
        <f t="shared" si="10"/>
        <v>4141.9679702877811</v>
      </c>
      <c r="Q41" s="187">
        <f>IFERROR(VLOOKUP(A41,[1]Energiindhold!$A$2:$C$11,3,FALSE),IFERROR(VLOOKUP(A41,[1]Biogasudbytte!$A$2:$B$18,2,FALSE)*[1]Energiindhold!$C$10,0))*O41</f>
        <v>0</v>
      </c>
      <c r="R41" s="187">
        <f>IF(A41&lt;&gt;"Biogas",IFERROR(VLOOKUP(A41,[1]Biogasudbytte!$A$2:$B$18,2,FALSE)*[1]Energiindhold!$C$10,0)*J41*IFERROR(VLOOKUP(A41,Biogasanlæg!$F$3:$G$8,2,FALSE),1)+IFERROR(VLOOKUP(A41,[1]Energiindhold!$A$2:$C$11,3,FALSE),0)*L41+IF(D41&lt;&gt;År1,Q41,0),0)</f>
        <v>1.1241466750079849E-2</v>
      </c>
      <c r="S41" s="187">
        <f>IFERROR(VLOOKUP(A41,[1]Biogasudbytte!$A$2:$B$18,2,FALSE)*[1]Energiindhold!$C$10,0)*J41*IFERROR(VLOOKUP(A41,Biogasanlæg!$F$3:$G$8,2,FALSE),1)</f>
        <v>1.1241466750079849E-2</v>
      </c>
      <c r="T41" s="188">
        <f t="shared" si="11"/>
        <v>0</v>
      </c>
      <c r="U41" s="186">
        <f>O41*IFERROR(VLOOKUP(A41,[1]Tørstofindhold!A$2:B$24,2,FALSE),0)</f>
        <v>0</v>
      </c>
      <c r="V41" s="187">
        <f>IF(D41=År1,P41,SUM(O41,P41))*IFERROR(VLOOKUP(A41,[1]Tørstofindhold!A$2:B$24,2,FALSE),0)</f>
        <v>828.39359405755624</v>
      </c>
      <c r="W41" s="187">
        <f>J41*IFERROR(VLOOKUP(A41,[1]Tørstofindhold!A$2:B$24,2,FALSE),0)</f>
        <v>828.39359405755624</v>
      </c>
      <c r="X41" s="188">
        <f t="shared" si="12"/>
        <v>0</v>
      </c>
      <c r="Y41" s="168">
        <f t="shared" si="2"/>
        <v>0</v>
      </c>
      <c r="Z41" s="103">
        <f t="shared" si="3"/>
        <v>1</v>
      </c>
    </row>
    <row r="42" spans="1:26" x14ac:dyDescent="0.25">
      <c r="A42" s="187" t="s">
        <v>121</v>
      </c>
      <c r="B42" s="189"/>
      <c r="C42" s="189">
        <f>IF(COUNTIFS('Resultater - Danmark'!$D$3:$D$504,'Resultat-Produktion &amp; forbrug'!A42,'Resultater - Danmark'!$A$3:$A$504,"Til energi")+COUNTIFS('Resultater - Danmark'!$D$3:$D$504,'Resultat-Produktion &amp; forbrug'!A42,'Resultater - Danmark'!$A$3:$A$504,"Biogasanlæg")&gt;0,1,0)</f>
        <v>0</v>
      </c>
      <c r="D42" s="189">
        <f t="shared" si="8"/>
        <v>2019</v>
      </c>
      <c r="E42" s="187" t="s">
        <v>23</v>
      </c>
      <c r="F42" s="190">
        <f>IF(E42="Vestdanmark",SUMIFS(IF(D42=År1,'Resultater - Vestdanmark'!H$3:H$504,IF(D42=År2,'Resultater - Vestdanmark'!I$3:I$504,'Resultater - Vestdanmark'!J$3:J$504)),'Resultater - Vestdanmark'!$F$3:$F$504,$A42,IF(D42=År1,'Resultater - Vestdanmark'!H$3:H$504,IF(D42=År2,'Resultater - Vestdanmark'!I$3:I$504,'Resultater - Vestdanmark'!J$3:J$504)),"&gt;0"),SUMIFS(IF(D42=År1,'Resultater - Østdanmark'!H$3:H$504,IF(D42=År2,'Resultater - Østdanmark'!I$3:I$504,'Resultater - Østdanmark'!J$3:J$504)),'Resultater - Østdanmark'!$F$3:$F$504,$A42,IF(D42=År1,'Resultater - Østdanmark'!H$3:H$504,IF(D42=År2,'Resultater - Østdanmark'!I$3:I$504,'Resultater - Østdanmark'!J$3:J$504)),"&gt;0"))</f>
        <v>193830.89221723122</v>
      </c>
      <c r="G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forbrug'!G$2,'Forbrug af biomasse'!$B$2:$B$425,$E42)</f>
        <v>0</v>
      </c>
      <c r="H42" s="187">
        <f>IF(E42="Vestdanmark",-IF(A42="Halm",SUMIFS(IF(D42=År1,'Resultater - Vestdanmark'!H$3:H$504,IF(D42=År2,'Resultater - Vestdanmark'!I$3:I$504,'Resultater - Vestdanmark'!J$3:J$504)),'Resultater - Vestdanmark'!$F$3:$F$504,$A42,'Resultater - Vestdanmark'!H$3:H$504,"&lt;0"),0),-IF(A42="Halm",SUMIFS(IF(D42=År1,'Resultater - Østdanmark'!H$3:H$504,IF(D42=År2,'Resultater - Østdanmark'!I$3:I$504,'Resultater - Østdanmark'!J$3:J$504)),'Resultater - Østdanmark'!$F$3:$F$504,$A42,'Resultater - Østdanmark'!H$3:H$504,"&lt;0"),0))</f>
        <v>0</v>
      </c>
      <c r="I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forbrug'!I$2,'Forbrug af biomasse'!$B$2:$B$425,$E42)</f>
        <v>0</v>
      </c>
      <c r="J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forbrug'!J$2,'Forbrug af biomasse'!$B$2:$B$425,$E42)</f>
        <v>0</v>
      </c>
      <c r="K42" s="190">
        <f>SUMIFS('Forbrug af biomasse'!$E$2:$E$425,'Forbrug af biomasse'!$C$2:$C$425,'Resultat-Produktion &amp; forbrug'!$A42,'Forbrug af biomasse'!$D$2:$D$425,'Resultat-Produktion &amp; forbrug'!$D42,'Forbrug af biomasse'!$A$2:$A$425,'Resultat-Produktion &amp; forbrug'!K$2,'Forbrug af biomasse'!$B$2:$B$425,$E42)</f>
        <v>0</v>
      </c>
      <c r="L42" s="190">
        <f>IF(A42&lt;&gt;"Biogas",SUMIFS('Forbrug af biomasse'!$E$2:$E$425,'Forbrug af biomasse'!$C$2:$C$425,'Resultat-Produktion &amp; forbrug'!$A42,'Forbrug af biomasse'!$D$2:$D$425,'Resultat-Produktion &amp; forbrug'!$D42,'Forbrug af biomasse'!$A$2:$A$425,'Resultat-Produktion &amp; forbrug'!L$2,'Forbrug af biomasse'!$B$2:$B$425,$E42),F42)</f>
        <v>0</v>
      </c>
      <c r="M42" s="154">
        <f>SUMIFS('Forbrug af biomasse'!E:E,'Forbrug af biomasse'!C:C,'Resultat-Produktion &amp; forbrug'!$A42,'Forbrug af biomasse'!D:D,'Resultat-Produktion &amp; forbrug'!$D42,'Forbrug af biomasse'!G:G,1,'Forbrug af biomasse'!B:B,$E42)</f>
        <v>0</v>
      </c>
      <c r="N42" s="199">
        <f t="shared" si="9"/>
        <v>193830.89221723122</v>
      </c>
      <c r="O42" s="190">
        <f t="shared" si="1"/>
        <v>0</v>
      </c>
      <c r="P42" s="200">
        <f t="shared" si="10"/>
        <v>0</v>
      </c>
      <c r="Q42" s="187">
        <f>IFERROR(VLOOKUP(A42,[1]Energiindhold!$A$2:$C$11,3,FALSE),IFERROR(VLOOKUP(A42,[1]Biogasudbytte!$A$2:$B$18,2,FALSE)*[1]Energiindhold!$C$10,0))*O42</f>
        <v>0</v>
      </c>
      <c r="R42" s="187">
        <f>IF(A42&lt;&gt;"Biogas",IFERROR(VLOOKUP(A42,[1]Biogasudbytte!$A$2:$B$18,2,FALSE)*[1]Energiindhold!$C$10,0)*J42*IFERROR(VLOOKUP(A42,Biogasanlæg!$F$3:$G$8,2,FALSE),1)+IFERROR(VLOOKUP(A42,[1]Energiindhold!$A$2:$C$11,3,FALSE),0)*L42+IF(D42&lt;&gt;År1,Q42,0),0)</f>
        <v>0</v>
      </c>
      <c r="S42" s="187">
        <f>IFERROR(VLOOKUP(A42,[1]Biogasudbytte!$A$2:$B$18,2,FALSE)*[1]Energiindhold!$C$10,0)*J42*IFERROR(VLOOKUP(A42,Biogasanlæg!$F$3:$G$8,2,FALSE),1)</f>
        <v>0</v>
      </c>
      <c r="T42" s="188">
        <f t="shared" si="11"/>
        <v>0</v>
      </c>
      <c r="U42" s="186">
        <f>O42*IFERROR(VLOOKUP(A42,[1]Tørstofindhold!A$2:B$24,2,FALSE),0)</f>
        <v>0</v>
      </c>
      <c r="V42" s="187">
        <f>IF(D42=År1,P42,SUM(O42,P42))*IFERROR(VLOOKUP(A42,[1]Tørstofindhold!A$2:B$24,2,FALSE),0)</f>
        <v>0</v>
      </c>
      <c r="W42" s="187">
        <f>J42*IFERROR(VLOOKUP(A42,[1]Tørstofindhold!A$2:B$24,2,FALSE),0)</f>
        <v>0</v>
      </c>
      <c r="X42" s="188">
        <f t="shared" si="12"/>
        <v>0</v>
      </c>
      <c r="Y42" s="168">
        <f t="shared" si="2"/>
        <v>0</v>
      </c>
      <c r="Z42" s="103">
        <f t="shared" si="3"/>
        <v>1</v>
      </c>
    </row>
    <row r="43" spans="1:26" x14ac:dyDescent="0.25">
      <c r="A43" s="187" t="s">
        <v>107</v>
      </c>
      <c r="B43" s="189"/>
      <c r="C43" s="189">
        <f>IF(COUNTIFS('Resultater - Danmark'!$D$3:$D$504,'Resultat-Produktion &amp; forbrug'!A43,'Resultater - Danmark'!$A$3:$A$504,"Til energi")+COUNTIFS('Resultater - Danmark'!$D$3:$D$504,'Resultat-Produktion &amp; forbrug'!A43,'Resultater - Danmark'!$A$3:$A$504,"Biogasanlæg")&gt;0,1,0)</f>
        <v>0</v>
      </c>
      <c r="D43" s="189">
        <f t="shared" si="8"/>
        <v>2019</v>
      </c>
      <c r="E43" s="187" t="s">
        <v>23</v>
      </c>
      <c r="F43" s="190">
        <f>IF(E43="Vestdanmark",SUMIFS(IF(D43=År1,'Resultater - Vestdanmark'!H$3:H$504,IF(D43=År2,'Resultater - Vestdanmark'!I$3:I$504,'Resultater - Vestdanmark'!J$3:J$504)),'Resultater - Vestdanmark'!$F$3:$F$504,$A43,IF(D43=År1,'Resultater - Vestdanmark'!H$3:H$504,IF(D43=År2,'Resultater - Vestdanmark'!I$3:I$504,'Resultater - Vestdanmark'!J$3:J$504)),"&gt;0"),SUMIFS(IF(D43=År1,'Resultater - Østdanmark'!H$3:H$504,IF(D43=År2,'Resultater - Østdanmark'!I$3:I$504,'Resultater - Østdanmark'!J$3:J$504)),'Resultater - Østdanmark'!$F$3:$F$504,$A43,IF(D43=År1,'Resultater - Østdanmark'!H$3:H$504,IF(D43=År2,'Resultater - Østdanmark'!I$3:I$504,'Resultater - Østdanmark'!J$3:J$504)),"&gt;0"))</f>
        <v>131276.07587880219</v>
      </c>
      <c r="G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forbrug'!G$2,'Forbrug af biomasse'!$B$2:$B$425,$E43)</f>
        <v>39415.735012617326</v>
      </c>
      <c r="H43" s="187">
        <f>IF(E43="Vestdanmark",-IF(A43="Halm",SUMIFS(IF(D43=År1,'Resultater - Vestdanmark'!H$3:H$504,IF(D43=År2,'Resultater - Vestdanmark'!I$3:I$504,'Resultater - Vestdanmark'!J$3:J$504)),'Resultater - Vestdanmark'!$F$3:$F$504,$A43,'Resultater - Vestdanmark'!H$3:H$504,"&lt;0"),0),-IF(A43="Halm",SUMIFS(IF(D43=År1,'Resultater - Østdanmark'!H$3:H$504,IF(D43=År2,'Resultater - Østdanmark'!I$3:I$504,'Resultater - Østdanmark'!J$3:J$504)),'Resultater - Østdanmark'!$F$3:$F$504,$A43,'Resultater - Østdanmark'!H$3:H$504,"&lt;0"),0))</f>
        <v>0</v>
      </c>
      <c r="I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forbrug'!I$2,'Forbrug af biomasse'!$B$2:$B$425,$E43)</f>
        <v>0</v>
      </c>
      <c r="J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forbrug'!J$2,'Forbrug af biomasse'!$B$2:$B$425,$E43)</f>
        <v>0</v>
      </c>
      <c r="K43" s="190">
        <f>SUMIFS('Forbrug af biomasse'!$E$2:$E$425,'Forbrug af biomasse'!$C$2:$C$425,'Resultat-Produktion &amp; forbrug'!$A43,'Forbrug af biomasse'!$D$2:$D$425,'Resultat-Produktion &amp; forbrug'!$D43,'Forbrug af biomasse'!$A$2:$A$425,'Resultat-Produktion &amp; forbrug'!K$2,'Forbrug af biomasse'!$B$2:$B$425,$E43)</f>
        <v>0</v>
      </c>
      <c r="L43" s="190">
        <f>IF(A43&lt;&gt;"Biogas",SUMIFS('Forbrug af biomasse'!$E$2:$E$425,'Forbrug af biomasse'!$C$2:$C$425,'Resultat-Produktion &amp; forbrug'!$A43,'Forbrug af biomasse'!$D$2:$D$425,'Resultat-Produktion &amp; forbrug'!$D43,'Forbrug af biomasse'!$A$2:$A$425,'Resultat-Produktion &amp; forbrug'!L$2,'Forbrug af biomasse'!$B$2:$B$425,$E43),F43)</f>
        <v>0</v>
      </c>
      <c r="M43" s="154">
        <f>SUMIFS('Forbrug af biomasse'!E:E,'Forbrug af biomasse'!C:C,'Resultat-Produktion &amp; forbrug'!$A43,'Forbrug af biomasse'!D:D,'Resultat-Produktion &amp; forbrug'!$D43,'Forbrug af biomasse'!G:G,1,'Forbrug af biomasse'!B:B,$E43)</f>
        <v>0</v>
      </c>
      <c r="N43" s="199">
        <f t="shared" si="9"/>
        <v>91860.340866184866</v>
      </c>
      <c r="O43" s="190">
        <f t="shared" si="1"/>
        <v>0</v>
      </c>
      <c r="P43" s="200">
        <f t="shared" si="10"/>
        <v>0</v>
      </c>
      <c r="Q43" s="187">
        <f>IFERROR(VLOOKUP(A43,[1]Energiindhold!$A$2:$C$11,3,FALSE),IFERROR(VLOOKUP(A43,[1]Biogasudbytte!$A$2:$B$18,2,FALSE)*[1]Energiindhold!$C$10,0))*O43</f>
        <v>0</v>
      </c>
      <c r="R43" s="187">
        <f>IF(A43&lt;&gt;"Biogas",IFERROR(VLOOKUP(A43,[1]Biogasudbytte!$A$2:$B$18,2,FALSE)*[1]Energiindhold!$C$10,0)*J43*IFERROR(VLOOKUP(A43,Biogasanlæg!$F$3:$G$8,2,FALSE),1)+IFERROR(VLOOKUP(A43,[1]Energiindhold!$A$2:$C$11,3,FALSE),0)*L43+IF(D43&lt;&gt;År1,Q43,0),0)</f>
        <v>0</v>
      </c>
      <c r="S43" s="187">
        <f>IFERROR(VLOOKUP(A43,[1]Biogasudbytte!$A$2:$B$18,2,FALSE)*[1]Energiindhold!$C$10,0)*J43*IFERROR(VLOOKUP(A43,Biogasanlæg!$F$3:$G$8,2,FALSE),1)</f>
        <v>0</v>
      </c>
      <c r="T43" s="188">
        <f t="shared" si="11"/>
        <v>0</v>
      </c>
      <c r="U43" s="186">
        <f>O43*IFERROR(VLOOKUP(A43,[1]Tørstofindhold!A$2:B$24,2,FALSE),0)</f>
        <v>0</v>
      </c>
      <c r="V43" s="187">
        <f>IF(D43=År1,P43,SUM(O43,P43))*IFERROR(VLOOKUP(A43,[1]Tørstofindhold!A$2:B$24,2,FALSE),0)</f>
        <v>0</v>
      </c>
      <c r="W43" s="187">
        <f>J43*IFERROR(VLOOKUP(A43,[1]Tørstofindhold!A$2:B$24,2,FALSE),0)</f>
        <v>0</v>
      </c>
      <c r="X43" s="188">
        <f t="shared" si="12"/>
        <v>0</v>
      </c>
      <c r="Y43" s="168">
        <f t="shared" si="2"/>
        <v>0</v>
      </c>
      <c r="Z43" s="103">
        <f t="shared" si="3"/>
        <v>1</v>
      </c>
    </row>
    <row r="44" spans="1:26" x14ac:dyDescent="0.25">
      <c r="A44" s="189" t="s">
        <v>140</v>
      </c>
      <c r="B44" s="189" t="s">
        <v>230</v>
      </c>
      <c r="C44" s="189">
        <f>IF(COUNTIFS('Resultater - Danmark'!$D$3:$D$504,'Resultat-Produktion &amp; forbrug'!A44,'Resultater - Danmark'!$A$3:$A$504,"Til energi")+COUNTIFS('Resultater - Danmark'!$D$3:$D$504,'Resultat-Produktion &amp; forbrug'!A44,'Resultater - Danmark'!$A$3:$A$504,"Biogasanlæg")&gt;0,1,0)</f>
        <v>1</v>
      </c>
      <c r="D44" s="189">
        <f t="shared" si="8"/>
        <v>2019</v>
      </c>
      <c r="E44" s="187" t="s">
        <v>23</v>
      </c>
      <c r="F44" s="190">
        <f>IF(E44="Vestdanmark",SUMIFS(IF(D44=År1,'Resultater - Vestdanmark'!H$3:H$504,IF(D44=År2,'Resultater - Vestdanmark'!I$3:I$504,'Resultater - Vestdanmark'!J$3:J$504)),'Resultater - Vestdanmark'!$F$3:$F$504,$A44,IF(D44=År1,'Resultater - Vestdanmark'!H$3:H$504,IF(D44=År2,'Resultater - Vestdanmark'!I$3:I$504,'Resultater - Vestdanmark'!J$3:J$504)),"&gt;0"),SUMIFS(IF(D44=År1,'Resultater - Østdanmark'!H$3:H$504,IF(D44=År2,'Resultater - Østdanmark'!I$3:I$504,'Resultater - Østdanmark'!J$3:J$504)),'Resultater - Østdanmark'!$F$3:$F$504,$A44,IF(D44=År1,'Resultater - Østdanmark'!H$3:H$504,IF(D44=År2,'Resultater - Østdanmark'!I$3:I$504,'Resultater - Østdanmark'!J$3:J$504)),"&gt;0"))</f>
        <v>3850196.5402414175</v>
      </c>
      <c r="G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forbrug'!G$2,'Forbrug af biomasse'!$B$2:$B$425,$E44)</f>
        <v>0</v>
      </c>
      <c r="H44" s="187">
        <f>IF(E44="Vestdanmark",-IF(A44="Halm",SUMIFS(IF(D44=År1,'Resultater - Vestdanmark'!H$3:H$504,IF(D44=År2,'Resultater - Vestdanmark'!I$3:I$504,'Resultater - Vestdanmark'!J$3:J$504)),'Resultater - Vestdanmark'!$F$3:$F$504,$A44,'Resultater - Vestdanmark'!H$3:H$504,"&lt;0"),0),-IF(A44="Halm",SUMIFS(IF(D44=År1,'Resultater - Østdanmark'!H$3:H$504,IF(D44=År2,'Resultater - Østdanmark'!I$3:I$504,'Resultater - Østdanmark'!J$3:J$504)),'Resultater - Østdanmark'!$F$3:$F$504,$A44,'Resultater - Østdanmark'!H$3:H$504,"&lt;0"),0))</f>
        <v>0</v>
      </c>
      <c r="I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forbrug'!I$2,'Forbrug af biomasse'!$B$2:$B$425,$E44)</f>
        <v>0</v>
      </c>
      <c r="J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forbrug'!J$2,'Forbrug af biomasse'!$B$2:$B$425,$E44)</f>
        <v>1460182.5874658169</v>
      </c>
      <c r="K44" s="190">
        <f>SUMIFS('Forbrug af biomasse'!$E$2:$E$425,'Forbrug af biomasse'!$C$2:$C$425,'Resultat-Produktion &amp; forbrug'!$A44,'Forbrug af biomasse'!$D$2:$D$425,'Resultat-Produktion &amp; forbrug'!$D44,'Forbrug af biomasse'!$A$2:$A$425,'Resultat-Produktion &amp; forbrug'!K$2,'Forbrug af biomasse'!$B$2:$B$425,$E44)</f>
        <v>0</v>
      </c>
      <c r="L44" s="190">
        <f>IF(A44&lt;&gt;"Biogas",SUMIFS('Forbrug af biomasse'!$E$2:$E$425,'Forbrug af biomasse'!$C$2:$C$425,'Resultat-Produktion &amp; forbrug'!$A44,'Forbrug af biomasse'!$D$2:$D$425,'Resultat-Produktion &amp; forbrug'!$D44,'Forbrug af biomasse'!$A$2:$A$425,'Resultat-Produktion &amp; forbrug'!L$2,'Forbrug af biomasse'!$B$2:$B$425,$E44),F44)</f>
        <v>0</v>
      </c>
      <c r="M44" s="154">
        <f>SUMIFS('Forbrug af biomasse'!E:E,'Forbrug af biomasse'!C:C,'Resultat-Produktion &amp; forbrug'!$A44,'Forbrug af biomasse'!D:D,'Resultat-Produktion &amp; forbrug'!$D44,'Forbrug af biomasse'!G:G,1,'Forbrug af biomasse'!B:B,$E44)</f>
        <v>0</v>
      </c>
      <c r="N44" s="199">
        <f t="shared" si="9"/>
        <v>2390013.9527756004</v>
      </c>
      <c r="O44" s="190">
        <f t="shared" si="1"/>
        <v>2390013.9527756004</v>
      </c>
      <c r="P44" s="200">
        <f t="shared" si="10"/>
        <v>1460182.5874658169</v>
      </c>
      <c r="Q44" s="187">
        <f>IFERROR(VLOOKUP(A44,[1]Energiindhold!$A$2:$C$11,3,FALSE),IFERROR(VLOOKUP(A44,[1]Biogasudbytte!$A$2:$B$18,2,FALSE)*[1]Energiindhold!$C$10,0))*O44</f>
        <v>1.1926408625745526</v>
      </c>
      <c r="R44" s="187">
        <f>IF(A44&lt;&gt;"Biogas",IFERROR(VLOOKUP(A44,[1]Biogasudbytte!$A$2:$B$18,2,FALSE)*[1]Energiindhold!$C$10,0)*J44*IFERROR(VLOOKUP(A44,Biogasanlæg!$F$3:$G$8,2,FALSE),1)+IFERROR(VLOOKUP(A44,[1]Energiindhold!$A$2:$C$11,3,FALSE),0)*L44+IF(D44&lt;&gt;År1,Q44,0),0)</f>
        <v>0.72864571297131742</v>
      </c>
      <c r="S44" s="187">
        <f>IFERROR(VLOOKUP(A44,[1]Biogasudbytte!$A$2:$B$18,2,FALSE)*[1]Energiindhold!$C$10,0)*J44*IFERROR(VLOOKUP(A44,Biogasanlæg!$F$3:$G$8,2,FALSE),1)</f>
        <v>0.72864571297131742</v>
      </c>
      <c r="T44" s="188">
        <f t="shared" si="11"/>
        <v>0</v>
      </c>
      <c r="U44" s="186">
        <f>O44*IFERROR(VLOOKUP(A44,[1]Tørstofindhold!A$2:B$24,2,FALSE),0)</f>
        <v>143400.83716653602</v>
      </c>
      <c r="V44" s="187">
        <f>IF(D44=År1,P44,SUM(O44,P44))*IFERROR(VLOOKUP(A44,[1]Tørstofindhold!A$2:B$24,2,FALSE),0)</f>
        <v>87610.955247949008</v>
      </c>
      <c r="W44" s="187">
        <f>J44*IFERROR(VLOOKUP(A44,[1]Tørstofindhold!A$2:B$24,2,FALSE),0)</f>
        <v>87610.955247949008</v>
      </c>
      <c r="X44" s="188">
        <f t="shared" si="12"/>
        <v>0</v>
      </c>
      <c r="Y44" s="168">
        <f t="shared" si="2"/>
        <v>0</v>
      </c>
      <c r="Z44" s="103">
        <f t="shared" si="3"/>
        <v>1</v>
      </c>
    </row>
    <row r="45" spans="1:26" x14ac:dyDescent="0.25">
      <c r="A45" s="189" t="s">
        <v>135</v>
      </c>
      <c r="B45" s="189" t="s">
        <v>222</v>
      </c>
      <c r="C45" s="189">
        <f>IF(COUNTIFS('Resultater - Danmark'!$D$3:$D$504,'Resultat-Produktion &amp; forbrug'!A45,'Resultater - Danmark'!$A$3:$A$504,"Til energi")+COUNTIFS('Resultater - Danmark'!$D$3:$D$504,'Resultat-Produktion &amp; forbrug'!A45,'Resultater - Danmark'!$A$3:$A$504,"Biogasanlæg")&gt;0,1,0)</f>
        <v>1</v>
      </c>
      <c r="D45" s="189">
        <f t="shared" si="8"/>
        <v>2019</v>
      </c>
      <c r="E45" s="187" t="s">
        <v>23</v>
      </c>
      <c r="F45" s="190">
        <f>IF(E45="Vestdanmark",SUMIFS(IF(D45=År1,'Resultater - Vestdanmark'!H$3:H$504,IF(D45=År2,'Resultater - Vestdanmark'!I$3:I$504,'Resultater - Vestdanmark'!J$3:J$504)),'Resultater - Vestdanmark'!$F$3:$F$504,$A45,IF(D45=År1,'Resultater - Vestdanmark'!H$3:H$504,IF(D45=År2,'Resultater - Vestdanmark'!I$3:I$504,'Resultater - Vestdanmark'!J$3:J$504)),"&gt;0"),SUMIFS(IF(D45=År1,'Resultater - Østdanmark'!H$3:H$504,IF(D45=År2,'Resultater - Østdanmark'!I$3:I$504,'Resultater - Østdanmark'!J$3:J$504)),'Resultater - Østdanmark'!$F$3:$F$504,$A45,IF(D45=År1,'Resultater - Østdanmark'!H$3:H$504,IF(D45=År2,'Resultater - Østdanmark'!I$3:I$504,'Resultater - Østdanmark'!J$3:J$504)),"&gt;0"))</f>
        <v>15352538.506892066</v>
      </c>
      <c r="G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forbrug'!G$2,'Forbrug af biomasse'!$B$2:$B$425,$E45)</f>
        <v>0</v>
      </c>
      <c r="H45" s="187">
        <f>IF(E45="Vestdanmark",-IF(A45="Halm",SUMIFS(IF(D45=År1,'Resultater - Vestdanmark'!H$3:H$504,IF(D45=År2,'Resultater - Vestdanmark'!I$3:I$504,'Resultater - Vestdanmark'!J$3:J$504)),'Resultater - Vestdanmark'!$F$3:$F$504,$A45,'Resultater - Vestdanmark'!H$3:H$504,"&lt;0"),0),-IF(A45="Halm",SUMIFS(IF(D45=År1,'Resultater - Østdanmark'!H$3:H$504,IF(D45=År2,'Resultater - Østdanmark'!I$3:I$504,'Resultater - Østdanmark'!J$3:J$504)),'Resultater - Østdanmark'!$F$3:$F$504,$A45,'Resultater - Østdanmark'!H$3:H$504,"&lt;0"),0))</f>
        <v>0</v>
      </c>
      <c r="I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forbrug'!I$2,'Forbrug af biomasse'!$B$2:$B$425,$E45)</f>
        <v>0</v>
      </c>
      <c r="J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forbrug'!J$2,'Forbrug af biomasse'!$B$2:$B$425,$E45)</f>
        <v>2534442.072977222</v>
      </c>
      <c r="K45" s="190">
        <f>SUMIFS('Forbrug af biomasse'!$E$2:$E$425,'Forbrug af biomasse'!$C$2:$C$425,'Resultat-Produktion &amp; forbrug'!$A45,'Forbrug af biomasse'!$D$2:$D$425,'Resultat-Produktion &amp; forbrug'!$D45,'Forbrug af biomasse'!$A$2:$A$425,'Resultat-Produktion &amp; forbrug'!K$2,'Forbrug af biomasse'!$B$2:$B$425,$E45)</f>
        <v>12818096.433914844</v>
      </c>
      <c r="L45" s="190">
        <f>IF(A45&lt;&gt;"Biogas",SUMIFS('Forbrug af biomasse'!$E$2:$E$425,'Forbrug af biomasse'!$C$2:$C$425,'Resultat-Produktion &amp; forbrug'!$A45,'Forbrug af biomasse'!$D$2:$D$425,'Resultat-Produktion &amp; forbrug'!$D45,'Forbrug af biomasse'!$A$2:$A$425,'Resultat-Produktion &amp; forbrug'!L$2,'Forbrug af biomasse'!$B$2:$B$425,$E45),F45)</f>
        <v>0</v>
      </c>
      <c r="M45" s="154">
        <f>SUMIFS('Forbrug af biomasse'!E:E,'Forbrug af biomasse'!C:C,'Resultat-Produktion &amp; forbrug'!$A45,'Forbrug af biomasse'!D:D,'Resultat-Produktion &amp; forbrug'!$D45,'Forbrug af biomasse'!G:G,1,'Forbrug af biomasse'!B:B,$E45)</f>
        <v>0</v>
      </c>
      <c r="N45" s="199">
        <f t="shared" si="9"/>
        <v>0</v>
      </c>
      <c r="O45" s="190">
        <f t="shared" si="1"/>
        <v>0</v>
      </c>
      <c r="P45" s="200">
        <f t="shared" si="10"/>
        <v>2534442.072977222</v>
      </c>
      <c r="Q45" s="187">
        <f>IFERROR(VLOOKUP(A45,[1]Energiindhold!$A$2:$C$11,3,FALSE),IFERROR(VLOOKUP(A45,[1]Biogasudbytte!$A$2:$B$18,2,FALSE)*[1]Energiindhold!$C$10,0))*O45</f>
        <v>0</v>
      </c>
      <c r="R45" s="187">
        <f>IF(A45&lt;&gt;"Biogas",IFERROR(VLOOKUP(A45,[1]Biogasudbytte!$A$2:$B$18,2,FALSE)*[1]Energiindhold!$C$10,0)*J45*IFERROR(VLOOKUP(A45,Biogasanlæg!$F$3:$G$8,2,FALSE),1)+IFERROR(VLOOKUP(A45,[1]Energiindhold!$A$2:$C$11,3,FALSE),0)*L45+IF(D45&lt;&gt;År1,Q45,0),0)</f>
        <v>1.0918376450385874</v>
      </c>
      <c r="S45" s="187">
        <f>IFERROR(VLOOKUP(A45,[1]Biogasudbytte!$A$2:$B$18,2,FALSE)*[1]Energiindhold!$C$10,0)*J45*IFERROR(VLOOKUP(A45,Biogasanlæg!$F$3:$G$8,2,FALSE),1)</f>
        <v>1.0918376450385874</v>
      </c>
      <c r="T45" s="188">
        <f t="shared" si="11"/>
        <v>0</v>
      </c>
      <c r="U45" s="186">
        <f>O45*IFERROR(VLOOKUP(A45,[1]Tørstofindhold!A$2:B$24,2,FALSE),0)</f>
        <v>0</v>
      </c>
      <c r="V45" s="187">
        <f>IF(D45=År1,P45,SUM(O45,P45))*IFERROR(VLOOKUP(A45,[1]Tørstofindhold!A$2:B$24,2,FALSE),0)</f>
        <v>126722.10364886111</v>
      </c>
      <c r="W45" s="187">
        <f>J45*IFERROR(VLOOKUP(A45,[1]Tørstofindhold!A$2:B$24,2,FALSE),0)</f>
        <v>126722.10364886111</v>
      </c>
      <c r="X45" s="188">
        <f t="shared" si="12"/>
        <v>0</v>
      </c>
      <c r="Y45" s="168">
        <f t="shared" si="2"/>
        <v>0</v>
      </c>
      <c r="Z45" s="103">
        <f t="shared" si="3"/>
        <v>0</v>
      </c>
    </row>
    <row r="46" spans="1:26" x14ac:dyDescent="0.25">
      <c r="A46" s="189" t="s">
        <v>13</v>
      </c>
      <c r="B46" s="189"/>
      <c r="C46" s="189">
        <f>IF(COUNTIFS('Resultater - Danmark'!$D$3:$D$504,'Resultat-Produktion &amp; forbrug'!A46,'Resultater - Danmark'!$A$3:$A$504,"Til energi")+COUNTIFS('Resultater - Danmark'!$D$3:$D$504,'Resultat-Produktion &amp; forbrug'!A46,'Resultater - Danmark'!$A$3:$A$504,"Biogasanlæg")&gt;0,1,0)</f>
        <v>0</v>
      </c>
      <c r="D46" s="189">
        <f t="shared" si="8"/>
        <v>2019</v>
      </c>
      <c r="E46" s="187" t="s">
        <v>23</v>
      </c>
      <c r="F46" s="190">
        <f>IF(E46="Vestdanmark",SUMIFS(IF(D46=År1,'Resultater - Vestdanmark'!H$3:H$504,IF(D46=År2,'Resultater - Vestdanmark'!I$3:I$504,'Resultater - Vestdanmark'!J$3:J$504)),'Resultater - Vestdanmark'!$F$3:$F$504,$A46,IF(D46=År1,'Resultater - Vestdanmark'!H$3:H$504,IF(D46=År2,'Resultater - Vestdanmark'!I$3:I$504,'Resultater - Vestdanmark'!J$3:J$504)),"&gt;0"),SUMIFS(IF(D46=År1,'Resultater - Østdanmark'!H$3:H$504,IF(D46=År2,'Resultater - Østdanmark'!I$3:I$504,'Resultater - Østdanmark'!J$3:J$504)),'Resultater - Østdanmark'!$F$3:$F$504,$A46,IF(D46=År1,'Resultater - Østdanmark'!H$3:H$504,IF(D46=År2,'Resultater - Østdanmark'!I$3:I$504,'Resultater - Østdanmark'!J$3:J$504)),"&gt;0"))</f>
        <v>1394376.9846055224</v>
      </c>
      <c r="G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forbrug'!G$2,'Forbrug af biomasse'!$B$2:$B$425,$E46)</f>
        <v>0</v>
      </c>
      <c r="H46" s="187">
        <f>IF(E46="Vestdanmark",-IF(A46="Halm",SUMIFS(IF(D46=År1,'Resultater - Vestdanmark'!H$3:H$504,IF(D46=År2,'Resultater - Vestdanmark'!I$3:I$504,'Resultater - Vestdanmark'!J$3:J$504)),'Resultater - Vestdanmark'!$F$3:$F$504,$A46,'Resultater - Vestdanmark'!H$3:H$504,"&lt;0"),0),-IF(A46="Halm",SUMIFS(IF(D46=År1,'Resultater - Østdanmark'!H$3:H$504,IF(D46=År2,'Resultater - Østdanmark'!I$3:I$504,'Resultater - Østdanmark'!J$3:J$504)),'Resultater - Østdanmark'!$F$3:$F$504,$A46,'Resultater - Østdanmark'!H$3:H$504,"&lt;0"),0))</f>
        <v>0</v>
      </c>
      <c r="I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forbrug'!I$2,'Forbrug af biomasse'!$B$2:$B$425,$E46)</f>
        <v>117920.63695532705</v>
      </c>
      <c r="J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forbrug'!J$2,'Forbrug af biomasse'!$B$2:$B$425,$E46)</f>
        <v>0</v>
      </c>
      <c r="K46" s="190">
        <f>SUMIFS('Forbrug af biomasse'!$E$2:$E$425,'Forbrug af biomasse'!$C$2:$C$425,'Resultat-Produktion &amp; forbrug'!$A46,'Forbrug af biomasse'!$D$2:$D$425,'Resultat-Produktion &amp; forbrug'!$D46,'Forbrug af biomasse'!$A$2:$A$425,'Resultat-Produktion &amp; forbrug'!K$2,'Forbrug af biomasse'!$B$2:$B$425,$E46)</f>
        <v>0</v>
      </c>
      <c r="L46" s="190">
        <f>IF(A46&lt;&gt;"Biogas",SUMIFS('Forbrug af biomasse'!$E$2:$E$425,'Forbrug af biomasse'!$C$2:$C$425,'Resultat-Produktion &amp; forbrug'!$A46,'Forbrug af biomasse'!$D$2:$D$425,'Resultat-Produktion &amp; forbrug'!$D46,'Forbrug af biomasse'!$A$2:$A$425,'Resultat-Produktion &amp; forbrug'!L$2,'Forbrug af biomasse'!$B$2:$B$425,$E46),F46)</f>
        <v>0</v>
      </c>
      <c r="M46" s="154">
        <f>SUMIFS('Forbrug af biomasse'!E:E,'Forbrug af biomasse'!C:C,'Resultat-Produktion &amp; forbrug'!$A46,'Forbrug af biomasse'!D:D,'Resultat-Produktion &amp; forbrug'!$D46,'Forbrug af biomasse'!G:G,1,'Forbrug af biomasse'!B:B,$E46)</f>
        <v>0</v>
      </c>
      <c r="N46" s="199">
        <f t="shared" si="9"/>
        <v>1276456.3476501952</v>
      </c>
      <c r="O46" s="190">
        <f t="shared" si="1"/>
        <v>0</v>
      </c>
      <c r="P46" s="200">
        <f t="shared" si="10"/>
        <v>0</v>
      </c>
      <c r="Q46" s="187">
        <f>IFERROR(VLOOKUP(A46,[1]Energiindhold!$A$2:$C$11,3,FALSE),IFERROR(VLOOKUP(A46,[1]Biogasudbytte!$A$2:$B$18,2,FALSE)*[1]Energiindhold!$C$10,0))*O46</f>
        <v>0</v>
      </c>
      <c r="R46" s="187">
        <f>IF(A46&lt;&gt;"Biogas",IFERROR(VLOOKUP(A46,[1]Biogasudbytte!$A$2:$B$18,2,FALSE)*[1]Energiindhold!$C$10,0)*J46*IFERROR(VLOOKUP(A46,Biogasanlæg!$F$3:$G$8,2,FALSE),1)+IFERROR(VLOOKUP(A46,[1]Energiindhold!$A$2:$C$11,3,FALSE),0)*L46+IF(D46&lt;&gt;År1,Q46,0),0)</f>
        <v>0</v>
      </c>
      <c r="S46" s="187">
        <f>IFERROR(VLOOKUP(A46,[1]Biogasudbytte!$A$2:$B$18,2,FALSE)*[1]Energiindhold!$C$10,0)*J46*IFERROR(VLOOKUP(A46,Biogasanlæg!$F$3:$G$8,2,FALSE),1)</f>
        <v>0</v>
      </c>
      <c r="T46" s="188">
        <f t="shared" si="11"/>
        <v>0</v>
      </c>
      <c r="U46" s="186">
        <f>O46*IFERROR(VLOOKUP(A46,[1]Tørstofindhold!A$2:B$24,2,FALSE),0)</f>
        <v>0</v>
      </c>
      <c r="V46" s="187">
        <f>IF(D46=År1,P46,SUM(O46,P46))*IFERROR(VLOOKUP(A46,[1]Tørstofindhold!A$2:B$24,2,FALSE),0)</f>
        <v>0</v>
      </c>
      <c r="W46" s="187">
        <f>J46*IFERROR(VLOOKUP(A46,[1]Tørstofindhold!A$2:B$24,2,FALSE),0)</f>
        <v>0</v>
      </c>
      <c r="X46" s="188">
        <f t="shared" si="12"/>
        <v>0</v>
      </c>
      <c r="Y46" s="168">
        <f t="shared" si="2"/>
        <v>0</v>
      </c>
      <c r="Z46" s="103">
        <f t="shared" si="3"/>
        <v>1</v>
      </c>
    </row>
    <row r="47" spans="1:26" x14ac:dyDescent="0.25">
      <c r="A47" s="189" t="s">
        <v>99</v>
      </c>
      <c r="B47" s="189" t="s">
        <v>226</v>
      </c>
      <c r="C47" s="189">
        <f>IF(COUNTIFS('Resultater - Danmark'!$D$3:$D$504,'Resultat-Produktion &amp; forbrug'!A47,'Resultater - Danmark'!$A$3:$A$504,"Til energi")+COUNTIFS('Resultater - Danmark'!$D$3:$D$504,'Resultat-Produktion &amp; forbrug'!A47,'Resultater - Danmark'!$A$3:$A$504,"Biogasanlæg")&gt;0,1,0)</f>
        <v>1</v>
      </c>
      <c r="D47" s="189">
        <f t="shared" si="8"/>
        <v>2019</v>
      </c>
      <c r="E47" s="187" t="s">
        <v>23</v>
      </c>
      <c r="F47" s="190">
        <f>IF(E47="Vestdanmark",SUMIFS(IF(D47=År1,'Resultater - Vestdanmark'!H$3:H$504,IF(D47=År2,'Resultater - Vestdanmark'!I$3:I$504,'Resultater - Vestdanmark'!J$3:J$504)),'Resultater - Vestdanmark'!$F$3:$F$504,$A47,IF(D47=År1,'Resultater - Vestdanmark'!H$3:H$504,IF(D47=År2,'Resultater - Vestdanmark'!I$3:I$504,'Resultater - Vestdanmark'!J$3:J$504)),"&gt;0"),SUMIFS(IF(D47=År1,'Resultater - Østdanmark'!H$3:H$504,IF(D47=År2,'Resultater - Østdanmark'!I$3:I$504,'Resultater - Østdanmark'!J$3:J$504)),'Resultater - Østdanmark'!$F$3:$F$504,$A47,IF(D47=År1,'Resultater - Østdanmark'!H$3:H$504,IF(D47=År2,'Resultater - Østdanmark'!I$3:I$504,'Resultater - Østdanmark'!J$3:J$504)),"&gt;0"))</f>
        <v>76.5</v>
      </c>
      <c r="G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forbrug'!G$2,'Forbrug af biomasse'!$B$2:$B$425,$E47)</f>
        <v>0</v>
      </c>
      <c r="H47" s="187">
        <f>IF(E47="Vestdanmark",-IF(A47="Halm",SUMIFS(IF(D47=År1,'Resultater - Vestdanmark'!H$3:H$504,IF(D47=År2,'Resultater - Vestdanmark'!I$3:I$504,'Resultater - Vestdanmark'!J$3:J$504)),'Resultater - Vestdanmark'!$F$3:$F$504,$A47,'Resultater - Vestdanmark'!H$3:H$504,"&lt;0"),0),-IF(A47="Halm",SUMIFS(IF(D47=År1,'Resultater - Østdanmark'!H$3:H$504,IF(D47=År2,'Resultater - Østdanmark'!I$3:I$504,'Resultater - Østdanmark'!J$3:J$504)),'Resultater - Østdanmark'!$F$3:$F$504,$A47,'Resultater - Østdanmark'!H$3:H$504,"&lt;0"),0))</f>
        <v>0</v>
      </c>
      <c r="I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forbrug'!I$2,'Forbrug af biomasse'!$B$2:$B$425,$E47)</f>
        <v>0</v>
      </c>
      <c r="J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forbrug'!J$2,'Forbrug af biomasse'!$B$2:$B$425,$E47)</f>
        <v>0</v>
      </c>
      <c r="K47" s="190">
        <f>SUMIFS('Forbrug af biomasse'!$E$2:$E$425,'Forbrug af biomasse'!$C$2:$C$425,'Resultat-Produktion &amp; forbrug'!$A47,'Forbrug af biomasse'!$D$2:$D$425,'Resultat-Produktion &amp; forbrug'!$D47,'Forbrug af biomasse'!$A$2:$A$425,'Resultat-Produktion &amp; forbrug'!K$2,'Forbrug af biomasse'!$B$2:$B$425,$E47)</f>
        <v>0</v>
      </c>
      <c r="L47" s="190">
        <f>IF(A47&lt;&gt;"Biogas",SUMIFS('Forbrug af biomasse'!$E$2:$E$425,'Forbrug af biomasse'!$C$2:$C$425,'Resultat-Produktion &amp; forbrug'!$A47,'Forbrug af biomasse'!$D$2:$D$425,'Resultat-Produktion &amp; forbrug'!$D47,'Forbrug af biomasse'!$A$2:$A$425,'Resultat-Produktion &amp; forbrug'!L$2,'Forbrug af biomasse'!$B$2:$B$425,$E47),F47)</f>
        <v>0</v>
      </c>
      <c r="M47" s="154">
        <f>SUMIFS('Forbrug af biomasse'!E:E,'Forbrug af biomasse'!C:C,'Resultat-Produktion &amp; forbrug'!$A47,'Forbrug af biomasse'!D:D,'Resultat-Produktion &amp; forbrug'!$D47,'Forbrug af biomasse'!G:G,1,'Forbrug af biomasse'!B:B,$E47)</f>
        <v>0</v>
      </c>
      <c r="N47" s="199">
        <f t="shared" si="9"/>
        <v>76.5</v>
      </c>
      <c r="O47" s="190">
        <f t="shared" si="1"/>
        <v>76.5</v>
      </c>
      <c r="P47" s="200">
        <f t="shared" si="10"/>
        <v>0</v>
      </c>
      <c r="Q47" s="187">
        <f>IFERROR(VLOOKUP(A47,[1]Energiindhold!$A$2:$C$11,3,FALSE),IFERROR(VLOOKUP(A47,[1]Biogasudbytte!$A$2:$B$18,2,FALSE)*[1]Energiindhold!$C$10,0))*O47</f>
        <v>6.8658750000000004E-5</v>
      </c>
      <c r="R47" s="187">
        <f>IF(A47&lt;&gt;"Biogas",IFERROR(VLOOKUP(A47,[1]Biogasudbytte!$A$2:$B$18,2,FALSE)*[1]Energiindhold!$C$10,0)*J47*IFERROR(VLOOKUP(A47,Biogasanlæg!$F$3:$G$8,2,FALSE),1)+IFERROR(VLOOKUP(A47,[1]Energiindhold!$A$2:$C$11,3,FALSE),0)*L47+IF(D47&lt;&gt;År1,Q47,0),0)</f>
        <v>0</v>
      </c>
      <c r="S47" s="187">
        <f>IFERROR(VLOOKUP(A47,[1]Biogasudbytte!$A$2:$B$18,2,FALSE)*[1]Energiindhold!$C$10,0)*J47*IFERROR(VLOOKUP(A47,Biogasanlæg!$F$3:$G$8,2,FALSE),1)</f>
        <v>0</v>
      </c>
      <c r="T47" s="188">
        <f t="shared" si="11"/>
        <v>0</v>
      </c>
      <c r="U47" s="186">
        <f>O47*IFERROR(VLOOKUP(A47,[1]Tørstofindhold!A$2:B$24,2,FALSE),0)</f>
        <v>11.475</v>
      </c>
      <c r="V47" s="187">
        <f>IF(D47=År1,P47,SUM(O47,P47))*IFERROR(VLOOKUP(A47,[1]Tørstofindhold!A$2:B$24,2,FALSE),0)</f>
        <v>0</v>
      </c>
      <c r="W47" s="187">
        <f>J47*IFERROR(VLOOKUP(A47,[1]Tørstofindhold!A$2:B$24,2,FALSE),0)</f>
        <v>0</v>
      </c>
      <c r="X47" s="188">
        <f t="shared" si="12"/>
        <v>0</v>
      </c>
      <c r="Y47" s="168">
        <f t="shared" si="2"/>
        <v>0</v>
      </c>
      <c r="Z47" s="103">
        <f t="shared" si="3"/>
        <v>1</v>
      </c>
    </row>
    <row r="48" spans="1:26" x14ac:dyDescent="0.25">
      <c r="A48" s="189" t="s">
        <v>104</v>
      </c>
      <c r="B48" s="189"/>
      <c r="C48" s="189">
        <f>IF(COUNTIFS('Resultater - Danmark'!$D$3:$D$504,'Resultat-Produktion &amp; forbrug'!A48,'Resultater - Danmark'!$A$3:$A$504,"Til energi")+COUNTIFS('Resultater - Danmark'!$D$3:$D$504,'Resultat-Produktion &amp; forbrug'!A48,'Resultater - Danmark'!$A$3:$A$504,"Biogasanlæg")&gt;0,1,0)</f>
        <v>1</v>
      </c>
      <c r="D48" s="189">
        <f t="shared" si="8"/>
        <v>2019</v>
      </c>
      <c r="E48" s="187" t="s">
        <v>23</v>
      </c>
      <c r="F48" s="190">
        <f>IF(E48="Vestdanmark",SUMIFS(IF(D48=År1,'Resultater - Vestdanmark'!H$3:H$504,IF(D48=År2,'Resultater - Vestdanmark'!I$3:I$504,'Resultater - Vestdanmark'!J$3:J$504)),'Resultater - Vestdanmark'!$F$3:$F$504,$A48,IF(D48=År1,'Resultater - Vestdanmark'!H$3:H$504,IF(D48=År2,'Resultater - Vestdanmark'!I$3:I$504,'Resultater - Vestdanmark'!J$3:J$504)),"&gt;0"),SUMIFS(IF(D48=År1,'Resultater - Østdanmark'!H$3:H$504,IF(D48=År2,'Resultater - Østdanmark'!I$3:I$504,'Resultater - Østdanmark'!J$3:J$504)),'Resultater - Østdanmark'!$F$3:$F$504,$A48,IF(D48=År1,'Resultater - Østdanmark'!H$3:H$504,IF(D48=År2,'Resultater - Østdanmark'!I$3:I$504,'Resultater - Østdanmark'!J$3:J$504)),"&gt;0"))</f>
        <v>0</v>
      </c>
      <c r="G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forbrug'!G$2,'Forbrug af biomasse'!$B$2:$B$425,$E48)</f>
        <v>0</v>
      </c>
      <c r="H48" s="187">
        <f>IF(E48="Vestdanmark",-IF(A48="Halm",SUMIFS(IF(D48=År1,'Resultater - Vestdanmark'!H$3:H$504,IF(D48=År2,'Resultater - Vestdanmark'!I$3:I$504,'Resultater - Vestdanmark'!J$3:J$504)),'Resultater - Vestdanmark'!$F$3:$F$504,$A48,'Resultater - Vestdanmark'!H$3:H$504,"&lt;0"),0),-IF(A48="Halm",SUMIFS(IF(D48=År1,'Resultater - Østdanmark'!H$3:H$504,IF(D48=År2,'Resultater - Østdanmark'!I$3:I$504,'Resultater - Østdanmark'!J$3:J$504)),'Resultater - Østdanmark'!$F$3:$F$504,$A48,'Resultater - Østdanmark'!H$3:H$504,"&lt;0"),0))</f>
        <v>0</v>
      </c>
      <c r="I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forbrug'!I$2,'Forbrug af biomasse'!$B$2:$B$425,$E48)</f>
        <v>0</v>
      </c>
      <c r="J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forbrug'!J$2,'Forbrug af biomasse'!$B$2:$B$425,$E48)</f>
        <v>0</v>
      </c>
      <c r="K48" s="190">
        <f>SUMIFS('Forbrug af biomasse'!$E$2:$E$425,'Forbrug af biomasse'!$C$2:$C$425,'Resultat-Produktion &amp; forbrug'!$A48,'Forbrug af biomasse'!$D$2:$D$425,'Resultat-Produktion &amp; forbrug'!$D48,'Forbrug af biomasse'!$A$2:$A$425,'Resultat-Produktion &amp; forbrug'!K$2,'Forbrug af biomasse'!$B$2:$B$425,$E48)</f>
        <v>0</v>
      </c>
      <c r="L48" s="190">
        <f>IF(A48&lt;&gt;"Biogas",SUMIFS('Forbrug af biomasse'!$E$2:$E$425,'Forbrug af biomasse'!$C$2:$C$425,'Resultat-Produktion &amp; forbrug'!$A48,'Forbrug af biomasse'!$D$2:$D$425,'Resultat-Produktion &amp; forbrug'!$D48,'Forbrug af biomasse'!$A$2:$A$425,'Resultat-Produktion &amp; forbrug'!L$2,'Forbrug af biomasse'!$B$2:$B$425,$E48),F48)</f>
        <v>0</v>
      </c>
      <c r="M48" s="154">
        <f>SUMIFS('Forbrug af biomasse'!E:E,'Forbrug af biomasse'!C:C,'Resultat-Produktion &amp; forbrug'!$A48,'Forbrug af biomasse'!D:D,'Resultat-Produktion &amp; forbrug'!$D48,'Forbrug af biomasse'!G:G,1,'Forbrug af biomasse'!B:B,$E48)</f>
        <v>0</v>
      </c>
      <c r="N48" s="199">
        <f t="shared" si="9"/>
        <v>0</v>
      </c>
      <c r="O48" s="190">
        <f t="shared" si="1"/>
        <v>0</v>
      </c>
      <c r="P48" s="200">
        <f t="shared" si="10"/>
        <v>0</v>
      </c>
      <c r="Q48" s="187">
        <f>IFERROR(VLOOKUP(A48,[1]Energiindhold!$A$2:$C$11,3,FALSE),IFERROR(VLOOKUP(A48,[1]Biogasudbytte!$A$2:$B$18,2,FALSE)*[1]Energiindhold!$C$10,0))*O48</f>
        <v>0</v>
      </c>
      <c r="R48" s="187">
        <f>IF(A48&lt;&gt;"Biogas",IFERROR(VLOOKUP(A48,[1]Biogasudbytte!$A$2:$B$18,2,FALSE)*[1]Energiindhold!$C$10,0)*J48*IFERROR(VLOOKUP(A48,Biogasanlæg!$F$3:$G$8,2,FALSE),1)+IFERROR(VLOOKUP(A48,[1]Energiindhold!$A$2:$C$11,3,FALSE),0)*L48+IF(D48&lt;&gt;År1,Q48,0),0)</f>
        <v>0</v>
      </c>
      <c r="S48" s="187">
        <f>IFERROR(VLOOKUP(A48,[1]Biogasudbytte!$A$2:$B$18,2,FALSE)*[1]Energiindhold!$C$10,0)*J48*IFERROR(VLOOKUP(A48,Biogasanlæg!$F$3:$G$8,2,FALSE),1)</f>
        <v>0</v>
      </c>
      <c r="T48" s="188">
        <f t="shared" si="11"/>
        <v>0</v>
      </c>
      <c r="U48" s="186">
        <f>O48*IFERROR(VLOOKUP(A48,[1]Tørstofindhold!A$2:B$24,2,FALSE),0)</f>
        <v>0</v>
      </c>
      <c r="V48" s="187">
        <f>IF(D48=År1,P48,SUM(O48,P48))*IFERROR(VLOOKUP(A48,[1]Tørstofindhold!A$2:B$24,2,FALSE),0)</f>
        <v>0</v>
      </c>
      <c r="W48" s="187">
        <f>J48*IFERROR(VLOOKUP(A48,[1]Tørstofindhold!A$2:B$24,2,FALSE),0)</f>
        <v>0</v>
      </c>
      <c r="X48" s="188">
        <f t="shared" si="12"/>
        <v>0</v>
      </c>
      <c r="Y48" s="168">
        <f t="shared" si="2"/>
        <v>0</v>
      </c>
      <c r="Z48" s="103">
        <f t="shared" si="3"/>
        <v>0</v>
      </c>
    </row>
    <row r="49" spans="1:26" x14ac:dyDescent="0.25">
      <c r="A49" s="189" t="s">
        <v>119</v>
      </c>
      <c r="B49" s="189" t="s">
        <v>225</v>
      </c>
      <c r="C49" s="189">
        <f>IF(COUNTIFS('Resultater - Danmark'!$D$3:$D$504,'Resultat-Produktion &amp; forbrug'!A49,'Resultater - Danmark'!$A$3:$A$504,"Til energi")+COUNTIFS('Resultater - Danmark'!$D$3:$D$504,'Resultat-Produktion &amp; forbrug'!A49,'Resultater - Danmark'!$A$3:$A$504,"Biogasanlæg")&gt;0,1,0)</f>
        <v>1</v>
      </c>
      <c r="D49" s="189">
        <f t="shared" si="8"/>
        <v>2019</v>
      </c>
      <c r="E49" s="187" t="s">
        <v>23</v>
      </c>
      <c r="F49" s="190">
        <f>IF(E49="Vestdanmark",SUMIFS(IF(D49=År1,'Resultater - Vestdanmark'!H$3:H$504,IF(D49=År2,'Resultater - Vestdanmark'!I$3:I$504,'Resultater - Vestdanmark'!J$3:J$504)),'Resultater - Vestdanmark'!$F$3:$F$504,$A49,IF(D49=År1,'Resultater - Vestdanmark'!H$3:H$504,IF(D49=År2,'Resultater - Vestdanmark'!I$3:I$504,'Resultater - Vestdanmark'!J$3:J$504)),"&gt;0"),SUMIFS(IF(D49=År1,'Resultater - Østdanmark'!H$3:H$504,IF(D49=År2,'Resultater - Østdanmark'!I$3:I$504,'Resultater - Østdanmark'!J$3:J$504)),'Resultater - Østdanmark'!$F$3:$F$504,$A49,IF(D49=År1,'Resultater - Østdanmark'!H$3:H$504,IF(D49=År2,'Resultater - Østdanmark'!I$3:I$504,'Resultater - Østdanmark'!J$3:J$504)),"&gt;0"))</f>
        <v>2328677.081002241</v>
      </c>
      <c r="G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forbrug'!G$2,'Forbrug af biomasse'!$B$2:$B$425,$E49)</f>
        <v>0</v>
      </c>
      <c r="H49" s="187">
        <f>IF(E49="Vestdanmark",-IF(A49="Halm",SUMIFS(IF(D49=År1,'Resultater - Vestdanmark'!H$3:H$504,IF(D49=År2,'Resultater - Vestdanmark'!I$3:I$504,'Resultater - Vestdanmark'!J$3:J$504)),'Resultater - Vestdanmark'!$F$3:$F$504,$A49,'Resultater - Vestdanmark'!H$3:H$504,"&lt;0"),0),-IF(A49="Halm",SUMIFS(IF(D49=År1,'Resultater - Østdanmark'!H$3:H$504,IF(D49=År2,'Resultater - Østdanmark'!I$3:I$504,'Resultater - Østdanmark'!J$3:J$504)),'Resultater - Østdanmark'!$F$3:$F$504,$A49,'Resultater - Østdanmark'!H$3:H$504,"&lt;0"),0))</f>
        <v>0</v>
      </c>
      <c r="I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forbrug'!I$2,'Forbrug af biomasse'!$B$2:$B$425,$E49)</f>
        <v>0</v>
      </c>
      <c r="J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forbrug'!J$2,'Forbrug af biomasse'!$B$2:$B$425,$E49)</f>
        <v>0</v>
      </c>
      <c r="K49" s="190">
        <f>SUMIFS('Forbrug af biomasse'!$E$2:$E$425,'Forbrug af biomasse'!$C$2:$C$425,'Resultat-Produktion &amp; forbrug'!$A49,'Forbrug af biomasse'!$D$2:$D$425,'Resultat-Produktion &amp; forbrug'!$D49,'Forbrug af biomasse'!$A$2:$A$425,'Resultat-Produktion &amp; forbrug'!K$2,'Forbrug af biomasse'!$B$2:$B$425,$E49)</f>
        <v>0</v>
      </c>
      <c r="L49" s="190">
        <f ca="1">IF(A49&lt;&gt;"Biogas",SUMIFS('Forbrug af biomasse'!$E$2:$E$425,'Forbrug af biomasse'!$C$2:$C$425,'Resultat-Produktion &amp; forbrug'!$A49,'Forbrug af biomasse'!$D$2:$D$425,'Resultat-Produktion &amp; forbrug'!$D49,'Forbrug af biomasse'!$A$2:$A$425,'Resultat-Produktion &amp; forbrug'!L$2,'Forbrug af biomasse'!$B$2:$B$425,$E49),F49)</f>
        <v>2328677.081002241</v>
      </c>
      <c r="M49" s="154">
        <f>SUMIFS('Forbrug af biomasse'!E:E,'Forbrug af biomasse'!C:C,'Resultat-Produktion &amp; forbrug'!$A49,'Forbrug af biomasse'!D:D,'Resultat-Produktion &amp; forbrug'!$D49,'Forbrug af biomasse'!G:G,1,'Forbrug af biomasse'!B:B,$E49)</f>
        <v>0</v>
      </c>
      <c r="N49" s="199">
        <f t="shared" ca="1" si="9"/>
        <v>0</v>
      </c>
      <c r="O49" s="190">
        <f t="shared" ca="1" si="1"/>
        <v>0</v>
      </c>
      <c r="P49" s="200">
        <f t="shared" ca="1" si="10"/>
        <v>2328677.081002241</v>
      </c>
      <c r="Q49" s="187">
        <f ca="1">IFERROR(VLOOKUP(A49,[1]Energiindhold!$A$2:$C$11,3,FALSE),IFERROR(VLOOKUP(A49,[1]Biogasudbytte!$A$2:$B$18,2,FALSE)*[1]Energiindhold!$C$10,0))*O49</f>
        <v>0</v>
      </c>
      <c r="R49" s="187">
        <f ca="1">IF(A49&lt;&gt;"Biogas",IFERROR(VLOOKUP(A49,[1]Biogasudbytte!$A$2:$B$18,2,FALSE)*[1]Energiindhold!$C$10,0)*J49*IFERROR(VLOOKUP(A49,Biogasanlæg!$F$3:$G$8,2,FALSE),1)+IFERROR(VLOOKUP(A49,[1]Energiindhold!$A$2:$C$11,3,FALSE),0)*L49+IF(D49&lt;&gt;År1,Q49,0),0)</f>
        <v>33.750841721162331</v>
      </c>
      <c r="S49" s="187">
        <f>IFERROR(VLOOKUP(A49,[1]Biogasudbytte!$A$2:$B$18,2,FALSE)*[1]Energiindhold!$C$10,0)*J49*IFERROR(VLOOKUP(A49,Biogasanlæg!$F$3:$G$8,2,FALSE),1)</f>
        <v>0</v>
      </c>
      <c r="T49" s="188">
        <f t="shared" ca="1" si="11"/>
        <v>33.750841721162331</v>
      </c>
      <c r="U49" s="186">
        <f ca="1">O49*IFERROR(VLOOKUP(A49,[1]Tørstofindhold!A$2:B$24,2,FALSE),0)</f>
        <v>0</v>
      </c>
      <c r="V49" s="187">
        <f ca="1">IF(D49=År1,P49,SUM(O49,P49))*IFERROR(VLOOKUP(A49,[1]Tørstofindhold!A$2:B$24,2,FALSE),0)</f>
        <v>1151724.8729790249</v>
      </c>
      <c r="W49" s="187">
        <f>J49*IFERROR(VLOOKUP(A49,[1]Tørstofindhold!A$2:B$24,2,FALSE),0)</f>
        <v>0</v>
      </c>
      <c r="X49" s="188">
        <f t="shared" ca="1" si="12"/>
        <v>1151724.8729790249</v>
      </c>
      <c r="Y49" s="168">
        <f t="shared" ca="1" si="2"/>
        <v>0</v>
      </c>
      <c r="Z49" s="103">
        <f t="shared" ca="1" si="3"/>
        <v>0</v>
      </c>
    </row>
    <row r="50" spans="1:26" x14ac:dyDescent="0.25">
      <c r="A50" s="189" t="s">
        <v>118</v>
      </c>
      <c r="B50" s="189"/>
      <c r="C50" s="189">
        <f>IF(COUNTIFS('Resultater - Danmark'!$D$3:$D$504,'Resultat-Produktion &amp; forbrug'!A50,'Resultater - Danmark'!$A$3:$A$504,"Til energi")+COUNTIFS('Resultater - Danmark'!$D$3:$D$504,'Resultat-Produktion &amp; forbrug'!A50,'Resultater - Danmark'!$A$3:$A$504,"Biogasanlæg")&gt;0,1,0)</f>
        <v>0</v>
      </c>
      <c r="D50" s="189">
        <f t="shared" si="8"/>
        <v>2019</v>
      </c>
      <c r="E50" s="187" t="s">
        <v>23</v>
      </c>
      <c r="F50" s="190">
        <f>IF(E50="Vestdanmark",SUMIFS(IF(D50=År1,'Resultater - Vestdanmark'!H$3:H$504,IF(D50=År2,'Resultater - Vestdanmark'!I$3:I$504,'Resultater - Vestdanmark'!J$3:J$504)),'Resultater - Vestdanmark'!$F$3:$F$504,$A50,IF(D50=År1,'Resultater - Vestdanmark'!H$3:H$504,IF(D50=År2,'Resultater - Vestdanmark'!I$3:I$504,'Resultater - Vestdanmark'!J$3:J$504)),"&gt;0"),SUMIFS(IF(D50=År1,'Resultater - Østdanmark'!H$3:H$504,IF(D50=År2,'Resultater - Østdanmark'!I$3:I$504,'Resultater - Østdanmark'!J$3:J$504)),'Resultater - Østdanmark'!$F$3:$F$504,$A50,IF(D50=År1,'Resultater - Østdanmark'!H$3:H$504,IF(D50=År2,'Resultater - Østdanmark'!I$3:I$504,'Resultater - Østdanmark'!J$3:J$504)),"&gt;0"))</f>
        <v>640291.52551137318</v>
      </c>
      <c r="G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forbrug'!G$2,'Forbrug af biomasse'!$B$2:$B$425,$E50)</f>
        <v>0</v>
      </c>
      <c r="H50" s="187">
        <f>IF(E50="Vestdanmark",-IF(A50="Halm",SUMIFS(IF(D50=År1,'Resultater - Vestdanmark'!H$3:H$504,IF(D50=År2,'Resultater - Vestdanmark'!I$3:I$504,'Resultater - Vestdanmark'!J$3:J$504)),'Resultater - Vestdanmark'!$F$3:$F$504,$A50,'Resultater - Vestdanmark'!H$3:H$504,"&lt;0"),0),-IF(A50="Halm",SUMIFS(IF(D50=År1,'Resultater - Østdanmark'!H$3:H$504,IF(D50=År2,'Resultater - Østdanmark'!I$3:I$504,'Resultater - Østdanmark'!J$3:J$504)),'Resultater - Østdanmark'!$F$3:$F$504,$A50,'Resultater - Østdanmark'!H$3:H$504,"&lt;0"),0))</f>
        <v>0</v>
      </c>
      <c r="I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forbrug'!I$2,'Forbrug af biomasse'!$B$2:$B$425,$E50)</f>
        <v>0</v>
      </c>
      <c r="J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forbrug'!J$2,'Forbrug af biomasse'!$B$2:$B$425,$E50)</f>
        <v>0</v>
      </c>
      <c r="K50" s="190">
        <f>SUMIFS('Forbrug af biomasse'!$E$2:$E$425,'Forbrug af biomasse'!$C$2:$C$425,'Resultat-Produktion &amp; forbrug'!$A50,'Forbrug af biomasse'!$D$2:$D$425,'Resultat-Produktion &amp; forbrug'!$D50,'Forbrug af biomasse'!$A$2:$A$425,'Resultat-Produktion &amp; forbrug'!K$2,'Forbrug af biomasse'!$B$2:$B$425,$E50)</f>
        <v>0</v>
      </c>
      <c r="L50" s="190">
        <f>IF(A50&lt;&gt;"Biogas",SUMIFS('Forbrug af biomasse'!$E$2:$E$425,'Forbrug af biomasse'!$C$2:$C$425,'Resultat-Produktion &amp; forbrug'!$A50,'Forbrug af biomasse'!$D$2:$D$425,'Resultat-Produktion &amp; forbrug'!$D50,'Forbrug af biomasse'!$A$2:$A$425,'Resultat-Produktion &amp; forbrug'!L$2,'Forbrug af biomasse'!$B$2:$B$425,$E50),F50)</f>
        <v>0</v>
      </c>
      <c r="M50" s="154">
        <f>SUMIFS('Forbrug af biomasse'!E:E,'Forbrug af biomasse'!C:C,'Resultat-Produktion &amp; forbrug'!$A50,'Forbrug af biomasse'!D:D,'Resultat-Produktion &amp; forbrug'!$D50,'Forbrug af biomasse'!G:G,1,'Forbrug af biomasse'!B:B,$E50)</f>
        <v>640291.52551137318</v>
      </c>
      <c r="N50" s="199">
        <f t="shared" si="9"/>
        <v>0</v>
      </c>
      <c r="O50" s="190">
        <f t="shared" si="1"/>
        <v>0</v>
      </c>
      <c r="P50" s="200">
        <f t="shared" si="10"/>
        <v>0</v>
      </c>
      <c r="Q50" s="187">
        <f>IFERROR(VLOOKUP(A50,[1]Energiindhold!$A$2:$C$11,3,FALSE),IFERROR(VLOOKUP(A50,[1]Biogasudbytte!$A$2:$B$18,2,FALSE)*[1]Energiindhold!$C$10,0))*O50</f>
        <v>0</v>
      </c>
      <c r="R50" s="187">
        <f>IF(A50&lt;&gt;"Biogas",IFERROR(VLOOKUP(A50,[1]Biogasudbytte!$A$2:$B$18,2,FALSE)*[1]Energiindhold!$C$10,0)*J50*IFERROR(VLOOKUP(A50,Biogasanlæg!$F$3:$G$8,2,FALSE),1)+IFERROR(VLOOKUP(A50,[1]Energiindhold!$A$2:$C$11,3,FALSE),0)*L50+IF(D50&lt;&gt;År1,Q50,0),0)</f>
        <v>0</v>
      </c>
      <c r="S50" s="187">
        <f>IFERROR(VLOOKUP(A50,[1]Biogasudbytte!$A$2:$B$18,2,FALSE)*[1]Energiindhold!$C$10,0)*J50*IFERROR(VLOOKUP(A50,Biogasanlæg!$F$3:$G$8,2,FALSE),1)</f>
        <v>0</v>
      </c>
      <c r="T50" s="188">
        <f t="shared" si="11"/>
        <v>0</v>
      </c>
      <c r="U50" s="186">
        <f>O50*IFERROR(VLOOKUP(A50,[1]Tørstofindhold!A$2:B$24,2,FALSE),0)</f>
        <v>0</v>
      </c>
      <c r="V50" s="187">
        <f>IF(D50=År1,P50,SUM(O50,P50))*IFERROR(VLOOKUP(A50,[1]Tørstofindhold!A$2:B$24,2,FALSE),0)</f>
        <v>0</v>
      </c>
      <c r="W50" s="187">
        <f>J50*IFERROR(VLOOKUP(A50,[1]Tørstofindhold!A$2:B$24,2,FALSE),0)</f>
        <v>0</v>
      </c>
      <c r="X50" s="188">
        <f t="shared" si="12"/>
        <v>0</v>
      </c>
      <c r="Y50" s="168">
        <f t="shared" ca="1" si="2"/>
        <v>0</v>
      </c>
      <c r="Z50" s="103">
        <f t="shared" ca="1" si="3"/>
        <v>0</v>
      </c>
    </row>
    <row r="51" spans="1:26" x14ac:dyDescent="0.25">
      <c r="A51" s="189" t="str">
        <f t="shared" ref="A51:A82" si="17">A3</f>
        <v>Æg</v>
      </c>
      <c r="B51" s="189" t="str">
        <f t="shared" ref="B51:B82" si="18">IF(B3&lt;&gt;"",B3,"")</f>
        <v/>
      </c>
      <c r="C51" s="189">
        <f>IF(COUNTIFS('Resultater - Danmark'!$D$3:$D$504,'Resultat-Produktion &amp; forbrug'!A51,'Resultater - Danmark'!$A$3:$A$504,"Til energi")+COUNTIFS('Resultater - Danmark'!$D$3:$D$504,'Resultat-Produktion &amp; forbrug'!A51,'Resultater - Danmark'!$A$3:$A$504,"Biogasanlæg")&gt;0,1,0)</f>
        <v>0</v>
      </c>
      <c r="D51" s="189">
        <f t="shared" ref="D51:D98" si="19">År2</f>
        <v>2030</v>
      </c>
      <c r="E51" s="187" t="s">
        <v>23</v>
      </c>
      <c r="F51" s="190">
        <f>IF(E51="Vestdanmark",SUMIFS(IF(D51=År1,'Resultater - Vestdanmark'!H$3:H$504,IF(D51=År2,'Resultater - Vestdanmark'!I$3:I$504,'Resultater - Vestdanmark'!J$3:J$504)),'Resultater - Vestdanmark'!$F$3:$F$504,$A51,IF(D51=År1,'Resultater - Vestdanmark'!H$3:H$504,IF(D51=År2,'Resultater - Vestdanmark'!I$3:I$504,'Resultater - Vestdanmark'!J$3:J$504)),"&gt;0"),SUMIFS(IF(D51=År1,'Resultater - Østdanmark'!H$3:H$504,IF(D51=År2,'Resultater - Østdanmark'!I$3:I$504,'Resultater - Østdanmark'!J$3:J$504)),'Resultater - Østdanmark'!$F$3:$F$504,$A51,IF(D51=År1,'Resultater - Østdanmark'!H$3:H$504,IF(D51=År2,'Resultater - Østdanmark'!I$3:I$504,'Resultater - Østdanmark'!J$3:J$504)),"&gt;0"))</f>
        <v>256550.33982346478</v>
      </c>
      <c r="G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forbrug'!G$2,'Forbrug af biomasse'!$B$2:$B$425,$E51)</f>
        <v>0</v>
      </c>
      <c r="H51" s="187">
        <f>IF(E51="Vestdanmark",-IF(A51="Halm",SUMIFS(IF(D51=År1,'Resultater - Vestdanmark'!H$3:H$504,IF(D51=År2,'Resultater - Vestdanmark'!I$3:I$504,'Resultater - Vestdanmark'!J$3:J$504)),'Resultater - Vestdanmark'!$F$3:$F$504,$A51,'Resultater - Vestdanmark'!H$3:H$504,"&lt;0"),0),-IF(A51="Halm",SUMIFS(IF(D51=År1,'Resultater - Østdanmark'!H$3:H$504,IF(D51=År2,'Resultater - Østdanmark'!I$3:I$504,'Resultater - Østdanmark'!J$3:J$504)),'Resultater - Østdanmark'!$F$3:$F$504,$A51,'Resultater - Østdanmark'!H$3:H$504,"&lt;0"),0))</f>
        <v>0</v>
      </c>
      <c r="I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forbrug'!I$2,'Forbrug af biomasse'!$B$2:$B$425,$E51)</f>
        <v>32579.784552999867</v>
      </c>
      <c r="J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forbrug'!J$2,'Forbrug af biomasse'!$B$2:$B$425,$E51)</f>
        <v>0</v>
      </c>
      <c r="K51" s="190">
        <f>SUMIFS('Forbrug af biomasse'!$E$2:$E$425,'Forbrug af biomasse'!$C$2:$C$425,'Resultat-Produktion &amp; forbrug'!$A51,'Forbrug af biomasse'!$D$2:$D$425,'Resultat-Produktion &amp; forbrug'!$D51,'Forbrug af biomasse'!$A$2:$A$425,'Resultat-Produktion &amp; forbrug'!K$2,'Forbrug af biomasse'!$B$2:$B$425,$E51)</f>
        <v>0</v>
      </c>
      <c r="L51" s="190">
        <f>IF(A51&lt;&gt;"Biogas",SUMIFS('Forbrug af biomasse'!$E$2:$E$425,'Forbrug af biomasse'!$C$2:$C$425,'Resultat-Produktion &amp; forbrug'!$A51,'Forbrug af biomasse'!$D$2:$D$425,'Resultat-Produktion &amp; forbrug'!$D51,'Forbrug af biomasse'!$A$2:$A$425,'Resultat-Produktion &amp; forbrug'!L$2,'Forbrug af biomasse'!$B$2:$B$425,$E51),F51)</f>
        <v>0</v>
      </c>
      <c r="M51" s="154">
        <f>SUMIFS('Forbrug af biomasse'!E:E,'Forbrug af biomasse'!C:C,'Resultat-Produktion &amp; forbrug'!$A51,'Forbrug af biomasse'!D:D,'Resultat-Produktion &amp; forbrug'!$D51,'Forbrug af biomasse'!G:G,1,'Forbrug af biomasse'!B:B,$E51)</f>
        <v>0</v>
      </c>
      <c r="N51" s="199">
        <f t="shared" si="9"/>
        <v>223970.55527046492</v>
      </c>
      <c r="O51" s="190">
        <f t="shared" si="1"/>
        <v>0</v>
      </c>
      <c r="P51" s="200">
        <f t="shared" si="10"/>
        <v>0</v>
      </c>
      <c r="Q51" s="187">
        <f>IFERROR(VLOOKUP(A51,[1]Energiindhold!$A$2:$C$11,3,FALSE),IFERROR(VLOOKUP(A51,[1]Biogasudbytte!$A$2:$B$18,2,FALSE)*[1]Energiindhold!$C$10,0))*O51</f>
        <v>0</v>
      </c>
      <c r="R51" s="187">
        <f>IF(A51&lt;&gt;"Biogas",IFERROR(VLOOKUP(A51,[1]Biogasudbytte!$A$2:$B$18,2,FALSE)*[1]Energiindhold!$C$10,0)*J51*IFERROR(VLOOKUP(A51,Biogasanlæg!$F$3:$G$8,2,FALSE),1)+IFERROR(VLOOKUP(A51,[1]Energiindhold!$A$2:$C$11,3,FALSE),0)*L51+IF(D51&lt;&gt;År1,Q51,0),0)</f>
        <v>0</v>
      </c>
      <c r="S51" s="187">
        <f>IFERROR(VLOOKUP(A51,[1]Biogasudbytte!$A$2:$B$18,2,FALSE)*[1]Energiindhold!$C$10,0)*J51*IFERROR(VLOOKUP(A51,Biogasanlæg!$F$3:$G$8,2,FALSE),1)</f>
        <v>0</v>
      </c>
      <c r="T51" s="188">
        <f t="shared" si="11"/>
        <v>0</v>
      </c>
      <c r="U51" s="186">
        <f>O51*IFERROR(VLOOKUP(A51,[1]Tørstofindhold!A$2:B$24,2,FALSE),0)</f>
        <v>0</v>
      </c>
      <c r="V51" s="187">
        <f>IF(D51=År1,P51,SUM(O51,P51))*IFERROR(VLOOKUP(A51,[1]Tørstofindhold!A$2:B$24,2,FALSE),0)</f>
        <v>0</v>
      </c>
      <c r="W51" s="187">
        <f>J51*IFERROR(VLOOKUP(A51,[1]Tørstofindhold!A$2:B$24,2,FALSE),0)</f>
        <v>0</v>
      </c>
      <c r="X51" s="188">
        <f t="shared" si="12"/>
        <v>0</v>
      </c>
      <c r="Y51" s="168">
        <f t="shared" si="2"/>
        <v>0</v>
      </c>
      <c r="Z51" s="103">
        <f t="shared" si="3"/>
        <v>1</v>
      </c>
    </row>
    <row r="52" spans="1:26" x14ac:dyDescent="0.25">
      <c r="A52" s="189" t="str">
        <f t="shared" si="17"/>
        <v>Bælgsæd</v>
      </c>
      <c r="B52" s="189" t="str">
        <f t="shared" si="18"/>
        <v/>
      </c>
      <c r="C52" s="189">
        <f>IF(COUNTIFS('Resultater - Danmark'!$D$3:$D$504,'Resultat-Produktion &amp; forbrug'!A52,'Resultater - Danmark'!$A$3:$A$504,"Til energi")+COUNTIFS('Resultater - Danmark'!$D$3:$D$504,'Resultat-Produktion &amp; forbrug'!A52,'Resultater - Danmark'!$A$3:$A$504,"Biogasanlæg")&gt;0,1,0)</f>
        <v>0</v>
      </c>
      <c r="D52" s="189">
        <f t="shared" si="19"/>
        <v>2030</v>
      </c>
      <c r="E52" s="187" t="s">
        <v>23</v>
      </c>
      <c r="F52" s="190">
        <f>IF(E52="Vestdanmark",SUMIFS(IF(D52=År1,'Resultater - Vestdanmark'!H$3:H$504,IF(D52=År2,'Resultater - Vestdanmark'!I$3:I$504,'Resultater - Vestdanmark'!J$3:J$504)),'Resultater - Vestdanmark'!$F$3:$F$504,$A52,IF(D52=År1,'Resultater - Vestdanmark'!H$3:H$504,IF(D52=År2,'Resultater - Vestdanmark'!I$3:I$504,'Resultater - Vestdanmark'!J$3:J$504)),"&gt;0"),SUMIFS(IF(D52=År1,'Resultater - Østdanmark'!H$3:H$504,IF(D52=År2,'Resultater - Østdanmark'!I$3:I$504,'Resultater - Østdanmark'!J$3:J$504)),'Resultater - Østdanmark'!$F$3:$F$504,$A52,IF(D52=År1,'Resultater - Østdanmark'!H$3:H$504,IF(D52=År2,'Resultater - Østdanmark'!I$3:I$504,'Resultater - Østdanmark'!J$3:J$504)),"&gt;0"))</f>
        <v>270595.78918068163</v>
      </c>
      <c r="G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forbrug'!G$2,'Forbrug af biomasse'!$B$2:$B$425,$E52)</f>
        <v>77398.170570230373</v>
      </c>
      <c r="H52" s="187">
        <f>IF(E52="Vestdanmark",-IF(A52="Halm",SUMIFS(IF(D52=År1,'Resultater - Vestdanmark'!H$3:H$504,IF(D52=År2,'Resultater - Vestdanmark'!I$3:I$504,'Resultater - Vestdanmark'!J$3:J$504)),'Resultater - Vestdanmark'!$F$3:$F$504,$A52,'Resultater - Vestdanmark'!H$3:H$504,"&lt;0"),0),-IF(A52="Halm",SUMIFS(IF(D52=År1,'Resultater - Østdanmark'!H$3:H$504,IF(D52=År2,'Resultater - Østdanmark'!I$3:I$504,'Resultater - Østdanmark'!J$3:J$504)),'Resultater - Østdanmark'!$F$3:$F$504,$A52,'Resultater - Østdanmark'!H$3:H$504,"&lt;0"),0))</f>
        <v>0</v>
      </c>
      <c r="I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forbrug'!I$2,'Forbrug af biomasse'!$B$2:$B$425,$E52)</f>
        <v>0</v>
      </c>
      <c r="J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forbrug'!J$2,'Forbrug af biomasse'!$B$2:$B$425,$E52)</f>
        <v>0</v>
      </c>
      <c r="K52" s="190">
        <f>SUMIFS('Forbrug af biomasse'!$E$2:$E$425,'Forbrug af biomasse'!$C$2:$C$425,'Resultat-Produktion &amp; forbrug'!$A52,'Forbrug af biomasse'!$D$2:$D$425,'Resultat-Produktion &amp; forbrug'!$D52,'Forbrug af biomasse'!$A$2:$A$425,'Resultat-Produktion &amp; forbrug'!K$2,'Forbrug af biomasse'!$B$2:$B$425,$E52)</f>
        <v>0</v>
      </c>
      <c r="L52" s="190">
        <f>IF(A52&lt;&gt;"Biogas",SUMIFS('Forbrug af biomasse'!$E$2:$E$425,'Forbrug af biomasse'!$C$2:$C$425,'Resultat-Produktion &amp; forbrug'!$A52,'Forbrug af biomasse'!$D$2:$D$425,'Resultat-Produktion &amp; forbrug'!$D52,'Forbrug af biomasse'!$A$2:$A$425,'Resultat-Produktion &amp; forbrug'!L$2,'Forbrug af biomasse'!$B$2:$B$425,$E52),F52)</f>
        <v>0</v>
      </c>
      <c r="M52" s="154">
        <f>SUMIFS('Forbrug af biomasse'!E:E,'Forbrug af biomasse'!C:C,'Resultat-Produktion &amp; forbrug'!$A52,'Forbrug af biomasse'!D:D,'Resultat-Produktion &amp; forbrug'!$D52,'Forbrug af biomasse'!G:G,1,'Forbrug af biomasse'!B:B,$E52)</f>
        <v>0</v>
      </c>
      <c r="N52" s="199">
        <f t="shared" si="9"/>
        <v>193197.61861045126</v>
      </c>
      <c r="O52" s="190">
        <f t="shared" si="1"/>
        <v>0</v>
      </c>
      <c r="P52" s="200">
        <f t="shared" si="10"/>
        <v>0</v>
      </c>
      <c r="Q52" s="187">
        <f>IFERROR(VLOOKUP(A52,[1]Energiindhold!$A$2:$C$11,3,FALSE),IFERROR(VLOOKUP(A52,[1]Biogasudbytte!$A$2:$B$18,2,FALSE)*[1]Energiindhold!$C$10,0))*O52</f>
        <v>0</v>
      </c>
      <c r="R52" s="187">
        <f>IF(A52&lt;&gt;"Biogas",IFERROR(VLOOKUP(A52,[1]Biogasudbytte!$A$2:$B$18,2,FALSE)*[1]Energiindhold!$C$10,0)*J52*IFERROR(VLOOKUP(A52,Biogasanlæg!$F$3:$G$8,2,FALSE),1)+IFERROR(VLOOKUP(A52,[1]Energiindhold!$A$2:$C$11,3,FALSE),0)*L52+IF(D52&lt;&gt;År1,Q52,0),0)</f>
        <v>0</v>
      </c>
      <c r="S52" s="187">
        <f>IFERROR(VLOOKUP(A52,[1]Biogasudbytte!$A$2:$B$18,2,FALSE)*[1]Energiindhold!$C$10,0)*J52*IFERROR(VLOOKUP(A52,Biogasanlæg!$F$3:$G$8,2,FALSE),1)</f>
        <v>0</v>
      </c>
      <c r="T52" s="188">
        <f t="shared" si="11"/>
        <v>0</v>
      </c>
      <c r="U52" s="186">
        <f>O52*IFERROR(VLOOKUP(A52,[1]Tørstofindhold!A$2:B$24,2,FALSE),0)</f>
        <v>0</v>
      </c>
      <c r="V52" s="187">
        <f>IF(D52=År1,P52,SUM(O52,P52))*IFERROR(VLOOKUP(A52,[1]Tørstofindhold!A$2:B$24,2,FALSE),0)</f>
        <v>0</v>
      </c>
      <c r="W52" s="187">
        <f>J52*IFERROR(VLOOKUP(A52,[1]Tørstofindhold!A$2:B$24,2,FALSE),0)</f>
        <v>0</v>
      </c>
      <c r="X52" s="188">
        <f t="shared" si="12"/>
        <v>0</v>
      </c>
      <c r="Y52" s="168">
        <f t="shared" si="2"/>
        <v>0</v>
      </c>
      <c r="Z52" s="103">
        <f t="shared" si="3"/>
        <v>1</v>
      </c>
    </row>
    <row r="53" spans="1:26" x14ac:dyDescent="0.25">
      <c r="A53" s="189" t="str">
        <f t="shared" si="17"/>
        <v>Bioaffald</v>
      </c>
      <c r="B53" s="189" t="str">
        <f t="shared" si="18"/>
        <v>Bionedbrydeligt affald</v>
      </c>
      <c r="C53" s="189">
        <f>IF(COUNTIFS('Resultater - Danmark'!$D$3:$D$504,'Resultat-Produktion &amp; forbrug'!A53,'Resultater - Danmark'!$A$3:$A$504,"Til energi")+COUNTIFS('Resultater - Danmark'!$D$3:$D$504,'Resultat-Produktion &amp; forbrug'!A53,'Resultater - Danmark'!$A$3:$A$504,"Biogasanlæg")&gt;0,1,0)</f>
        <v>1</v>
      </c>
      <c r="D53" s="189">
        <f t="shared" si="19"/>
        <v>2030</v>
      </c>
      <c r="E53" s="187" t="s">
        <v>23</v>
      </c>
      <c r="F53" s="190">
        <f ca="1">IF(E53="Vestdanmark",SUMIFS(IF(D53=År1,'Resultater - Vestdanmark'!H$3:H$504,IF(D53=År2,'Resultater - Vestdanmark'!I$3:I$504,'Resultater - Vestdanmark'!J$3:J$504)),'Resultater - Vestdanmark'!$F$3:$F$504,$A53,IF(D53=År1,'Resultater - Vestdanmark'!H$3:H$504,IF(D53=År2,'Resultater - Vestdanmark'!I$3:I$504,'Resultater - Vestdanmark'!J$3:J$504)),"&gt;0"),SUMIFS(IF(D53=År1,'Resultater - Østdanmark'!H$3:H$504,IF(D53=År2,'Resultater - Østdanmark'!I$3:I$504,'Resultater - Østdanmark'!J$3:J$504)),'Resultater - Østdanmark'!$F$3:$F$504,$A53,IF(D53=År1,'Resultater - Østdanmark'!H$3:H$504,IF(D53=År2,'Resultater - Østdanmark'!I$3:I$504,'Resultater - Østdanmark'!J$3:J$504)),"&gt;0"))</f>
        <v>195082.22598438186</v>
      </c>
      <c r="G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forbrug'!G$2,'Forbrug af biomasse'!$B$2:$B$425,$E53)</f>
        <v>0</v>
      </c>
      <c r="H53" s="187">
        <f>IF(E53="Vestdanmark",-IF(A53="Halm",SUMIFS(IF(D53=År1,'Resultater - Vestdanmark'!H$3:H$504,IF(D53=År2,'Resultater - Vestdanmark'!I$3:I$504,'Resultater - Vestdanmark'!J$3:J$504)),'Resultater - Vestdanmark'!$F$3:$F$504,$A53,'Resultater - Vestdanmark'!H$3:H$504,"&lt;0"),0),-IF(A53="Halm",SUMIFS(IF(D53=År1,'Resultater - Østdanmark'!H$3:H$504,IF(D53=År2,'Resultater - Østdanmark'!I$3:I$504,'Resultater - Østdanmark'!J$3:J$504)),'Resultater - Østdanmark'!$F$3:$F$504,$A53,'Resultater - Østdanmark'!H$3:H$504,"&lt;0"),0))</f>
        <v>0</v>
      </c>
      <c r="I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forbrug'!I$2,'Forbrug af biomasse'!$B$2:$B$425,$E53)</f>
        <v>0</v>
      </c>
      <c r="J53" s="190">
        <f ca="1">SUMIFS('Forbrug af biomasse'!$E$2:$E$425,'Forbrug af biomasse'!$C$2:$C$425,'Resultat-Produktion &amp; forbrug'!$A53,'Forbrug af biomasse'!$D$2:$D$425,'Resultat-Produktion &amp; forbrug'!$D53,'Forbrug af biomasse'!$A$2:$A$425,'Resultat-Produktion &amp; forbrug'!J$2,'Forbrug af biomasse'!$B$2:$B$425,$E53)</f>
        <v>195082.24112879002</v>
      </c>
      <c r="K53" s="190">
        <f>SUMIFS('Forbrug af biomasse'!$E$2:$E$425,'Forbrug af biomasse'!$C$2:$C$425,'Resultat-Produktion &amp; forbrug'!$A53,'Forbrug af biomasse'!$D$2:$D$425,'Resultat-Produktion &amp; forbrug'!$D53,'Forbrug af biomasse'!$A$2:$A$425,'Resultat-Produktion &amp; forbrug'!K$2,'Forbrug af biomasse'!$B$2:$B$425,$E53)</f>
        <v>0</v>
      </c>
      <c r="L53" s="190">
        <f ca="1">IF(A53&lt;&gt;"Biogas",SUMIFS('Forbrug af biomasse'!$E$2:$E$425,'Forbrug af biomasse'!$C$2:$C$425,'Resultat-Produktion &amp; forbrug'!$A53,'Forbrug af biomasse'!$D$2:$D$425,'Resultat-Produktion &amp; forbrug'!$D53,'Forbrug af biomasse'!$A$2:$A$425,'Resultat-Produktion &amp; forbrug'!L$2,'Forbrug af biomasse'!$B$2:$B$425,$E53),F53)</f>
        <v>0</v>
      </c>
      <c r="M53" s="154">
        <f ca="1">SUMIFS('Forbrug af biomasse'!E:E,'Forbrug af biomasse'!C:C,'Resultat-Produktion &amp; forbrug'!$A53,'Forbrug af biomasse'!D:D,'Resultat-Produktion &amp; forbrug'!$D53,'Forbrug af biomasse'!G:G,1,'Forbrug af biomasse'!B:B,$E53)</f>
        <v>0</v>
      </c>
      <c r="N53" s="199">
        <f t="shared" ca="1" si="9"/>
        <v>-1.5144408156629652E-2</v>
      </c>
      <c r="O53" s="190">
        <f t="shared" ca="1" si="1"/>
        <v>0</v>
      </c>
      <c r="P53" s="200">
        <f t="shared" ca="1" si="10"/>
        <v>195082.24112879002</v>
      </c>
      <c r="Q53" s="187">
        <f ca="1">IFERROR(VLOOKUP(A53,[1]Energiindhold!$A$2:$C$11,3,FALSE),IFERROR(VLOOKUP(A53,[1]Biogasudbytte!$A$2:$B$18,2,FALSE)*[1]Energiindhold!$C$10,0))*O53</f>
        <v>0</v>
      </c>
      <c r="R53" s="187">
        <f ca="1">IF(A53&lt;&gt;"Biogas",IFERROR(VLOOKUP(A53,[1]Biogasudbytte!$A$2:$B$18,2,FALSE)*[1]Energiindhold!$C$10,0)*J53*IFERROR(VLOOKUP(A53,Biogasanlæg!$F$3:$G$8,2,FALSE),1)+IFERROR(VLOOKUP(A53,[1]Energiindhold!$A$2:$C$11,3,FALSE),0)*L53+IF(D53&lt;&gt;År1,Q53,0),0)</f>
        <v>0.6646276381240861</v>
      </c>
      <c r="S53" s="187">
        <f ca="1">IFERROR(VLOOKUP(A53,[1]Biogasudbytte!$A$2:$B$18,2,FALSE)*[1]Energiindhold!$C$10,0)*J53*IFERROR(VLOOKUP(A53,Biogasanlæg!$F$3:$G$8,2,FALSE),1)</f>
        <v>0.6646276381240861</v>
      </c>
      <c r="T53" s="188">
        <f t="shared" ca="1" si="11"/>
        <v>0</v>
      </c>
      <c r="U53" s="186">
        <f ca="1">O53*IFERROR(VLOOKUP(A53,[1]Tørstofindhold!A$2:B$24,2,FALSE),0)</f>
        <v>0</v>
      </c>
      <c r="V53" s="187">
        <f ca="1">IF(D53=År1,P53,SUM(O53,P53))*IFERROR(VLOOKUP(A53,[1]Tørstofindhold!A$2:B$24,2,FALSE),0)</f>
        <v>54623.027516061207</v>
      </c>
      <c r="W53" s="187">
        <f ca="1">J53*IFERROR(VLOOKUP(A53,[1]Tørstofindhold!A$2:B$24,2,FALSE),0)</f>
        <v>54623.027516061207</v>
      </c>
      <c r="X53" s="188">
        <f t="shared" ca="1" si="12"/>
        <v>0</v>
      </c>
      <c r="Y53" s="168">
        <f t="shared" ca="1" si="2"/>
        <v>1</v>
      </c>
      <c r="Z53" s="103">
        <f t="shared" ca="1" si="3"/>
        <v>0</v>
      </c>
    </row>
    <row r="54" spans="1:26" x14ac:dyDescent="0.25">
      <c r="A54" s="189" t="str">
        <f t="shared" si="17"/>
        <v>Biogas</v>
      </c>
      <c r="B54" s="189" t="str">
        <f t="shared" si="18"/>
        <v/>
      </c>
      <c r="C54" s="189">
        <f>IF(COUNTIFS('Resultater - Danmark'!$D$3:$D$504,'Resultat-Produktion &amp; forbrug'!A54,'Resultater - Danmark'!$A$3:$A$504,"Til energi")+COUNTIFS('Resultater - Danmark'!$D$3:$D$504,'Resultat-Produktion &amp; forbrug'!A54,'Resultater - Danmark'!$A$3:$A$504,"Biogasanlæg")&gt;0,1,0)</f>
        <v>1</v>
      </c>
      <c r="D54" s="189">
        <f t="shared" si="19"/>
        <v>2030</v>
      </c>
      <c r="E54" s="187" t="s">
        <v>23</v>
      </c>
      <c r="F54" s="190">
        <f ca="1">IF(E54="Vestdanmark",SUMIFS(IF(D54=År1,'Resultater - Vestdanmark'!H$3:H$504,IF(D54=År2,'Resultater - Vestdanmark'!I$3:I$504,'Resultater - Vestdanmark'!J$3:J$504)),'Resultater - Vestdanmark'!$F$3:$F$504,$A54,IF(D54=År1,'Resultater - Vestdanmark'!H$3:H$504,IF(D54=År2,'Resultater - Vestdanmark'!I$3:I$504,'Resultater - Vestdanmark'!J$3:J$504)),"&gt;0"),SUMIFS(IF(D54=År1,'Resultater - Østdanmark'!H$3:H$504,IF(D54=År2,'Resultater - Østdanmark'!I$3:I$504,'Resultater - Østdanmark'!J$3:J$504)),'Resultater - Østdanmark'!$F$3:$F$504,$A54,IF(D54=År1,'Resultater - Østdanmark'!H$3:H$504,IF(D54=År2,'Resultater - Østdanmark'!I$3:I$504,'Resultater - Østdanmark'!J$3:J$504)),"&gt;0"))</f>
        <v>564688044.70115554</v>
      </c>
      <c r="G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forbrug'!G$2,'Forbrug af biomasse'!$B$2:$B$425,$E54)</f>
        <v>0</v>
      </c>
      <c r="H54" s="187">
        <f>IF(E54="Vestdanmark",-IF(A54="Halm",SUMIFS(IF(D54=År1,'Resultater - Vestdanmark'!H$3:H$504,IF(D54=År2,'Resultater - Vestdanmark'!I$3:I$504,'Resultater - Vestdanmark'!J$3:J$504)),'Resultater - Vestdanmark'!$F$3:$F$504,$A54,'Resultater - Vestdanmark'!H$3:H$504,"&lt;0"),0),-IF(A54="Halm",SUMIFS(IF(D54=År1,'Resultater - Østdanmark'!H$3:H$504,IF(D54=År2,'Resultater - Østdanmark'!I$3:I$504,'Resultater - Østdanmark'!J$3:J$504)),'Resultater - Østdanmark'!$F$3:$F$504,$A54,'Resultater - Østdanmark'!H$3:H$504,"&lt;0"),0))</f>
        <v>0</v>
      </c>
      <c r="I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forbrug'!I$2,'Forbrug af biomasse'!$B$2:$B$425,$E54)</f>
        <v>0</v>
      </c>
      <c r="J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forbrug'!J$2,'Forbrug af biomasse'!$B$2:$B$425,$E54)</f>
        <v>0</v>
      </c>
      <c r="K54" s="190">
        <f>SUMIFS('Forbrug af biomasse'!$E$2:$E$425,'Forbrug af biomasse'!$C$2:$C$425,'Resultat-Produktion &amp; forbrug'!$A54,'Forbrug af biomasse'!$D$2:$D$425,'Resultat-Produktion &amp; forbrug'!$D54,'Forbrug af biomasse'!$A$2:$A$425,'Resultat-Produktion &amp; forbrug'!K$2,'Forbrug af biomasse'!$B$2:$B$425,$E54)</f>
        <v>0</v>
      </c>
      <c r="L54" s="190">
        <f ca="1">IF(A54&lt;&gt;"Biogas",SUMIFS('Forbrug af biomasse'!$E$2:$E$425,'Forbrug af biomasse'!$C$2:$C$425,'Resultat-Produktion &amp; forbrug'!$A54,'Forbrug af biomasse'!$D$2:$D$425,'Resultat-Produktion &amp; forbrug'!$D54,'Forbrug af biomasse'!$A$2:$A$425,'Resultat-Produktion &amp; forbrug'!L$2,'Forbrug af biomasse'!$B$2:$B$425,$E54),F54)</f>
        <v>564688044.70115554</v>
      </c>
      <c r="M54" s="154">
        <f>SUMIFS('Forbrug af biomasse'!E:E,'Forbrug af biomasse'!C:C,'Resultat-Produktion &amp; forbrug'!$A54,'Forbrug af biomasse'!D:D,'Resultat-Produktion &amp; forbrug'!$D54,'Forbrug af biomasse'!G:G,1,'Forbrug af biomasse'!B:B,$E54)</f>
        <v>0</v>
      </c>
      <c r="N54" s="199">
        <f t="shared" ca="1" si="9"/>
        <v>0</v>
      </c>
      <c r="O54" s="190">
        <f t="shared" ca="1" si="1"/>
        <v>0</v>
      </c>
      <c r="P54" s="200">
        <f t="shared" ca="1" si="10"/>
        <v>564688044.70115554</v>
      </c>
      <c r="Q54" s="187">
        <f ca="1">IFERROR(VLOOKUP(A54,[1]Energiindhold!$A$2:$C$11,3,FALSE),IFERROR(VLOOKUP(A54,[1]Biogasudbytte!$A$2:$B$18,2,FALSE)*[1]Energiindhold!$C$10,0))*O54</f>
        <v>0</v>
      </c>
      <c r="R54" s="187">
        <f>IF(A54&lt;&gt;"Biogas",IFERROR(VLOOKUP(A54,[1]Biogasudbytte!$A$2:$B$18,2,FALSE)*[1]Energiindhold!$C$10,0)*J54*IFERROR(VLOOKUP(A54,Biogasanlæg!$F$3:$G$8,2,FALSE),1)+IFERROR(VLOOKUP(A54,[1]Energiindhold!$A$2:$C$11,3,FALSE),0)*L54+IF(D54&lt;&gt;År1,Q54,0),0)</f>
        <v>0</v>
      </c>
      <c r="S54" s="187">
        <f>IFERROR(VLOOKUP(A54,[1]Biogasudbytte!$A$2:$B$18,2,FALSE)*[1]Energiindhold!$C$10,0)*J54*IFERROR(VLOOKUP(A54,Biogasanlæg!$F$3:$G$8,2,FALSE),1)</f>
        <v>0</v>
      </c>
      <c r="T54" s="188">
        <f t="shared" si="11"/>
        <v>0</v>
      </c>
      <c r="U54" s="186">
        <f ca="1">O54*IFERROR(VLOOKUP(A54,[1]Tørstofindhold!A$2:B$24,2,FALSE),0)</f>
        <v>0</v>
      </c>
      <c r="V54" s="187">
        <f ca="1">IF(D54=År1,P54,SUM(O54,P54))*IFERROR(VLOOKUP(A54,[1]Tørstofindhold!A$2:B$24,2,FALSE),0)</f>
        <v>0</v>
      </c>
      <c r="W54" s="187">
        <f>J54*IFERROR(VLOOKUP(A54,[1]Tørstofindhold!A$2:B$24,2,FALSE),0)</f>
        <v>0</v>
      </c>
      <c r="X54" s="188">
        <f t="shared" ca="1" si="12"/>
        <v>0</v>
      </c>
      <c r="Y54" s="168">
        <f t="shared" ca="1" si="2"/>
        <v>0</v>
      </c>
      <c r="Z54" s="103">
        <f t="shared" ca="1" si="3"/>
        <v>0</v>
      </c>
    </row>
    <row r="55" spans="1:26" x14ac:dyDescent="0.25">
      <c r="A55" s="189" t="str">
        <f t="shared" si="17"/>
        <v>Biogasgylle</v>
      </c>
      <c r="B55" s="189" t="str">
        <f t="shared" si="18"/>
        <v/>
      </c>
      <c r="C55" s="189">
        <f>IF(COUNTIFS('Resultater - Danmark'!$D$3:$D$504,'Resultat-Produktion &amp; forbrug'!A55,'Resultater - Danmark'!$A$3:$A$504,"Til energi")+COUNTIFS('Resultater - Danmark'!$D$3:$D$504,'Resultat-Produktion &amp; forbrug'!A55,'Resultater - Danmark'!$A$3:$A$504,"Biogasanlæg")&gt;0,1,0)</f>
        <v>0</v>
      </c>
      <c r="D55" s="189">
        <f t="shared" si="19"/>
        <v>2030</v>
      </c>
      <c r="E55" s="187" t="s">
        <v>23</v>
      </c>
      <c r="F55" s="190">
        <f ca="1">IF(E55="Vestdanmark",SUMIFS(IF(D55=År1,'Resultater - Vestdanmark'!H$3:H$504,IF(D55=År2,'Resultater - Vestdanmark'!I$3:I$504,'Resultater - Vestdanmark'!J$3:J$504)),'Resultater - Vestdanmark'!$F$3:$F$504,$A55,IF(D55=År1,'Resultater - Vestdanmark'!H$3:H$504,IF(D55=År2,'Resultater - Vestdanmark'!I$3:I$504,'Resultater - Vestdanmark'!J$3:J$504)),"&gt;0"),SUMIFS(IF(D55=År1,'Resultater - Østdanmark'!H$3:H$504,IF(D55=År2,'Resultater - Østdanmark'!I$3:I$504,'Resultater - Østdanmark'!J$3:J$504)),'Resultater - Østdanmark'!$F$3:$F$504,$A55,IF(D55=År1,'Resultater - Østdanmark'!H$3:H$504,IF(D55=År2,'Resultater - Østdanmark'!I$3:I$504,'Resultater - Østdanmark'!J$3:J$504)),"&gt;0"))</f>
        <v>23750174.923061628</v>
      </c>
      <c r="G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forbrug'!G$2,'Forbrug af biomasse'!$B$2:$B$425,$E55)</f>
        <v>0</v>
      </c>
      <c r="H55" s="187">
        <f>IF(E55="Vestdanmark",-IF(A55="Halm",SUMIFS(IF(D55=År1,'Resultater - Vestdanmark'!H$3:H$504,IF(D55=År2,'Resultater - Vestdanmark'!I$3:I$504,'Resultater - Vestdanmark'!J$3:J$504)),'Resultater - Vestdanmark'!$F$3:$F$504,$A55,'Resultater - Vestdanmark'!H$3:H$504,"&lt;0"),0),-IF(A55="Halm",SUMIFS(IF(D55=År1,'Resultater - Østdanmark'!H$3:H$504,IF(D55=År2,'Resultater - Østdanmark'!I$3:I$504,'Resultater - Østdanmark'!J$3:J$504)),'Resultater - Østdanmark'!$F$3:$F$504,$A55,'Resultater - Østdanmark'!H$3:H$504,"&lt;0"),0))</f>
        <v>0</v>
      </c>
      <c r="I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forbrug'!I$2,'Forbrug af biomasse'!$B$2:$B$425,$E55)</f>
        <v>0</v>
      </c>
      <c r="J55" s="190">
        <f>SUMIFS('Forbrug af biomasse'!$E$2:$E$425,'Forbrug af biomasse'!$C$2:$C$425,'Resultat-Produktion &amp; forbrug'!$A55,'Forbrug af biomasse'!$D$2:$D$425,'Resultat-Produktion &amp; forbrug'!$D55,'Forbrug af biomasse'!$A$2:$A$425,'Resultat-Produktion &amp; forbrug'!J$2,'Forbrug af biomasse'!$B$2:$B$425,$E55)</f>
        <v>0</v>
      </c>
      <c r="K55" s="190">
        <f ca="1">SUMIFS('Forbrug af biomasse'!$E$2:$E$425,'Forbrug af biomasse'!$C$2:$C$425,'Resultat-Produktion &amp; forbrug'!$A55,'Forbrug af biomasse'!$D$2:$D$425,'Resultat-Produktion &amp; forbrug'!$D55,'Forbrug af biomasse'!$A$2:$A$425,'Resultat-Produktion &amp; forbrug'!K$2,'Forbrug af biomasse'!$B$2:$B$425,$E55)</f>
        <v>21249247.461072169</v>
      </c>
      <c r="L55" s="190">
        <f>IF(A55&lt;&gt;"Biogas",SUMIFS('Forbrug af biomasse'!$E$2:$E$425,'Forbrug af biomasse'!$C$2:$C$425,'Resultat-Produktion &amp; forbrug'!$A55,'Forbrug af biomasse'!$D$2:$D$425,'Resultat-Produktion &amp; forbrug'!$D55,'Forbrug af biomasse'!$A$2:$A$425,'Resultat-Produktion &amp; forbrug'!L$2,'Forbrug af biomasse'!$B$2:$B$425,$E55),F55)</f>
        <v>0</v>
      </c>
      <c r="M55" s="154">
        <f>SUMIFS('Forbrug af biomasse'!E:E,'Forbrug af biomasse'!C:C,'Resultat-Produktion &amp; forbrug'!$A55,'Forbrug af biomasse'!D:D,'Resultat-Produktion &amp; forbrug'!$D55,'Forbrug af biomasse'!G:G,1,'Forbrug af biomasse'!B:B,$E55)</f>
        <v>0</v>
      </c>
      <c r="N55" s="199">
        <f t="shared" ca="1" si="9"/>
        <v>2500927.4619894587</v>
      </c>
      <c r="O55" s="190">
        <f t="shared" si="1"/>
        <v>0</v>
      </c>
      <c r="P55" s="200">
        <f t="shared" si="10"/>
        <v>0</v>
      </c>
      <c r="Q55" s="187">
        <f>IFERROR(VLOOKUP(A55,[1]Energiindhold!$A$2:$C$11,3,FALSE),IFERROR(VLOOKUP(A55,[1]Biogasudbytte!$A$2:$B$18,2,FALSE)*[1]Energiindhold!$C$10,0))*O55</f>
        <v>0</v>
      </c>
      <c r="R55" s="187">
        <f>IF(A55&lt;&gt;"Biogas",IFERROR(VLOOKUP(A55,[1]Biogasudbytte!$A$2:$B$18,2,FALSE)*[1]Energiindhold!$C$10,0)*J55*IFERROR(VLOOKUP(A55,Biogasanlæg!$F$3:$G$8,2,FALSE),1)+IFERROR(VLOOKUP(A55,[1]Energiindhold!$A$2:$C$11,3,FALSE),0)*L55+IF(D55&lt;&gt;År1,Q55,0),0)</f>
        <v>0</v>
      </c>
      <c r="S55" s="187">
        <f>IFERROR(VLOOKUP(A55,[1]Biogasudbytte!$A$2:$B$18,2,FALSE)*[1]Energiindhold!$C$10,0)*J55*IFERROR(VLOOKUP(A55,Biogasanlæg!$F$3:$G$8,2,FALSE),1)</f>
        <v>0</v>
      </c>
      <c r="T55" s="188">
        <f t="shared" si="11"/>
        <v>0</v>
      </c>
      <c r="U55" s="186">
        <f>O55*IFERROR(VLOOKUP(A55,[1]Tørstofindhold!A$2:B$24,2,FALSE),0)</f>
        <v>0</v>
      </c>
      <c r="V55" s="187">
        <f>IF(D55=År1,P55,SUM(O55,P55))*IFERROR(VLOOKUP(A55,[1]Tørstofindhold!A$2:B$24,2,FALSE),0)</f>
        <v>0</v>
      </c>
      <c r="W55" s="187">
        <f>J55*IFERROR(VLOOKUP(A55,[1]Tørstofindhold!A$2:B$24,2,FALSE),0)</f>
        <v>0</v>
      </c>
      <c r="X55" s="188">
        <f t="shared" si="12"/>
        <v>0</v>
      </c>
      <c r="Y55" s="168">
        <f t="shared" ca="1" si="2"/>
        <v>0</v>
      </c>
      <c r="Z55" s="103">
        <f t="shared" ca="1" si="3"/>
        <v>1</v>
      </c>
    </row>
    <row r="56" spans="1:26" x14ac:dyDescent="0.25">
      <c r="A56" s="189" t="str">
        <f t="shared" si="17"/>
        <v>Brun saft</v>
      </c>
      <c r="B56" s="189" t="str">
        <f t="shared" si="18"/>
        <v>Bionedbrydeligt affald</v>
      </c>
      <c r="C56" s="189">
        <f>IF(COUNTIFS('Resultater - Danmark'!$D$3:$D$504,'Resultat-Produktion &amp; forbrug'!A56,'Resultater - Danmark'!$A$3:$A$504,"Til energi")+COUNTIFS('Resultater - Danmark'!$D$3:$D$504,'Resultat-Produktion &amp; forbrug'!A56,'Resultater - Danmark'!$A$3:$A$504,"Biogasanlæg")&gt;0,1,0)</f>
        <v>1</v>
      </c>
      <c r="D56" s="189">
        <f t="shared" si="19"/>
        <v>2030</v>
      </c>
      <c r="E56" s="187" t="s">
        <v>23</v>
      </c>
      <c r="F56" s="190">
        <f>IF(E56="Vestdanmark",SUMIFS(IF(D56=År1,'Resultater - Vestdanmark'!H$3:H$504,IF(D56=År2,'Resultater - Vestdanmark'!I$3:I$504,'Resultater - Vestdanmark'!J$3:J$504)),'Resultater - Vestdanmark'!$F$3:$F$504,$A56,IF(D56=År1,'Resultater - Vestdanmark'!H$3:H$504,IF(D56=År2,'Resultater - Vestdanmark'!I$3:I$504,'Resultater - Vestdanmark'!J$3:J$504)),"&gt;0"),SUMIFS(IF(D56=År1,'Resultater - Østdanmark'!H$3:H$504,IF(D56=År2,'Resultater - Østdanmark'!I$3:I$504,'Resultater - Østdanmark'!J$3:J$504)),'Resultater - Østdanmark'!$F$3:$F$504,$A56,IF(D56=År1,'Resultater - Østdanmark'!H$3:H$504,IF(D56=År2,'Resultater - Østdanmark'!I$3:I$504,'Resultater - Østdanmark'!J$3:J$504)),"&gt;0"))</f>
        <v>0</v>
      </c>
      <c r="G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forbrug'!G$2,'Forbrug af biomasse'!$B$2:$B$425,$E56)</f>
        <v>0</v>
      </c>
      <c r="H56" s="187">
        <f>IF(E56="Vestdanmark",-IF(A56="Halm",SUMIFS(IF(D56=År1,'Resultater - Vestdanmark'!H$3:H$504,IF(D56=År2,'Resultater - Vestdanmark'!I$3:I$504,'Resultater - Vestdanmark'!J$3:J$504)),'Resultater - Vestdanmark'!$F$3:$F$504,$A56,'Resultater - Vestdanmark'!H$3:H$504,"&lt;0"),0),-IF(A56="Halm",SUMIFS(IF(D56=År1,'Resultater - Østdanmark'!H$3:H$504,IF(D56=År2,'Resultater - Østdanmark'!I$3:I$504,'Resultater - Østdanmark'!J$3:J$504)),'Resultater - Østdanmark'!$F$3:$F$504,$A56,'Resultater - Østdanmark'!H$3:H$504,"&lt;0"),0))</f>
        <v>0</v>
      </c>
      <c r="I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forbrug'!I$2,'Forbrug af biomasse'!$B$2:$B$425,$E56)</f>
        <v>0</v>
      </c>
      <c r="J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forbrug'!J$2,'Forbrug af biomasse'!$B$2:$B$425,$E56)</f>
        <v>0</v>
      </c>
      <c r="K56" s="190">
        <f>SUMIFS('Forbrug af biomasse'!$E$2:$E$425,'Forbrug af biomasse'!$C$2:$C$425,'Resultat-Produktion &amp; forbrug'!$A56,'Forbrug af biomasse'!$D$2:$D$425,'Resultat-Produktion &amp; forbrug'!$D56,'Forbrug af biomasse'!$A$2:$A$425,'Resultat-Produktion &amp; forbrug'!K$2,'Forbrug af biomasse'!$B$2:$B$425,$E56)</f>
        <v>0</v>
      </c>
      <c r="L56" s="190">
        <f>IF(A56&lt;&gt;"Biogas",SUMIFS('Forbrug af biomasse'!$E$2:$E$425,'Forbrug af biomasse'!$C$2:$C$425,'Resultat-Produktion &amp; forbrug'!$A56,'Forbrug af biomasse'!$D$2:$D$425,'Resultat-Produktion &amp; forbrug'!$D56,'Forbrug af biomasse'!$A$2:$A$425,'Resultat-Produktion &amp; forbrug'!L$2,'Forbrug af biomasse'!$B$2:$B$425,$E56),F56)</f>
        <v>0</v>
      </c>
      <c r="M56" s="154">
        <f>SUMIFS('Forbrug af biomasse'!E:E,'Forbrug af biomasse'!C:C,'Resultat-Produktion &amp; forbrug'!$A56,'Forbrug af biomasse'!D:D,'Resultat-Produktion &amp; forbrug'!$D56,'Forbrug af biomasse'!G:G,1,'Forbrug af biomasse'!B:B,$E56)</f>
        <v>0</v>
      </c>
      <c r="N56" s="199">
        <f t="shared" si="9"/>
        <v>0</v>
      </c>
      <c r="O56" s="190">
        <f t="shared" si="1"/>
        <v>0</v>
      </c>
      <c r="P56" s="200">
        <f t="shared" si="10"/>
        <v>0</v>
      </c>
      <c r="Q56" s="187">
        <f>IFERROR(VLOOKUP(A56,[1]Energiindhold!$A$2:$C$11,3,FALSE),IFERROR(VLOOKUP(A56,[1]Biogasudbytte!$A$2:$B$18,2,FALSE)*[1]Energiindhold!$C$10,0))*O56</f>
        <v>0</v>
      </c>
      <c r="R56" s="187">
        <f>IF(A56&lt;&gt;"Biogas",IFERROR(VLOOKUP(A56,[1]Biogasudbytte!$A$2:$B$18,2,FALSE)*[1]Energiindhold!$C$10,0)*J56*IFERROR(VLOOKUP(A56,Biogasanlæg!$F$3:$G$8,2,FALSE),1)+IFERROR(VLOOKUP(A56,[1]Energiindhold!$A$2:$C$11,3,FALSE),0)*L56+IF(D56&lt;&gt;År1,Q56,0),0)</f>
        <v>0</v>
      </c>
      <c r="S56" s="187">
        <f>IFERROR(VLOOKUP(A56,[1]Biogasudbytte!$A$2:$B$18,2,FALSE)*[1]Energiindhold!$C$10,0)*J56*IFERROR(VLOOKUP(A56,Biogasanlæg!$F$3:$G$8,2,FALSE),1)</f>
        <v>0</v>
      </c>
      <c r="T56" s="188">
        <f t="shared" si="11"/>
        <v>0</v>
      </c>
      <c r="U56" s="186">
        <f>O56*IFERROR(VLOOKUP(A56,[1]Tørstofindhold!A$2:B$24,2,FALSE),0)</f>
        <v>0</v>
      </c>
      <c r="V56" s="187">
        <f>IF(D56=År1,P56,SUM(O56,P56))*IFERROR(VLOOKUP(A56,[1]Tørstofindhold!A$2:B$24,2,FALSE),0)</f>
        <v>0</v>
      </c>
      <c r="W56" s="187">
        <f>J56*IFERROR(VLOOKUP(A56,[1]Tørstofindhold!A$2:B$24,2,FALSE),0)</f>
        <v>0</v>
      </c>
      <c r="X56" s="188">
        <f t="shared" si="12"/>
        <v>0</v>
      </c>
      <c r="Y56" s="168">
        <f t="shared" si="2"/>
        <v>0</v>
      </c>
      <c r="Z56" s="103">
        <f t="shared" si="3"/>
        <v>0</v>
      </c>
    </row>
    <row r="57" spans="1:26" x14ac:dyDescent="0.25">
      <c r="A57" s="189" t="str">
        <f t="shared" si="17"/>
        <v>Dybstrøelse</v>
      </c>
      <c r="B57" s="189" t="str">
        <f t="shared" si="18"/>
        <v>Husdyrgødning</v>
      </c>
      <c r="C57" s="189">
        <f>IF(COUNTIFS('Resultater - Danmark'!$D$3:$D$504,'Resultat-Produktion &amp; forbrug'!A57,'Resultater - Danmark'!$A$3:$A$504,"Til energi")+COUNTIFS('Resultater - Danmark'!$D$3:$D$504,'Resultat-Produktion &amp; forbrug'!A57,'Resultater - Danmark'!$A$3:$A$504,"Biogasanlæg")&gt;0,1,0)</f>
        <v>1</v>
      </c>
      <c r="D57" s="189">
        <f t="shared" si="19"/>
        <v>2030</v>
      </c>
      <c r="E57" s="187" t="s">
        <v>23</v>
      </c>
      <c r="F57" s="190">
        <f>IF(E57="Vestdanmark",SUMIFS(IF(D57=År1,'Resultater - Vestdanmark'!H$3:H$504,IF(D57=År2,'Resultater - Vestdanmark'!I$3:I$504,'Resultater - Vestdanmark'!J$3:J$504)),'Resultater - Vestdanmark'!$F$3:$F$504,$A57,IF(D57=År1,'Resultater - Vestdanmark'!H$3:H$504,IF(D57=År2,'Resultater - Vestdanmark'!I$3:I$504,'Resultater - Vestdanmark'!J$3:J$504)),"&gt;0"),SUMIFS(IF(D57=År1,'Resultater - Østdanmark'!H$3:H$504,IF(D57=År2,'Resultater - Østdanmark'!I$3:I$504,'Resultater - Østdanmark'!J$3:J$504)),'Resultater - Østdanmark'!$F$3:$F$504,$A57,IF(D57=År1,'Resultater - Østdanmark'!H$3:H$504,IF(D57=År2,'Resultater - Østdanmark'!I$3:I$504,'Resultater - Østdanmark'!J$3:J$504)),"&gt;0"))</f>
        <v>3183510.9821506157</v>
      </c>
      <c r="G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forbrug'!G$2,'Forbrug af biomasse'!$B$2:$B$425,$E57)</f>
        <v>0</v>
      </c>
      <c r="H57" s="187">
        <f>IF(E57="Vestdanmark",-IF(A57="Halm",SUMIFS(IF(D57=År1,'Resultater - Vestdanmark'!H$3:H$504,IF(D57=År2,'Resultater - Vestdanmark'!I$3:I$504,'Resultater - Vestdanmark'!J$3:J$504)),'Resultater - Vestdanmark'!$F$3:$F$504,$A57,'Resultater - Vestdanmark'!H$3:H$504,"&lt;0"),0),-IF(A57="Halm",SUMIFS(IF(D57=År1,'Resultater - Østdanmark'!H$3:H$504,IF(D57=År2,'Resultater - Østdanmark'!I$3:I$504,'Resultater - Østdanmark'!J$3:J$504)),'Resultater - Østdanmark'!$F$3:$F$504,$A57,'Resultater - Østdanmark'!H$3:H$504,"&lt;0"),0))</f>
        <v>0</v>
      </c>
      <c r="I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forbrug'!I$2,'Forbrug af biomasse'!$B$2:$B$425,$E57)</f>
        <v>0</v>
      </c>
      <c r="J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forbrug'!J$2,'Forbrug af biomasse'!$B$2:$B$425,$E57)</f>
        <v>1591755.4910753078</v>
      </c>
      <c r="K57" s="190">
        <f>SUMIFS('Forbrug af biomasse'!$E$2:$E$425,'Forbrug af biomasse'!$C$2:$C$425,'Resultat-Produktion &amp; forbrug'!$A57,'Forbrug af biomasse'!$D$2:$D$425,'Resultat-Produktion &amp; forbrug'!$D57,'Forbrug af biomasse'!$A$2:$A$425,'Resultat-Produktion &amp; forbrug'!K$2,'Forbrug af biomasse'!$B$2:$B$425,$E57)</f>
        <v>602593.15019279509</v>
      </c>
      <c r="L57" s="190">
        <f>IF(A57&lt;&gt;"Biogas",SUMIFS('Forbrug af biomasse'!$E$2:$E$425,'Forbrug af biomasse'!$C$2:$C$425,'Resultat-Produktion &amp; forbrug'!$A57,'Forbrug af biomasse'!$D$2:$D$425,'Resultat-Produktion &amp; forbrug'!$D57,'Forbrug af biomasse'!$A$2:$A$425,'Resultat-Produktion &amp; forbrug'!L$2,'Forbrug af biomasse'!$B$2:$B$425,$E57),F57)</f>
        <v>0</v>
      </c>
      <c r="M57" s="154">
        <f>SUMIFS('Forbrug af biomasse'!E:E,'Forbrug af biomasse'!C:C,'Resultat-Produktion &amp; forbrug'!$A57,'Forbrug af biomasse'!D:D,'Resultat-Produktion &amp; forbrug'!$D57,'Forbrug af biomasse'!G:G,1,'Forbrug af biomasse'!B:B,$E57)</f>
        <v>0</v>
      </c>
      <c r="N57" s="199">
        <f t="shared" si="9"/>
        <v>989162.34088251274</v>
      </c>
      <c r="O57" s="190">
        <f t="shared" si="1"/>
        <v>989162.34088251274</v>
      </c>
      <c r="P57" s="200">
        <f t="shared" si="10"/>
        <v>1591755.4910753078</v>
      </c>
      <c r="Q57" s="187">
        <f>IFERROR(VLOOKUP(A57,[1]Energiindhold!$A$2:$C$11,3,FALSE),IFERROR(VLOOKUP(A57,[1]Biogasudbytte!$A$2:$B$18,2,FALSE)*[1]Energiindhold!$C$10,0))*O57</f>
        <v>2.1306556822609326</v>
      </c>
      <c r="R57" s="187">
        <f>IF(A57&lt;&gt;"Biogas",IFERROR(VLOOKUP(A57,[1]Biogasudbytte!$A$2:$B$18,2,FALSE)*[1]Energiindhold!$C$10,0)*J57*IFERROR(VLOOKUP(A57,Biogasanlæg!$F$3:$G$8,2,FALSE),1)+IFERROR(VLOOKUP(A57,[1]Energiindhold!$A$2:$C$11,3,FALSE),0)*L57+IF(D57&lt;&gt;År1,Q57,0),0)</f>
        <v>5.5592970100371453</v>
      </c>
      <c r="S57" s="187">
        <f>IFERROR(VLOOKUP(A57,[1]Biogasudbytte!$A$2:$B$18,2,FALSE)*[1]Energiindhold!$C$10,0)*J57*IFERROR(VLOOKUP(A57,Biogasanlæg!$F$3:$G$8,2,FALSE),1)</f>
        <v>3.4286413277762131</v>
      </c>
      <c r="T57" s="188">
        <f t="shared" si="11"/>
        <v>2.1306556822609322</v>
      </c>
      <c r="U57" s="186">
        <f>O57*IFERROR(VLOOKUP(A57,[1]Tørstofindhold!A$2:B$24,2,FALSE),0)</f>
        <v>296748.70226475381</v>
      </c>
      <c r="V57" s="187">
        <f>IF(D57=År1,P57,SUM(O57,P57))*IFERROR(VLOOKUP(A57,[1]Tørstofindhold!A$2:B$24,2,FALSE),0)</f>
        <v>774275.34958734619</v>
      </c>
      <c r="W57" s="187">
        <f>J57*IFERROR(VLOOKUP(A57,[1]Tørstofindhold!A$2:B$24,2,FALSE),0)</f>
        <v>477526.64732259233</v>
      </c>
      <c r="X57" s="188">
        <f t="shared" si="12"/>
        <v>296748.70226475387</v>
      </c>
      <c r="Y57" s="168">
        <f t="shared" si="2"/>
        <v>0</v>
      </c>
      <c r="Z57" s="103">
        <f t="shared" si="3"/>
        <v>1</v>
      </c>
    </row>
    <row r="58" spans="1:26" x14ac:dyDescent="0.25">
      <c r="A58" s="189" t="str">
        <f t="shared" si="17"/>
        <v>Fiberfraktion</v>
      </c>
      <c r="B58" s="189" t="str">
        <f t="shared" si="18"/>
        <v/>
      </c>
      <c r="C58" s="189">
        <f>IF(COUNTIFS('Resultater - Danmark'!$D$3:$D$504,'Resultat-Produktion &amp; forbrug'!A58,'Resultater - Danmark'!$A$3:$A$504,"Til energi")+COUNTIFS('Resultater - Danmark'!$D$3:$D$504,'Resultat-Produktion &amp; forbrug'!A58,'Resultater - Danmark'!$A$3:$A$504,"Biogasanlæg")&gt;0,1,0)</f>
        <v>0</v>
      </c>
      <c r="D58" s="189">
        <f t="shared" si="19"/>
        <v>2030</v>
      </c>
      <c r="E58" s="187" t="s">
        <v>23</v>
      </c>
      <c r="F58" s="190">
        <f>IF(E58="Vestdanmark",SUMIFS(IF(D58=År1,'Resultater - Vestdanmark'!H$3:H$504,IF(D58=År2,'Resultater - Vestdanmark'!I$3:I$504,'Resultater - Vestdanmark'!J$3:J$504)),'Resultater - Vestdanmark'!$F$3:$F$504,$A58,IF(D58=År1,'Resultater - Vestdanmark'!H$3:H$504,IF(D58=År2,'Resultater - Vestdanmark'!I$3:I$504,'Resultater - Vestdanmark'!J$3:J$504)),"&gt;0"),SUMIFS(IF(D58=År1,'Resultater - Østdanmark'!H$3:H$504,IF(D58=År2,'Resultater - Østdanmark'!I$3:I$504,'Resultater - Østdanmark'!J$3:J$504)),'Resultater - Østdanmark'!$F$3:$F$504,$A58,IF(D58=År1,'Resultater - Østdanmark'!H$3:H$504,IF(D58=År2,'Resultater - Østdanmark'!I$3:I$504,'Resultater - Østdanmark'!J$3:J$504)),"&gt;0"))</f>
        <v>0</v>
      </c>
      <c r="G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forbrug'!G$2,'Forbrug af biomasse'!$B$2:$B$425,$E58)</f>
        <v>0</v>
      </c>
      <c r="H58" s="187">
        <f>IF(E58="Vestdanmark",-IF(A58="Halm",SUMIFS(IF(D58=År1,'Resultater - Vestdanmark'!H$3:H$504,IF(D58=År2,'Resultater - Vestdanmark'!I$3:I$504,'Resultater - Vestdanmark'!J$3:J$504)),'Resultater - Vestdanmark'!$F$3:$F$504,$A58,'Resultater - Vestdanmark'!H$3:H$504,"&lt;0"),0),-IF(A58="Halm",SUMIFS(IF(D58=År1,'Resultater - Østdanmark'!H$3:H$504,IF(D58=År2,'Resultater - Østdanmark'!I$3:I$504,'Resultater - Østdanmark'!J$3:J$504)),'Resultater - Østdanmark'!$F$3:$F$504,$A58,'Resultater - Østdanmark'!H$3:H$504,"&lt;0"),0))</f>
        <v>0</v>
      </c>
      <c r="I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forbrug'!I$2,'Forbrug af biomasse'!$B$2:$B$425,$E58)</f>
        <v>0</v>
      </c>
      <c r="J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forbrug'!J$2,'Forbrug af biomasse'!$B$2:$B$425,$E58)</f>
        <v>0</v>
      </c>
      <c r="K58" s="190">
        <f>SUMIFS('Forbrug af biomasse'!$E$2:$E$425,'Forbrug af biomasse'!$C$2:$C$425,'Resultat-Produktion &amp; forbrug'!$A58,'Forbrug af biomasse'!$D$2:$D$425,'Resultat-Produktion &amp; forbrug'!$D58,'Forbrug af biomasse'!$A$2:$A$425,'Resultat-Produktion &amp; forbrug'!K$2,'Forbrug af biomasse'!$B$2:$B$425,$E58)</f>
        <v>0</v>
      </c>
      <c r="L58" s="190">
        <f>IF(A58&lt;&gt;"Biogas",SUMIFS('Forbrug af biomasse'!$E$2:$E$425,'Forbrug af biomasse'!$C$2:$C$425,'Resultat-Produktion &amp; forbrug'!$A58,'Forbrug af biomasse'!$D$2:$D$425,'Resultat-Produktion &amp; forbrug'!$D58,'Forbrug af biomasse'!$A$2:$A$425,'Resultat-Produktion &amp; forbrug'!L$2,'Forbrug af biomasse'!$B$2:$B$425,$E58),F58)</f>
        <v>0</v>
      </c>
      <c r="M58" s="154">
        <f>SUMIFS('Forbrug af biomasse'!E:E,'Forbrug af biomasse'!C:C,'Resultat-Produktion &amp; forbrug'!$A58,'Forbrug af biomasse'!D:D,'Resultat-Produktion &amp; forbrug'!$D58,'Forbrug af biomasse'!G:G,1,'Forbrug af biomasse'!B:B,$E58)</f>
        <v>0</v>
      </c>
      <c r="N58" s="199">
        <f t="shared" si="9"/>
        <v>0</v>
      </c>
      <c r="O58" s="190">
        <f t="shared" si="1"/>
        <v>0</v>
      </c>
      <c r="P58" s="200">
        <f t="shared" si="10"/>
        <v>0</v>
      </c>
      <c r="Q58" s="187">
        <f>IFERROR(VLOOKUP(A58,[1]Energiindhold!$A$2:$C$11,3,FALSE),IFERROR(VLOOKUP(A58,[1]Biogasudbytte!$A$2:$B$18,2,FALSE)*[1]Energiindhold!$C$10,0))*O58</f>
        <v>0</v>
      </c>
      <c r="R58" s="187">
        <f>IF(A58&lt;&gt;"Biogas",IFERROR(VLOOKUP(A58,[1]Biogasudbytte!$A$2:$B$18,2,FALSE)*[1]Energiindhold!$C$10,0)*J58*IFERROR(VLOOKUP(A58,Biogasanlæg!$F$3:$G$8,2,FALSE),1)+IFERROR(VLOOKUP(A58,[1]Energiindhold!$A$2:$C$11,3,FALSE),0)*L58+IF(D58&lt;&gt;År1,Q58,0),0)</f>
        <v>0</v>
      </c>
      <c r="S58" s="187">
        <f>IFERROR(VLOOKUP(A58,[1]Biogasudbytte!$A$2:$B$18,2,FALSE)*[1]Energiindhold!$C$10,0)*J58*IFERROR(VLOOKUP(A58,Biogasanlæg!$F$3:$G$8,2,FALSE),1)</f>
        <v>0</v>
      </c>
      <c r="T58" s="188">
        <f t="shared" si="11"/>
        <v>0</v>
      </c>
      <c r="U58" s="186">
        <f>O58*IFERROR(VLOOKUP(A58,[1]Tørstofindhold!A$2:B$24,2,FALSE),0)</f>
        <v>0</v>
      </c>
      <c r="V58" s="187">
        <f>IF(D58=År1,P58,SUM(O58,P58))*IFERROR(VLOOKUP(A58,[1]Tørstofindhold!A$2:B$24,2,FALSE),0)</f>
        <v>0</v>
      </c>
      <c r="W58" s="187">
        <f>J58*IFERROR(VLOOKUP(A58,[1]Tørstofindhold!A$2:B$24,2,FALSE),0)</f>
        <v>0</v>
      </c>
      <c r="X58" s="188">
        <f t="shared" si="12"/>
        <v>0</v>
      </c>
      <c r="Y58" s="168">
        <f t="shared" si="2"/>
        <v>0</v>
      </c>
      <c r="Z58" s="103">
        <f t="shared" si="3"/>
        <v>0</v>
      </c>
    </row>
    <row r="59" spans="1:26" x14ac:dyDescent="0.25">
      <c r="A59" s="189" t="str">
        <f t="shared" si="17"/>
        <v>Fjerkrægylle</v>
      </c>
      <c r="B59" s="189" t="str">
        <f t="shared" si="18"/>
        <v>Husdyrgødning</v>
      </c>
      <c r="C59" s="189">
        <f>IF(COUNTIFS('Resultater - Danmark'!$D$3:$D$504,'Resultat-Produktion &amp; forbrug'!A59,'Resultater - Danmark'!$A$3:$A$504,"Til energi")+COUNTIFS('Resultater - Danmark'!$D$3:$D$504,'Resultat-Produktion &amp; forbrug'!A59,'Resultater - Danmark'!$A$3:$A$504,"Biogasanlæg")&gt;0,1,0)</f>
        <v>1</v>
      </c>
      <c r="D59" s="189">
        <f t="shared" si="19"/>
        <v>2030</v>
      </c>
      <c r="E59" s="187" t="s">
        <v>23</v>
      </c>
      <c r="F59" s="190">
        <f>IF(E59="Vestdanmark",SUMIFS(IF(D59=År1,'Resultater - Vestdanmark'!H$3:H$504,IF(D59=År2,'Resultater - Vestdanmark'!I$3:I$504,'Resultater - Vestdanmark'!J$3:J$504)),'Resultater - Vestdanmark'!$F$3:$F$504,$A59,IF(D59=År1,'Resultater - Vestdanmark'!H$3:H$504,IF(D59=År2,'Resultater - Vestdanmark'!I$3:I$504,'Resultater - Vestdanmark'!J$3:J$504)),"&gt;0"),SUMIFS(IF(D59=År1,'Resultater - Østdanmark'!H$3:H$504,IF(D59=År2,'Resultater - Østdanmark'!I$3:I$504,'Resultater - Østdanmark'!J$3:J$504)),'Resultater - Østdanmark'!$F$3:$F$504,$A59,IF(D59=År1,'Resultater - Østdanmark'!H$3:H$504,IF(D59=År2,'Resultater - Østdanmark'!I$3:I$504,'Resultater - Østdanmark'!J$3:J$504)),"&gt;0"))</f>
        <v>10011.271362654579</v>
      </c>
      <c r="G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forbrug'!G$2,'Forbrug af biomasse'!$B$2:$B$425,$E59)</f>
        <v>0</v>
      </c>
      <c r="H59" s="187">
        <f>IF(E59="Vestdanmark",-IF(A59="Halm",SUMIFS(IF(D59=År1,'Resultater - Vestdanmark'!H$3:H$504,IF(D59=År2,'Resultater - Vestdanmark'!I$3:I$504,'Resultater - Vestdanmark'!J$3:J$504)),'Resultater - Vestdanmark'!$F$3:$F$504,$A59,'Resultater - Vestdanmark'!H$3:H$504,"&lt;0"),0),-IF(A59="Halm",SUMIFS(IF(D59=År1,'Resultater - Østdanmark'!H$3:H$504,IF(D59=År2,'Resultater - Østdanmark'!I$3:I$504,'Resultater - Østdanmark'!J$3:J$504)),'Resultater - Østdanmark'!$F$3:$F$504,$A59,'Resultater - Østdanmark'!H$3:H$504,"&lt;0"),0))</f>
        <v>0</v>
      </c>
      <c r="I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forbrug'!I$2,'Forbrug af biomasse'!$B$2:$B$425,$E59)</f>
        <v>0</v>
      </c>
      <c r="J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forbrug'!J$2,'Forbrug af biomasse'!$B$2:$B$425,$E59)</f>
        <v>5005.6356813272896</v>
      </c>
      <c r="K59" s="190">
        <f>SUMIFS('Forbrug af biomasse'!$E$2:$E$425,'Forbrug af biomasse'!$C$2:$C$425,'Resultat-Produktion &amp; forbrug'!$A59,'Forbrug af biomasse'!$D$2:$D$425,'Resultat-Produktion &amp; forbrug'!$D59,'Forbrug af biomasse'!$A$2:$A$425,'Resultat-Produktion &amp; forbrug'!K$2,'Forbrug af biomasse'!$B$2:$B$425,$E59)</f>
        <v>5005.6356813272896</v>
      </c>
      <c r="L59" s="190">
        <f>IF(A59&lt;&gt;"Biogas",SUMIFS('Forbrug af biomasse'!$E$2:$E$425,'Forbrug af biomasse'!$C$2:$C$425,'Resultat-Produktion &amp; forbrug'!$A59,'Forbrug af biomasse'!$D$2:$D$425,'Resultat-Produktion &amp; forbrug'!$D59,'Forbrug af biomasse'!$A$2:$A$425,'Resultat-Produktion &amp; forbrug'!L$2,'Forbrug af biomasse'!$B$2:$B$425,$E59),F59)</f>
        <v>0</v>
      </c>
      <c r="M59" s="154">
        <f>SUMIFS('Forbrug af biomasse'!E:E,'Forbrug af biomasse'!C:C,'Resultat-Produktion &amp; forbrug'!$A59,'Forbrug af biomasse'!D:D,'Resultat-Produktion &amp; forbrug'!$D59,'Forbrug af biomasse'!G:G,1,'Forbrug af biomasse'!B:B,$E59)</f>
        <v>0</v>
      </c>
      <c r="N59" s="199">
        <f t="shared" si="9"/>
        <v>0</v>
      </c>
      <c r="O59" s="190">
        <f t="shared" si="1"/>
        <v>0</v>
      </c>
      <c r="P59" s="200">
        <f t="shared" si="10"/>
        <v>5005.6356813272896</v>
      </c>
      <c r="Q59" s="187">
        <f>IFERROR(VLOOKUP(A59,[1]Energiindhold!$A$2:$C$11,3,FALSE),IFERROR(VLOOKUP(A59,[1]Biogasudbytte!$A$2:$B$18,2,FALSE)*[1]Energiindhold!$C$10,0))*O59</f>
        <v>0</v>
      </c>
      <c r="R59" s="187">
        <f>IF(A59&lt;&gt;"Biogas",IFERROR(VLOOKUP(A59,[1]Biogasudbytte!$A$2:$B$18,2,FALSE)*[1]Energiindhold!$C$10,0)*J59*IFERROR(VLOOKUP(A59,Biogasanlæg!$F$3:$G$8,2,FALSE),1)+IFERROR(VLOOKUP(A59,[1]Energiindhold!$A$2:$C$11,3,FALSE),0)*L59+IF(D59&lt;&gt;År1,Q59,0),0)</f>
        <v>2.3541004045714111E-3</v>
      </c>
      <c r="S59" s="187">
        <f>IFERROR(VLOOKUP(A59,[1]Biogasudbytte!$A$2:$B$18,2,FALSE)*[1]Energiindhold!$C$10,0)*J59*IFERROR(VLOOKUP(A59,Biogasanlæg!$F$3:$G$8,2,FALSE),1)</f>
        <v>2.3541004045714111E-3</v>
      </c>
      <c r="T59" s="188">
        <f t="shared" si="11"/>
        <v>0</v>
      </c>
      <c r="U59" s="186">
        <f>O59*IFERROR(VLOOKUP(A59,[1]Tørstofindhold!A$2:B$24,2,FALSE),0)</f>
        <v>0</v>
      </c>
      <c r="V59" s="187">
        <f>IF(D59=År1,P59,SUM(O59,P59))*IFERROR(VLOOKUP(A59,[1]Tørstofindhold!A$2:B$24,2,FALSE),0)</f>
        <v>315.35504792361922</v>
      </c>
      <c r="W59" s="187">
        <f>J59*IFERROR(VLOOKUP(A59,[1]Tørstofindhold!A$2:B$24,2,FALSE),0)</f>
        <v>315.35504792361922</v>
      </c>
      <c r="X59" s="188">
        <f t="shared" si="12"/>
        <v>0</v>
      </c>
      <c r="Y59" s="168">
        <f t="shared" si="2"/>
        <v>0</v>
      </c>
      <c r="Z59" s="103">
        <f t="shared" si="3"/>
        <v>0</v>
      </c>
    </row>
    <row r="60" spans="1:26" x14ac:dyDescent="0.25">
      <c r="A60" s="189" t="str">
        <f t="shared" si="17"/>
        <v>Fjerkrækød</v>
      </c>
      <c r="B60" s="189" t="str">
        <f t="shared" si="18"/>
        <v/>
      </c>
      <c r="C60" s="189">
        <f>IF(COUNTIFS('Resultater - Danmark'!$D$3:$D$504,'Resultat-Produktion &amp; forbrug'!A60,'Resultater - Danmark'!$A$3:$A$504,"Til energi")+COUNTIFS('Resultater - Danmark'!$D$3:$D$504,'Resultat-Produktion &amp; forbrug'!A60,'Resultater - Danmark'!$A$3:$A$504,"Biogasanlæg")&gt;0,1,0)</f>
        <v>0</v>
      </c>
      <c r="D60" s="189">
        <f t="shared" si="19"/>
        <v>2030</v>
      </c>
      <c r="E60" s="187" t="s">
        <v>23</v>
      </c>
      <c r="F60" s="190">
        <f>IF(E60="Vestdanmark",SUMIFS(IF(D60=År1,'Resultater - Vestdanmark'!H$3:H$504,IF(D60=År2,'Resultater - Vestdanmark'!I$3:I$504,'Resultater - Vestdanmark'!J$3:J$504)),'Resultater - Vestdanmark'!$F$3:$F$504,$A60,IF(D60=År1,'Resultater - Vestdanmark'!H$3:H$504,IF(D60=År2,'Resultater - Vestdanmark'!I$3:I$504,'Resultater - Vestdanmark'!J$3:J$504)),"&gt;0"),SUMIFS(IF(D60=År1,'Resultater - Østdanmark'!H$3:H$504,IF(D60=År2,'Resultater - Østdanmark'!I$3:I$504,'Resultater - Østdanmark'!J$3:J$504)),'Resultater - Østdanmark'!$F$3:$F$504,$A60,IF(D60=År1,'Resultater - Østdanmark'!H$3:H$504,IF(D60=År2,'Resultater - Østdanmark'!I$3:I$504,'Resultater - Østdanmark'!J$3:J$504)),"&gt;0"))</f>
        <v>217954.6674762161</v>
      </c>
      <c r="G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forbrug'!G$2,'Forbrug af biomasse'!$B$2:$B$425,$E60)</f>
        <v>0</v>
      </c>
      <c r="H60" s="187">
        <f>IF(E60="Vestdanmark",-IF(A60="Halm",SUMIFS(IF(D60=År1,'Resultater - Vestdanmark'!H$3:H$504,IF(D60=År2,'Resultater - Vestdanmark'!I$3:I$504,'Resultater - Vestdanmark'!J$3:J$504)),'Resultater - Vestdanmark'!$F$3:$F$504,$A60,'Resultater - Vestdanmark'!H$3:H$504,"&lt;0"),0),-IF(A60="Halm",SUMIFS(IF(D60=År1,'Resultater - Østdanmark'!H$3:H$504,IF(D60=År2,'Resultater - Østdanmark'!I$3:I$504,'Resultater - Østdanmark'!J$3:J$504)),'Resultater - Østdanmark'!$F$3:$F$504,$A60,'Resultater - Østdanmark'!H$3:H$504,"&lt;0"),0))</f>
        <v>0</v>
      </c>
      <c r="I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forbrug'!I$2,'Forbrug af biomasse'!$B$2:$B$425,$E60)</f>
        <v>35294.766599083188</v>
      </c>
      <c r="J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forbrug'!J$2,'Forbrug af biomasse'!$B$2:$B$425,$E60)</f>
        <v>0</v>
      </c>
      <c r="K60" s="190">
        <f>SUMIFS('Forbrug af biomasse'!$E$2:$E$425,'Forbrug af biomasse'!$C$2:$C$425,'Resultat-Produktion &amp; forbrug'!$A60,'Forbrug af biomasse'!$D$2:$D$425,'Resultat-Produktion &amp; forbrug'!$D60,'Forbrug af biomasse'!$A$2:$A$425,'Resultat-Produktion &amp; forbrug'!K$2,'Forbrug af biomasse'!$B$2:$B$425,$E60)</f>
        <v>0</v>
      </c>
      <c r="L60" s="190">
        <f>IF(A60&lt;&gt;"Biogas",SUMIFS('Forbrug af biomasse'!$E$2:$E$425,'Forbrug af biomasse'!$C$2:$C$425,'Resultat-Produktion &amp; forbrug'!$A60,'Forbrug af biomasse'!$D$2:$D$425,'Resultat-Produktion &amp; forbrug'!$D60,'Forbrug af biomasse'!$A$2:$A$425,'Resultat-Produktion &amp; forbrug'!L$2,'Forbrug af biomasse'!$B$2:$B$425,$E60),F60)</f>
        <v>0</v>
      </c>
      <c r="M60" s="154">
        <f>SUMIFS('Forbrug af biomasse'!E:E,'Forbrug af biomasse'!C:C,'Resultat-Produktion &amp; forbrug'!$A60,'Forbrug af biomasse'!D:D,'Resultat-Produktion &amp; forbrug'!$D60,'Forbrug af biomasse'!G:G,1,'Forbrug af biomasse'!B:B,$E60)</f>
        <v>0</v>
      </c>
      <c r="N60" s="199">
        <f t="shared" si="9"/>
        <v>182659.9008771329</v>
      </c>
      <c r="O60" s="190">
        <f t="shared" si="1"/>
        <v>0</v>
      </c>
      <c r="P60" s="200">
        <f t="shared" si="10"/>
        <v>0</v>
      </c>
      <c r="Q60" s="187">
        <f>IFERROR(VLOOKUP(A60,[1]Energiindhold!$A$2:$C$11,3,FALSE),IFERROR(VLOOKUP(A60,[1]Biogasudbytte!$A$2:$B$18,2,FALSE)*[1]Energiindhold!$C$10,0))*O60</f>
        <v>0</v>
      </c>
      <c r="R60" s="187">
        <f>IF(A60&lt;&gt;"Biogas",IFERROR(VLOOKUP(A60,[1]Biogasudbytte!$A$2:$B$18,2,FALSE)*[1]Energiindhold!$C$10,0)*J60*IFERROR(VLOOKUP(A60,Biogasanlæg!$F$3:$G$8,2,FALSE),1)+IFERROR(VLOOKUP(A60,[1]Energiindhold!$A$2:$C$11,3,FALSE),0)*L60+IF(D60&lt;&gt;År1,Q60,0),0)</f>
        <v>0</v>
      </c>
      <c r="S60" s="187">
        <f>IFERROR(VLOOKUP(A60,[1]Biogasudbytte!$A$2:$B$18,2,FALSE)*[1]Energiindhold!$C$10,0)*J60*IFERROR(VLOOKUP(A60,Biogasanlæg!$F$3:$G$8,2,FALSE),1)</f>
        <v>0</v>
      </c>
      <c r="T60" s="188">
        <f t="shared" si="11"/>
        <v>0</v>
      </c>
      <c r="U60" s="186">
        <f>O60*IFERROR(VLOOKUP(A60,[1]Tørstofindhold!A$2:B$24,2,FALSE),0)</f>
        <v>0</v>
      </c>
      <c r="V60" s="187">
        <f>IF(D60=År1,P60,SUM(O60,P60))*IFERROR(VLOOKUP(A60,[1]Tørstofindhold!A$2:B$24,2,FALSE),0)</f>
        <v>0</v>
      </c>
      <c r="W60" s="187">
        <f>J60*IFERROR(VLOOKUP(A60,[1]Tørstofindhold!A$2:B$24,2,FALSE),0)</f>
        <v>0</v>
      </c>
      <c r="X60" s="188">
        <f t="shared" si="12"/>
        <v>0</v>
      </c>
      <c r="Y60" s="168">
        <f t="shared" si="2"/>
        <v>0</v>
      </c>
      <c r="Z60" s="103">
        <f t="shared" si="3"/>
        <v>1</v>
      </c>
    </row>
    <row r="61" spans="1:26" x14ac:dyDescent="0.25">
      <c r="A61" s="189" t="str">
        <f t="shared" si="17"/>
        <v>Frø</v>
      </c>
      <c r="B61" s="189" t="str">
        <f t="shared" si="18"/>
        <v/>
      </c>
      <c r="C61" s="189">
        <f>IF(COUNTIFS('Resultater - Danmark'!$D$3:$D$504,'Resultat-Produktion &amp; forbrug'!A61,'Resultater - Danmark'!$A$3:$A$504,"Til energi")+COUNTIFS('Resultater - Danmark'!$D$3:$D$504,'Resultat-Produktion &amp; forbrug'!A61,'Resultater - Danmark'!$A$3:$A$504,"Biogasanlæg")&gt;0,1,0)</f>
        <v>0</v>
      </c>
      <c r="D61" s="189">
        <f t="shared" si="19"/>
        <v>2030</v>
      </c>
      <c r="E61" s="187" t="s">
        <v>23</v>
      </c>
      <c r="F61" s="190">
        <f>IF(E61="Vestdanmark",SUMIFS(IF(D61=År1,'Resultater - Vestdanmark'!H$3:H$504,IF(D61=År2,'Resultater - Vestdanmark'!I$3:I$504,'Resultater - Vestdanmark'!J$3:J$504)),'Resultater - Vestdanmark'!$F$3:$F$504,$A61,IF(D61=År1,'Resultater - Vestdanmark'!H$3:H$504,IF(D61=År2,'Resultater - Vestdanmark'!I$3:I$504,'Resultater - Vestdanmark'!J$3:J$504)),"&gt;0"),SUMIFS(IF(D61=År1,'Resultater - Østdanmark'!H$3:H$504,IF(D61=År2,'Resultater - Østdanmark'!I$3:I$504,'Resultater - Østdanmark'!J$3:J$504)),'Resultater - Østdanmark'!$F$3:$F$504,$A61,IF(D61=År1,'Resultater - Østdanmark'!H$3:H$504,IF(D61=År2,'Resultater - Østdanmark'!I$3:I$504,'Resultater - Østdanmark'!J$3:J$504)),"&gt;0"))</f>
        <v>923566.29660628818</v>
      </c>
      <c r="G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forbrug'!G$2,'Forbrug af biomasse'!$B$2:$B$425,$E61)</f>
        <v>0</v>
      </c>
      <c r="H61" s="187">
        <f>IF(E61="Vestdanmark",-IF(A61="Halm",SUMIFS(IF(D61=År1,'Resultater - Vestdanmark'!H$3:H$504,IF(D61=År2,'Resultater - Vestdanmark'!I$3:I$504,'Resultater - Vestdanmark'!J$3:J$504)),'Resultater - Vestdanmark'!$F$3:$F$504,$A61,'Resultater - Vestdanmark'!H$3:H$504,"&lt;0"),0),-IF(A61="Halm",SUMIFS(IF(D61=År1,'Resultater - Østdanmark'!H$3:H$504,IF(D61=År2,'Resultater - Østdanmark'!I$3:I$504,'Resultater - Østdanmark'!J$3:J$504)),'Resultater - Østdanmark'!$F$3:$F$504,$A61,'Resultater - Østdanmark'!H$3:H$504,"&lt;0"),0))</f>
        <v>0</v>
      </c>
      <c r="I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forbrug'!I$2,'Forbrug af biomasse'!$B$2:$B$425,$E61)</f>
        <v>0</v>
      </c>
      <c r="J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forbrug'!J$2,'Forbrug af biomasse'!$B$2:$B$425,$E61)</f>
        <v>0</v>
      </c>
      <c r="K61" s="190">
        <f>SUMIFS('Forbrug af biomasse'!$E$2:$E$425,'Forbrug af biomasse'!$C$2:$C$425,'Resultat-Produktion &amp; forbrug'!$A61,'Forbrug af biomasse'!$D$2:$D$425,'Resultat-Produktion &amp; forbrug'!$D61,'Forbrug af biomasse'!$A$2:$A$425,'Resultat-Produktion &amp; forbrug'!K$2,'Forbrug af biomasse'!$B$2:$B$425,$E61)</f>
        <v>0</v>
      </c>
      <c r="L61" s="190">
        <f>IF(A61&lt;&gt;"Biogas",SUMIFS('Forbrug af biomasse'!$E$2:$E$425,'Forbrug af biomasse'!$C$2:$C$425,'Resultat-Produktion &amp; forbrug'!$A61,'Forbrug af biomasse'!$D$2:$D$425,'Resultat-Produktion &amp; forbrug'!$D61,'Forbrug af biomasse'!$A$2:$A$425,'Resultat-Produktion &amp; forbrug'!L$2,'Forbrug af biomasse'!$B$2:$B$425,$E61),F61)</f>
        <v>0</v>
      </c>
      <c r="M61" s="154">
        <f>SUMIFS('Forbrug af biomasse'!E:E,'Forbrug af biomasse'!C:C,'Resultat-Produktion &amp; forbrug'!$A61,'Forbrug af biomasse'!D:D,'Resultat-Produktion &amp; forbrug'!$D61,'Forbrug af biomasse'!G:G,1,'Forbrug af biomasse'!B:B,$E61)</f>
        <v>0</v>
      </c>
      <c r="N61" s="199">
        <f t="shared" si="9"/>
        <v>923566.29660628818</v>
      </c>
      <c r="O61" s="190">
        <f t="shared" si="1"/>
        <v>0</v>
      </c>
      <c r="P61" s="200">
        <f t="shared" si="10"/>
        <v>0</v>
      </c>
      <c r="Q61" s="187">
        <f>IFERROR(VLOOKUP(A61,[1]Energiindhold!$A$2:$C$11,3,FALSE),IFERROR(VLOOKUP(A61,[1]Biogasudbytte!$A$2:$B$18,2,FALSE)*[1]Energiindhold!$C$10,0))*O61</f>
        <v>0</v>
      </c>
      <c r="R61" s="187">
        <f>IF(A61&lt;&gt;"Biogas",IFERROR(VLOOKUP(A61,[1]Biogasudbytte!$A$2:$B$18,2,FALSE)*[1]Energiindhold!$C$10,0)*J61*IFERROR(VLOOKUP(A61,Biogasanlæg!$F$3:$G$8,2,FALSE),1)+IFERROR(VLOOKUP(A61,[1]Energiindhold!$A$2:$C$11,3,FALSE),0)*L61+IF(D61&lt;&gt;År1,Q61,0),0)</f>
        <v>0</v>
      </c>
      <c r="S61" s="187">
        <f>IFERROR(VLOOKUP(A61,[1]Biogasudbytte!$A$2:$B$18,2,FALSE)*[1]Energiindhold!$C$10,0)*J61*IFERROR(VLOOKUP(A61,Biogasanlæg!$F$3:$G$8,2,FALSE),1)</f>
        <v>0</v>
      </c>
      <c r="T61" s="188">
        <f t="shared" si="11"/>
        <v>0</v>
      </c>
      <c r="U61" s="186">
        <f>O61*IFERROR(VLOOKUP(A61,[1]Tørstofindhold!A$2:B$24,2,FALSE),0)</f>
        <v>0</v>
      </c>
      <c r="V61" s="187">
        <f>IF(D61=År1,P61,SUM(O61,P61))*IFERROR(VLOOKUP(A61,[1]Tørstofindhold!A$2:B$24,2,FALSE),0)</f>
        <v>0</v>
      </c>
      <c r="W61" s="187">
        <f>J61*IFERROR(VLOOKUP(A61,[1]Tørstofindhold!A$2:B$24,2,FALSE),0)</f>
        <v>0</v>
      </c>
      <c r="X61" s="188">
        <f t="shared" si="12"/>
        <v>0</v>
      </c>
      <c r="Y61" s="168">
        <f t="shared" si="2"/>
        <v>0</v>
      </c>
      <c r="Z61" s="103">
        <f t="shared" si="3"/>
        <v>1</v>
      </c>
    </row>
    <row r="62" spans="1:26" x14ac:dyDescent="0.25">
      <c r="A62" s="189" t="str">
        <f t="shared" si="17"/>
        <v>Frugt</v>
      </c>
      <c r="B62" s="189" t="str">
        <f t="shared" si="18"/>
        <v/>
      </c>
      <c r="C62" s="189">
        <f>IF(COUNTIFS('Resultater - Danmark'!$D$3:$D$504,'Resultat-Produktion &amp; forbrug'!A62,'Resultater - Danmark'!$A$3:$A$504,"Til energi")+COUNTIFS('Resultater - Danmark'!$D$3:$D$504,'Resultat-Produktion &amp; forbrug'!A62,'Resultater - Danmark'!$A$3:$A$504,"Biogasanlæg")&gt;0,1,0)</f>
        <v>0</v>
      </c>
      <c r="D62" s="189">
        <f t="shared" si="19"/>
        <v>2030</v>
      </c>
      <c r="E62" s="187" t="s">
        <v>23</v>
      </c>
      <c r="F62" s="190">
        <f>IF(E62="Vestdanmark",SUMIFS(IF(D62=År1,'Resultater - Vestdanmark'!H$3:H$504,IF(D62=År2,'Resultater - Vestdanmark'!I$3:I$504,'Resultater - Vestdanmark'!J$3:J$504)),'Resultater - Vestdanmark'!$F$3:$F$504,$A62,IF(D62=År1,'Resultater - Vestdanmark'!H$3:H$504,IF(D62=År2,'Resultater - Vestdanmark'!I$3:I$504,'Resultater - Vestdanmark'!J$3:J$504)),"&gt;0"),SUMIFS(IF(D62=År1,'Resultater - Østdanmark'!H$3:H$504,IF(D62=År2,'Resultater - Østdanmark'!I$3:I$504,'Resultater - Østdanmark'!J$3:J$504)),'Resultater - Østdanmark'!$F$3:$F$504,$A62,IF(D62=År1,'Resultater - Østdanmark'!H$3:H$504,IF(D62=År2,'Resultater - Østdanmark'!I$3:I$504,'Resultater - Østdanmark'!J$3:J$504)),"&gt;0"))</f>
        <v>27159.598992572228</v>
      </c>
      <c r="G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forbrug'!G$2,'Forbrug af biomasse'!$B$2:$B$425,$E62)</f>
        <v>0</v>
      </c>
      <c r="H62" s="187">
        <f>IF(E62="Vestdanmark",-IF(A62="Halm",SUMIFS(IF(D62=År1,'Resultater - Vestdanmark'!H$3:H$504,IF(D62=År2,'Resultater - Vestdanmark'!I$3:I$504,'Resultater - Vestdanmark'!J$3:J$504)),'Resultater - Vestdanmark'!$F$3:$F$504,$A62,'Resultater - Vestdanmark'!H$3:H$504,"&lt;0"),0),-IF(A62="Halm",SUMIFS(IF(D62=År1,'Resultater - Østdanmark'!H$3:H$504,IF(D62=År2,'Resultater - Østdanmark'!I$3:I$504,'Resultater - Østdanmark'!J$3:J$504)),'Resultater - Østdanmark'!$F$3:$F$504,$A62,'Resultater - Østdanmark'!H$3:H$504,"&lt;0"),0))</f>
        <v>0</v>
      </c>
      <c r="I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forbrug'!I$2,'Forbrug af biomasse'!$B$2:$B$425,$E62)</f>
        <v>257923.29437791562</v>
      </c>
      <c r="J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forbrug'!J$2,'Forbrug af biomasse'!$B$2:$B$425,$E62)</f>
        <v>0</v>
      </c>
      <c r="K62" s="190">
        <f>SUMIFS('Forbrug af biomasse'!$E$2:$E$425,'Forbrug af biomasse'!$C$2:$C$425,'Resultat-Produktion &amp; forbrug'!$A62,'Forbrug af biomasse'!$D$2:$D$425,'Resultat-Produktion &amp; forbrug'!$D62,'Forbrug af biomasse'!$A$2:$A$425,'Resultat-Produktion &amp; forbrug'!K$2,'Forbrug af biomasse'!$B$2:$B$425,$E62)</f>
        <v>0</v>
      </c>
      <c r="L62" s="190">
        <f>IF(A62&lt;&gt;"Biogas",SUMIFS('Forbrug af biomasse'!$E$2:$E$425,'Forbrug af biomasse'!$C$2:$C$425,'Resultat-Produktion &amp; forbrug'!$A62,'Forbrug af biomasse'!$D$2:$D$425,'Resultat-Produktion &amp; forbrug'!$D62,'Forbrug af biomasse'!$A$2:$A$425,'Resultat-Produktion &amp; forbrug'!L$2,'Forbrug af biomasse'!$B$2:$B$425,$E62),F62)</f>
        <v>0</v>
      </c>
      <c r="M62" s="154">
        <f>SUMIFS('Forbrug af biomasse'!E:E,'Forbrug af biomasse'!C:C,'Resultat-Produktion &amp; forbrug'!$A62,'Forbrug af biomasse'!D:D,'Resultat-Produktion &amp; forbrug'!$D62,'Forbrug af biomasse'!G:G,1,'Forbrug af biomasse'!B:B,$E62)</f>
        <v>0</v>
      </c>
      <c r="N62" s="199">
        <f t="shared" si="9"/>
        <v>-230763.6953853434</v>
      </c>
      <c r="O62" s="190">
        <f t="shared" si="1"/>
        <v>0</v>
      </c>
      <c r="P62" s="200">
        <f t="shared" si="10"/>
        <v>0</v>
      </c>
      <c r="Q62" s="187">
        <f>IFERROR(VLOOKUP(A62,[1]Energiindhold!$A$2:$C$11,3,FALSE),IFERROR(VLOOKUP(A62,[1]Biogasudbytte!$A$2:$B$18,2,FALSE)*[1]Energiindhold!$C$10,0))*O62</f>
        <v>0</v>
      </c>
      <c r="R62" s="187">
        <f>IF(A62&lt;&gt;"Biogas",IFERROR(VLOOKUP(A62,[1]Biogasudbytte!$A$2:$B$18,2,FALSE)*[1]Energiindhold!$C$10,0)*J62*IFERROR(VLOOKUP(A62,Biogasanlæg!$F$3:$G$8,2,FALSE),1)+IFERROR(VLOOKUP(A62,[1]Energiindhold!$A$2:$C$11,3,FALSE),0)*L62+IF(D62&lt;&gt;År1,Q62,0),0)</f>
        <v>0</v>
      </c>
      <c r="S62" s="187">
        <f>IFERROR(VLOOKUP(A62,[1]Biogasudbytte!$A$2:$B$18,2,FALSE)*[1]Energiindhold!$C$10,0)*J62*IFERROR(VLOOKUP(A62,Biogasanlæg!$F$3:$G$8,2,FALSE),1)</f>
        <v>0</v>
      </c>
      <c r="T62" s="188">
        <f t="shared" si="11"/>
        <v>0</v>
      </c>
      <c r="U62" s="186">
        <f>O62*IFERROR(VLOOKUP(A62,[1]Tørstofindhold!A$2:B$24,2,FALSE),0)</f>
        <v>0</v>
      </c>
      <c r="V62" s="187">
        <f>IF(D62=År1,P62,SUM(O62,P62))*IFERROR(VLOOKUP(A62,[1]Tørstofindhold!A$2:B$24,2,FALSE),0)</f>
        <v>0</v>
      </c>
      <c r="W62" s="187">
        <f>J62*IFERROR(VLOOKUP(A62,[1]Tørstofindhold!A$2:B$24,2,FALSE),0)</f>
        <v>0</v>
      </c>
      <c r="X62" s="188">
        <f t="shared" si="12"/>
        <v>0</v>
      </c>
      <c r="Y62" s="168">
        <f t="shared" si="2"/>
        <v>1</v>
      </c>
      <c r="Z62" s="103">
        <f t="shared" si="3"/>
        <v>0</v>
      </c>
    </row>
    <row r="63" spans="1:26" x14ac:dyDescent="0.25">
      <c r="A63" s="189" t="str">
        <f t="shared" si="17"/>
        <v>Glycerin</v>
      </c>
      <c r="B63" s="189" t="str">
        <f t="shared" si="18"/>
        <v>Glycerin</v>
      </c>
      <c r="C63" s="189">
        <f>IF(COUNTIFS('Resultater - Danmark'!$D$3:$D$504,'Resultat-Produktion &amp; forbrug'!A63,'Resultater - Danmark'!$A$3:$A$504,"Til energi")+COUNTIFS('Resultater - Danmark'!$D$3:$D$504,'Resultat-Produktion &amp; forbrug'!A63,'Resultater - Danmark'!$A$3:$A$504,"Biogasanlæg")&gt;0,1,0)</f>
        <v>1</v>
      </c>
      <c r="D63" s="189">
        <f t="shared" si="19"/>
        <v>2030</v>
      </c>
      <c r="E63" s="187" t="s">
        <v>23</v>
      </c>
      <c r="F63" s="190">
        <f>IF(E63="Vestdanmark",SUMIFS(IF(D63=År1,'Resultater - Vestdanmark'!H$3:H$504,IF(D63=År2,'Resultater - Vestdanmark'!I$3:I$504,'Resultater - Vestdanmark'!J$3:J$504)),'Resultater - Vestdanmark'!$F$3:$F$504,$A63,IF(D63=År1,'Resultater - Vestdanmark'!H$3:H$504,IF(D63=År2,'Resultater - Vestdanmark'!I$3:I$504,'Resultater - Vestdanmark'!J$3:J$504)),"&gt;0"),SUMIFS(IF(D63=År1,'Resultater - Østdanmark'!H$3:H$504,IF(D63=År2,'Resultater - Østdanmark'!I$3:I$504,'Resultater - Østdanmark'!J$3:J$504)),'Resultater - Østdanmark'!$F$3:$F$504,$A63,IF(D63=År1,'Resultater - Østdanmark'!H$3:H$504,IF(D63=År2,'Resultater - Østdanmark'!I$3:I$504,'Resultater - Østdanmark'!J$3:J$504)),"&gt;0"))</f>
        <v>0</v>
      </c>
      <c r="G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forbrug'!G$2,'Forbrug af biomasse'!$B$2:$B$425,$E63)</f>
        <v>0</v>
      </c>
      <c r="H63" s="187">
        <f>IF(E63="Vestdanmark",-IF(A63="Halm",SUMIFS(IF(D63=År1,'Resultater - Vestdanmark'!H$3:H$504,IF(D63=År2,'Resultater - Vestdanmark'!I$3:I$504,'Resultater - Vestdanmark'!J$3:J$504)),'Resultater - Vestdanmark'!$F$3:$F$504,$A63,'Resultater - Vestdanmark'!H$3:H$504,"&lt;0"),0),-IF(A63="Halm",SUMIFS(IF(D63=År1,'Resultater - Østdanmark'!H$3:H$504,IF(D63=År2,'Resultater - Østdanmark'!I$3:I$504,'Resultater - Østdanmark'!J$3:J$504)),'Resultater - Østdanmark'!$F$3:$F$504,$A63,'Resultater - Østdanmark'!H$3:H$504,"&lt;0"),0))</f>
        <v>0</v>
      </c>
      <c r="I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forbrug'!I$2,'Forbrug af biomasse'!$B$2:$B$425,$E63)</f>
        <v>0</v>
      </c>
      <c r="J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forbrug'!J$2,'Forbrug af biomasse'!$B$2:$B$425,$E63)</f>
        <v>114193.60000000001</v>
      </c>
      <c r="K63" s="190">
        <f>SUMIFS('Forbrug af biomasse'!$E$2:$E$425,'Forbrug af biomasse'!$C$2:$C$425,'Resultat-Produktion &amp; forbrug'!$A63,'Forbrug af biomasse'!$D$2:$D$425,'Resultat-Produktion &amp; forbrug'!$D63,'Forbrug af biomasse'!$A$2:$A$425,'Resultat-Produktion &amp; forbrug'!K$2,'Forbrug af biomasse'!$B$2:$B$425,$E63)</f>
        <v>0</v>
      </c>
      <c r="L63" s="190">
        <f>IF(A63&lt;&gt;"Biogas",SUMIFS('Forbrug af biomasse'!$E$2:$E$425,'Forbrug af biomasse'!$C$2:$C$425,'Resultat-Produktion &amp; forbrug'!$A63,'Forbrug af biomasse'!$D$2:$D$425,'Resultat-Produktion &amp; forbrug'!$D63,'Forbrug af biomasse'!$A$2:$A$425,'Resultat-Produktion &amp; forbrug'!L$2,'Forbrug af biomasse'!$B$2:$B$425,$E63),F63)</f>
        <v>0</v>
      </c>
      <c r="M63" s="154">
        <f>SUMIFS('Forbrug af biomasse'!E:E,'Forbrug af biomasse'!C:C,'Resultat-Produktion &amp; forbrug'!$A63,'Forbrug af biomasse'!D:D,'Resultat-Produktion &amp; forbrug'!$D63,'Forbrug af biomasse'!G:G,1,'Forbrug af biomasse'!B:B,$E63)</f>
        <v>0</v>
      </c>
      <c r="N63" s="199">
        <f t="shared" si="9"/>
        <v>-114193.60000000001</v>
      </c>
      <c r="O63" s="190">
        <f t="shared" si="1"/>
        <v>0</v>
      </c>
      <c r="P63" s="200">
        <f t="shared" si="10"/>
        <v>114193.60000000001</v>
      </c>
      <c r="Q63" s="187">
        <f>IFERROR(VLOOKUP(A63,[1]Energiindhold!$A$2:$C$11,3,FALSE),IFERROR(VLOOKUP(A63,[1]Biogasudbytte!$A$2:$B$18,2,FALSE)*[1]Energiindhold!$C$10,0))*O63</f>
        <v>0</v>
      </c>
      <c r="R63" s="187">
        <f>IF(A63&lt;&gt;"Biogas",IFERROR(VLOOKUP(A63,[1]Biogasudbytte!$A$2:$B$18,2,FALSE)*[1]Energiindhold!$C$10,0)*J63*IFERROR(VLOOKUP(A63,Biogasanlæg!$F$3:$G$8,2,FALSE),1)+IFERROR(VLOOKUP(A63,[1]Energiindhold!$A$2:$C$11,3,FALSE),0)*L63+IF(D63&lt;&gt;År1,Q63,0),0)</f>
        <v>1.7355855896064003</v>
      </c>
      <c r="S63" s="187">
        <f>IFERROR(VLOOKUP(A63,[1]Biogasudbytte!$A$2:$B$18,2,FALSE)*[1]Energiindhold!$C$10,0)*J63*IFERROR(VLOOKUP(A63,Biogasanlæg!$F$3:$G$8,2,FALSE),1)</f>
        <v>1.7355855896064003</v>
      </c>
      <c r="T63" s="188">
        <f t="shared" si="11"/>
        <v>0</v>
      </c>
      <c r="U63" s="186">
        <f>O63*IFERROR(VLOOKUP(A63,[1]Tørstofindhold!A$2:B$24,2,FALSE),0)</f>
        <v>0</v>
      </c>
      <c r="V63" s="187">
        <f>IF(D63=År1,P63,SUM(O63,P63))*IFERROR(VLOOKUP(A63,[1]Tørstofindhold!A$2:B$24,2,FALSE),0)</f>
        <v>102774.24</v>
      </c>
      <c r="W63" s="187">
        <f>J63*IFERROR(VLOOKUP(A63,[1]Tørstofindhold!A$2:B$24,2,FALSE),0)</f>
        <v>102774.24</v>
      </c>
      <c r="X63" s="188">
        <f t="shared" si="12"/>
        <v>0</v>
      </c>
      <c r="Y63" s="168">
        <f t="shared" si="2"/>
        <v>1</v>
      </c>
      <c r="Z63" s="103">
        <f t="shared" si="3"/>
        <v>0</v>
      </c>
    </row>
    <row r="64" spans="1:26" x14ac:dyDescent="0.25">
      <c r="A64" s="189" t="str">
        <f t="shared" si="17"/>
        <v>Græs</v>
      </c>
      <c r="B64" s="189" t="str">
        <f t="shared" si="18"/>
        <v>Græs og urter</v>
      </c>
      <c r="C64" s="189">
        <f>IF(COUNTIFS('Resultater - Danmark'!$D$3:$D$504,'Resultat-Produktion &amp; forbrug'!A64,'Resultater - Danmark'!$A$3:$A$504,"Til energi")+COUNTIFS('Resultater - Danmark'!$D$3:$D$504,'Resultat-Produktion &amp; forbrug'!A64,'Resultater - Danmark'!$A$3:$A$504,"Biogasanlæg")&gt;0,1,0)</f>
        <v>1</v>
      </c>
      <c r="D64" s="189">
        <f t="shared" si="19"/>
        <v>2030</v>
      </c>
      <c r="E64" s="187" t="s">
        <v>23</v>
      </c>
      <c r="F64" s="190">
        <f>IF(E64="Vestdanmark",SUMIFS(IF(D64=År1,'Resultater - Vestdanmark'!H$3:H$504,IF(D64=År2,'Resultater - Vestdanmark'!I$3:I$504,'Resultater - Vestdanmark'!J$3:J$504)),'Resultater - Vestdanmark'!$F$3:$F$504,$A64,IF(D64=År1,'Resultater - Vestdanmark'!H$3:H$504,IF(D64=År2,'Resultater - Vestdanmark'!I$3:I$504,'Resultater - Vestdanmark'!J$3:J$504)),"&gt;0"),SUMIFS(IF(D64=År1,'Resultater - Østdanmark'!H$3:H$504,IF(D64=År2,'Resultater - Østdanmark'!I$3:I$504,'Resultater - Østdanmark'!J$3:J$504)),'Resultater - Østdanmark'!$F$3:$F$504,$A64,IF(D64=År1,'Resultater - Østdanmark'!H$3:H$504,IF(D64=År2,'Resultater - Østdanmark'!I$3:I$504,'Resultater - Østdanmark'!J$3:J$504)),"&gt;0"))</f>
        <v>16375262.677757401</v>
      </c>
      <c r="G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forbrug'!G$2,'Forbrug af biomasse'!$B$2:$B$425,$E64)</f>
        <v>14685227.891109958</v>
      </c>
      <c r="H64" s="187">
        <f>IF(E64="Vestdanmark",-IF(A64="Halm",SUMIFS(IF(D64=År1,'Resultater - Vestdanmark'!H$3:H$504,IF(D64=År2,'Resultater - Vestdanmark'!I$3:I$504,'Resultater - Vestdanmark'!J$3:J$504)),'Resultater - Vestdanmark'!$F$3:$F$504,$A64,'Resultater - Vestdanmark'!H$3:H$504,"&lt;0"),0),-IF(A64="Halm",SUMIFS(IF(D64=År1,'Resultater - Østdanmark'!H$3:H$504,IF(D64=År2,'Resultater - Østdanmark'!I$3:I$504,'Resultater - Østdanmark'!J$3:J$504)),'Resultater - Østdanmark'!$F$3:$F$504,$A64,'Resultater - Østdanmark'!H$3:H$504,"&lt;0"),0))</f>
        <v>0</v>
      </c>
      <c r="I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forbrug'!I$2,'Forbrug af biomasse'!$B$2:$B$425,$E64)</f>
        <v>0</v>
      </c>
      <c r="J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forbrug'!J$2,'Forbrug af biomasse'!$B$2:$B$425,$E64)</f>
        <v>75311.342010026739</v>
      </c>
      <c r="K64" s="190">
        <f>SUMIFS('Forbrug af biomasse'!$E$2:$E$425,'Forbrug af biomasse'!$C$2:$C$425,'Resultat-Produktion &amp; forbrug'!$A64,'Forbrug af biomasse'!$D$2:$D$425,'Resultat-Produktion &amp; forbrug'!$D64,'Forbrug af biomasse'!$A$2:$A$425,'Resultat-Produktion &amp; forbrug'!K$2,'Forbrug af biomasse'!$B$2:$B$425,$E64)</f>
        <v>0</v>
      </c>
      <c r="L64" s="190">
        <f>IF(A64&lt;&gt;"Biogas",SUMIFS('Forbrug af biomasse'!$E$2:$E$425,'Forbrug af biomasse'!$C$2:$C$425,'Resultat-Produktion &amp; forbrug'!$A64,'Forbrug af biomasse'!$D$2:$D$425,'Resultat-Produktion &amp; forbrug'!$D64,'Forbrug af biomasse'!$A$2:$A$425,'Resultat-Produktion &amp; forbrug'!L$2,'Forbrug af biomasse'!$B$2:$B$425,$E64),F64)</f>
        <v>0</v>
      </c>
      <c r="M64" s="154">
        <f>SUMIFS('Forbrug af biomasse'!E:E,'Forbrug af biomasse'!C:C,'Resultat-Produktion &amp; forbrug'!$A64,'Forbrug af biomasse'!D:D,'Resultat-Produktion &amp; forbrug'!$D64,'Forbrug af biomasse'!G:G,1,'Forbrug af biomasse'!B:B,$E64)</f>
        <v>0</v>
      </c>
      <c r="N64" s="199">
        <f t="shared" si="9"/>
        <v>1614723.4446374159</v>
      </c>
      <c r="O64" s="190">
        <f t="shared" si="1"/>
        <v>1614723.4446374159</v>
      </c>
      <c r="P64" s="200">
        <f t="shared" si="10"/>
        <v>75311.342010026739</v>
      </c>
      <c r="Q64" s="187">
        <f>IFERROR(VLOOKUP(A64,[1]Energiindhold!$A$2:$C$11,3,FALSE),IFERROR(VLOOKUP(A64,[1]Biogasudbytte!$A$2:$B$18,2,FALSE)*[1]Energiindhold!$C$10,0))*O64</f>
        <v>2.9708892977022656</v>
      </c>
      <c r="R64" s="187">
        <f>IF(A64&lt;&gt;"Biogas",IFERROR(VLOOKUP(A64,[1]Biogasudbytte!$A$2:$B$18,2,FALSE)*[1]Energiindhold!$C$10,0)*J64*IFERROR(VLOOKUP(A64,Biogasanlæg!$F$3:$G$8,2,FALSE),1)+IFERROR(VLOOKUP(A64,[1]Energiindhold!$A$2:$C$11,3,FALSE),0)*L64+IF(D64&lt;&gt;År1,Q64,0),0)</f>
        <v>3.1094527530829636</v>
      </c>
      <c r="S64" s="187">
        <f>IFERROR(VLOOKUP(A64,[1]Biogasudbytte!$A$2:$B$18,2,FALSE)*[1]Energiindhold!$C$10,0)*J64*IFERROR(VLOOKUP(A64,Biogasanlæg!$F$3:$G$8,2,FALSE),1)</f>
        <v>0.13856345538069795</v>
      </c>
      <c r="T64" s="188">
        <f t="shared" si="11"/>
        <v>2.9708892977022656</v>
      </c>
      <c r="U64" s="186">
        <f>O64*IFERROR(VLOOKUP(A64,[1]Tørstofindhold!A$2:B$24,2,FALSE),0)</f>
        <v>452122.56449847651</v>
      </c>
      <c r="V64" s="187">
        <f>IF(D64=År1,P64,SUM(O64,P64))*IFERROR(VLOOKUP(A64,[1]Tørstofindhold!A$2:B$24,2,FALSE),0)</f>
        <v>473209.74026128399</v>
      </c>
      <c r="W64" s="187">
        <f>J64*IFERROR(VLOOKUP(A64,[1]Tørstofindhold!A$2:B$24,2,FALSE),0)</f>
        <v>21087.175762807488</v>
      </c>
      <c r="X64" s="188">
        <f t="shared" si="12"/>
        <v>452122.56449847651</v>
      </c>
      <c r="Y64" s="168">
        <f t="shared" si="2"/>
        <v>0</v>
      </c>
      <c r="Z64" s="103">
        <f t="shared" si="3"/>
        <v>1</v>
      </c>
    </row>
    <row r="65" spans="1:26" x14ac:dyDescent="0.25">
      <c r="A65" s="189" t="str">
        <f t="shared" si="17"/>
        <v>Græsprotein</v>
      </c>
      <c r="B65" s="189" t="str">
        <f t="shared" si="18"/>
        <v/>
      </c>
      <c r="C65" s="189">
        <f>IF(COUNTIFS('Resultater - Danmark'!$D$3:$D$504,'Resultat-Produktion &amp; forbrug'!A65,'Resultater - Danmark'!$A$3:$A$504,"Til energi")+COUNTIFS('Resultater - Danmark'!$D$3:$D$504,'Resultat-Produktion &amp; forbrug'!A65,'Resultater - Danmark'!$A$3:$A$504,"Biogasanlæg")&gt;0,1,0)</f>
        <v>0</v>
      </c>
      <c r="D65" s="189">
        <f t="shared" si="19"/>
        <v>2030</v>
      </c>
      <c r="E65" s="187" t="s">
        <v>23</v>
      </c>
      <c r="F65" s="190">
        <f>IF(E65="Vestdanmark",SUMIFS(IF(D65=År1,'Resultater - Vestdanmark'!H$3:H$504,IF(D65=År2,'Resultater - Vestdanmark'!I$3:I$504,'Resultater - Vestdanmark'!J$3:J$504)),'Resultater - Vestdanmark'!$F$3:$F$504,$A65,IF(D65=År1,'Resultater - Vestdanmark'!H$3:H$504,IF(D65=År2,'Resultater - Vestdanmark'!I$3:I$504,'Resultater - Vestdanmark'!J$3:J$504)),"&gt;0"),SUMIFS(IF(D65=År1,'Resultater - Østdanmark'!H$3:H$504,IF(D65=År2,'Resultater - Østdanmark'!I$3:I$504,'Resultater - Østdanmark'!J$3:J$504)),'Resultater - Østdanmark'!$F$3:$F$504,$A65,IF(D65=År1,'Resultater - Østdanmark'!H$3:H$504,IF(D65=År2,'Resultater - Østdanmark'!I$3:I$504,'Resultater - Østdanmark'!J$3:J$504)),"&gt;0"))</f>
        <v>0</v>
      </c>
      <c r="G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forbrug'!G$2,'Forbrug af biomasse'!$B$2:$B$425,$E65)</f>
        <v>0</v>
      </c>
      <c r="H65" s="187">
        <f>IF(E65="Vestdanmark",-IF(A65="Halm",SUMIFS(IF(D65=År1,'Resultater - Vestdanmark'!H$3:H$504,IF(D65=År2,'Resultater - Vestdanmark'!I$3:I$504,'Resultater - Vestdanmark'!J$3:J$504)),'Resultater - Vestdanmark'!$F$3:$F$504,$A65,'Resultater - Vestdanmark'!H$3:H$504,"&lt;0"),0),-IF(A65="Halm",SUMIFS(IF(D65=År1,'Resultater - Østdanmark'!H$3:H$504,IF(D65=År2,'Resultater - Østdanmark'!I$3:I$504,'Resultater - Østdanmark'!J$3:J$504)),'Resultater - Østdanmark'!$F$3:$F$504,$A65,'Resultater - Østdanmark'!H$3:H$504,"&lt;0"),0))</f>
        <v>0</v>
      </c>
      <c r="I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forbrug'!I$2,'Forbrug af biomasse'!$B$2:$B$425,$E65)</f>
        <v>0</v>
      </c>
      <c r="J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forbrug'!J$2,'Forbrug af biomasse'!$B$2:$B$425,$E65)</f>
        <v>0</v>
      </c>
      <c r="K65" s="190">
        <f>SUMIFS('Forbrug af biomasse'!$E$2:$E$425,'Forbrug af biomasse'!$C$2:$C$425,'Resultat-Produktion &amp; forbrug'!$A65,'Forbrug af biomasse'!$D$2:$D$425,'Resultat-Produktion &amp; forbrug'!$D65,'Forbrug af biomasse'!$A$2:$A$425,'Resultat-Produktion &amp; forbrug'!K$2,'Forbrug af biomasse'!$B$2:$B$425,$E65)</f>
        <v>0</v>
      </c>
      <c r="L65" s="190">
        <f>IF(A65&lt;&gt;"Biogas",SUMIFS('Forbrug af biomasse'!$E$2:$E$425,'Forbrug af biomasse'!$C$2:$C$425,'Resultat-Produktion &amp; forbrug'!$A65,'Forbrug af biomasse'!$D$2:$D$425,'Resultat-Produktion &amp; forbrug'!$D65,'Forbrug af biomasse'!$A$2:$A$425,'Resultat-Produktion &amp; forbrug'!L$2,'Forbrug af biomasse'!$B$2:$B$425,$E65),F65)</f>
        <v>0</v>
      </c>
      <c r="M65" s="154">
        <f>SUMIFS('Forbrug af biomasse'!E:E,'Forbrug af biomasse'!C:C,'Resultat-Produktion &amp; forbrug'!$A65,'Forbrug af biomasse'!D:D,'Resultat-Produktion &amp; forbrug'!$D65,'Forbrug af biomasse'!G:G,1,'Forbrug af biomasse'!B:B,$E65)</f>
        <v>0</v>
      </c>
      <c r="N65" s="199">
        <f t="shared" si="9"/>
        <v>0</v>
      </c>
      <c r="O65" s="190">
        <f t="shared" si="1"/>
        <v>0</v>
      </c>
      <c r="P65" s="200">
        <f t="shared" si="10"/>
        <v>0</v>
      </c>
      <c r="Q65" s="187">
        <f>IFERROR(VLOOKUP(A65,[1]Energiindhold!$A$2:$C$11,3,FALSE),IFERROR(VLOOKUP(A65,[1]Biogasudbytte!$A$2:$B$18,2,FALSE)*[1]Energiindhold!$C$10,0))*O65</f>
        <v>0</v>
      </c>
      <c r="R65" s="187">
        <f>IF(A65&lt;&gt;"Biogas",IFERROR(VLOOKUP(A65,[1]Biogasudbytte!$A$2:$B$18,2,FALSE)*[1]Energiindhold!$C$10,0)*J65*IFERROR(VLOOKUP(A65,Biogasanlæg!$F$3:$G$8,2,FALSE),1)+IFERROR(VLOOKUP(A65,[1]Energiindhold!$A$2:$C$11,3,FALSE),0)*L65+IF(D65&lt;&gt;År1,Q65,0),0)</f>
        <v>0</v>
      </c>
      <c r="S65" s="187">
        <f>IFERROR(VLOOKUP(A65,[1]Biogasudbytte!$A$2:$B$18,2,FALSE)*[1]Energiindhold!$C$10,0)*J65*IFERROR(VLOOKUP(A65,Biogasanlæg!$F$3:$G$8,2,FALSE),1)</f>
        <v>0</v>
      </c>
      <c r="T65" s="188">
        <f t="shared" si="11"/>
        <v>0</v>
      </c>
      <c r="U65" s="186">
        <f>O65*IFERROR(VLOOKUP(A65,[1]Tørstofindhold!A$2:B$24,2,FALSE),0)</f>
        <v>0</v>
      </c>
      <c r="V65" s="187">
        <f>IF(D65=År1,P65,SUM(O65,P65))*IFERROR(VLOOKUP(A65,[1]Tørstofindhold!A$2:B$24,2,FALSE),0)</f>
        <v>0</v>
      </c>
      <c r="W65" s="187">
        <f>J65*IFERROR(VLOOKUP(A65,[1]Tørstofindhold!A$2:B$24,2,FALSE),0)</f>
        <v>0</v>
      </c>
      <c r="X65" s="188">
        <f t="shared" si="12"/>
        <v>0</v>
      </c>
      <c r="Y65" s="168">
        <f t="shared" si="2"/>
        <v>0</v>
      </c>
      <c r="Z65" s="103">
        <f t="shared" si="3"/>
        <v>0</v>
      </c>
    </row>
    <row r="66" spans="1:26" x14ac:dyDescent="0.25">
      <c r="A66" s="189" t="str">
        <f t="shared" si="17"/>
        <v>Grøntsager</v>
      </c>
      <c r="B66" s="189" t="str">
        <f t="shared" si="18"/>
        <v/>
      </c>
      <c r="C66" s="189">
        <f>IF(COUNTIFS('Resultater - Danmark'!$D$3:$D$504,'Resultat-Produktion &amp; forbrug'!A66,'Resultater - Danmark'!$A$3:$A$504,"Til energi")+COUNTIFS('Resultater - Danmark'!$D$3:$D$504,'Resultat-Produktion &amp; forbrug'!A66,'Resultater - Danmark'!$A$3:$A$504,"Biogasanlæg")&gt;0,1,0)</f>
        <v>0</v>
      </c>
      <c r="D66" s="189">
        <f t="shared" si="19"/>
        <v>2030</v>
      </c>
      <c r="E66" s="187" t="s">
        <v>23</v>
      </c>
      <c r="F66" s="190">
        <f>IF(E66="Vestdanmark",SUMIFS(IF(D66=År1,'Resultater - Vestdanmark'!H$3:H$504,IF(D66=År2,'Resultater - Vestdanmark'!I$3:I$504,'Resultater - Vestdanmark'!J$3:J$504)),'Resultater - Vestdanmark'!$F$3:$F$504,$A66,IF(D66=År1,'Resultater - Vestdanmark'!H$3:H$504,IF(D66=År2,'Resultater - Vestdanmark'!I$3:I$504,'Resultater - Vestdanmark'!J$3:J$504)),"&gt;0"),SUMIFS(IF(D66=År1,'Resultater - Østdanmark'!H$3:H$504,IF(D66=År2,'Resultater - Østdanmark'!I$3:I$504,'Resultater - Østdanmark'!J$3:J$504)),'Resultater - Østdanmark'!$F$3:$F$504,$A66,IF(D66=År1,'Resultater - Østdanmark'!H$3:H$504,IF(D66=År2,'Resultater - Østdanmark'!I$3:I$504,'Resultater - Østdanmark'!J$3:J$504)),"&gt;0"))</f>
        <v>192848.72920371042</v>
      </c>
      <c r="G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forbrug'!G$2,'Forbrug af biomasse'!$B$2:$B$425,$E66)</f>
        <v>0</v>
      </c>
      <c r="H66" s="187">
        <f>IF(E66="Vestdanmark",-IF(A66="Halm",SUMIFS(IF(D66=År1,'Resultater - Vestdanmark'!H$3:H$504,IF(D66=År2,'Resultater - Vestdanmark'!I$3:I$504,'Resultater - Vestdanmark'!J$3:J$504)),'Resultater - Vestdanmark'!$F$3:$F$504,$A66,'Resultater - Vestdanmark'!H$3:H$504,"&lt;0"),0),-IF(A66="Halm",SUMIFS(IF(D66=År1,'Resultater - Østdanmark'!H$3:H$504,IF(D66=År2,'Resultater - Østdanmark'!I$3:I$504,'Resultater - Østdanmark'!J$3:J$504)),'Resultater - Østdanmark'!$F$3:$F$504,$A66,'Resultater - Østdanmark'!H$3:H$504,"&lt;0"),0))</f>
        <v>0</v>
      </c>
      <c r="I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forbrug'!I$2,'Forbrug af biomasse'!$B$2:$B$425,$E66)</f>
        <v>270140.71358529059</v>
      </c>
      <c r="J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forbrug'!J$2,'Forbrug af biomasse'!$B$2:$B$425,$E66)</f>
        <v>0</v>
      </c>
      <c r="K66" s="190">
        <f>SUMIFS('Forbrug af biomasse'!$E$2:$E$425,'Forbrug af biomasse'!$C$2:$C$425,'Resultat-Produktion &amp; forbrug'!$A66,'Forbrug af biomasse'!$D$2:$D$425,'Resultat-Produktion &amp; forbrug'!$D66,'Forbrug af biomasse'!$A$2:$A$425,'Resultat-Produktion &amp; forbrug'!K$2,'Forbrug af biomasse'!$B$2:$B$425,$E66)</f>
        <v>0</v>
      </c>
      <c r="L66" s="190">
        <f>IF(A66&lt;&gt;"Biogas",SUMIFS('Forbrug af biomasse'!$E$2:$E$425,'Forbrug af biomasse'!$C$2:$C$425,'Resultat-Produktion &amp; forbrug'!$A66,'Forbrug af biomasse'!$D$2:$D$425,'Resultat-Produktion &amp; forbrug'!$D66,'Forbrug af biomasse'!$A$2:$A$425,'Resultat-Produktion &amp; forbrug'!L$2,'Forbrug af biomasse'!$B$2:$B$425,$E66),F66)</f>
        <v>0</v>
      </c>
      <c r="M66" s="154">
        <f>SUMIFS('Forbrug af biomasse'!E:E,'Forbrug af biomasse'!C:C,'Resultat-Produktion &amp; forbrug'!$A66,'Forbrug af biomasse'!D:D,'Resultat-Produktion &amp; forbrug'!$D66,'Forbrug af biomasse'!G:G,1,'Forbrug af biomasse'!B:B,$E66)</f>
        <v>0</v>
      </c>
      <c r="N66" s="199">
        <f t="shared" si="9"/>
        <v>-77291.984381580172</v>
      </c>
      <c r="O66" s="190">
        <f t="shared" si="1"/>
        <v>0</v>
      </c>
      <c r="P66" s="200">
        <f t="shared" si="10"/>
        <v>0</v>
      </c>
      <c r="Q66" s="187">
        <f>IFERROR(VLOOKUP(A66,[1]Energiindhold!$A$2:$C$11,3,FALSE),IFERROR(VLOOKUP(A66,[1]Biogasudbytte!$A$2:$B$18,2,FALSE)*[1]Energiindhold!$C$10,0))*O66</f>
        <v>0</v>
      </c>
      <c r="R66" s="187">
        <f>IF(A66&lt;&gt;"Biogas",IFERROR(VLOOKUP(A66,[1]Biogasudbytte!$A$2:$B$18,2,FALSE)*[1]Energiindhold!$C$10,0)*J66*IFERROR(VLOOKUP(A66,Biogasanlæg!$F$3:$G$8,2,FALSE),1)+IFERROR(VLOOKUP(A66,[1]Energiindhold!$A$2:$C$11,3,FALSE),0)*L66+IF(D66&lt;&gt;År1,Q66,0),0)</f>
        <v>0</v>
      </c>
      <c r="S66" s="187">
        <f>IFERROR(VLOOKUP(A66,[1]Biogasudbytte!$A$2:$B$18,2,FALSE)*[1]Energiindhold!$C$10,0)*J66*IFERROR(VLOOKUP(A66,Biogasanlæg!$F$3:$G$8,2,FALSE),1)</f>
        <v>0</v>
      </c>
      <c r="T66" s="188">
        <f t="shared" si="11"/>
        <v>0</v>
      </c>
      <c r="U66" s="186">
        <f>O66*IFERROR(VLOOKUP(A66,[1]Tørstofindhold!A$2:B$24,2,FALSE),0)</f>
        <v>0</v>
      </c>
      <c r="V66" s="187">
        <f>IF(D66=År1,P66,SUM(O66,P66))*IFERROR(VLOOKUP(A66,[1]Tørstofindhold!A$2:B$24,2,FALSE),0)</f>
        <v>0</v>
      </c>
      <c r="W66" s="187">
        <f>J66*IFERROR(VLOOKUP(A66,[1]Tørstofindhold!A$2:B$24,2,FALSE),0)</f>
        <v>0</v>
      </c>
      <c r="X66" s="188">
        <f t="shared" si="12"/>
        <v>0</v>
      </c>
      <c r="Y66" s="168">
        <f t="shared" si="2"/>
        <v>1</v>
      </c>
      <c r="Z66" s="103">
        <f t="shared" si="3"/>
        <v>0</v>
      </c>
    </row>
    <row r="67" spans="1:26" x14ac:dyDescent="0.25">
      <c r="A67" s="189" t="str">
        <f t="shared" si="17"/>
        <v>Halm</v>
      </c>
      <c r="B67" s="189" t="str">
        <f t="shared" si="18"/>
        <v>Halm og strå</v>
      </c>
      <c r="C67" s="189">
        <f>IF(COUNTIFS('Resultater - Danmark'!$D$3:$D$504,'Resultat-Produktion &amp; forbrug'!A67,'Resultater - Danmark'!$A$3:$A$504,"Til energi")+COUNTIFS('Resultater - Danmark'!$D$3:$D$504,'Resultat-Produktion &amp; forbrug'!A67,'Resultater - Danmark'!$A$3:$A$504,"Biogasanlæg")&gt;0,1,0)</f>
        <v>1</v>
      </c>
      <c r="D67" s="189">
        <f t="shared" si="19"/>
        <v>2030</v>
      </c>
      <c r="E67" s="187" t="s">
        <v>23</v>
      </c>
      <c r="F67" s="190">
        <f>IF(E67="Vestdanmark",SUMIFS(IF(D67=År1,'Resultater - Vestdanmark'!H$3:H$504,IF(D67=År2,'Resultater - Vestdanmark'!I$3:I$504,'Resultater - Vestdanmark'!J$3:J$504)),'Resultater - Vestdanmark'!$F$3:$F$504,$A67,IF(D67=År1,'Resultater - Vestdanmark'!H$3:H$504,IF(D67=År2,'Resultater - Vestdanmark'!I$3:I$504,'Resultater - Vestdanmark'!J$3:J$504)),"&gt;0"),SUMIFS(IF(D67=År1,'Resultater - Østdanmark'!H$3:H$504,IF(D67=År2,'Resultater - Østdanmark'!I$3:I$504,'Resultater - Østdanmark'!J$3:J$504)),'Resultater - Østdanmark'!$F$3:$F$504,$A67,IF(D67=År1,'Resultater - Østdanmark'!H$3:H$504,IF(D67=År2,'Resultater - Østdanmark'!I$3:I$504,'Resultater - Østdanmark'!J$3:J$504)),"&gt;0"))</f>
        <v>2643891.6563181542</v>
      </c>
      <c r="G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forbrug'!G$2,'Forbrug af biomasse'!$B$2:$B$425,$E67)</f>
        <v>927703.07225151139</v>
      </c>
      <c r="H67" s="187">
        <f>IF(E67="Vestdanmark",-IF(A67="Halm",SUMIFS(IF(D67=År1,'Resultater - Vestdanmark'!H$3:H$504,IF(D67=År2,'Resultater - Vestdanmark'!I$3:I$504,'Resultater - Vestdanmark'!J$3:J$504)),'Resultater - Vestdanmark'!$F$3:$F$504,$A67,'Resultater - Vestdanmark'!H$3:H$504,"&lt;0"),0),-IF(A67="Halm",SUMIFS(IF(D67=År1,'Resultater - Østdanmark'!H$3:H$504,IF(D67=År2,'Resultater - Østdanmark'!I$3:I$504,'Resultater - Østdanmark'!J$3:J$504)),'Resultater - Østdanmark'!$F$3:$F$504,$A67,'Resultater - Østdanmark'!H$3:H$504,"&lt;0"),0))</f>
        <v>872369.9448285551</v>
      </c>
      <c r="I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forbrug'!I$2,'Forbrug af biomasse'!$B$2:$B$425,$E67)</f>
        <v>0</v>
      </c>
      <c r="J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forbrug'!J$2,'Forbrug af biomasse'!$B$2:$B$425,$E67)</f>
        <v>52104.863193195859</v>
      </c>
      <c r="K67" s="190">
        <f>SUMIFS('Forbrug af biomasse'!$E$2:$E$425,'Forbrug af biomasse'!$C$2:$C$425,'Resultat-Produktion &amp; forbrug'!$A67,'Forbrug af biomasse'!$D$2:$D$425,'Resultat-Produktion &amp; forbrug'!$D67,'Forbrug af biomasse'!$A$2:$A$425,'Resultat-Produktion &amp; forbrug'!K$2,'Forbrug af biomasse'!$B$2:$B$425,$E67)</f>
        <v>0</v>
      </c>
      <c r="L67" s="190">
        <f>IF(A67&lt;&gt;"Biogas",SUMIFS('Forbrug af biomasse'!$E$2:$E$425,'Forbrug af biomasse'!$C$2:$C$425,'Resultat-Produktion &amp; forbrug'!$A67,'Forbrug af biomasse'!$D$2:$D$425,'Resultat-Produktion &amp; forbrug'!$D67,'Forbrug af biomasse'!$A$2:$A$425,'Resultat-Produktion &amp; forbrug'!L$2,'Forbrug af biomasse'!$B$2:$B$425,$E67),F67)</f>
        <v>791713.77604489354</v>
      </c>
      <c r="M67" s="154">
        <f>SUMIFS('Forbrug af biomasse'!E:E,'Forbrug af biomasse'!C:C,'Resultat-Produktion &amp; forbrug'!$A67,'Forbrug af biomasse'!D:D,'Resultat-Produktion &amp; forbrug'!$D67,'Forbrug af biomasse'!G:G,1,'Forbrug af biomasse'!B:B,$E67)</f>
        <v>0</v>
      </c>
      <c r="N67" s="199">
        <f t="shared" si="9"/>
        <v>0</v>
      </c>
      <c r="O67" s="190">
        <f t="shared" ref="O67:O130" si="20">IF(C67=1,IF(N67+IF(SUMIFS($N$3:$N$290,$A$3:$A$290,A67,$D$3:$D$290,D67,$E$3:$E$290,"&lt;&gt;"&amp;E67)&lt;0,SUMIFS($N$3:$N$290,$A$3:$A$290,A67,$D$3:$D$290,D67,$E$3:$E$290,"&lt;&gt;"&amp;E67),0)&gt;0,N67+IF(SUMIFS($N$3:$N$290,$A$3:$A$290,A67,$D$3:$D$290,D67,$E$3:$E$290,"&lt;&gt;"&amp;E67)&lt;0,SUMIFS($N$3:$N$290,$A$3:$A$290,A67,$D$3:$D$290,D67,$E$3:$E$290,"&lt;&gt;"&amp;E67),0),0),0)</f>
        <v>0</v>
      </c>
      <c r="P67" s="200">
        <f t="shared" si="10"/>
        <v>843818.63923808944</v>
      </c>
      <c r="Q67" s="187">
        <f>IFERROR(VLOOKUP(A67,[1]Energiindhold!$A$2:$C$11,3,FALSE),IFERROR(VLOOKUP(A67,[1]Biogasudbytte!$A$2:$B$18,2,FALSE)*[1]Energiindhold!$C$10,0))*O67</f>
        <v>0</v>
      </c>
      <c r="R67" s="187">
        <f>IF(A67&lt;&gt;"Biogas",IFERROR(VLOOKUP(A67,[1]Biogasudbytte!$A$2:$B$18,2,FALSE)*[1]Energiindhold!$C$10,0)*J67*IFERROR(VLOOKUP(A67,Biogasanlæg!$F$3:$G$8,2,FALSE),1)+IFERROR(VLOOKUP(A67,[1]Energiindhold!$A$2:$C$11,3,FALSE),0)*L67+IF(D67&lt;&gt;År1,Q67,0),0)</f>
        <v>8.4834129381597148</v>
      </c>
      <c r="S67" s="187">
        <f>IFERROR(VLOOKUP(A67,[1]Biogasudbytte!$A$2:$B$18,2,FALSE)*[1]Energiindhold!$C$10,0)*J67*IFERROR(VLOOKUP(A67,Biogasanlæg!$F$3:$G$8,2,FALSE),1)</f>
        <v>0.30041267293489848</v>
      </c>
      <c r="T67" s="188">
        <f t="shared" si="11"/>
        <v>8.1830002652248162</v>
      </c>
      <c r="U67" s="186">
        <f>O67*IFERROR(VLOOKUP(A67,[1]Tørstofindhold!A$2:B$24,2,FALSE),0)</f>
        <v>0</v>
      </c>
      <c r="V67" s="187">
        <f>IF(D67=År1,P67,SUM(O67,P67))*IFERROR(VLOOKUP(A67,[1]Tørstofindhold!A$2:B$24,2,FALSE),0)</f>
        <v>717245.84335237602</v>
      </c>
      <c r="W67" s="187">
        <f>J67*IFERROR(VLOOKUP(A67,[1]Tørstofindhold!A$2:B$24,2,FALSE),0)</f>
        <v>44289.133714216478</v>
      </c>
      <c r="X67" s="188">
        <f t="shared" si="12"/>
        <v>672956.70963815949</v>
      </c>
      <c r="Y67" s="168">
        <f t="shared" ref="Y67:Y130" si="21">IF(SUMIFS($N$3:$N$290,$A$3:$A$290,A67,$D$3:$D$290,D67)&lt;0,1,0)</f>
        <v>0</v>
      </c>
      <c r="Z67" s="103">
        <f t="shared" ref="Z67:Z130" si="22">IF(SUMIFS($N$3:$N$290,$A$3:$A$290,A67,$D$3:$D$290,D67)&gt;0,1,0)</f>
        <v>0</v>
      </c>
    </row>
    <row r="68" spans="1:26" x14ac:dyDescent="0.25">
      <c r="A68" s="189" t="str">
        <f t="shared" si="17"/>
        <v>Have/parkaffald</v>
      </c>
      <c r="B68" s="189" t="str">
        <f t="shared" si="18"/>
        <v>Bionedbrydeligt affald</v>
      </c>
      <c r="C68" s="189">
        <f>IF(COUNTIFS('Resultater - Danmark'!$D$3:$D$504,'Resultat-Produktion &amp; forbrug'!A68,'Resultater - Danmark'!$A$3:$A$504,"Til energi")+COUNTIFS('Resultater - Danmark'!$D$3:$D$504,'Resultat-Produktion &amp; forbrug'!A68,'Resultater - Danmark'!$A$3:$A$504,"Biogasanlæg")&gt;0,1,0)</f>
        <v>1</v>
      </c>
      <c r="D68" s="189">
        <f t="shared" si="19"/>
        <v>2030</v>
      </c>
      <c r="E68" s="187" t="s">
        <v>23</v>
      </c>
      <c r="F68" s="190">
        <f>IF(E68="Vestdanmark",SUMIFS(IF(D68=År1,'Resultater - Vestdanmark'!H$3:H$504,IF(D68=År2,'Resultater - Vestdanmark'!I$3:I$504,'Resultater - Vestdanmark'!J$3:J$504)),'Resultater - Vestdanmark'!$F$3:$F$504,$A68,IF(D68=År1,'Resultater - Vestdanmark'!H$3:H$504,IF(D68=År2,'Resultater - Vestdanmark'!I$3:I$504,'Resultater - Vestdanmark'!J$3:J$504)),"&gt;0"),SUMIFS(IF(D68=År1,'Resultater - Østdanmark'!H$3:H$504,IF(D68=År2,'Resultater - Østdanmark'!I$3:I$504,'Resultater - Østdanmark'!J$3:J$504)),'Resultater - Østdanmark'!$F$3:$F$504,$A68,IF(D68=År1,'Resultater - Østdanmark'!H$3:H$504,IF(D68=År2,'Resultater - Østdanmark'!I$3:I$504,'Resultater - Østdanmark'!J$3:J$504)),"&gt;0"))</f>
        <v>526734.10986839118</v>
      </c>
      <c r="G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forbrug'!G$2,'Forbrug af biomasse'!$B$2:$B$425,$E68)</f>
        <v>0</v>
      </c>
      <c r="H68" s="187">
        <f>IF(E68="Vestdanmark",-IF(A68="Halm",SUMIFS(IF(D68=År1,'Resultater - Vestdanmark'!H$3:H$504,IF(D68=År2,'Resultater - Vestdanmark'!I$3:I$504,'Resultater - Vestdanmark'!J$3:J$504)),'Resultater - Vestdanmark'!$F$3:$F$504,$A68,'Resultater - Vestdanmark'!H$3:H$504,"&lt;0"),0),-IF(A68="Halm",SUMIFS(IF(D68=År1,'Resultater - Østdanmark'!H$3:H$504,IF(D68=År2,'Resultater - Østdanmark'!I$3:I$504,'Resultater - Østdanmark'!J$3:J$504)),'Resultater - Østdanmark'!$F$3:$F$504,$A68,'Resultater - Østdanmark'!H$3:H$504,"&lt;0"),0))</f>
        <v>0</v>
      </c>
      <c r="I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forbrug'!I$2,'Forbrug af biomasse'!$B$2:$B$425,$E68)</f>
        <v>0</v>
      </c>
      <c r="J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forbrug'!J$2,'Forbrug af biomasse'!$B$2:$B$425,$E68)</f>
        <v>41.80391161429587</v>
      </c>
      <c r="K68" s="190">
        <f>SUMIFS('Forbrug af biomasse'!$E$2:$E$425,'Forbrug af biomasse'!$C$2:$C$425,'Resultat-Produktion &amp; forbrug'!$A68,'Forbrug af biomasse'!$D$2:$D$425,'Resultat-Produktion &amp; forbrug'!$D68,'Forbrug af biomasse'!$A$2:$A$425,'Resultat-Produktion &amp; forbrug'!K$2,'Forbrug af biomasse'!$B$2:$B$425,$E68)</f>
        <v>0</v>
      </c>
      <c r="L68" s="190">
        <f>IF(A68&lt;&gt;"Biogas",SUMIFS('Forbrug af biomasse'!$E$2:$E$425,'Forbrug af biomasse'!$C$2:$C$425,'Resultat-Produktion &amp; forbrug'!$A68,'Forbrug af biomasse'!$D$2:$D$425,'Resultat-Produktion &amp; forbrug'!$D68,'Forbrug af biomasse'!$A$2:$A$425,'Resultat-Produktion &amp; forbrug'!L$2,'Forbrug af biomasse'!$B$2:$B$425,$E68),F68)</f>
        <v>526692.30595677684</v>
      </c>
      <c r="M68" s="154">
        <f>SUMIFS('Forbrug af biomasse'!E:E,'Forbrug af biomasse'!C:C,'Resultat-Produktion &amp; forbrug'!$A68,'Forbrug af biomasse'!D:D,'Resultat-Produktion &amp; forbrug'!$D68,'Forbrug af biomasse'!G:G,1,'Forbrug af biomasse'!B:B,$E68)</f>
        <v>0</v>
      </c>
      <c r="N68" s="199">
        <f t="shared" si="9"/>
        <v>0</v>
      </c>
      <c r="O68" s="190">
        <f t="shared" si="20"/>
        <v>0</v>
      </c>
      <c r="P68" s="200">
        <f t="shared" si="10"/>
        <v>526734.10986839118</v>
      </c>
      <c r="Q68" s="187">
        <f>IFERROR(VLOOKUP(A68,[1]Energiindhold!$A$2:$C$11,3,FALSE),IFERROR(VLOOKUP(A68,[1]Biogasudbytte!$A$2:$B$18,2,FALSE)*[1]Energiindhold!$C$10,0))*O68</f>
        <v>0</v>
      </c>
      <c r="R68" s="187">
        <f>IF(A68&lt;&gt;"Biogas",IFERROR(VLOOKUP(A68,[1]Biogasudbytte!$A$2:$B$18,2,FALSE)*[1]Energiindhold!$C$10,0)*J68*IFERROR(VLOOKUP(A68,Biogasanlæg!$F$3:$G$8,2,FALSE),1)+IFERROR(VLOOKUP(A68,[1]Energiindhold!$A$2:$C$11,3,FALSE),0)*L68+IF(D68&lt;&gt;År1,Q68,0),0)</f>
        <v>9.4026981784507786</v>
      </c>
      <c r="S68" s="187">
        <f>IFERROR(VLOOKUP(A68,[1]Biogasudbytte!$A$2:$B$18,2,FALSE)*[1]Energiindhold!$C$10,0)*J68*IFERROR(VLOOKUP(A68,Biogasanlæg!$F$3:$G$8,2,FALSE),1)</f>
        <v>7.0985968194887394E-5</v>
      </c>
      <c r="T68" s="188">
        <f t="shared" si="11"/>
        <v>9.4026271924825835</v>
      </c>
      <c r="U68" s="186">
        <f>O68*IFERROR(VLOOKUP(A68,[1]Tørstofindhold!A$2:B$24,2,FALSE),0)</f>
        <v>0</v>
      </c>
      <c r="V68" s="187">
        <f>IF(D68=År1,P68,SUM(O68,P68))*IFERROR(VLOOKUP(A68,[1]Tørstofindhold!A$2:B$24,2,FALSE),0)</f>
        <v>158020.23296051734</v>
      </c>
      <c r="W68" s="187">
        <f>J68*IFERROR(VLOOKUP(A68,[1]Tørstofindhold!A$2:B$24,2,FALSE),0)</f>
        <v>12.541173484288761</v>
      </c>
      <c r="X68" s="188">
        <f t="shared" si="12"/>
        <v>158007.69178703305</v>
      </c>
      <c r="Y68" s="168">
        <f t="shared" si="21"/>
        <v>0</v>
      </c>
      <c r="Z68" s="103">
        <f t="shared" si="22"/>
        <v>0</v>
      </c>
    </row>
    <row r="69" spans="1:26" x14ac:dyDescent="0.25">
      <c r="A69" s="189" t="str">
        <f t="shared" si="17"/>
        <v>Import af foder</v>
      </c>
      <c r="B69" s="189" t="str">
        <f t="shared" si="18"/>
        <v/>
      </c>
      <c r="C69" s="189">
        <f>IF(COUNTIFS('Resultater - Danmark'!$D$3:$D$504,'Resultat-Produktion &amp; forbrug'!A69,'Resultater - Danmark'!$A$3:$A$504,"Til energi")+COUNTIFS('Resultater - Danmark'!$D$3:$D$504,'Resultat-Produktion &amp; forbrug'!A69,'Resultater - Danmark'!$A$3:$A$504,"Biogasanlæg")&gt;0,1,0)</f>
        <v>0</v>
      </c>
      <c r="D69" s="189">
        <f t="shared" si="19"/>
        <v>2030</v>
      </c>
      <c r="E69" s="187" t="s">
        <v>23</v>
      </c>
      <c r="F69" s="190">
        <f>IF(E69="Vestdanmark",SUMIFS(IF(D69=År1,'Resultater - Vestdanmark'!H$3:H$504,IF(D69=År2,'Resultater - Vestdanmark'!I$3:I$504,'Resultater - Vestdanmark'!J$3:J$504)),'Resultater - Vestdanmark'!$F$3:$F$504,$A69,IF(D69=År1,'Resultater - Vestdanmark'!H$3:H$504,IF(D69=År2,'Resultater - Vestdanmark'!I$3:I$504,'Resultater - Vestdanmark'!J$3:J$504)),"&gt;0"),SUMIFS(IF(D69=År1,'Resultater - Østdanmark'!H$3:H$504,IF(D69=År2,'Resultater - Østdanmark'!I$3:I$504,'Resultater - Østdanmark'!J$3:J$504)),'Resultater - Østdanmark'!$F$3:$F$504,$A69,IF(D69=År1,'Resultater - Østdanmark'!H$3:H$504,IF(D69=År2,'Resultater - Østdanmark'!I$3:I$504,'Resultater - Østdanmark'!J$3:J$504)),"&gt;0"))</f>
        <v>0</v>
      </c>
      <c r="G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forbrug'!G$2,'Forbrug af biomasse'!$B$2:$B$425,$E69)</f>
        <v>5794113.0468547465</v>
      </c>
      <c r="H69" s="187">
        <f>IF(E69="Vestdanmark",-IF(A69="Halm",SUMIFS(IF(D69=År1,'Resultater - Vestdanmark'!H$3:H$504,IF(D69=År2,'Resultater - Vestdanmark'!I$3:I$504,'Resultater - Vestdanmark'!J$3:J$504)),'Resultater - Vestdanmark'!$F$3:$F$504,$A69,'Resultater - Vestdanmark'!H$3:H$504,"&lt;0"),0),-IF(A69="Halm",SUMIFS(IF(D69=År1,'Resultater - Østdanmark'!H$3:H$504,IF(D69=År2,'Resultater - Østdanmark'!I$3:I$504,'Resultater - Østdanmark'!J$3:J$504)),'Resultater - Østdanmark'!$F$3:$F$504,$A69,'Resultater - Østdanmark'!H$3:H$504,"&lt;0"),0))</f>
        <v>0</v>
      </c>
      <c r="I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forbrug'!I$2,'Forbrug af biomasse'!$B$2:$B$425,$E69)</f>
        <v>0</v>
      </c>
      <c r="J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forbrug'!J$2,'Forbrug af biomasse'!$B$2:$B$425,$E69)</f>
        <v>0</v>
      </c>
      <c r="K69" s="190">
        <f>SUMIFS('Forbrug af biomasse'!$E$2:$E$425,'Forbrug af biomasse'!$C$2:$C$425,'Resultat-Produktion &amp; forbrug'!$A69,'Forbrug af biomasse'!$D$2:$D$425,'Resultat-Produktion &amp; forbrug'!$D69,'Forbrug af biomasse'!$A$2:$A$425,'Resultat-Produktion &amp; forbrug'!K$2,'Forbrug af biomasse'!$B$2:$B$425,$E69)</f>
        <v>0</v>
      </c>
      <c r="L69" s="190">
        <f>IF(A69&lt;&gt;"Biogas",SUMIFS('Forbrug af biomasse'!$E$2:$E$425,'Forbrug af biomasse'!$C$2:$C$425,'Resultat-Produktion &amp; forbrug'!$A69,'Forbrug af biomasse'!$D$2:$D$425,'Resultat-Produktion &amp; forbrug'!$D69,'Forbrug af biomasse'!$A$2:$A$425,'Resultat-Produktion &amp; forbrug'!L$2,'Forbrug af biomasse'!$B$2:$B$425,$E69),F69)</f>
        <v>0</v>
      </c>
      <c r="M69" s="154">
        <f>SUMIFS('Forbrug af biomasse'!E:E,'Forbrug af biomasse'!C:C,'Resultat-Produktion &amp; forbrug'!$A69,'Forbrug af biomasse'!D:D,'Resultat-Produktion &amp; forbrug'!$D69,'Forbrug af biomasse'!G:G,1,'Forbrug af biomasse'!B:B,$E69)</f>
        <v>0</v>
      </c>
      <c r="N69" s="199">
        <f t="shared" si="9"/>
        <v>-5794113.0468547465</v>
      </c>
      <c r="O69" s="190">
        <f t="shared" si="20"/>
        <v>0</v>
      </c>
      <c r="P69" s="200">
        <f t="shared" si="10"/>
        <v>0</v>
      </c>
      <c r="Q69" s="187">
        <f>IFERROR(VLOOKUP(A69,[1]Energiindhold!$A$2:$C$11,3,FALSE),IFERROR(VLOOKUP(A69,[1]Biogasudbytte!$A$2:$B$18,2,FALSE)*[1]Energiindhold!$C$10,0))*O69</f>
        <v>0</v>
      </c>
      <c r="R69" s="187">
        <f>IF(A69&lt;&gt;"Biogas",IFERROR(VLOOKUP(A69,[1]Biogasudbytte!$A$2:$B$18,2,FALSE)*[1]Energiindhold!$C$10,0)*J69*IFERROR(VLOOKUP(A69,Biogasanlæg!$F$3:$G$8,2,FALSE),1)+IFERROR(VLOOKUP(A69,[1]Energiindhold!$A$2:$C$11,3,FALSE),0)*L69+IF(D69&lt;&gt;År1,Q69,0),0)</f>
        <v>0</v>
      </c>
      <c r="S69" s="187">
        <f>IFERROR(VLOOKUP(A69,[1]Biogasudbytte!$A$2:$B$18,2,FALSE)*[1]Energiindhold!$C$10,0)*J69*IFERROR(VLOOKUP(A69,Biogasanlæg!$F$3:$G$8,2,FALSE),1)</f>
        <v>0</v>
      </c>
      <c r="T69" s="188">
        <f t="shared" si="11"/>
        <v>0</v>
      </c>
      <c r="U69" s="186">
        <f>O69*IFERROR(VLOOKUP(A69,[1]Tørstofindhold!A$2:B$24,2,FALSE),0)</f>
        <v>0</v>
      </c>
      <c r="V69" s="187">
        <f>IF(D69=År1,P69,SUM(O69,P69))*IFERROR(VLOOKUP(A69,[1]Tørstofindhold!A$2:B$24,2,FALSE),0)</f>
        <v>0</v>
      </c>
      <c r="W69" s="187">
        <f>J69*IFERROR(VLOOKUP(A69,[1]Tørstofindhold!A$2:B$24,2,FALSE),0)</f>
        <v>0</v>
      </c>
      <c r="X69" s="188">
        <f t="shared" si="12"/>
        <v>0</v>
      </c>
      <c r="Y69" s="168">
        <f t="shared" si="21"/>
        <v>1</v>
      </c>
      <c r="Z69" s="103">
        <f t="shared" si="22"/>
        <v>0</v>
      </c>
    </row>
    <row r="70" spans="1:26" x14ac:dyDescent="0.25">
      <c r="A70" s="189" t="str">
        <f t="shared" si="17"/>
        <v>Industriaffald</v>
      </c>
      <c r="B70" s="189" t="str">
        <f t="shared" si="18"/>
        <v>Bionedbrydeligt affald</v>
      </c>
      <c r="C70" s="189">
        <f>IF(COUNTIFS('Resultater - Danmark'!$D$3:$D$504,'Resultat-Produktion &amp; forbrug'!A70,'Resultater - Danmark'!$A$3:$A$504,"Til energi")+COUNTIFS('Resultater - Danmark'!$D$3:$D$504,'Resultat-Produktion &amp; forbrug'!A70,'Resultater - Danmark'!$A$3:$A$504,"Biogasanlæg")&gt;0,1,0)</f>
        <v>1</v>
      </c>
      <c r="D70" s="189">
        <f t="shared" si="19"/>
        <v>2030</v>
      </c>
      <c r="E70" s="187" t="s">
        <v>23</v>
      </c>
      <c r="F70" s="190">
        <f>IF(E70="Vestdanmark",SUMIFS(IF(D70=År1,'Resultater - Vestdanmark'!H$3:H$504,IF(D70=År2,'Resultater - Vestdanmark'!I$3:I$504,'Resultater - Vestdanmark'!J$3:J$504)),'Resultater - Vestdanmark'!$F$3:$F$504,$A70,IF(D70=År1,'Resultater - Vestdanmark'!H$3:H$504,IF(D70=År2,'Resultater - Vestdanmark'!I$3:I$504,'Resultater - Vestdanmark'!J$3:J$504)),"&gt;0"),SUMIFS(IF(D70=År1,'Resultater - Østdanmark'!H$3:H$504,IF(D70=År2,'Resultater - Østdanmark'!I$3:I$504,'Resultater - Østdanmark'!J$3:J$504)),'Resultater - Østdanmark'!$F$3:$F$504,$A70,IF(D70=År1,'Resultater - Østdanmark'!H$3:H$504,IF(D70=År2,'Resultater - Østdanmark'!I$3:I$504,'Resultater - Østdanmark'!J$3:J$504)),"&gt;0"))</f>
        <v>589614.69758431474</v>
      </c>
      <c r="G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forbrug'!G$2,'Forbrug af biomasse'!$B$2:$B$425,$E70)</f>
        <v>0</v>
      </c>
      <c r="H70" s="187">
        <f>IF(E70="Vestdanmark",-IF(A70="Halm",SUMIFS(IF(D70=År1,'Resultater - Vestdanmark'!H$3:H$504,IF(D70=År2,'Resultater - Vestdanmark'!I$3:I$504,'Resultater - Vestdanmark'!J$3:J$504)),'Resultater - Vestdanmark'!$F$3:$F$504,$A70,'Resultater - Vestdanmark'!H$3:H$504,"&lt;0"),0),-IF(A70="Halm",SUMIFS(IF(D70=År1,'Resultater - Østdanmark'!H$3:H$504,IF(D70=År2,'Resultater - Østdanmark'!I$3:I$504,'Resultater - Østdanmark'!J$3:J$504)),'Resultater - Østdanmark'!$F$3:$F$504,$A70,'Resultater - Østdanmark'!H$3:H$504,"&lt;0"),0))</f>
        <v>0</v>
      </c>
      <c r="I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forbrug'!I$2,'Forbrug af biomasse'!$B$2:$B$425,$E70)</f>
        <v>0</v>
      </c>
      <c r="J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forbrug'!J$2,'Forbrug af biomasse'!$B$2:$B$425,$E70)</f>
        <v>534945.77839568327</v>
      </c>
      <c r="K70" s="190">
        <f>SUMIFS('Forbrug af biomasse'!$E$2:$E$425,'Forbrug af biomasse'!$C$2:$C$425,'Resultat-Produktion &amp; forbrug'!$A70,'Forbrug af biomasse'!$D$2:$D$425,'Resultat-Produktion &amp; forbrug'!$D70,'Forbrug af biomasse'!$A$2:$A$425,'Resultat-Produktion &amp; forbrug'!K$2,'Forbrug af biomasse'!$B$2:$B$425,$E70)</f>
        <v>0</v>
      </c>
      <c r="L70" s="190">
        <f>IF(A70&lt;&gt;"Biogas",SUMIFS('Forbrug af biomasse'!$E$2:$E$425,'Forbrug af biomasse'!$C$2:$C$425,'Resultat-Produktion &amp; forbrug'!$A70,'Forbrug af biomasse'!$D$2:$D$425,'Resultat-Produktion &amp; forbrug'!$D70,'Forbrug af biomasse'!$A$2:$A$425,'Resultat-Produktion &amp; forbrug'!L$2,'Forbrug af biomasse'!$B$2:$B$425,$E70),F70)</f>
        <v>0</v>
      </c>
      <c r="M70" s="154">
        <f>SUMIFS('Forbrug af biomasse'!E:E,'Forbrug af biomasse'!C:C,'Resultat-Produktion &amp; forbrug'!$A70,'Forbrug af biomasse'!D:D,'Resultat-Produktion &amp; forbrug'!$D70,'Forbrug af biomasse'!G:G,1,'Forbrug af biomasse'!B:B,$E70)</f>
        <v>0</v>
      </c>
      <c r="N70" s="199">
        <f t="shared" si="9"/>
        <v>54668.919188631466</v>
      </c>
      <c r="O70" s="190">
        <f t="shared" si="20"/>
        <v>54668.919188631466</v>
      </c>
      <c r="P70" s="200">
        <f t="shared" si="10"/>
        <v>534945.77839568327</v>
      </c>
      <c r="Q70" s="187">
        <f>IFERROR(VLOOKUP(A70,[1]Energiindhold!$A$2:$C$11,3,FALSE),IFERROR(VLOOKUP(A70,[1]Biogasudbytte!$A$2:$B$18,2,FALSE)*[1]Energiindhold!$C$10,0))*O70</f>
        <v>0.23688753380383468</v>
      </c>
      <c r="R70" s="187">
        <f>IF(A70&lt;&gt;"Biogas",IFERROR(VLOOKUP(A70,[1]Biogasudbytte!$A$2:$B$18,2,FALSE)*[1]Energiindhold!$C$10,0)*J70*IFERROR(VLOOKUP(A70,Biogasanlæg!$F$3:$G$8,2,FALSE),1)+IFERROR(VLOOKUP(A70,[1]Energiindhold!$A$2:$C$11,3,FALSE),0)*L70+IF(D70&lt;&gt;År1,Q70,0),0)</f>
        <v>2.2071786944325686</v>
      </c>
      <c r="S70" s="187">
        <f>IFERROR(VLOOKUP(A70,[1]Biogasudbytte!$A$2:$B$18,2,FALSE)*[1]Energiindhold!$C$10,0)*J70*IFERROR(VLOOKUP(A70,Biogasanlæg!$F$3:$G$8,2,FALSE),1)</f>
        <v>1.9702911606287341</v>
      </c>
      <c r="T70" s="188">
        <f t="shared" si="11"/>
        <v>0.23688753380383454</v>
      </c>
      <c r="U70" s="186">
        <f>O70*IFERROR(VLOOKUP(A70,[1]Tørstofindhold!A$2:B$24,2,FALSE),0)</f>
        <v>22960.946059225214</v>
      </c>
      <c r="V70" s="187">
        <f>IF(D70=År1,P70,SUM(O70,P70))*IFERROR(VLOOKUP(A70,[1]Tørstofindhold!A$2:B$24,2,FALSE),0)</f>
        <v>247638.17298541218</v>
      </c>
      <c r="W70" s="187">
        <f>J70*IFERROR(VLOOKUP(A70,[1]Tørstofindhold!A$2:B$24,2,FALSE),0)</f>
        <v>224677.22692618697</v>
      </c>
      <c r="X70" s="188">
        <f t="shared" si="12"/>
        <v>22960.946059225214</v>
      </c>
      <c r="Y70" s="168">
        <f t="shared" si="21"/>
        <v>0</v>
      </c>
      <c r="Z70" s="103">
        <f t="shared" si="22"/>
        <v>1</v>
      </c>
    </row>
    <row r="71" spans="1:26" x14ac:dyDescent="0.25">
      <c r="A71" s="189" t="str">
        <f t="shared" si="17"/>
        <v>Juletræer</v>
      </c>
      <c r="B71" s="189" t="str">
        <f t="shared" si="18"/>
        <v/>
      </c>
      <c r="C71" s="189">
        <f>IF(COUNTIFS('Resultater - Danmark'!$D$3:$D$504,'Resultat-Produktion &amp; forbrug'!A71,'Resultater - Danmark'!$A$3:$A$504,"Til energi")+COUNTIFS('Resultater - Danmark'!$D$3:$D$504,'Resultat-Produktion &amp; forbrug'!A71,'Resultater - Danmark'!$A$3:$A$504,"Biogasanlæg")&gt;0,1,0)</f>
        <v>0</v>
      </c>
      <c r="D71" s="189">
        <f t="shared" si="19"/>
        <v>2030</v>
      </c>
      <c r="E71" s="187" t="s">
        <v>23</v>
      </c>
      <c r="F71" s="190">
        <f>IF(E71="Vestdanmark",SUMIFS(IF(D71=År1,'Resultater - Vestdanmark'!H$3:H$504,IF(D71=År2,'Resultater - Vestdanmark'!I$3:I$504,'Resultater - Vestdanmark'!J$3:J$504)),'Resultater - Vestdanmark'!$F$3:$F$504,$A71,IF(D71=År1,'Resultater - Vestdanmark'!H$3:H$504,IF(D71=År2,'Resultater - Vestdanmark'!I$3:I$504,'Resultater - Vestdanmark'!J$3:J$504)),"&gt;0"),SUMIFS(IF(D71=År1,'Resultater - Østdanmark'!H$3:H$504,IF(D71=År2,'Resultater - Østdanmark'!I$3:I$504,'Resultater - Østdanmark'!J$3:J$504)),'Resultater - Østdanmark'!$F$3:$F$504,$A71,IF(D71=År1,'Resultater - Østdanmark'!H$3:H$504,IF(D71=År2,'Resultater - Østdanmark'!I$3:I$504,'Resultater - Østdanmark'!J$3:J$504)),"&gt;0"))</f>
        <v>802238.89808826952</v>
      </c>
      <c r="G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forbrug'!G$2,'Forbrug af biomasse'!$B$2:$B$425,$E71)</f>
        <v>0</v>
      </c>
      <c r="H71" s="187">
        <f>IF(E71="Vestdanmark",-IF(A71="Halm",SUMIFS(IF(D71=År1,'Resultater - Vestdanmark'!H$3:H$504,IF(D71=År2,'Resultater - Vestdanmark'!I$3:I$504,'Resultater - Vestdanmark'!J$3:J$504)),'Resultater - Vestdanmark'!$F$3:$F$504,$A71,'Resultater - Vestdanmark'!H$3:H$504,"&lt;0"),0),-IF(A71="Halm",SUMIFS(IF(D71=År1,'Resultater - Østdanmark'!H$3:H$504,IF(D71=År2,'Resultater - Østdanmark'!I$3:I$504,'Resultater - Østdanmark'!J$3:J$504)),'Resultater - Østdanmark'!$F$3:$F$504,$A71,'Resultater - Østdanmark'!H$3:H$504,"&lt;0"),0))</f>
        <v>0</v>
      </c>
      <c r="I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forbrug'!I$2,'Forbrug af biomasse'!$B$2:$B$425,$E71)</f>
        <v>0</v>
      </c>
      <c r="J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forbrug'!J$2,'Forbrug af biomasse'!$B$2:$B$425,$E71)</f>
        <v>0</v>
      </c>
      <c r="K71" s="190">
        <f>SUMIFS('Forbrug af biomasse'!$E$2:$E$425,'Forbrug af biomasse'!$C$2:$C$425,'Resultat-Produktion &amp; forbrug'!$A71,'Forbrug af biomasse'!$D$2:$D$425,'Resultat-Produktion &amp; forbrug'!$D71,'Forbrug af biomasse'!$A$2:$A$425,'Resultat-Produktion &amp; forbrug'!K$2,'Forbrug af biomasse'!$B$2:$B$425,$E71)</f>
        <v>0</v>
      </c>
      <c r="L71" s="190">
        <f>IF(A71&lt;&gt;"Biogas",SUMIFS('Forbrug af biomasse'!$E$2:$E$425,'Forbrug af biomasse'!$C$2:$C$425,'Resultat-Produktion &amp; forbrug'!$A71,'Forbrug af biomasse'!$D$2:$D$425,'Resultat-Produktion &amp; forbrug'!$D71,'Forbrug af biomasse'!$A$2:$A$425,'Resultat-Produktion &amp; forbrug'!L$2,'Forbrug af biomasse'!$B$2:$B$425,$E71),F71)</f>
        <v>0</v>
      </c>
      <c r="M71" s="154">
        <f>SUMIFS('Forbrug af biomasse'!E:E,'Forbrug af biomasse'!C:C,'Resultat-Produktion &amp; forbrug'!$A71,'Forbrug af biomasse'!D:D,'Resultat-Produktion &amp; forbrug'!$D71,'Forbrug af biomasse'!G:G,1,'Forbrug af biomasse'!B:B,$E71)</f>
        <v>0</v>
      </c>
      <c r="N71" s="199">
        <f t="shared" si="9"/>
        <v>802238.89808826952</v>
      </c>
      <c r="O71" s="190">
        <f t="shared" si="20"/>
        <v>0</v>
      </c>
      <c r="P71" s="200">
        <f t="shared" si="10"/>
        <v>0</v>
      </c>
      <c r="Q71" s="187">
        <f>IFERROR(VLOOKUP(A71,[1]Energiindhold!$A$2:$C$11,3,FALSE),IFERROR(VLOOKUP(A71,[1]Biogasudbytte!$A$2:$B$18,2,FALSE)*[1]Energiindhold!$C$10,0))*O71</f>
        <v>0</v>
      </c>
      <c r="R71" s="187">
        <f>IF(A71&lt;&gt;"Biogas",IFERROR(VLOOKUP(A71,[1]Biogasudbytte!$A$2:$B$18,2,FALSE)*[1]Energiindhold!$C$10,0)*J71*IFERROR(VLOOKUP(A71,Biogasanlæg!$F$3:$G$8,2,FALSE),1)+IFERROR(VLOOKUP(A71,[1]Energiindhold!$A$2:$C$11,3,FALSE),0)*L71+IF(D71&lt;&gt;År1,Q71,0),0)</f>
        <v>0</v>
      </c>
      <c r="S71" s="187">
        <f>IFERROR(VLOOKUP(A71,[1]Biogasudbytte!$A$2:$B$18,2,FALSE)*[1]Energiindhold!$C$10,0)*J71*IFERROR(VLOOKUP(A71,Biogasanlæg!$F$3:$G$8,2,FALSE),1)</f>
        <v>0</v>
      </c>
      <c r="T71" s="188">
        <f t="shared" si="11"/>
        <v>0</v>
      </c>
      <c r="U71" s="186">
        <f>O71*IFERROR(VLOOKUP(A71,[1]Tørstofindhold!A$2:B$24,2,FALSE),0)</f>
        <v>0</v>
      </c>
      <c r="V71" s="187">
        <f>IF(D71=År1,P71,SUM(O71,P71))*IFERROR(VLOOKUP(A71,[1]Tørstofindhold!A$2:B$24,2,FALSE),0)</f>
        <v>0</v>
      </c>
      <c r="W71" s="187">
        <f>J71*IFERROR(VLOOKUP(A71,[1]Tørstofindhold!A$2:B$24,2,FALSE),0)</f>
        <v>0</v>
      </c>
      <c r="X71" s="188">
        <f t="shared" si="12"/>
        <v>0</v>
      </c>
      <c r="Y71" s="168">
        <f t="shared" si="21"/>
        <v>0</v>
      </c>
      <c r="Z71" s="103">
        <f t="shared" si="22"/>
        <v>1</v>
      </c>
    </row>
    <row r="72" spans="1:26" x14ac:dyDescent="0.25">
      <c r="A72" s="189" t="str">
        <f t="shared" si="17"/>
        <v>Kartofler</v>
      </c>
      <c r="B72" s="189" t="str">
        <f t="shared" si="18"/>
        <v/>
      </c>
      <c r="C72" s="189">
        <f>IF(COUNTIFS('Resultater - Danmark'!$D$3:$D$504,'Resultat-Produktion &amp; forbrug'!A72,'Resultater - Danmark'!$A$3:$A$504,"Til energi")+COUNTIFS('Resultater - Danmark'!$D$3:$D$504,'Resultat-Produktion &amp; forbrug'!A72,'Resultater - Danmark'!$A$3:$A$504,"Biogasanlæg")&gt;0,1,0)</f>
        <v>0</v>
      </c>
      <c r="D72" s="189">
        <f t="shared" si="19"/>
        <v>2030</v>
      </c>
      <c r="E72" s="187" t="s">
        <v>23</v>
      </c>
      <c r="F72" s="190">
        <f>IF(E72="Vestdanmark",SUMIFS(IF(D72=År1,'Resultater - Vestdanmark'!H$3:H$504,IF(D72=År2,'Resultater - Vestdanmark'!I$3:I$504,'Resultater - Vestdanmark'!J$3:J$504)),'Resultater - Vestdanmark'!$F$3:$F$504,$A72,IF(D72=År1,'Resultater - Vestdanmark'!H$3:H$504,IF(D72=År2,'Resultater - Vestdanmark'!I$3:I$504,'Resultater - Vestdanmark'!J$3:J$504)),"&gt;0"),SUMIFS(IF(D72=År1,'Resultater - Østdanmark'!H$3:H$504,IF(D72=År2,'Resultater - Østdanmark'!I$3:I$504,'Resultater - Østdanmark'!J$3:J$504)),'Resultater - Østdanmark'!$F$3:$F$504,$A72,IF(D72=År1,'Resultater - Østdanmark'!H$3:H$504,IF(D72=År2,'Resultater - Østdanmark'!I$3:I$504,'Resultater - Østdanmark'!J$3:J$504)),"&gt;0"))</f>
        <v>2244003.4840042591</v>
      </c>
      <c r="G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forbrug'!G$2,'Forbrug af biomasse'!$B$2:$B$425,$E72)</f>
        <v>0</v>
      </c>
      <c r="H72" s="187">
        <f>IF(E72="Vestdanmark",-IF(A72="Halm",SUMIFS(IF(D72=År1,'Resultater - Vestdanmark'!H$3:H$504,IF(D72=År2,'Resultater - Vestdanmark'!I$3:I$504,'Resultater - Vestdanmark'!J$3:J$504)),'Resultater - Vestdanmark'!$F$3:$F$504,$A72,'Resultater - Vestdanmark'!H$3:H$504,"&lt;0"),0),-IF(A72="Halm",SUMIFS(IF(D72=År1,'Resultater - Østdanmark'!H$3:H$504,IF(D72=År2,'Resultater - Østdanmark'!I$3:I$504,'Resultater - Østdanmark'!J$3:J$504)),'Resultater - Østdanmark'!$F$3:$F$504,$A72,'Resultater - Østdanmark'!H$3:H$504,"&lt;0"),0))</f>
        <v>0</v>
      </c>
      <c r="I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forbrug'!I$2,'Forbrug af biomasse'!$B$2:$B$425,$E72)</f>
        <v>123531.68309679118</v>
      </c>
      <c r="J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forbrug'!J$2,'Forbrug af biomasse'!$B$2:$B$425,$E72)</f>
        <v>0</v>
      </c>
      <c r="K72" s="190">
        <f>SUMIFS('Forbrug af biomasse'!$E$2:$E$425,'Forbrug af biomasse'!$C$2:$C$425,'Resultat-Produktion &amp; forbrug'!$A72,'Forbrug af biomasse'!$D$2:$D$425,'Resultat-Produktion &amp; forbrug'!$D72,'Forbrug af biomasse'!$A$2:$A$425,'Resultat-Produktion &amp; forbrug'!K$2,'Forbrug af biomasse'!$B$2:$B$425,$E72)</f>
        <v>0</v>
      </c>
      <c r="L72" s="190">
        <f>IF(A72&lt;&gt;"Biogas",SUMIFS('Forbrug af biomasse'!$E$2:$E$425,'Forbrug af biomasse'!$C$2:$C$425,'Resultat-Produktion &amp; forbrug'!$A72,'Forbrug af biomasse'!$D$2:$D$425,'Resultat-Produktion &amp; forbrug'!$D72,'Forbrug af biomasse'!$A$2:$A$425,'Resultat-Produktion &amp; forbrug'!L$2,'Forbrug af biomasse'!$B$2:$B$425,$E72),F72)</f>
        <v>0</v>
      </c>
      <c r="M72" s="154">
        <f>SUMIFS('Forbrug af biomasse'!E:E,'Forbrug af biomasse'!C:C,'Resultat-Produktion &amp; forbrug'!$A72,'Forbrug af biomasse'!D:D,'Resultat-Produktion &amp; forbrug'!$D72,'Forbrug af biomasse'!G:G,1,'Forbrug af biomasse'!B:B,$E72)</f>
        <v>0</v>
      </c>
      <c r="N72" s="199">
        <f t="shared" si="9"/>
        <v>2120471.800907468</v>
      </c>
      <c r="O72" s="190">
        <f t="shared" si="20"/>
        <v>0</v>
      </c>
      <c r="P72" s="200">
        <f t="shared" si="10"/>
        <v>0</v>
      </c>
      <c r="Q72" s="187">
        <f>IFERROR(VLOOKUP(A72,[1]Energiindhold!$A$2:$C$11,3,FALSE),IFERROR(VLOOKUP(A72,[1]Biogasudbytte!$A$2:$B$18,2,FALSE)*[1]Energiindhold!$C$10,0))*O72</f>
        <v>0</v>
      </c>
      <c r="R72" s="187">
        <f>IF(A72&lt;&gt;"Biogas",IFERROR(VLOOKUP(A72,[1]Biogasudbytte!$A$2:$B$18,2,FALSE)*[1]Energiindhold!$C$10,0)*J72*IFERROR(VLOOKUP(A72,Biogasanlæg!$F$3:$G$8,2,FALSE),1)+IFERROR(VLOOKUP(A72,[1]Energiindhold!$A$2:$C$11,3,FALSE),0)*L72+IF(D72&lt;&gt;År1,Q72,0),0)</f>
        <v>0</v>
      </c>
      <c r="S72" s="187">
        <f>IFERROR(VLOOKUP(A72,[1]Biogasudbytte!$A$2:$B$18,2,FALSE)*[1]Energiindhold!$C$10,0)*J72*IFERROR(VLOOKUP(A72,Biogasanlæg!$F$3:$G$8,2,FALSE),1)</f>
        <v>0</v>
      </c>
      <c r="T72" s="188">
        <f t="shared" si="11"/>
        <v>0</v>
      </c>
      <c r="U72" s="186">
        <f>O72*IFERROR(VLOOKUP(A72,[1]Tørstofindhold!A$2:B$24,2,FALSE),0)</f>
        <v>0</v>
      </c>
      <c r="V72" s="187">
        <f>IF(D72=År1,P72,SUM(O72,P72))*IFERROR(VLOOKUP(A72,[1]Tørstofindhold!A$2:B$24,2,FALSE),0)</f>
        <v>0</v>
      </c>
      <c r="W72" s="187">
        <f>J72*IFERROR(VLOOKUP(A72,[1]Tørstofindhold!A$2:B$24,2,FALSE),0)</f>
        <v>0</v>
      </c>
      <c r="X72" s="188">
        <f t="shared" si="12"/>
        <v>0</v>
      </c>
      <c r="Y72" s="168">
        <f t="shared" si="21"/>
        <v>0</v>
      </c>
      <c r="Z72" s="103">
        <f t="shared" si="22"/>
        <v>1</v>
      </c>
    </row>
    <row r="73" spans="1:26" x14ac:dyDescent="0.25">
      <c r="A73" s="189" t="str">
        <f t="shared" si="17"/>
        <v>Korn</v>
      </c>
      <c r="B73" s="189" t="str">
        <f t="shared" si="18"/>
        <v>Halm og strå</v>
      </c>
      <c r="C73" s="189">
        <f>IF(COUNTIFS('Resultater - Danmark'!$D$3:$D$504,'Resultat-Produktion &amp; forbrug'!A73,'Resultater - Danmark'!$A$3:$A$504,"Til energi")+COUNTIFS('Resultater - Danmark'!$D$3:$D$504,'Resultat-Produktion &amp; forbrug'!A73,'Resultater - Danmark'!$A$3:$A$504,"Biogasanlæg")&gt;0,1,0)</f>
        <v>1</v>
      </c>
      <c r="D73" s="189">
        <f t="shared" si="19"/>
        <v>2030</v>
      </c>
      <c r="E73" s="187" t="s">
        <v>23</v>
      </c>
      <c r="F73" s="190">
        <f>IF(E73="Vestdanmark",SUMIFS(IF(D73=År1,'Resultater - Vestdanmark'!H$3:H$504,IF(D73=År2,'Resultater - Vestdanmark'!I$3:I$504,'Resultater - Vestdanmark'!J$3:J$504)),'Resultater - Vestdanmark'!$F$3:$F$504,$A73,IF(D73=År1,'Resultater - Vestdanmark'!H$3:H$504,IF(D73=År2,'Resultater - Vestdanmark'!I$3:I$504,'Resultater - Vestdanmark'!J$3:J$504)),"&gt;0"),SUMIFS(IF(D73=År1,'Resultater - Østdanmark'!H$3:H$504,IF(D73=År2,'Resultater - Østdanmark'!I$3:I$504,'Resultater - Østdanmark'!J$3:J$504)),'Resultater - Østdanmark'!$F$3:$F$504,$A73,IF(D73=År1,'Resultater - Østdanmark'!H$3:H$504,IF(D73=År2,'Resultater - Østdanmark'!I$3:I$504,'Resultater - Østdanmark'!J$3:J$504)),"&gt;0"))</f>
        <v>7185056.2456319006</v>
      </c>
      <c r="G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forbrug'!G$2,'Forbrug af biomasse'!$B$2:$B$425,$E73)</f>
        <v>7055058.2423947481</v>
      </c>
      <c r="H73" s="187">
        <f>IF(E73="Vestdanmark",-IF(A73="Halm",SUMIFS(IF(D73=År1,'Resultater - Vestdanmark'!H$3:H$504,IF(D73=År2,'Resultater - Vestdanmark'!I$3:I$504,'Resultater - Vestdanmark'!J$3:J$504)),'Resultater - Vestdanmark'!$F$3:$F$504,$A73,'Resultater - Vestdanmark'!H$3:H$504,"&lt;0"),0),-IF(A73="Halm",SUMIFS(IF(D73=År1,'Resultater - Østdanmark'!H$3:H$504,IF(D73=År2,'Resultater - Østdanmark'!I$3:I$504,'Resultater - Østdanmark'!J$3:J$504)),'Resultater - Østdanmark'!$F$3:$F$504,$A73,'Resultater - Østdanmark'!H$3:H$504,"&lt;0"),0))</f>
        <v>0</v>
      </c>
      <c r="I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forbrug'!I$2,'Forbrug af biomasse'!$B$2:$B$425,$E73)</f>
        <v>295933.04302308214</v>
      </c>
      <c r="J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forbrug'!J$2,'Forbrug af biomasse'!$B$2:$B$425,$E73)</f>
        <v>2838.8656563257464</v>
      </c>
      <c r="K73" s="190">
        <f>SUMIFS('Forbrug af biomasse'!$E$2:$E$425,'Forbrug af biomasse'!$C$2:$C$425,'Resultat-Produktion &amp; forbrug'!$A73,'Forbrug af biomasse'!$D$2:$D$425,'Resultat-Produktion &amp; forbrug'!$D73,'Forbrug af biomasse'!$A$2:$A$425,'Resultat-Produktion &amp; forbrug'!K$2,'Forbrug af biomasse'!$B$2:$B$425,$E73)</f>
        <v>0</v>
      </c>
      <c r="L73" s="190">
        <f>IF(A73&lt;&gt;"Biogas",SUMIFS('Forbrug af biomasse'!$E$2:$E$425,'Forbrug af biomasse'!$C$2:$C$425,'Resultat-Produktion &amp; forbrug'!$A73,'Forbrug af biomasse'!$D$2:$D$425,'Resultat-Produktion &amp; forbrug'!$D73,'Forbrug af biomasse'!$A$2:$A$425,'Resultat-Produktion &amp; forbrug'!L$2,'Forbrug af biomasse'!$B$2:$B$425,$E73),F73)</f>
        <v>0</v>
      </c>
      <c r="M73" s="154">
        <f>SUMIFS('Forbrug af biomasse'!E:E,'Forbrug af biomasse'!C:C,'Resultat-Produktion &amp; forbrug'!$A73,'Forbrug af biomasse'!D:D,'Resultat-Produktion &amp; forbrug'!$D73,'Forbrug af biomasse'!G:G,1,'Forbrug af biomasse'!B:B,$E73)</f>
        <v>0</v>
      </c>
      <c r="N73" s="199">
        <f t="shared" si="9"/>
        <v>-168773.90544225555</v>
      </c>
      <c r="O73" s="190">
        <f t="shared" si="20"/>
        <v>0</v>
      </c>
      <c r="P73" s="200">
        <f t="shared" si="10"/>
        <v>2838.8656563257464</v>
      </c>
      <c r="Q73" s="187">
        <f>IFERROR(VLOOKUP(A73,[1]Energiindhold!$A$2:$C$11,3,FALSE),IFERROR(VLOOKUP(A73,[1]Biogasudbytte!$A$2:$B$18,2,FALSE)*[1]Energiindhold!$C$10,0))*O73</f>
        <v>0</v>
      </c>
      <c r="R73" s="187">
        <f>IF(A73&lt;&gt;"Biogas",IFERROR(VLOOKUP(A73,[1]Biogasudbytte!$A$2:$B$18,2,FALSE)*[1]Energiindhold!$C$10,0)*J73*IFERROR(VLOOKUP(A73,Biogasanlæg!$F$3:$G$8,2,FALSE),1)+IFERROR(VLOOKUP(A73,[1]Energiindhold!$A$2:$C$11,3,FALSE),0)*L73+IF(D73&lt;&gt;År1,Q73,0),0)</f>
        <v>9.7227174317237978E-3</v>
      </c>
      <c r="S73" s="187">
        <f>IFERROR(VLOOKUP(A73,[1]Biogasudbytte!$A$2:$B$18,2,FALSE)*[1]Energiindhold!$C$10,0)*J73*IFERROR(VLOOKUP(A73,Biogasanlæg!$F$3:$G$8,2,FALSE),1)</f>
        <v>9.7227174317237978E-3</v>
      </c>
      <c r="T73" s="188">
        <f t="shared" si="11"/>
        <v>0</v>
      </c>
      <c r="U73" s="186">
        <f>O73*IFERROR(VLOOKUP(A73,[1]Tørstofindhold!A$2:B$24,2,FALSE),0)</f>
        <v>0</v>
      </c>
      <c r="V73" s="187">
        <f>IF(D73=År1,P73,SUM(O73,P73))*IFERROR(VLOOKUP(A73,[1]Tørstofindhold!A$2:B$24,2,FALSE),0)</f>
        <v>880.04835346098139</v>
      </c>
      <c r="W73" s="187">
        <f>J73*IFERROR(VLOOKUP(A73,[1]Tørstofindhold!A$2:B$24,2,FALSE),0)</f>
        <v>880.04835346098139</v>
      </c>
      <c r="X73" s="188">
        <f t="shared" si="12"/>
        <v>0</v>
      </c>
      <c r="Y73" s="168">
        <f t="shared" si="21"/>
        <v>0</v>
      </c>
      <c r="Z73" s="103">
        <f t="shared" si="22"/>
        <v>1</v>
      </c>
    </row>
    <row r="74" spans="1:26" x14ac:dyDescent="0.25">
      <c r="A74" s="189" t="str">
        <f t="shared" si="17"/>
        <v>Kunstgødning</v>
      </c>
      <c r="B74" s="189" t="str">
        <f t="shared" si="18"/>
        <v/>
      </c>
      <c r="C74" s="189">
        <f>IF(COUNTIFS('Resultater - Danmark'!$D$3:$D$504,'Resultat-Produktion &amp; forbrug'!A74,'Resultater - Danmark'!$A$3:$A$504,"Til energi")+COUNTIFS('Resultater - Danmark'!$D$3:$D$504,'Resultat-Produktion &amp; forbrug'!A74,'Resultater - Danmark'!$A$3:$A$504,"Biogasanlæg")&gt;0,1,0)</f>
        <v>0</v>
      </c>
      <c r="D74" s="189">
        <f t="shared" si="19"/>
        <v>2030</v>
      </c>
      <c r="E74" s="187" t="s">
        <v>23</v>
      </c>
      <c r="F74" s="190">
        <f>IF(E74="Vestdanmark",SUMIFS(IF(D74=År1,'Resultater - Vestdanmark'!H$3:H$504,IF(D74=År2,'Resultater - Vestdanmark'!I$3:I$504,'Resultater - Vestdanmark'!J$3:J$504)),'Resultater - Vestdanmark'!$F$3:$F$504,$A74,IF(D74=År1,'Resultater - Vestdanmark'!H$3:H$504,IF(D74=År2,'Resultater - Vestdanmark'!I$3:I$504,'Resultater - Vestdanmark'!J$3:J$504)),"&gt;0"),SUMIFS(IF(D74=År1,'Resultater - Østdanmark'!H$3:H$504,IF(D74=År2,'Resultater - Østdanmark'!I$3:I$504,'Resultater - Østdanmark'!J$3:J$504)),'Resultater - Østdanmark'!$F$3:$F$504,$A74,IF(D74=År1,'Resultater - Østdanmark'!H$3:H$504,IF(D74=År2,'Resultater - Østdanmark'!I$3:I$504,'Resultater - Østdanmark'!J$3:J$504)),"&gt;0"))</f>
        <v>0</v>
      </c>
      <c r="G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forbrug'!G$2,'Forbrug af biomasse'!$B$2:$B$425,$E74)</f>
        <v>0</v>
      </c>
      <c r="H74" s="187">
        <f>IF(E74="Vestdanmark",-IF(A74="Halm",SUMIFS(IF(D74=År1,'Resultater - Vestdanmark'!H$3:H$504,IF(D74=År2,'Resultater - Vestdanmark'!I$3:I$504,'Resultater - Vestdanmark'!J$3:J$504)),'Resultater - Vestdanmark'!$F$3:$F$504,$A74,'Resultater - Vestdanmark'!H$3:H$504,"&lt;0"),0),-IF(A74="Halm",SUMIFS(IF(D74=År1,'Resultater - Østdanmark'!H$3:H$504,IF(D74=År2,'Resultater - Østdanmark'!I$3:I$504,'Resultater - Østdanmark'!J$3:J$504)),'Resultater - Østdanmark'!$F$3:$F$504,$A74,'Resultater - Østdanmark'!H$3:H$504,"&lt;0"),0))</f>
        <v>0</v>
      </c>
      <c r="I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forbrug'!I$2,'Forbrug af biomasse'!$B$2:$B$425,$E74)</f>
        <v>0</v>
      </c>
      <c r="J74" s="190">
        <f>SUMIFS('Forbrug af biomasse'!$E$2:$E$425,'Forbrug af biomasse'!$C$2:$C$425,'Resultat-Produktion &amp; forbrug'!$A74,'Forbrug af biomasse'!$D$2:$D$425,'Resultat-Produktion &amp; forbrug'!$D74,'Forbrug af biomasse'!$A$2:$A$425,'Resultat-Produktion &amp; forbrug'!J$2,'Forbrug af biomasse'!$B$2:$B$425,$E74)</f>
        <v>0</v>
      </c>
      <c r="K74" s="190">
        <f ca="1">SUMIFS('Forbrug af biomasse'!$E$2:$E$425,'Forbrug af biomasse'!$C$2:$C$425,'Resultat-Produktion &amp; forbrug'!$A74,'Forbrug af biomasse'!$D$2:$D$425,'Resultat-Produktion &amp; forbrug'!$D74,'Forbrug af biomasse'!$A$2:$A$425,'Resultat-Produktion &amp; forbrug'!K$2,'Forbrug af biomasse'!$B$2:$B$425,$E74)</f>
        <v>329393.66202820744</v>
      </c>
      <c r="L74" s="190">
        <f>IF(A74&lt;&gt;"Biogas",SUMIFS('Forbrug af biomasse'!$E$2:$E$425,'Forbrug af biomasse'!$C$2:$C$425,'Resultat-Produktion &amp; forbrug'!$A74,'Forbrug af biomasse'!$D$2:$D$425,'Resultat-Produktion &amp; forbrug'!$D74,'Forbrug af biomasse'!$A$2:$A$425,'Resultat-Produktion &amp; forbrug'!L$2,'Forbrug af biomasse'!$B$2:$B$425,$E74),F74)</f>
        <v>0</v>
      </c>
      <c r="M74" s="154">
        <f>SUMIFS('Forbrug af biomasse'!E:E,'Forbrug af biomasse'!C:C,'Resultat-Produktion &amp; forbrug'!$A74,'Forbrug af biomasse'!D:D,'Resultat-Produktion &amp; forbrug'!$D74,'Forbrug af biomasse'!G:G,1,'Forbrug af biomasse'!B:B,$E74)</f>
        <v>0</v>
      </c>
      <c r="N74" s="199">
        <f t="shared" ca="1" si="9"/>
        <v>-329393.66202820744</v>
      </c>
      <c r="O74" s="190">
        <f t="shared" si="20"/>
        <v>0</v>
      </c>
      <c r="P74" s="200">
        <f t="shared" si="10"/>
        <v>0</v>
      </c>
      <c r="Q74" s="187">
        <f>IFERROR(VLOOKUP(A74,[1]Energiindhold!$A$2:$C$11,3,FALSE),IFERROR(VLOOKUP(A74,[1]Biogasudbytte!$A$2:$B$18,2,FALSE)*[1]Energiindhold!$C$10,0))*O74</f>
        <v>0</v>
      </c>
      <c r="R74" s="187">
        <f>IF(A74&lt;&gt;"Biogas",IFERROR(VLOOKUP(A74,[1]Biogasudbytte!$A$2:$B$18,2,FALSE)*[1]Energiindhold!$C$10,0)*J74*IFERROR(VLOOKUP(A74,Biogasanlæg!$F$3:$G$8,2,FALSE),1)+IFERROR(VLOOKUP(A74,[1]Energiindhold!$A$2:$C$11,3,FALSE),0)*L74+IF(D74&lt;&gt;År1,Q74,0),0)</f>
        <v>0</v>
      </c>
      <c r="S74" s="187">
        <f>IFERROR(VLOOKUP(A74,[1]Biogasudbytte!$A$2:$B$18,2,FALSE)*[1]Energiindhold!$C$10,0)*J74*IFERROR(VLOOKUP(A74,Biogasanlæg!$F$3:$G$8,2,FALSE),1)</f>
        <v>0</v>
      </c>
      <c r="T74" s="188">
        <f t="shared" si="11"/>
        <v>0</v>
      </c>
      <c r="U74" s="186">
        <f>O74*IFERROR(VLOOKUP(A74,[1]Tørstofindhold!A$2:B$24,2,FALSE),0)</f>
        <v>0</v>
      </c>
      <c r="V74" s="187">
        <f>IF(D74=År1,P74,SUM(O74,P74))*IFERROR(VLOOKUP(A74,[1]Tørstofindhold!A$2:B$24,2,FALSE),0)</f>
        <v>0</v>
      </c>
      <c r="W74" s="187">
        <f>J74*IFERROR(VLOOKUP(A74,[1]Tørstofindhold!A$2:B$24,2,FALSE),0)</f>
        <v>0</v>
      </c>
      <c r="X74" s="188">
        <f t="shared" si="12"/>
        <v>0</v>
      </c>
      <c r="Y74" s="168">
        <f t="shared" ca="1" si="21"/>
        <v>1</v>
      </c>
      <c r="Z74" s="103">
        <f t="shared" ca="1" si="22"/>
        <v>0</v>
      </c>
    </row>
    <row r="75" spans="1:26" x14ac:dyDescent="0.25">
      <c r="A75" s="189" t="str">
        <f t="shared" si="17"/>
        <v>Kvæggylle</v>
      </c>
      <c r="B75" s="189" t="str">
        <f t="shared" si="18"/>
        <v>Husdyrgødning</v>
      </c>
      <c r="C75" s="189">
        <f>IF(COUNTIFS('Resultater - Danmark'!$D$3:$D$504,'Resultat-Produktion &amp; forbrug'!A75,'Resultater - Danmark'!$A$3:$A$504,"Til energi")+COUNTIFS('Resultater - Danmark'!$D$3:$D$504,'Resultat-Produktion &amp; forbrug'!A75,'Resultater - Danmark'!$A$3:$A$504,"Biogasanlæg")&gt;0,1,0)</f>
        <v>1</v>
      </c>
      <c r="D75" s="189">
        <f t="shared" si="19"/>
        <v>2030</v>
      </c>
      <c r="E75" s="187" t="s">
        <v>23</v>
      </c>
      <c r="F75" s="190">
        <f>IF(E75="Vestdanmark",SUMIFS(IF(D75=År1,'Resultater - Vestdanmark'!H$3:H$504,IF(D75=År2,'Resultater - Vestdanmark'!I$3:I$504,'Resultater - Vestdanmark'!J$3:J$504)),'Resultater - Vestdanmark'!$F$3:$F$504,$A75,IF(D75=År1,'Resultater - Vestdanmark'!H$3:H$504,IF(D75=År2,'Resultater - Vestdanmark'!I$3:I$504,'Resultater - Vestdanmark'!J$3:J$504)),"&gt;0"),SUMIFS(IF(D75=År1,'Resultater - Østdanmark'!H$3:H$504,IF(D75=År2,'Resultater - Østdanmark'!I$3:I$504,'Resultater - Østdanmark'!J$3:J$504)),'Resultater - Østdanmark'!$F$3:$F$504,$A75,IF(D75=År1,'Resultater - Østdanmark'!H$3:H$504,IF(D75=År2,'Resultater - Østdanmark'!I$3:I$504,'Resultater - Østdanmark'!J$3:J$504)),"&gt;0"))</f>
        <v>15580196.053602941</v>
      </c>
      <c r="G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forbrug'!G$2,'Forbrug af biomasse'!$B$2:$B$425,$E75)</f>
        <v>0</v>
      </c>
      <c r="H75" s="187">
        <f>IF(E75="Vestdanmark",-IF(A75="Halm",SUMIFS(IF(D75=År1,'Resultater - Vestdanmark'!H$3:H$504,IF(D75=År2,'Resultater - Vestdanmark'!I$3:I$504,'Resultater - Vestdanmark'!J$3:J$504)),'Resultater - Vestdanmark'!$F$3:$F$504,$A75,'Resultater - Vestdanmark'!H$3:H$504,"&lt;0"),0),-IF(A75="Halm",SUMIFS(IF(D75=År1,'Resultater - Østdanmark'!H$3:H$504,IF(D75=År2,'Resultater - Østdanmark'!I$3:I$504,'Resultater - Østdanmark'!J$3:J$504)),'Resultater - Østdanmark'!$F$3:$F$504,$A75,'Resultater - Østdanmark'!H$3:H$504,"&lt;0"),0))</f>
        <v>0</v>
      </c>
      <c r="I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forbrug'!I$2,'Forbrug af biomasse'!$B$2:$B$425,$E75)</f>
        <v>0</v>
      </c>
      <c r="J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forbrug'!J$2,'Forbrug af biomasse'!$B$2:$B$425,$E75)</f>
        <v>11840949.000738235</v>
      </c>
      <c r="K75" s="190">
        <f>SUMIFS('Forbrug af biomasse'!$E$2:$E$425,'Forbrug af biomasse'!$C$2:$C$425,'Resultat-Produktion &amp; forbrug'!$A75,'Forbrug af biomasse'!$D$2:$D$425,'Resultat-Produktion &amp; forbrug'!$D75,'Forbrug af biomasse'!$A$2:$A$425,'Resultat-Produktion &amp; forbrug'!K$2,'Forbrug af biomasse'!$B$2:$B$425,$E75)</f>
        <v>3739247.0528647057</v>
      </c>
      <c r="L75" s="190">
        <f>IF(A75&lt;&gt;"Biogas",SUMIFS('Forbrug af biomasse'!$E$2:$E$425,'Forbrug af biomasse'!$C$2:$C$425,'Resultat-Produktion &amp; forbrug'!$A75,'Forbrug af biomasse'!$D$2:$D$425,'Resultat-Produktion &amp; forbrug'!$D75,'Forbrug af biomasse'!$A$2:$A$425,'Resultat-Produktion &amp; forbrug'!L$2,'Forbrug af biomasse'!$B$2:$B$425,$E75),F75)</f>
        <v>0</v>
      </c>
      <c r="M75" s="154">
        <f>SUMIFS('Forbrug af biomasse'!E:E,'Forbrug af biomasse'!C:C,'Resultat-Produktion &amp; forbrug'!$A75,'Forbrug af biomasse'!D:D,'Resultat-Produktion &amp; forbrug'!$D75,'Forbrug af biomasse'!G:G,1,'Forbrug af biomasse'!B:B,$E75)</f>
        <v>0</v>
      </c>
      <c r="N75" s="199">
        <f t="shared" si="9"/>
        <v>0</v>
      </c>
      <c r="O75" s="190">
        <f t="shared" si="20"/>
        <v>0</v>
      </c>
      <c r="P75" s="200">
        <f t="shared" si="10"/>
        <v>11840949.000738235</v>
      </c>
      <c r="Q75" s="187">
        <f>IFERROR(VLOOKUP(A75,[1]Energiindhold!$A$2:$C$11,3,FALSE),IFERROR(VLOOKUP(A75,[1]Biogasudbytte!$A$2:$B$18,2,FALSE)*[1]Energiindhold!$C$10,0))*O75</f>
        <v>0</v>
      </c>
      <c r="R75" s="187">
        <f>IF(A75&lt;&gt;"Biogas",IFERROR(VLOOKUP(A75,[1]Biogasudbytte!$A$2:$B$18,2,FALSE)*[1]Energiindhold!$C$10,0)*J75*IFERROR(VLOOKUP(A75,Biogasanlæg!$F$3:$G$8,2,FALSE),1)+IFERROR(VLOOKUP(A75,[1]Energiindhold!$A$2:$C$11,3,FALSE),0)*L75+IF(D75&lt;&gt;År1,Q75,0),0)</f>
        <v>5.9937699746836879</v>
      </c>
      <c r="S75" s="187">
        <f>IFERROR(VLOOKUP(A75,[1]Biogasudbytte!$A$2:$B$18,2,FALSE)*[1]Energiindhold!$C$10,0)*J75*IFERROR(VLOOKUP(A75,Biogasanlæg!$F$3:$G$8,2,FALSE),1)</f>
        <v>5.9937699746836879</v>
      </c>
      <c r="T75" s="188">
        <f t="shared" si="11"/>
        <v>0</v>
      </c>
      <c r="U75" s="186">
        <f>O75*IFERROR(VLOOKUP(A75,[1]Tørstofindhold!A$2:B$24,2,FALSE),0)</f>
        <v>0</v>
      </c>
      <c r="V75" s="187">
        <f>IF(D75=År1,P75,SUM(O75,P75))*IFERROR(VLOOKUP(A75,[1]Tørstofindhold!A$2:B$24,2,FALSE),0)</f>
        <v>899912.12405610585</v>
      </c>
      <c r="W75" s="187">
        <f>J75*IFERROR(VLOOKUP(A75,[1]Tørstofindhold!A$2:B$24,2,FALSE),0)</f>
        <v>899912.12405610585</v>
      </c>
      <c r="X75" s="188">
        <f t="shared" si="12"/>
        <v>0</v>
      </c>
      <c r="Y75" s="168">
        <f t="shared" si="21"/>
        <v>0</v>
      </c>
      <c r="Z75" s="103">
        <f t="shared" si="22"/>
        <v>0</v>
      </c>
    </row>
    <row r="76" spans="1:26" x14ac:dyDescent="0.25">
      <c r="A76" s="189" t="str">
        <f t="shared" si="17"/>
        <v>Mælk til foder</v>
      </c>
      <c r="B76" s="189" t="str">
        <f t="shared" si="18"/>
        <v/>
      </c>
      <c r="C76" s="189">
        <f>IF(COUNTIFS('Resultater - Danmark'!$D$3:$D$504,'Resultat-Produktion &amp; forbrug'!A76,'Resultater - Danmark'!$A$3:$A$504,"Til energi")+COUNTIFS('Resultater - Danmark'!$D$3:$D$504,'Resultat-Produktion &amp; forbrug'!A76,'Resultater - Danmark'!$A$3:$A$504,"Biogasanlæg")&gt;0,1,0)</f>
        <v>0</v>
      </c>
      <c r="D76" s="189">
        <f t="shared" si="19"/>
        <v>2030</v>
      </c>
      <c r="E76" s="187" t="s">
        <v>23</v>
      </c>
      <c r="F76" s="190">
        <f>IF(E76="Vestdanmark",SUMIFS(IF(D76=År1,'Resultater - Vestdanmark'!H$3:H$504,IF(D76=År2,'Resultater - Vestdanmark'!I$3:I$504,'Resultater - Vestdanmark'!J$3:J$504)),'Resultater - Vestdanmark'!$F$3:$F$504,$A76,IF(D76=År1,'Resultater - Vestdanmark'!H$3:H$504,IF(D76=År2,'Resultater - Vestdanmark'!I$3:I$504,'Resultater - Vestdanmark'!J$3:J$504)),"&gt;0"),SUMIFS(IF(D76=År1,'Resultater - Østdanmark'!H$3:H$504,IF(D76=År2,'Resultater - Østdanmark'!I$3:I$504,'Resultater - Østdanmark'!J$3:J$504)),'Resultater - Østdanmark'!$F$3:$F$504,$A76,IF(D76=År1,'Resultater - Østdanmark'!H$3:H$504,IF(D76=År2,'Resultater - Østdanmark'!I$3:I$504,'Resultater - Østdanmark'!J$3:J$504)),"&gt;0"))</f>
        <v>1945192.6384399957</v>
      </c>
      <c r="G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forbrug'!G$2,'Forbrug af biomasse'!$B$2:$B$425,$E76)</f>
        <v>1818857.0084004137</v>
      </c>
      <c r="H76" s="187">
        <f>IF(E76="Vestdanmark",-IF(A76="Halm",SUMIFS(IF(D76=År1,'Resultater - Vestdanmark'!H$3:H$504,IF(D76=År2,'Resultater - Vestdanmark'!I$3:I$504,'Resultater - Vestdanmark'!J$3:J$504)),'Resultater - Vestdanmark'!$F$3:$F$504,$A76,'Resultater - Vestdanmark'!H$3:H$504,"&lt;0"),0),-IF(A76="Halm",SUMIFS(IF(D76=År1,'Resultater - Østdanmark'!H$3:H$504,IF(D76=År2,'Resultater - Østdanmark'!I$3:I$504,'Resultater - Østdanmark'!J$3:J$504)),'Resultater - Østdanmark'!$F$3:$F$504,$A76,'Resultater - Østdanmark'!H$3:H$504,"&lt;0"),0))</f>
        <v>0</v>
      </c>
      <c r="I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forbrug'!I$2,'Forbrug af biomasse'!$B$2:$B$425,$E76)</f>
        <v>0</v>
      </c>
      <c r="J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forbrug'!J$2,'Forbrug af biomasse'!$B$2:$B$425,$E76)</f>
        <v>0</v>
      </c>
      <c r="K76" s="190">
        <f>SUMIFS('Forbrug af biomasse'!$E$2:$E$425,'Forbrug af biomasse'!$C$2:$C$425,'Resultat-Produktion &amp; forbrug'!$A76,'Forbrug af biomasse'!$D$2:$D$425,'Resultat-Produktion &amp; forbrug'!$D76,'Forbrug af biomasse'!$A$2:$A$425,'Resultat-Produktion &amp; forbrug'!K$2,'Forbrug af biomasse'!$B$2:$B$425,$E76)</f>
        <v>0</v>
      </c>
      <c r="L76" s="190">
        <f>IF(A76&lt;&gt;"Biogas",SUMIFS('Forbrug af biomasse'!$E$2:$E$425,'Forbrug af biomasse'!$C$2:$C$425,'Resultat-Produktion &amp; forbrug'!$A76,'Forbrug af biomasse'!$D$2:$D$425,'Resultat-Produktion &amp; forbrug'!$D76,'Forbrug af biomasse'!$A$2:$A$425,'Resultat-Produktion &amp; forbrug'!L$2,'Forbrug af biomasse'!$B$2:$B$425,$E76),F76)</f>
        <v>0</v>
      </c>
      <c r="M76" s="154">
        <f>SUMIFS('Forbrug af biomasse'!E:E,'Forbrug af biomasse'!C:C,'Resultat-Produktion &amp; forbrug'!$A76,'Forbrug af biomasse'!D:D,'Resultat-Produktion &amp; forbrug'!$D76,'Forbrug af biomasse'!G:G,1,'Forbrug af biomasse'!B:B,$E76)</f>
        <v>0</v>
      </c>
      <c r="N76" s="199">
        <f t="shared" si="9"/>
        <v>126335.63003958203</v>
      </c>
      <c r="O76" s="190">
        <f t="shared" si="20"/>
        <v>0</v>
      </c>
      <c r="P76" s="200">
        <f t="shared" si="10"/>
        <v>0</v>
      </c>
      <c r="Q76" s="187">
        <f>IFERROR(VLOOKUP(A76,[1]Energiindhold!$A$2:$C$11,3,FALSE),IFERROR(VLOOKUP(A76,[1]Biogasudbytte!$A$2:$B$18,2,FALSE)*[1]Energiindhold!$C$10,0))*O76</f>
        <v>0</v>
      </c>
      <c r="R76" s="187">
        <f>IF(A76&lt;&gt;"Biogas",IFERROR(VLOOKUP(A76,[1]Biogasudbytte!$A$2:$B$18,2,FALSE)*[1]Energiindhold!$C$10,0)*J76*IFERROR(VLOOKUP(A76,Biogasanlæg!$F$3:$G$8,2,FALSE),1)+IFERROR(VLOOKUP(A76,[1]Energiindhold!$A$2:$C$11,3,FALSE),0)*L76+IF(D76&lt;&gt;År1,Q76,0),0)</f>
        <v>0</v>
      </c>
      <c r="S76" s="187">
        <f>IFERROR(VLOOKUP(A76,[1]Biogasudbytte!$A$2:$B$18,2,FALSE)*[1]Energiindhold!$C$10,0)*J76*IFERROR(VLOOKUP(A76,Biogasanlæg!$F$3:$G$8,2,FALSE),1)</f>
        <v>0</v>
      </c>
      <c r="T76" s="188">
        <f t="shared" si="11"/>
        <v>0</v>
      </c>
      <c r="U76" s="186">
        <f>O76*IFERROR(VLOOKUP(A76,[1]Tørstofindhold!A$2:B$24,2,FALSE),0)</f>
        <v>0</v>
      </c>
      <c r="V76" s="187">
        <f>IF(D76=År1,P76,SUM(O76,P76))*IFERROR(VLOOKUP(A76,[1]Tørstofindhold!A$2:B$24,2,FALSE),0)</f>
        <v>0</v>
      </c>
      <c r="W76" s="187">
        <f>J76*IFERROR(VLOOKUP(A76,[1]Tørstofindhold!A$2:B$24,2,FALSE),0)</f>
        <v>0</v>
      </c>
      <c r="X76" s="188">
        <f t="shared" si="12"/>
        <v>0</v>
      </c>
      <c r="Y76" s="168">
        <f t="shared" si="21"/>
        <v>0</v>
      </c>
      <c r="Z76" s="103">
        <f t="shared" si="22"/>
        <v>1</v>
      </c>
    </row>
    <row r="77" spans="1:26" x14ac:dyDescent="0.25">
      <c r="A77" s="189" t="str">
        <f t="shared" si="17"/>
        <v>Majs</v>
      </c>
      <c r="B77" s="189" t="str">
        <f t="shared" si="18"/>
        <v>Græs og urter</v>
      </c>
      <c r="C77" s="189">
        <f>IF(COUNTIFS('Resultater - Danmark'!$D$3:$D$504,'Resultat-Produktion &amp; forbrug'!A77,'Resultater - Danmark'!$A$3:$A$504,"Til energi")+COUNTIFS('Resultater - Danmark'!$D$3:$D$504,'Resultat-Produktion &amp; forbrug'!A77,'Resultater - Danmark'!$A$3:$A$504,"Biogasanlæg")&gt;0,1,0)</f>
        <v>1</v>
      </c>
      <c r="D77" s="189">
        <f t="shared" si="19"/>
        <v>2030</v>
      </c>
      <c r="E77" s="187" t="s">
        <v>23</v>
      </c>
      <c r="F77" s="190">
        <f>IF(E77="Vestdanmark",SUMIFS(IF(D77=År1,'Resultater - Vestdanmark'!H$3:H$504,IF(D77=År2,'Resultater - Vestdanmark'!I$3:I$504,'Resultater - Vestdanmark'!J$3:J$504)),'Resultater - Vestdanmark'!$F$3:$F$504,$A77,IF(D77=År1,'Resultater - Vestdanmark'!H$3:H$504,IF(D77=År2,'Resultater - Vestdanmark'!I$3:I$504,'Resultater - Vestdanmark'!J$3:J$504)),"&gt;0"),SUMIFS(IF(D77=År1,'Resultater - Østdanmark'!H$3:H$504,IF(D77=År2,'Resultater - Østdanmark'!I$3:I$504,'Resultater - Østdanmark'!J$3:J$504)),'Resultater - Østdanmark'!$F$3:$F$504,$A77,IF(D77=År1,'Resultater - Østdanmark'!H$3:H$504,IF(D77=År2,'Resultater - Østdanmark'!I$3:I$504,'Resultater - Østdanmark'!J$3:J$504)),"&gt;0"))</f>
        <v>7997415.641357664</v>
      </c>
      <c r="G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forbrug'!G$2,'Forbrug af biomasse'!$B$2:$B$425,$E77)</f>
        <v>6788464.5437639551</v>
      </c>
      <c r="H77" s="187">
        <f>IF(E77="Vestdanmark",-IF(A77="Halm",SUMIFS(IF(D77=År1,'Resultater - Vestdanmark'!H$3:H$504,IF(D77=År2,'Resultater - Vestdanmark'!I$3:I$504,'Resultater - Vestdanmark'!J$3:J$504)),'Resultater - Vestdanmark'!$F$3:$F$504,$A77,'Resultater - Vestdanmark'!H$3:H$504,"&lt;0"),0),-IF(A77="Halm",SUMIFS(IF(D77=År1,'Resultater - Østdanmark'!H$3:H$504,IF(D77=År2,'Resultater - Østdanmark'!I$3:I$504,'Resultater - Østdanmark'!J$3:J$504)),'Resultater - Østdanmark'!$F$3:$F$504,$A77,'Resultater - Østdanmark'!H$3:H$504,"&lt;0"),0))</f>
        <v>0</v>
      </c>
      <c r="I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forbrug'!I$2,'Forbrug af biomasse'!$B$2:$B$425,$E77)</f>
        <v>0</v>
      </c>
      <c r="J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forbrug'!J$2,'Forbrug af biomasse'!$B$2:$B$425,$E77)</f>
        <v>314782.00911940058</v>
      </c>
      <c r="K77" s="190">
        <f>SUMIFS('Forbrug af biomasse'!$E$2:$E$425,'Forbrug af biomasse'!$C$2:$C$425,'Resultat-Produktion &amp; forbrug'!$A77,'Forbrug af biomasse'!$D$2:$D$425,'Resultat-Produktion &amp; forbrug'!$D77,'Forbrug af biomasse'!$A$2:$A$425,'Resultat-Produktion &amp; forbrug'!K$2,'Forbrug af biomasse'!$B$2:$B$425,$E77)</f>
        <v>0</v>
      </c>
      <c r="L77" s="190">
        <f>IF(A77&lt;&gt;"Biogas",SUMIFS('Forbrug af biomasse'!$E$2:$E$425,'Forbrug af biomasse'!$C$2:$C$425,'Resultat-Produktion &amp; forbrug'!$A77,'Forbrug af biomasse'!$D$2:$D$425,'Resultat-Produktion &amp; forbrug'!$D77,'Forbrug af biomasse'!$A$2:$A$425,'Resultat-Produktion &amp; forbrug'!L$2,'Forbrug af biomasse'!$B$2:$B$425,$E77),F77)</f>
        <v>0</v>
      </c>
      <c r="M77" s="154">
        <f>SUMIFS('Forbrug af biomasse'!E:E,'Forbrug af biomasse'!C:C,'Resultat-Produktion &amp; forbrug'!$A77,'Forbrug af biomasse'!D:D,'Resultat-Produktion &amp; forbrug'!$D77,'Forbrug af biomasse'!G:G,1,'Forbrug af biomasse'!B:B,$E77)</f>
        <v>0</v>
      </c>
      <c r="N77" s="199">
        <f t="shared" si="9"/>
        <v>894169.08847430814</v>
      </c>
      <c r="O77" s="190">
        <f t="shared" si="20"/>
        <v>432993.11192472203</v>
      </c>
      <c r="P77" s="200">
        <f t="shared" si="10"/>
        <v>314782.00911940058</v>
      </c>
      <c r="Q77" s="187">
        <f>IFERROR(VLOOKUP(A77,[1]Energiindhold!$A$2:$C$11,3,FALSE),IFERROR(VLOOKUP(A77,[1]Biogasudbytte!$A$2:$B$18,2,FALSE)*[1]Energiindhold!$C$10,0))*O77</f>
        <v>1.5544452718097523</v>
      </c>
      <c r="R77" s="187">
        <f>IF(A77&lt;&gt;"Biogas",IFERROR(VLOOKUP(A77,[1]Biogasudbytte!$A$2:$B$18,2,FALSE)*[1]Energiindhold!$C$10,0)*J77*IFERROR(VLOOKUP(A77,Biogasanlæg!$F$3:$G$8,2,FALSE),1)+IFERROR(VLOOKUP(A77,[1]Energiindhold!$A$2:$C$11,3,FALSE),0)*L77+IF(D77&lt;&gt;År1,Q77,0),0)</f>
        <v>2.6845126845484009</v>
      </c>
      <c r="S77" s="187">
        <f>IFERROR(VLOOKUP(A77,[1]Biogasudbytte!$A$2:$B$18,2,FALSE)*[1]Energiindhold!$C$10,0)*J77*IFERROR(VLOOKUP(A77,Biogasanlæg!$F$3:$G$8,2,FALSE),1)</f>
        <v>1.1300674127386483</v>
      </c>
      <c r="T77" s="188">
        <f t="shared" si="11"/>
        <v>1.5544452718097526</v>
      </c>
      <c r="U77" s="186">
        <f>O77*IFERROR(VLOOKUP(A77,[1]Tørstofindhold!A$2:B$24,2,FALSE),0)</f>
        <v>129897.93357741661</v>
      </c>
      <c r="V77" s="187">
        <f>IF(D77=År1,P77,SUM(O77,P77))*IFERROR(VLOOKUP(A77,[1]Tørstofindhold!A$2:B$24,2,FALSE),0)</f>
        <v>224332.53631323678</v>
      </c>
      <c r="W77" s="187">
        <f>J77*IFERROR(VLOOKUP(A77,[1]Tørstofindhold!A$2:B$24,2,FALSE),0)</f>
        <v>94434.602735820168</v>
      </c>
      <c r="X77" s="188">
        <f t="shared" si="12"/>
        <v>129897.93357741661</v>
      </c>
      <c r="Y77" s="168">
        <f t="shared" si="21"/>
        <v>0</v>
      </c>
      <c r="Z77" s="103">
        <f t="shared" si="22"/>
        <v>1</v>
      </c>
    </row>
    <row r="78" spans="1:26" x14ac:dyDescent="0.25">
      <c r="A78" s="189" t="str">
        <f t="shared" si="17"/>
        <v>Mejeriprodukter</v>
      </c>
      <c r="B78" s="189" t="str">
        <f t="shared" si="18"/>
        <v/>
      </c>
      <c r="C78" s="189">
        <f>IF(COUNTIFS('Resultater - Danmark'!$D$3:$D$504,'Resultat-Produktion &amp; forbrug'!A78,'Resultater - Danmark'!$A$3:$A$504,"Til energi")+COUNTIFS('Resultater - Danmark'!$D$3:$D$504,'Resultat-Produktion &amp; forbrug'!A78,'Resultater - Danmark'!$A$3:$A$504,"Biogasanlæg")&gt;0,1,0)</f>
        <v>0</v>
      </c>
      <c r="D78" s="189">
        <f t="shared" si="19"/>
        <v>2030</v>
      </c>
      <c r="E78" s="187" t="s">
        <v>23</v>
      </c>
      <c r="F78" s="190">
        <f>IF(E78="Vestdanmark",SUMIFS(IF(D78=År1,'Resultater - Vestdanmark'!H$3:H$504,IF(D78=År2,'Resultater - Vestdanmark'!I$3:I$504,'Resultater - Vestdanmark'!J$3:J$504)),'Resultater - Vestdanmark'!$F$3:$F$504,$A78,IF(D78=År1,'Resultater - Vestdanmark'!H$3:H$504,IF(D78=År2,'Resultater - Vestdanmark'!I$3:I$504,'Resultater - Vestdanmark'!J$3:J$504)),"&gt;0"),SUMIFS(IF(D78=År1,'Resultater - Østdanmark'!H$3:H$504,IF(D78=År2,'Resultater - Østdanmark'!I$3:I$504,'Resultater - Østdanmark'!J$3:J$504)),'Resultater - Østdanmark'!$F$3:$F$504,$A78,IF(D78=År1,'Resultater - Østdanmark'!H$3:H$504,IF(D78=År2,'Resultater - Østdanmark'!I$3:I$504,'Resultater - Østdanmark'!J$3:J$504)),"&gt;0"))</f>
        <v>3753212.2579404083</v>
      </c>
      <c r="G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forbrug'!G$2,'Forbrug af biomasse'!$B$2:$B$425,$E78)</f>
        <v>0</v>
      </c>
      <c r="H78" s="187">
        <f>IF(E78="Vestdanmark",-IF(A78="Halm",SUMIFS(IF(D78=År1,'Resultater - Vestdanmark'!H$3:H$504,IF(D78=År2,'Resultater - Vestdanmark'!I$3:I$504,'Resultater - Vestdanmark'!J$3:J$504)),'Resultater - Vestdanmark'!$F$3:$F$504,$A78,'Resultater - Vestdanmark'!H$3:H$504,"&lt;0"),0),-IF(A78="Halm",SUMIFS(IF(D78=År1,'Resultater - Østdanmark'!H$3:H$504,IF(D78=År2,'Resultater - Østdanmark'!I$3:I$504,'Resultater - Østdanmark'!J$3:J$504)),'Resultater - Østdanmark'!$F$3:$F$504,$A78,'Resultater - Østdanmark'!H$3:H$504,"&lt;0"),0))</f>
        <v>0</v>
      </c>
      <c r="I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forbrug'!I$2,'Forbrug af biomasse'!$B$2:$B$425,$E78)</f>
        <v>472406.87601849809</v>
      </c>
      <c r="J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forbrug'!J$2,'Forbrug af biomasse'!$B$2:$B$425,$E78)</f>
        <v>0</v>
      </c>
      <c r="K78" s="190">
        <f>SUMIFS('Forbrug af biomasse'!$E$2:$E$425,'Forbrug af biomasse'!$C$2:$C$425,'Resultat-Produktion &amp; forbrug'!$A78,'Forbrug af biomasse'!$D$2:$D$425,'Resultat-Produktion &amp; forbrug'!$D78,'Forbrug af biomasse'!$A$2:$A$425,'Resultat-Produktion &amp; forbrug'!K$2,'Forbrug af biomasse'!$B$2:$B$425,$E78)</f>
        <v>0</v>
      </c>
      <c r="L78" s="190">
        <f>IF(A78&lt;&gt;"Biogas",SUMIFS('Forbrug af biomasse'!$E$2:$E$425,'Forbrug af biomasse'!$C$2:$C$425,'Resultat-Produktion &amp; forbrug'!$A78,'Forbrug af biomasse'!$D$2:$D$425,'Resultat-Produktion &amp; forbrug'!$D78,'Forbrug af biomasse'!$A$2:$A$425,'Resultat-Produktion &amp; forbrug'!L$2,'Forbrug af biomasse'!$B$2:$B$425,$E78),F78)</f>
        <v>0</v>
      </c>
      <c r="M78" s="154">
        <f>SUMIFS('Forbrug af biomasse'!E:E,'Forbrug af biomasse'!C:C,'Resultat-Produktion &amp; forbrug'!$A78,'Forbrug af biomasse'!D:D,'Resultat-Produktion &amp; forbrug'!$D78,'Forbrug af biomasse'!G:G,1,'Forbrug af biomasse'!B:B,$E78)</f>
        <v>0</v>
      </c>
      <c r="N78" s="199">
        <f t="shared" si="9"/>
        <v>3280805.3819219102</v>
      </c>
      <c r="O78" s="190">
        <f t="shared" si="20"/>
        <v>0</v>
      </c>
      <c r="P78" s="200">
        <f t="shared" si="10"/>
        <v>0</v>
      </c>
      <c r="Q78" s="187">
        <f>IFERROR(VLOOKUP(A78,[1]Energiindhold!$A$2:$C$11,3,FALSE),IFERROR(VLOOKUP(A78,[1]Biogasudbytte!$A$2:$B$18,2,FALSE)*[1]Energiindhold!$C$10,0))*O78</f>
        <v>0</v>
      </c>
      <c r="R78" s="187">
        <f>IF(A78&lt;&gt;"Biogas",IFERROR(VLOOKUP(A78,[1]Biogasudbytte!$A$2:$B$18,2,FALSE)*[1]Energiindhold!$C$10,0)*J78*IFERROR(VLOOKUP(A78,Biogasanlæg!$F$3:$G$8,2,FALSE),1)+IFERROR(VLOOKUP(A78,[1]Energiindhold!$A$2:$C$11,3,FALSE),0)*L78+IF(D78&lt;&gt;År1,Q78,0),0)</f>
        <v>0</v>
      </c>
      <c r="S78" s="187">
        <f>IFERROR(VLOOKUP(A78,[1]Biogasudbytte!$A$2:$B$18,2,FALSE)*[1]Energiindhold!$C$10,0)*J78*IFERROR(VLOOKUP(A78,Biogasanlæg!$F$3:$G$8,2,FALSE),1)</f>
        <v>0</v>
      </c>
      <c r="T78" s="188">
        <f t="shared" si="11"/>
        <v>0</v>
      </c>
      <c r="U78" s="186">
        <f>O78*IFERROR(VLOOKUP(A78,[1]Tørstofindhold!A$2:B$24,2,FALSE),0)</f>
        <v>0</v>
      </c>
      <c r="V78" s="187">
        <f>IF(D78=År1,P78,SUM(O78,P78))*IFERROR(VLOOKUP(A78,[1]Tørstofindhold!A$2:B$24,2,FALSE),0)</f>
        <v>0</v>
      </c>
      <c r="W78" s="187">
        <f>J78*IFERROR(VLOOKUP(A78,[1]Tørstofindhold!A$2:B$24,2,FALSE),0)</f>
        <v>0</v>
      </c>
      <c r="X78" s="188">
        <f t="shared" si="12"/>
        <v>0</v>
      </c>
      <c r="Y78" s="168">
        <f t="shared" si="21"/>
        <v>0</v>
      </c>
      <c r="Z78" s="103">
        <f t="shared" si="22"/>
        <v>1</v>
      </c>
    </row>
    <row r="79" spans="1:26" x14ac:dyDescent="0.25">
      <c r="A79" s="189" t="str">
        <f t="shared" si="17"/>
        <v>Muslinger</v>
      </c>
      <c r="B79" s="189" t="str">
        <f t="shared" si="18"/>
        <v>Havbiomasse</v>
      </c>
      <c r="C79" s="189">
        <f>IF(COUNTIFS('Resultater - Danmark'!$D$3:$D$504,'Resultat-Produktion &amp; forbrug'!A79,'Resultater - Danmark'!$A$3:$A$504,"Til energi")+COUNTIFS('Resultater - Danmark'!$D$3:$D$504,'Resultat-Produktion &amp; forbrug'!A79,'Resultater - Danmark'!$A$3:$A$504,"Biogasanlæg")&gt;0,1,0)</f>
        <v>1</v>
      </c>
      <c r="D79" s="189">
        <f t="shared" si="19"/>
        <v>2030</v>
      </c>
      <c r="E79" s="187" t="s">
        <v>23</v>
      </c>
      <c r="F79" s="190">
        <f>IF(E79="Vestdanmark",SUMIFS(IF(D79=År1,'Resultater - Vestdanmark'!H$3:H$504,IF(D79=År2,'Resultater - Vestdanmark'!I$3:I$504,'Resultater - Vestdanmark'!J$3:J$504)),'Resultater - Vestdanmark'!$F$3:$F$504,$A79,IF(D79=År1,'Resultater - Vestdanmark'!H$3:H$504,IF(D79=År2,'Resultater - Vestdanmark'!I$3:I$504,'Resultater - Vestdanmark'!J$3:J$504)),"&gt;0"),SUMIFS(IF(D79=År1,'Resultater - Østdanmark'!H$3:H$504,IF(D79=År2,'Resultater - Østdanmark'!I$3:I$504,'Resultater - Østdanmark'!J$3:J$504)),'Resultater - Østdanmark'!$F$3:$F$504,$A79,IF(D79=År1,'Resultater - Østdanmark'!H$3:H$504,IF(D79=År2,'Resultater - Østdanmark'!I$3:I$504,'Resultater - Østdanmark'!J$3:J$504)),"&gt;0"))</f>
        <v>209595.14629167612</v>
      </c>
      <c r="G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forbrug'!G$2,'Forbrug af biomasse'!$B$2:$B$425,$E79)</f>
        <v>0</v>
      </c>
      <c r="H79" s="187">
        <f>IF(E79="Vestdanmark",-IF(A79="Halm",SUMIFS(IF(D79=År1,'Resultater - Vestdanmark'!H$3:H$504,IF(D79=År2,'Resultater - Vestdanmark'!I$3:I$504,'Resultater - Vestdanmark'!J$3:J$504)),'Resultater - Vestdanmark'!$F$3:$F$504,$A79,'Resultater - Vestdanmark'!H$3:H$504,"&lt;0"),0),-IF(A79="Halm",SUMIFS(IF(D79=År1,'Resultater - Østdanmark'!H$3:H$504,IF(D79=År2,'Resultater - Østdanmark'!I$3:I$504,'Resultater - Østdanmark'!J$3:J$504)),'Resultater - Østdanmark'!$F$3:$F$504,$A79,'Resultater - Østdanmark'!H$3:H$504,"&lt;0"),0))</f>
        <v>0</v>
      </c>
      <c r="I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forbrug'!I$2,'Forbrug af biomasse'!$B$2:$B$425,$E79)</f>
        <v>0</v>
      </c>
      <c r="J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forbrug'!J$2,'Forbrug af biomasse'!$B$2:$B$425,$E79)</f>
        <v>0</v>
      </c>
      <c r="K79" s="190">
        <f>SUMIFS('Forbrug af biomasse'!$E$2:$E$425,'Forbrug af biomasse'!$C$2:$C$425,'Resultat-Produktion &amp; forbrug'!$A79,'Forbrug af biomasse'!$D$2:$D$425,'Resultat-Produktion &amp; forbrug'!$D79,'Forbrug af biomasse'!$A$2:$A$425,'Resultat-Produktion &amp; forbrug'!K$2,'Forbrug af biomasse'!$B$2:$B$425,$E79)</f>
        <v>0</v>
      </c>
      <c r="L79" s="190">
        <f>IF(A79&lt;&gt;"Biogas",SUMIFS('Forbrug af biomasse'!$E$2:$E$425,'Forbrug af biomasse'!$C$2:$C$425,'Resultat-Produktion &amp; forbrug'!$A79,'Forbrug af biomasse'!$D$2:$D$425,'Resultat-Produktion &amp; forbrug'!$D79,'Forbrug af biomasse'!$A$2:$A$425,'Resultat-Produktion &amp; forbrug'!L$2,'Forbrug af biomasse'!$B$2:$B$425,$E79),F79)</f>
        <v>0</v>
      </c>
      <c r="M79" s="154">
        <f>SUMIFS('Forbrug af biomasse'!E:E,'Forbrug af biomasse'!C:C,'Resultat-Produktion &amp; forbrug'!$A79,'Forbrug af biomasse'!D:D,'Resultat-Produktion &amp; forbrug'!$D79,'Forbrug af biomasse'!G:G,1,'Forbrug af biomasse'!B:B,$E79)</f>
        <v>0</v>
      </c>
      <c r="N79" s="199">
        <f t="shared" si="9"/>
        <v>209595.14629167612</v>
      </c>
      <c r="O79" s="190">
        <f t="shared" si="20"/>
        <v>209595.14629167612</v>
      </c>
      <c r="P79" s="200">
        <f t="shared" si="10"/>
        <v>0</v>
      </c>
      <c r="Q79" s="187">
        <f>IFERROR(VLOOKUP(A79,[1]Energiindhold!$A$2:$C$11,3,FALSE),IFERROR(VLOOKUP(A79,[1]Biogasudbytte!$A$2:$B$18,2,FALSE)*[1]Energiindhold!$C$10,0))*O79</f>
        <v>0.18811164379677933</v>
      </c>
      <c r="R79" s="187">
        <f>IF(A79&lt;&gt;"Biogas",IFERROR(VLOOKUP(A79,[1]Biogasudbytte!$A$2:$B$18,2,FALSE)*[1]Energiindhold!$C$10,0)*J79*IFERROR(VLOOKUP(A79,Biogasanlæg!$F$3:$G$8,2,FALSE),1)+IFERROR(VLOOKUP(A79,[1]Energiindhold!$A$2:$C$11,3,FALSE),0)*L79+IF(D79&lt;&gt;År1,Q79,0),0)</f>
        <v>0.18811164379677933</v>
      </c>
      <c r="S79" s="187">
        <f>IFERROR(VLOOKUP(A79,[1]Biogasudbytte!$A$2:$B$18,2,FALSE)*[1]Energiindhold!$C$10,0)*J79*IFERROR(VLOOKUP(A79,Biogasanlæg!$F$3:$G$8,2,FALSE),1)</f>
        <v>0</v>
      </c>
      <c r="T79" s="188">
        <f t="shared" si="11"/>
        <v>0.18811164379677933</v>
      </c>
      <c r="U79" s="186">
        <f>O79*IFERROR(VLOOKUP(A79,[1]Tørstofindhold!A$2:B$24,2,FALSE),0)</f>
        <v>31439.271943751417</v>
      </c>
      <c r="V79" s="187">
        <f>IF(D79=År1,P79,SUM(O79,P79))*IFERROR(VLOOKUP(A79,[1]Tørstofindhold!A$2:B$24,2,FALSE),0)</f>
        <v>31439.271943751417</v>
      </c>
      <c r="W79" s="187">
        <f>J79*IFERROR(VLOOKUP(A79,[1]Tørstofindhold!A$2:B$24,2,FALSE),0)</f>
        <v>0</v>
      </c>
      <c r="X79" s="188">
        <f t="shared" si="12"/>
        <v>31439.271943751417</v>
      </c>
      <c r="Y79" s="168">
        <f t="shared" si="21"/>
        <v>0</v>
      </c>
      <c r="Z79" s="103">
        <f t="shared" si="22"/>
        <v>1</v>
      </c>
    </row>
    <row r="80" spans="1:26" x14ac:dyDescent="0.25">
      <c r="A80" s="189" t="str">
        <f t="shared" si="17"/>
        <v>Oksekød</v>
      </c>
      <c r="B80" s="189" t="str">
        <f t="shared" si="18"/>
        <v/>
      </c>
      <c r="C80" s="189">
        <f>IF(COUNTIFS('Resultater - Danmark'!$D$3:$D$504,'Resultat-Produktion &amp; forbrug'!A80,'Resultater - Danmark'!$A$3:$A$504,"Til energi")+COUNTIFS('Resultater - Danmark'!$D$3:$D$504,'Resultat-Produktion &amp; forbrug'!A80,'Resultater - Danmark'!$A$3:$A$504,"Biogasanlæg")&gt;0,1,0)</f>
        <v>0</v>
      </c>
      <c r="D80" s="189">
        <f t="shared" si="19"/>
        <v>2030</v>
      </c>
      <c r="E80" s="187" t="s">
        <v>23</v>
      </c>
      <c r="F80" s="190">
        <f>IF(E80="Vestdanmark",SUMIFS(IF(D80=År1,'Resultater - Vestdanmark'!H$3:H$504,IF(D80=År2,'Resultater - Vestdanmark'!I$3:I$504,'Resultater - Vestdanmark'!J$3:J$504)),'Resultater - Vestdanmark'!$F$3:$F$504,$A80,IF(D80=År1,'Resultater - Vestdanmark'!H$3:H$504,IF(D80=År2,'Resultater - Vestdanmark'!I$3:I$504,'Resultater - Vestdanmark'!J$3:J$504)),"&gt;0"),SUMIFS(IF(D80=År1,'Resultater - Østdanmark'!H$3:H$504,IF(D80=År2,'Resultater - Østdanmark'!I$3:I$504,'Resultater - Østdanmark'!J$3:J$504)),'Resultater - Østdanmark'!$F$3:$F$504,$A80,IF(D80=År1,'Resultater - Østdanmark'!H$3:H$504,IF(D80=År2,'Resultater - Østdanmark'!I$3:I$504,'Resultater - Østdanmark'!J$3:J$504)),"&gt;0"))</f>
        <v>127401.76624978184</v>
      </c>
      <c r="G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forbrug'!G$2,'Forbrug af biomasse'!$B$2:$B$425,$E80)</f>
        <v>0</v>
      </c>
      <c r="H80" s="187">
        <f>IF(E80="Vestdanmark",-IF(A80="Halm",SUMIFS(IF(D80=År1,'Resultater - Vestdanmark'!H$3:H$504,IF(D80=År2,'Resultater - Vestdanmark'!I$3:I$504,'Resultater - Vestdanmark'!J$3:J$504)),'Resultater - Vestdanmark'!$F$3:$F$504,$A80,'Resultater - Vestdanmark'!H$3:H$504,"&lt;0"),0),-IF(A80="Halm",SUMIFS(IF(D80=År1,'Resultater - Østdanmark'!H$3:H$504,IF(D80=År2,'Resultater - Østdanmark'!I$3:I$504,'Resultater - Østdanmark'!J$3:J$504)),'Resultater - Østdanmark'!$F$3:$F$504,$A80,'Resultater - Østdanmark'!H$3:H$504,"&lt;0"),0))</f>
        <v>0</v>
      </c>
      <c r="I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forbrug'!I$2,'Forbrug af biomasse'!$B$2:$B$425,$E80)</f>
        <v>60028.253038902265</v>
      </c>
      <c r="J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forbrug'!J$2,'Forbrug af biomasse'!$B$2:$B$425,$E80)</f>
        <v>0</v>
      </c>
      <c r="K80" s="190">
        <f>SUMIFS('Forbrug af biomasse'!$E$2:$E$425,'Forbrug af biomasse'!$C$2:$C$425,'Resultat-Produktion &amp; forbrug'!$A80,'Forbrug af biomasse'!$D$2:$D$425,'Resultat-Produktion &amp; forbrug'!$D80,'Forbrug af biomasse'!$A$2:$A$425,'Resultat-Produktion &amp; forbrug'!K$2,'Forbrug af biomasse'!$B$2:$B$425,$E80)</f>
        <v>0</v>
      </c>
      <c r="L80" s="190">
        <f>IF(A80&lt;&gt;"Biogas",SUMIFS('Forbrug af biomasse'!$E$2:$E$425,'Forbrug af biomasse'!$C$2:$C$425,'Resultat-Produktion &amp; forbrug'!$A80,'Forbrug af biomasse'!$D$2:$D$425,'Resultat-Produktion &amp; forbrug'!$D80,'Forbrug af biomasse'!$A$2:$A$425,'Resultat-Produktion &amp; forbrug'!L$2,'Forbrug af biomasse'!$B$2:$B$425,$E80),F80)</f>
        <v>0</v>
      </c>
      <c r="M80" s="154">
        <f>SUMIFS('Forbrug af biomasse'!E:E,'Forbrug af biomasse'!C:C,'Resultat-Produktion &amp; forbrug'!$A80,'Forbrug af biomasse'!D:D,'Resultat-Produktion &amp; forbrug'!$D80,'Forbrug af biomasse'!G:G,1,'Forbrug af biomasse'!B:B,$E80)</f>
        <v>0</v>
      </c>
      <c r="N80" s="199">
        <f t="shared" si="9"/>
        <v>67373.513210879581</v>
      </c>
      <c r="O80" s="190">
        <f t="shared" si="20"/>
        <v>0</v>
      </c>
      <c r="P80" s="200">
        <f t="shared" si="10"/>
        <v>0</v>
      </c>
      <c r="Q80" s="187">
        <f>IFERROR(VLOOKUP(A80,[1]Energiindhold!$A$2:$C$11,3,FALSE),IFERROR(VLOOKUP(A80,[1]Biogasudbytte!$A$2:$B$18,2,FALSE)*[1]Energiindhold!$C$10,0))*O80</f>
        <v>0</v>
      </c>
      <c r="R80" s="187">
        <f>IF(A80&lt;&gt;"Biogas",IFERROR(VLOOKUP(A80,[1]Biogasudbytte!$A$2:$B$18,2,FALSE)*[1]Energiindhold!$C$10,0)*J80*IFERROR(VLOOKUP(A80,Biogasanlæg!$F$3:$G$8,2,FALSE),1)+IFERROR(VLOOKUP(A80,[1]Energiindhold!$A$2:$C$11,3,FALSE),0)*L80+IF(D80&lt;&gt;År1,Q80,0),0)</f>
        <v>0</v>
      </c>
      <c r="S80" s="187">
        <f>IFERROR(VLOOKUP(A80,[1]Biogasudbytte!$A$2:$B$18,2,FALSE)*[1]Energiindhold!$C$10,0)*J80*IFERROR(VLOOKUP(A80,Biogasanlæg!$F$3:$G$8,2,FALSE),1)</f>
        <v>0</v>
      </c>
      <c r="T80" s="188">
        <f t="shared" si="11"/>
        <v>0</v>
      </c>
      <c r="U80" s="186">
        <f>O80*IFERROR(VLOOKUP(A80,[1]Tørstofindhold!A$2:B$24,2,FALSE),0)</f>
        <v>0</v>
      </c>
      <c r="V80" s="187">
        <f>IF(D80=År1,P80,SUM(O80,P80))*IFERROR(VLOOKUP(A80,[1]Tørstofindhold!A$2:B$24,2,FALSE),0)</f>
        <v>0</v>
      </c>
      <c r="W80" s="187">
        <f>J80*IFERROR(VLOOKUP(A80,[1]Tørstofindhold!A$2:B$24,2,FALSE),0)</f>
        <v>0</v>
      </c>
      <c r="X80" s="188">
        <f t="shared" si="12"/>
        <v>0</v>
      </c>
      <c r="Y80" s="168">
        <f t="shared" si="21"/>
        <v>0</v>
      </c>
      <c r="Z80" s="103">
        <f t="shared" si="22"/>
        <v>1</v>
      </c>
    </row>
    <row r="81" spans="1:26" x14ac:dyDescent="0.25">
      <c r="A81" s="189" t="str">
        <f t="shared" si="17"/>
        <v>Øvrige</v>
      </c>
      <c r="B81" s="189" t="str">
        <f t="shared" si="18"/>
        <v/>
      </c>
      <c r="C81" s="189">
        <f>IF(COUNTIFS('Resultater - Danmark'!$D$3:$D$504,'Resultat-Produktion &amp; forbrug'!A81,'Resultater - Danmark'!$A$3:$A$504,"Til energi")+COUNTIFS('Resultater - Danmark'!$D$3:$D$504,'Resultat-Produktion &amp; forbrug'!A81,'Resultater - Danmark'!$A$3:$A$504,"Biogasanlæg")&gt;0,1,0)</f>
        <v>0</v>
      </c>
      <c r="D81" s="189">
        <f t="shared" si="19"/>
        <v>2030</v>
      </c>
      <c r="E81" s="187" t="s">
        <v>23</v>
      </c>
      <c r="F81" s="190">
        <f>IF(E81="Vestdanmark",SUMIFS(IF(D81=År1,'Resultater - Vestdanmark'!H$3:H$504,IF(D81=År2,'Resultater - Vestdanmark'!I$3:I$504,'Resultater - Vestdanmark'!J$3:J$504)),'Resultater - Vestdanmark'!$F$3:$F$504,$A81,IF(D81=År1,'Resultater - Vestdanmark'!H$3:H$504,IF(D81=År2,'Resultater - Vestdanmark'!I$3:I$504,'Resultater - Vestdanmark'!J$3:J$504)),"&gt;0"),SUMIFS(IF(D81=År1,'Resultater - Østdanmark'!H$3:H$504,IF(D81=År2,'Resultater - Østdanmark'!I$3:I$504,'Resultater - Østdanmark'!J$3:J$504)),'Resultater - Østdanmark'!$F$3:$F$504,$A81,IF(D81=År1,'Resultater - Østdanmark'!H$3:H$504,IF(D81=År2,'Resultater - Østdanmark'!I$3:I$504,'Resultater - Østdanmark'!J$3:J$504)),"&gt;0"))</f>
        <v>1685776.5357930374</v>
      </c>
      <c r="G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forbrug'!G$2,'Forbrug af biomasse'!$B$2:$B$425,$E81)</f>
        <v>0</v>
      </c>
      <c r="H81" s="187">
        <f>IF(E81="Vestdanmark",-IF(A81="Halm",SUMIFS(IF(D81=År1,'Resultater - Vestdanmark'!H$3:H$504,IF(D81=År2,'Resultater - Vestdanmark'!I$3:I$504,'Resultater - Vestdanmark'!J$3:J$504)),'Resultater - Vestdanmark'!$F$3:$F$504,$A81,'Resultater - Vestdanmark'!H$3:H$504,"&lt;0"),0),-IF(A81="Halm",SUMIFS(IF(D81=År1,'Resultater - Østdanmark'!H$3:H$504,IF(D81=År2,'Resultater - Østdanmark'!I$3:I$504,'Resultater - Østdanmark'!J$3:J$504)),'Resultater - Østdanmark'!$F$3:$F$504,$A81,'Resultater - Østdanmark'!H$3:H$504,"&lt;0"),0))</f>
        <v>0</v>
      </c>
      <c r="I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forbrug'!I$2,'Forbrug af biomasse'!$B$2:$B$425,$E81)</f>
        <v>0</v>
      </c>
      <c r="J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forbrug'!J$2,'Forbrug af biomasse'!$B$2:$B$425,$E81)</f>
        <v>0</v>
      </c>
      <c r="K81" s="190">
        <f>SUMIFS('Forbrug af biomasse'!$E$2:$E$425,'Forbrug af biomasse'!$C$2:$C$425,'Resultat-Produktion &amp; forbrug'!$A81,'Forbrug af biomasse'!$D$2:$D$425,'Resultat-Produktion &amp; forbrug'!$D81,'Forbrug af biomasse'!$A$2:$A$425,'Resultat-Produktion &amp; forbrug'!K$2,'Forbrug af biomasse'!$B$2:$B$425,$E81)</f>
        <v>0</v>
      </c>
      <c r="L81" s="190">
        <f>IF(A81&lt;&gt;"Biogas",SUMIFS('Forbrug af biomasse'!$E$2:$E$425,'Forbrug af biomasse'!$C$2:$C$425,'Resultat-Produktion &amp; forbrug'!$A81,'Forbrug af biomasse'!$D$2:$D$425,'Resultat-Produktion &amp; forbrug'!$D81,'Forbrug af biomasse'!$A$2:$A$425,'Resultat-Produktion &amp; forbrug'!L$2,'Forbrug af biomasse'!$B$2:$B$425,$E81),F81)</f>
        <v>0</v>
      </c>
      <c r="M81" s="154">
        <f>SUMIFS('Forbrug af biomasse'!E:E,'Forbrug af biomasse'!C:C,'Resultat-Produktion &amp; forbrug'!$A81,'Forbrug af biomasse'!D:D,'Resultat-Produktion &amp; forbrug'!$D81,'Forbrug af biomasse'!G:G,1,'Forbrug af biomasse'!B:B,$E81)</f>
        <v>0</v>
      </c>
      <c r="N81" s="199">
        <f t="shared" si="9"/>
        <v>1685776.5357930374</v>
      </c>
      <c r="O81" s="190">
        <f t="shared" si="20"/>
        <v>0</v>
      </c>
      <c r="P81" s="200">
        <f t="shared" si="10"/>
        <v>0</v>
      </c>
      <c r="Q81" s="187">
        <f>IFERROR(VLOOKUP(A81,[1]Energiindhold!$A$2:$C$11,3,FALSE),IFERROR(VLOOKUP(A81,[1]Biogasudbytte!$A$2:$B$18,2,FALSE)*[1]Energiindhold!$C$10,0))*O81</f>
        <v>0</v>
      </c>
      <c r="R81" s="187">
        <f>IF(A81&lt;&gt;"Biogas",IFERROR(VLOOKUP(A81,[1]Biogasudbytte!$A$2:$B$18,2,FALSE)*[1]Energiindhold!$C$10,0)*J81*IFERROR(VLOOKUP(A81,Biogasanlæg!$F$3:$G$8,2,FALSE),1)+IFERROR(VLOOKUP(A81,[1]Energiindhold!$A$2:$C$11,3,FALSE),0)*L81+IF(D81&lt;&gt;År1,Q81,0),0)</f>
        <v>0</v>
      </c>
      <c r="S81" s="187">
        <f>IFERROR(VLOOKUP(A81,[1]Biogasudbytte!$A$2:$B$18,2,FALSE)*[1]Energiindhold!$C$10,0)*J81*IFERROR(VLOOKUP(A81,Biogasanlæg!$F$3:$G$8,2,FALSE),1)</f>
        <v>0</v>
      </c>
      <c r="T81" s="188">
        <f t="shared" si="11"/>
        <v>0</v>
      </c>
      <c r="U81" s="186">
        <f>O81*IFERROR(VLOOKUP(A81,[1]Tørstofindhold!A$2:B$24,2,FALSE),0)</f>
        <v>0</v>
      </c>
      <c r="V81" s="187">
        <f>IF(D81=År1,P81,SUM(O81,P81))*IFERROR(VLOOKUP(A81,[1]Tørstofindhold!A$2:B$24,2,FALSE),0)</f>
        <v>0</v>
      </c>
      <c r="W81" s="187">
        <f>J81*IFERROR(VLOOKUP(A81,[1]Tørstofindhold!A$2:B$24,2,FALSE),0)</f>
        <v>0</v>
      </c>
      <c r="X81" s="188">
        <f t="shared" si="12"/>
        <v>0</v>
      </c>
      <c r="Y81" s="168">
        <f t="shared" si="21"/>
        <v>0</v>
      </c>
      <c r="Z81" s="103">
        <f t="shared" si="22"/>
        <v>1</v>
      </c>
    </row>
    <row r="82" spans="1:26" x14ac:dyDescent="0.25">
      <c r="A82" s="189" t="str">
        <f t="shared" si="17"/>
        <v>Pil &amp; poppel</v>
      </c>
      <c r="B82" s="189" t="str">
        <f t="shared" si="18"/>
        <v>Vedmasse</v>
      </c>
      <c r="C82" s="189">
        <f>IF(COUNTIFS('Resultater - Danmark'!$D$3:$D$504,'Resultat-Produktion &amp; forbrug'!A82,'Resultater - Danmark'!$A$3:$A$504,"Til energi")+COUNTIFS('Resultater - Danmark'!$D$3:$D$504,'Resultat-Produktion &amp; forbrug'!A82,'Resultater - Danmark'!$A$3:$A$504,"Biogasanlæg")&gt;0,1,0)</f>
        <v>1</v>
      </c>
      <c r="D82" s="189">
        <f t="shared" si="19"/>
        <v>2030</v>
      </c>
      <c r="E82" s="187" t="s">
        <v>23</v>
      </c>
      <c r="F82" s="190">
        <f>IF(E82="Vestdanmark",SUMIFS(IF(D82=År1,'Resultater - Vestdanmark'!H$3:H$504,IF(D82=År2,'Resultater - Vestdanmark'!I$3:I$504,'Resultater - Vestdanmark'!J$3:J$504)),'Resultater - Vestdanmark'!$F$3:$F$504,$A82,IF(D82=År1,'Resultater - Vestdanmark'!H$3:H$504,IF(D82=År2,'Resultater - Vestdanmark'!I$3:I$504,'Resultater - Vestdanmark'!J$3:J$504)),"&gt;0"),SUMIFS(IF(D82=År1,'Resultater - Østdanmark'!H$3:H$504,IF(D82=År2,'Resultater - Østdanmark'!I$3:I$504,'Resultater - Østdanmark'!J$3:J$504)),'Resultater - Østdanmark'!$F$3:$F$504,$A82,IF(D82=År1,'Resultater - Østdanmark'!H$3:H$504,IF(D82=År2,'Resultater - Østdanmark'!I$3:I$504,'Resultater - Østdanmark'!J$3:J$504)),"&gt;0"))</f>
        <v>176446.6832046808</v>
      </c>
      <c r="G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forbrug'!G$2,'Forbrug af biomasse'!$B$2:$B$425,$E82)</f>
        <v>0</v>
      </c>
      <c r="H82" s="187">
        <f>IF(E82="Vestdanmark",-IF(A82="Halm",SUMIFS(IF(D82=År1,'Resultater - Vestdanmark'!H$3:H$504,IF(D82=År2,'Resultater - Vestdanmark'!I$3:I$504,'Resultater - Vestdanmark'!J$3:J$504)),'Resultater - Vestdanmark'!$F$3:$F$504,$A82,'Resultater - Vestdanmark'!H$3:H$504,"&lt;0"),0),-IF(A82="Halm",SUMIFS(IF(D82=År1,'Resultater - Østdanmark'!H$3:H$504,IF(D82=År2,'Resultater - Østdanmark'!I$3:I$504,'Resultater - Østdanmark'!J$3:J$504)),'Resultater - Østdanmark'!$F$3:$F$504,$A82,'Resultater - Østdanmark'!H$3:H$504,"&lt;0"),0))</f>
        <v>0</v>
      </c>
      <c r="I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forbrug'!I$2,'Forbrug af biomasse'!$B$2:$B$425,$E82)</f>
        <v>0</v>
      </c>
      <c r="J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forbrug'!J$2,'Forbrug af biomasse'!$B$2:$B$425,$E82)</f>
        <v>0</v>
      </c>
      <c r="K82" s="190">
        <f>SUMIFS('Forbrug af biomasse'!$E$2:$E$425,'Forbrug af biomasse'!$C$2:$C$425,'Resultat-Produktion &amp; forbrug'!$A82,'Forbrug af biomasse'!$D$2:$D$425,'Resultat-Produktion &amp; forbrug'!$D82,'Forbrug af biomasse'!$A$2:$A$425,'Resultat-Produktion &amp; forbrug'!K$2,'Forbrug af biomasse'!$B$2:$B$425,$E82)</f>
        <v>0</v>
      </c>
      <c r="L82" s="190">
        <f>IF(A82&lt;&gt;"Biogas",SUMIFS('Forbrug af biomasse'!$E$2:$E$425,'Forbrug af biomasse'!$C$2:$C$425,'Resultat-Produktion &amp; forbrug'!$A82,'Forbrug af biomasse'!$D$2:$D$425,'Resultat-Produktion &amp; forbrug'!$D82,'Forbrug af biomasse'!$A$2:$A$425,'Resultat-Produktion &amp; forbrug'!L$2,'Forbrug af biomasse'!$B$2:$B$425,$E82),F82)</f>
        <v>176446.6832046808</v>
      </c>
      <c r="M82" s="154">
        <f>SUMIFS('Forbrug af biomasse'!E:E,'Forbrug af biomasse'!C:C,'Resultat-Produktion &amp; forbrug'!$A82,'Forbrug af biomasse'!D:D,'Resultat-Produktion &amp; forbrug'!$D82,'Forbrug af biomasse'!G:G,1,'Forbrug af biomasse'!B:B,$E82)</f>
        <v>0</v>
      </c>
      <c r="N82" s="199">
        <f t="shared" ref="N82:N149" si="23">F82-SUM(G82:M82)</f>
        <v>0</v>
      </c>
      <c r="O82" s="190">
        <f t="shared" si="20"/>
        <v>0</v>
      </c>
      <c r="P82" s="200">
        <f t="shared" ref="P82:P149" si="24">SUM(J82,L82)</f>
        <v>176446.6832046808</v>
      </c>
      <c r="Q82" s="187">
        <f>IFERROR(VLOOKUP(A82,[1]Energiindhold!$A$2:$C$11,3,FALSE),IFERROR(VLOOKUP(A82,[1]Biogasudbytte!$A$2:$B$18,2,FALSE)*[1]Energiindhold!$C$10,0))*O82</f>
        <v>0</v>
      </c>
      <c r="R82" s="187">
        <f>IF(A82&lt;&gt;"Biogas",IFERROR(VLOOKUP(A82,[1]Biogasudbytte!$A$2:$B$18,2,FALSE)*[1]Energiindhold!$C$10,0)*J82*IFERROR(VLOOKUP(A82,Biogasanlæg!$F$3:$G$8,2,FALSE),1)+IFERROR(VLOOKUP(A82,[1]Energiindhold!$A$2:$C$11,3,FALSE),0)*L82+IF(D82&lt;&gt;År1,Q82,0),0)</f>
        <v>3.2466189709661259</v>
      </c>
      <c r="S82" s="187">
        <f>IFERROR(VLOOKUP(A82,[1]Biogasudbytte!$A$2:$B$18,2,FALSE)*[1]Energiindhold!$C$10,0)*J82*IFERROR(VLOOKUP(A82,Biogasanlæg!$F$3:$G$8,2,FALSE),1)</f>
        <v>0</v>
      </c>
      <c r="T82" s="188">
        <f t="shared" ref="T82:T149" si="25">R82-S82</f>
        <v>3.2466189709661259</v>
      </c>
      <c r="U82" s="186">
        <f>O82*IFERROR(VLOOKUP(A82,[1]Tørstofindhold!A$2:B$24,2,FALSE),0)</f>
        <v>0</v>
      </c>
      <c r="V82" s="187">
        <f>IF(D82=År1,P82,SUM(O82,P82))*IFERROR(VLOOKUP(A82,[1]Tørstofindhold!A$2:B$24,2,FALSE),0)</f>
        <v>73225.373529942532</v>
      </c>
      <c r="W82" s="187">
        <f>J82*IFERROR(VLOOKUP(A82,[1]Tørstofindhold!A$2:B$24,2,FALSE),0)</f>
        <v>0</v>
      </c>
      <c r="X82" s="188">
        <f t="shared" ref="X82:X149" si="26">V82-W82</f>
        <v>73225.373529942532</v>
      </c>
      <c r="Y82" s="168">
        <f t="shared" si="21"/>
        <v>0</v>
      </c>
      <c r="Z82" s="103">
        <f t="shared" si="22"/>
        <v>0</v>
      </c>
    </row>
    <row r="83" spans="1:26" x14ac:dyDescent="0.25">
      <c r="A83" s="189" t="str">
        <f t="shared" ref="A83:A84" si="27">A35</f>
        <v>Pyrolysegas</v>
      </c>
      <c r="B83" s="189" t="str">
        <f t="shared" ref="B83:B84" si="28">IF(B35&lt;&gt;"",B35,"")</f>
        <v>Pyrolyseprodukter</v>
      </c>
      <c r="C83" s="189">
        <f>IF(COUNTIFS('Resultater - Danmark'!$D$3:$D$504,'Resultat-Produktion &amp; forbrug'!A83,'Resultater - Danmark'!$A$3:$A$504,"Til energi")+COUNTIFS('Resultater - Danmark'!$D$3:$D$504,'Resultat-Produktion &amp; forbrug'!A83,'Resultater - Danmark'!$A$3:$A$504,"Biogasanlæg")&gt;0,1,0)</f>
        <v>1</v>
      </c>
      <c r="D83" s="189">
        <f t="shared" si="19"/>
        <v>2030</v>
      </c>
      <c r="E83" s="187" t="s">
        <v>23</v>
      </c>
      <c r="F83" s="190">
        <f>IF(E83="Vestdanmark",SUMIFS(IF(D83=År1,'Resultater - Vestdanmark'!H$3:H$504,IF(D83=År2,'Resultater - Vestdanmark'!I$3:I$504,'Resultater - Vestdanmark'!J$3:J$504)),'Resultater - Vestdanmark'!$F$3:$F$504,$A83,IF(D83=År1,'Resultater - Vestdanmark'!H$3:H$504,IF(D83=År2,'Resultater - Vestdanmark'!I$3:I$504,'Resultater - Vestdanmark'!J$3:J$504)),"&gt;0"),SUMIFS(IF(D83=År1,'Resultater - Østdanmark'!H$3:H$504,IF(D83=År2,'Resultater - Østdanmark'!I$3:I$504,'Resultater - Østdanmark'!J$3:J$504)),'Resultater - Østdanmark'!$F$3:$F$504,$A83,IF(D83=År1,'Resultater - Østdanmark'!H$3:H$504,IF(D83=År2,'Resultater - Østdanmark'!I$3:I$504,'Resultater - Østdanmark'!J$3:J$504)),"&gt;0"))</f>
        <v>0</v>
      </c>
      <c r="G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forbrug'!G$2,'Forbrug af biomasse'!$B$2:$B$425,$E83)</f>
        <v>0</v>
      </c>
      <c r="H83" s="187">
        <f>IF(E83="Vestdanmark",-IF(A83="Halm",SUMIFS(IF(D83=År1,'Resultater - Vestdanmark'!H$3:H$504,IF(D83=År2,'Resultater - Vestdanmark'!I$3:I$504,'Resultater - Vestdanmark'!J$3:J$504)),'Resultater - Vestdanmark'!$F$3:$F$504,$A83,'Resultater - Vestdanmark'!H$3:H$504,"&lt;0"),0),-IF(A83="Halm",SUMIFS(IF(D83=År1,'Resultater - Østdanmark'!H$3:H$504,IF(D83=År2,'Resultater - Østdanmark'!I$3:I$504,'Resultater - Østdanmark'!J$3:J$504)),'Resultater - Østdanmark'!$F$3:$F$504,$A83,'Resultater - Østdanmark'!H$3:H$504,"&lt;0"),0))</f>
        <v>0</v>
      </c>
      <c r="I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forbrug'!I$2,'Forbrug af biomasse'!$B$2:$B$425,$E83)</f>
        <v>0</v>
      </c>
      <c r="J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forbrug'!J$2,'Forbrug af biomasse'!$B$2:$B$425,$E83)</f>
        <v>0</v>
      </c>
      <c r="K83" s="190">
        <f>SUMIFS('Forbrug af biomasse'!$E$2:$E$425,'Forbrug af biomasse'!$C$2:$C$425,'Resultat-Produktion &amp; forbrug'!$A83,'Forbrug af biomasse'!$D$2:$D$425,'Resultat-Produktion &amp; forbrug'!$D83,'Forbrug af biomasse'!$A$2:$A$425,'Resultat-Produktion &amp; forbrug'!K$2,'Forbrug af biomasse'!$B$2:$B$425,$E83)</f>
        <v>0</v>
      </c>
      <c r="L83" s="190">
        <f>IF(A83&lt;&gt;"Biogas",SUMIFS('Forbrug af biomasse'!$E$2:$E$425,'Forbrug af biomasse'!$C$2:$C$425,'Resultat-Produktion &amp; forbrug'!$A83,'Forbrug af biomasse'!$D$2:$D$425,'Resultat-Produktion &amp; forbrug'!$D83,'Forbrug af biomasse'!$A$2:$A$425,'Resultat-Produktion &amp; forbrug'!L$2,'Forbrug af biomasse'!$B$2:$B$425,$E83),F83)</f>
        <v>0</v>
      </c>
      <c r="M83" s="154">
        <f>SUMIFS('Forbrug af biomasse'!E:E,'Forbrug af biomasse'!C:C,'Resultat-Produktion &amp; forbrug'!$A83,'Forbrug af biomasse'!D:D,'Resultat-Produktion &amp; forbrug'!$D83,'Forbrug af biomasse'!G:G,1,'Forbrug af biomasse'!B:B,$E83)</f>
        <v>0</v>
      </c>
      <c r="N83" s="199">
        <f t="shared" ref="N83:N84" si="29">F83-SUM(G83:M83)</f>
        <v>0</v>
      </c>
      <c r="O83" s="190">
        <f t="shared" si="20"/>
        <v>0</v>
      </c>
      <c r="P83" s="200">
        <f t="shared" ref="P83:P84" si="30">SUM(J83,L83)</f>
        <v>0</v>
      </c>
      <c r="Q83" s="187">
        <f>IFERROR(VLOOKUP(A83,[1]Energiindhold!$A$2:$C$11,3,FALSE),IFERROR(VLOOKUP(A83,[1]Biogasudbytte!$A$2:$B$18,2,FALSE)*[1]Energiindhold!$C$10,0))*O83</f>
        <v>0</v>
      </c>
      <c r="R83" s="187">
        <f>IF(A83&lt;&gt;"Biogas",IFERROR(VLOOKUP(A83,[1]Biogasudbytte!$A$2:$B$18,2,FALSE)*[1]Energiindhold!$C$10,0)*J83*IFERROR(VLOOKUP(A83,Biogasanlæg!$F$3:$G$8,2,FALSE),1)+IFERROR(VLOOKUP(A83,[1]Energiindhold!$A$2:$C$11,3,FALSE),0)*L83+IF(D83&lt;&gt;År1,Q83,0),0)</f>
        <v>0</v>
      </c>
      <c r="S83" s="187">
        <f>IFERROR(VLOOKUP(A83,[1]Biogasudbytte!$A$2:$B$18,2,FALSE)*[1]Energiindhold!$C$10,0)*J83*IFERROR(VLOOKUP(A83,Biogasanlæg!$F$3:$G$8,2,FALSE),1)</f>
        <v>0</v>
      </c>
      <c r="T83" s="188">
        <f t="shared" ref="T83:T84" si="31">R83-S83</f>
        <v>0</v>
      </c>
      <c r="U83" s="186">
        <f>O83*IFERROR(VLOOKUP(A83,[1]Tørstofindhold!A$2:B$24,2,FALSE),0)</f>
        <v>0</v>
      </c>
      <c r="V83" s="187">
        <f>IF(D83=År1,P83,SUM(O83,P83))*IFERROR(VLOOKUP(A83,[1]Tørstofindhold!A$2:B$24,2,FALSE),0)</f>
        <v>0</v>
      </c>
      <c r="W83" s="187">
        <f>J83*IFERROR(VLOOKUP(A83,[1]Tørstofindhold!A$2:B$24,2,FALSE),0)</f>
        <v>0</v>
      </c>
      <c r="X83" s="188">
        <f t="shared" ref="X83:X84" si="32">V83-W83</f>
        <v>0</v>
      </c>
      <c r="Y83" s="168">
        <f t="shared" si="21"/>
        <v>0</v>
      </c>
      <c r="Z83" s="103">
        <f t="shared" si="22"/>
        <v>0</v>
      </c>
    </row>
    <row r="84" spans="1:26" x14ac:dyDescent="0.25">
      <c r="A84" s="189" t="str">
        <f t="shared" si="27"/>
        <v>Pyrolyseolie</v>
      </c>
      <c r="B84" s="189" t="str">
        <f t="shared" si="28"/>
        <v>Pyrolyseprodukter</v>
      </c>
      <c r="C84" s="189">
        <f>IF(COUNTIFS('Resultater - Danmark'!$D$3:$D$504,'Resultat-Produktion &amp; forbrug'!A84,'Resultater - Danmark'!$A$3:$A$504,"Til energi")+COUNTIFS('Resultater - Danmark'!$D$3:$D$504,'Resultat-Produktion &amp; forbrug'!A84,'Resultater - Danmark'!$A$3:$A$504,"Biogasanlæg")&gt;0,1,0)</f>
        <v>1</v>
      </c>
      <c r="D84" s="189">
        <f t="shared" si="19"/>
        <v>2030</v>
      </c>
      <c r="E84" s="187" t="s">
        <v>23</v>
      </c>
      <c r="F84" s="190">
        <f>IF(E84="Vestdanmark",SUMIFS(IF(D84=År1,'Resultater - Vestdanmark'!H$3:H$504,IF(D84=År2,'Resultater - Vestdanmark'!I$3:I$504,'Resultater - Vestdanmark'!J$3:J$504)),'Resultater - Vestdanmark'!$F$3:$F$504,$A84,IF(D84=År1,'Resultater - Vestdanmark'!H$3:H$504,IF(D84=År2,'Resultater - Vestdanmark'!I$3:I$504,'Resultater - Vestdanmark'!J$3:J$504)),"&gt;0"),SUMIFS(IF(D84=År1,'Resultater - Østdanmark'!H$3:H$504,IF(D84=År2,'Resultater - Østdanmark'!I$3:I$504,'Resultater - Østdanmark'!J$3:J$504)),'Resultater - Østdanmark'!$F$3:$F$504,$A84,IF(D84=År1,'Resultater - Østdanmark'!H$3:H$504,IF(D84=År2,'Resultater - Østdanmark'!I$3:I$504,'Resultater - Østdanmark'!J$3:J$504)),"&gt;0"))</f>
        <v>0</v>
      </c>
      <c r="G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forbrug'!G$2,'Forbrug af biomasse'!$B$2:$B$425,$E84)</f>
        <v>0</v>
      </c>
      <c r="H84" s="187">
        <f>IF(E84="Vestdanmark",-IF(A84="Halm",SUMIFS(IF(D84=År1,'Resultater - Vestdanmark'!H$3:H$504,IF(D84=År2,'Resultater - Vestdanmark'!I$3:I$504,'Resultater - Vestdanmark'!J$3:J$504)),'Resultater - Vestdanmark'!$F$3:$F$504,$A84,'Resultater - Vestdanmark'!H$3:H$504,"&lt;0"),0),-IF(A84="Halm",SUMIFS(IF(D84=År1,'Resultater - Østdanmark'!H$3:H$504,IF(D84=År2,'Resultater - Østdanmark'!I$3:I$504,'Resultater - Østdanmark'!J$3:J$504)),'Resultater - Østdanmark'!$F$3:$F$504,$A84,'Resultater - Østdanmark'!H$3:H$504,"&lt;0"),0))</f>
        <v>0</v>
      </c>
      <c r="I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forbrug'!I$2,'Forbrug af biomasse'!$B$2:$B$425,$E84)</f>
        <v>0</v>
      </c>
      <c r="J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forbrug'!J$2,'Forbrug af biomasse'!$B$2:$B$425,$E84)</f>
        <v>0</v>
      </c>
      <c r="K84" s="190">
        <f>SUMIFS('Forbrug af biomasse'!$E$2:$E$425,'Forbrug af biomasse'!$C$2:$C$425,'Resultat-Produktion &amp; forbrug'!$A84,'Forbrug af biomasse'!$D$2:$D$425,'Resultat-Produktion &amp; forbrug'!$D84,'Forbrug af biomasse'!$A$2:$A$425,'Resultat-Produktion &amp; forbrug'!K$2,'Forbrug af biomasse'!$B$2:$B$425,$E84)</f>
        <v>0</v>
      </c>
      <c r="L84" s="190">
        <f>IF(A84&lt;&gt;"Biogas",SUMIFS('Forbrug af biomasse'!$E$2:$E$425,'Forbrug af biomasse'!$C$2:$C$425,'Resultat-Produktion &amp; forbrug'!$A84,'Forbrug af biomasse'!$D$2:$D$425,'Resultat-Produktion &amp; forbrug'!$D84,'Forbrug af biomasse'!$A$2:$A$425,'Resultat-Produktion &amp; forbrug'!L$2,'Forbrug af biomasse'!$B$2:$B$425,$E84),F84)</f>
        <v>0</v>
      </c>
      <c r="M84" s="154">
        <f>SUMIFS('Forbrug af biomasse'!E:E,'Forbrug af biomasse'!C:C,'Resultat-Produktion &amp; forbrug'!$A84,'Forbrug af biomasse'!D:D,'Resultat-Produktion &amp; forbrug'!$D84,'Forbrug af biomasse'!G:G,1,'Forbrug af biomasse'!B:B,$E84)</f>
        <v>0</v>
      </c>
      <c r="N84" s="199">
        <f t="shared" si="29"/>
        <v>0</v>
      </c>
      <c r="O84" s="190">
        <f t="shared" si="20"/>
        <v>0</v>
      </c>
      <c r="P84" s="200">
        <f t="shared" si="30"/>
        <v>0</v>
      </c>
      <c r="Q84" s="187">
        <f>IFERROR(VLOOKUP(A84,[1]Energiindhold!$A$2:$C$11,3,FALSE),IFERROR(VLOOKUP(A84,[1]Biogasudbytte!$A$2:$B$18,2,FALSE)*[1]Energiindhold!$C$10,0))*O84</f>
        <v>0</v>
      </c>
      <c r="R84" s="187">
        <f>IF(A84&lt;&gt;"Biogas",IFERROR(VLOOKUP(A84,[1]Biogasudbytte!$A$2:$B$18,2,FALSE)*[1]Energiindhold!$C$10,0)*J84*IFERROR(VLOOKUP(A84,Biogasanlæg!$F$3:$G$8,2,FALSE),1)+IFERROR(VLOOKUP(A84,[1]Energiindhold!$A$2:$C$11,3,FALSE),0)*L84+IF(D84&lt;&gt;År1,Q84,0),0)</f>
        <v>0</v>
      </c>
      <c r="S84" s="187">
        <f>IFERROR(VLOOKUP(A84,[1]Biogasudbytte!$A$2:$B$18,2,FALSE)*[1]Energiindhold!$C$10,0)*J84*IFERROR(VLOOKUP(A84,Biogasanlæg!$F$3:$G$8,2,FALSE),1)</f>
        <v>0</v>
      </c>
      <c r="T84" s="188">
        <f t="shared" si="31"/>
        <v>0</v>
      </c>
      <c r="U84" s="186">
        <f>O84*IFERROR(VLOOKUP(A84,[1]Tørstofindhold!A$2:B$24,2,FALSE),0)</f>
        <v>0</v>
      </c>
      <c r="V84" s="187">
        <f>IF(D84=År1,P84,SUM(O84,P84))*IFERROR(VLOOKUP(A84,[1]Tørstofindhold!A$2:B$24,2,FALSE),0)</f>
        <v>0</v>
      </c>
      <c r="W84" s="187">
        <f>J84*IFERROR(VLOOKUP(A84,[1]Tørstofindhold!A$2:B$24,2,FALSE),0)</f>
        <v>0</v>
      </c>
      <c r="X84" s="188">
        <f t="shared" si="32"/>
        <v>0</v>
      </c>
      <c r="Y84" s="168">
        <f t="shared" si="21"/>
        <v>0</v>
      </c>
      <c r="Z84" s="103">
        <f t="shared" si="22"/>
        <v>0</v>
      </c>
    </row>
    <row r="85" spans="1:26" x14ac:dyDescent="0.25">
      <c r="A85" s="189" t="str">
        <f t="shared" ref="A85:A130" si="33">A37</f>
        <v>Råmælk</v>
      </c>
      <c r="B85" s="189" t="str">
        <f t="shared" ref="B85:B130" si="34">IF(B37&lt;&gt;"",B37,"")</f>
        <v/>
      </c>
      <c r="C85" s="189">
        <f>IF(COUNTIFS('Resultater - Danmark'!$D$3:$D$504,'Resultat-Produktion &amp; forbrug'!A85,'Resultater - Danmark'!$A$3:$A$504,"Til energi")+COUNTIFS('Resultater - Danmark'!$D$3:$D$504,'Resultat-Produktion &amp; forbrug'!A85,'Resultater - Danmark'!$A$3:$A$504,"Biogasanlæg")&gt;0,1,0)</f>
        <v>0</v>
      </c>
      <c r="D85" s="189">
        <f t="shared" si="19"/>
        <v>2030</v>
      </c>
      <c r="E85" s="187" t="s">
        <v>23</v>
      </c>
      <c r="F85" s="190">
        <f>IF(E85="Vestdanmark",SUMIFS(IF(D85=År1,'Resultater - Vestdanmark'!H$3:H$504,IF(D85=År2,'Resultater - Vestdanmark'!I$3:I$504,'Resultater - Vestdanmark'!J$3:J$504)),'Resultater - Vestdanmark'!$F$3:$F$504,$A85,IF(D85=År1,'Resultater - Vestdanmark'!H$3:H$504,IF(D85=År2,'Resultater - Vestdanmark'!I$3:I$504,'Resultater - Vestdanmark'!J$3:J$504)),"&gt;0"),SUMIFS(IF(D85=År1,'Resultater - Østdanmark'!H$3:H$504,IF(D85=År2,'Resultater - Østdanmark'!I$3:I$504,'Resultater - Østdanmark'!J$3:J$504)),'Resultater - Østdanmark'!$F$3:$F$504,$A85,IF(D85=År1,'Resultater - Østdanmark'!H$3:H$504,IF(D85=År2,'Resultater - Østdanmark'!I$3:I$504,'Resultater - Østdanmark'!J$3:J$504)),"&gt;0"))</f>
        <v>5844517.8424414396</v>
      </c>
      <c r="G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forbrug'!G$2,'Forbrug af biomasse'!$B$2:$B$425,$E85)</f>
        <v>0</v>
      </c>
      <c r="H85" s="187">
        <f>IF(E85="Vestdanmark",-IF(A85="Halm",SUMIFS(IF(D85=År1,'Resultater - Vestdanmark'!H$3:H$504,IF(D85=År2,'Resultater - Vestdanmark'!I$3:I$504,'Resultater - Vestdanmark'!J$3:J$504)),'Resultater - Vestdanmark'!$F$3:$F$504,$A85,'Resultater - Vestdanmark'!H$3:H$504,"&lt;0"),0),-IF(A85="Halm",SUMIFS(IF(D85=År1,'Resultater - Østdanmark'!H$3:H$504,IF(D85=År2,'Resultater - Østdanmark'!I$3:I$504,'Resultater - Østdanmark'!J$3:J$504)),'Resultater - Østdanmark'!$F$3:$F$504,$A85,'Resultater - Østdanmark'!H$3:H$504,"&lt;0"),0))</f>
        <v>0</v>
      </c>
      <c r="I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forbrug'!I$2,'Forbrug af biomasse'!$B$2:$B$425,$E85)</f>
        <v>0</v>
      </c>
      <c r="J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forbrug'!J$2,'Forbrug af biomasse'!$B$2:$B$425,$E85)</f>
        <v>0</v>
      </c>
      <c r="K85" s="190">
        <f>SUMIFS('Forbrug af biomasse'!$E$2:$E$425,'Forbrug af biomasse'!$C$2:$C$425,'Resultat-Produktion &amp; forbrug'!$A85,'Forbrug af biomasse'!$D$2:$D$425,'Resultat-Produktion &amp; forbrug'!$D85,'Forbrug af biomasse'!$A$2:$A$425,'Resultat-Produktion &amp; forbrug'!K$2,'Forbrug af biomasse'!$B$2:$B$425,$E85)</f>
        <v>0</v>
      </c>
      <c r="L85" s="190">
        <f>IF(A85&lt;&gt;"Biogas",SUMIFS('Forbrug af biomasse'!$E$2:$E$425,'Forbrug af biomasse'!$C$2:$C$425,'Resultat-Produktion &amp; forbrug'!$A85,'Forbrug af biomasse'!$D$2:$D$425,'Resultat-Produktion &amp; forbrug'!$D85,'Forbrug af biomasse'!$A$2:$A$425,'Resultat-Produktion &amp; forbrug'!L$2,'Forbrug af biomasse'!$B$2:$B$425,$E85),F85)</f>
        <v>0</v>
      </c>
      <c r="M85" s="154">
        <f>SUMIFS('Forbrug af biomasse'!E:E,'Forbrug af biomasse'!C:C,'Resultat-Produktion &amp; forbrug'!$A85,'Forbrug af biomasse'!D:D,'Resultat-Produktion &amp; forbrug'!$D85,'Forbrug af biomasse'!G:G,1,'Forbrug af biomasse'!B:B,$E85)</f>
        <v>0</v>
      </c>
      <c r="N85" s="199">
        <f t="shared" si="23"/>
        <v>5844517.8424414396</v>
      </c>
      <c r="O85" s="190">
        <f t="shared" si="20"/>
        <v>0</v>
      </c>
      <c r="P85" s="200">
        <f t="shared" si="24"/>
        <v>0</v>
      </c>
      <c r="Q85" s="187">
        <f>IFERROR(VLOOKUP(A85,[1]Energiindhold!$A$2:$C$11,3,FALSE),IFERROR(VLOOKUP(A85,[1]Biogasudbytte!$A$2:$B$18,2,FALSE)*[1]Energiindhold!$C$10,0))*O85</f>
        <v>0</v>
      </c>
      <c r="R85" s="187">
        <f>IF(A85&lt;&gt;"Biogas",IFERROR(VLOOKUP(A85,[1]Biogasudbytte!$A$2:$B$18,2,FALSE)*[1]Energiindhold!$C$10,0)*J85*IFERROR(VLOOKUP(A85,Biogasanlæg!$F$3:$G$8,2,FALSE),1)+IFERROR(VLOOKUP(A85,[1]Energiindhold!$A$2:$C$11,3,FALSE),0)*L85+IF(D85&lt;&gt;År1,Q85,0),0)</f>
        <v>0</v>
      </c>
      <c r="S85" s="187">
        <f>IFERROR(VLOOKUP(A85,[1]Biogasudbytte!$A$2:$B$18,2,FALSE)*[1]Energiindhold!$C$10,0)*J85*IFERROR(VLOOKUP(A85,Biogasanlæg!$F$3:$G$8,2,FALSE),1)</f>
        <v>0</v>
      </c>
      <c r="T85" s="188">
        <f t="shared" si="25"/>
        <v>0</v>
      </c>
      <c r="U85" s="186">
        <f>O85*IFERROR(VLOOKUP(A85,[1]Tørstofindhold!A$2:B$24,2,FALSE),0)</f>
        <v>0</v>
      </c>
      <c r="V85" s="187">
        <f>IF(D85=År1,P85,SUM(O85,P85))*IFERROR(VLOOKUP(A85,[1]Tørstofindhold!A$2:B$24,2,FALSE),0)</f>
        <v>0</v>
      </c>
      <c r="W85" s="187">
        <f>J85*IFERROR(VLOOKUP(A85,[1]Tørstofindhold!A$2:B$24,2,FALSE),0)</f>
        <v>0</v>
      </c>
      <c r="X85" s="188">
        <f t="shared" si="26"/>
        <v>0</v>
      </c>
      <c r="Y85" s="168">
        <f t="shared" si="21"/>
        <v>0</v>
      </c>
      <c r="Z85" s="103">
        <f t="shared" si="22"/>
        <v>1</v>
      </c>
    </row>
    <row r="86" spans="1:26" x14ac:dyDescent="0.25">
      <c r="A86" s="189" t="str">
        <f t="shared" si="33"/>
        <v>Raps</v>
      </c>
      <c r="B86" s="189" t="str">
        <f t="shared" si="34"/>
        <v/>
      </c>
      <c r="C86" s="189">
        <f>IF(COUNTIFS('Resultater - Danmark'!$D$3:$D$504,'Resultat-Produktion &amp; forbrug'!A86,'Resultater - Danmark'!$A$3:$A$504,"Til energi")+COUNTIFS('Resultater - Danmark'!$D$3:$D$504,'Resultat-Produktion &amp; forbrug'!A86,'Resultater - Danmark'!$A$3:$A$504,"Biogasanlæg")&gt;0,1,0)</f>
        <v>0</v>
      </c>
      <c r="D86" s="189">
        <f t="shared" si="19"/>
        <v>2030</v>
      </c>
      <c r="E86" s="187" t="s">
        <v>23</v>
      </c>
      <c r="F86" s="190">
        <f>IF(E86="Vestdanmark",SUMIFS(IF(D86=År1,'Resultater - Vestdanmark'!H$3:H$504,IF(D86=År2,'Resultater - Vestdanmark'!I$3:I$504,'Resultater - Vestdanmark'!J$3:J$504)),'Resultater - Vestdanmark'!$F$3:$F$504,$A86,IF(D86=År1,'Resultater - Vestdanmark'!H$3:H$504,IF(D86=År2,'Resultater - Vestdanmark'!I$3:I$504,'Resultater - Vestdanmark'!J$3:J$504)),"&gt;0"),SUMIFS(IF(D86=År1,'Resultater - Østdanmark'!H$3:H$504,IF(D86=År2,'Resultater - Østdanmark'!I$3:I$504,'Resultater - Østdanmark'!J$3:J$504)),'Resultater - Østdanmark'!$F$3:$F$504,$A86,IF(D86=År1,'Resultater - Østdanmark'!H$3:H$504,IF(D86=År2,'Resultater - Østdanmark'!I$3:I$504,'Resultater - Østdanmark'!J$3:J$504)),"&gt;0"))</f>
        <v>509029.05966338929</v>
      </c>
      <c r="G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forbrug'!G$2,'Forbrug af biomasse'!$B$2:$B$425,$E86)</f>
        <v>0</v>
      </c>
      <c r="H86" s="187">
        <f>IF(E86="Vestdanmark",-IF(A86="Halm",SUMIFS(IF(D86=År1,'Resultater - Vestdanmark'!H$3:H$504,IF(D86=År2,'Resultater - Vestdanmark'!I$3:I$504,'Resultater - Vestdanmark'!J$3:J$504)),'Resultater - Vestdanmark'!$F$3:$F$504,$A86,'Resultater - Vestdanmark'!H$3:H$504,"&lt;0"),0),-IF(A86="Halm",SUMIFS(IF(D86=År1,'Resultater - Østdanmark'!H$3:H$504,IF(D86=År2,'Resultater - Østdanmark'!I$3:I$504,'Resultater - Østdanmark'!J$3:J$504)),'Resultater - Østdanmark'!$F$3:$F$504,$A86,'Resultater - Østdanmark'!H$3:H$504,"&lt;0"),0))</f>
        <v>0</v>
      </c>
      <c r="I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forbrug'!I$2,'Forbrug af biomasse'!$B$2:$B$425,$E86)</f>
        <v>0</v>
      </c>
      <c r="J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forbrug'!J$2,'Forbrug af biomasse'!$B$2:$B$425,$E86)</f>
        <v>0</v>
      </c>
      <c r="K86" s="190">
        <f>SUMIFS('Forbrug af biomasse'!$E$2:$E$425,'Forbrug af biomasse'!$C$2:$C$425,'Resultat-Produktion &amp; forbrug'!$A86,'Forbrug af biomasse'!$D$2:$D$425,'Resultat-Produktion &amp; forbrug'!$D86,'Forbrug af biomasse'!$A$2:$A$425,'Resultat-Produktion &amp; forbrug'!K$2,'Forbrug af biomasse'!$B$2:$B$425,$E86)</f>
        <v>0</v>
      </c>
      <c r="L86" s="190">
        <f>IF(A86&lt;&gt;"Biogas",SUMIFS('Forbrug af biomasse'!$E$2:$E$425,'Forbrug af biomasse'!$C$2:$C$425,'Resultat-Produktion &amp; forbrug'!$A86,'Forbrug af biomasse'!$D$2:$D$425,'Resultat-Produktion &amp; forbrug'!$D86,'Forbrug af biomasse'!$A$2:$A$425,'Resultat-Produktion &amp; forbrug'!L$2,'Forbrug af biomasse'!$B$2:$B$425,$E86),F86)</f>
        <v>0</v>
      </c>
      <c r="M86" s="154">
        <f>SUMIFS('Forbrug af biomasse'!E:E,'Forbrug af biomasse'!C:C,'Resultat-Produktion &amp; forbrug'!$A86,'Forbrug af biomasse'!D:D,'Resultat-Produktion &amp; forbrug'!$D86,'Forbrug af biomasse'!G:G,1,'Forbrug af biomasse'!B:B,$E86)</f>
        <v>509029.05966338929</v>
      </c>
      <c r="N86" s="199">
        <f t="shared" si="23"/>
        <v>0</v>
      </c>
      <c r="O86" s="190">
        <f t="shared" si="20"/>
        <v>0</v>
      </c>
      <c r="P86" s="200">
        <f t="shared" si="24"/>
        <v>0</v>
      </c>
      <c r="Q86" s="187">
        <f>IFERROR(VLOOKUP(A86,[1]Energiindhold!$A$2:$C$11,3,FALSE),IFERROR(VLOOKUP(A86,[1]Biogasudbytte!$A$2:$B$18,2,FALSE)*[1]Energiindhold!$C$10,0))*O86</f>
        <v>0</v>
      </c>
      <c r="R86" s="187">
        <f>IF(A86&lt;&gt;"Biogas",IFERROR(VLOOKUP(A86,[1]Biogasudbytte!$A$2:$B$18,2,FALSE)*[1]Energiindhold!$C$10,0)*J86*IFERROR(VLOOKUP(A86,Biogasanlæg!$F$3:$G$8,2,FALSE),1)+IFERROR(VLOOKUP(A86,[1]Energiindhold!$A$2:$C$11,3,FALSE),0)*L86+IF(D86&lt;&gt;År1,Q86,0),0)</f>
        <v>0</v>
      </c>
      <c r="S86" s="187">
        <f>IFERROR(VLOOKUP(A86,[1]Biogasudbytte!$A$2:$B$18,2,FALSE)*[1]Energiindhold!$C$10,0)*J86*IFERROR(VLOOKUP(A86,Biogasanlæg!$F$3:$G$8,2,FALSE),1)</f>
        <v>0</v>
      </c>
      <c r="T86" s="188">
        <f t="shared" si="25"/>
        <v>0</v>
      </c>
      <c r="U86" s="186">
        <f>O86*IFERROR(VLOOKUP(A86,[1]Tørstofindhold!A$2:B$24,2,FALSE),0)</f>
        <v>0</v>
      </c>
      <c r="V86" s="187">
        <f>IF(D86=År1,P86,SUM(O86,P86))*IFERROR(VLOOKUP(A86,[1]Tørstofindhold!A$2:B$24,2,FALSE),0)</f>
        <v>0</v>
      </c>
      <c r="W86" s="187">
        <f>J86*IFERROR(VLOOKUP(A86,[1]Tørstofindhold!A$2:B$24,2,FALSE),0)</f>
        <v>0</v>
      </c>
      <c r="X86" s="188">
        <f t="shared" si="26"/>
        <v>0</v>
      </c>
      <c r="Y86" s="168">
        <f t="shared" si="21"/>
        <v>0</v>
      </c>
      <c r="Z86" s="103">
        <f t="shared" si="22"/>
        <v>0</v>
      </c>
    </row>
    <row r="87" spans="1:26" x14ac:dyDescent="0.25">
      <c r="A87" s="189" t="str">
        <f t="shared" si="33"/>
        <v>Rapskage</v>
      </c>
      <c r="B87" s="189" t="str">
        <f t="shared" si="34"/>
        <v/>
      </c>
      <c r="C87" s="189">
        <f>IF(COUNTIFS('Resultater - Danmark'!$D$3:$D$504,'Resultat-Produktion &amp; forbrug'!A87,'Resultater - Danmark'!$A$3:$A$504,"Til energi")+COUNTIFS('Resultater - Danmark'!$D$3:$D$504,'Resultat-Produktion &amp; forbrug'!A87,'Resultater - Danmark'!$A$3:$A$504,"Biogasanlæg")&gt;0,1,0)</f>
        <v>0</v>
      </c>
      <c r="D87" s="189">
        <f t="shared" si="19"/>
        <v>2030</v>
      </c>
      <c r="E87" s="187" t="s">
        <v>23</v>
      </c>
      <c r="F87" s="190">
        <f>IF(E87="Vestdanmark",SUMIFS(IF(D87=År1,'Resultater - Vestdanmark'!H$3:H$504,IF(D87=År2,'Resultater - Vestdanmark'!I$3:I$504,'Resultater - Vestdanmark'!J$3:J$504)),'Resultater - Vestdanmark'!$F$3:$F$504,$A87,IF(D87=År1,'Resultater - Vestdanmark'!H$3:H$504,IF(D87=År2,'Resultater - Vestdanmark'!I$3:I$504,'Resultater - Vestdanmark'!J$3:J$504)),"&gt;0"),SUMIFS(IF(D87=År1,'Resultater - Østdanmark'!H$3:H$504,IF(D87=År2,'Resultater - Østdanmark'!I$3:I$504,'Resultater - Østdanmark'!J$3:J$504)),'Resultater - Østdanmark'!$F$3:$F$504,$A87,IF(D87=År1,'Resultater - Østdanmark'!H$3:H$504,IF(D87=År2,'Resultater - Østdanmark'!I$3:I$504,'Resultater - Østdanmark'!J$3:J$504)),"&gt;0"))</f>
        <v>254514.52983169464</v>
      </c>
      <c r="G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forbrug'!G$2,'Forbrug af biomasse'!$B$2:$B$425,$E87)</f>
        <v>256918.92730951472</v>
      </c>
      <c r="H87" s="187">
        <f>IF(E87="Vestdanmark",-IF(A87="Halm",SUMIFS(IF(D87=År1,'Resultater - Vestdanmark'!H$3:H$504,IF(D87=År2,'Resultater - Vestdanmark'!I$3:I$504,'Resultater - Vestdanmark'!J$3:J$504)),'Resultater - Vestdanmark'!$F$3:$F$504,$A87,'Resultater - Vestdanmark'!H$3:H$504,"&lt;0"),0),-IF(A87="Halm",SUMIFS(IF(D87=År1,'Resultater - Østdanmark'!H$3:H$504,IF(D87=År2,'Resultater - Østdanmark'!I$3:I$504,'Resultater - Østdanmark'!J$3:J$504)),'Resultater - Østdanmark'!$F$3:$F$504,$A87,'Resultater - Østdanmark'!H$3:H$504,"&lt;0"),0))</f>
        <v>0</v>
      </c>
      <c r="I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forbrug'!I$2,'Forbrug af biomasse'!$B$2:$B$425,$E87)</f>
        <v>0</v>
      </c>
      <c r="J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forbrug'!J$2,'Forbrug af biomasse'!$B$2:$B$425,$E87)</f>
        <v>0</v>
      </c>
      <c r="K87" s="190">
        <f>SUMIFS('Forbrug af biomasse'!$E$2:$E$425,'Forbrug af biomasse'!$C$2:$C$425,'Resultat-Produktion &amp; forbrug'!$A87,'Forbrug af biomasse'!$D$2:$D$425,'Resultat-Produktion &amp; forbrug'!$D87,'Forbrug af biomasse'!$A$2:$A$425,'Resultat-Produktion &amp; forbrug'!K$2,'Forbrug af biomasse'!$B$2:$B$425,$E87)</f>
        <v>0</v>
      </c>
      <c r="L87" s="190">
        <f>IF(A87&lt;&gt;"Biogas",SUMIFS('Forbrug af biomasse'!$E$2:$E$425,'Forbrug af biomasse'!$C$2:$C$425,'Resultat-Produktion &amp; forbrug'!$A87,'Forbrug af biomasse'!$D$2:$D$425,'Resultat-Produktion &amp; forbrug'!$D87,'Forbrug af biomasse'!$A$2:$A$425,'Resultat-Produktion &amp; forbrug'!L$2,'Forbrug af biomasse'!$B$2:$B$425,$E87),F87)</f>
        <v>0</v>
      </c>
      <c r="M87" s="154">
        <f>SUMIFS('Forbrug af biomasse'!E:E,'Forbrug af biomasse'!C:C,'Resultat-Produktion &amp; forbrug'!$A87,'Forbrug af biomasse'!D:D,'Resultat-Produktion &amp; forbrug'!$D87,'Forbrug af biomasse'!G:G,1,'Forbrug af biomasse'!B:B,$E87)</f>
        <v>0</v>
      </c>
      <c r="N87" s="199">
        <f t="shared" si="23"/>
        <v>-2404.3974778200791</v>
      </c>
      <c r="O87" s="190">
        <f t="shared" si="20"/>
        <v>0</v>
      </c>
      <c r="P87" s="200">
        <f t="shared" si="24"/>
        <v>0</v>
      </c>
      <c r="Q87" s="187">
        <f>IFERROR(VLOOKUP(A87,[1]Energiindhold!$A$2:$C$11,3,FALSE),IFERROR(VLOOKUP(A87,[1]Biogasudbytte!$A$2:$B$18,2,FALSE)*[1]Energiindhold!$C$10,0))*O87</f>
        <v>0</v>
      </c>
      <c r="R87" s="187">
        <f>IF(A87&lt;&gt;"Biogas",IFERROR(VLOOKUP(A87,[1]Biogasudbytte!$A$2:$B$18,2,FALSE)*[1]Energiindhold!$C$10,0)*J87*IFERROR(VLOOKUP(A87,Biogasanlæg!$F$3:$G$8,2,FALSE),1)+IFERROR(VLOOKUP(A87,[1]Energiindhold!$A$2:$C$11,3,FALSE),0)*L87+IF(D87&lt;&gt;År1,Q87,0),0)</f>
        <v>0</v>
      </c>
      <c r="S87" s="187">
        <f>IFERROR(VLOOKUP(A87,[1]Biogasudbytte!$A$2:$B$18,2,FALSE)*[1]Energiindhold!$C$10,0)*J87*IFERROR(VLOOKUP(A87,Biogasanlæg!$F$3:$G$8,2,FALSE),1)</f>
        <v>0</v>
      </c>
      <c r="T87" s="188">
        <f t="shared" si="25"/>
        <v>0</v>
      </c>
      <c r="U87" s="186">
        <f>O87*IFERROR(VLOOKUP(A87,[1]Tørstofindhold!A$2:B$24,2,FALSE),0)</f>
        <v>0</v>
      </c>
      <c r="V87" s="187">
        <f>IF(D87=År1,P87,SUM(O87,P87))*IFERROR(VLOOKUP(A87,[1]Tørstofindhold!A$2:B$24,2,FALSE),0)</f>
        <v>0</v>
      </c>
      <c r="W87" s="187">
        <f>J87*IFERROR(VLOOKUP(A87,[1]Tørstofindhold!A$2:B$24,2,FALSE),0)</f>
        <v>0</v>
      </c>
      <c r="X87" s="188">
        <f t="shared" si="26"/>
        <v>0</v>
      </c>
      <c r="Y87" s="168">
        <f t="shared" si="21"/>
        <v>0</v>
      </c>
      <c r="Z87" s="103">
        <f t="shared" si="22"/>
        <v>1</v>
      </c>
    </row>
    <row r="88" spans="1:26" x14ac:dyDescent="0.25">
      <c r="A88" s="189" t="str">
        <f t="shared" si="33"/>
        <v>Rapsolie</v>
      </c>
      <c r="B88" s="189" t="str">
        <f t="shared" si="34"/>
        <v>Rapsolie</v>
      </c>
      <c r="C88" s="189">
        <f>IF(COUNTIFS('Resultater - Danmark'!$D$3:$D$504,'Resultat-Produktion &amp; forbrug'!A88,'Resultater - Danmark'!$A$3:$A$504,"Til energi")+COUNTIFS('Resultater - Danmark'!$D$3:$D$504,'Resultat-Produktion &amp; forbrug'!A88,'Resultater - Danmark'!$A$3:$A$504,"Biogasanlæg")&gt;0,1,0)</f>
        <v>1</v>
      </c>
      <c r="D88" s="189">
        <f t="shared" si="19"/>
        <v>2030</v>
      </c>
      <c r="E88" s="187" t="s">
        <v>23</v>
      </c>
      <c r="F88" s="190">
        <f>IF(E88="Vestdanmark",SUMIFS(IF(D88=År1,'Resultater - Vestdanmark'!H$3:H$504,IF(D88=År2,'Resultater - Vestdanmark'!I$3:I$504,'Resultater - Vestdanmark'!J$3:J$504)),'Resultater - Vestdanmark'!$F$3:$F$504,$A88,IF(D88=År1,'Resultater - Vestdanmark'!H$3:H$504,IF(D88=År2,'Resultater - Vestdanmark'!I$3:I$504,'Resultater - Vestdanmark'!J$3:J$504)),"&gt;0"),SUMIFS(IF(D88=År1,'Resultater - Østdanmark'!H$3:H$504,IF(D88=År2,'Resultater - Østdanmark'!I$3:I$504,'Resultater - Østdanmark'!J$3:J$504)),'Resultater - Østdanmark'!$F$3:$F$504,$A88,IF(D88=År1,'Resultater - Østdanmark'!H$3:H$504,IF(D88=År2,'Resultater - Østdanmark'!I$3:I$504,'Resultater - Østdanmark'!J$3:J$504)),"&gt;0"))</f>
        <v>162889.29909228458</v>
      </c>
      <c r="G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forbrug'!G$2,'Forbrug af biomasse'!$B$2:$B$425,$E88)</f>
        <v>0</v>
      </c>
      <c r="H88" s="187">
        <f>IF(E88="Vestdanmark",-IF(A88="Halm",SUMIFS(IF(D88=År1,'Resultater - Vestdanmark'!H$3:H$504,IF(D88=År2,'Resultater - Vestdanmark'!I$3:I$504,'Resultater - Vestdanmark'!J$3:J$504)),'Resultater - Vestdanmark'!$F$3:$F$504,$A88,'Resultater - Vestdanmark'!H$3:H$504,"&lt;0"),0),-IF(A88="Halm",SUMIFS(IF(D88=År1,'Resultater - Østdanmark'!H$3:H$504,IF(D88=År2,'Resultater - Østdanmark'!I$3:I$504,'Resultater - Østdanmark'!J$3:J$504)),'Resultater - Østdanmark'!$F$3:$F$504,$A88,'Resultater - Østdanmark'!H$3:H$504,"&lt;0"),0))</f>
        <v>0</v>
      </c>
      <c r="I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forbrug'!I$2,'Forbrug af biomasse'!$B$2:$B$425,$E88)</f>
        <v>0</v>
      </c>
      <c r="J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forbrug'!J$2,'Forbrug af biomasse'!$B$2:$B$425,$E88)</f>
        <v>0</v>
      </c>
      <c r="K88" s="190">
        <f>SUMIFS('Forbrug af biomasse'!$E$2:$E$425,'Forbrug af biomasse'!$C$2:$C$425,'Resultat-Produktion &amp; forbrug'!$A88,'Forbrug af biomasse'!$D$2:$D$425,'Resultat-Produktion &amp; forbrug'!$D88,'Forbrug af biomasse'!$A$2:$A$425,'Resultat-Produktion &amp; forbrug'!K$2,'Forbrug af biomasse'!$B$2:$B$425,$E88)</f>
        <v>0</v>
      </c>
      <c r="L88" s="190">
        <f>IF(A88&lt;&gt;"Biogas",SUMIFS('Forbrug af biomasse'!$E$2:$E$425,'Forbrug af biomasse'!$C$2:$C$425,'Resultat-Produktion &amp; forbrug'!$A88,'Forbrug af biomasse'!$D$2:$D$425,'Resultat-Produktion &amp; forbrug'!$D88,'Forbrug af biomasse'!$A$2:$A$425,'Resultat-Produktion &amp; forbrug'!L$2,'Forbrug af biomasse'!$B$2:$B$425,$E88),F88)</f>
        <v>162889.29909228458</v>
      </c>
      <c r="M88" s="154">
        <f>SUMIFS('Forbrug af biomasse'!E:E,'Forbrug af biomasse'!C:C,'Resultat-Produktion &amp; forbrug'!$A88,'Forbrug af biomasse'!D:D,'Resultat-Produktion &amp; forbrug'!$D88,'Forbrug af biomasse'!G:G,1,'Forbrug af biomasse'!B:B,$E88)</f>
        <v>0</v>
      </c>
      <c r="N88" s="199">
        <f t="shared" si="23"/>
        <v>0</v>
      </c>
      <c r="O88" s="190">
        <f t="shared" si="20"/>
        <v>0</v>
      </c>
      <c r="P88" s="200">
        <f t="shared" si="24"/>
        <v>162889.29909228458</v>
      </c>
      <c r="Q88" s="187">
        <f>IFERROR(VLOOKUP(A88,[1]Energiindhold!$A$2:$C$11,3,FALSE),IFERROR(VLOOKUP(A88,[1]Biogasudbytte!$A$2:$B$18,2,FALSE)*[1]Energiindhold!$C$10,0))*O88</f>
        <v>0</v>
      </c>
      <c r="R88" s="187">
        <f>IF(A88&lt;&gt;"Biogas",IFERROR(VLOOKUP(A88,[1]Biogasudbytte!$A$2:$B$18,2,FALSE)*[1]Energiindhold!$C$10,0)*J88*IFERROR(VLOOKUP(A88,Biogasanlæg!$F$3:$G$8,2,FALSE),1)+IFERROR(VLOOKUP(A88,[1]Energiindhold!$A$2:$C$11,3,FALSE),0)*L88+IF(D88&lt;&gt;År1,Q88,0),0)</f>
        <v>5.7011254682299599</v>
      </c>
      <c r="S88" s="187">
        <f>IFERROR(VLOOKUP(A88,[1]Biogasudbytte!$A$2:$B$18,2,FALSE)*[1]Energiindhold!$C$10,0)*J88*IFERROR(VLOOKUP(A88,Biogasanlæg!$F$3:$G$8,2,FALSE),1)</f>
        <v>0</v>
      </c>
      <c r="T88" s="188">
        <f t="shared" si="25"/>
        <v>5.7011254682299599</v>
      </c>
      <c r="U88" s="186">
        <f>O88*IFERROR(VLOOKUP(A88,[1]Tørstofindhold!A$2:B$24,2,FALSE),0)</f>
        <v>0</v>
      </c>
      <c r="V88" s="187">
        <f>IF(D88=År1,P88,SUM(O88,P88))*IFERROR(VLOOKUP(A88,[1]Tørstofindhold!A$2:B$24,2,FALSE),0)</f>
        <v>0</v>
      </c>
      <c r="W88" s="187">
        <f>J88*IFERROR(VLOOKUP(A88,[1]Tørstofindhold!A$2:B$24,2,FALSE),0)</f>
        <v>0</v>
      </c>
      <c r="X88" s="188">
        <f t="shared" si="26"/>
        <v>0</v>
      </c>
      <c r="Y88" s="168">
        <f t="shared" si="21"/>
        <v>0</v>
      </c>
      <c r="Z88" s="103">
        <f t="shared" si="22"/>
        <v>0</v>
      </c>
    </row>
    <row r="89" spans="1:26" x14ac:dyDescent="0.25">
      <c r="A89" s="189" t="str">
        <f t="shared" si="33"/>
        <v>Roer</v>
      </c>
      <c r="B89" s="189" t="str">
        <f t="shared" si="34"/>
        <v>Græs og urter</v>
      </c>
      <c r="C89" s="189">
        <f>IF(COUNTIFS('Resultater - Danmark'!$D$3:$D$504,'Resultat-Produktion &amp; forbrug'!A89,'Resultater - Danmark'!$A$3:$A$504,"Til energi")+COUNTIFS('Resultater - Danmark'!$D$3:$D$504,'Resultat-Produktion &amp; forbrug'!A89,'Resultater - Danmark'!$A$3:$A$504,"Biogasanlæg")&gt;0,1,0)</f>
        <v>1</v>
      </c>
      <c r="D89" s="189">
        <f t="shared" si="19"/>
        <v>2030</v>
      </c>
      <c r="E89" s="187" t="s">
        <v>23</v>
      </c>
      <c r="F89" s="190">
        <f>IF(E89="Vestdanmark",SUMIFS(IF(D89=År1,'Resultater - Vestdanmark'!H$3:H$504,IF(D89=År2,'Resultater - Vestdanmark'!I$3:I$504,'Resultater - Vestdanmark'!J$3:J$504)),'Resultater - Vestdanmark'!$F$3:$F$504,$A89,IF(D89=År1,'Resultater - Vestdanmark'!H$3:H$504,IF(D89=År2,'Resultater - Vestdanmark'!I$3:I$504,'Resultater - Vestdanmark'!J$3:J$504)),"&gt;0"),SUMIFS(IF(D89=År1,'Resultater - Østdanmark'!H$3:H$504,IF(D89=År2,'Resultater - Østdanmark'!I$3:I$504,'Resultater - Østdanmark'!J$3:J$504)),'Resultater - Østdanmark'!$F$3:$F$504,$A89,IF(D89=År1,'Resultater - Østdanmark'!H$3:H$504,IF(D89=År2,'Resultater - Østdanmark'!I$3:I$504,'Resultater - Østdanmark'!J$3:J$504)),"&gt;0"))</f>
        <v>396405.63727863086</v>
      </c>
      <c r="G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forbrug'!G$2,'Forbrug af biomasse'!$B$2:$B$425,$E89)</f>
        <v>1009401.1411867546</v>
      </c>
      <c r="H89" s="187">
        <f>IF(E89="Vestdanmark",-IF(A89="Halm",SUMIFS(IF(D89=År1,'Resultater - Vestdanmark'!H$3:H$504,IF(D89=År2,'Resultater - Vestdanmark'!I$3:I$504,'Resultater - Vestdanmark'!J$3:J$504)),'Resultater - Vestdanmark'!$F$3:$F$504,$A89,'Resultater - Vestdanmark'!H$3:H$504,"&lt;0"),0),-IF(A89="Halm",SUMIFS(IF(D89=År1,'Resultater - Østdanmark'!H$3:H$504,IF(D89=År2,'Resultater - Østdanmark'!I$3:I$504,'Resultater - Østdanmark'!J$3:J$504)),'Resultater - Østdanmark'!$F$3:$F$504,$A89,'Resultater - Østdanmark'!H$3:H$504,"&lt;0"),0))</f>
        <v>0</v>
      </c>
      <c r="I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forbrug'!I$2,'Forbrug af biomasse'!$B$2:$B$425,$E89)</f>
        <v>0</v>
      </c>
      <c r="J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forbrug'!J$2,'Forbrug af biomasse'!$B$2:$B$425,$E89)</f>
        <v>4123.4286638275544</v>
      </c>
      <c r="K89" s="190">
        <f>SUMIFS('Forbrug af biomasse'!$E$2:$E$425,'Forbrug af biomasse'!$C$2:$C$425,'Resultat-Produktion &amp; forbrug'!$A89,'Forbrug af biomasse'!$D$2:$D$425,'Resultat-Produktion &amp; forbrug'!$D89,'Forbrug af biomasse'!$A$2:$A$425,'Resultat-Produktion &amp; forbrug'!K$2,'Forbrug af biomasse'!$B$2:$B$425,$E89)</f>
        <v>0</v>
      </c>
      <c r="L89" s="190">
        <f>IF(A89&lt;&gt;"Biogas",SUMIFS('Forbrug af biomasse'!$E$2:$E$425,'Forbrug af biomasse'!$C$2:$C$425,'Resultat-Produktion &amp; forbrug'!$A89,'Forbrug af biomasse'!$D$2:$D$425,'Resultat-Produktion &amp; forbrug'!$D89,'Forbrug af biomasse'!$A$2:$A$425,'Resultat-Produktion &amp; forbrug'!L$2,'Forbrug af biomasse'!$B$2:$B$425,$E89),F89)</f>
        <v>0</v>
      </c>
      <c r="M89" s="154">
        <f>SUMIFS('Forbrug af biomasse'!E:E,'Forbrug af biomasse'!C:C,'Resultat-Produktion &amp; forbrug'!$A89,'Forbrug af biomasse'!D:D,'Resultat-Produktion &amp; forbrug'!$D89,'Forbrug af biomasse'!G:G,1,'Forbrug af biomasse'!B:B,$E89)</f>
        <v>0</v>
      </c>
      <c r="N89" s="199">
        <f t="shared" si="23"/>
        <v>-617118.9325719513</v>
      </c>
      <c r="O89" s="190">
        <f t="shared" si="20"/>
        <v>0</v>
      </c>
      <c r="P89" s="200">
        <f t="shared" si="24"/>
        <v>4123.4286638275544</v>
      </c>
      <c r="Q89" s="187">
        <f>IFERROR(VLOOKUP(A89,[1]Energiindhold!$A$2:$C$11,3,FALSE),IFERROR(VLOOKUP(A89,[1]Biogasudbytte!$A$2:$B$18,2,FALSE)*[1]Energiindhold!$C$10,0))*O89</f>
        <v>0</v>
      </c>
      <c r="R89" s="187">
        <f>IF(A89&lt;&gt;"Biogas",IFERROR(VLOOKUP(A89,[1]Biogasudbytte!$A$2:$B$18,2,FALSE)*[1]Energiindhold!$C$10,0)*J89*IFERROR(VLOOKUP(A89,Biogasanlæg!$F$3:$G$8,2,FALSE),1)+IFERROR(VLOOKUP(A89,[1]Energiindhold!$A$2:$C$11,3,FALSE),0)*L89+IF(D89&lt;&gt;År1,Q89,0),0)</f>
        <v>1.1191150330774535E-2</v>
      </c>
      <c r="S89" s="187">
        <f>IFERROR(VLOOKUP(A89,[1]Biogasudbytte!$A$2:$B$18,2,FALSE)*[1]Energiindhold!$C$10,0)*J89*IFERROR(VLOOKUP(A89,Biogasanlæg!$F$3:$G$8,2,FALSE),1)</f>
        <v>1.1191150330774535E-2</v>
      </c>
      <c r="T89" s="188">
        <f t="shared" si="25"/>
        <v>0</v>
      </c>
      <c r="U89" s="186">
        <f>O89*IFERROR(VLOOKUP(A89,[1]Tørstofindhold!A$2:B$24,2,FALSE),0)</f>
        <v>0</v>
      </c>
      <c r="V89" s="187">
        <f>IF(D89=År1,P89,SUM(O89,P89))*IFERROR(VLOOKUP(A89,[1]Tørstofindhold!A$2:B$24,2,FALSE),0)</f>
        <v>824.68573276551092</v>
      </c>
      <c r="W89" s="187">
        <f>J89*IFERROR(VLOOKUP(A89,[1]Tørstofindhold!A$2:B$24,2,FALSE),0)</f>
        <v>824.68573276551092</v>
      </c>
      <c r="X89" s="188">
        <f t="shared" si="26"/>
        <v>0</v>
      </c>
      <c r="Y89" s="168">
        <f t="shared" si="21"/>
        <v>0</v>
      </c>
      <c r="Z89" s="103">
        <f t="shared" si="22"/>
        <v>1</v>
      </c>
    </row>
    <row r="90" spans="1:26" x14ac:dyDescent="0.25">
      <c r="A90" s="189" t="str">
        <f t="shared" si="33"/>
        <v>Slagteriaffald til andet</v>
      </c>
      <c r="B90" s="189" t="str">
        <f t="shared" si="34"/>
        <v/>
      </c>
      <c r="C90" s="189">
        <f>IF(COUNTIFS('Resultater - Danmark'!$D$3:$D$504,'Resultat-Produktion &amp; forbrug'!A90,'Resultater - Danmark'!$A$3:$A$504,"Til energi")+COUNTIFS('Resultater - Danmark'!$D$3:$D$504,'Resultat-Produktion &amp; forbrug'!A90,'Resultater - Danmark'!$A$3:$A$504,"Biogasanlæg")&gt;0,1,0)</f>
        <v>0</v>
      </c>
      <c r="D90" s="189">
        <f t="shared" si="19"/>
        <v>2030</v>
      </c>
      <c r="E90" s="187" t="s">
        <v>23</v>
      </c>
      <c r="F90" s="190">
        <f>IF(E90="Vestdanmark",SUMIFS(IF(D90=År1,'Resultater - Vestdanmark'!H$3:H$504,IF(D90=År2,'Resultater - Vestdanmark'!I$3:I$504,'Resultater - Vestdanmark'!J$3:J$504)),'Resultater - Vestdanmark'!$F$3:$F$504,$A90,IF(D90=År1,'Resultater - Vestdanmark'!H$3:H$504,IF(D90=År2,'Resultater - Vestdanmark'!I$3:I$504,'Resultater - Vestdanmark'!J$3:J$504)),"&gt;0"),SUMIFS(IF(D90=År1,'Resultater - Østdanmark'!H$3:H$504,IF(D90=År2,'Resultater - Østdanmark'!I$3:I$504,'Resultater - Østdanmark'!J$3:J$504)),'Resultater - Østdanmark'!$F$3:$F$504,$A90,IF(D90=År1,'Resultater - Østdanmark'!H$3:H$504,IF(D90=År2,'Resultater - Østdanmark'!I$3:I$504,'Resultater - Østdanmark'!J$3:J$504)),"&gt;0"))</f>
        <v>229347.69258761208</v>
      </c>
      <c r="G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forbrug'!G$2,'Forbrug af biomasse'!$B$2:$B$425,$E90)</f>
        <v>0</v>
      </c>
      <c r="H90" s="187">
        <f>IF(E90="Vestdanmark",-IF(A90="Halm",SUMIFS(IF(D90=År1,'Resultater - Vestdanmark'!H$3:H$504,IF(D90=År2,'Resultater - Vestdanmark'!I$3:I$504,'Resultater - Vestdanmark'!J$3:J$504)),'Resultater - Vestdanmark'!$F$3:$F$504,$A90,'Resultater - Vestdanmark'!H$3:H$504,"&lt;0"),0),-IF(A90="Halm",SUMIFS(IF(D90=År1,'Resultater - Østdanmark'!H$3:H$504,IF(D90=År2,'Resultater - Østdanmark'!I$3:I$504,'Resultater - Østdanmark'!J$3:J$504)),'Resultater - Østdanmark'!$F$3:$F$504,$A90,'Resultater - Østdanmark'!H$3:H$504,"&lt;0"),0))</f>
        <v>0</v>
      </c>
      <c r="I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forbrug'!I$2,'Forbrug af biomasse'!$B$2:$B$425,$E90)</f>
        <v>0</v>
      </c>
      <c r="J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forbrug'!J$2,'Forbrug af biomasse'!$B$2:$B$425,$E90)</f>
        <v>0</v>
      </c>
      <c r="K90" s="190">
        <f>SUMIFS('Forbrug af biomasse'!$E$2:$E$425,'Forbrug af biomasse'!$C$2:$C$425,'Resultat-Produktion &amp; forbrug'!$A90,'Forbrug af biomasse'!$D$2:$D$425,'Resultat-Produktion &amp; forbrug'!$D90,'Forbrug af biomasse'!$A$2:$A$425,'Resultat-Produktion &amp; forbrug'!K$2,'Forbrug af biomasse'!$B$2:$B$425,$E90)</f>
        <v>0</v>
      </c>
      <c r="L90" s="190">
        <f>IF(A90&lt;&gt;"Biogas",SUMIFS('Forbrug af biomasse'!$E$2:$E$425,'Forbrug af biomasse'!$C$2:$C$425,'Resultat-Produktion &amp; forbrug'!$A90,'Forbrug af biomasse'!$D$2:$D$425,'Resultat-Produktion &amp; forbrug'!$D90,'Forbrug af biomasse'!$A$2:$A$425,'Resultat-Produktion &amp; forbrug'!L$2,'Forbrug af biomasse'!$B$2:$B$425,$E90),F90)</f>
        <v>0</v>
      </c>
      <c r="M90" s="154">
        <f>SUMIFS('Forbrug af biomasse'!E:E,'Forbrug af biomasse'!C:C,'Resultat-Produktion &amp; forbrug'!$A90,'Forbrug af biomasse'!D:D,'Resultat-Produktion &amp; forbrug'!$D90,'Forbrug af biomasse'!G:G,1,'Forbrug af biomasse'!B:B,$E90)</f>
        <v>0</v>
      </c>
      <c r="N90" s="199">
        <f t="shared" si="23"/>
        <v>229347.69258761208</v>
      </c>
      <c r="O90" s="190">
        <f t="shared" si="20"/>
        <v>0</v>
      </c>
      <c r="P90" s="200">
        <f t="shared" si="24"/>
        <v>0</v>
      </c>
      <c r="Q90" s="187">
        <f>IFERROR(VLOOKUP(A90,[1]Energiindhold!$A$2:$C$11,3,FALSE),IFERROR(VLOOKUP(A90,[1]Biogasudbytte!$A$2:$B$18,2,FALSE)*[1]Energiindhold!$C$10,0))*O90</f>
        <v>0</v>
      </c>
      <c r="R90" s="187">
        <f>IF(A90&lt;&gt;"Biogas",IFERROR(VLOOKUP(A90,[1]Biogasudbytte!$A$2:$B$18,2,FALSE)*[1]Energiindhold!$C$10,0)*J90*IFERROR(VLOOKUP(A90,Biogasanlæg!$F$3:$G$8,2,FALSE),1)+IFERROR(VLOOKUP(A90,[1]Energiindhold!$A$2:$C$11,3,FALSE),0)*L90+IF(D90&lt;&gt;År1,Q90,0),0)</f>
        <v>0</v>
      </c>
      <c r="S90" s="187">
        <f>IFERROR(VLOOKUP(A90,[1]Biogasudbytte!$A$2:$B$18,2,FALSE)*[1]Energiindhold!$C$10,0)*J90*IFERROR(VLOOKUP(A90,Biogasanlæg!$F$3:$G$8,2,FALSE),1)</f>
        <v>0</v>
      </c>
      <c r="T90" s="188">
        <f t="shared" si="25"/>
        <v>0</v>
      </c>
      <c r="U90" s="186">
        <f>O90*IFERROR(VLOOKUP(A90,[1]Tørstofindhold!A$2:B$24,2,FALSE),0)</f>
        <v>0</v>
      </c>
      <c r="V90" s="187">
        <f>IF(D90=År1,P90,SUM(O90,P90))*IFERROR(VLOOKUP(A90,[1]Tørstofindhold!A$2:B$24,2,FALSE),0)</f>
        <v>0</v>
      </c>
      <c r="W90" s="187">
        <f>J90*IFERROR(VLOOKUP(A90,[1]Tørstofindhold!A$2:B$24,2,FALSE),0)</f>
        <v>0</v>
      </c>
      <c r="X90" s="188">
        <f t="shared" si="26"/>
        <v>0</v>
      </c>
      <c r="Y90" s="168">
        <f t="shared" si="21"/>
        <v>0</v>
      </c>
      <c r="Z90" s="103">
        <f t="shared" si="22"/>
        <v>1</v>
      </c>
    </row>
    <row r="91" spans="1:26" x14ac:dyDescent="0.25">
      <c r="A91" s="189" t="str">
        <f t="shared" si="33"/>
        <v>Slagteriaffald til foder</v>
      </c>
      <c r="B91" s="189" t="str">
        <f t="shared" si="34"/>
        <v/>
      </c>
      <c r="C91" s="189">
        <f>IF(COUNTIFS('Resultater - Danmark'!$D$3:$D$504,'Resultat-Produktion &amp; forbrug'!A91,'Resultater - Danmark'!$A$3:$A$504,"Til energi")+COUNTIFS('Resultater - Danmark'!$D$3:$D$504,'Resultat-Produktion &amp; forbrug'!A91,'Resultater - Danmark'!$A$3:$A$504,"Biogasanlæg")&gt;0,1,0)</f>
        <v>0</v>
      </c>
      <c r="D91" s="189">
        <f t="shared" si="19"/>
        <v>2030</v>
      </c>
      <c r="E91" s="187" t="s">
        <v>23</v>
      </c>
      <c r="F91" s="190">
        <f>IF(E91="Vestdanmark",SUMIFS(IF(D91=År1,'Resultater - Vestdanmark'!H$3:H$504,IF(D91=År2,'Resultater - Vestdanmark'!I$3:I$504,'Resultater - Vestdanmark'!J$3:J$504)),'Resultater - Vestdanmark'!$F$3:$F$504,$A91,IF(D91=År1,'Resultater - Vestdanmark'!H$3:H$504,IF(D91=År2,'Resultater - Vestdanmark'!I$3:I$504,'Resultater - Vestdanmark'!J$3:J$504)),"&gt;0"),SUMIFS(IF(D91=År1,'Resultater - Østdanmark'!H$3:H$504,IF(D91=År2,'Resultater - Østdanmark'!I$3:I$504,'Resultater - Østdanmark'!J$3:J$504)),'Resultater - Østdanmark'!$F$3:$F$504,$A91,IF(D91=År1,'Resultater - Østdanmark'!H$3:H$504,IF(D91=År2,'Resultater - Østdanmark'!I$3:I$504,'Resultater - Østdanmark'!J$3:J$504)),"&gt;0"))</f>
        <v>155631.99325653154</v>
      </c>
      <c r="G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forbrug'!G$2,'Forbrug af biomasse'!$B$2:$B$425,$E91)</f>
        <v>47298.882015140785</v>
      </c>
      <c r="H91" s="187">
        <f>IF(E91="Vestdanmark",-IF(A91="Halm",SUMIFS(IF(D91=År1,'Resultater - Vestdanmark'!H$3:H$504,IF(D91=År2,'Resultater - Vestdanmark'!I$3:I$504,'Resultater - Vestdanmark'!J$3:J$504)),'Resultater - Vestdanmark'!$F$3:$F$504,$A91,'Resultater - Vestdanmark'!H$3:H$504,"&lt;0"),0),-IF(A91="Halm",SUMIFS(IF(D91=År1,'Resultater - Østdanmark'!H$3:H$504,IF(D91=År2,'Resultater - Østdanmark'!I$3:I$504,'Resultater - Østdanmark'!J$3:J$504)),'Resultater - Østdanmark'!$F$3:$F$504,$A91,'Resultater - Østdanmark'!H$3:H$504,"&lt;0"),0))</f>
        <v>0</v>
      </c>
      <c r="I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forbrug'!I$2,'Forbrug af biomasse'!$B$2:$B$425,$E91)</f>
        <v>0</v>
      </c>
      <c r="J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forbrug'!J$2,'Forbrug af biomasse'!$B$2:$B$425,$E91)</f>
        <v>0</v>
      </c>
      <c r="K91" s="190">
        <f>SUMIFS('Forbrug af biomasse'!$E$2:$E$425,'Forbrug af biomasse'!$C$2:$C$425,'Resultat-Produktion &amp; forbrug'!$A91,'Forbrug af biomasse'!$D$2:$D$425,'Resultat-Produktion &amp; forbrug'!$D91,'Forbrug af biomasse'!$A$2:$A$425,'Resultat-Produktion &amp; forbrug'!K$2,'Forbrug af biomasse'!$B$2:$B$425,$E91)</f>
        <v>0</v>
      </c>
      <c r="L91" s="190">
        <f>IF(A91&lt;&gt;"Biogas",SUMIFS('Forbrug af biomasse'!$E$2:$E$425,'Forbrug af biomasse'!$C$2:$C$425,'Resultat-Produktion &amp; forbrug'!$A91,'Forbrug af biomasse'!$D$2:$D$425,'Resultat-Produktion &amp; forbrug'!$D91,'Forbrug af biomasse'!$A$2:$A$425,'Resultat-Produktion &amp; forbrug'!L$2,'Forbrug af biomasse'!$B$2:$B$425,$E91),F91)</f>
        <v>0</v>
      </c>
      <c r="M91" s="154">
        <f>SUMIFS('Forbrug af biomasse'!E:E,'Forbrug af biomasse'!C:C,'Resultat-Produktion &amp; forbrug'!$A91,'Forbrug af biomasse'!D:D,'Resultat-Produktion &amp; forbrug'!$D91,'Forbrug af biomasse'!G:G,1,'Forbrug af biomasse'!B:B,$E91)</f>
        <v>0</v>
      </c>
      <c r="N91" s="199">
        <f t="shared" si="23"/>
        <v>108333.11124139075</v>
      </c>
      <c r="O91" s="190">
        <f t="shared" si="20"/>
        <v>0</v>
      </c>
      <c r="P91" s="200">
        <f t="shared" si="24"/>
        <v>0</v>
      </c>
      <c r="Q91" s="187">
        <f>IFERROR(VLOOKUP(A91,[1]Energiindhold!$A$2:$C$11,3,FALSE),IFERROR(VLOOKUP(A91,[1]Biogasudbytte!$A$2:$B$18,2,FALSE)*[1]Energiindhold!$C$10,0))*O91</f>
        <v>0</v>
      </c>
      <c r="R91" s="187">
        <f>IF(A91&lt;&gt;"Biogas",IFERROR(VLOOKUP(A91,[1]Biogasudbytte!$A$2:$B$18,2,FALSE)*[1]Energiindhold!$C$10,0)*J91*IFERROR(VLOOKUP(A91,Biogasanlæg!$F$3:$G$8,2,FALSE),1)+IFERROR(VLOOKUP(A91,[1]Energiindhold!$A$2:$C$11,3,FALSE),0)*L91+IF(D91&lt;&gt;År1,Q91,0),0)</f>
        <v>0</v>
      </c>
      <c r="S91" s="187">
        <f>IFERROR(VLOOKUP(A91,[1]Biogasudbytte!$A$2:$B$18,2,FALSE)*[1]Energiindhold!$C$10,0)*J91*IFERROR(VLOOKUP(A91,Biogasanlæg!$F$3:$G$8,2,FALSE),1)</f>
        <v>0</v>
      </c>
      <c r="T91" s="188">
        <f t="shared" si="25"/>
        <v>0</v>
      </c>
      <c r="U91" s="186">
        <f>O91*IFERROR(VLOOKUP(A91,[1]Tørstofindhold!A$2:B$24,2,FALSE),0)</f>
        <v>0</v>
      </c>
      <c r="V91" s="187">
        <f>IF(D91=År1,P91,SUM(O91,P91))*IFERROR(VLOOKUP(A91,[1]Tørstofindhold!A$2:B$24,2,FALSE),0)</f>
        <v>0</v>
      </c>
      <c r="W91" s="187">
        <f>J91*IFERROR(VLOOKUP(A91,[1]Tørstofindhold!A$2:B$24,2,FALSE),0)</f>
        <v>0</v>
      </c>
      <c r="X91" s="188">
        <f t="shared" si="26"/>
        <v>0</v>
      </c>
      <c r="Y91" s="168">
        <f t="shared" si="21"/>
        <v>0</v>
      </c>
      <c r="Z91" s="103">
        <f t="shared" si="22"/>
        <v>1</v>
      </c>
    </row>
    <row r="92" spans="1:26" x14ac:dyDescent="0.25">
      <c r="A92" s="189" t="str">
        <f t="shared" si="33"/>
        <v>Spildevandsslam</v>
      </c>
      <c r="B92" s="189" t="str">
        <f t="shared" si="34"/>
        <v>Bionedbrydeligt affald</v>
      </c>
      <c r="C92" s="189">
        <f>IF(COUNTIFS('Resultater - Danmark'!$D$3:$D$504,'Resultat-Produktion &amp; forbrug'!A92,'Resultater - Danmark'!$A$3:$A$504,"Til energi")+COUNTIFS('Resultater - Danmark'!$D$3:$D$504,'Resultat-Produktion &amp; forbrug'!A92,'Resultater - Danmark'!$A$3:$A$504,"Biogasanlæg")&gt;0,1,0)</f>
        <v>1</v>
      </c>
      <c r="D92" s="189">
        <f t="shared" si="19"/>
        <v>2030</v>
      </c>
      <c r="E92" s="187" t="s">
        <v>23</v>
      </c>
      <c r="F92" s="190">
        <f>IF(E92="Vestdanmark",SUMIFS(IF(D92=År1,'Resultater - Vestdanmark'!H$3:H$504,IF(D92=År2,'Resultater - Vestdanmark'!I$3:I$504,'Resultater - Vestdanmark'!J$3:J$504)),'Resultater - Vestdanmark'!$F$3:$F$504,$A92,IF(D92=År1,'Resultater - Vestdanmark'!H$3:H$504,IF(D92=År2,'Resultater - Vestdanmark'!I$3:I$504,'Resultater - Vestdanmark'!J$3:J$504)),"&gt;0"),SUMIFS(IF(D92=År1,'Resultater - Østdanmark'!H$3:H$504,IF(D92=År2,'Resultater - Østdanmark'!I$3:I$504,'Resultater - Østdanmark'!J$3:J$504)),'Resultater - Østdanmark'!$F$3:$F$504,$A92,IF(D92=År1,'Resultater - Østdanmark'!H$3:H$504,IF(D92=År2,'Resultater - Østdanmark'!I$3:I$504,'Resultater - Østdanmark'!J$3:J$504)),"&gt;0"))</f>
        <v>3998263.1551815392</v>
      </c>
      <c r="G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forbrug'!G$2,'Forbrug af biomasse'!$B$2:$B$425,$E92)</f>
        <v>0</v>
      </c>
      <c r="H92" s="187">
        <f>IF(E92="Vestdanmark",-IF(A92="Halm",SUMIFS(IF(D92=År1,'Resultater - Vestdanmark'!H$3:H$504,IF(D92=År2,'Resultater - Vestdanmark'!I$3:I$504,'Resultater - Vestdanmark'!J$3:J$504)),'Resultater - Vestdanmark'!$F$3:$F$504,$A92,'Resultater - Vestdanmark'!H$3:H$504,"&lt;0"),0),-IF(A92="Halm",SUMIFS(IF(D92=År1,'Resultater - Østdanmark'!H$3:H$504,IF(D92=År2,'Resultater - Østdanmark'!I$3:I$504,'Resultater - Østdanmark'!J$3:J$504)),'Resultater - Østdanmark'!$F$3:$F$504,$A92,'Resultater - Østdanmark'!H$3:H$504,"&lt;0"),0))</f>
        <v>0</v>
      </c>
      <c r="I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forbrug'!I$2,'Forbrug af biomasse'!$B$2:$B$425,$E92)</f>
        <v>0</v>
      </c>
      <c r="J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forbrug'!J$2,'Forbrug af biomasse'!$B$2:$B$425,$E92)</f>
        <v>1516336.6800324824</v>
      </c>
      <c r="K92" s="190">
        <f>SUMIFS('Forbrug af biomasse'!$E$2:$E$425,'Forbrug af biomasse'!$C$2:$C$425,'Resultat-Produktion &amp; forbrug'!$A92,'Forbrug af biomasse'!$D$2:$D$425,'Resultat-Produktion &amp; forbrug'!$D92,'Forbrug af biomasse'!$A$2:$A$425,'Resultat-Produktion &amp; forbrug'!K$2,'Forbrug af biomasse'!$B$2:$B$425,$E92)</f>
        <v>0</v>
      </c>
      <c r="L92" s="190">
        <f>IF(A92&lt;&gt;"Biogas",SUMIFS('Forbrug af biomasse'!$E$2:$E$425,'Forbrug af biomasse'!$C$2:$C$425,'Resultat-Produktion &amp; forbrug'!$A92,'Forbrug af biomasse'!$D$2:$D$425,'Resultat-Produktion &amp; forbrug'!$D92,'Forbrug af biomasse'!$A$2:$A$425,'Resultat-Produktion &amp; forbrug'!L$2,'Forbrug af biomasse'!$B$2:$B$425,$E92),F92)</f>
        <v>0</v>
      </c>
      <c r="M92" s="154">
        <f>SUMIFS('Forbrug af biomasse'!E:E,'Forbrug af biomasse'!C:C,'Resultat-Produktion &amp; forbrug'!$A92,'Forbrug af biomasse'!D:D,'Resultat-Produktion &amp; forbrug'!$D92,'Forbrug af biomasse'!G:G,1,'Forbrug af biomasse'!B:B,$E92)</f>
        <v>0</v>
      </c>
      <c r="N92" s="199">
        <f t="shared" si="23"/>
        <v>2481926.4751490569</v>
      </c>
      <c r="O92" s="190">
        <f t="shared" si="20"/>
        <v>2481926.4751490569</v>
      </c>
      <c r="P92" s="200">
        <f t="shared" si="24"/>
        <v>1516336.6800324824</v>
      </c>
      <c r="Q92" s="187">
        <f>IFERROR(VLOOKUP(A92,[1]Energiindhold!$A$2:$C$11,3,FALSE),IFERROR(VLOOKUP(A92,[1]Biogasudbytte!$A$2:$B$18,2,FALSE)*[1]Energiindhold!$C$10,0))*O92</f>
        <v>1.2385061303641312</v>
      </c>
      <c r="R92" s="187">
        <f>IF(A92&lt;&gt;"Biogas",IFERROR(VLOOKUP(A92,[1]Biogasudbytte!$A$2:$B$18,2,FALSE)*[1]Energiindhold!$C$10,0)*J92*IFERROR(VLOOKUP(A92,Biogasanlæg!$F$3:$G$8,2,FALSE),1)+IFERROR(VLOOKUP(A92,[1]Energiindhold!$A$2:$C$11,3,FALSE),0)*L92+IF(D92&lt;&gt;År1,Q92,0),0)</f>
        <v>1.9951732970671403</v>
      </c>
      <c r="S92" s="187">
        <f>IFERROR(VLOOKUP(A92,[1]Biogasudbytte!$A$2:$B$18,2,FALSE)*[1]Energiindhold!$C$10,0)*J92*IFERROR(VLOOKUP(A92,Biogasanlæg!$F$3:$G$8,2,FALSE),1)</f>
        <v>0.75666716670300915</v>
      </c>
      <c r="T92" s="188">
        <f t="shared" si="25"/>
        <v>1.2385061303641312</v>
      </c>
      <c r="U92" s="186">
        <f>O92*IFERROR(VLOOKUP(A92,[1]Tørstofindhold!A$2:B$24,2,FALSE),0)</f>
        <v>148915.58850894342</v>
      </c>
      <c r="V92" s="187">
        <f>IF(D92=År1,P92,SUM(O92,P92))*IFERROR(VLOOKUP(A92,[1]Tørstofindhold!A$2:B$24,2,FALSE),0)</f>
        <v>239895.78931089235</v>
      </c>
      <c r="W92" s="187">
        <f>J92*IFERROR(VLOOKUP(A92,[1]Tørstofindhold!A$2:B$24,2,FALSE),0)</f>
        <v>90980.200801948944</v>
      </c>
      <c r="X92" s="188">
        <f t="shared" si="26"/>
        <v>148915.58850894339</v>
      </c>
      <c r="Y92" s="168">
        <f t="shared" si="21"/>
        <v>0</v>
      </c>
      <c r="Z92" s="103">
        <f t="shared" si="22"/>
        <v>1</v>
      </c>
    </row>
    <row r="93" spans="1:26" x14ac:dyDescent="0.25">
      <c r="A93" s="189" t="str">
        <f t="shared" si="33"/>
        <v>Svinegylle</v>
      </c>
      <c r="B93" s="189" t="str">
        <f t="shared" si="34"/>
        <v>Husdyrgødning</v>
      </c>
      <c r="C93" s="189">
        <f>IF(COUNTIFS('Resultater - Danmark'!$D$3:$D$504,'Resultat-Produktion &amp; forbrug'!A93,'Resultater - Danmark'!$A$3:$A$504,"Til energi")+COUNTIFS('Resultater - Danmark'!$D$3:$D$504,'Resultat-Produktion &amp; forbrug'!A93,'Resultater - Danmark'!$A$3:$A$504,"Biogasanlæg")&gt;0,1,0)</f>
        <v>1</v>
      </c>
      <c r="D93" s="189">
        <f t="shared" si="19"/>
        <v>2030</v>
      </c>
      <c r="E93" s="187" t="s">
        <v>23</v>
      </c>
      <c r="F93" s="190">
        <f>IF(E93="Vestdanmark",SUMIFS(IF(D93=År1,'Resultater - Vestdanmark'!H$3:H$504,IF(D93=År2,'Resultater - Vestdanmark'!I$3:I$504,'Resultater - Vestdanmark'!J$3:J$504)),'Resultater - Vestdanmark'!$F$3:$F$504,$A93,IF(D93=År1,'Resultater - Vestdanmark'!H$3:H$504,IF(D93=År2,'Resultater - Vestdanmark'!I$3:I$504,'Resultater - Vestdanmark'!J$3:J$504)),"&gt;0"),SUMIFS(IF(D93=År1,'Resultater - Østdanmark'!H$3:H$504,IF(D93=År2,'Resultater - Østdanmark'!I$3:I$504,'Resultater - Østdanmark'!J$3:J$504)),'Resultater - Østdanmark'!$F$3:$F$504,$A93,IF(D93=År1,'Resultater - Østdanmark'!H$3:H$504,IF(D93=År2,'Resultater - Østdanmark'!I$3:I$504,'Resultater - Østdanmark'!J$3:J$504)),"&gt;0"))</f>
        <v>18089799.811057284</v>
      </c>
      <c r="G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forbrug'!G$2,'Forbrug af biomasse'!$B$2:$B$425,$E93)</f>
        <v>0</v>
      </c>
      <c r="H93" s="187">
        <f>IF(E93="Vestdanmark",-IF(A93="Halm",SUMIFS(IF(D93=År1,'Resultater - Vestdanmark'!H$3:H$504,IF(D93=År2,'Resultater - Vestdanmark'!I$3:I$504,'Resultater - Vestdanmark'!J$3:J$504)),'Resultater - Vestdanmark'!$F$3:$F$504,$A93,'Resultater - Vestdanmark'!H$3:H$504,"&lt;0"),0),-IF(A93="Halm",SUMIFS(IF(D93=År1,'Resultater - Østdanmark'!H$3:H$504,IF(D93=År2,'Resultater - Østdanmark'!I$3:I$504,'Resultater - Østdanmark'!J$3:J$504)),'Resultater - Østdanmark'!$F$3:$F$504,$A93,'Resultater - Østdanmark'!H$3:H$504,"&lt;0"),0))</f>
        <v>0</v>
      </c>
      <c r="I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forbrug'!I$2,'Forbrug af biomasse'!$B$2:$B$425,$E93)</f>
        <v>0</v>
      </c>
      <c r="J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forbrug'!J$2,'Forbrug af biomasse'!$B$2:$B$425,$E93)</f>
        <v>9587593.8998603616</v>
      </c>
      <c r="K93" s="190">
        <f>SUMIFS('Forbrug af biomasse'!$E$2:$E$425,'Forbrug af biomasse'!$C$2:$C$425,'Resultat-Produktion &amp; forbrug'!$A93,'Forbrug af biomasse'!$D$2:$D$425,'Resultat-Produktion &amp; forbrug'!$D93,'Forbrug af biomasse'!$A$2:$A$425,'Resultat-Produktion &amp; forbrug'!K$2,'Forbrug af biomasse'!$B$2:$B$425,$E93)</f>
        <v>8502205.9111969229</v>
      </c>
      <c r="L93" s="190">
        <f>IF(A93&lt;&gt;"Biogas",SUMIFS('Forbrug af biomasse'!$E$2:$E$425,'Forbrug af biomasse'!$C$2:$C$425,'Resultat-Produktion &amp; forbrug'!$A93,'Forbrug af biomasse'!$D$2:$D$425,'Resultat-Produktion &amp; forbrug'!$D93,'Forbrug af biomasse'!$A$2:$A$425,'Resultat-Produktion &amp; forbrug'!L$2,'Forbrug af biomasse'!$B$2:$B$425,$E93),F93)</f>
        <v>0</v>
      </c>
      <c r="M93" s="154">
        <f>SUMIFS('Forbrug af biomasse'!E:E,'Forbrug af biomasse'!C:C,'Resultat-Produktion &amp; forbrug'!$A93,'Forbrug af biomasse'!D:D,'Resultat-Produktion &amp; forbrug'!$D93,'Forbrug af biomasse'!G:G,1,'Forbrug af biomasse'!B:B,$E93)</f>
        <v>0</v>
      </c>
      <c r="N93" s="199">
        <f t="shared" si="23"/>
        <v>0</v>
      </c>
      <c r="O93" s="190">
        <f t="shared" si="20"/>
        <v>0</v>
      </c>
      <c r="P93" s="200">
        <f t="shared" si="24"/>
        <v>9587593.8998603616</v>
      </c>
      <c r="Q93" s="187">
        <f>IFERROR(VLOOKUP(A93,[1]Energiindhold!$A$2:$C$11,3,FALSE),IFERROR(VLOOKUP(A93,[1]Biogasudbytte!$A$2:$B$18,2,FALSE)*[1]Energiindhold!$C$10,0))*O93</f>
        <v>0</v>
      </c>
      <c r="R93" s="187">
        <f>IF(A93&lt;&gt;"Biogas",IFERROR(VLOOKUP(A93,[1]Biogasudbytte!$A$2:$B$18,2,FALSE)*[1]Energiindhold!$C$10,0)*J93*IFERROR(VLOOKUP(A93,Biogasanlæg!$F$3:$G$8,2,FALSE),1)+IFERROR(VLOOKUP(A93,[1]Energiindhold!$A$2:$C$11,3,FALSE),0)*L93+IF(D93&lt;&gt;År1,Q93,0),0)</f>
        <v>4.1303354520598443</v>
      </c>
      <c r="S93" s="187">
        <f>IFERROR(VLOOKUP(A93,[1]Biogasudbytte!$A$2:$B$18,2,FALSE)*[1]Energiindhold!$C$10,0)*J93*IFERROR(VLOOKUP(A93,Biogasanlæg!$F$3:$G$8,2,FALSE),1)</f>
        <v>4.1303354520598443</v>
      </c>
      <c r="T93" s="188">
        <f t="shared" si="25"/>
        <v>0</v>
      </c>
      <c r="U93" s="186">
        <f>O93*IFERROR(VLOOKUP(A93,[1]Tørstofindhold!A$2:B$24,2,FALSE),0)</f>
        <v>0</v>
      </c>
      <c r="V93" s="187">
        <f>IF(D93=År1,P93,SUM(O93,P93))*IFERROR(VLOOKUP(A93,[1]Tørstofindhold!A$2:B$24,2,FALSE),0)</f>
        <v>479379.69499301811</v>
      </c>
      <c r="W93" s="187">
        <f>J93*IFERROR(VLOOKUP(A93,[1]Tørstofindhold!A$2:B$24,2,FALSE),0)</f>
        <v>479379.69499301811</v>
      </c>
      <c r="X93" s="188">
        <f t="shared" si="26"/>
        <v>0</v>
      </c>
      <c r="Y93" s="168">
        <f t="shared" si="21"/>
        <v>0</v>
      </c>
      <c r="Z93" s="103">
        <f t="shared" si="22"/>
        <v>0</v>
      </c>
    </row>
    <row r="94" spans="1:26" x14ac:dyDescent="0.25">
      <c r="A94" s="189" t="str">
        <f t="shared" si="33"/>
        <v>Svinekød</v>
      </c>
      <c r="B94" s="189" t="str">
        <f t="shared" si="34"/>
        <v/>
      </c>
      <c r="C94" s="189">
        <f>IF(COUNTIFS('Resultater - Danmark'!$D$3:$D$504,'Resultat-Produktion &amp; forbrug'!A94,'Resultater - Danmark'!$A$3:$A$504,"Til energi")+COUNTIFS('Resultater - Danmark'!$D$3:$D$504,'Resultat-Produktion &amp; forbrug'!A94,'Resultater - Danmark'!$A$3:$A$504,"Biogasanlæg")&gt;0,1,0)</f>
        <v>0</v>
      </c>
      <c r="D94" s="189">
        <f t="shared" si="19"/>
        <v>2030</v>
      </c>
      <c r="E94" s="187" t="s">
        <v>23</v>
      </c>
      <c r="F94" s="190">
        <f>IF(E94="Vestdanmark",SUMIFS(IF(D94=År1,'Resultater - Vestdanmark'!H$3:H$504,IF(D94=År2,'Resultater - Vestdanmark'!I$3:I$504,'Resultater - Vestdanmark'!J$3:J$504)),'Resultater - Vestdanmark'!$F$3:$F$504,$A94,IF(D94=År1,'Resultater - Vestdanmark'!H$3:H$504,IF(D94=År2,'Resultater - Vestdanmark'!I$3:I$504,'Resultater - Vestdanmark'!J$3:J$504)),"&gt;0"),SUMIFS(IF(D94=År1,'Resultater - Østdanmark'!H$3:H$504,IF(D94=År2,'Resultater - Østdanmark'!I$3:I$504,'Resultater - Østdanmark'!J$3:J$504)),'Resultater - Østdanmark'!$F$3:$F$504,$A94,IF(D94=År1,'Resultater - Østdanmark'!H$3:H$504,IF(D94=År2,'Resultater - Østdanmark'!I$3:I$504,'Resultater - Østdanmark'!J$3:J$504)),"&gt;0"))</f>
        <v>1653615.6309381565</v>
      </c>
      <c r="G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forbrug'!G$2,'Forbrug af biomasse'!$B$2:$B$425,$E94)</f>
        <v>0</v>
      </c>
      <c r="H94" s="187">
        <f>IF(E94="Vestdanmark",-IF(A94="Halm",SUMIFS(IF(D94=År1,'Resultater - Vestdanmark'!H$3:H$504,IF(D94=År2,'Resultater - Vestdanmark'!I$3:I$504,'Resultater - Vestdanmark'!J$3:J$504)),'Resultater - Vestdanmark'!$F$3:$F$504,$A94,'Resultater - Vestdanmark'!H$3:H$504,"&lt;0"),0),-IF(A94="Halm",SUMIFS(IF(D94=År1,'Resultater - Østdanmark'!H$3:H$504,IF(D94=År2,'Resultater - Østdanmark'!I$3:I$504,'Resultater - Østdanmark'!J$3:J$504)),'Resultater - Østdanmark'!$F$3:$F$504,$A94,'Resultater - Østdanmark'!H$3:H$504,"&lt;0"),0))</f>
        <v>0</v>
      </c>
      <c r="I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forbrug'!I$2,'Forbrug af biomasse'!$B$2:$B$425,$E94)</f>
        <v>121875.54404868034</v>
      </c>
      <c r="J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forbrug'!J$2,'Forbrug af biomasse'!$B$2:$B$425,$E94)</f>
        <v>0</v>
      </c>
      <c r="K94" s="190">
        <f>SUMIFS('Forbrug af biomasse'!$E$2:$E$425,'Forbrug af biomasse'!$C$2:$C$425,'Resultat-Produktion &amp; forbrug'!$A94,'Forbrug af biomasse'!$D$2:$D$425,'Resultat-Produktion &amp; forbrug'!$D94,'Forbrug af biomasse'!$A$2:$A$425,'Resultat-Produktion &amp; forbrug'!K$2,'Forbrug af biomasse'!$B$2:$B$425,$E94)</f>
        <v>0</v>
      </c>
      <c r="L94" s="190">
        <f>IF(A94&lt;&gt;"Biogas",SUMIFS('Forbrug af biomasse'!$E$2:$E$425,'Forbrug af biomasse'!$C$2:$C$425,'Resultat-Produktion &amp; forbrug'!$A94,'Forbrug af biomasse'!$D$2:$D$425,'Resultat-Produktion &amp; forbrug'!$D94,'Forbrug af biomasse'!$A$2:$A$425,'Resultat-Produktion &amp; forbrug'!L$2,'Forbrug af biomasse'!$B$2:$B$425,$E94),F94)</f>
        <v>0</v>
      </c>
      <c r="M94" s="154">
        <f>SUMIFS('Forbrug af biomasse'!E:E,'Forbrug af biomasse'!C:C,'Resultat-Produktion &amp; forbrug'!$A94,'Forbrug af biomasse'!D:D,'Resultat-Produktion &amp; forbrug'!$D94,'Forbrug af biomasse'!G:G,1,'Forbrug af biomasse'!B:B,$E94)</f>
        <v>0</v>
      </c>
      <c r="N94" s="199">
        <f t="shared" si="23"/>
        <v>1531740.086889476</v>
      </c>
      <c r="O94" s="190">
        <f t="shared" si="20"/>
        <v>0</v>
      </c>
      <c r="P94" s="200">
        <f t="shared" si="24"/>
        <v>0</v>
      </c>
      <c r="Q94" s="187">
        <f>IFERROR(VLOOKUP(A94,[1]Energiindhold!$A$2:$C$11,3,FALSE),IFERROR(VLOOKUP(A94,[1]Biogasudbytte!$A$2:$B$18,2,FALSE)*[1]Energiindhold!$C$10,0))*O94</f>
        <v>0</v>
      </c>
      <c r="R94" s="187">
        <f>IF(A94&lt;&gt;"Biogas",IFERROR(VLOOKUP(A94,[1]Biogasudbytte!$A$2:$B$18,2,FALSE)*[1]Energiindhold!$C$10,0)*J94*IFERROR(VLOOKUP(A94,Biogasanlæg!$F$3:$G$8,2,FALSE),1)+IFERROR(VLOOKUP(A94,[1]Energiindhold!$A$2:$C$11,3,FALSE),0)*L94+IF(D94&lt;&gt;År1,Q94,0),0)</f>
        <v>0</v>
      </c>
      <c r="S94" s="187">
        <f>IFERROR(VLOOKUP(A94,[1]Biogasudbytte!$A$2:$B$18,2,FALSE)*[1]Energiindhold!$C$10,0)*J94*IFERROR(VLOOKUP(A94,Biogasanlæg!$F$3:$G$8,2,FALSE),1)</f>
        <v>0</v>
      </c>
      <c r="T94" s="188">
        <f t="shared" si="25"/>
        <v>0</v>
      </c>
      <c r="U94" s="186">
        <f>O94*IFERROR(VLOOKUP(A94,[1]Tørstofindhold!A$2:B$24,2,FALSE),0)</f>
        <v>0</v>
      </c>
      <c r="V94" s="187">
        <f>IF(D94=År1,P94,SUM(O94,P94))*IFERROR(VLOOKUP(A94,[1]Tørstofindhold!A$2:B$24,2,FALSE),0)</f>
        <v>0</v>
      </c>
      <c r="W94" s="187">
        <f>J94*IFERROR(VLOOKUP(A94,[1]Tørstofindhold!A$2:B$24,2,FALSE),0)</f>
        <v>0</v>
      </c>
      <c r="X94" s="188">
        <f t="shared" si="26"/>
        <v>0</v>
      </c>
      <c r="Y94" s="168">
        <f t="shared" si="21"/>
        <v>0</v>
      </c>
      <c r="Z94" s="103">
        <f t="shared" si="22"/>
        <v>1</v>
      </c>
    </row>
    <row r="95" spans="1:26" x14ac:dyDescent="0.25">
      <c r="A95" s="189" t="str">
        <f t="shared" si="33"/>
        <v>Tang</v>
      </c>
      <c r="B95" s="189" t="str">
        <f t="shared" si="34"/>
        <v>Havbiomasse</v>
      </c>
      <c r="C95" s="189">
        <f>IF(COUNTIFS('Resultater - Danmark'!$D$3:$D$504,'Resultat-Produktion &amp; forbrug'!A95,'Resultater - Danmark'!$A$3:$A$504,"Til energi")+COUNTIFS('Resultater - Danmark'!$D$3:$D$504,'Resultat-Produktion &amp; forbrug'!A95,'Resultater - Danmark'!$A$3:$A$504,"Biogasanlæg")&gt;0,1,0)</f>
        <v>1</v>
      </c>
      <c r="D95" s="189">
        <f t="shared" si="19"/>
        <v>2030</v>
      </c>
      <c r="E95" s="187" t="s">
        <v>23</v>
      </c>
      <c r="F95" s="190">
        <f>IF(E95="Vestdanmark",SUMIFS(IF(D95=År1,'Resultater - Vestdanmark'!H$3:H$504,IF(D95=År2,'Resultater - Vestdanmark'!I$3:I$504,'Resultater - Vestdanmark'!J$3:J$504)),'Resultater - Vestdanmark'!$F$3:$F$504,$A95,IF(D95=År1,'Resultater - Vestdanmark'!H$3:H$504,IF(D95=År2,'Resultater - Vestdanmark'!I$3:I$504,'Resultater - Vestdanmark'!J$3:J$504)),"&gt;0"),SUMIFS(IF(D95=År1,'Resultater - Østdanmark'!H$3:H$504,IF(D95=År2,'Resultater - Østdanmark'!I$3:I$504,'Resultater - Østdanmark'!J$3:J$504)),'Resultater - Østdanmark'!$F$3:$F$504,$A95,IF(D95=År1,'Resultater - Østdanmark'!H$3:H$504,IF(D95=År2,'Resultater - Østdanmark'!I$3:I$504,'Resultater - Østdanmark'!J$3:J$504)),"&gt;0"))</f>
        <v>84600</v>
      </c>
      <c r="G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forbrug'!G$2,'Forbrug af biomasse'!$B$2:$B$425,$E95)</f>
        <v>0</v>
      </c>
      <c r="H95" s="187">
        <f>IF(E95="Vestdanmark",-IF(A95="Halm",SUMIFS(IF(D95=År1,'Resultater - Vestdanmark'!H$3:H$504,IF(D95=År2,'Resultater - Vestdanmark'!I$3:I$504,'Resultater - Vestdanmark'!J$3:J$504)),'Resultater - Vestdanmark'!$F$3:$F$504,$A95,'Resultater - Vestdanmark'!H$3:H$504,"&lt;0"),0),-IF(A95="Halm",SUMIFS(IF(D95=År1,'Resultater - Østdanmark'!H$3:H$504,IF(D95=År2,'Resultater - Østdanmark'!I$3:I$504,'Resultater - Østdanmark'!J$3:J$504)),'Resultater - Østdanmark'!$F$3:$F$504,$A95,'Resultater - Østdanmark'!H$3:H$504,"&lt;0"),0))</f>
        <v>0</v>
      </c>
      <c r="I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forbrug'!I$2,'Forbrug af biomasse'!$B$2:$B$425,$E95)</f>
        <v>0</v>
      </c>
      <c r="J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forbrug'!J$2,'Forbrug af biomasse'!$B$2:$B$425,$E95)</f>
        <v>0</v>
      </c>
      <c r="K95" s="190">
        <f>SUMIFS('Forbrug af biomasse'!$E$2:$E$425,'Forbrug af biomasse'!$C$2:$C$425,'Resultat-Produktion &amp; forbrug'!$A95,'Forbrug af biomasse'!$D$2:$D$425,'Resultat-Produktion &amp; forbrug'!$D95,'Forbrug af biomasse'!$A$2:$A$425,'Resultat-Produktion &amp; forbrug'!K$2,'Forbrug af biomasse'!$B$2:$B$425,$E95)</f>
        <v>0</v>
      </c>
      <c r="L95" s="190">
        <f>IF(A95&lt;&gt;"Biogas",SUMIFS('Forbrug af biomasse'!$E$2:$E$425,'Forbrug af biomasse'!$C$2:$C$425,'Resultat-Produktion &amp; forbrug'!$A95,'Forbrug af biomasse'!$D$2:$D$425,'Resultat-Produktion &amp; forbrug'!$D95,'Forbrug af biomasse'!$A$2:$A$425,'Resultat-Produktion &amp; forbrug'!L$2,'Forbrug af biomasse'!$B$2:$B$425,$E95),F95)</f>
        <v>0</v>
      </c>
      <c r="M95" s="154">
        <f>SUMIFS('Forbrug af biomasse'!E:E,'Forbrug af biomasse'!C:C,'Resultat-Produktion &amp; forbrug'!$A95,'Forbrug af biomasse'!D:D,'Resultat-Produktion &amp; forbrug'!$D95,'Forbrug af biomasse'!G:G,1,'Forbrug af biomasse'!B:B,$E95)</f>
        <v>0</v>
      </c>
      <c r="N95" s="199">
        <f t="shared" si="23"/>
        <v>84600</v>
      </c>
      <c r="O95" s="190">
        <f t="shared" si="20"/>
        <v>84600</v>
      </c>
      <c r="P95" s="200">
        <f t="shared" si="24"/>
        <v>0</v>
      </c>
      <c r="Q95" s="187">
        <f>IFERROR(VLOOKUP(A95,[1]Energiindhold!$A$2:$C$11,3,FALSE),IFERROR(VLOOKUP(A95,[1]Biogasudbytte!$A$2:$B$18,2,FALSE)*[1]Energiindhold!$C$10,0))*O95</f>
        <v>7.592850000000001E-2</v>
      </c>
      <c r="R95" s="187">
        <f>IF(A95&lt;&gt;"Biogas",IFERROR(VLOOKUP(A95,[1]Biogasudbytte!$A$2:$B$18,2,FALSE)*[1]Energiindhold!$C$10,0)*J95*IFERROR(VLOOKUP(A95,Biogasanlæg!$F$3:$G$8,2,FALSE),1)+IFERROR(VLOOKUP(A95,[1]Energiindhold!$A$2:$C$11,3,FALSE),0)*L95+IF(D95&lt;&gt;År1,Q95,0),0)</f>
        <v>7.592850000000001E-2</v>
      </c>
      <c r="S95" s="187">
        <f>IFERROR(VLOOKUP(A95,[1]Biogasudbytte!$A$2:$B$18,2,FALSE)*[1]Energiindhold!$C$10,0)*J95*IFERROR(VLOOKUP(A95,Biogasanlæg!$F$3:$G$8,2,FALSE),1)</f>
        <v>0</v>
      </c>
      <c r="T95" s="188">
        <f t="shared" si="25"/>
        <v>7.592850000000001E-2</v>
      </c>
      <c r="U95" s="186">
        <f>O95*IFERROR(VLOOKUP(A95,[1]Tørstofindhold!A$2:B$24,2,FALSE),0)</f>
        <v>12690</v>
      </c>
      <c r="V95" s="187">
        <f>IF(D95=År1,P95,SUM(O95,P95))*IFERROR(VLOOKUP(A95,[1]Tørstofindhold!A$2:B$24,2,FALSE),0)</f>
        <v>12690</v>
      </c>
      <c r="W95" s="187">
        <f>J95*IFERROR(VLOOKUP(A95,[1]Tørstofindhold!A$2:B$24,2,FALSE),0)</f>
        <v>0</v>
      </c>
      <c r="X95" s="188">
        <f t="shared" si="26"/>
        <v>12690</v>
      </c>
      <c r="Y95" s="168">
        <f t="shared" si="21"/>
        <v>0</v>
      </c>
      <c r="Z95" s="103">
        <f t="shared" si="22"/>
        <v>1</v>
      </c>
    </row>
    <row r="96" spans="1:26" x14ac:dyDescent="0.25">
      <c r="A96" s="189" t="str">
        <f t="shared" si="33"/>
        <v>Total til biogas</v>
      </c>
      <c r="B96" s="189" t="str">
        <f t="shared" si="34"/>
        <v/>
      </c>
      <c r="C96" s="189">
        <f>IF(COUNTIFS('Resultater - Danmark'!$D$3:$D$504,'Resultat-Produktion &amp; forbrug'!A96,'Resultater - Danmark'!$A$3:$A$504,"Til energi")+COUNTIFS('Resultater - Danmark'!$D$3:$D$504,'Resultat-Produktion &amp; forbrug'!A96,'Resultater - Danmark'!$A$3:$A$504,"Biogasanlæg")&gt;0,1,0)</f>
        <v>1</v>
      </c>
      <c r="D96" s="189">
        <f t="shared" si="19"/>
        <v>2030</v>
      </c>
      <c r="E96" s="187" t="s">
        <v>23</v>
      </c>
      <c r="F96" s="190">
        <f>IF(E96="Vestdanmark",SUMIFS(IF(D96=År1,'Resultater - Vestdanmark'!H$3:H$504,IF(D96=År2,'Resultater - Vestdanmark'!I$3:I$504,'Resultater - Vestdanmark'!J$3:J$504)),'Resultater - Vestdanmark'!$F$3:$F$504,$A96,IF(D96=År1,'Resultater - Vestdanmark'!H$3:H$504,IF(D96=År2,'Resultater - Vestdanmark'!I$3:I$504,'Resultater - Vestdanmark'!J$3:J$504)),"&gt;0"),SUMIFS(IF(D96=År1,'Resultater - Østdanmark'!H$3:H$504,IF(D96=År2,'Resultater - Østdanmark'!I$3:I$504,'Resultater - Østdanmark'!J$3:J$504)),'Resultater - Østdanmark'!$F$3:$F$504,$A96,IF(D96=År1,'Resultater - Østdanmark'!H$3:H$504,IF(D96=År2,'Resultater - Østdanmark'!I$3:I$504,'Resultater - Østdanmark'!J$3:J$504)),"&gt;0"))</f>
        <v>0</v>
      </c>
      <c r="G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forbrug'!G$2,'Forbrug af biomasse'!$B$2:$B$425,$E96)</f>
        <v>0</v>
      </c>
      <c r="H96" s="187">
        <f>IF(E96="Vestdanmark",-IF(A96="Halm",SUMIFS(IF(D96=År1,'Resultater - Vestdanmark'!H$3:H$504,IF(D96=År2,'Resultater - Vestdanmark'!I$3:I$504,'Resultater - Vestdanmark'!J$3:J$504)),'Resultater - Vestdanmark'!$F$3:$F$504,$A96,'Resultater - Vestdanmark'!H$3:H$504,"&lt;0"),0),-IF(A96="Halm",SUMIFS(IF(D96=År1,'Resultater - Østdanmark'!H$3:H$504,IF(D96=År2,'Resultater - Østdanmark'!I$3:I$504,'Resultater - Østdanmark'!J$3:J$504)),'Resultater - Østdanmark'!$F$3:$F$504,$A96,'Resultater - Østdanmark'!H$3:H$504,"&lt;0"),0))</f>
        <v>0</v>
      </c>
      <c r="I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forbrug'!I$2,'Forbrug af biomasse'!$B$2:$B$425,$E96)</f>
        <v>0</v>
      </c>
      <c r="J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forbrug'!J$2,'Forbrug af biomasse'!$B$2:$B$425,$E96)</f>
        <v>0</v>
      </c>
      <c r="K96" s="190">
        <f>SUMIFS('Forbrug af biomasse'!$E$2:$E$425,'Forbrug af biomasse'!$C$2:$C$425,'Resultat-Produktion &amp; forbrug'!$A96,'Forbrug af biomasse'!$D$2:$D$425,'Resultat-Produktion &amp; forbrug'!$D96,'Forbrug af biomasse'!$A$2:$A$425,'Resultat-Produktion &amp; forbrug'!K$2,'Forbrug af biomasse'!$B$2:$B$425,$E96)</f>
        <v>0</v>
      </c>
      <c r="L96" s="190">
        <f>IF(A96&lt;&gt;"Biogas",SUMIFS('Forbrug af biomasse'!$E$2:$E$425,'Forbrug af biomasse'!$C$2:$C$425,'Resultat-Produktion &amp; forbrug'!$A96,'Forbrug af biomasse'!$D$2:$D$425,'Resultat-Produktion &amp; forbrug'!$D96,'Forbrug af biomasse'!$A$2:$A$425,'Resultat-Produktion &amp; forbrug'!L$2,'Forbrug af biomasse'!$B$2:$B$425,$E96),F96)</f>
        <v>0</v>
      </c>
      <c r="M96" s="154">
        <f>SUMIFS('Forbrug af biomasse'!E:E,'Forbrug af biomasse'!C:C,'Resultat-Produktion &amp; forbrug'!$A96,'Forbrug af biomasse'!D:D,'Resultat-Produktion &amp; forbrug'!$D96,'Forbrug af biomasse'!G:G,1,'Forbrug af biomasse'!B:B,$E96)</f>
        <v>0</v>
      </c>
      <c r="N96" s="199">
        <f t="shared" si="23"/>
        <v>0</v>
      </c>
      <c r="O96" s="190">
        <f t="shared" si="20"/>
        <v>0</v>
      </c>
      <c r="P96" s="200">
        <f t="shared" si="24"/>
        <v>0</v>
      </c>
      <c r="Q96" s="187">
        <f>IFERROR(VLOOKUP(A96,[1]Energiindhold!$A$2:$C$11,3,FALSE),IFERROR(VLOOKUP(A96,[1]Biogasudbytte!$A$2:$B$18,2,FALSE)*[1]Energiindhold!$C$10,0))*O96</f>
        <v>0</v>
      </c>
      <c r="R96" s="187">
        <f>IF(A96&lt;&gt;"Biogas",IFERROR(VLOOKUP(A96,[1]Biogasudbytte!$A$2:$B$18,2,FALSE)*[1]Energiindhold!$C$10,0)*J96*IFERROR(VLOOKUP(A96,Biogasanlæg!$F$3:$G$8,2,FALSE),1)+IFERROR(VLOOKUP(A96,[1]Energiindhold!$A$2:$C$11,3,FALSE),0)*L96+IF(D96&lt;&gt;År1,Q96,0),0)</f>
        <v>0</v>
      </c>
      <c r="S96" s="187">
        <f>IFERROR(VLOOKUP(A96,[1]Biogasudbytte!$A$2:$B$18,2,FALSE)*[1]Energiindhold!$C$10,0)*J96*IFERROR(VLOOKUP(A96,Biogasanlæg!$F$3:$G$8,2,FALSE),1)</f>
        <v>0</v>
      </c>
      <c r="T96" s="188">
        <f t="shared" si="25"/>
        <v>0</v>
      </c>
      <c r="U96" s="186">
        <f>O96*IFERROR(VLOOKUP(A96,[1]Tørstofindhold!A$2:B$24,2,FALSE),0)</f>
        <v>0</v>
      </c>
      <c r="V96" s="187">
        <f>IF(D96=År1,P96,SUM(O96,P96))*IFERROR(VLOOKUP(A96,[1]Tørstofindhold!A$2:B$24,2,FALSE),0)</f>
        <v>0</v>
      </c>
      <c r="W96" s="187">
        <f>J96*IFERROR(VLOOKUP(A96,[1]Tørstofindhold!A$2:B$24,2,FALSE),0)</f>
        <v>0</v>
      </c>
      <c r="X96" s="188">
        <f t="shared" si="26"/>
        <v>0</v>
      </c>
      <c r="Y96" s="168">
        <f t="shared" si="21"/>
        <v>0</v>
      </c>
      <c r="Z96" s="103">
        <f t="shared" si="22"/>
        <v>0</v>
      </c>
    </row>
    <row r="97" spans="1:26" x14ac:dyDescent="0.25">
      <c r="A97" s="189" t="str">
        <f t="shared" si="33"/>
        <v>Træ til energi</v>
      </c>
      <c r="B97" s="189" t="str">
        <f t="shared" si="34"/>
        <v>Vedmasse</v>
      </c>
      <c r="C97" s="189">
        <f>IF(COUNTIFS('Resultater - Danmark'!$D$3:$D$504,'Resultat-Produktion &amp; forbrug'!A97,'Resultater - Danmark'!$A$3:$A$504,"Til energi")+COUNTIFS('Resultater - Danmark'!$D$3:$D$504,'Resultat-Produktion &amp; forbrug'!A97,'Resultater - Danmark'!$A$3:$A$504,"Biogasanlæg")&gt;0,1,0)</f>
        <v>1</v>
      </c>
      <c r="D97" s="189">
        <f t="shared" si="19"/>
        <v>2030</v>
      </c>
      <c r="E97" s="187" t="s">
        <v>23</v>
      </c>
      <c r="F97" s="190">
        <f ca="1">IF(E97="Vestdanmark",SUMIFS(IF(D97=År1,'Resultater - Vestdanmark'!H$3:H$504,IF(D97=År2,'Resultater - Vestdanmark'!I$3:I$504,'Resultater - Vestdanmark'!J$3:J$504)),'Resultater - Vestdanmark'!$F$3:$F$504,$A97,IF(D97=År1,'Resultater - Vestdanmark'!H$3:H$504,IF(D97=År2,'Resultater - Vestdanmark'!I$3:I$504,'Resultater - Vestdanmark'!J$3:J$504)),"&gt;0"),SUMIFS(IF(D97=År1,'Resultater - Østdanmark'!H$3:H$504,IF(D97=År2,'Resultater - Østdanmark'!I$3:I$504,'Resultater - Østdanmark'!J$3:J$504)),'Resultater - Østdanmark'!$F$3:$F$504,$A97,IF(D97=År1,'Resultater - Østdanmark'!H$3:H$504,IF(D97=År2,'Resultater - Østdanmark'!I$3:I$504,'Resultater - Østdanmark'!J$3:J$504)),"&gt;0"))</f>
        <v>2203754.2205130709</v>
      </c>
      <c r="G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forbrug'!G$2,'Forbrug af biomasse'!$B$2:$B$425,$E97)</f>
        <v>0</v>
      </c>
      <c r="H97" s="187">
        <f>IF(E97="Vestdanmark",-IF(A97="Halm",SUMIFS(IF(D97=År1,'Resultater - Vestdanmark'!H$3:H$504,IF(D97=År2,'Resultater - Vestdanmark'!I$3:I$504,'Resultater - Vestdanmark'!J$3:J$504)),'Resultater - Vestdanmark'!$F$3:$F$504,$A97,'Resultater - Vestdanmark'!H$3:H$504,"&lt;0"),0),-IF(A97="Halm",SUMIFS(IF(D97=År1,'Resultater - Østdanmark'!H$3:H$504,IF(D97=År2,'Resultater - Østdanmark'!I$3:I$504,'Resultater - Østdanmark'!J$3:J$504)),'Resultater - Østdanmark'!$F$3:$F$504,$A97,'Resultater - Østdanmark'!H$3:H$504,"&lt;0"),0))</f>
        <v>0</v>
      </c>
      <c r="I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forbrug'!I$2,'Forbrug af biomasse'!$B$2:$B$425,$E97)</f>
        <v>0</v>
      </c>
      <c r="J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forbrug'!J$2,'Forbrug af biomasse'!$B$2:$B$425,$E97)</f>
        <v>0</v>
      </c>
      <c r="K97" s="190">
        <f>SUMIFS('Forbrug af biomasse'!$E$2:$E$425,'Forbrug af biomasse'!$C$2:$C$425,'Resultat-Produktion &amp; forbrug'!$A97,'Forbrug af biomasse'!$D$2:$D$425,'Resultat-Produktion &amp; forbrug'!$D97,'Forbrug af biomasse'!$A$2:$A$425,'Resultat-Produktion &amp; forbrug'!K$2,'Forbrug af biomasse'!$B$2:$B$425,$E97)</f>
        <v>0</v>
      </c>
      <c r="L97" s="190">
        <f ca="1">IF(A97&lt;&gt;"Biogas",SUMIFS('Forbrug af biomasse'!$E$2:$E$425,'Forbrug af biomasse'!$C$2:$C$425,'Resultat-Produktion &amp; forbrug'!$A97,'Forbrug af biomasse'!$D$2:$D$425,'Resultat-Produktion &amp; forbrug'!$D97,'Forbrug af biomasse'!$A$2:$A$425,'Resultat-Produktion &amp; forbrug'!L$2,'Forbrug af biomasse'!$B$2:$B$425,$E97),F97)</f>
        <v>2203754.2205130709</v>
      </c>
      <c r="M97" s="154">
        <f>SUMIFS('Forbrug af biomasse'!E:E,'Forbrug af biomasse'!C:C,'Resultat-Produktion &amp; forbrug'!$A97,'Forbrug af biomasse'!D:D,'Resultat-Produktion &amp; forbrug'!$D97,'Forbrug af biomasse'!G:G,1,'Forbrug af biomasse'!B:B,$E97)</f>
        <v>0</v>
      </c>
      <c r="N97" s="199">
        <f t="shared" ca="1" si="23"/>
        <v>0</v>
      </c>
      <c r="O97" s="190">
        <f t="shared" ca="1" si="20"/>
        <v>0</v>
      </c>
      <c r="P97" s="200">
        <f t="shared" ca="1" si="24"/>
        <v>2203754.2205130709</v>
      </c>
      <c r="Q97" s="187">
        <f ca="1">IFERROR(VLOOKUP(A97,[1]Energiindhold!$A$2:$C$11,3,FALSE),IFERROR(VLOOKUP(A97,[1]Biogasudbytte!$A$2:$B$18,2,FALSE)*[1]Energiindhold!$C$10,0))*O97</f>
        <v>0</v>
      </c>
      <c r="R97" s="187">
        <f ca="1">IF(A97&lt;&gt;"Biogas",IFERROR(VLOOKUP(A97,[1]Biogasudbytte!$A$2:$B$18,2,FALSE)*[1]Energiindhold!$C$10,0)*J97*IFERROR(VLOOKUP(A97,Biogasanlæg!$F$3:$G$8,2,FALSE),1)+IFERROR(VLOOKUP(A97,[1]Energiindhold!$A$2:$C$11,3,FALSE),0)*L97+IF(D97&lt;&gt;År1,Q97,0),0)</f>
        <v>31.9402636353806</v>
      </c>
      <c r="S97" s="187">
        <f>IFERROR(VLOOKUP(A97,[1]Biogasudbytte!$A$2:$B$18,2,FALSE)*[1]Energiindhold!$C$10,0)*J97*IFERROR(VLOOKUP(A97,Biogasanlæg!$F$3:$G$8,2,FALSE),1)</f>
        <v>0</v>
      </c>
      <c r="T97" s="188">
        <f t="shared" ca="1" si="25"/>
        <v>31.9402636353806</v>
      </c>
      <c r="U97" s="186">
        <f ca="1">O97*IFERROR(VLOOKUP(A97,[1]Tørstofindhold!A$2:B$24,2,FALSE),0)</f>
        <v>0</v>
      </c>
      <c r="V97" s="187">
        <f ca="1">IF(D97=År1,P97,SUM(O97,P97))*IFERROR(VLOOKUP(A97,[1]Tørstofindhold!A$2:B$24,2,FALSE),0)</f>
        <v>1089940.1082287563</v>
      </c>
      <c r="W97" s="187">
        <f>J97*IFERROR(VLOOKUP(A97,[1]Tørstofindhold!A$2:B$24,2,FALSE),0)</f>
        <v>0</v>
      </c>
      <c r="X97" s="188">
        <f t="shared" ca="1" si="26"/>
        <v>1089940.1082287563</v>
      </c>
      <c r="Y97" s="168">
        <f t="shared" ca="1" si="21"/>
        <v>0</v>
      </c>
      <c r="Z97" s="103">
        <f t="shared" ca="1" si="22"/>
        <v>0</v>
      </c>
    </row>
    <row r="98" spans="1:26" x14ac:dyDescent="0.25">
      <c r="A98" s="189" t="str">
        <f t="shared" si="33"/>
        <v>Træmaterialer</v>
      </c>
      <c r="B98" s="189" t="str">
        <f t="shared" si="34"/>
        <v/>
      </c>
      <c r="C98" s="189">
        <f>IF(COUNTIFS('Resultater - Danmark'!$D$3:$D$504,'Resultat-Produktion &amp; forbrug'!A98,'Resultater - Danmark'!$A$3:$A$504,"Til energi")+COUNTIFS('Resultater - Danmark'!$D$3:$D$504,'Resultat-Produktion &amp; forbrug'!A98,'Resultater - Danmark'!$A$3:$A$504,"Biogasanlæg")&gt;0,1,0)</f>
        <v>0</v>
      </c>
      <c r="D98" s="189">
        <f t="shared" si="19"/>
        <v>2030</v>
      </c>
      <c r="E98" s="187" t="s">
        <v>23</v>
      </c>
      <c r="F98" s="190">
        <f ca="1">IF(E98="Vestdanmark",SUMIFS(IF(D98=År1,'Resultater - Vestdanmark'!H$3:H$504,IF(D98=År2,'Resultater - Vestdanmark'!I$3:I$504,'Resultater - Vestdanmark'!J$3:J$504)),'Resultater - Vestdanmark'!$F$3:$F$504,$A98,IF(D98=År1,'Resultater - Vestdanmark'!H$3:H$504,IF(D98=År2,'Resultater - Vestdanmark'!I$3:I$504,'Resultater - Vestdanmark'!J$3:J$504)),"&gt;0"),SUMIFS(IF(D98=År1,'Resultater - Østdanmark'!H$3:H$504,IF(D98=År2,'Resultater - Østdanmark'!I$3:I$504,'Resultater - Østdanmark'!J$3:J$504)),'Resultater - Østdanmark'!$F$3:$F$504,$A98,IF(D98=År1,'Resultater - Østdanmark'!H$3:H$504,IF(D98=År2,'Resultater - Østdanmark'!I$3:I$504,'Resultater - Østdanmark'!J$3:J$504)),"&gt;0"))</f>
        <v>605942.81758342392</v>
      </c>
      <c r="G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forbrug'!G$2,'Forbrug af biomasse'!$B$2:$B$425,$E98)</f>
        <v>0</v>
      </c>
      <c r="H98" s="187">
        <f>IF(E98="Vestdanmark",-IF(A98="Halm",SUMIFS(IF(D98=År1,'Resultater - Vestdanmark'!H$3:H$504,IF(D98=År2,'Resultater - Vestdanmark'!I$3:I$504,'Resultater - Vestdanmark'!J$3:J$504)),'Resultater - Vestdanmark'!$F$3:$F$504,$A98,'Resultater - Vestdanmark'!H$3:H$504,"&lt;0"),0),-IF(A98="Halm",SUMIFS(IF(D98=År1,'Resultater - Østdanmark'!H$3:H$504,IF(D98=År2,'Resultater - Østdanmark'!I$3:I$504,'Resultater - Østdanmark'!J$3:J$504)),'Resultater - Østdanmark'!$F$3:$F$504,$A98,'Resultater - Østdanmark'!H$3:H$504,"&lt;0"),0))</f>
        <v>0</v>
      </c>
      <c r="I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forbrug'!I$2,'Forbrug af biomasse'!$B$2:$B$425,$E98)</f>
        <v>0</v>
      </c>
      <c r="J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forbrug'!J$2,'Forbrug af biomasse'!$B$2:$B$425,$E98)</f>
        <v>0</v>
      </c>
      <c r="K98" s="190">
        <f>SUMIFS('Forbrug af biomasse'!$E$2:$E$425,'Forbrug af biomasse'!$C$2:$C$425,'Resultat-Produktion &amp; forbrug'!$A98,'Forbrug af biomasse'!$D$2:$D$425,'Resultat-Produktion &amp; forbrug'!$D98,'Forbrug af biomasse'!$A$2:$A$425,'Resultat-Produktion &amp; forbrug'!K$2,'Forbrug af biomasse'!$B$2:$B$425,$E98)</f>
        <v>0</v>
      </c>
      <c r="L98" s="190">
        <f>IF(A98&lt;&gt;"Biogas",SUMIFS('Forbrug af biomasse'!$E$2:$E$425,'Forbrug af biomasse'!$C$2:$C$425,'Resultat-Produktion &amp; forbrug'!$A98,'Forbrug af biomasse'!$D$2:$D$425,'Resultat-Produktion &amp; forbrug'!$D98,'Forbrug af biomasse'!$A$2:$A$425,'Resultat-Produktion &amp; forbrug'!L$2,'Forbrug af biomasse'!$B$2:$B$425,$E98),F98)</f>
        <v>0</v>
      </c>
      <c r="M98" s="154">
        <f ca="1">SUMIFS('Forbrug af biomasse'!E:E,'Forbrug af biomasse'!C:C,'Resultat-Produktion &amp; forbrug'!$A98,'Forbrug af biomasse'!D:D,'Resultat-Produktion &amp; forbrug'!$D98,'Forbrug af biomasse'!G:G,1,'Forbrug af biomasse'!B:B,$E98)</f>
        <v>605942.81758342392</v>
      </c>
      <c r="N98" s="199">
        <f t="shared" ca="1" si="23"/>
        <v>0</v>
      </c>
      <c r="O98" s="190">
        <f t="shared" si="20"/>
        <v>0</v>
      </c>
      <c r="P98" s="200">
        <f t="shared" si="24"/>
        <v>0</v>
      </c>
      <c r="Q98" s="187">
        <f>IFERROR(VLOOKUP(A98,[1]Energiindhold!$A$2:$C$11,3,FALSE),IFERROR(VLOOKUP(A98,[1]Biogasudbytte!$A$2:$B$18,2,FALSE)*[1]Energiindhold!$C$10,0))*O98</f>
        <v>0</v>
      </c>
      <c r="R98" s="187">
        <f>IF(A98&lt;&gt;"Biogas",IFERROR(VLOOKUP(A98,[1]Biogasudbytte!$A$2:$B$18,2,FALSE)*[1]Energiindhold!$C$10,0)*J98*IFERROR(VLOOKUP(A98,Biogasanlæg!$F$3:$G$8,2,FALSE),1)+IFERROR(VLOOKUP(A98,[1]Energiindhold!$A$2:$C$11,3,FALSE),0)*L98+IF(D98&lt;&gt;År1,Q98,0),0)</f>
        <v>0</v>
      </c>
      <c r="S98" s="187">
        <f>IFERROR(VLOOKUP(A98,[1]Biogasudbytte!$A$2:$B$18,2,FALSE)*[1]Energiindhold!$C$10,0)*J98*IFERROR(VLOOKUP(A98,Biogasanlæg!$F$3:$G$8,2,FALSE),1)</f>
        <v>0</v>
      </c>
      <c r="T98" s="188">
        <f t="shared" si="25"/>
        <v>0</v>
      </c>
      <c r="U98" s="186">
        <f>O98*IFERROR(VLOOKUP(A98,[1]Tørstofindhold!A$2:B$24,2,FALSE),0)</f>
        <v>0</v>
      </c>
      <c r="V98" s="187">
        <f>IF(D98=År1,P98,SUM(O98,P98))*IFERROR(VLOOKUP(A98,[1]Tørstofindhold!A$2:B$24,2,FALSE),0)</f>
        <v>0</v>
      </c>
      <c r="W98" s="187">
        <f>J98*IFERROR(VLOOKUP(A98,[1]Tørstofindhold!A$2:B$24,2,FALSE),0)</f>
        <v>0</v>
      </c>
      <c r="X98" s="188">
        <f t="shared" si="26"/>
        <v>0</v>
      </c>
      <c r="Y98" s="168">
        <f t="shared" ca="1" si="21"/>
        <v>0</v>
      </c>
      <c r="Z98" s="103">
        <f t="shared" ca="1" si="22"/>
        <v>0</v>
      </c>
    </row>
    <row r="99" spans="1:26" x14ac:dyDescent="0.25">
      <c r="A99" s="189" t="str">
        <f t="shared" si="33"/>
        <v>Æg</v>
      </c>
      <c r="B99" s="189" t="str">
        <f t="shared" si="34"/>
        <v/>
      </c>
      <c r="C99" s="189">
        <f>IF(COUNTIFS('Resultater - Danmark'!$D$3:$D$504,'Resultat-Produktion &amp; forbrug'!A99,'Resultater - Danmark'!$A$3:$A$504,"Til energi")+COUNTIFS('Resultater - Danmark'!$D$3:$D$504,'Resultat-Produktion &amp; forbrug'!A99,'Resultater - Danmark'!$A$3:$A$504,"Biogasanlæg")&gt;0,1,0)</f>
        <v>0</v>
      </c>
      <c r="D99" s="189">
        <f t="shared" ref="D99:D146" si="35">År3</f>
        <v>2050</v>
      </c>
      <c r="E99" s="187" t="s">
        <v>23</v>
      </c>
      <c r="F99" s="190">
        <f>IF(E99="Vestdanmark",SUMIFS(IF(D99=År1,'Resultater - Vestdanmark'!H$3:H$504,IF(D99=År2,'Resultater - Vestdanmark'!I$3:I$504,'Resultater - Vestdanmark'!J$3:J$504)),'Resultater - Vestdanmark'!$F$3:$F$504,$A99,IF(D99=År1,'Resultater - Vestdanmark'!H$3:H$504,IF(D99=År2,'Resultater - Vestdanmark'!I$3:I$504,'Resultater - Vestdanmark'!J$3:J$504)),"&gt;0"),SUMIFS(IF(D99=År1,'Resultater - Østdanmark'!H$3:H$504,IF(D99=År2,'Resultater - Østdanmark'!I$3:I$504,'Resultater - Østdanmark'!J$3:J$504)),'Resultater - Østdanmark'!$F$3:$F$504,$A99,IF(D99=År1,'Resultater - Østdanmark'!H$3:H$504,IF(D99=År2,'Resultater - Østdanmark'!I$3:I$504,'Resultater - Østdanmark'!J$3:J$504)),"&gt;0"))</f>
        <v>249867.88679150312</v>
      </c>
      <c r="G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forbrug'!G$2,'Forbrug af biomasse'!$B$2:$B$425,$E99)</f>
        <v>0</v>
      </c>
      <c r="H99" s="187">
        <f>IF(E99="Vestdanmark",-IF(A99="Halm",SUMIFS(IF(D99=År1,'Resultater - Vestdanmark'!H$3:H$504,IF(D99=År2,'Resultater - Vestdanmark'!I$3:I$504,'Resultater - Vestdanmark'!J$3:J$504)),'Resultater - Vestdanmark'!$F$3:$F$504,$A99,'Resultater - Vestdanmark'!H$3:H$504,"&lt;0"),0),-IF(A99="Halm",SUMIFS(IF(D99=År1,'Resultater - Østdanmark'!H$3:H$504,IF(D99=År2,'Resultater - Østdanmark'!I$3:I$504,'Resultater - Østdanmark'!J$3:J$504)),'Resultater - Østdanmark'!$F$3:$F$504,$A99,'Resultater - Østdanmark'!H$3:H$504,"&lt;0"),0))</f>
        <v>0</v>
      </c>
      <c r="I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forbrug'!I$2,'Forbrug af biomasse'!$B$2:$B$425,$E99)</f>
        <v>33849.968886444818</v>
      </c>
      <c r="J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forbrug'!J$2,'Forbrug af biomasse'!$B$2:$B$425,$E99)</f>
        <v>0</v>
      </c>
      <c r="K99" s="190">
        <f>SUMIFS('Forbrug af biomasse'!$E$2:$E$425,'Forbrug af biomasse'!$C$2:$C$425,'Resultat-Produktion &amp; forbrug'!$A99,'Forbrug af biomasse'!$D$2:$D$425,'Resultat-Produktion &amp; forbrug'!$D99,'Forbrug af biomasse'!$A$2:$A$425,'Resultat-Produktion &amp; forbrug'!K$2,'Forbrug af biomasse'!$B$2:$B$425,$E99)</f>
        <v>0</v>
      </c>
      <c r="L99" s="190">
        <f>IF(A99&lt;&gt;"Biogas",SUMIFS('Forbrug af biomasse'!$E$2:$E$425,'Forbrug af biomasse'!$C$2:$C$425,'Resultat-Produktion &amp; forbrug'!$A99,'Forbrug af biomasse'!$D$2:$D$425,'Resultat-Produktion &amp; forbrug'!$D99,'Forbrug af biomasse'!$A$2:$A$425,'Resultat-Produktion &amp; forbrug'!L$2,'Forbrug af biomasse'!$B$2:$B$425,$E99),F99)</f>
        <v>0</v>
      </c>
      <c r="M99" s="154">
        <f>SUMIFS('Forbrug af biomasse'!E:E,'Forbrug af biomasse'!C:C,'Resultat-Produktion &amp; forbrug'!$A99,'Forbrug af biomasse'!D:D,'Resultat-Produktion &amp; forbrug'!$D99,'Forbrug af biomasse'!G:G,1,'Forbrug af biomasse'!B:B,$E99)</f>
        <v>0</v>
      </c>
      <c r="N99" s="199">
        <f t="shared" si="23"/>
        <v>216017.9179050583</v>
      </c>
      <c r="O99" s="190">
        <f t="shared" si="20"/>
        <v>0</v>
      </c>
      <c r="P99" s="200">
        <f t="shared" si="24"/>
        <v>0</v>
      </c>
      <c r="Q99" s="187">
        <f>IFERROR(VLOOKUP(A99,[1]Energiindhold!$A$2:$C$11,3,FALSE),IFERROR(VLOOKUP(A99,[1]Biogasudbytte!$A$2:$B$18,2,FALSE)*[1]Energiindhold!$C$10,0))*O99</f>
        <v>0</v>
      </c>
      <c r="R99" s="187">
        <f>IF(A99&lt;&gt;"Biogas",IFERROR(VLOOKUP(A99,[1]Biogasudbytte!$A$2:$B$18,2,FALSE)*[1]Energiindhold!$C$10,0)*J99*IFERROR(VLOOKUP(A99,Biogasanlæg!$F$3:$G$8,2,FALSE),1)+IFERROR(VLOOKUP(A99,[1]Energiindhold!$A$2:$C$11,3,FALSE),0)*L99+IF(D99&lt;&gt;År1,Q99,0),0)</f>
        <v>0</v>
      </c>
      <c r="S99" s="187">
        <f>IFERROR(VLOOKUP(A99,[1]Biogasudbytte!$A$2:$B$18,2,FALSE)*[1]Energiindhold!$C$10,0)*J99*IFERROR(VLOOKUP(A99,Biogasanlæg!$F$3:$G$8,2,FALSE),1)</f>
        <v>0</v>
      </c>
      <c r="T99" s="188">
        <f t="shared" si="25"/>
        <v>0</v>
      </c>
      <c r="U99" s="186">
        <f>O99*IFERROR(VLOOKUP(A99,[1]Tørstofindhold!A$2:B$24,2,FALSE),0)</f>
        <v>0</v>
      </c>
      <c r="V99" s="187">
        <f>IF(D99=År1,P99,SUM(O99,P99))*IFERROR(VLOOKUP(A99,[1]Tørstofindhold!A$2:B$24,2,FALSE),0)</f>
        <v>0</v>
      </c>
      <c r="W99" s="187">
        <f>J99*IFERROR(VLOOKUP(A99,[1]Tørstofindhold!A$2:B$24,2,FALSE),0)</f>
        <v>0</v>
      </c>
      <c r="X99" s="188">
        <f t="shared" si="26"/>
        <v>0</v>
      </c>
      <c r="Y99" s="168">
        <f t="shared" si="21"/>
        <v>0</v>
      </c>
      <c r="Z99" s="103">
        <f t="shared" si="22"/>
        <v>1</v>
      </c>
    </row>
    <row r="100" spans="1:26" x14ac:dyDescent="0.25">
      <c r="A100" s="189" t="str">
        <f t="shared" si="33"/>
        <v>Bælgsæd</v>
      </c>
      <c r="B100" s="189" t="str">
        <f t="shared" si="34"/>
        <v/>
      </c>
      <c r="C100" s="189">
        <f>IF(COUNTIFS('Resultater - Danmark'!$D$3:$D$504,'Resultat-Produktion &amp; forbrug'!A100,'Resultater - Danmark'!$A$3:$A$504,"Til energi")+COUNTIFS('Resultater - Danmark'!$D$3:$D$504,'Resultat-Produktion &amp; forbrug'!A100,'Resultater - Danmark'!$A$3:$A$504,"Biogasanlæg")&gt;0,1,0)</f>
        <v>0</v>
      </c>
      <c r="D100" s="189">
        <f t="shared" si="35"/>
        <v>2050</v>
      </c>
      <c r="E100" s="187" t="s">
        <v>23</v>
      </c>
      <c r="F100" s="190">
        <f>IF(E100="Vestdanmark",SUMIFS(IF(D100=År1,'Resultater - Vestdanmark'!H$3:H$504,IF(D100=År2,'Resultater - Vestdanmark'!I$3:I$504,'Resultater - Vestdanmark'!J$3:J$504)),'Resultater - Vestdanmark'!$F$3:$F$504,$A100,IF(D100=År1,'Resultater - Vestdanmark'!H$3:H$504,IF(D100=År2,'Resultater - Vestdanmark'!I$3:I$504,'Resultater - Vestdanmark'!J$3:J$504)),"&gt;0"),SUMIFS(IF(D100=År1,'Resultater - Østdanmark'!H$3:H$504,IF(D100=År2,'Resultater - Østdanmark'!I$3:I$504,'Resultater - Østdanmark'!J$3:J$504)),'Resultater - Østdanmark'!$F$3:$F$504,$A100,IF(D100=År1,'Resultater - Østdanmark'!H$3:H$504,IF(D100=År2,'Resultater - Østdanmark'!I$3:I$504,'Resultater - Østdanmark'!J$3:J$504)),"&gt;0"))</f>
        <v>280111.33244912018</v>
      </c>
      <c r="G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forbrug'!G$2,'Forbrug af biomasse'!$B$2:$B$425,$E100)</f>
        <v>77398.170570230373</v>
      </c>
      <c r="H100" s="187">
        <f>IF(E100="Vestdanmark",-IF(A100="Halm",SUMIFS(IF(D100=År1,'Resultater - Vestdanmark'!H$3:H$504,IF(D100=År2,'Resultater - Vestdanmark'!I$3:I$504,'Resultater - Vestdanmark'!J$3:J$504)),'Resultater - Vestdanmark'!$F$3:$F$504,$A100,'Resultater - Vestdanmark'!H$3:H$504,"&lt;0"),0),-IF(A100="Halm",SUMIFS(IF(D100=År1,'Resultater - Østdanmark'!H$3:H$504,IF(D100=År2,'Resultater - Østdanmark'!I$3:I$504,'Resultater - Østdanmark'!J$3:J$504)),'Resultater - Østdanmark'!$F$3:$F$504,$A100,'Resultater - Østdanmark'!H$3:H$504,"&lt;0"),0))</f>
        <v>0</v>
      </c>
      <c r="I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forbrug'!I$2,'Forbrug af biomasse'!$B$2:$B$425,$E100)</f>
        <v>0</v>
      </c>
      <c r="J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forbrug'!J$2,'Forbrug af biomasse'!$B$2:$B$425,$E100)</f>
        <v>0</v>
      </c>
      <c r="K100" s="190">
        <f>SUMIFS('Forbrug af biomasse'!$E$2:$E$425,'Forbrug af biomasse'!$C$2:$C$425,'Resultat-Produktion &amp; forbrug'!$A100,'Forbrug af biomasse'!$D$2:$D$425,'Resultat-Produktion &amp; forbrug'!$D100,'Forbrug af biomasse'!$A$2:$A$425,'Resultat-Produktion &amp; forbrug'!K$2,'Forbrug af biomasse'!$B$2:$B$425,$E100)</f>
        <v>0</v>
      </c>
      <c r="L100" s="190">
        <f>IF(A100&lt;&gt;"Biogas",SUMIFS('Forbrug af biomasse'!$E$2:$E$425,'Forbrug af biomasse'!$C$2:$C$425,'Resultat-Produktion &amp; forbrug'!$A100,'Forbrug af biomasse'!$D$2:$D$425,'Resultat-Produktion &amp; forbrug'!$D100,'Forbrug af biomasse'!$A$2:$A$425,'Resultat-Produktion &amp; forbrug'!L$2,'Forbrug af biomasse'!$B$2:$B$425,$E100),F100)</f>
        <v>0</v>
      </c>
      <c r="M100" s="154">
        <f>SUMIFS('Forbrug af biomasse'!E:E,'Forbrug af biomasse'!C:C,'Resultat-Produktion &amp; forbrug'!$A100,'Forbrug af biomasse'!D:D,'Resultat-Produktion &amp; forbrug'!$D100,'Forbrug af biomasse'!G:G,1,'Forbrug af biomasse'!B:B,$E100)</f>
        <v>0</v>
      </c>
      <c r="N100" s="199">
        <f t="shared" si="23"/>
        <v>202713.1618788898</v>
      </c>
      <c r="O100" s="190">
        <f t="shared" si="20"/>
        <v>0</v>
      </c>
      <c r="P100" s="200">
        <f t="shared" si="24"/>
        <v>0</v>
      </c>
      <c r="Q100" s="187">
        <f>IFERROR(VLOOKUP(A100,[1]Energiindhold!$A$2:$C$11,3,FALSE),IFERROR(VLOOKUP(A100,[1]Biogasudbytte!$A$2:$B$18,2,FALSE)*[1]Energiindhold!$C$10,0))*O100</f>
        <v>0</v>
      </c>
      <c r="R100" s="187">
        <f>IF(A100&lt;&gt;"Biogas",IFERROR(VLOOKUP(A100,[1]Biogasudbytte!$A$2:$B$18,2,FALSE)*[1]Energiindhold!$C$10,0)*J100*IFERROR(VLOOKUP(A100,Biogasanlæg!$F$3:$G$8,2,FALSE),1)+IFERROR(VLOOKUP(A100,[1]Energiindhold!$A$2:$C$11,3,FALSE),0)*L100+IF(D100&lt;&gt;År1,Q100,0),0)</f>
        <v>0</v>
      </c>
      <c r="S100" s="187">
        <f>IFERROR(VLOOKUP(A100,[1]Biogasudbytte!$A$2:$B$18,2,FALSE)*[1]Energiindhold!$C$10,0)*J100*IFERROR(VLOOKUP(A100,Biogasanlæg!$F$3:$G$8,2,FALSE),1)</f>
        <v>0</v>
      </c>
      <c r="T100" s="188">
        <f t="shared" si="25"/>
        <v>0</v>
      </c>
      <c r="U100" s="186">
        <f>O100*IFERROR(VLOOKUP(A100,[1]Tørstofindhold!A$2:B$24,2,FALSE),0)</f>
        <v>0</v>
      </c>
      <c r="V100" s="187">
        <f>IF(D100=År1,P100,SUM(O100,P100))*IFERROR(VLOOKUP(A100,[1]Tørstofindhold!A$2:B$24,2,FALSE),0)</f>
        <v>0</v>
      </c>
      <c r="W100" s="187">
        <f>J100*IFERROR(VLOOKUP(A100,[1]Tørstofindhold!A$2:B$24,2,FALSE),0)</f>
        <v>0</v>
      </c>
      <c r="X100" s="188">
        <f t="shared" si="26"/>
        <v>0</v>
      </c>
      <c r="Y100" s="168">
        <f t="shared" si="21"/>
        <v>0</v>
      </c>
      <c r="Z100" s="103">
        <f t="shared" si="22"/>
        <v>1</v>
      </c>
    </row>
    <row r="101" spans="1:26" x14ac:dyDescent="0.25">
      <c r="A101" s="189" t="str">
        <f t="shared" si="33"/>
        <v>Bioaffald</v>
      </c>
      <c r="B101" s="189" t="str">
        <f t="shared" si="34"/>
        <v>Bionedbrydeligt affald</v>
      </c>
      <c r="C101" s="189">
        <f>IF(COUNTIFS('Resultater - Danmark'!$D$3:$D$504,'Resultat-Produktion &amp; forbrug'!A101,'Resultater - Danmark'!$A$3:$A$504,"Til energi")+COUNTIFS('Resultater - Danmark'!$D$3:$D$504,'Resultat-Produktion &amp; forbrug'!A101,'Resultater - Danmark'!$A$3:$A$504,"Biogasanlæg")&gt;0,1,0)</f>
        <v>1</v>
      </c>
      <c r="D101" s="189">
        <f t="shared" si="35"/>
        <v>2050</v>
      </c>
      <c r="E101" s="187" t="s">
        <v>23</v>
      </c>
      <c r="F101" s="190">
        <f ca="1">IF(E101="Vestdanmark",SUMIFS(IF(D101=År1,'Resultater - Vestdanmark'!H$3:H$504,IF(D101=År2,'Resultater - Vestdanmark'!I$3:I$504,'Resultater - Vestdanmark'!J$3:J$504)),'Resultater - Vestdanmark'!$F$3:$F$504,$A101,IF(D101=År1,'Resultater - Vestdanmark'!H$3:H$504,IF(D101=År2,'Resultater - Vestdanmark'!I$3:I$504,'Resultater - Vestdanmark'!J$3:J$504)),"&gt;0"),SUMIFS(IF(D101=År1,'Resultater - Østdanmark'!H$3:H$504,IF(D101=År2,'Resultater - Østdanmark'!I$3:I$504,'Resultater - Østdanmark'!J$3:J$504)),'Resultater - Østdanmark'!$F$3:$F$504,$A101,IF(D101=År1,'Resultater - Østdanmark'!H$3:H$504,IF(D101=År2,'Resultater - Østdanmark'!I$3:I$504,'Resultater - Østdanmark'!J$3:J$504)),"&gt;0"))</f>
        <v>197484.13479984918</v>
      </c>
      <c r="G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forbrug'!G$2,'Forbrug af biomasse'!$B$2:$B$425,$E101)</f>
        <v>0</v>
      </c>
      <c r="H101" s="187">
        <f>IF(E101="Vestdanmark",-IF(A101="Halm",SUMIFS(IF(D101=År1,'Resultater - Vestdanmark'!H$3:H$504,IF(D101=År2,'Resultater - Vestdanmark'!I$3:I$504,'Resultater - Vestdanmark'!J$3:J$504)),'Resultater - Vestdanmark'!$F$3:$F$504,$A101,'Resultater - Vestdanmark'!H$3:H$504,"&lt;0"),0),-IF(A101="Halm",SUMIFS(IF(D101=År1,'Resultater - Østdanmark'!H$3:H$504,IF(D101=År2,'Resultater - Østdanmark'!I$3:I$504,'Resultater - Østdanmark'!J$3:J$504)),'Resultater - Østdanmark'!$F$3:$F$504,$A101,'Resultater - Østdanmark'!H$3:H$504,"&lt;0"),0))</f>
        <v>0</v>
      </c>
      <c r="I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forbrug'!I$2,'Forbrug af biomasse'!$B$2:$B$425,$E101)</f>
        <v>0</v>
      </c>
      <c r="J101" s="190">
        <f ca="1">SUMIFS('Forbrug af biomasse'!$E$2:$E$425,'Forbrug af biomasse'!$C$2:$C$425,'Resultat-Produktion &amp; forbrug'!$A101,'Forbrug af biomasse'!$D$2:$D$425,'Resultat-Produktion &amp; forbrug'!$D101,'Forbrug af biomasse'!$A$2:$A$425,'Resultat-Produktion &amp; forbrug'!J$2,'Forbrug af biomasse'!$B$2:$B$425,$E101)</f>
        <v>197484.23354298095</v>
      </c>
      <c r="K101" s="190">
        <f>SUMIFS('Forbrug af biomasse'!$E$2:$E$425,'Forbrug af biomasse'!$C$2:$C$425,'Resultat-Produktion &amp; forbrug'!$A101,'Forbrug af biomasse'!$D$2:$D$425,'Resultat-Produktion &amp; forbrug'!$D101,'Forbrug af biomasse'!$A$2:$A$425,'Resultat-Produktion &amp; forbrug'!K$2,'Forbrug af biomasse'!$B$2:$B$425,$E101)</f>
        <v>0</v>
      </c>
      <c r="L101" s="190">
        <f ca="1">IF(A101&lt;&gt;"Biogas",SUMIFS('Forbrug af biomasse'!$E$2:$E$425,'Forbrug af biomasse'!$C$2:$C$425,'Resultat-Produktion &amp; forbrug'!$A101,'Forbrug af biomasse'!$D$2:$D$425,'Resultat-Produktion &amp; forbrug'!$D101,'Forbrug af biomasse'!$A$2:$A$425,'Resultat-Produktion &amp; forbrug'!L$2,'Forbrug af biomasse'!$B$2:$B$425,$E101),F101)</f>
        <v>0</v>
      </c>
      <c r="M101" s="154">
        <f ca="1">SUMIFS('Forbrug af biomasse'!E:E,'Forbrug af biomasse'!C:C,'Resultat-Produktion &amp; forbrug'!$A101,'Forbrug af biomasse'!D:D,'Resultat-Produktion &amp; forbrug'!$D101,'Forbrug af biomasse'!G:G,1,'Forbrug af biomasse'!B:B,$E101)</f>
        <v>0</v>
      </c>
      <c r="N101" s="199">
        <f t="shared" ca="1" si="23"/>
        <v>-9.8743131762603298E-2</v>
      </c>
      <c r="O101" s="190">
        <f t="shared" ca="1" si="20"/>
        <v>0</v>
      </c>
      <c r="P101" s="200">
        <f t="shared" ca="1" si="24"/>
        <v>197484.23354298095</v>
      </c>
      <c r="Q101" s="187">
        <f ca="1">IFERROR(VLOOKUP(A101,[1]Energiindhold!$A$2:$C$11,3,FALSE),IFERROR(VLOOKUP(A101,[1]Biogasudbytte!$A$2:$B$18,2,FALSE)*[1]Energiindhold!$C$10,0))*O101</f>
        <v>0</v>
      </c>
      <c r="R101" s="187">
        <f ca="1">IF(A101&lt;&gt;"Biogas",IFERROR(VLOOKUP(A101,[1]Biogasudbytte!$A$2:$B$18,2,FALSE)*[1]Energiindhold!$C$10,0)*J101*IFERROR(VLOOKUP(A101,Biogasanlæg!$F$3:$G$8,2,FALSE),1)+IFERROR(VLOOKUP(A101,[1]Energiindhold!$A$2:$C$11,3,FALSE),0)*L101+IF(D101&lt;&gt;År1,Q101,0),0)</f>
        <v>0.67281101009991739</v>
      </c>
      <c r="S101" s="187">
        <f ca="1">IFERROR(VLOOKUP(A101,[1]Biogasudbytte!$A$2:$B$18,2,FALSE)*[1]Energiindhold!$C$10,0)*J101*IFERROR(VLOOKUP(A101,Biogasanlæg!$F$3:$G$8,2,FALSE),1)</f>
        <v>0.67281101009991739</v>
      </c>
      <c r="T101" s="188">
        <f t="shared" ca="1" si="25"/>
        <v>0</v>
      </c>
      <c r="U101" s="186">
        <f ca="1">O101*IFERROR(VLOOKUP(A101,[1]Tørstofindhold!A$2:B$24,2,FALSE),0)</f>
        <v>0</v>
      </c>
      <c r="V101" s="187">
        <f ca="1">IF(D101=År1,P101,SUM(O101,P101))*IFERROR(VLOOKUP(A101,[1]Tørstofindhold!A$2:B$24,2,FALSE),0)</f>
        <v>55295.585392034671</v>
      </c>
      <c r="W101" s="187">
        <f ca="1">J101*IFERROR(VLOOKUP(A101,[1]Tørstofindhold!A$2:B$24,2,FALSE),0)</f>
        <v>55295.585392034671</v>
      </c>
      <c r="X101" s="188">
        <f t="shared" ca="1" si="26"/>
        <v>0</v>
      </c>
      <c r="Y101" s="168">
        <f t="shared" ca="1" si="21"/>
        <v>1</v>
      </c>
      <c r="Z101" s="103">
        <f t="shared" ca="1" si="22"/>
        <v>0</v>
      </c>
    </row>
    <row r="102" spans="1:26" x14ac:dyDescent="0.25">
      <c r="A102" s="189" t="str">
        <f t="shared" si="33"/>
        <v>Biogas</v>
      </c>
      <c r="B102" s="189" t="str">
        <f t="shared" si="34"/>
        <v/>
      </c>
      <c r="C102" s="189">
        <f>IF(COUNTIFS('Resultater - Danmark'!$D$3:$D$504,'Resultat-Produktion &amp; forbrug'!A102,'Resultater - Danmark'!$A$3:$A$504,"Til energi")+COUNTIFS('Resultater - Danmark'!$D$3:$D$504,'Resultat-Produktion &amp; forbrug'!A102,'Resultater - Danmark'!$A$3:$A$504,"Biogasanlæg")&gt;0,1,0)</f>
        <v>1</v>
      </c>
      <c r="D102" s="189">
        <f t="shared" si="35"/>
        <v>2050</v>
      </c>
      <c r="E102" s="187" t="s">
        <v>23</v>
      </c>
      <c r="F102" s="190">
        <f ca="1">IF(E102="Vestdanmark",SUMIFS(IF(D102=År1,'Resultater - Vestdanmark'!H$3:H$504,IF(D102=År2,'Resultater - Vestdanmark'!I$3:I$504,'Resultater - Vestdanmark'!J$3:J$504)),'Resultater - Vestdanmark'!$F$3:$F$504,$A102,IF(D102=År1,'Resultater - Vestdanmark'!H$3:H$504,IF(D102=År2,'Resultater - Vestdanmark'!I$3:I$504,'Resultater - Vestdanmark'!J$3:J$504)),"&gt;0"),SUMIFS(IF(D102=År1,'Resultater - Østdanmark'!H$3:H$504,IF(D102=År2,'Resultater - Østdanmark'!I$3:I$504,'Resultater - Østdanmark'!J$3:J$504)),'Resultater - Østdanmark'!$F$3:$F$504,$A102,IF(D102=År1,'Resultater - Østdanmark'!H$3:H$504,IF(D102=År2,'Resultater - Østdanmark'!I$3:I$504,'Resultater - Østdanmark'!J$3:J$504)),"&gt;0"))</f>
        <v>561691322.982669</v>
      </c>
      <c r="G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forbrug'!G$2,'Forbrug af biomasse'!$B$2:$B$425,$E102)</f>
        <v>0</v>
      </c>
      <c r="H102" s="187">
        <f>IF(E102="Vestdanmark",-IF(A102="Halm",SUMIFS(IF(D102=År1,'Resultater - Vestdanmark'!H$3:H$504,IF(D102=År2,'Resultater - Vestdanmark'!I$3:I$504,'Resultater - Vestdanmark'!J$3:J$504)),'Resultater - Vestdanmark'!$F$3:$F$504,$A102,'Resultater - Vestdanmark'!H$3:H$504,"&lt;0"),0),-IF(A102="Halm",SUMIFS(IF(D102=År1,'Resultater - Østdanmark'!H$3:H$504,IF(D102=År2,'Resultater - Østdanmark'!I$3:I$504,'Resultater - Østdanmark'!J$3:J$504)),'Resultater - Østdanmark'!$F$3:$F$504,$A102,'Resultater - Østdanmark'!H$3:H$504,"&lt;0"),0))</f>
        <v>0</v>
      </c>
      <c r="I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forbrug'!I$2,'Forbrug af biomasse'!$B$2:$B$425,$E102)</f>
        <v>0</v>
      </c>
      <c r="J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forbrug'!J$2,'Forbrug af biomasse'!$B$2:$B$425,$E102)</f>
        <v>0</v>
      </c>
      <c r="K102" s="190">
        <f>SUMIFS('Forbrug af biomasse'!$E$2:$E$425,'Forbrug af biomasse'!$C$2:$C$425,'Resultat-Produktion &amp; forbrug'!$A102,'Forbrug af biomasse'!$D$2:$D$425,'Resultat-Produktion &amp; forbrug'!$D102,'Forbrug af biomasse'!$A$2:$A$425,'Resultat-Produktion &amp; forbrug'!K$2,'Forbrug af biomasse'!$B$2:$B$425,$E102)</f>
        <v>0</v>
      </c>
      <c r="L102" s="190">
        <f ca="1">IF(A102&lt;&gt;"Biogas",SUMIFS('Forbrug af biomasse'!$E$2:$E$425,'Forbrug af biomasse'!$C$2:$C$425,'Resultat-Produktion &amp; forbrug'!$A102,'Forbrug af biomasse'!$D$2:$D$425,'Resultat-Produktion &amp; forbrug'!$D102,'Forbrug af biomasse'!$A$2:$A$425,'Resultat-Produktion &amp; forbrug'!L$2,'Forbrug af biomasse'!$B$2:$B$425,$E102),F102)</f>
        <v>561691322.982669</v>
      </c>
      <c r="M102" s="154">
        <f>SUMIFS('Forbrug af biomasse'!E:E,'Forbrug af biomasse'!C:C,'Resultat-Produktion &amp; forbrug'!$A102,'Forbrug af biomasse'!D:D,'Resultat-Produktion &amp; forbrug'!$D102,'Forbrug af biomasse'!G:G,1,'Forbrug af biomasse'!B:B,$E102)</f>
        <v>0</v>
      </c>
      <c r="N102" s="199">
        <f t="shared" ca="1" si="23"/>
        <v>0</v>
      </c>
      <c r="O102" s="190">
        <f t="shared" ca="1" si="20"/>
        <v>0</v>
      </c>
      <c r="P102" s="200">
        <f t="shared" ca="1" si="24"/>
        <v>561691322.982669</v>
      </c>
      <c r="Q102" s="187">
        <f ca="1">IFERROR(VLOOKUP(A102,[1]Energiindhold!$A$2:$C$11,3,FALSE),IFERROR(VLOOKUP(A102,[1]Biogasudbytte!$A$2:$B$18,2,FALSE)*[1]Energiindhold!$C$10,0))*O102</f>
        <v>0</v>
      </c>
      <c r="R102" s="187">
        <f>IF(A102&lt;&gt;"Biogas",IFERROR(VLOOKUP(A102,[1]Biogasudbytte!$A$2:$B$18,2,FALSE)*[1]Energiindhold!$C$10,0)*J102*IFERROR(VLOOKUP(A102,Biogasanlæg!$F$3:$G$8,2,FALSE),1)+IFERROR(VLOOKUP(A102,[1]Energiindhold!$A$2:$C$11,3,FALSE),0)*L102+IF(D102&lt;&gt;År1,Q102,0),0)</f>
        <v>0</v>
      </c>
      <c r="S102" s="187">
        <f>IFERROR(VLOOKUP(A102,[1]Biogasudbytte!$A$2:$B$18,2,FALSE)*[1]Energiindhold!$C$10,0)*J102*IFERROR(VLOOKUP(A102,Biogasanlæg!$F$3:$G$8,2,FALSE),1)</f>
        <v>0</v>
      </c>
      <c r="T102" s="188">
        <f t="shared" si="25"/>
        <v>0</v>
      </c>
      <c r="U102" s="186">
        <f ca="1">O102*IFERROR(VLOOKUP(A102,[1]Tørstofindhold!A$2:B$24,2,FALSE),0)</f>
        <v>0</v>
      </c>
      <c r="V102" s="187">
        <f ca="1">IF(D102=År1,P102,SUM(O102,P102))*IFERROR(VLOOKUP(A102,[1]Tørstofindhold!A$2:B$24,2,FALSE),0)</f>
        <v>0</v>
      </c>
      <c r="W102" s="187">
        <f>J102*IFERROR(VLOOKUP(A102,[1]Tørstofindhold!A$2:B$24,2,FALSE),0)</f>
        <v>0</v>
      </c>
      <c r="X102" s="188">
        <f t="shared" ca="1" si="26"/>
        <v>0</v>
      </c>
      <c r="Y102" s="168">
        <f t="shared" ca="1" si="21"/>
        <v>0</v>
      </c>
      <c r="Z102" s="103">
        <f t="shared" ca="1" si="22"/>
        <v>0</v>
      </c>
    </row>
    <row r="103" spans="1:26" x14ac:dyDescent="0.25">
      <c r="A103" s="189" t="str">
        <f t="shared" si="33"/>
        <v>Biogasgylle</v>
      </c>
      <c r="B103" s="189" t="str">
        <f t="shared" si="34"/>
        <v/>
      </c>
      <c r="C103" s="189">
        <f>IF(COUNTIFS('Resultater - Danmark'!$D$3:$D$504,'Resultat-Produktion &amp; forbrug'!A103,'Resultater - Danmark'!$A$3:$A$504,"Til energi")+COUNTIFS('Resultater - Danmark'!$D$3:$D$504,'Resultat-Produktion &amp; forbrug'!A103,'Resultater - Danmark'!$A$3:$A$504,"Biogasanlæg")&gt;0,1,0)</f>
        <v>0</v>
      </c>
      <c r="D103" s="189">
        <f t="shared" si="35"/>
        <v>2050</v>
      </c>
      <c r="E103" s="187" t="s">
        <v>23</v>
      </c>
      <c r="F103" s="190">
        <f ca="1">IF(E103="Vestdanmark",SUMIFS(IF(D103=År1,'Resultater - Vestdanmark'!H$3:H$504,IF(D103=År2,'Resultater - Vestdanmark'!I$3:I$504,'Resultater - Vestdanmark'!J$3:J$504)),'Resultater - Vestdanmark'!$F$3:$F$504,$A103,IF(D103=År1,'Resultater - Vestdanmark'!H$3:H$504,IF(D103=År2,'Resultater - Vestdanmark'!I$3:I$504,'Resultater - Vestdanmark'!J$3:J$504)),"&gt;0"),SUMIFS(IF(D103=År1,'Resultater - Østdanmark'!H$3:H$504,IF(D103=År2,'Resultater - Østdanmark'!I$3:I$504,'Resultater - Østdanmark'!J$3:J$504)),'Resultater - Østdanmark'!$F$3:$F$504,$A103,IF(D103=År1,'Resultater - Østdanmark'!H$3:H$504,IF(D103=År2,'Resultater - Østdanmark'!I$3:I$504,'Resultater - Østdanmark'!J$3:J$504)),"&gt;0"))</f>
        <v>23285676.758825652</v>
      </c>
      <c r="G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forbrug'!G$2,'Forbrug af biomasse'!$B$2:$B$425,$E103)</f>
        <v>0</v>
      </c>
      <c r="H103" s="187">
        <f>IF(E103="Vestdanmark",-IF(A103="Halm",SUMIFS(IF(D103=År1,'Resultater - Vestdanmark'!H$3:H$504,IF(D103=År2,'Resultater - Vestdanmark'!I$3:I$504,'Resultater - Vestdanmark'!J$3:J$504)),'Resultater - Vestdanmark'!$F$3:$F$504,$A103,'Resultater - Vestdanmark'!H$3:H$504,"&lt;0"),0),-IF(A103="Halm",SUMIFS(IF(D103=År1,'Resultater - Østdanmark'!H$3:H$504,IF(D103=År2,'Resultater - Østdanmark'!I$3:I$504,'Resultater - Østdanmark'!J$3:J$504)),'Resultater - Østdanmark'!$F$3:$F$504,$A103,'Resultater - Østdanmark'!H$3:H$504,"&lt;0"),0))</f>
        <v>0</v>
      </c>
      <c r="I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forbrug'!I$2,'Forbrug af biomasse'!$B$2:$B$425,$E103)</f>
        <v>0</v>
      </c>
      <c r="J103" s="190">
        <f>SUMIFS('Forbrug af biomasse'!$E$2:$E$425,'Forbrug af biomasse'!$C$2:$C$425,'Resultat-Produktion &amp; forbrug'!$A103,'Forbrug af biomasse'!$D$2:$D$425,'Resultat-Produktion &amp; forbrug'!$D103,'Forbrug af biomasse'!$A$2:$A$425,'Resultat-Produktion &amp; forbrug'!J$2,'Forbrug af biomasse'!$B$2:$B$425,$E103)</f>
        <v>0</v>
      </c>
      <c r="K103" s="190">
        <f ca="1">SUMIFS('Forbrug af biomasse'!$E$2:$E$425,'Forbrug af biomasse'!$C$2:$C$425,'Resultat-Produktion &amp; forbrug'!$A103,'Forbrug af biomasse'!$D$2:$D$425,'Resultat-Produktion &amp; forbrug'!$D103,'Forbrug af biomasse'!$A$2:$A$425,'Resultat-Produktion &amp; forbrug'!K$2,'Forbrug af biomasse'!$B$2:$B$425,$E103)</f>
        <v>20673526.844649076</v>
      </c>
      <c r="L103" s="190">
        <f>IF(A103&lt;&gt;"Biogas",SUMIFS('Forbrug af biomasse'!$E$2:$E$425,'Forbrug af biomasse'!$C$2:$C$425,'Resultat-Produktion &amp; forbrug'!$A103,'Forbrug af biomasse'!$D$2:$D$425,'Resultat-Produktion &amp; forbrug'!$D103,'Forbrug af biomasse'!$A$2:$A$425,'Resultat-Produktion &amp; forbrug'!L$2,'Forbrug af biomasse'!$B$2:$B$425,$E103),F103)</f>
        <v>0</v>
      </c>
      <c r="M103" s="154">
        <f>SUMIFS('Forbrug af biomasse'!E:E,'Forbrug af biomasse'!C:C,'Resultat-Produktion &amp; forbrug'!$A103,'Forbrug af biomasse'!D:D,'Resultat-Produktion &amp; forbrug'!$D103,'Forbrug af biomasse'!G:G,1,'Forbrug af biomasse'!B:B,$E103)</f>
        <v>0</v>
      </c>
      <c r="N103" s="199">
        <f t="shared" ca="1" si="23"/>
        <v>2612149.9141765758</v>
      </c>
      <c r="O103" s="190">
        <f t="shared" si="20"/>
        <v>0</v>
      </c>
      <c r="P103" s="200">
        <f t="shared" si="24"/>
        <v>0</v>
      </c>
      <c r="Q103" s="187">
        <f>IFERROR(VLOOKUP(A103,[1]Energiindhold!$A$2:$C$11,3,FALSE),IFERROR(VLOOKUP(A103,[1]Biogasudbytte!$A$2:$B$18,2,FALSE)*[1]Energiindhold!$C$10,0))*O103</f>
        <v>0</v>
      </c>
      <c r="R103" s="187">
        <f>IF(A103&lt;&gt;"Biogas",IFERROR(VLOOKUP(A103,[1]Biogasudbytte!$A$2:$B$18,2,FALSE)*[1]Energiindhold!$C$10,0)*J103*IFERROR(VLOOKUP(A103,Biogasanlæg!$F$3:$G$8,2,FALSE),1)+IFERROR(VLOOKUP(A103,[1]Energiindhold!$A$2:$C$11,3,FALSE),0)*L103+IF(D103&lt;&gt;År1,Q103,0),0)</f>
        <v>0</v>
      </c>
      <c r="S103" s="187">
        <f>IFERROR(VLOOKUP(A103,[1]Biogasudbytte!$A$2:$B$18,2,FALSE)*[1]Energiindhold!$C$10,0)*J103*IFERROR(VLOOKUP(A103,Biogasanlæg!$F$3:$G$8,2,FALSE),1)</f>
        <v>0</v>
      </c>
      <c r="T103" s="188">
        <f t="shared" si="25"/>
        <v>0</v>
      </c>
      <c r="U103" s="186">
        <f>O103*IFERROR(VLOOKUP(A103,[1]Tørstofindhold!A$2:B$24,2,FALSE),0)</f>
        <v>0</v>
      </c>
      <c r="V103" s="187">
        <f>IF(D103=År1,P103,SUM(O103,P103))*IFERROR(VLOOKUP(A103,[1]Tørstofindhold!A$2:B$24,2,FALSE),0)</f>
        <v>0</v>
      </c>
      <c r="W103" s="187">
        <f>J103*IFERROR(VLOOKUP(A103,[1]Tørstofindhold!A$2:B$24,2,FALSE),0)</f>
        <v>0</v>
      </c>
      <c r="X103" s="188">
        <f t="shared" si="26"/>
        <v>0</v>
      </c>
      <c r="Y103" s="168">
        <f t="shared" ca="1" si="21"/>
        <v>0</v>
      </c>
      <c r="Z103" s="103">
        <f t="shared" ca="1" si="22"/>
        <v>1</v>
      </c>
    </row>
    <row r="104" spans="1:26" x14ac:dyDescent="0.25">
      <c r="A104" s="189" t="str">
        <f t="shared" si="33"/>
        <v>Brun saft</v>
      </c>
      <c r="B104" s="189" t="str">
        <f t="shared" si="34"/>
        <v>Bionedbrydeligt affald</v>
      </c>
      <c r="C104" s="189">
        <f>IF(COUNTIFS('Resultater - Danmark'!$D$3:$D$504,'Resultat-Produktion &amp; forbrug'!A104,'Resultater - Danmark'!$A$3:$A$504,"Til energi")+COUNTIFS('Resultater - Danmark'!$D$3:$D$504,'Resultat-Produktion &amp; forbrug'!A104,'Resultater - Danmark'!$A$3:$A$504,"Biogasanlæg")&gt;0,1,0)</f>
        <v>1</v>
      </c>
      <c r="D104" s="189">
        <f t="shared" si="35"/>
        <v>2050</v>
      </c>
      <c r="E104" s="187" t="s">
        <v>23</v>
      </c>
      <c r="F104" s="190">
        <f>IF(E104="Vestdanmark",SUMIFS(IF(D104=År1,'Resultater - Vestdanmark'!H$3:H$504,IF(D104=År2,'Resultater - Vestdanmark'!I$3:I$504,'Resultater - Vestdanmark'!J$3:J$504)),'Resultater - Vestdanmark'!$F$3:$F$504,$A104,IF(D104=År1,'Resultater - Vestdanmark'!H$3:H$504,IF(D104=År2,'Resultater - Vestdanmark'!I$3:I$504,'Resultater - Vestdanmark'!J$3:J$504)),"&gt;0"),SUMIFS(IF(D104=År1,'Resultater - Østdanmark'!H$3:H$504,IF(D104=År2,'Resultater - Østdanmark'!I$3:I$504,'Resultater - Østdanmark'!J$3:J$504)),'Resultater - Østdanmark'!$F$3:$F$504,$A104,IF(D104=År1,'Resultater - Østdanmark'!H$3:H$504,IF(D104=År2,'Resultater - Østdanmark'!I$3:I$504,'Resultater - Østdanmark'!J$3:J$504)),"&gt;0"))</f>
        <v>0</v>
      </c>
      <c r="G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forbrug'!G$2,'Forbrug af biomasse'!$B$2:$B$425,$E104)</f>
        <v>0</v>
      </c>
      <c r="H104" s="187">
        <f>IF(E104="Vestdanmark",-IF(A104="Halm",SUMIFS(IF(D104=År1,'Resultater - Vestdanmark'!H$3:H$504,IF(D104=År2,'Resultater - Vestdanmark'!I$3:I$504,'Resultater - Vestdanmark'!J$3:J$504)),'Resultater - Vestdanmark'!$F$3:$F$504,$A104,'Resultater - Vestdanmark'!H$3:H$504,"&lt;0"),0),-IF(A104="Halm",SUMIFS(IF(D104=År1,'Resultater - Østdanmark'!H$3:H$504,IF(D104=År2,'Resultater - Østdanmark'!I$3:I$504,'Resultater - Østdanmark'!J$3:J$504)),'Resultater - Østdanmark'!$F$3:$F$504,$A104,'Resultater - Østdanmark'!H$3:H$504,"&lt;0"),0))</f>
        <v>0</v>
      </c>
      <c r="I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forbrug'!I$2,'Forbrug af biomasse'!$B$2:$B$425,$E104)</f>
        <v>0</v>
      </c>
      <c r="J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forbrug'!J$2,'Forbrug af biomasse'!$B$2:$B$425,$E104)</f>
        <v>0</v>
      </c>
      <c r="K104" s="190">
        <f>SUMIFS('Forbrug af biomasse'!$E$2:$E$425,'Forbrug af biomasse'!$C$2:$C$425,'Resultat-Produktion &amp; forbrug'!$A104,'Forbrug af biomasse'!$D$2:$D$425,'Resultat-Produktion &amp; forbrug'!$D104,'Forbrug af biomasse'!$A$2:$A$425,'Resultat-Produktion &amp; forbrug'!K$2,'Forbrug af biomasse'!$B$2:$B$425,$E104)</f>
        <v>0</v>
      </c>
      <c r="L104" s="190">
        <f>IF(A104&lt;&gt;"Biogas",SUMIFS('Forbrug af biomasse'!$E$2:$E$425,'Forbrug af biomasse'!$C$2:$C$425,'Resultat-Produktion &amp; forbrug'!$A104,'Forbrug af biomasse'!$D$2:$D$425,'Resultat-Produktion &amp; forbrug'!$D104,'Forbrug af biomasse'!$A$2:$A$425,'Resultat-Produktion &amp; forbrug'!L$2,'Forbrug af biomasse'!$B$2:$B$425,$E104),F104)</f>
        <v>0</v>
      </c>
      <c r="M104" s="154">
        <f>SUMIFS('Forbrug af biomasse'!E:E,'Forbrug af biomasse'!C:C,'Resultat-Produktion &amp; forbrug'!$A104,'Forbrug af biomasse'!D:D,'Resultat-Produktion &amp; forbrug'!$D104,'Forbrug af biomasse'!G:G,1,'Forbrug af biomasse'!B:B,$E104)</f>
        <v>0</v>
      </c>
      <c r="N104" s="199">
        <f t="shared" si="23"/>
        <v>0</v>
      </c>
      <c r="O104" s="190">
        <f t="shared" si="20"/>
        <v>0</v>
      </c>
      <c r="P104" s="200">
        <f t="shared" si="24"/>
        <v>0</v>
      </c>
      <c r="Q104" s="187">
        <f>IFERROR(VLOOKUP(A104,[1]Energiindhold!$A$2:$C$11,3,FALSE),IFERROR(VLOOKUP(A104,[1]Biogasudbytte!$A$2:$B$18,2,FALSE)*[1]Energiindhold!$C$10,0))*O104</f>
        <v>0</v>
      </c>
      <c r="R104" s="187">
        <f>IF(A104&lt;&gt;"Biogas",IFERROR(VLOOKUP(A104,[1]Biogasudbytte!$A$2:$B$18,2,FALSE)*[1]Energiindhold!$C$10,0)*J104*IFERROR(VLOOKUP(A104,Biogasanlæg!$F$3:$G$8,2,FALSE),1)+IFERROR(VLOOKUP(A104,[1]Energiindhold!$A$2:$C$11,3,FALSE),0)*L104+IF(D104&lt;&gt;År1,Q104,0),0)</f>
        <v>0</v>
      </c>
      <c r="S104" s="187">
        <f>IFERROR(VLOOKUP(A104,[1]Biogasudbytte!$A$2:$B$18,2,FALSE)*[1]Energiindhold!$C$10,0)*J104*IFERROR(VLOOKUP(A104,Biogasanlæg!$F$3:$G$8,2,FALSE),1)</f>
        <v>0</v>
      </c>
      <c r="T104" s="188">
        <f t="shared" si="25"/>
        <v>0</v>
      </c>
      <c r="U104" s="186">
        <f>O104*IFERROR(VLOOKUP(A104,[1]Tørstofindhold!A$2:B$24,2,FALSE),0)</f>
        <v>0</v>
      </c>
      <c r="V104" s="187">
        <f>IF(D104=År1,P104,SUM(O104,P104))*IFERROR(VLOOKUP(A104,[1]Tørstofindhold!A$2:B$24,2,FALSE),0)</f>
        <v>0</v>
      </c>
      <c r="W104" s="187">
        <f>J104*IFERROR(VLOOKUP(A104,[1]Tørstofindhold!A$2:B$24,2,FALSE),0)</f>
        <v>0</v>
      </c>
      <c r="X104" s="188">
        <f t="shared" si="26"/>
        <v>0</v>
      </c>
      <c r="Y104" s="168">
        <f t="shared" si="21"/>
        <v>0</v>
      </c>
      <c r="Z104" s="103">
        <f t="shared" si="22"/>
        <v>0</v>
      </c>
    </row>
    <row r="105" spans="1:26" x14ac:dyDescent="0.25">
      <c r="A105" s="189" t="str">
        <f t="shared" si="33"/>
        <v>Dybstrøelse</v>
      </c>
      <c r="B105" s="189" t="str">
        <f t="shared" si="34"/>
        <v>Husdyrgødning</v>
      </c>
      <c r="C105" s="189">
        <f>IF(COUNTIFS('Resultater - Danmark'!$D$3:$D$504,'Resultat-Produktion &amp; forbrug'!A105,'Resultater - Danmark'!$A$3:$A$504,"Til energi")+COUNTIFS('Resultater - Danmark'!$D$3:$D$504,'Resultat-Produktion &amp; forbrug'!A105,'Resultater - Danmark'!$A$3:$A$504,"Biogasanlæg")&gt;0,1,0)</f>
        <v>1</v>
      </c>
      <c r="D105" s="189">
        <f t="shared" si="35"/>
        <v>2050</v>
      </c>
      <c r="E105" s="187" t="s">
        <v>23</v>
      </c>
      <c r="F105" s="190">
        <f>IF(E105="Vestdanmark",SUMIFS(IF(D105=År1,'Resultater - Vestdanmark'!H$3:H$504,IF(D105=År2,'Resultater - Vestdanmark'!I$3:I$504,'Resultater - Vestdanmark'!J$3:J$504)),'Resultater - Vestdanmark'!$F$3:$F$504,$A105,IF(D105=År1,'Resultater - Vestdanmark'!H$3:H$504,IF(D105=År2,'Resultater - Vestdanmark'!I$3:I$504,'Resultater - Vestdanmark'!J$3:J$504)),"&gt;0"),SUMIFS(IF(D105=År1,'Resultater - Østdanmark'!H$3:H$504,IF(D105=År2,'Resultater - Østdanmark'!I$3:I$504,'Resultater - Østdanmark'!J$3:J$504)),'Resultater - Østdanmark'!$F$3:$F$504,$A105,IF(D105=År1,'Resultater - Østdanmark'!H$3:H$504,IF(D105=År2,'Resultater - Østdanmark'!I$3:I$504,'Resultater - Østdanmark'!J$3:J$504)),"&gt;0"))</f>
        <v>3333573.27322629</v>
      </c>
      <c r="G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forbrug'!G$2,'Forbrug af biomasse'!$B$2:$B$425,$E105)</f>
        <v>0</v>
      </c>
      <c r="H105" s="187">
        <f>IF(E105="Vestdanmark",-IF(A105="Halm",SUMIFS(IF(D105=År1,'Resultater - Vestdanmark'!H$3:H$504,IF(D105=År2,'Resultater - Vestdanmark'!I$3:I$504,'Resultater - Vestdanmark'!J$3:J$504)),'Resultater - Vestdanmark'!$F$3:$F$504,$A105,'Resultater - Vestdanmark'!H$3:H$504,"&lt;0"),0),-IF(A105="Halm",SUMIFS(IF(D105=År1,'Resultater - Østdanmark'!H$3:H$504,IF(D105=År2,'Resultater - Østdanmark'!I$3:I$504,'Resultater - Østdanmark'!J$3:J$504)),'Resultater - Østdanmark'!$F$3:$F$504,$A105,'Resultater - Østdanmark'!H$3:H$504,"&lt;0"),0))</f>
        <v>0</v>
      </c>
      <c r="I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forbrug'!I$2,'Forbrug af biomasse'!$B$2:$B$425,$E105)</f>
        <v>0</v>
      </c>
      <c r="J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forbrug'!J$2,'Forbrug af biomasse'!$B$2:$B$425,$E105)</f>
        <v>1666786.636613145</v>
      </c>
      <c r="K105" s="190">
        <f>SUMIFS('Forbrug af biomasse'!$E$2:$E$425,'Forbrug af biomasse'!$C$2:$C$425,'Resultat-Produktion &amp; forbrug'!$A105,'Forbrug af biomasse'!$D$2:$D$425,'Resultat-Produktion &amp; forbrug'!$D105,'Forbrug af biomasse'!$A$2:$A$425,'Resultat-Produktion &amp; forbrug'!K$2,'Forbrug af biomasse'!$B$2:$B$425,$E105)</f>
        <v>630997.79814640491</v>
      </c>
      <c r="L105" s="190">
        <f>IF(A105&lt;&gt;"Biogas",SUMIFS('Forbrug af biomasse'!$E$2:$E$425,'Forbrug af biomasse'!$C$2:$C$425,'Resultat-Produktion &amp; forbrug'!$A105,'Forbrug af biomasse'!$D$2:$D$425,'Resultat-Produktion &amp; forbrug'!$D105,'Forbrug af biomasse'!$A$2:$A$425,'Resultat-Produktion &amp; forbrug'!L$2,'Forbrug af biomasse'!$B$2:$B$425,$E105),F105)</f>
        <v>0</v>
      </c>
      <c r="M105" s="154">
        <f>SUMIFS('Forbrug af biomasse'!E:E,'Forbrug af biomasse'!C:C,'Resultat-Produktion &amp; forbrug'!$A105,'Forbrug af biomasse'!D:D,'Resultat-Produktion &amp; forbrug'!$D105,'Forbrug af biomasse'!G:G,1,'Forbrug af biomasse'!B:B,$E105)</f>
        <v>0</v>
      </c>
      <c r="N105" s="199">
        <f t="shared" si="23"/>
        <v>1035788.8384667402</v>
      </c>
      <c r="O105" s="190">
        <f t="shared" si="20"/>
        <v>1035788.8384667402</v>
      </c>
      <c r="P105" s="200">
        <f t="shared" si="24"/>
        <v>1666786.636613145</v>
      </c>
      <c r="Q105" s="187">
        <f>IFERROR(VLOOKUP(A105,[1]Energiindhold!$A$2:$C$11,3,FALSE),IFERROR(VLOOKUP(A105,[1]Biogasudbytte!$A$2:$B$18,2,FALSE)*[1]Energiindhold!$C$10,0))*O105</f>
        <v>2.2310891580573586</v>
      </c>
      <c r="R105" s="187">
        <f>IF(A105&lt;&gt;"Biogas",IFERROR(VLOOKUP(A105,[1]Biogasudbytte!$A$2:$B$18,2,FALSE)*[1]Energiindhold!$C$10,0)*J105*IFERROR(VLOOKUP(A105,Biogasanlæg!$F$3:$G$8,2,FALSE),1)+IFERROR(VLOOKUP(A105,[1]Energiindhold!$A$2:$C$11,3,FALSE),0)*L105+IF(D105&lt;&gt;År1,Q105,0),0)</f>
        <v>5.8213475733220736</v>
      </c>
      <c r="S105" s="187">
        <f>IFERROR(VLOOKUP(A105,[1]Biogasudbytte!$A$2:$B$18,2,FALSE)*[1]Energiindhold!$C$10,0)*J105*IFERROR(VLOOKUP(A105,Biogasanlæg!$F$3:$G$8,2,FALSE),1)</f>
        <v>3.5902584152647146</v>
      </c>
      <c r="T105" s="188">
        <f t="shared" si="25"/>
        <v>2.2310891580573591</v>
      </c>
      <c r="U105" s="186">
        <f>O105*IFERROR(VLOOKUP(A105,[1]Tørstofindhold!A$2:B$24,2,FALSE),0)</f>
        <v>310736.65154002205</v>
      </c>
      <c r="V105" s="187">
        <f>IF(D105=År1,P105,SUM(O105,P105))*IFERROR(VLOOKUP(A105,[1]Tørstofindhold!A$2:B$24,2,FALSE),0)</f>
        <v>810772.64252396557</v>
      </c>
      <c r="W105" s="187">
        <f>J105*IFERROR(VLOOKUP(A105,[1]Tørstofindhold!A$2:B$24,2,FALSE),0)</f>
        <v>500035.99098394345</v>
      </c>
      <c r="X105" s="188">
        <f t="shared" si="26"/>
        <v>310736.65154002211</v>
      </c>
      <c r="Y105" s="168">
        <f t="shared" si="21"/>
        <v>0</v>
      </c>
      <c r="Z105" s="103">
        <f t="shared" si="22"/>
        <v>1</v>
      </c>
    </row>
    <row r="106" spans="1:26" x14ac:dyDescent="0.25">
      <c r="A106" s="189" t="str">
        <f t="shared" si="33"/>
        <v>Fiberfraktion</v>
      </c>
      <c r="B106" s="189" t="str">
        <f t="shared" si="34"/>
        <v/>
      </c>
      <c r="C106" s="189">
        <f>IF(COUNTIFS('Resultater - Danmark'!$D$3:$D$504,'Resultat-Produktion &amp; forbrug'!A106,'Resultater - Danmark'!$A$3:$A$504,"Til energi")+COUNTIFS('Resultater - Danmark'!$D$3:$D$504,'Resultat-Produktion &amp; forbrug'!A106,'Resultater - Danmark'!$A$3:$A$504,"Biogasanlæg")&gt;0,1,0)</f>
        <v>0</v>
      </c>
      <c r="D106" s="189">
        <f t="shared" si="35"/>
        <v>2050</v>
      </c>
      <c r="E106" s="187" t="s">
        <v>23</v>
      </c>
      <c r="F106" s="190">
        <f>IF(E106="Vestdanmark",SUMIFS(IF(D106=År1,'Resultater - Vestdanmark'!H$3:H$504,IF(D106=År2,'Resultater - Vestdanmark'!I$3:I$504,'Resultater - Vestdanmark'!J$3:J$504)),'Resultater - Vestdanmark'!$F$3:$F$504,$A106,IF(D106=År1,'Resultater - Vestdanmark'!H$3:H$504,IF(D106=År2,'Resultater - Vestdanmark'!I$3:I$504,'Resultater - Vestdanmark'!J$3:J$504)),"&gt;0"),SUMIFS(IF(D106=År1,'Resultater - Østdanmark'!H$3:H$504,IF(D106=År2,'Resultater - Østdanmark'!I$3:I$504,'Resultater - Østdanmark'!J$3:J$504)),'Resultater - Østdanmark'!$F$3:$F$504,$A106,IF(D106=År1,'Resultater - Østdanmark'!H$3:H$504,IF(D106=År2,'Resultater - Østdanmark'!I$3:I$504,'Resultater - Østdanmark'!J$3:J$504)),"&gt;0"))</f>
        <v>0</v>
      </c>
      <c r="G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forbrug'!G$2,'Forbrug af biomasse'!$B$2:$B$425,$E106)</f>
        <v>0</v>
      </c>
      <c r="H106" s="187">
        <f>IF(E106="Vestdanmark",-IF(A106="Halm",SUMIFS(IF(D106=År1,'Resultater - Vestdanmark'!H$3:H$504,IF(D106=År2,'Resultater - Vestdanmark'!I$3:I$504,'Resultater - Vestdanmark'!J$3:J$504)),'Resultater - Vestdanmark'!$F$3:$F$504,$A106,'Resultater - Vestdanmark'!H$3:H$504,"&lt;0"),0),-IF(A106="Halm",SUMIFS(IF(D106=År1,'Resultater - Østdanmark'!H$3:H$504,IF(D106=År2,'Resultater - Østdanmark'!I$3:I$504,'Resultater - Østdanmark'!J$3:J$504)),'Resultater - Østdanmark'!$F$3:$F$504,$A106,'Resultater - Østdanmark'!H$3:H$504,"&lt;0"),0))</f>
        <v>0</v>
      </c>
      <c r="I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forbrug'!I$2,'Forbrug af biomasse'!$B$2:$B$425,$E106)</f>
        <v>0</v>
      </c>
      <c r="J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forbrug'!J$2,'Forbrug af biomasse'!$B$2:$B$425,$E106)</f>
        <v>0</v>
      </c>
      <c r="K106" s="190">
        <f>SUMIFS('Forbrug af biomasse'!$E$2:$E$425,'Forbrug af biomasse'!$C$2:$C$425,'Resultat-Produktion &amp; forbrug'!$A106,'Forbrug af biomasse'!$D$2:$D$425,'Resultat-Produktion &amp; forbrug'!$D106,'Forbrug af biomasse'!$A$2:$A$425,'Resultat-Produktion &amp; forbrug'!K$2,'Forbrug af biomasse'!$B$2:$B$425,$E106)</f>
        <v>0</v>
      </c>
      <c r="L106" s="190">
        <f>IF(A106&lt;&gt;"Biogas",SUMIFS('Forbrug af biomasse'!$E$2:$E$425,'Forbrug af biomasse'!$C$2:$C$425,'Resultat-Produktion &amp; forbrug'!$A106,'Forbrug af biomasse'!$D$2:$D$425,'Resultat-Produktion &amp; forbrug'!$D106,'Forbrug af biomasse'!$A$2:$A$425,'Resultat-Produktion &amp; forbrug'!L$2,'Forbrug af biomasse'!$B$2:$B$425,$E106),F106)</f>
        <v>0</v>
      </c>
      <c r="M106" s="154">
        <f>SUMIFS('Forbrug af biomasse'!E:E,'Forbrug af biomasse'!C:C,'Resultat-Produktion &amp; forbrug'!$A106,'Forbrug af biomasse'!D:D,'Resultat-Produktion &amp; forbrug'!$D106,'Forbrug af biomasse'!G:G,1,'Forbrug af biomasse'!B:B,$E106)</f>
        <v>0</v>
      </c>
      <c r="N106" s="199">
        <f t="shared" si="23"/>
        <v>0</v>
      </c>
      <c r="O106" s="190">
        <f t="shared" si="20"/>
        <v>0</v>
      </c>
      <c r="P106" s="200">
        <f t="shared" si="24"/>
        <v>0</v>
      </c>
      <c r="Q106" s="187">
        <f>IFERROR(VLOOKUP(A106,[1]Energiindhold!$A$2:$C$11,3,FALSE),IFERROR(VLOOKUP(A106,[1]Biogasudbytte!$A$2:$B$18,2,FALSE)*[1]Energiindhold!$C$10,0))*O106</f>
        <v>0</v>
      </c>
      <c r="R106" s="187">
        <f>IF(A106&lt;&gt;"Biogas",IFERROR(VLOOKUP(A106,[1]Biogasudbytte!$A$2:$B$18,2,FALSE)*[1]Energiindhold!$C$10,0)*J106*IFERROR(VLOOKUP(A106,Biogasanlæg!$F$3:$G$8,2,FALSE),1)+IFERROR(VLOOKUP(A106,[1]Energiindhold!$A$2:$C$11,3,FALSE),0)*L106+IF(D106&lt;&gt;År1,Q106,0),0)</f>
        <v>0</v>
      </c>
      <c r="S106" s="187">
        <f>IFERROR(VLOOKUP(A106,[1]Biogasudbytte!$A$2:$B$18,2,FALSE)*[1]Energiindhold!$C$10,0)*J106*IFERROR(VLOOKUP(A106,Biogasanlæg!$F$3:$G$8,2,FALSE),1)</f>
        <v>0</v>
      </c>
      <c r="T106" s="188">
        <f t="shared" si="25"/>
        <v>0</v>
      </c>
      <c r="U106" s="186">
        <f>O106*IFERROR(VLOOKUP(A106,[1]Tørstofindhold!A$2:B$24,2,FALSE),0)</f>
        <v>0</v>
      </c>
      <c r="V106" s="187">
        <f>IF(D106=År1,P106,SUM(O106,P106))*IFERROR(VLOOKUP(A106,[1]Tørstofindhold!A$2:B$24,2,FALSE),0)</f>
        <v>0</v>
      </c>
      <c r="W106" s="187">
        <f>J106*IFERROR(VLOOKUP(A106,[1]Tørstofindhold!A$2:B$24,2,FALSE),0)</f>
        <v>0</v>
      </c>
      <c r="X106" s="188">
        <f t="shared" si="26"/>
        <v>0</v>
      </c>
      <c r="Y106" s="168">
        <f t="shared" si="21"/>
        <v>0</v>
      </c>
      <c r="Z106" s="103">
        <f t="shared" si="22"/>
        <v>0</v>
      </c>
    </row>
    <row r="107" spans="1:26" x14ac:dyDescent="0.25">
      <c r="A107" s="189" t="str">
        <f t="shared" si="33"/>
        <v>Fjerkrægylle</v>
      </c>
      <c r="B107" s="189" t="str">
        <f t="shared" si="34"/>
        <v>Husdyrgødning</v>
      </c>
      <c r="C107" s="189">
        <f>IF(COUNTIFS('Resultater - Danmark'!$D$3:$D$504,'Resultat-Produktion &amp; forbrug'!A107,'Resultater - Danmark'!$A$3:$A$504,"Til energi")+COUNTIFS('Resultater - Danmark'!$D$3:$D$504,'Resultat-Produktion &amp; forbrug'!A107,'Resultater - Danmark'!$A$3:$A$504,"Biogasanlæg")&gt;0,1,0)</f>
        <v>1</v>
      </c>
      <c r="D107" s="189">
        <f t="shared" si="35"/>
        <v>2050</v>
      </c>
      <c r="E107" s="187" t="s">
        <v>23</v>
      </c>
      <c r="F107" s="190">
        <f>IF(E107="Vestdanmark",SUMIFS(IF(D107=År1,'Resultater - Vestdanmark'!H$3:H$504,IF(D107=År2,'Resultater - Vestdanmark'!I$3:I$504,'Resultater - Vestdanmark'!J$3:J$504)),'Resultater - Vestdanmark'!$F$3:$F$504,$A107,IF(D107=År1,'Resultater - Vestdanmark'!H$3:H$504,IF(D107=År2,'Resultater - Vestdanmark'!I$3:I$504,'Resultater - Vestdanmark'!J$3:J$504)),"&gt;0"),SUMIFS(IF(D107=År1,'Resultater - Østdanmark'!H$3:H$504,IF(D107=År2,'Resultater - Østdanmark'!I$3:I$504,'Resultater - Østdanmark'!J$3:J$504)),'Resultater - Østdanmark'!$F$3:$F$504,$A107,IF(D107=År1,'Resultater - Østdanmark'!H$3:H$504,IF(D107=År2,'Resultater - Østdanmark'!I$3:I$504,'Resultater - Østdanmark'!J$3:J$504)),"&gt;0"))</f>
        <v>10338.638066978907</v>
      </c>
      <c r="G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forbrug'!G$2,'Forbrug af biomasse'!$B$2:$B$425,$E107)</f>
        <v>0</v>
      </c>
      <c r="H107" s="187">
        <f>IF(E107="Vestdanmark",-IF(A107="Halm",SUMIFS(IF(D107=År1,'Resultater - Vestdanmark'!H$3:H$504,IF(D107=År2,'Resultater - Vestdanmark'!I$3:I$504,'Resultater - Vestdanmark'!J$3:J$504)),'Resultater - Vestdanmark'!$F$3:$F$504,$A107,'Resultater - Vestdanmark'!H$3:H$504,"&lt;0"),0),-IF(A107="Halm",SUMIFS(IF(D107=År1,'Resultater - Østdanmark'!H$3:H$504,IF(D107=År2,'Resultater - Østdanmark'!I$3:I$504,'Resultater - Østdanmark'!J$3:J$504)),'Resultater - Østdanmark'!$F$3:$F$504,$A107,'Resultater - Østdanmark'!H$3:H$504,"&lt;0"),0))</f>
        <v>0</v>
      </c>
      <c r="I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forbrug'!I$2,'Forbrug af biomasse'!$B$2:$B$425,$E107)</f>
        <v>0</v>
      </c>
      <c r="J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forbrug'!J$2,'Forbrug af biomasse'!$B$2:$B$425,$E107)</f>
        <v>5169.3190334894534</v>
      </c>
      <c r="K107" s="190">
        <f>SUMIFS('Forbrug af biomasse'!$E$2:$E$425,'Forbrug af biomasse'!$C$2:$C$425,'Resultat-Produktion &amp; forbrug'!$A107,'Forbrug af biomasse'!$D$2:$D$425,'Resultat-Produktion &amp; forbrug'!$D107,'Forbrug af biomasse'!$A$2:$A$425,'Resultat-Produktion &amp; forbrug'!K$2,'Forbrug af biomasse'!$B$2:$B$425,$E107)</f>
        <v>5169.3190334894534</v>
      </c>
      <c r="L107" s="190">
        <f>IF(A107&lt;&gt;"Biogas",SUMIFS('Forbrug af biomasse'!$E$2:$E$425,'Forbrug af biomasse'!$C$2:$C$425,'Resultat-Produktion &amp; forbrug'!$A107,'Forbrug af biomasse'!$D$2:$D$425,'Resultat-Produktion &amp; forbrug'!$D107,'Forbrug af biomasse'!$A$2:$A$425,'Resultat-Produktion &amp; forbrug'!L$2,'Forbrug af biomasse'!$B$2:$B$425,$E107),F107)</f>
        <v>0</v>
      </c>
      <c r="M107" s="154">
        <f>SUMIFS('Forbrug af biomasse'!E:E,'Forbrug af biomasse'!C:C,'Resultat-Produktion &amp; forbrug'!$A107,'Forbrug af biomasse'!D:D,'Resultat-Produktion &amp; forbrug'!$D107,'Forbrug af biomasse'!G:G,1,'Forbrug af biomasse'!B:B,$E107)</f>
        <v>0</v>
      </c>
      <c r="N107" s="199">
        <f t="shared" si="23"/>
        <v>0</v>
      </c>
      <c r="O107" s="190">
        <f t="shared" si="20"/>
        <v>0</v>
      </c>
      <c r="P107" s="200">
        <f t="shared" si="24"/>
        <v>5169.3190334894534</v>
      </c>
      <c r="Q107" s="187">
        <f>IFERROR(VLOOKUP(A107,[1]Energiindhold!$A$2:$C$11,3,FALSE),IFERROR(VLOOKUP(A107,[1]Biogasudbytte!$A$2:$B$18,2,FALSE)*[1]Energiindhold!$C$10,0))*O107</f>
        <v>0</v>
      </c>
      <c r="R107" s="187">
        <f>IF(A107&lt;&gt;"Biogas",IFERROR(VLOOKUP(A107,[1]Biogasudbytte!$A$2:$B$18,2,FALSE)*[1]Energiindhold!$C$10,0)*J107*IFERROR(VLOOKUP(A107,Biogasanlæg!$F$3:$G$8,2,FALSE),1)+IFERROR(VLOOKUP(A107,[1]Energiindhold!$A$2:$C$11,3,FALSE),0)*L107+IF(D107&lt;&gt;År1,Q107,0),0)</f>
        <v>2.4310790482597552E-3</v>
      </c>
      <c r="S107" s="187">
        <f>IFERROR(VLOOKUP(A107,[1]Biogasudbytte!$A$2:$B$18,2,FALSE)*[1]Energiindhold!$C$10,0)*J107*IFERROR(VLOOKUP(A107,Biogasanlæg!$F$3:$G$8,2,FALSE),1)</f>
        <v>2.4310790482597552E-3</v>
      </c>
      <c r="T107" s="188">
        <f t="shared" si="25"/>
        <v>0</v>
      </c>
      <c r="U107" s="186">
        <f>O107*IFERROR(VLOOKUP(A107,[1]Tørstofindhold!A$2:B$24,2,FALSE),0)</f>
        <v>0</v>
      </c>
      <c r="V107" s="187">
        <f>IF(D107=År1,P107,SUM(O107,P107))*IFERROR(VLOOKUP(A107,[1]Tørstofindhold!A$2:B$24,2,FALSE),0)</f>
        <v>325.66709910983559</v>
      </c>
      <c r="W107" s="187">
        <f>J107*IFERROR(VLOOKUP(A107,[1]Tørstofindhold!A$2:B$24,2,FALSE),0)</f>
        <v>325.66709910983559</v>
      </c>
      <c r="X107" s="188">
        <f t="shared" si="26"/>
        <v>0</v>
      </c>
      <c r="Y107" s="168">
        <f t="shared" si="21"/>
        <v>0</v>
      </c>
      <c r="Z107" s="103">
        <f t="shared" si="22"/>
        <v>0</v>
      </c>
    </row>
    <row r="108" spans="1:26" x14ac:dyDescent="0.25">
      <c r="A108" s="189" t="str">
        <f t="shared" si="33"/>
        <v>Fjerkrækød</v>
      </c>
      <c r="B108" s="189" t="str">
        <f t="shared" si="34"/>
        <v/>
      </c>
      <c r="C108" s="189">
        <f>IF(COUNTIFS('Resultater - Danmark'!$D$3:$D$504,'Resultat-Produktion &amp; forbrug'!A108,'Resultater - Danmark'!$A$3:$A$504,"Til energi")+COUNTIFS('Resultater - Danmark'!$D$3:$D$504,'Resultat-Produktion &amp; forbrug'!A108,'Resultater - Danmark'!$A$3:$A$504,"Biogasanlæg")&gt;0,1,0)</f>
        <v>0</v>
      </c>
      <c r="D108" s="189">
        <f t="shared" si="35"/>
        <v>2050</v>
      </c>
      <c r="E108" s="187" t="s">
        <v>23</v>
      </c>
      <c r="F108" s="190">
        <f>IF(E108="Vestdanmark",SUMIFS(IF(D108=År1,'Resultater - Vestdanmark'!H$3:H$504,IF(D108=År2,'Resultater - Vestdanmark'!I$3:I$504,'Resultater - Vestdanmark'!J$3:J$504)),'Resultater - Vestdanmark'!$F$3:$F$504,$A108,IF(D108=År1,'Resultater - Vestdanmark'!H$3:H$504,IF(D108=År2,'Resultater - Vestdanmark'!I$3:I$504,'Resultater - Vestdanmark'!J$3:J$504)),"&gt;0"),SUMIFS(IF(D108=År1,'Resultater - Østdanmark'!H$3:H$504,IF(D108=År2,'Resultater - Østdanmark'!I$3:I$504,'Resultater - Østdanmark'!J$3:J$504)),'Resultater - Østdanmark'!$F$3:$F$504,$A108,IF(D108=År1,'Resultater - Østdanmark'!H$3:H$504,IF(D108=År2,'Resultater - Østdanmark'!I$3:I$504,'Resultater - Østdanmark'!J$3:J$504)),"&gt;0"))</f>
        <v>208390.50149991471</v>
      </c>
      <c r="G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forbrug'!G$2,'Forbrug af biomasse'!$B$2:$B$425,$E108)</f>
        <v>0</v>
      </c>
      <c r="H108" s="187">
        <f>IF(E108="Vestdanmark",-IF(A108="Halm",SUMIFS(IF(D108=År1,'Resultater - Vestdanmark'!H$3:H$504,IF(D108=År2,'Resultater - Vestdanmark'!I$3:I$504,'Resultater - Vestdanmark'!J$3:J$504)),'Resultater - Vestdanmark'!$F$3:$F$504,$A108,'Resultater - Vestdanmark'!H$3:H$504,"&lt;0"),0),-IF(A108="Halm",SUMIFS(IF(D108=År1,'Resultater - Østdanmark'!H$3:H$504,IF(D108=År2,'Resultater - Østdanmark'!I$3:I$504,'Resultater - Østdanmark'!J$3:J$504)),'Resultater - Østdanmark'!$F$3:$F$504,$A108,'Resultater - Østdanmark'!H$3:H$504,"&lt;0"),0))</f>
        <v>0</v>
      </c>
      <c r="I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forbrug'!I$2,'Forbrug af biomasse'!$B$2:$B$425,$E108)</f>
        <v>36670.799626981883</v>
      </c>
      <c r="J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forbrug'!J$2,'Forbrug af biomasse'!$B$2:$B$425,$E108)</f>
        <v>0</v>
      </c>
      <c r="K108" s="190">
        <f>SUMIFS('Forbrug af biomasse'!$E$2:$E$425,'Forbrug af biomasse'!$C$2:$C$425,'Resultat-Produktion &amp; forbrug'!$A108,'Forbrug af biomasse'!$D$2:$D$425,'Resultat-Produktion &amp; forbrug'!$D108,'Forbrug af biomasse'!$A$2:$A$425,'Resultat-Produktion &amp; forbrug'!K$2,'Forbrug af biomasse'!$B$2:$B$425,$E108)</f>
        <v>0</v>
      </c>
      <c r="L108" s="190">
        <f>IF(A108&lt;&gt;"Biogas",SUMIFS('Forbrug af biomasse'!$E$2:$E$425,'Forbrug af biomasse'!$C$2:$C$425,'Resultat-Produktion &amp; forbrug'!$A108,'Forbrug af biomasse'!$D$2:$D$425,'Resultat-Produktion &amp; forbrug'!$D108,'Forbrug af biomasse'!$A$2:$A$425,'Resultat-Produktion &amp; forbrug'!L$2,'Forbrug af biomasse'!$B$2:$B$425,$E108),F108)</f>
        <v>0</v>
      </c>
      <c r="M108" s="154">
        <f>SUMIFS('Forbrug af biomasse'!E:E,'Forbrug af biomasse'!C:C,'Resultat-Produktion &amp; forbrug'!$A108,'Forbrug af biomasse'!D:D,'Resultat-Produktion &amp; forbrug'!$D108,'Forbrug af biomasse'!G:G,1,'Forbrug af biomasse'!B:B,$E108)</f>
        <v>0</v>
      </c>
      <c r="N108" s="199">
        <f t="shared" si="23"/>
        <v>171719.70187293284</v>
      </c>
      <c r="O108" s="190">
        <f t="shared" si="20"/>
        <v>0</v>
      </c>
      <c r="P108" s="200">
        <f t="shared" si="24"/>
        <v>0</v>
      </c>
      <c r="Q108" s="187">
        <f>IFERROR(VLOOKUP(A108,[1]Energiindhold!$A$2:$C$11,3,FALSE),IFERROR(VLOOKUP(A108,[1]Biogasudbytte!$A$2:$B$18,2,FALSE)*[1]Energiindhold!$C$10,0))*O108</f>
        <v>0</v>
      </c>
      <c r="R108" s="187">
        <f>IF(A108&lt;&gt;"Biogas",IFERROR(VLOOKUP(A108,[1]Biogasudbytte!$A$2:$B$18,2,FALSE)*[1]Energiindhold!$C$10,0)*J108*IFERROR(VLOOKUP(A108,Biogasanlæg!$F$3:$G$8,2,FALSE),1)+IFERROR(VLOOKUP(A108,[1]Energiindhold!$A$2:$C$11,3,FALSE),0)*L108+IF(D108&lt;&gt;År1,Q108,0),0)</f>
        <v>0</v>
      </c>
      <c r="S108" s="187">
        <f>IFERROR(VLOOKUP(A108,[1]Biogasudbytte!$A$2:$B$18,2,FALSE)*[1]Energiindhold!$C$10,0)*J108*IFERROR(VLOOKUP(A108,Biogasanlæg!$F$3:$G$8,2,FALSE),1)</f>
        <v>0</v>
      </c>
      <c r="T108" s="188">
        <f t="shared" si="25"/>
        <v>0</v>
      </c>
      <c r="U108" s="186">
        <f>O108*IFERROR(VLOOKUP(A108,[1]Tørstofindhold!A$2:B$24,2,FALSE),0)</f>
        <v>0</v>
      </c>
      <c r="V108" s="187">
        <f>IF(D108=År1,P108,SUM(O108,P108))*IFERROR(VLOOKUP(A108,[1]Tørstofindhold!A$2:B$24,2,FALSE),0)</f>
        <v>0</v>
      </c>
      <c r="W108" s="187">
        <f>J108*IFERROR(VLOOKUP(A108,[1]Tørstofindhold!A$2:B$24,2,FALSE),0)</f>
        <v>0</v>
      </c>
      <c r="X108" s="188">
        <f t="shared" si="26"/>
        <v>0</v>
      </c>
      <c r="Y108" s="168">
        <f t="shared" si="21"/>
        <v>0</v>
      </c>
      <c r="Z108" s="103">
        <f t="shared" si="22"/>
        <v>1</v>
      </c>
    </row>
    <row r="109" spans="1:26" x14ac:dyDescent="0.25">
      <c r="A109" s="189" t="str">
        <f t="shared" si="33"/>
        <v>Frø</v>
      </c>
      <c r="B109" s="189" t="str">
        <f t="shared" si="34"/>
        <v/>
      </c>
      <c r="C109" s="189">
        <f>IF(COUNTIFS('Resultater - Danmark'!$D$3:$D$504,'Resultat-Produktion &amp; forbrug'!A109,'Resultater - Danmark'!$A$3:$A$504,"Til energi")+COUNTIFS('Resultater - Danmark'!$D$3:$D$504,'Resultat-Produktion &amp; forbrug'!A109,'Resultater - Danmark'!$A$3:$A$504,"Biogasanlæg")&gt;0,1,0)</f>
        <v>0</v>
      </c>
      <c r="D109" s="189">
        <f t="shared" si="35"/>
        <v>2050</v>
      </c>
      <c r="E109" s="187" t="s">
        <v>23</v>
      </c>
      <c r="F109" s="190">
        <f>IF(E109="Vestdanmark",SUMIFS(IF(D109=År1,'Resultater - Vestdanmark'!H$3:H$504,IF(D109=År2,'Resultater - Vestdanmark'!I$3:I$504,'Resultater - Vestdanmark'!J$3:J$504)),'Resultater - Vestdanmark'!$F$3:$F$504,$A109,IF(D109=År1,'Resultater - Vestdanmark'!H$3:H$504,IF(D109=År2,'Resultater - Vestdanmark'!I$3:I$504,'Resultater - Vestdanmark'!J$3:J$504)),"&gt;0"),SUMIFS(IF(D109=År1,'Resultater - Østdanmark'!H$3:H$504,IF(D109=År2,'Resultater - Østdanmark'!I$3:I$504,'Resultater - Østdanmark'!J$3:J$504)),'Resultater - Østdanmark'!$F$3:$F$504,$A109,IF(D109=År1,'Resultater - Østdanmark'!H$3:H$504,IF(D109=År2,'Resultater - Østdanmark'!I$3:I$504,'Resultater - Østdanmark'!J$3:J$504)),"&gt;0"))</f>
        <v>957437.9326590331</v>
      </c>
      <c r="G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forbrug'!G$2,'Forbrug af biomasse'!$B$2:$B$425,$E109)</f>
        <v>0</v>
      </c>
      <c r="H109" s="187">
        <f>IF(E109="Vestdanmark",-IF(A109="Halm",SUMIFS(IF(D109=År1,'Resultater - Vestdanmark'!H$3:H$504,IF(D109=År2,'Resultater - Vestdanmark'!I$3:I$504,'Resultater - Vestdanmark'!J$3:J$504)),'Resultater - Vestdanmark'!$F$3:$F$504,$A109,'Resultater - Vestdanmark'!H$3:H$504,"&lt;0"),0),-IF(A109="Halm",SUMIFS(IF(D109=År1,'Resultater - Østdanmark'!H$3:H$504,IF(D109=År2,'Resultater - Østdanmark'!I$3:I$504,'Resultater - Østdanmark'!J$3:J$504)),'Resultater - Østdanmark'!$F$3:$F$504,$A109,'Resultater - Østdanmark'!H$3:H$504,"&lt;0"),0))</f>
        <v>0</v>
      </c>
      <c r="I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forbrug'!I$2,'Forbrug af biomasse'!$B$2:$B$425,$E109)</f>
        <v>0</v>
      </c>
      <c r="J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forbrug'!J$2,'Forbrug af biomasse'!$B$2:$B$425,$E109)</f>
        <v>0</v>
      </c>
      <c r="K109" s="190">
        <f>SUMIFS('Forbrug af biomasse'!$E$2:$E$425,'Forbrug af biomasse'!$C$2:$C$425,'Resultat-Produktion &amp; forbrug'!$A109,'Forbrug af biomasse'!$D$2:$D$425,'Resultat-Produktion &amp; forbrug'!$D109,'Forbrug af biomasse'!$A$2:$A$425,'Resultat-Produktion &amp; forbrug'!K$2,'Forbrug af biomasse'!$B$2:$B$425,$E109)</f>
        <v>0</v>
      </c>
      <c r="L109" s="190">
        <f>IF(A109&lt;&gt;"Biogas",SUMIFS('Forbrug af biomasse'!$E$2:$E$425,'Forbrug af biomasse'!$C$2:$C$425,'Resultat-Produktion &amp; forbrug'!$A109,'Forbrug af biomasse'!$D$2:$D$425,'Resultat-Produktion &amp; forbrug'!$D109,'Forbrug af biomasse'!$A$2:$A$425,'Resultat-Produktion &amp; forbrug'!L$2,'Forbrug af biomasse'!$B$2:$B$425,$E109),F109)</f>
        <v>0</v>
      </c>
      <c r="M109" s="154">
        <f>SUMIFS('Forbrug af biomasse'!E:E,'Forbrug af biomasse'!C:C,'Resultat-Produktion &amp; forbrug'!$A109,'Forbrug af biomasse'!D:D,'Resultat-Produktion &amp; forbrug'!$D109,'Forbrug af biomasse'!G:G,1,'Forbrug af biomasse'!B:B,$E109)</f>
        <v>0</v>
      </c>
      <c r="N109" s="199">
        <f t="shared" si="23"/>
        <v>957437.9326590331</v>
      </c>
      <c r="O109" s="190">
        <f t="shared" si="20"/>
        <v>0</v>
      </c>
      <c r="P109" s="200">
        <f t="shared" si="24"/>
        <v>0</v>
      </c>
      <c r="Q109" s="187">
        <f>IFERROR(VLOOKUP(A109,[1]Energiindhold!$A$2:$C$11,3,FALSE),IFERROR(VLOOKUP(A109,[1]Biogasudbytte!$A$2:$B$18,2,FALSE)*[1]Energiindhold!$C$10,0))*O109</f>
        <v>0</v>
      </c>
      <c r="R109" s="187">
        <f>IF(A109&lt;&gt;"Biogas",IFERROR(VLOOKUP(A109,[1]Biogasudbytte!$A$2:$B$18,2,FALSE)*[1]Energiindhold!$C$10,0)*J109*IFERROR(VLOOKUP(A109,Biogasanlæg!$F$3:$G$8,2,FALSE),1)+IFERROR(VLOOKUP(A109,[1]Energiindhold!$A$2:$C$11,3,FALSE),0)*L109+IF(D109&lt;&gt;År1,Q109,0),0)</f>
        <v>0</v>
      </c>
      <c r="S109" s="187">
        <f>IFERROR(VLOOKUP(A109,[1]Biogasudbytte!$A$2:$B$18,2,FALSE)*[1]Energiindhold!$C$10,0)*J109*IFERROR(VLOOKUP(A109,Biogasanlæg!$F$3:$G$8,2,FALSE),1)</f>
        <v>0</v>
      </c>
      <c r="T109" s="188">
        <f t="shared" si="25"/>
        <v>0</v>
      </c>
      <c r="U109" s="186">
        <f>O109*IFERROR(VLOOKUP(A109,[1]Tørstofindhold!A$2:B$24,2,FALSE),0)</f>
        <v>0</v>
      </c>
      <c r="V109" s="187">
        <f>IF(D109=År1,P109,SUM(O109,P109))*IFERROR(VLOOKUP(A109,[1]Tørstofindhold!A$2:B$24,2,FALSE),0)</f>
        <v>0</v>
      </c>
      <c r="W109" s="187">
        <f>J109*IFERROR(VLOOKUP(A109,[1]Tørstofindhold!A$2:B$24,2,FALSE),0)</f>
        <v>0</v>
      </c>
      <c r="X109" s="188">
        <f t="shared" si="26"/>
        <v>0</v>
      </c>
      <c r="Y109" s="168">
        <f t="shared" si="21"/>
        <v>0</v>
      </c>
      <c r="Z109" s="103">
        <f t="shared" si="22"/>
        <v>1</v>
      </c>
    </row>
    <row r="110" spans="1:26" x14ac:dyDescent="0.25">
      <c r="A110" s="189" t="str">
        <f t="shared" si="33"/>
        <v>Frugt</v>
      </c>
      <c r="B110" s="189" t="str">
        <f t="shared" si="34"/>
        <v/>
      </c>
      <c r="C110" s="189">
        <f>IF(COUNTIFS('Resultater - Danmark'!$D$3:$D$504,'Resultat-Produktion &amp; forbrug'!A110,'Resultater - Danmark'!$A$3:$A$504,"Til energi")+COUNTIFS('Resultater - Danmark'!$D$3:$D$504,'Resultat-Produktion &amp; forbrug'!A110,'Resultater - Danmark'!$A$3:$A$504,"Biogasanlæg")&gt;0,1,0)</f>
        <v>0</v>
      </c>
      <c r="D110" s="189">
        <f t="shared" si="35"/>
        <v>2050</v>
      </c>
      <c r="E110" s="187" t="s">
        <v>23</v>
      </c>
      <c r="F110" s="190">
        <f>IF(E110="Vestdanmark",SUMIFS(IF(D110=År1,'Resultater - Vestdanmark'!H$3:H$504,IF(D110=År2,'Resultater - Vestdanmark'!I$3:I$504,'Resultater - Vestdanmark'!J$3:J$504)),'Resultater - Vestdanmark'!$F$3:$F$504,$A110,IF(D110=År1,'Resultater - Vestdanmark'!H$3:H$504,IF(D110=År2,'Resultater - Vestdanmark'!I$3:I$504,'Resultater - Vestdanmark'!J$3:J$504)),"&gt;0"),SUMIFS(IF(D110=År1,'Resultater - Østdanmark'!H$3:H$504,IF(D110=År2,'Resultater - Østdanmark'!I$3:I$504,'Resultater - Østdanmark'!J$3:J$504)),'Resultater - Østdanmark'!$F$3:$F$504,$A110,IF(D110=År1,'Resultater - Østdanmark'!H$3:H$504,IF(D110=År2,'Resultater - Østdanmark'!I$3:I$504,'Resultater - Østdanmark'!J$3:J$504)),"&gt;0"))</f>
        <v>28117.117854959241</v>
      </c>
      <c r="G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forbrug'!G$2,'Forbrug af biomasse'!$B$2:$B$425,$E110)</f>
        <v>0</v>
      </c>
      <c r="H110" s="187">
        <f>IF(E110="Vestdanmark",-IF(A110="Halm",SUMIFS(IF(D110=År1,'Resultater - Vestdanmark'!H$3:H$504,IF(D110=År2,'Resultater - Vestdanmark'!I$3:I$504,'Resultater - Vestdanmark'!J$3:J$504)),'Resultater - Vestdanmark'!$F$3:$F$504,$A110,'Resultater - Vestdanmark'!H$3:H$504,"&lt;0"),0),-IF(A110="Halm",SUMIFS(IF(D110=År1,'Resultater - Østdanmark'!H$3:H$504,IF(D110=År2,'Resultater - Østdanmark'!I$3:I$504,'Resultater - Østdanmark'!J$3:J$504)),'Resultater - Østdanmark'!$F$3:$F$504,$A110,'Resultater - Østdanmark'!H$3:H$504,"&lt;0"),0))</f>
        <v>0</v>
      </c>
      <c r="I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forbrug'!I$2,'Forbrug af biomasse'!$B$2:$B$425,$E110)</f>
        <v>267978.92035102146</v>
      </c>
      <c r="J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forbrug'!J$2,'Forbrug af biomasse'!$B$2:$B$425,$E110)</f>
        <v>0</v>
      </c>
      <c r="K110" s="190">
        <f>SUMIFS('Forbrug af biomasse'!$E$2:$E$425,'Forbrug af biomasse'!$C$2:$C$425,'Resultat-Produktion &amp; forbrug'!$A110,'Forbrug af biomasse'!$D$2:$D$425,'Resultat-Produktion &amp; forbrug'!$D110,'Forbrug af biomasse'!$A$2:$A$425,'Resultat-Produktion &amp; forbrug'!K$2,'Forbrug af biomasse'!$B$2:$B$425,$E110)</f>
        <v>0</v>
      </c>
      <c r="L110" s="190">
        <f>IF(A110&lt;&gt;"Biogas",SUMIFS('Forbrug af biomasse'!$E$2:$E$425,'Forbrug af biomasse'!$C$2:$C$425,'Resultat-Produktion &amp; forbrug'!$A110,'Forbrug af biomasse'!$D$2:$D$425,'Resultat-Produktion &amp; forbrug'!$D110,'Forbrug af biomasse'!$A$2:$A$425,'Resultat-Produktion &amp; forbrug'!L$2,'Forbrug af biomasse'!$B$2:$B$425,$E110),F110)</f>
        <v>0</v>
      </c>
      <c r="M110" s="154">
        <f>SUMIFS('Forbrug af biomasse'!E:E,'Forbrug af biomasse'!C:C,'Resultat-Produktion &amp; forbrug'!$A110,'Forbrug af biomasse'!D:D,'Resultat-Produktion &amp; forbrug'!$D110,'Forbrug af biomasse'!G:G,1,'Forbrug af biomasse'!B:B,$E110)</f>
        <v>0</v>
      </c>
      <c r="N110" s="199">
        <f t="shared" si="23"/>
        <v>-239861.80249606221</v>
      </c>
      <c r="O110" s="190">
        <f t="shared" si="20"/>
        <v>0</v>
      </c>
      <c r="P110" s="200">
        <f t="shared" si="24"/>
        <v>0</v>
      </c>
      <c r="Q110" s="187">
        <f>IFERROR(VLOOKUP(A110,[1]Energiindhold!$A$2:$C$11,3,FALSE),IFERROR(VLOOKUP(A110,[1]Biogasudbytte!$A$2:$B$18,2,FALSE)*[1]Energiindhold!$C$10,0))*O110</f>
        <v>0</v>
      </c>
      <c r="R110" s="187">
        <f>IF(A110&lt;&gt;"Biogas",IFERROR(VLOOKUP(A110,[1]Biogasudbytte!$A$2:$B$18,2,FALSE)*[1]Energiindhold!$C$10,0)*J110*IFERROR(VLOOKUP(A110,Biogasanlæg!$F$3:$G$8,2,FALSE),1)+IFERROR(VLOOKUP(A110,[1]Energiindhold!$A$2:$C$11,3,FALSE),0)*L110+IF(D110&lt;&gt;År1,Q110,0),0)</f>
        <v>0</v>
      </c>
      <c r="S110" s="187">
        <f>IFERROR(VLOOKUP(A110,[1]Biogasudbytte!$A$2:$B$18,2,FALSE)*[1]Energiindhold!$C$10,0)*J110*IFERROR(VLOOKUP(A110,Biogasanlæg!$F$3:$G$8,2,FALSE),1)</f>
        <v>0</v>
      </c>
      <c r="T110" s="188">
        <f t="shared" si="25"/>
        <v>0</v>
      </c>
      <c r="U110" s="186">
        <f>O110*IFERROR(VLOOKUP(A110,[1]Tørstofindhold!A$2:B$24,2,FALSE),0)</f>
        <v>0</v>
      </c>
      <c r="V110" s="187">
        <f>IF(D110=År1,P110,SUM(O110,P110))*IFERROR(VLOOKUP(A110,[1]Tørstofindhold!A$2:B$24,2,FALSE),0)</f>
        <v>0</v>
      </c>
      <c r="W110" s="187">
        <f>J110*IFERROR(VLOOKUP(A110,[1]Tørstofindhold!A$2:B$24,2,FALSE),0)</f>
        <v>0</v>
      </c>
      <c r="X110" s="188">
        <f t="shared" si="26"/>
        <v>0</v>
      </c>
      <c r="Y110" s="168">
        <f t="shared" si="21"/>
        <v>1</v>
      </c>
      <c r="Z110" s="103">
        <f t="shared" si="22"/>
        <v>0</v>
      </c>
    </row>
    <row r="111" spans="1:26" x14ac:dyDescent="0.25">
      <c r="A111" s="189" t="str">
        <f t="shared" si="33"/>
        <v>Glycerin</v>
      </c>
      <c r="B111" s="189" t="str">
        <f t="shared" si="34"/>
        <v>Glycerin</v>
      </c>
      <c r="C111" s="189">
        <f>IF(COUNTIFS('Resultater - Danmark'!$D$3:$D$504,'Resultat-Produktion &amp; forbrug'!A111,'Resultater - Danmark'!$A$3:$A$504,"Til energi")+COUNTIFS('Resultater - Danmark'!$D$3:$D$504,'Resultat-Produktion &amp; forbrug'!A111,'Resultater - Danmark'!$A$3:$A$504,"Biogasanlæg")&gt;0,1,0)</f>
        <v>1</v>
      </c>
      <c r="D111" s="189">
        <f t="shared" si="35"/>
        <v>2050</v>
      </c>
      <c r="E111" s="187" t="s">
        <v>23</v>
      </c>
      <c r="F111" s="190">
        <f>IF(E111="Vestdanmark",SUMIFS(IF(D111=År1,'Resultater - Vestdanmark'!H$3:H$504,IF(D111=År2,'Resultater - Vestdanmark'!I$3:I$504,'Resultater - Vestdanmark'!J$3:J$504)),'Resultater - Vestdanmark'!$F$3:$F$504,$A111,IF(D111=År1,'Resultater - Vestdanmark'!H$3:H$504,IF(D111=År2,'Resultater - Vestdanmark'!I$3:I$504,'Resultater - Vestdanmark'!J$3:J$504)),"&gt;0"),SUMIFS(IF(D111=År1,'Resultater - Østdanmark'!H$3:H$504,IF(D111=År2,'Resultater - Østdanmark'!I$3:I$504,'Resultater - Østdanmark'!J$3:J$504)),'Resultater - Østdanmark'!$F$3:$F$504,$A111,IF(D111=År1,'Resultater - Østdanmark'!H$3:H$504,IF(D111=År2,'Resultater - Østdanmark'!I$3:I$504,'Resultater - Østdanmark'!J$3:J$504)),"&gt;0"))</f>
        <v>0</v>
      </c>
      <c r="G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forbrug'!G$2,'Forbrug af biomasse'!$B$2:$B$425,$E111)</f>
        <v>0</v>
      </c>
      <c r="H111" s="187">
        <f>IF(E111="Vestdanmark",-IF(A111="Halm",SUMIFS(IF(D111=År1,'Resultater - Vestdanmark'!H$3:H$504,IF(D111=År2,'Resultater - Vestdanmark'!I$3:I$504,'Resultater - Vestdanmark'!J$3:J$504)),'Resultater - Vestdanmark'!$F$3:$F$504,$A111,'Resultater - Vestdanmark'!H$3:H$504,"&lt;0"),0),-IF(A111="Halm",SUMIFS(IF(D111=År1,'Resultater - Østdanmark'!H$3:H$504,IF(D111=År2,'Resultater - Østdanmark'!I$3:I$504,'Resultater - Østdanmark'!J$3:J$504)),'Resultater - Østdanmark'!$F$3:$F$504,$A111,'Resultater - Østdanmark'!H$3:H$504,"&lt;0"),0))</f>
        <v>0</v>
      </c>
      <c r="I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forbrug'!I$2,'Forbrug af biomasse'!$B$2:$B$425,$E111)</f>
        <v>0</v>
      </c>
      <c r="J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forbrug'!J$2,'Forbrug af biomasse'!$B$2:$B$425,$E111)</f>
        <v>114193.60000000001</v>
      </c>
      <c r="K111" s="190">
        <f>SUMIFS('Forbrug af biomasse'!$E$2:$E$425,'Forbrug af biomasse'!$C$2:$C$425,'Resultat-Produktion &amp; forbrug'!$A111,'Forbrug af biomasse'!$D$2:$D$425,'Resultat-Produktion &amp; forbrug'!$D111,'Forbrug af biomasse'!$A$2:$A$425,'Resultat-Produktion &amp; forbrug'!K$2,'Forbrug af biomasse'!$B$2:$B$425,$E111)</f>
        <v>0</v>
      </c>
      <c r="L111" s="190">
        <f>IF(A111&lt;&gt;"Biogas",SUMIFS('Forbrug af biomasse'!$E$2:$E$425,'Forbrug af biomasse'!$C$2:$C$425,'Resultat-Produktion &amp; forbrug'!$A111,'Forbrug af biomasse'!$D$2:$D$425,'Resultat-Produktion &amp; forbrug'!$D111,'Forbrug af biomasse'!$A$2:$A$425,'Resultat-Produktion &amp; forbrug'!L$2,'Forbrug af biomasse'!$B$2:$B$425,$E111),F111)</f>
        <v>0</v>
      </c>
      <c r="M111" s="154">
        <f>SUMIFS('Forbrug af biomasse'!E:E,'Forbrug af biomasse'!C:C,'Resultat-Produktion &amp; forbrug'!$A111,'Forbrug af biomasse'!D:D,'Resultat-Produktion &amp; forbrug'!$D111,'Forbrug af biomasse'!G:G,1,'Forbrug af biomasse'!B:B,$E111)</f>
        <v>0</v>
      </c>
      <c r="N111" s="199">
        <f t="shared" si="23"/>
        <v>-114193.60000000001</v>
      </c>
      <c r="O111" s="190">
        <f t="shared" si="20"/>
        <v>0</v>
      </c>
      <c r="P111" s="200">
        <f t="shared" si="24"/>
        <v>114193.60000000001</v>
      </c>
      <c r="Q111" s="187">
        <f>IFERROR(VLOOKUP(A111,[1]Energiindhold!$A$2:$C$11,3,FALSE),IFERROR(VLOOKUP(A111,[1]Biogasudbytte!$A$2:$B$18,2,FALSE)*[1]Energiindhold!$C$10,0))*O111</f>
        <v>0</v>
      </c>
      <c r="R111" s="187">
        <f>IF(A111&lt;&gt;"Biogas",IFERROR(VLOOKUP(A111,[1]Biogasudbytte!$A$2:$B$18,2,FALSE)*[1]Energiindhold!$C$10,0)*J111*IFERROR(VLOOKUP(A111,Biogasanlæg!$F$3:$G$8,2,FALSE),1)+IFERROR(VLOOKUP(A111,[1]Energiindhold!$A$2:$C$11,3,FALSE),0)*L111+IF(D111&lt;&gt;År1,Q111,0),0)</f>
        <v>1.7355855896064003</v>
      </c>
      <c r="S111" s="187">
        <f>IFERROR(VLOOKUP(A111,[1]Biogasudbytte!$A$2:$B$18,2,FALSE)*[1]Energiindhold!$C$10,0)*J111*IFERROR(VLOOKUP(A111,Biogasanlæg!$F$3:$G$8,2,FALSE),1)</f>
        <v>1.7355855896064003</v>
      </c>
      <c r="T111" s="188">
        <f t="shared" si="25"/>
        <v>0</v>
      </c>
      <c r="U111" s="186">
        <f>O111*IFERROR(VLOOKUP(A111,[1]Tørstofindhold!A$2:B$24,2,FALSE),0)</f>
        <v>0</v>
      </c>
      <c r="V111" s="187">
        <f>IF(D111=År1,P111,SUM(O111,P111))*IFERROR(VLOOKUP(A111,[1]Tørstofindhold!A$2:B$24,2,FALSE),0)</f>
        <v>102774.24</v>
      </c>
      <c r="W111" s="187">
        <f>J111*IFERROR(VLOOKUP(A111,[1]Tørstofindhold!A$2:B$24,2,FALSE),0)</f>
        <v>102774.24</v>
      </c>
      <c r="X111" s="188">
        <f t="shared" si="26"/>
        <v>0</v>
      </c>
      <c r="Y111" s="168">
        <f t="shared" si="21"/>
        <v>1</v>
      </c>
      <c r="Z111" s="103">
        <f t="shared" si="22"/>
        <v>0</v>
      </c>
    </row>
    <row r="112" spans="1:26" x14ac:dyDescent="0.25">
      <c r="A112" s="189" t="str">
        <f t="shared" si="33"/>
        <v>Græs</v>
      </c>
      <c r="B112" s="189" t="str">
        <f t="shared" si="34"/>
        <v>Græs og urter</v>
      </c>
      <c r="C112" s="189">
        <f>IF(COUNTIFS('Resultater - Danmark'!$D$3:$D$504,'Resultat-Produktion &amp; forbrug'!A112,'Resultater - Danmark'!$A$3:$A$504,"Til energi")+COUNTIFS('Resultater - Danmark'!$D$3:$D$504,'Resultat-Produktion &amp; forbrug'!A112,'Resultater - Danmark'!$A$3:$A$504,"Biogasanlæg")&gt;0,1,0)</f>
        <v>1</v>
      </c>
      <c r="D112" s="189">
        <f t="shared" si="35"/>
        <v>2050</v>
      </c>
      <c r="E112" s="187" t="s">
        <v>23</v>
      </c>
      <c r="F112" s="190">
        <f>IF(E112="Vestdanmark",SUMIFS(IF(D112=År1,'Resultater - Vestdanmark'!H$3:H$504,IF(D112=År2,'Resultater - Vestdanmark'!I$3:I$504,'Resultater - Vestdanmark'!J$3:J$504)),'Resultater - Vestdanmark'!$F$3:$F$504,$A112,IF(D112=År1,'Resultater - Vestdanmark'!H$3:H$504,IF(D112=År2,'Resultater - Vestdanmark'!I$3:I$504,'Resultater - Vestdanmark'!J$3:J$504)),"&gt;0"),SUMIFS(IF(D112=År1,'Resultater - Østdanmark'!H$3:H$504,IF(D112=År2,'Resultater - Østdanmark'!I$3:I$504,'Resultater - Østdanmark'!J$3:J$504)),'Resultater - Østdanmark'!$F$3:$F$504,$A112,IF(D112=År1,'Resultater - Østdanmark'!H$3:H$504,IF(D112=År2,'Resultater - Østdanmark'!I$3:I$504,'Resultater - Østdanmark'!J$3:J$504)),"&gt;0"))</f>
        <v>17187397.545226604</v>
      </c>
      <c r="G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forbrug'!G$2,'Forbrug af biomasse'!$B$2:$B$425,$E112)</f>
        <v>14685227.891109958</v>
      </c>
      <c r="H112" s="187">
        <f>IF(E112="Vestdanmark",-IF(A112="Halm",SUMIFS(IF(D112=År1,'Resultater - Vestdanmark'!H$3:H$504,IF(D112=År2,'Resultater - Vestdanmark'!I$3:I$504,'Resultater - Vestdanmark'!J$3:J$504)),'Resultater - Vestdanmark'!$F$3:$F$504,$A112,'Resultater - Vestdanmark'!H$3:H$504,"&lt;0"),0),-IF(A112="Halm",SUMIFS(IF(D112=År1,'Resultater - Østdanmark'!H$3:H$504,IF(D112=År2,'Resultater - Østdanmark'!I$3:I$504,'Resultater - Østdanmark'!J$3:J$504)),'Resultater - Østdanmark'!$F$3:$F$504,$A112,'Resultater - Østdanmark'!H$3:H$504,"&lt;0"),0))</f>
        <v>0</v>
      </c>
      <c r="I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forbrug'!I$2,'Forbrug af biomasse'!$B$2:$B$425,$E112)</f>
        <v>0</v>
      </c>
      <c r="J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forbrug'!J$2,'Forbrug af biomasse'!$B$2:$B$425,$E112)</f>
        <v>75243.769743329321</v>
      </c>
      <c r="K112" s="190">
        <f>SUMIFS('Forbrug af biomasse'!$E$2:$E$425,'Forbrug af biomasse'!$C$2:$C$425,'Resultat-Produktion &amp; forbrug'!$A112,'Forbrug af biomasse'!$D$2:$D$425,'Resultat-Produktion &amp; forbrug'!$D112,'Forbrug af biomasse'!$A$2:$A$425,'Resultat-Produktion &amp; forbrug'!K$2,'Forbrug af biomasse'!$B$2:$B$425,$E112)</f>
        <v>0</v>
      </c>
      <c r="L112" s="190">
        <f>IF(A112&lt;&gt;"Biogas",SUMIFS('Forbrug af biomasse'!$E$2:$E$425,'Forbrug af biomasse'!$C$2:$C$425,'Resultat-Produktion &amp; forbrug'!$A112,'Forbrug af biomasse'!$D$2:$D$425,'Resultat-Produktion &amp; forbrug'!$D112,'Forbrug af biomasse'!$A$2:$A$425,'Resultat-Produktion &amp; forbrug'!L$2,'Forbrug af biomasse'!$B$2:$B$425,$E112),F112)</f>
        <v>0</v>
      </c>
      <c r="M112" s="154">
        <f>SUMIFS('Forbrug af biomasse'!E:E,'Forbrug af biomasse'!C:C,'Resultat-Produktion &amp; forbrug'!$A112,'Forbrug af biomasse'!D:D,'Resultat-Produktion &amp; forbrug'!$D112,'Forbrug af biomasse'!G:G,1,'Forbrug af biomasse'!B:B,$E112)</f>
        <v>0</v>
      </c>
      <c r="N112" s="199">
        <f t="shared" si="23"/>
        <v>2426925.8843733165</v>
      </c>
      <c r="O112" s="190">
        <f t="shared" si="20"/>
        <v>2426925.8843733165</v>
      </c>
      <c r="P112" s="200">
        <f t="shared" si="24"/>
        <v>75243.769743329321</v>
      </c>
      <c r="Q112" s="187">
        <f>IFERROR(VLOOKUP(A112,[1]Energiindhold!$A$2:$C$11,3,FALSE),IFERROR(VLOOKUP(A112,[1]Biogasudbytte!$A$2:$B$18,2,FALSE)*[1]Energiindhold!$C$10,0))*O112</f>
        <v>4.4652402615113562</v>
      </c>
      <c r="R112" s="187">
        <f>IF(A112&lt;&gt;"Biogas",IFERROR(VLOOKUP(A112,[1]Biogasudbytte!$A$2:$B$18,2,FALSE)*[1]Energiindhold!$C$10,0)*J112*IFERROR(VLOOKUP(A112,Biogasanlæg!$F$3:$G$8,2,FALSE),1)+IFERROR(VLOOKUP(A112,[1]Energiindhold!$A$2:$C$11,3,FALSE),0)*L112+IF(D112&lt;&gt;År1,Q112,0),0)</f>
        <v>4.6036793923678641</v>
      </c>
      <c r="S112" s="187">
        <f>IFERROR(VLOOKUP(A112,[1]Biogasudbytte!$A$2:$B$18,2,FALSE)*[1]Energiindhold!$C$10,0)*J112*IFERROR(VLOOKUP(A112,Biogasanlæg!$F$3:$G$8,2,FALSE),1)</f>
        <v>0.13843913085650805</v>
      </c>
      <c r="T112" s="188">
        <f t="shared" si="25"/>
        <v>4.4652402615113562</v>
      </c>
      <c r="U112" s="186">
        <f>O112*IFERROR(VLOOKUP(A112,[1]Tørstofindhold!A$2:B$24,2,FALSE),0)</f>
        <v>679539.24762452871</v>
      </c>
      <c r="V112" s="187">
        <f>IF(D112=År1,P112,SUM(O112,P112))*IFERROR(VLOOKUP(A112,[1]Tørstofindhold!A$2:B$24,2,FALSE),0)</f>
        <v>700607.50315266091</v>
      </c>
      <c r="W112" s="187">
        <f>J112*IFERROR(VLOOKUP(A112,[1]Tørstofindhold!A$2:B$24,2,FALSE),0)</f>
        <v>21068.255528132213</v>
      </c>
      <c r="X112" s="188">
        <f t="shared" si="26"/>
        <v>679539.24762452871</v>
      </c>
      <c r="Y112" s="168">
        <f t="shared" si="21"/>
        <v>0</v>
      </c>
      <c r="Z112" s="103">
        <f t="shared" si="22"/>
        <v>1</v>
      </c>
    </row>
    <row r="113" spans="1:26" x14ac:dyDescent="0.25">
      <c r="A113" s="189" t="str">
        <f t="shared" si="33"/>
        <v>Græsprotein</v>
      </c>
      <c r="B113" s="189" t="str">
        <f t="shared" si="34"/>
        <v/>
      </c>
      <c r="C113" s="189">
        <f>IF(COUNTIFS('Resultater - Danmark'!$D$3:$D$504,'Resultat-Produktion &amp; forbrug'!A113,'Resultater - Danmark'!$A$3:$A$504,"Til energi")+COUNTIFS('Resultater - Danmark'!$D$3:$D$504,'Resultat-Produktion &amp; forbrug'!A113,'Resultater - Danmark'!$A$3:$A$504,"Biogasanlæg")&gt;0,1,0)</f>
        <v>0</v>
      </c>
      <c r="D113" s="189">
        <f t="shared" si="35"/>
        <v>2050</v>
      </c>
      <c r="E113" s="187" t="s">
        <v>23</v>
      </c>
      <c r="F113" s="190">
        <f>IF(E113="Vestdanmark",SUMIFS(IF(D113=År1,'Resultater - Vestdanmark'!H$3:H$504,IF(D113=År2,'Resultater - Vestdanmark'!I$3:I$504,'Resultater - Vestdanmark'!J$3:J$504)),'Resultater - Vestdanmark'!$F$3:$F$504,$A113,IF(D113=År1,'Resultater - Vestdanmark'!H$3:H$504,IF(D113=År2,'Resultater - Vestdanmark'!I$3:I$504,'Resultater - Vestdanmark'!J$3:J$504)),"&gt;0"),SUMIFS(IF(D113=År1,'Resultater - Østdanmark'!H$3:H$504,IF(D113=År2,'Resultater - Østdanmark'!I$3:I$504,'Resultater - Østdanmark'!J$3:J$504)),'Resultater - Østdanmark'!$F$3:$F$504,$A113,IF(D113=År1,'Resultater - Østdanmark'!H$3:H$504,IF(D113=År2,'Resultater - Østdanmark'!I$3:I$504,'Resultater - Østdanmark'!J$3:J$504)),"&gt;0"))</f>
        <v>0</v>
      </c>
      <c r="G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forbrug'!G$2,'Forbrug af biomasse'!$B$2:$B$425,$E113)</f>
        <v>0</v>
      </c>
      <c r="H113" s="187">
        <f>IF(E113="Vestdanmark",-IF(A113="Halm",SUMIFS(IF(D113=År1,'Resultater - Vestdanmark'!H$3:H$504,IF(D113=År2,'Resultater - Vestdanmark'!I$3:I$504,'Resultater - Vestdanmark'!J$3:J$504)),'Resultater - Vestdanmark'!$F$3:$F$504,$A113,'Resultater - Vestdanmark'!H$3:H$504,"&lt;0"),0),-IF(A113="Halm",SUMIFS(IF(D113=År1,'Resultater - Østdanmark'!H$3:H$504,IF(D113=År2,'Resultater - Østdanmark'!I$3:I$504,'Resultater - Østdanmark'!J$3:J$504)),'Resultater - Østdanmark'!$F$3:$F$504,$A113,'Resultater - Østdanmark'!H$3:H$504,"&lt;0"),0))</f>
        <v>0</v>
      </c>
      <c r="I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forbrug'!I$2,'Forbrug af biomasse'!$B$2:$B$425,$E113)</f>
        <v>0</v>
      </c>
      <c r="J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forbrug'!J$2,'Forbrug af biomasse'!$B$2:$B$425,$E113)</f>
        <v>0</v>
      </c>
      <c r="K113" s="190">
        <f>SUMIFS('Forbrug af biomasse'!$E$2:$E$425,'Forbrug af biomasse'!$C$2:$C$425,'Resultat-Produktion &amp; forbrug'!$A113,'Forbrug af biomasse'!$D$2:$D$425,'Resultat-Produktion &amp; forbrug'!$D113,'Forbrug af biomasse'!$A$2:$A$425,'Resultat-Produktion &amp; forbrug'!K$2,'Forbrug af biomasse'!$B$2:$B$425,$E113)</f>
        <v>0</v>
      </c>
      <c r="L113" s="190">
        <f>IF(A113&lt;&gt;"Biogas",SUMIFS('Forbrug af biomasse'!$E$2:$E$425,'Forbrug af biomasse'!$C$2:$C$425,'Resultat-Produktion &amp; forbrug'!$A113,'Forbrug af biomasse'!$D$2:$D$425,'Resultat-Produktion &amp; forbrug'!$D113,'Forbrug af biomasse'!$A$2:$A$425,'Resultat-Produktion &amp; forbrug'!L$2,'Forbrug af biomasse'!$B$2:$B$425,$E113),F113)</f>
        <v>0</v>
      </c>
      <c r="M113" s="154">
        <f>SUMIFS('Forbrug af biomasse'!E:E,'Forbrug af biomasse'!C:C,'Resultat-Produktion &amp; forbrug'!$A113,'Forbrug af biomasse'!D:D,'Resultat-Produktion &amp; forbrug'!$D113,'Forbrug af biomasse'!G:G,1,'Forbrug af biomasse'!B:B,$E113)</f>
        <v>0</v>
      </c>
      <c r="N113" s="199">
        <f t="shared" si="23"/>
        <v>0</v>
      </c>
      <c r="O113" s="190">
        <f t="shared" si="20"/>
        <v>0</v>
      </c>
      <c r="P113" s="200">
        <f t="shared" si="24"/>
        <v>0</v>
      </c>
      <c r="Q113" s="187">
        <f>IFERROR(VLOOKUP(A113,[1]Energiindhold!$A$2:$C$11,3,FALSE),IFERROR(VLOOKUP(A113,[1]Biogasudbytte!$A$2:$B$18,2,FALSE)*[1]Energiindhold!$C$10,0))*O113</f>
        <v>0</v>
      </c>
      <c r="R113" s="187">
        <f>IF(A113&lt;&gt;"Biogas",IFERROR(VLOOKUP(A113,[1]Biogasudbytte!$A$2:$B$18,2,FALSE)*[1]Energiindhold!$C$10,0)*J113*IFERROR(VLOOKUP(A113,Biogasanlæg!$F$3:$G$8,2,FALSE),1)+IFERROR(VLOOKUP(A113,[1]Energiindhold!$A$2:$C$11,3,FALSE),0)*L113+IF(D113&lt;&gt;År1,Q113,0),0)</f>
        <v>0</v>
      </c>
      <c r="S113" s="187">
        <f>IFERROR(VLOOKUP(A113,[1]Biogasudbytte!$A$2:$B$18,2,FALSE)*[1]Energiindhold!$C$10,0)*J113*IFERROR(VLOOKUP(A113,Biogasanlæg!$F$3:$G$8,2,FALSE),1)</f>
        <v>0</v>
      </c>
      <c r="T113" s="188">
        <f t="shared" si="25"/>
        <v>0</v>
      </c>
      <c r="U113" s="186">
        <f>O113*IFERROR(VLOOKUP(A113,[1]Tørstofindhold!A$2:B$24,2,FALSE),0)</f>
        <v>0</v>
      </c>
      <c r="V113" s="187">
        <f>IF(D113=År1,P113,SUM(O113,P113))*IFERROR(VLOOKUP(A113,[1]Tørstofindhold!A$2:B$24,2,FALSE),0)</f>
        <v>0</v>
      </c>
      <c r="W113" s="187">
        <f>J113*IFERROR(VLOOKUP(A113,[1]Tørstofindhold!A$2:B$24,2,FALSE),0)</f>
        <v>0</v>
      </c>
      <c r="X113" s="188">
        <f t="shared" si="26"/>
        <v>0</v>
      </c>
      <c r="Y113" s="168">
        <f t="shared" si="21"/>
        <v>0</v>
      </c>
      <c r="Z113" s="103">
        <f t="shared" si="22"/>
        <v>0</v>
      </c>
    </row>
    <row r="114" spans="1:26" x14ac:dyDescent="0.25">
      <c r="A114" s="189" t="str">
        <f t="shared" si="33"/>
        <v>Grøntsager</v>
      </c>
      <c r="B114" s="189" t="str">
        <f t="shared" si="34"/>
        <v/>
      </c>
      <c r="C114" s="189">
        <f>IF(COUNTIFS('Resultater - Danmark'!$D$3:$D$504,'Resultat-Produktion &amp; forbrug'!A114,'Resultater - Danmark'!$A$3:$A$504,"Til energi")+COUNTIFS('Resultater - Danmark'!$D$3:$D$504,'Resultat-Produktion &amp; forbrug'!A114,'Resultater - Danmark'!$A$3:$A$504,"Biogasanlæg")&gt;0,1,0)</f>
        <v>0</v>
      </c>
      <c r="D114" s="189">
        <f t="shared" si="35"/>
        <v>2050</v>
      </c>
      <c r="E114" s="187" t="s">
        <v>23</v>
      </c>
      <c r="F114" s="190">
        <f>IF(E114="Vestdanmark",SUMIFS(IF(D114=År1,'Resultater - Vestdanmark'!H$3:H$504,IF(D114=År2,'Resultater - Vestdanmark'!I$3:I$504,'Resultater - Vestdanmark'!J$3:J$504)),'Resultater - Vestdanmark'!$F$3:$F$504,$A114,IF(D114=År1,'Resultater - Vestdanmark'!H$3:H$504,IF(D114=År2,'Resultater - Vestdanmark'!I$3:I$504,'Resultater - Vestdanmark'!J$3:J$504)),"&gt;0"),SUMIFS(IF(D114=År1,'Resultater - Østdanmark'!H$3:H$504,IF(D114=År2,'Resultater - Østdanmark'!I$3:I$504,'Resultater - Østdanmark'!J$3:J$504)),'Resultater - Østdanmark'!$F$3:$F$504,$A114,IF(D114=År1,'Resultater - Østdanmark'!H$3:H$504,IF(D114=År2,'Resultater - Østdanmark'!I$3:I$504,'Resultater - Østdanmark'!J$3:J$504)),"&gt;0"))</f>
        <v>198166.83757807463</v>
      </c>
      <c r="G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forbrug'!G$2,'Forbrug af biomasse'!$B$2:$B$425,$E114)</f>
        <v>0</v>
      </c>
      <c r="H114" s="187">
        <f>IF(E114="Vestdanmark",-IF(A114="Halm",SUMIFS(IF(D114=År1,'Resultater - Vestdanmark'!H$3:H$504,IF(D114=År2,'Resultater - Vestdanmark'!I$3:I$504,'Resultater - Vestdanmark'!J$3:J$504)),'Resultater - Vestdanmark'!$F$3:$F$504,$A114,'Resultater - Vestdanmark'!H$3:H$504,"&lt;0"),0),-IF(A114="Halm",SUMIFS(IF(D114=År1,'Resultater - Østdanmark'!H$3:H$504,IF(D114=År2,'Resultater - Østdanmark'!I$3:I$504,'Resultater - Østdanmark'!J$3:J$504)),'Resultater - Østdanmark'!$F$3:$F$504,$A114,'Resultater - Østdanmark'!H$3:H$504,"&lt;0"),0))</f>
        <v>0</v>
      </c>
      <c r="I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forbrug'!I$2,'Forbrug af biomasse'!$B$2:$B$425,$E114)</f>
        <v>280672.65868343826</v>
      </c>
      <c r="J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forbrug'!J$2,'Forbrug af biomasse'!$B$2:$B$425,$E114)</f>
        <v>0</v>
      </c>
      <c r="K114" s="190">
        <f>SUMIFS('Forbrug af biomasse'!$E$2:$E$425,'Forbrug af biomasse'!$C$2:$C$425,'Resultat-Produktion &amp; forbrug'!$A114,'Forbrug af biomasse'!$D$2:$D$425,'Resultat-Produktion &amp; forbrug'!$D114,'Forbrug af biomasse'!$A$2:$A$425,'Resultat-Produktion &amp; forbrug'!K$2,'Forbrug af biomasse'!$B$2:$B$425,$E114)</f>
        <v>0</v>
      </c>
      <c r="L114" s="190">
        <f>IF(A114&lt;&gt;"Biogas",SUMIFS('Forbrug af biomasse'!$E$2:$E$425,'Forbrug af biomasse'!$C$2:$C$425,'Resultat-Produktion &amp; forbrug'!$A114,'Forbrug af biomasse'!$D$2:$D$425,'Resultat-Produktion &amp; forbrug'!$D114,'Forbrug af biomasse'!$A$2:$A$425,'Resultat-Produktion &amp; forbrug'!L$2,'Forbrug af biomasse'!$B$2:$B$425,$E114),F114)</f>
        <v>0</v>
      </c>
      <c r="M114" s="154">
        <f>SUMIFS('Forbrug af biomasse'!E:E,'Forbrug af biomasse'!C:C,'Resultat-Produktion &amp; forbrug'!$A114,'Forbrug af biomasse'!D:D,'Resultat-Produktion &amp; forbrug'!$D114,'Forbrug af biomasse'!G:G,1,'Forbrug af biomasse'!B:B,$E114)</f>
        <v>0</v>
      </c>
      <c r="N114" s="199">
        <f t="shared" si="23"/>
        <v>-82505.821105363633</v>
      </c>
      <c r="O114" s="190">
        <f t="shared" si="20"/>
        <v>0</v>
      </c>
      <c r="P114" s="200">
        <f t="shared" si="24"/>
        <v>0</v>
      </c>
      <c r="Q114" s="187">
        <f>IFERROR(VLOOKUP(A114,[1]Energiindhold!$A$2:$C$11,3,FALSE),IFERROR(VLOOKUP(A114,[1]Biogasudbytte!$A$2:$B$18,2,FALSE)*[1]Energiindhold!$C$10,0))*O114</f>
        <v>0</v>
      </c>
      <c r="R114" s="187">
        <f>IF(A114&lt;&gt;"Biogas",IFERROR(VLOOKUP(A114,[1]Biogasudbytte!$A$2:$B$18,2,FALSE)*[1]Energiindhold!$C$10,0)*J114*IFERROR(VLOOKUP(A114,Biogasanlæg!$F$3:$G$8,2,FALSE),1)+IFERROR(VLOOKUP(A114,[1]Energiindhold!$A$2:$C$11,3,FALSE),0)*L114+IF(D114&lt;&gt;År1,Q114,0),0)</f>
        <v>0</v>
      </c>
      <c r="S114" s="187">
        <f>IFERROR(VLOOKUP(A114,[1]Biogasudbytte!$A$2:$B$18,2,FALSE)*[1]Energiindhold!$C$10,0)*J114*IFERROR(VLOOKUP(A114,Biogasanlæg!$F$3:$G$8,2,FALSE),1)</f>
        <v>0</v>
      </c>
      <c r="T114" s="188">
        <f t="shared" si="25"/>
        <v>0</v>
      </c>
      <c r="U114" s="186">
        <f>O114*IFERROR(VLOOKUP(A114,[1]Tørstofindhold!A$2:B$24,2,FALSE),0)</f>
        <v>0</v>
      </c>
      <c r="V114" s="187">
        <f>IF(D114=År1,P114,SUM(O114,P114))*IFERROR(VLOOKUP(A114,[1]Tørstofindhold!A$2:B$24,2,FALSE),0)</f>
        <v>0</v>
      </c>
      <c r="W114" s="187">
        <f>J114*IFERROR(VLOOKUP(A114,[1]Tørstofindhold!A$2:B$24,2,FALSE),0)</f>
        <v>0</v>
      </c>
      <c r="X114" s="188">
        <f t="shared" si="26"/>
        <v>0</v>
      </c>
      <c r="Y114" s="168">
        <f t="shared" si="21"/>
        <v>1</v>
      </c>
      <c r="Z114" s="103">
        <f t="shared" si="22"/>
        <v>0</v>
      </c>
    </row>
    <row r="115" spans="1:26" x14ac:dyDescent="0.25">
      <c r="A115" s="189" t="str">
        <f t="shared" si="33"/>
        <v>Halm</v>
      </c>
      <c r="B115" s="189" t="str">
        <f t="shared" si="34"/>
        <v>Halm og strå</v>
      </c>
      <c r="C115" s="189">
        <f>IF(COUNTIFS('Resultater - Danmark'!$D$3:$D$504,'Resultat-Produktion &amp; forbrug'!A115,'Resultater - Danmark'!$A$3:$A$504,"Til energi")+COUNTIFS('Resultater - Danmark'!$D$3:$D$504,'Resultat-Produktion &amp; forbrug'!A115,'Resultater - Danmark'!$A$3:$A$504,"Biogasanlæg")&gt;0,1,0)</f>
        <v>1</v>
      </c>
      <c r="D115" s="189">
        <f t="shared" si="35"/>
        <v>2050</v>
      </c>
      <c r="E115" s="187" t="s">
        <v>23</v>
      </c>
      <c r="F115" s="190">
        <f>IF(E115="Vestdanmark",SUMIFS(IF(D115=År1,'Resultater - Vestdanmark'!H$3:H$504,IF(D115=År2,'Resultater - Vestdanmark'!I$3:I$504,'Resultater - Vestdanmark'!J$3:J$504)),'Resultater - Vestdanmark'!$F$3:$F$504,$A115,IF(D115=År1,'Resultater - Vestdanmark'!H$3:H$504,IF(D115=År2,'Resultater - Vestdanmark'!I$3:I$504,'Resultater - Vestdanmark'!J$3:J$504)),"&gt;0"),SUMIFS(IF(D115=År1,'Resultater - Østdanmark'!H$3:H$504,IF(D115=År2,'Resultater - Østdanmark'!I$3:I$504,'Resultater - Østdanmark'!J$3:J$504)),'Resultater - Østdanmark'!$F$3:$F$504,$A115,IF(D115=År1,'Resultater - Østdanmark'!H$3:H$504,IF(D115=År2,'Resultater - Østdanmark'!I$3:I$504,'Resultater - Østdanmark'!J$3:J$504)),"&gt;0"))</f>
        <v>2560492.8051294163</v>
      </c>
      <c r="G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forbrug'!G$2,'Forbrug af biomasse'!$B$2:$B$425,$E115)</f>
        <v>927703.07225151139</v>
      </c>
      <c r="H115" s="187">
        <f>IF(E115="Vestdanmark",-IF(A115="Halm",SUMIFS(IF(D115=År1,'Resultater - Vestdanmark'!H$3:H$504,IF(D115=År2,'Resultater - Vestdanmark'!I$3:I$504,'Resultater - Vestdanmark'!J$3:J$504)),'Resultater - Vestdanmark'!$F$3:$F$504,$A115,'Resultater - Vestdanmark'!H$3:H$504,"&lt;0"),0),-IF(A115="Halm",SUMIFS(IF(D115=År1,'Resultater - Østdanmark'!H$3:H$504,IF(D115=År2,'Resultater - Østdanmark'!I$3:I$504,'Resultater - Østdanmark'!J$3:J$504)),'Resultater - Østdanmark'!$F$3:$F$504,$A115,'Resultater - Østdanmark'!H$3:H$504,"&lt;0"),0))</f>
        <v>868816.20672013925</v>
      </c>
      <c r="I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forbrug'!I$2,'Forbrug af biomasse'!$B$2:$B$425,$E115)</f>
        <v>0</v>
      </c>
      <c r="J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forbrug'!J$2,'Forbrug af biomasse'!$B$2:$B$425,$E115)</f>
        <v>51791.286576119739</v>
      </c>
      <c r="K115" s="190">
        <f>SUMIFS('Forbrug af biomasse'!$E$2:$E$425,'Forbrug af biomasse'!$C$2:$C$425,'Resultat-Produktion &amp; forbrug'!$A115,'Forbrug af biomasse'!$D$2:$D$425,'Resultat-Produktion &amp; forbrug'!$D115,'Forbrug af biomasse'!$A$2:$A$425,'Resultat-Produktion &amp; forbrug'!K$2,'Forbrug af biomasse'!$B$2:$B$425,$E115)</f>
        <v>0</v>
      </c>
      <c r="L115" s="190">
        <f>IF(A115&lt;&gt;"Biogas",SUMIFS('Forbrug af biomasse'!$E$2:$E$425,'Forbrug af biomasse'!$C$2:$C$425,'Resultat-Produktion &amp; forbrug'!$A115,'Forbrug af biomasse'!$D$2:$D$425,'Resultat-Produktion &amp; forbrug'!$D115,'Forbrug af biomasse'!$A$2:$A$425,'Resultat-Produktion &amp; forbrug'!L$2,'Forbrug af biomasse'!$B$2:$B$425,$E115),F115)</f>
        <v>712182.23958164698</v>
      </c>
      <c r="M115" s="154">
        <f>SUMIFS('Forbrug af biomasse'!E:E,'Forbrug af biomasse'!C:C,'Resultat-Produktion &amp; forbrug'!$A115,'Forbrug af biomasse'!D:D,'Resultat-Produktion &amp; forbrug'!$D115,'Forbrug af biomasse'!G:G,1,'Forbrug af biomasse'!B:B,$E115)</f>
        <v>0</v>
      </c>
      <c r="N115" s="199">
        <f t="shared" si="23"/>
        <v>0</v>
      </c>
      <c r="O115" s="190">
        <f t="shared" si="20"/>
        <v>0</v>
      </c>
      <c r="P115" s="200">
        <f t="shared" si="24"/>
        <v>763973.5261577667</v>
      </c>
      <c r="Q115" s="187">
        <f>IFERROR(VLOOKUP(A115,[1]Energiindhold!$A$2:$C$11,3,FALSE),IFERROR(VLOOKUP(A115,[1]Biogasudbytte!$A$2:$B$18,2,FALSE)*[1]Energiindhold!$C$10,0))*O115</f>
        <v>0</v>
      </c>
      <c r="R115" s="187">
        <f>IF(A115&lt;&gt;"Biogas",IFERROR(VLOOKUP(A115,[1]Biogasudbytte!$A$2:$B$18,2,FALSE)*[1]Energiindhold!$C$10,0)*J115*IFERROR(VLOOKUP(A115,Biogasanlæg!$F$3:$G$8,2,FALSE),1)+IFERROR(VLOOKUP(A115,[1]Energiindhold!$A$2:$C$11,3,FALSE),0)*L115+IF(D115&lt;&gt;År1,Q115,0),0)</f>
        <v>7.6595824408929776</v>
      </c>
      <c r="S115" s="187">
        <f>IFERROR(VLOOKUP(A115,[1]Biogasudbytte!$A$2:$B$18,2,FALSE)*[1]Energiindhold!$C$10,0)*J115*IFERROR(VLOOKUP(A115,Biogasanlæg!$F$3:$G$8,2,FALSE),1)</f>
        <v>0.29860473440608143</v>
      </c>
      <c r="T115" s="188">
        <f t="shared" si="25"/>
        <v>7.3609777064868958</v>
      </c>
      <c r="U115" s="186">
        <f>O115*IFERROR(VLOOKUP(A115,[1]Tørstofindhold!A$2:B$24,2,FALSE),0)</f>
        <v>0</v>
      </c>
      <c r="V115" s="187">
        <f>IF(D115=År1,P115,SUM(O115,P115))*IFERROR(VLOOKUP(A115,[1]Tørstofindhold!A$2:B$24,2,FALSE),0)</f>
        <v>649377.49723410164</v>
      </c>
      <c r="W115" s="187">
        <f>J115*IFERROR(VLOOKUP(A115,[1]Tørstofindhold!A$2:B$24,2,FALSE),0)</f>
        <v>44022.593589701777</v>
      </c>
      <c r="X115" s="188">
        <f t="shared" si="26"/>
        <v>605354.90364439983</v>
      </c>
      <c r="Y115" s="168">
        <f t="shared" si="21"/>
        <v>0</v>
      </c>
      <c r="Z115" s="103">
        <f t="shared" si="22"/>
        <v>0</v>
      </c>
    </row>
    <row r="116" spans="1:26" x14ac:dyDescent="0.25">
      <c r="A116" s="189" t="str">
        <f t="shared" si="33"/>
        <v>Have/parkaffald</v>
      </c>
      <c r="B116" s="189" t="str">
        <f t="shared" si="34"/>
        <v>Bionedbrydeligt affald</v>
      </c>
      <c r="C116" s="189">
        <f>IF(COUNTIFS('Resultater - Danmark'!$D$3:$D$504,'Resultat-Produktion &amp; forbrug'!A116,'Resultater - Danmark'!$A$3:$A$504,"Til energi")+COUNTIFS('Resultater - Danmark'!$D$3:$D$504,'Resultat-Produktion &amp; forbrug'!A116,'Resultater - Danmark'!$A$3:$A$504,"Biogasanlæg")&gt;0,1,0)</f>
        <v>1</v>
      </c>
      <c r="D116" s="189">
        <f t="shared" si="35"/>
        <v>2050</v>
      </c>
      <c r="E116" s="187" t="s">
        <v>23</v>
      </c>
      <c r="F116" s="190">
        <f>IF(E116="Vestdanmark",SUMIFS(IF(D116=År1,'Resultater - Vestdanmark'!H$3:H$504,IF(D116=År2,'Resultater - Vestdanmark'!I$3:I$504,'Resultater - Vestdanmark'!J$3:J$504)),'Resultater - Vestdanmark'!$F$3:$F$504,$A116,IF(D116=År1,'Resultater - Vestdanmark'!H$3:H$504,IF(D116=År2,'Resultater - Vestdanmark'!I$3:I$504,'Resultater - Vestdanmark'!J$3:J$504)),"&gt;0"),SUMIFS(IF(D116=År1,'Resultater - Østdanmark'!H$3:H$504,IF(D116=År2,'Resultater - Østdanmark'!I$3:I$504,'Resultater - Østdanmark'!J$3:J$504)),'Resultater - Østdanmark'!$F$3:$F$504,$A116,IF(D116=År1,'Resultater - Østdanmark'!H$3:H$504,IF(D116=År2,'Resultater - Østdanmark'!I$3:I$504,'Resultater - Østdanmark'!J$3:J$504)),"&gt;0"))</f>
        <v>524881.97503939818</v>
      </c>
      <c r="G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forbrug'!G$2,'Forbrug af biomasse'!$B$2:$B$425,$E116)</f>
        <v>0</v>
      </c>
      <c r="H116" s="187">
        <f>IF(E116="Vestdanmark",-IF(A116="Halm",SUMIFS(IF(D116=År1,'Resultater - Vestdanmark'!H$3:H$504,IF(D116=År2,'Resultater - Vestdanmark'!I$3:I$504,'Resultater - Vestdanmark'!J$3:J$504)),'Resultater - Vestdanmark'!$F$3:$F$504,$A116,'Resultater - Vestdanmark'!H$3:H$504,"&lt;0"),0),-IF(A116="Halm",SUMIFS(IF(D116=År1,'Resultater - Østdanmark'!H$3:H$504,IF(D116=År2,'Resultater - Østdanmark'!I$3:I$504,'Resultater - Østdanmark'!J$3:J$504)),'Resultater - Østdanmark'!$F$3:$F$504,$A116,'Resultater - Østdanmark'!H$3:H$504,"&lt;0"),0))</f>
        <v>0</v>
      </c>
      <c r="I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forbrug'!I$2,'Forbrug af biomasse'!$B$2:$B$425,$E116)</f>
        <v>0</v>
      </c>
      <c r="J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forbrug'!J$2,'Forbrug af biomasse'!$B$2:$B$425,$E116)</f>
        <v>41.656918132692169</v>
      </c>
      <c r="K116" s="190">
        <f>SUMIFS('Forbrug af biomasse'!$E$2:$E$425,'Forbrug af biomasse'!$C$2:$C$425,'Resultat-Produktion &amp; forbrug'!$A116,'Forbrug af biomasse'!$D$2:$D$425,'Resultat-Produktion &amp; forbrug'!$D116,'Forbrug af biomasse'!$A$2:$A$425,'Resultat-Produktion &amp; forbrug'!K$2,'Forbrug af biomasse'!$B$2:$B$425,$E116)</f>
        <v>0</v>
      </c>
      <c r="L116" s="190">
        <f>IF(A116&lt;&gt;"Biogas",SUMIFS('Forbrug af biomasse'!$E$2:$E$425,'Forbrug af biomasse'!$C$2:$C$425,'Resultat-Produktion &amp; forbrug'!$A116,'Forbrug af biomasse'!$D$2:$D$425,'Resultat-Produktion &amp; forbrug'!$D116,'Forbrug af biomasse'!$A$2:$A$425,'Resultat-Produktion &amp; forbrug'!L$2,'Forbrug af biomasse'!$B$2:$B$425,$E116),F116)</f>
        <v>524840.3181212655</v>
      </c>
      <c r="M116" s="154">
        <f>SUMIFS('Forbrug af biomasse'!E:E,'Forbrug af biomasse'!C:C,'Resultat-Produktion &amp; forbrug'!$A116,'Forbrug af biomasse'!D:D,'Resultat-Produktion &amp; forbrug'!$D116,'Forbrug af biomasse'!G:G,1,'Forbrug af biomasse'!B:B,$E116)</f>
        <v>0</v>
      </c>
      <c r="N116" s="199">
        <f t="shared" si="23"/>
        <v>0</v>
      </c>
      <c r="O116" s="190">
        <f t="shared" si="20"/>
        <v>0</v>
      </c>
      <c r="P116" s="200">
        <f t="shared" si="24"/>
        <v>524881.97503939818</v>
      </c>
      <c r="Q116" s="187">
        <f>IFERROR(VLOOKUP(A116,[1]Energiindhold!$A$2:$C$11,3,FALSE),IFERROR(VLOOKUP(A116,[1]Biogasudbytte!$A$2:$B$18,2,FALSE)*[1]Energiindhold!$C$10,0))*O116</f>
        <v>0</v>
      </c>
      <c r="R116" s="187">
        <f>IF(A116&lt;&gt;"Biogas",IFERROR(VLOOKUP(A116,[1]Biogasudbytte!$A$2:$B$18,2,FALSE)*[1]Energiindhold!$C$10,0)*J116*IFERROR(VLOOKUP(A116,Biogasanlæg!$F$3:$G$8,2,FALSE),1)+IFERROR(VLOOKUP(A116,[1]Energiindhold!$A$2:$C$11,3,FALSE),0)*L116+IF(D116&lt;&gt;År1,Q116,0),0)</f>
        <v>9.3696358336044021</v>
      </c>
      <c r="S116" s="187">
        <f>IFERROR(VLOOKUP(A116,[1]Biogasudbytte!$A$2:$B$18,2,FALSE)*[1]Energiindhold!$C$10,0)*J116*IFERROR(VLOOKUP(A116,Biogasanlæg!$F$3:$G$8,2,FALSE),1)</f>
        <v>7.0736362973580603E-5</v>
      </c>
      <c r="T116" s="188">
        <f t="shared" si="25"/>
        <v>9.3695650972414288</v>
      </c>
      <c r="U116" s="186">
        <f>O116*IFERROR(VLOOKUP(A116,[1]Tørstofindhold!A$2:B$24,2,FALSE),0)</f>
        <v>0</v>
      </c>
      <c r="V116" s="187">
        <f>IF(D116=År1,P116,SUM(O116,P116))*IFERROR(VLOOKUP(A116,[1]Tørstofindhold!A$2:B$24,2,FALSE),0)</f>
        <v>157464.59251181944</v>
      </c>
      <c r="W116" s="187">
        <f>J116*IFERROR(VLOOKUP(A116,[1]Tørstofindhold!A$2:B$24,2,FALSE),0)</f>
        <v>12.49707543980765</v>
      </c>
      <c r="X116" s="188">
        <f t="shared" si="26"/>
        <v>157452.09543637963</v>
      </c>
      <c r="Y116" s="168">
        <f t="shared" si="21"/>
        <v>0</v>
      </c>
      <c r="Z116" s="103">
        <f t="shared" si="22"/>
        <v>0</v>
      </c>
    </row>
    <row r="117" spans="1:26" x14ac:dyDescent="0.25">
      <c r="A117" s="189" t="str">
        <f t="shared" si="33"/>
        <v>Import af foder</v>
      </c>
      <c r="B117" s="189" t="str">
        <f t="shared" si="34"/>
        <v/>
      </c>
      <c r="C117" s="189">
        <f>IF(COUNTIFS('Resultater - Danmark'!$D$3:$D$504,'Resultat-Produktion &amp; forbrug'!A117,'Resultater - Danmark'!$A$3:$A$504,"Til energi")+COUNTIFS('Resultater - Danmark'!$D$3:$D$504,'Resultat-Produktion &amp; forbrug'!A117,'Resultater - Danmark'!$A$3:$A$504,"Biogasanlæg")&gt;0,1,0)</f>
        <v>0</v>
      </c>
      <c r="D117" s="189">
        <f t="shared" si="35"/>
        <v>2050</v>
      </c>
      <c r="E117" s="187" t="s">
        <v>23</v>
      </c>
      <c r="F117" s="190">
        <f>IF(E117="Vestdanmark",SUMIFS(IF(D117=År1,'Resultater - Vestdanmark'!H$3:H$504,IF(D117=År2,'Resultater - Vestdanmark'!I$3:I$504,'Resultater - Vestdanmark'!J$3:J$504)),'Resultater - Vestdanmark'!$F$3:$F$504,$A117,IF(D117=År1,'Resultater - Vestdanmark'!H$3:H$504,IF(D117=År2,'Resultater - Vestdanmark'!I$3:I$504,'Resultater - Vestdanmark'!J$3:J$504)),"&gt;0"),SUMIFS(IF(D117=År1,'Resultater - Østdanmark'!H$3:H$504,IF(D117=År2,'Resultater - Østdanmark'!I$3:I$504,'Resultater - Østdanmark'!J$3:J$504)),'Resultater - Østdanmark'!$F$3:$F$504,$A117,IF(D117=År1,'Resultater - Østdanmark'!H$3:H$504,IF(D117=År2,'Resultater - Østdanmark'!I$3:I$504,'Resultater - Østdanmark'!J$3:J$504)),"&gt;0"))</f>
        <v>0</v>
      </c>
      <c r="G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forbrug'!G$2,'Forbrug af biomasse'!$B$2:$B$425,$E117)</f>
        <v>5794113.0468547465</v>
      </c>
      <c r="H117" s="187">
        <f>IF(E117="Vestdanmark",-IF(A117="Halm",SUMIFS(IF(D117=År1,'Resultater - Vestdanmark'!H$3:H$504,IF(D117=År2,'Resultater - Vestdanmark'!I$3:I$504,'Resultater - Vestdanmark'!J$3:J$504)),'Resultater - Vestdanmark'!$F$3:$F$504,$A117,'Resultater - Vestdanmark'!H$3:H$504,"&lt;0"),0),-IF(A117="Halm",SUMIFS(IF(D117=År1,'Resultater - Østdanmark'!H$3:H$504,IF(D117=År2,'Resultater - Østdanmark'!I$3:I$504,'Resultater - Østdanmark'!J$3:J$504)),'Resultater - Østdanmark'!$F$3:$F$504,$A117,'Resultater - Østdanmark'!H$3:H$504,"&lt;0"),0))</f>
        <v>0</v>
      </c>
      <c r="I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forbrug'!I$2,'Forbrug af biomasse'!$B$2:$B$425,$E117)</f>
        <v>0</v>
      </c>
      <c r="J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forbrug'!J$2,'Forbrug af biomasse'!$B$2:$B$425,$E117)</f>
        <v>0</v>
      </c>
      <c r="K117" s="190">
        <f>SUMIFS('Forbrug af biomasse'!$E$2:$E$425,'Forbrug af biomasse'!$C$2:$C$425,'Resultat-Produktion &amp; forbrug'!$A117,'Forbrug af biomasse'!$D$2:$D$425,'Resultat-Produktion &amp; forbrug'!$D117,'Forbrug af biomasse'!$A$2:$A$425,'Resultat-Produktion &amp; forbrug'!K$2,'Forbrug af biomasse'!$B$2:$B$425,$E117)</f>
        <v>0</v>
      </c>
      <c r="L117" s="190">
        <f>IF(A117&lt;&gt;"Biogas",SUMIFS('Forbrug af biomasse'!$E$2:$E$425,'Forbrug af biomasse'!$C$2:$C$425,'Resultat-Produktion &amp; forbrug'!$A117,'Forbrug af biomasse'!$D$2:$D$425,'Resultat-Produktion &amp; forbrug'!$D117,'Forbrug af biomasse'!$A$2:$A$425,'Resultat-Produktion &amp; forbrug'!L$2,'Forbrug af biomasse'!$B$2:$B$425,$E117),F117)</f>
        <v>0</v>
      </c>
      <c r="M117" s="154">
        <f>SUMIFS('Forbrug af biomasse'!E:E,'Forbrug af biomasse'!C:C,'Resultat-Produktion &amp; forbrug'!$A117,'Forbrug af biomasse'!D:D,'Resultat-Produktion &amp; forbrug'!$D117,'Forbrug af biomasse'!G:G,1,'Forbrug af biomasse'!B:B,$E117)</f>
        <v>0</v>
      </c>
      <c r="N117" s="199">
        <f t="shared" si="23"/>
        <v>-5794113.0468547465</v>
      </c>
      <c r="O117" s="190">
        <f t="shared" si="20"/>
        <v>0</v>
      </c>
      <c r="P117" s="200">
        <f t="shared" si="24"/>
        <v>0</v>
      </c>
      <c r="Q117" s="187">
        <f>IFERROR(VLOOKUP(A117,[1]Energiindhold!$A$2:$C$11,3,FALSE),IFERROR(VLOOKUP(A117,[1]Biogasudbytte!$A$2:$B$18,2,FALSE)*[1]Energiindhold!$C$10,0))*O117</f>
        <v>0</v>
      </c>
      <c r="R117" s="187">
        <f>IF(A117&lt;&gt;"Biogas",IFERROR(VLOOKUP(A117,[1]Biogasudbytte!$A$2:$B$18,2,FALSE)*[1]Energiindhold!$C$10,0)*J117*IFERROR(VLOOKUP(A117,Biogasanlæg!$F$3:$G$8,2,FALSE),1)+IFERROR(VLOOKUP(A117,[1]Energiindhold!$A$2:$C$11,3,FALSE),0)*L117+IF(D117&lt;&gt;År1,Q117,0),0)</f>
        <v>0</v>
      </c>
      <c r="S117" s="187">
        <f>IFERROR(VLOOKUP(A117,[1]Biogasudbytte!$A$2:$B$18,2,FALSE)*[1]Energiindhold!$C$10,0)*J117*IFERROR(VLOOKUP(A117,Biogasanlæg!$F$3:$G$8,2,FALSE),1)</f>
        <v>0</v>
      </c>
      <c r="T117" s="188">
        <f t="shared" si="25"/>
        <v>0</v>
      </c>
      <c r="U117" s="186">
        <f>O117*IFERROR(VLOOKUP(A117,[1]Tørstofindhold!A$2:B$24,2,FALSE),0)</f>
        <v>0</v>
      </c>
      <c r="V117" s="187">
        <f>IF(D117=År1,P117,SUM(O117,P117))*IFERROR(VLOOKUP(A117,[1]Tørstofindhold!A$2:B$24,2,FALSE),0)</f>
        <v>0</v>
      </c>
      <c r="W117" s="187">
        <f>J117*IFERROR(VLOOKUP(A117,[1]Tørstofindhold!A$2:B$24,2,FALSE),0)</f>
        <v>0</v>
      </c>
      <c r="X117" s="188">
        <f t="shared" si="26"/>
        <v>0</v>
      </c>
      <c r="Y117" s="168">
        <f t="shared" si="21"/>
        <v>1</v>
      </c>
      <c r="Z117" s="103">
        <f t="shared" si="22"/>
        <v>0</v>
      </c>
    </row>
    <row r="118" spans="1:26" x14ac:dyDescent="0.25">
      <c r="A118" s="189" t="str">
        <f t="shared" si="33"/>
        <v>Industriaffald</v>
      </c>
      <c r="B118" s="189" t="str">
        <f t="shared" si="34"/>
        <v>Bionedbrydeligt affald</v>
      </c>
      <c r="C118" s="189">
        <f>IF(COUNTIFS('Resultater - Danmark'!$D$3:$D$504,'Resultat-Produktion &amp; forbrug'!A118,'Resultater - Danmark'!$A$3:$A$504,"Til energi")+COUNTIFS('Resultater - Danmark'!$D$3:$D$504,'Resultat-Produktion &amp; forbrug'!A118,'Resultater - Danmark'!$A$3:$A$504,"Biogasanlæg")&gt;0,1,0)</f>
        <v>1</v>
      </c>
      <c r="D118" s="189">
        <f t="shared" si="35"/>
        <v>2050</v>
      </c>
      <c r="E118" s="187" t="s">
        <v>23</v>
      </c>
      <c r="F118" s="190">
        <f>IF(E118="Vestdanmark",SUMIFS(IF(D118=År1,'Resultater - Vestdanmark'!H$3:H$504,IF(D118=År2,'Resultater - Vestdanmark'!I$3:I$504,'Resultater - Vestdanmark'!J$3:J$504)),'Resultater - Vestdanmark'!$F$3:$F$504,$A118,IF(D118=År1,'Resultater - Vestdanmark'!H$3:H$504,IF(D118=År2,'Resultater - Vestdanmark'!I$3:I$504,'Resultater - Vestdanmark'!J$3:J$504)),"&gt;0"),SUMIFS(IF(D118=År1,'Resultater - Østdanmark'!H$3:H$504,IF(D118=År2,'Resultater - Østdanmark'!I$3:I$504,'Resultater - Østdanmark'!J$3:J$504)),'Resultater - Østdanmark'!$F$3:$F$504,$A118,IF(D118=År1,'Resultater - Østdanmark'!H$3:H$504,IF(D118=År2,'Resultater - Østdanmark'!I$3:I$504,'Resultater - Østdanmark'!J$3:J$504)),"&gt;0"))</f>
        <v>585716.08517907641</v>
      </c>
      <c r="G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forbrug'!G$2,'Forbrug af biomasse'!$B$2:$B$425,$E118)</f>
        <v>0</v>
      </c>
      <c r="H118" s="187">
        <f>IF(E118="Vestdanmark",-IF(A118="Halm",SUMIFS(IF(D118=År1,'Resultater - Vestdanmark'!H$3:H$504,IF(D118=År2,'Resultater - Vestdanmark'!I$3:I$504,'Resultater - Vestdanmark'!J$3:J$504)),'Resultater - Vestdanmark'!$F$3:$F$504,$A118,'Resultater - Vestdanmark'!H$3:H$504,"&lt;0"),0),-IF(A118="Halm",SUMIFS(IF(D118=År1,'Resultater - Østdanmark'!H$3:H$504,IF(D118=År2,'Resultater - Østdanmark'!I$3:I$504,'Resultater - Østdanmark'!J$3:J$504)),'Resultater - Østdanmark'!$F$3:$F$504,$A118,'Resultater - Østdanmark'!H$3:H$504,"&lt;0"),0))</f>
        <v>0</v>
      </c>
      <c r="I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forbrug'!I$2,'Forbrug af biomasse'!$B$2:$B$425,$E118)</f>
        <v>0</v>
      </c>
      <c r="J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forbrug'!J$2,'Forbrug af biomasse'!$B$2:$B$425,$E118)</f>
        <v>531600.61023474101</v>
      </c>
      <c r="K118" s="190">
        <f>SUMIFS('Forbrug af biomasse'!$E$2:$E$425,'Forbrug af biomasse'!$C$2:$C$425,'Resultat-Produktion &amp; forbrug'!$A118,'Forbrug af biomasse'!$D$2:$D$425,'Resultat-Produktion &amp; forbrug'!$D118,'Forbrug af biomasse'!$A$2:$A$425,'Resultat-Produktion &amp; forbrug'!K$2,'Forbrug af biomasse'!$B$2:$B$425,$E118)</f>
        <v>0</v>
      </c>
      <c r="L118" s="190">
        <f>IF(A118&lt;&gt;"Biogas",SUMIFS('Forbrug af biomasse'!$E$2:$E$425,'Forbrug af biomasse'!$C$2:$C$425,'Resultat-Produktion &amp; forbrug'!$A118,'Forbrug af biomasse'!$D$2:$D$425,'Resultat-Produktion &amp; forbrug'!$D118,'Forbrug af biomasse'!$A$2:$A$425,'Resultat-Produktion &amp; forbrug'!L$2,'Forbrug af biomasse'!$B$2:$B$425,$E118),F118)</f>
        <v>0</v>
      </c>
      <c r="M118" s="154">
        <f>SUMIFS('Forbrug af biomasse'!E:E,'Forbrug af biomasse'!C:C,'Resultat-Produktion &amp; forbrug'!$A118,'Forbrug af biomasse'!D:D,'Resultat-Produktion &amp; forbrug'!$D118,'Forbrug af biomasse'!G:G,1,'Forbrug af biomasse'!B:B,$E118)</f>
        <v>0</v>
      </c>
      <c r="N118" s="199">
        <f t="shared" si="23"/>
        <v>54115.474944335409</v>
      </c>
      <c r="O118" s="190">
        <f t="shared" si="20"/>
        <v>54115.474944335409</v>
      </c>
      <c r="P118" s="200">
        <f t="shared" si="24"/>
        <v>531600.61023474101</v>
      </c>
      <c r="Q118" s="187">
        <f>IFERROR(VLOOKUP(A118,[1]Energiindhold!$A$2:$C$11,3,FALSE),IFERROR(VLOOKUP(A118,[1]Biogasudbytte!$A$2:$B$18,2,FALSE)*[1]Energiindhold!$C$10,0))*O118</f>
        <v>0.23448938794554811</v>
      </c>
      <c r="R118" s="187">
        <f>IF(A118&lt;&gt;"Biogas",IFERROR(VLOOKUP(A118,[1]Biogasudbytte!$A$2:$B$18,2,FALSE)*[1]Energiindhold!$C$10,0)*J118*IFERROR(VLOOKUP(A118,Biogasanlæg!$F$3:$G$8,2,FALSE),1)+IFERROR(VLOOKUP(A118,[1]Energiindhold!$A$2:$C$11,3,FALSE),0)*L118+IF(D118&lt;&gt;År1,Q118,0),0)</f>
        <v>2.192459757338042</v>
      </c>
      <c r="S118" s="187">
        <f>IFERROR(VLOOKUP(A118,[1]Biogasudbytte!$A$2:$B$18,2,FALSE)*[1]Energiindhold!$C$10,0)*J118*IFERROR(VLOOKUP(A118,Biogasanlæg!$F$3:$G$8,2,FALSE),1)</f>
        <v>1.9579703693924939</v>
      </c>
      <c r="T118" s="188">
        <f t="shared" si="25"/>
        <v>0.23448938794554808</v>
      </c>
      <c r="U118" s="186">
        <f>O118*IFERROR(VLOOKUP(A118,[1]Tørstofindhold!A$2:B$24,2,FALSE),0)</f>
        <v>22728.499476620869</v>
      </c>
      <c r="V118" s="187">
        <f>IF(D118=År1,P118,SUM(O118,P118))*IFERROR(VLOOKUP(A118,[1]Tørstofindhold!A$2:B$24,2,FALSE),0)</f>
        <v>246000.75577521208</v>
      </c>
      <c r="W118" s="187">
        <f>J118*IFERROR(VLOOKUP(A118,[1]Tørstofindhold!A$2:B$24,2,FALSE),0)</f>
        <v>223272.25629859121</v>
      </c>
      <c r="X118" s="188">
        <f t="shared" si="26"/>
        <v>22728.499476620869</v>
      </c>
      <c r="Y118" s="168">
        <f t="shared" si="21"/>
        <v>0</v>
      </c>
      <c r="Z118" s="103">
        <f t="shared" si="22"/>
        <v>1</v>
      </c>
    </row>
    <row r="119" spans="1:26" x14ac:dyDescent="0.25">
      <c r="A119" s="189" t="str">
        <f t="shared" si="33"/>
        <v>Juletræer</v>
      </c>
      <c r="B119" s="189" t="str">
        <f t="shared" si="34"/>
        <v/>
      </c>
      <c r="C119" s="189">
        <f>IF(COUNTIFS('Resultater - Danmark'!$D$3:$D$504,'Resultat-Produktion &amp; forbrug'!A119,'Resultater - Danmark'!$A$3:$A$504,"Til energi")+COUNTIFS('Resultater - Danmark'!$D$3:$D$504,'Resultat-Produktion &amp; forbrug'!A119,'Resultater - Danmark'!$A$3:$A$504,"Biogasanlæg")&gt;0,1,0)</f>
        <v>0</v>
      </c>
      <c r="D119" s="189">
        <f t="shared" si="35"/>
        <v>2050</v>
      </c>
      <c r="E119" s="187" t="s">
        <v>23</v>
      </c>
      <c r="F119" s="190">
        <f>IF(E119="Vestdanmark",SUMIFS(IF(D119=År1,'Resultater - Vestdanmark'!H$3:H$504,IF(D119=År2,'Resultater - Vestdanmark'!I$3:I$504,'Resultater - Vestdanmark'!J$3:J$504)),'Resultater - Vestdanmark'!$F$3:$F$504,$A119,IF(D119=År1,'Resultater - Vestdanmark'!H$3:H$504,IF(D119=År2,'Resultater - Vestdanmark'!I$3:I$504,'Resultater - Vestdanmark'!J$3:J$504)),"&gt;0"),SUMIFS(IF(D119=År1,'Resultater - Østdanmark'!H$3:H$504,IF(D119=År2,'Resultater - Østdanmark'!I$3:I$504,'Resultater - Østdanmark'!J$3:J$504)),'Resultater - Østdanmark'!$F$3:$F$504,$A119,IF(D119=År1,'Resultater - Østdanmark'!H$3:H$504,IF(D119=År2,'Resultater - Østdanmark'!I$3:I$504,'Resultater - Østdanmark'!J$3:J$504)),"&gt;0"))</f>
        <v>830522.04311077786</v>
      </c>
      <c r="G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forbrug'!G$2,'Forbrug af biomasse'!$B$2:$B$425,$E119)</f>
        <v>0</v>
      </c>
      <c r="H119" s="187">
        <f>IF(E119="Vestdanmark",-IF(A119="Halm",SUMIFS(IF(D119=År1,'Resultater - Vestdanmark'!H$3:H$504,IF(D119=År2,'Resultater - Vestdanmark'!I$3:I$504,'Resultater - Vestdanmark'!J$3:J$504)),'Resultater - Vestdanmark'!$F$3:$F$504,$A119,'Resultater - Vestdanmark'!H$3:H$504,"&lt;0"),0),-IF(A119="Halm",SUMIFS(IF(D119=År1,'Resultater - Østdanmark'!H$3:H$504,IF(D119=År2,'Resultater - Østdanmark'!I$3:I$504,'Resultater - Østdanmark'!J$3:J$504)),'Resultater - Østdanmark'!$F$3:$F$504,$A119,'Resultater - Østdanmark'!H$3:H$504,"&lt;0"),0))</f>
        <v>0</v>
      </c>
      <c r="I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forbrug'!I$2,'Forbrug af biomasse'!$B$2:$B$425,$E119)</f>
        <v>0</v>
      </c>
      <c r="J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forbrug'!J$2,'Forbrug af biomasse'!$B$2:$B$425,$E119)</f>
        <v>0</v>
      </c>
      <c r="K119" s="190">
        <f>SUMIFS('Forbrug af biomasse'!$E$2:$E$425,'Forbrug af biomasse'!$C$2:$C$425,'Resultat-Produktion &amp; forbrug'!$A119,'Forbrug af biomasse'!$D$2:$D$425,'Resultat-Produktion &amp; forbrug'!$D119,'Forbrug af biomasse'!$A$2:$A$425,'Resultat-Produktion &amp; forbrug'!K$2,'Forbrug af biomasse'!$B$2:$B$425,$E119)</f>
        <v>0</v>
      </c>
      <c r="L119" s="190">
        <f>IF(A119&lt;&gt;"Biogas",SUMIFS('Forbrug af biomasse'!$E$2:$E$425,'Forbrug af biomasse'!$C$2:$C$425,'Resultat-Produktion &amp; forbrug'!$A119,'Forbrug af biomasse'!$D$2:$D$425,'Resultat-Produktion &amp; forbrug'!$D119,'Forbrug af biomasse'!$A$2:$A$425,'Resultat-Produktion &amp; forbrug'!L$2,'Forbrug af biomasse'!$B$2:$B$425,$E119),F119)</f>
        <v>0</v>
      </c>
      <c r="M119" s="154">
        <f>SUMIFS('Forbrug af biomasse'!E:E,'Forbrug af biomasse'!C:C,'Resultat-Produktion &amp; forbrug'!$A119,'Forbrug af biomasse'!D:D,'Resultat-Produktion &amp; forbrug'!$D119,'Forbrug af biomasse'!G:G,1,'Forbrug af biomasse'!B:B,$E119)</f>
        <v>0</v>
      </c>
      <c r="N119" s="199">
        <f t="shared" si="23"/>
        <v>830522.04311077786</v>
      </c>
      <c r="O119" s="190">
        <f t="shared" si="20"/>
        <v>0</v>
      </c>
      <c r="P119" s="200">
        <f t="shared" si="24"/>
        <v>0</v>
      </c>
      <c r="Q119" s="187">
        <f>IFERROR(VLOOKUP(A119,[1]Energiindhold!$A$2:$C$11,3,FALSE),IFERROR(VLOOKUP(A119,[1]Biogasudbytte!$A$2:$B$18,2,FALSE)*[1]Energiindhold!$C$10,0))*O119</f>
        <v>0</v>
      </c>
      <c r="R119" s="187">
        <f>IF(A119&lt;&gt;"Biogas",IFERROR(VLOOKUP(A119,[1]Biogasudbytte!$A$2:$B$18,2,FALSE)*[1]Energiindhold!$C$10,0)*J119*IFERROR(VLOOKUP(A119,Biogasanlæg!$F$3:$G$8,2,FALSE),1)+IFERROR(VLOOKUP(A119,[1]Energiindhold!$A$2:$C$11,3,FALSE),0)*L119+IF(D119&lt;&gt;År1,Q119,0),0)</f>
        <v>0</v>
      </c>
      <c r="S119" s="187">
        <f>IFERROR(VLOOKUP(A119,[1]Biogasudbytte!$A$2:$B$18,2,FALSE)*[1]Energiindhold!$C$10,0)*J119*IFERROR(VLOOKUP(A119,Biogasanlæg!$F$3:$G$8,2,FALSE),1)</f>
        <v>0</v>
      </c>
      <c r="T119" s="188">
        <f t="shared" si="25"/>
        <v>0</v>
      </c>
      <c r="U119" s="186">
        <f>O119*IFERROR(VLOOKUP(A119,[1]Tørstofindhold!A$2:B$24,2,FALSE),0)</f>
        <v>0</v>
      </c>
      <c r="V119" s="187">
        <f>IF(D119=År1,P119,SUM(O119,P119))*IFERROR(VLOOKUP(A119,[1]Tørstofindhold!A$2:B$24,2,FALSE),0)</f>
        <v>0</v>
      </c>
      <c r="W119" s="187">
        <f>J119*IFERROR(VLOOKUP(A119,[1]Tørstofindhold!A$2:B$24,2,FALSE),0)</f>
        <v>0</v>
      </c>
      <c r="X119" s="188">
        <f t="shared" si="26"/>
        <v>0</v>
      </c>
      <c r="Y119" s="168">
        <f t="shared" si="21"/>
        <v>0</v>
      </c>
      <c r="Z119" s="103">
        <f t="shared" si="22"/>
        <v>1</v>
      </c>
    </row>
    <row r="120" spans="1:26" x14ac:dyDescent="0.25">
      <c r="A120" s="189" t="str">
        <f t="shared" si="33"/>
        <v>Kartofler</v>
      </c>
      <c r="B120" s="189" t="str">
        <f t="shared" si="34"/>
        <v/>
      </c>
      <c r="C120" s="189">
        <f>IF(COUNTIFS('Resultater - Danmark'!$D$3:$D$504,'Resultat-Produktion &amp; forbrug'!A120,'Resultater - Danmark'!$A$3:$A$504,"Til energi")+COUNTIFS('Resultater - Danmark'!$D$3:$D$504,'Resultat-Produktion &amp; forbrug'!A120,'Resultater - Danmark'!$A$3:$A$504,"Biogasanlæg")&gt;0,1,0)</f>
        <v>0</v>
      </c>
      <c r="D120" s="189">
        <f t="shared" si="35"/>
        <v>2050</v>
      </c>
      <c r="E120" s="187" t="s">
        <v>23</v>
      </c>
      <c r="F120" s="190">
        <f>IF(E120="Vestdanmark",SUMIFS(IF(D120=År1,'Resultater - Vestdanmark'!H$3:H$504,IF(D120=År2,'Resultater - Vestdanmark'!I$3:I$504,'Resultater - Vestdanmark'!J$3:J$504)),'Resultater - Vestdanmark'!$F$3:$F$504,$A120,IF(D120=År1,'Resultater - Vestdanmark'!H$3:H$504,IF(D120=År2,'Resultater - Vestdanmark'!I$3:I$504,'Resultater - Vestdanmark'!J$3:J$504)),"&gt;0"),SUMIFS(IF(D120=År1,'Resultater - Østdanmark'!H$3:H$504,IF(D120=År2,'Resultater - Østdanmark'!I$3:I$504,'Resultater - Østdanmark'!J$3:J$504)),'Resultater - Østdanmark'!$F$3:$F$504,$A120,IF(D120=År1,'Resultater - Østdanmark'!H$3:H$504,IF(D120=År2,'Resultater - Østdanmark'!I$3:I$504,'Resultater - Østdanmark'!J$3:J$504)),"&gt;0"))</f>
        <v>2323694.0904921242</v>
      </c>
      <c r="G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forbrug'!G$2,'Forbrug af biomasse'!$B$2:$B$425,$E120)</f>
        <v>0</v>
      </c>
      <c r="H120" s="187">
        <f>IF(E120="Vestdanmark",-IF(A120="Halm",SUMIFS(IF(D120=År1,'Resultater - Vestdanmark'!H$3:H$504,IF(D120=År2,'Resultater - Vestdanmark'!I$3:I$504,'Resultater - Vestdanmark'!J$3:J$504)),'Resultater - Vestdanmark'!$F$3:$F$504,$A120,'Resultater - Vestdanmark'!H$3:H$504,"&lt;0"),0),-IF(A120="Halm",SUMIFS(IF(D120=År1,'Resultater - Østdanmark'!H$3:H$504,IF(D120=År2,'Resultater - Østdanmark'!I$3:I$504,'Resultater - Østdanmark'!J$3:J$504)),'Resultater - Østdanmark'!$F$3:$F$504,$A120,'Resultater - Østdanmark'!H$3:H$504,"&lt;0"),0))</f>
        <v>0</v>
      </c>
      <c r="I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forbrug'!I$2,'Forbrug af biomasse'!$B$2:$B$425,$E120)</f>
        <v>128347.79869443661</v>
      </c>
      <c r="J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forbrug'!J$2,'Forbrug af biomasse'!$B$2:$B$425,$E120)</f>
        <v>0</v>
      </c>
      <c r="K120" s="190">
        <f>SUMIFS('Forbrug af biomasse'!$E$2:$E$425,'Forbrug af biomasse'!$C$2:$C$425,'Resultat-Produktion &amp; forbrug'!$A120,'Forbrug af biomasse'!$D$2:$D$425,'Resultat-Produktion &amp; forbrug'!$D120,'Forbrug af biomasse'!$A$2:$A$425,'Resultat-Produktion &amp; forbrug'!K$2,'Forbrug af biomasse'!$B$2:$B$425,$E120)</f>
        <v>0</v>
      </c>
      <c r="L120" s="190">
        <f>IF(A120&lt;&gt;"Biogas",SUMIFS('Forbrug af biomasse'!$E$2:$E$425,'Forbrug af biomasse'!$C$2:$C$425,'Resultat-Produktion &amp; forbrug'!$A120,'Forbrug af biomasse'!$D$2:$D$425,'Resultat-Produktion &amp; forbrug'!$D120,'Forbrug af biomasse'!$A$2:$A$425,'Resultat-Produktion &amp; forbrug'!L$2,'Forbrug af biomasse'!$B$2:$B$425,$E120),F120)</f>
        <v>0</v>
      </c>
      <c r="M120" s="154">
        <f>SUMIFS('Forbrug af biomasse'!E:E,'Forbrug af biomasse'!C:C,'Resultat-Produktion &amp; forbrug'!$A120,'Forbrug af biomasse'!D:D,'Resultat-Produktion &amp; forbrug'!$D120,'Forbrug af biomasse'!G:G,1,'Forbrug af biomasse'!B:B,$E120)</f>
        <v>0</v>
      </c>
      <c r="N120" s="199">
        <f t="shared" si="23"/>
        <v>2195346.2917976878</v>
      </c>
      <c r="O120" s="190">
        <f t="shared" si="20"/>
        <v>0</v>
      </c>
      <c r="P120" s="200">
        <f t="shared" si="24"/>
        <v>0</v>
      </c>
      <c r="Q120" s="187">
        <f>IFERROR(VLOOKUP(A120,[1]Energiindhold!$A$2:$C$11,3,FALSE),IFERROR(VLOOKUP(A120,[1]Biogasudbytte!$A$2:$B$18,2,FALSE)*[1]Energiindhold!$C$10,0))*O120</f>
        <v>0</v>
      </c>
      <c r="R120" s="187">
        <f>IF(A120&lt;&gt;"Biogas",IFERROR(VLOOKUP(A120,[1]Biogasudbytte!$A$2:$B$18,2,FALSE)*[1]Energiindhold!$C$10,0)*J120*IFERROR(VLOOKUP(A120,Biogasanlæg!$F$3:$G$8,2,FALSE),1)+IFERROR(VLOOKUP(A120,[1]Energiindhold!$A$2:$C$11,3,FALSE),0)*L120+IF(D120&lt;&gt;År1,Q120,0),0)</f>
        <v>0</v>
      </c>
      <c r="S120" s="187">
        <f>IFERROR(VLOOKUP(A120,[1]Biogasudbytte!$A$2:$B$18,2,FALSE)*[1]Energiindhold!$C$10,0)*J120*IFERROR(VLOOKUP(A120,Biogasanlæg!$F$3:$G$8,2,FALSE),1)</f>
        <v>0</v>
      </c>
      <c r="T120" s="188">
        <f t="shared" si="25"/>
        <v>0</v>
      </c>
      <c r="U120" s="186">
        <f>O120*IFERROR(VLOOKUP(A120,[1]Tørstofindhold!A$2:B$24,2,FALSE),0)</f>
        <v>0</v>
      </c>
      <c r="V120" s="187">
        <f>IF(D120=År1,P120,SUM(O120,P120))*IFERROR(VLOOKUP(A120,[1]Tørstofindhold!A$2:B$24,2,FALSE),0)</f>
        <v>0</v>
      </c>
      <c r="W120" s="187">
        <f>J120*IFERROR(VLOOKUP(A120,[1]Tørstofindhold!A$2:B$24,2,FALSE),0)</f>
        <v>0</v>
      </c>
      <c r="X120" s="188">
        <f t="shared" si="26"/>
        <v>0</v>
      </c>
      <c r="Y120" s="168">
        <f t="shared" si="21"/>
        <v>0</v>
      </c>
      <c r="Z120" s="103">
        <f t="shared" si="22"/>
        <v>1</v>
      </c>
    </row>
    <row r="121" spans="1:26" x14ac:dyDescent="0.25">
      <c r="A121" s="189" t="str">
        <f t="shared" si="33"/>
        <v>Korn</v>
      </c>
      <c r="B121" s="189" t="str">
        <f t="shared" si="34"/>
        <v>Halm og strå</v>
      </c>
      <c r="C121" s="189">
        <f>IF(COUNTIFS('Resultater - Danmark'!$D$3:$D$504,'Resultat-Produktion &amp; forbrug'!A121,'Resultater - Danmark'!$A$3:$A$504,"Til energi")+COUNTIFS('Resultater - Danmark'!$D$3:$D$504,'Resultat-Produktion &amp; forbrug'!A121,'Resultater - Danmark'!$A$3:$A$504,"Biogasanlæg")&gt;0,1,0)</f>
        <v>1</v>
      </c>
      <c r="D121" s="189">
        <f t="shared" si="35"/>
        <v>2050</v>
      </c>
      <c r="E121" s="187" t="s">
        <v>23</v>
      </c>
      <c r="F121" s="190">
        <f>IF(E121="Vestdanmark",SUMIFS(IF(D121=År1,'Resultater - Vestdanmark'!H$3:H$504,IF(D121=År2,'Resultater - Vestdanmark'!I$3:I$504,'Resultater - Vestdanmark'!J$3:J$504)),'Resultater - Vestdanmark'!$F$3:$F$504,$A121,IF(D121=År1,'Resultater - Vestdanmark'!H$3:H$504,IF(D121=År2,'Resultater - Vestdanmark'!I$3:I$504,'Resultater - Vestdanmark'!J$3:J$504)),"&gt;0"),SUMIFS(IF(D121=År1,'Resultater - Østdanmark'!H$3:H$504,IF(D121=År2,'Resultater - Østdanmark'!I$3:I$504,'Resultater - Østdanmark'!J$3:J$504)),'Resultater - Østdanmark'!$F$3:$F$504,$A121,IF(D121=År1,'Resultater - Østdanmark'!H$3:H$504,IF(D121=År2,'Resultater - Østdanmark'!I$3:I$504,'Resultater - Østdanmark'!J$3:J$504)),"&gt;0"))</f>
        <v>7470858.8846565643</v>
      </c>
      <c r="G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forbrug'!G$2,'Forbrug af biomasse'!$B$2:$B$425,$E121)</f>
        <v>7055058.2423947481</v>
      </c>
      <c r="H121" s="187">
        <f>IF(E121="Vestdanmark",-IF(A121="Halm",SUMIFS(IF(D121=År1,'Resultater - Vestdanmark'!H$3:H$504,IF(D121=År2,'Resultater - Vestdanmark'!I$3:I$504,'Resultater - Vestdanmark'!J$3:J$504)),'Resultater - Vestdanmark'!$F$3:$F$504,$A121,'Resultater - Vestdanmark'!H$3:H$504,"&lt;0"),0),-IF(A121="Halm",SUMIFS(IF(D121=År1,'Resultater - Østdanmark'!H$3:H$504,IF(D121=År2,'Resultater - Østdanmark'!I$3:I$504,'Resultater - Østdanmark'!J$3:J$504)),'Resultater - Østdanmark'!$F$3:$F$504,$A121,'Resultater - Østdanmark'!H$3:H$504,"&lt;0"),0))</f>
        <v>0</v>
      </c>
      <c r="I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forbrug'!I$2,'Forbrug af biomasse'!$B$2:$B$425,$E121)</f>
        <v>307470.55071854044</v>
      </c>
      <c r="J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forbrug'!J$2,'Forbrug af biomasse'!$B$2:$B$425,$E121)</f>
        <v>2832.9524091506291</v>
      </c>
      <c r="K121" s="190">
        <f>SUMIFS('Forbrug af biomasse'!$E$2:$E$425,'Forbrug af biomasse'!$C$2:$C$425,'Resultat-Produktion &amp; forbrug'!$A121,'Forbrug af biomasse'!$D$2:$D$425,'Resultat-Produktion &amp; forbrug'!$D121,'Forbrug af biomasse'!$A$2:$A$425,'Resultat-Produktion &amp; forbrug'!K$2,'Forbrug af biomasse'!$B$2:$B$425,$E121)</f>
        <v>0</v>
      </c>
      <c r="L121" s="190">
        <f>IF(A121&lt;&gt;"Biogas",SUMIFS('Forbrug af biomasse'!$E$2:$E$425,'Forbrug af biomasse'!$C$2:$C$425,'Resultat-Produktion &amp; forbrug'!$A121,'Forbrug af biomasse'!$D$2:$D$425,'Resultat-Produktion &amp; forbrug'!$D121,'Forbrug af biomasse'!$A$2:$A$425,'Resultat-Produktion &amp; forbrug'!L$2,'Forbrug af biomasse'!$B$2:$B$425,$E121),F121)</f>
        <v>0</v>
      </c>
      <c r="M121" s="154">
        <f>SUMIFS('Forbrug af biomasse'!E:E,'Forbrug af biomasse'!C:C,'Resultat-Produktion &amp; forbrug'!$A121,'Forbrug af biomasse'!D:D,'Resultat-Produktion &amp; forbrug'!$D121,'Forbrug af biomasse'!G:G,1,'Forbrug af biomasse'!B:B,$E121)</f>
        <v>0</v>
      </c>
      <c r="N121" s="199">
        <f t="shared" si="23"/>
        <v>105497.13913412485</v>
      </c>
      <c r="O121" s="190">
        <f t="shared" si="20"/>
        <v>105497.13913412485</v>
      </c>
      <c r="P121" s="200">
        <f t="shared" si="24"/>
        <v>2832.9524091506291</v>
      </c>
      <c r="Q121" s="187">
        <f>IFERROR(VLOOKUP(A121,[1]Energiindhold!$A$2:$C$11,3,FALSE),IFERROR(VLOOKUP(A121,[1]Biogasudbytte!$A$2:$B$18,2,FALSE)*[1]Energiindhold!$C$10,0))*O121</f>
        <v>0.36131293193489888</v>
      </c>
      <c r="R121" s="187">
        <f>IF(A121&lt;&gt;"Biogas",IFERROR(VLOOKUP(A121,[1]Biogasudbytte!$A$2:$B$18,2,FALSE)*[1]Energiindhold!$C$10,0)*J121*IFERROR(VLOOKUP(A121,Biogasanlæg!$F$3:$G$8,2,FALSE),1)+IFERROR(VLOOKUP(A121,[1]Energiindhold!$A$2:$C$11,3,FALSE),0)*L121+IF(D121&lt;&gt;År1,Q121,0),0)</f>
        <v>0.37101539732290251</v>
      </c>
      <c r="S121" s="187">
        <f>IFERROR(VLOOKUP(A121,[1]Biogasudbytte!$A$2:$B$18,2,FALSE)*[1]Energiindhold!$C$10,0)*J121*IFERROR(VLOOKUP(A121,Biogasanlæg!$F$3:$G$8,2,FALSE),1)</f>
        <v>9.7024653880036262E-3</v>
      </c>
      <c r="T121" s="188">
        <f t="shared" si="25"/>
        <v>0.36131293193489888</v>
      </c>
      <c r="U121" s="186">
        <f>O121*IFERROR(VLOOKUP(A121,[1]Tørstofindhold!A$2:B$24,2,FALSE),0)</f>
        <v>32704.113131578702</v>
      </c>
      <c r="V121" s="187">
        <f>IF(D121=År1,P121,SUM(O121,P121))*IFERROR(VLOOKUP(A121,[1]Tørstofindhold!A$2:B$24,2,FALSE),0)</f>
        <v>33582.328378415397</v>
      </c>
      <c r="W121" s="187">
        <f>J121*IFERROR(VLOOKUP(A121,[1]Tørstofindhold!A$2:B$24,2,FALSE),0)</f>
        <v>878.21524683669497</v>
      </c>
      <c r="X121" s="188">
        <f t="shared" si="26"/>
        <v>32704.113131578702</v>
      </c>
      <c r="Y121" s="168">
        <f t="shared" si="21"/>
        <v>0</v>
      </c>
      <c r="Z121" s="103">
        <f t="shared" si="22"/>
        <v>1</v>
      </c>
    </row>
    <row r="122" spans="1:26" x14ac:dyDescent="0.25">
      <c r="A122" s="189" t="str">
        <f t="shared" si="33"/>
        <v>Kunstgødning</v>
      </c>
      <c r="B122" s="189" t="str">
        <f t="shared" si="34"/>
        <v/>
      </c>
      <c r="C122" s="189">
        <f>IF(COUNTIFS('Resultater - Danmark'!$D$3:$D$504,'Resultat-Produktion &amp; forbrug'!A122,'Resultater - Danmark'!$A$3:$A$504,"Til energi")+COUNTIFS('Resultater - Danmark'!$D$3:$D$504,'Resultat-Produktion &amp; forbrug'!A122,'Resultater - Danmark'!$A$3:$A$504,"Biogasanlæg")&gt;0,1,0)</f>
        <v>0</v>
      </c>
      <c r="D122" s="189">
        <f t="shared" si="35"/>
        <v>2050</v>
      </c>
      <c r="E122" s="187" t="s">
        <v>23</v>
      </c>
      <c r="F122" s="190">
        <f>IF(E122="Vestdanmark",SUMIFS(IF(D122=År1,'Resultater - Vestdanmark'!H$3:H$504,IF(D122=År2,'Resultater - Vestdanmark'!I$3:I$504,'Resultater - Vestdanmark'!J$3:J$504)),'Resultater - Vestdanmark'!$F$3:$F$504,$A122,IF(D122=År1,'Resultater - Vestdanmark'!H$3:H$504,IF(D122=År2,'Resultater - Vestdanmark'!I$3:I$504,'Resultater - Vestdanmark'!J$3:J$504)),"&gt;0"),SUMIFS(IF(D122=År1,'Resultater - Østdanmark'!H$3:H$504,IF(D122=År2,'Resultater - Østdanmark'!I$3:I$504,'Resultater - Østdanmark'!J$3:J$504)),'Resultater - Østdanmark'!$F$3:$F$504,$A122,IF(D122=År1,'Resultater - Østdanmark'!H$3:H$504,IF(D122=År2,'Resultater - Østdanmark'!I$3:I$504,'Resultater - Østdanmark'!J$3:J$504)),"&gt;0"))</f>
        <v>0</v>
      </c>
      <c r="G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forbrug'!G$2,'Forbrug af biomasse'!$B$2:$B$425,$E122)</f>
        <v>0</v>
      </c>
      <c r="H122" s="187">
        <f>IF(E122="Vestdanmark",-IF(A122="Halm",SUMIFS(IF(D122=År1,'Resultater - Vestdanmark'!H$3:H$504,IF(D122=År2,'Resultater - Vestdanmark'!I$3:I$504,'Resultater - Vestdanmark'!J$3:J$504)),'Resultater - Vestdanmark'!$F$3:$F$504,$A122,'Resultater - Vestdanmark'!H$3:H$504,"&lt;0"),0),-IF(A122="Halm",SUMIFS(IF(D122=År1,'Resultater - Østdanmark'!H$3:H$504,IF(D122=År2,'Resultater - Østdanmark'!I$3:I$504,'Resultater - Østdanmark'!J$3:J$504)),'Resultater - Østdanmark'!$F$3:$F$504,$A122,'Resultater - Østdanmark'!H$3:H$504,"&lt;0"),0))</f>
        <v>0</v>
      </c>
      <c r="I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forbrug'!I$2,'Forbrug af biomasse'!$B$2:$B$425,$E122)</f>
        <v>0</v>
      </c>
      <c r="J122" s="190">
        <f>SUMIFS('Forbrug af biomasse'!$E$2:$E$425,'Forbrug af biomasse'!$C$2:$C$425,'Resultat-Produktion &amp; forbrug'!$A122,'Forbrug af biomasse'!$D$2:$D$425,'Resultat-Produktion &amp; forbrug'!$D122,'Forbrug af biomasse'!$A$2:$A$425,'Resultat-Produktion &amp; forbrug'!J$2,'Forbrug af biomasse'!$B$2:$B$425,$E122)</f>
        <v>0</v>
      </c>
      <c r="K122" s="190">
        <f ca="1">SUMIFS('Forbrug af biomasse'!$E$2:$E$425,'Forbrug af biomasse'!$C$2:$C$425,'Resultat-Produktion &amp; forbrug'!$A122,'Forbrug af biomasse'!$D$2:$D$425,'Resultat-Produktion &amp; forbrug'!$D122,'Forbrug af biomasse'!$A$2:$A$425,'Resultat-Produktion &amp; forbrug'!K$2,'Forbrug af biomasse'!$B$2:$B$425,$E122)</f>
        <v>314100.84942853882</v>
      </c>
      <c r="L122" s="190">
        <f>IF(A122&lt;&gt;"Biogas",SUMIFS('Forbrug af biomasse'!$E$2:$E$425,'Forbrug af biomasse'!$C$2:$C$425,'Resultat-Produktion &amp; forbrug'!$A122,'Forbrug af biomasse'!$D$2:$D$425,'Resultat-Produktion &amp; forbrug'!$D122,'Forbrug af biomasse'!$A$2:$A$425,'Resultat-Produktion &amp; forbrug'!L$2,'Forbrug af biomasse'!$B$2:$B$425,$E122),F122)</f>
        <v>0</v>
      </c>
      <c r="M122" s="154">
        <f>SUMIFS('Forbrug af biomasse'!E:E,'Forbrug af biomasse'!C:C,'Resultat-Produktion &amp; forbrug'!$A122,'Forbrug af biomasse'!D:D,'Resultat-Produktion &amp; forbrug'!$D122,'Forbrug af biomasse'!G:G,1,'Forbrug af biomasse'!B:B,$E122)</f>
        <v>0</v>
      </c>
      <c r="N122" s="199">
        <f t="shared" ca="1" si="23"/>
        <v>-314100.84942853882</v>
      </c>
      <c r="O122" s="190">
        <f t="shared" si="20"/>
        <v>0</v>
      </c>
      <c r="P122" s="200">
        <f t="shared" si="24"/>
        <v>0</v>
      </c>
      <c r="Q122" s="187">
        <f>IFERROR(VLOOKUP(A122,[1]Energiindhold!$A$2:$C$11,3,FALSE),IFERROR(VLOOKUP(A122,[1]Biogasudbytte!$A$2:$B$18,2,FALSE)*[1]Energiindhold!$C$10,0))*O122</f>
        <v>0</v>
      </c>
      <c r="R122" s="187">
        <f>IF(A122&lt;&gt;"Biogas",IFERROR(VLOOKUP(A122,[1]Biogasudbytte!$A$2:$B$18,2,FALSE)*[1]Energiindhold!$C$10,0)*J122*IFERROR(VLOOKUP(A122,Biogasanlæg!$F$3:$G$8,2,FALSE),1)+IFERROR(VLOOKUP(A122,[1]Energiindhold!$A$2:$C$11,3,FALSE),0)*L122+IF(D122&lt;&gt;År1,Q122,0),0)</f>
        <v>0</v>
      </c>
      <c r="S122" s="187">
        <f>IFERROR(VLOOKUP(A122,[1]Biogasudbytte!$A$2:$B$18,2,FALSE)*[1]Energiindhold!$C$10,0)*J122*IFERROR(VLOOKUP(A122,Biogasanlæg!$F$3:$G$8,2,FALSE),1)</f>
        <v>0</v>
      </c>
      <c r="T122" s="188">
        <f t="shared" si="25"/>
        <v>0</v>
      </c>
      <c r="U122" s="186">
        <f>O122*IFERROR(VLOOKUP(A122,[1]Tørstofindhold!A$2:B$24,2,FALSE),0)</f>
        <v>0</v>
      </c>
      <c r="V122" s="187">
        <f>IF(D122=År1,P122,SUM(O122,P122))*IFERROR(VLOOKUP(A122,[1]Tørstofindhold!A$2:B$24,2,FALSE),0)</f>
        <v>0</v>
      </c>
      <c r="W122" s="187">
        <f>J122*IFERROR(VLOOKUP(A122,[1]Tørstofindhold!A$2:B$24,2,FALSE),0)</f>
        <v>0</v>
      </c>
      <c r="X122" s="188">
        <f t="shared" si="26"/>
        <v>0</v>
      </c>
      <c r="Y122" s="168">
        <f t="shared" ca="1" si="21"/>
        <v>1</v>
      </c>
      <c r="Z122" s="103">
        <f t="shared" ca="1" si="22"/>
        <v>0</v>
      </c>
    </row>
    <row r="123" spans="1:26" x14ac:dyDescent="0.25">
      <c r="A123" s="189" t="str">
        <f t="shared" si="33"/>
        <v>Kvæggylle</v>
      </c>
      <c r="B123" s="189" t="str">
        <f t="shared" si="34"/>
        <v>Husdyrgødning</v>
      </c>
      <c r="C123" s="189">
        <f>IF(COUNTIFS('Resultater - Danmark'!$D$3:$D$504,'Resultat-Produktion &amp; forbrug'!A123,'Resultater - Danmark'!$A$3:$A$504,"Til energi")+COUNTIFS('Resultater - Danmark'!$D$3:$D$504,'Resultat-Produktion &amp; forbrug'!A123,'Resultater - Danmark'!$A$3:$A$504,"Biogasanlæg")&gt;0,1,0)</f>
        <v>1</v>
      </c>
      <c r="D123" s="189">
        <f t="shared" si="35"/>
        <v>2050</v>
      </c>
      <c r="E123" s="187" t="s">
        <v>23</v>
      </c>
      <c r="F123" s="190">
        <f>IF(E123="Vestdanmark",SUMIFS(IF(D123=År1,'Resultater - Vestdanmark'!H$3:H$504,IF(D123=År2,'Resultater - Vestdanmark'!I$3:I$504,'Resultater - Vestdanmark'!J$3:J$504)),'Resultater - Vestdanmark'!$F$3:$F$504,$A123,IF(D123=År1,'Resultater - Vestdanmark'!H$3:H$504,IF(D123=År2,'Resultater - Vestdanmark'!I$3:I$504,'Resultater - Vestdanmark'!J$3:J$504)),"&gt;0"),SUMIFS(IF(D123=År1,'Resultater - Østdanmark'!H$3:H$504,IF(D123=År2,'Resultater - Østdanmark'!I$3:I$504,'Resultater - Østdanmark'!J$3:J$504)),'Resultater - Østdanmark'!$F$3:$F$504,$A123,IF(D123=År1,'Resultater - Østdanmark'!H$3:H$504,IF(D123=År2,'Resultater - Østdanmark'!I$3:I$504,'Resultater - Østdanmark'!J$3:J$504)),"&gt;0"))</f>
        <v>15282487.80305979</v>
      </c>
      <c r="G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forbrug'!G$2,'Forbrug af biomasse'!$B$2:$B$425,$E123)</f>
        <v>0</v>
      </c>
      <c r="H123" s="187">
        <f>IF(E123="Vestdanmark",-IF(A123="Halm",SUMIFS(IF(D123=År1,'Resultater - Vestdanmark'!H$3:H$504,IF(D123=År2,'Resultater - Vestdanmark'!I$3:I$504,'Resultater - Vestdanmark'!J$3:J$504)),'Resultater - Vestdanmark'!$F$3:$F$504,$A123,'Resultater - Vestdanmark'!H$3:H$504,"&lt;0"),0),-IF(A123="Halm",SUMIFS(IF(D123=År1,'Resultater - Østdanmark'!H$3:H$504,IF(D123=År2,'Resultater - Østdanmark'!I$3:I$504,'Resultater - Østdanmark'!J$3:J$504)),'Resultater - Østdanmark'!$F$3:$F$504,$A123,'Resultater - Østdanmark'!H$3:H$504,"&lt;0"),0))</f>
        <v>0</v>
      </c>
      <c r="I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forbrug'!I$2,'Forbrug af biomasse'!$B$2:$B$425,$E123)</f>
        <v>0</v>
      </c>
      <c r="J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forbrug'!J$2,'Forbrug af biomasse'!$B$2:$B$425,$E123)</f>
        <v>11614690.73032544</v>
      </c>
      <c r="K123" s="190">
        <f>SUMIFS('Forbrug af biomasse'!$E$2:$E$425,'Forbrug af biomasse'!$C$2:$C$425,'Resultat-Produktion &amp; forbrug'!$A123,'Forbrug af biomasse'!$D$2:$D$425,'Resultat-Produktion &amp; forbrug'!$D123,'Forbrug af biomasse'!$A$2:$A$425,'Resultat-Produktion &amp; forbrug'!K$2,'Forbrug af biomasse'!$B$2:$B$425,$E123)</f>
        <v>3667797.0727343494</v>
      </c>
      <c r="L123" s="190">
        <f>IF(A123&lt;&gt;"Biogas",SUMIFS('Forbrug af biomasse'!$E$2:$E$425,'Forbrug af biomasse'!$C$2:$C$425,'Resultat-Produktion &amp; forbrug'!$A123,'Forbrug af biomasse'!$D$2:$D$425,'Resultat-Produktion &amp; forbrug'!$D123,'Forbrug af biomasse'!$A$2:$A$425,'Resultat-Produktion &amp; forbrug'!L$2,'Forbrug af biomasse'!$B$2:$B$425,$E123),F123)</f>
        <v>0</v>
      </c>
      <c r="M123" s="154">
        <f>SUMIFS('Forbrug af biomasse'!E:E,'Forbrug af biomasse'!C:C,'Resultat-Produktion &amp; forbrug'!$A123,'Forbrug af biomasse'!D:D,'Resultat-Produktion &amp; forbrug'!$D123,'Forbrug af biomasse'!G:G,1,'Forbrug af biomasse'!B:B,$E123)</f>
        <v>0</v>
      </c>
      <c r="N123" s="199">
        <f t="shared" si="23"/>
        <v>0</v>
      </c>
      <c r="O123" s="190">
        <f t="shared" si="20"/>
        <v>0</v>
      </c>
      <c r="P123" s="200">
        <f t="shared" si="24"/>
        <v>11614690.73032544</v>
      </c>
      <c r="Q123" s="187">
        <f>IFERROR(VLOOKUP(A123,[1]Energiindhold!$A$2:$C$11,3,FALSE),IFERROR(VLOOKUP(A123,[1]Biogasudbytte!$A$2:$B$18,2,FALSE)*[1]Energiindhold!$C$10,0))*O123</f>
        <v>0</v>
      </c>
      <c r="R123" s="187">
        <f>IF(A123&lt;&gt;"Biogas",IFERROR(VLOOKUP(A123,[1]Biogasudbytte!$A$2:$B$18,2,FALSE)*[1]Energiindhold!$C$10,0)*J123*IFERROR(VLOOKUP(A123,Biogasanlæg!$F$3:$G$8,2,FALSE),1)+IFERROR(VLOOKUP(A123,[1]Energiindhold!$A$2:$C$11,3,FALSE),0)*L123+IF(D123&lt;&gt;År1,Q123,0),0)</f>
        <v>5.8792403007834348</v>
      </c>
      <c r="S123" s="187">
        <f>IFERROR(VLOOKUP(A123,[1]Biogasudbytte!$A$2:$B$18,2,FALSE)*[1]Energiindhold!$C$10,0)*J123*IFERROR(VLOOKUP(A123,Biogasanlæg!$F$3:$G$8,2,FALSE),1)</f>
        <v>5.8792403007834348</v>
      </c>
      <c r="T123" s="188">
        <f t="shared" si="25"/>
        <v>0</v>
      </c>
      <c r="U123" s="186">
        <f>O123*IFERROR(VLOOKUP(A123,[1]Tørstofindhold!A$2:B$24,2,FALSE),0)</f>
        <v>0</v>
      </c>
      <c r="V123" s="187">
        <f>IF(D123=År1,P123,SUM(O123,P123))*IFERROR(VLOOKUP(A123,[1]Tørstofindhold!A$2:B$24,2,FALSE),0)</f>
        <v>882716.49550473341</v>
      </c>
      <c r="W123" s="187">
        <f>J123*IFERROR(VLOOKUP(A123,[1]Tørstofindhold!A$2:B$24,2,FALSE),0)</f>
        <v>882716.49550473341</v>
      </c>
      <c r="X123" s="188">
        <f t="shared" si="26"/>
        <v>0</v>
      </c>
      <c r="Y123" s="168">
        <f t="shared" si="21"/>
        <v>0</v>
      </c>
      <c r="Z123" s="103">
        <f t="shared" si="22"/>
        <v>0</v>
      </c>
    </row>
    <row r="124" spans="1:26" x14ac:dyDescent="0.25">
      <c r="A124" s="189" t="str">
        <f t="shared" si="33"/>
        <v>Mælk til foder</v>
      </c>
      <c r="B124" s="189" t="str">
        <f t="shared" si="34"/>
        <v/>
      </c>
      <c r="C124" s="189">
        <f>IF(COUNTIFS('Resultater - Danmark'!$D$3:$D$504,'Resultat-Produktion &amp; forbrug'!A124,'Resultater - Danmark'!$A$3:$A$504,"Til energi")+COUNTIFS('Resultater - Danmark'!$D$3:$D$504,'Resultat-Produktion &amp; forbrug'!A124,'Resultater - Danmark'!$A$3:$A$504,"Biogasanlæg")&gt;0,1,0)</f>
        <v>0</v>
      </c>
      <c r="D124" s="189">
        <f t="shared" si="35"/>
        <v>2050</v>
      </c>
      <c r="E124" s="187" t="s">
        <v>23</v>
      </c>
      <c r="F124" s="190">
        <f>IF(E124="Vestdanmark",SUMIFS(IF(D124=År1,'Resultater - Vestdanmark'!H$3:H$504,IF(D124=År2,'Resultater - Vestdanmark'!I$3:I$504,'Resultater - Vestdanmark'!J$3:J$504)),'Resultater - Vestdanmark'!$F$3:$F$504,$A124,IF(D124=År1,'Resultater - Vestdanmark'!H$3:H$504,IF(D124=År2,'Resultater - Vestdanmark'!I$3:I$504,'Resultater - Vestdanmark'!J$3:J$504)),"&gt;0"),SUMIFS(IF(D124=År1,'Resultater - Østdanmark'!H$3:H$504,IF(D124=År2,'Resultater - Østdanmark'!I$3:I$504,'Resultater - Østdanmark'!J$3:J$504)),'Resultater - Østdanmark'!$F$3:$F$504,$A124,IF(D124=År1,'Resultater - Østdanmark'!H$3:H$504,IF(D124=År2,'Resultater - Østdanmark'!I$3:I$504,'Resultater - Østdanmark'!J$3:J$504)),"&gt;0"))</f>
        <v>1909060.1640936765</v>
      </c>
      <c r="G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forbrug'!G$2,'Forbrug af biomasse'!$B$2:$B$425,$E124)</f>
        <v>1818857.0084004137</v>
      </c>
      <c r="H124" s="187">
        <f>IF(E124="Vestdanmark",-IF(A124="Halm",SUMIFS(IF(D124=År1,'Resultater - Vestdanmark'!H$3:H$504,IF(D124=År2,'Resultater - Vestdanmark'!I$3:I$504,'Resultater - Vestdanmark'!J$3:J$504)),'Resultater - Vestdanmark'!$F$3:$F$504,$A124,'Resultater - Vestdanmark'!H$3:H$504,"&lt;0"),0),-IF(A124="Halm",SUMIFS(IF(D124=År1,'Resultater - Østdanmark'!H$3:H$504,IF(D124=År2,'Resultater - Østdanmark'!I$3:I$504,'Resultater - Østdanmark'!J$3:J$504)),'Resultater - Østdanmark'!$F$3:$F$504,$A124,'Resultater - Østdanmark'!H$3:H$504,"&lt;0"),0))</f>
        <v>0</v>
      </c>
      <c r="I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forbrug'!I$2,'Forbrug af biomasse'!$B$2:$B$425,$E124)</f>
        <v>0</v>
      </c>
      <c r="J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forbrug'!J$2,'Forbrug af biomasse'!$B$2:$B$425,$E124)</f>
        <v>0</v>
      </c>
      <c r="K124" s="190">
        <f>SUMIFS('Forbrug af biomasse'!$E$2:$E$425,'Forbrug af biomasse'!$C$2:$C$425,'Resultat-Produktion &amp; forbrug'!$A124,'Forbrug af biomasse'!$D$2:$D$425,'Resultat-Produktion &amp; forbrug'!$D124,'Forbrug af biomasse'!$A$2:$A$425,'Resultat-Produktion &amp; forbrug'!K$2,'Forbrug af biomasse'!$B$2:$B$425,$E124)</f>
        <v>0</v>
      </c>
      <c r="L124" s="190">
        <f>IF(A124&lt;&gt;"Biogas",SUMIFS('Forbrug af biomasse'!$E$2:$E$425,'Forbrug af biomasse'!$C$2:$C$425,'Resultat-Produktion &amp; forbrug'!$A124,'Forbrug af biomasse'!$D$2:$D$425,'Resultat-Produktion &amp; forbrug'!$D124,'Forbrug af biomasse'!$A$2:$A$425,'Resultat-Produktion &amp; forbrug'!L$2,'Forbrug af biomasse'!$B$2:$B$425,$E124),F124)</f>
        <v>0</v>
      </c>
      <c r="M124" s="154">
        <f>SUMIFS('Forbrug af biomasse'!E:E,'Forbrug af biomasse'!C:C,'Resultat-Produktion &amp; forbrug'!$A124,'Forbrug af biomasse'!D:D,'Resultat-Produktion &amp; forbrug'!$D124,'Forbrug af biomasse'!G:G,1,'Forbrug af biomasse'!B:B,$E124)</f>
        <v>0</v>
      </c>
      <c r="N124" s="199">
        <f t="shared" si="23"/>
        <v>90203.155693262815</v>
      </c>
      <c r="O124" s="190">
        <f t="shared" si="20"/>
        <v>0</v>
      </c>
      <c r="P124" s="200">
        <f t="shared" si="24"/>
        <v>0</v>
      </c>
      <c r="Q124" s="187">
        <f>IFERROR(VLOOKUP(A124,[1]Energiindhold!$A$2:$C$11,3,FALSE),IFERROR(VLOOKUP(A124,[1]Biogasudbytte!$A$2:$B$18,2,FALSE)*[1]Energiindhold!$C$10,0))*O124</f>
        <v>0</v>
      </c>
      <c r="R124" s="187">
        <f>IF(A124&lt;&gt;"Biogas",IFERROR(VLOOKUP(A124,[1]Biogasudbytte!$A$2:$B$18,2,FALSE)*[1]Energiindhold!$C$10,0)*J124*IFERROR(VLOOKUP(A124,Biogasanlæg!$F$3:$G$8,2,FALSE),1)+IFERROR(VLOOKUP(A124,[1]Energiindhold!$A$2:$C$11,3,FALSE),0)*L124+IF(D124&lt;&gt;År1,Q124,0),0)</f>
        <v>0</v>
      </c>
      <c r="S124" s="187">
        <f>IFERROR(VLOOKUP(A124,[1]Biogasudbytte!$A$2:$B$18,2,FALSE)*[1]Energiindhold!$C$10,0)*J124*IFERROR(VLOOKUP(A124,Biogasanlæg!$F$3:$G$8,2,FALSE),1)</f>
        <v>0</v>
      </c>
      <c r="T124" s="188">
        <f t="shared" si="25"/>
        <v>0</v>
      </c>
      <c r="U124" s="186">
        <f>O124*IFERROR(VLOOKUP(A124,[1]Tørstofindhold!A$2:B$24,2,FALSE),0)</f>
        <v>0</v>
      </c>
      <c r="V124" s="187">
        <f>IF(D124=År1,P124,SUM(O124,P124))*IFERROR(VLOOKUP(A124,[1]Tørstofindhold!A$2:B$24,2,FALSE),0)</f>
        <v>0</v>
      </c>
      <c r="W124" s="187">
        <f>J124*IFERROR(VLOOKUP(A124,[1]Tørstofindhold!A$2:B$24,2,FALSE),0)</f>
        <v>0</v>
      </c>
      <c r="X124" s="188">
        <f t="shared" si="26"/>
        <v>0</v>
      </c>
      <c r="Y124" s="168">
        <f t="shared" si="21"/>
        <v>0</v>
      </c>
      <c r="Z124" s="103">
        <f t="shared" si="22"/>
        <v>1</v>
      </c>
    </row>
    <row r="125" spans="1:26" x14ac:dyDescent="0.25">
      <c r="A125" s="189" t="str">
        <f t="shared" si="33"/>
        <v>Majs</v>
      </c>
      <c r="B125" s="189" t="str">
        <f t="shared" si="34"/>
        <v>Græs og urter</v>
      </c>
      <c r="C125" s="189">
        <f>IF(COUNTIFS('Resultater - Danmark'!$D$3:$D$504,'Resultat-Produktion &amp; forbrug'!A125,'Resultater - Danmark'!$A$3:$A$504,"Til energi")+COUNTIFS('Resultater - Danmark'!$D$3:$D$504,'Resultat-Produktion &amp; forbrug'!A125,'Resultater - Danmark'!$A$3:$A$504,"Biogasanlæg")&gt;0,1,0)</f>
        <v>1</v>
      </c>
      <c r="D125" s="189">
        <f t="shared" si="35"/>
        <v>2050</v>
      </c>
      <c r="E125" s="187" t="s">
        <v>23</v>
      </c>
      <c r="F125" s="190">
        <f>IF(E125="Vestdanmark",SUMIFS(IF(D125=År1,'Resultater - Vestdanmark'!H$3:H$504,IF(D125=År2,'Resultater - Vestdanmark'!I$3:I$504,'Resultater - Vestdanmark'!J$3:J$504)),'Resultater - Vestdanmark'!$F$3:$F$504,$A125,IF(D125=År1,'Resultater - Vestdanmark'!H$3:H$504,IF(D125=År2,'Resultater - Vestdanmark'!I$3:I$504,'Resultater - Vestdanmark'!J$3:J$504)),"&gt;0"),SUMIFS(IF(D125=År1,'Resultater - Østdanmark'!H$3:H$504,IF(D125=År2,'Resultater - Østdanmark'!I$3:I$504,'Resultater - Østdanmark'!J$3:J$504)),'Resultater - Østdanmark'!$F$3:$F$504,$A125,IF(D125=År1,'Resultater - Østdanmark'!H$3:H$504,IF(D125=År2,'Resultater - Østdanmark'!I$3:I$504,'Resultater - Østdanmark'!J$3:J$504)),"&gt;0"))</f>
        <v>8373936.9345243433</v>
      </c>
      <c r="G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forbrug'!G$2,'Forbrug af biomasse'!$B$2:$B$425,$E125)</f>
        <v>6788464.5437639551</v>
      </c>
      <c r="H125" s="187">
        <f>IF(E125="Vestdanmark",-IF(A125="Halm",SUMIFS(IF(D125=År1,'Resultater - Vestdanmark'!H$3:H$504,IF(D125=År2,'Resultater - Vestdanmark'!I$3:I$504,'Resultater - Vestdanmark'!J$3:J$504)),'Resultater - Vestdanmark'!$F$3:$F$504,$A125,'Resultater - Vestdanmark'!H$3:H$504,"&lt;0"),0),-IF(A125="Halm",SUMIFS(IF(D125=År1,'Resultater - Østdanmark'!H$3:H$504,IF(D125=År2,'Resultater - Østdanmark'!I$3:I$504,'Resultater - Østdanmark'!J$3:J$504)),'Resultater - Østdanmark'!$F$3:$F$504,$A125,'Resultater - Østdanmark'!H$3:H$504,"&lt;0"),0))</f>
        <v>0</v>
      </c>
      <c r="I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forbrug'!I$2,'Forbrug af biomasse'!$B$2:$B$425,$E125)</f>
        <v>0</v>
      </c>
      <c r="J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forbrug'!J$2,'Forbrug af biomasse'!$B$2:$B$425,$E125)</f>
        <v>314661.48085110582</v>
      </c>
      <c r="K125" s="190">
        <f>SUMIFS('Forbrug af biomasse'!$E$2:$E$425,'Forbrug af biomasse'!$C$2:$C$425,'Resultat-Produktion &amp; forbrug'!$A125,'Forbrug af biomasse'!$D$2:$D$425,'Resultat-Produktion &amp; forbrug'!$D125,'Forbrug af biomasse'!$A$2:$A$425,'Resultat-Produktion &amp; forbrug'!K$2,'Forbrug af biomasse'!$B$2:$B$425,$E125)</f>
        <v>0</v>
      </c>
      <c r="L125" s="190">
        <f>IF(A125&lt;&gt;"Biogas",SUMIFS('Forbrug af biomasse'!$E$2:$E$425,'Forbrug af biomasse'!$C$2:$C$425,'Resultat-Produktion &amp; forbrug'!$A125,'Forbrug af biomasse'!$D$2:$D$425,'Resultat-Produktion &amp; forbrug'!$D125,'Forbrug af biomasse'!$A$2:$A$425,'Resultat-Produktion &amp; forbrug'!L$2,'Forbrug af biomasse'!$B$2:$B$425,$E125),F125)</f>
        <v>0</v>
      </c>
      <c r="M125" s="154">
        <f>SUMIFS('Forbrug af biomasse'!E:E,'Forbrug af biomasse'!C:C,'Resultat-Produktion &amp; forbrug'!$A125,'Forbrug af biomasse'!D:D,'Resultat-Produktion &amp; forbrug'!$D125,'Forbrug af biomasse'!G:G,1,'Forbrug af biomasse'!B:B,$E125)</f>
        <v>0</v>
      </c>
      <c r="N125" s="199">
        <f t="shared" si="23"/>
        <v>1270810.9099092828</v>
      </c>
      <c r="O125" s="190">
        <f t="shared" si="20"/>
        <v>831111.14735517267</v>
      </c>
      <c r="P125" s="200">
        <f t="shared" si="24"/>
        <v>314661.48085110582</v>
      </c>
      <c r="Q125" s="187">
        <f>IFERROR(VLOOKUP(A125,[1]Energiindhold!$A$2:$C$11,3,FALSE),IFERROR(VLOOKUP(A125,[1]Biogasudbytte!$A$2:$B$18,2,FALSE)*[1]Energiindhold!$C$10,0))*O125</f>
        <v>2.98368901900507</v>
      </c>
      <c r="R125" s="187">
        <f>IF(A125&lt;&gt;"Biogas",IFERROR(VLOOKUP(A125,[1]Biogasudbytte!$A$2:$B$18,2,FALSE)*[1]Energiindhold!$C$10,0)*J125*IFERROR(VLOOKUP(A125,Biogasanlæg!$F$3:$G$8,2,FALSE),1)+IFERROR(VLOOKUP(A125,[1]Energiindhold!$A$2:$C$11,3,FALSE),0)*L125+IF(D125&lt;&gt;År1,Q125,0),0)</f>
        <v>4.1133237352605398</v>
      </c>
      <c r="S125" s="187">
        <f>IFERROR(VLOOKUP(A125,[1]Biogasudbytte!$A$2:$B$18,2,FALSE)*[1]Energiindhold!$C$10,0)*J125*IFERROR(VLOOKUP(A125,Biogasanlæg!$F$3:$G$8,2,FALSE),1)</f>
        <v>1.1296347162554701</v>
      </c>
      <c r="T125" s="188">
        <f t="shared" si="25"/>
        <v>2.9836890190050696</v>
      </c>
      <c r="U125" s="186">
        <f>O125*IFERROR(VLOOKUP(A125,[1]Tørstofindhold!A$2:B$24,2,FALSE),0)</f>
        <v>249333.34420655179</v>
      </c>
      <c r="V125" s="187">
        <f>IF(D125=År1,P125,SUM(O125,P125))*IFERROR(VLOOKUP(A125,[1]Tørstofindhold!A$2:B$24,2,FALSE),0)</f>
        <v>343731.78846188349</v>
      </c>
      <c r="W125" s="187">
        <f>J125*IFERROR(VLOOKUP(A125,[1]Tørstofindhold!A$2:B$24,2,FALSE),0)</f>
        <v>94398.444255331749</v>
      </c>
      <c r="X125" s="188">
        <f t="shared" si="26"/>
        <v>249333.34420655173</v>
      </c>
      <c r="Y125" s="168">
        <f t="shared" si="21"/>
        <v>0</v>
      </c>
      <c r="Z125" s="103">
        <f t="shared" si="22"/>
        <v>1</v>
      </c>
    </row>
    <row r="126" spans="1:26" x14ac:dyDescent="0.25">
      <c r="A126" s="189" t="str">
        <f t="shared" si="33"/>
        <v>Mejeriprodukter</v>
      </c>
      <c r="B126" s="189" t="str">
        <f t="shared" si="34"/>
        <v/>
      </c>
      <c r="C126" s="189">
        <f>IF(COUNTIFS('Resultater - Danmark'!$D$3:$D$504,'Resultat-Produktion &amp; forbrug'!A126,'Resultater - Danmark'!$A$3:$A$504,"Til energi")+COUNTIFS('Resultater - Danmark'!$D$3:$D$504,'Resultat-Produktion &amp; forbrug'!A126,'Resultater - Danmark'!$A$3:$A$504,"Biogasanlæg")&gt;0,1,0)</f>
        <v>0</v>
      </c>
      <c r="D126" s="189">
        <f t="shared" si="35"/>
        <v>2050</v>
      </c>
      <c r="E126" s="187" t="s">
        <v>23</v>
      </c>
      <c r="F126" s="190">
        <f>IF(E126="Vestdanmark",SUMIFS(IF(D126=År1,'Resultater - Vestdanmark'!H$3:H$504,IF(D126=År2,'Resultater - Vestdanmark'!I$3:I$504,'Resultater - Vestdanmark'!J$3:J$504)),'Resultater - Vestdanmark'!$F$3:$F$504,$A126,IF(D126=År1,'Resultater - Vestdanmark'!H$3:H$504,IF(D126=År2,'Resultater - Vestdanmark'!I$3:I$504,'Resultater - Vestdanmark'!J$3:J$504)),"&gt;0"),SUMIFS(IF(D126=År1,'Resultater - Østdanmark'!H$3:H$504,IF(D126=År2,'Resultater - Østdanmark'!I$3:I$504,'Resultater - Østdanmark'!J$3:J$504)),'Resultater - Østdanmark'!$F$3:$F$504,$A126,IF(D126=År1,'Resultater - Østdanmark'!H$3:H$504,IF(D126=År2,'Resultater - Østdanmark'!I$3:I$504,'Resultater - Østdanmark'!J$3:J$504)),"&gt;0"))</f>
        <v>3683495.3348211222</v>
      </c>
      <c r="G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forbrug'!G$2,'Forbrug af biomasse'!$B$2:$B$425,$E126)</f>
        <v>0</v>
      </c>
      <c r="H126" s="187">
        <f>IF(E126="Vestdanmark",-IF(A126="Halm",SUMIFS(IF(D126=År1,'Resultater - Vestdanmark'!H$3:H$504,IF(D126=År2,'Resultater - Vestdanmark'!I$3:I$504,'Resultater - Vestdanmark'!J$3:J$504)),'Resultater - Vestdanmark'!$F$3:$F$504,$A126,'Resultater - Vestdanmark'!H$3:H$504,"&lt;0"),0),-IF(A126="Halm",SUMIFS(IF(D126=År1,'Resultater - Østdanmark'!H$3:H$504,IF(D126=År2,'Resultater - Østdanmark'!I$3:I$504,'Resultater - Østdanmark'!J$3:J$504)),'Resultater - Østdanmark'!$F$3:$F$504,$A126,'Resultater - Østdanmark'!H$3:H$504,"&lt;0"),0))</f>
        <v>0</v>
      </c>
      <c r="I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forbrug'!I$2,'Forbrug af biomasse'!$B$2:$B$425,$E126)</f>
        <v>490824.54885344987</v>
      </c>
      <c r="J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forbrug'!J$2,'Forbrug af biomasse'!$B$2:$B$425,$E126)</f>
        <v>0</v>
      </c>
      <c r="K126" s="190">
        <f>SUMIFS('Forbrug af biomasse'!$E$2:$E$425,'Forbrug af biomasse'!$C$2:$C$425,'Resultat-Produktion &amp; forbrug'!$A126,'Forbrug af biomasse'!$D$2:$D$425,'Resultat-Produktion &amp; forbrug'!$D126,'Forbrug af biomasse'!$A$2:$A$425,'Resultat-Produktion &amp; forbrug'!K$2,'Forbrug af biomasse'!$B$2:$B$425,$E126)</f>
        <v>0</v>
      </c>
      <c r="L126" s="190">
        <f>IF(A126&lt;&gt;"Biogas",SUMIFS('Forbrug af biomasse'!$E$2:$E$425,'Forbrug af biomasse'!$C$2:$C$425,'Resultat-Produktion &amp; forbrug'!$A126,'Forbrug af biomasse'!$D$2:$D$425,'Resultat-Produktion &amp; forbrug'!$D126,'Forbrug af biomasse'!$A$2:$A$425,'Resultat-Produktion &amp; forbrug'!L$2,'Forbrug af biomasse'!$B$2:$B$425,$E126),F126)</f>
        <v>0</v>
      </c>
      <c r="M126" s="154">
        <f>SUMIFS('Forbrug af biomasse'!E:E,'Forbrug af biomasse'!C:C,'Resultat-Produktion &amp; forbrug'!$A126,'Forbrug af biomasse'!D:D,'Resultat-Produktion &amp; forbrug'!$D126,'Forbrug af biomasse'!G:G,1,'Forbrug af biomasse'!B:B,$E126)</f>
        <v>0</v>
      </c>
      <c r="N126" s="199">
        <f t="shared" si="23"/>
        <v>3192670.7859676722</v>
      </c>
      <c r="O126" s="190">
        <f t="shared" si="20"/>
        <v>0</v>
      </c>
      <c r="P126" s="200">
        <f t="shared" si="24"/>
        <v>0</v>
      </c>
      <c r="Q126" s="187">
        <f>IFERROR(VLOOKUP(A126,[1]Energiindhold!$A$2:$C$11,3,FALSE),IFERROR(VLOOKUP(A126,[1]Biogasudbytte!$A$2:$B$18,2,FALSE)*[1]Energiindhold!$C$10,0))*O126</f>
        <v>0</v>
      </c>
      <c r="R126" s="187">
        <f>IF(A126&lt;&gt;"Biogas",IFERROR(VLOOKUP(A126,[1]Biogasudbytte!$A$2:$B$18,2,FALSE)*[1]Energiindhold!$C$10,0)*J126*IFERROR(VLOOKUP(A126,Biogasanlæg!$F$3:$G$8,2,FALSE),1)+IFERROR(VLOOKUP(A126,[1]Energiindhold!$A$2:$C$11,3,FALSE),0)*L126+IF(D126&lt;&gt;År1,Q126,0),0)</f>
        <v>0</v>
      </c>
      <c r="S126" s="187">
        <f>IFERROR(VLOOKUP(A126,[1]Biogasudbytte!$A$2:$B$18,2,FALSE)*[1]Energiindhold!$C$10,0)*J126*IFERROR(VLOOKUP(A126,Biogasanlæg!$F$3:$G$8,2,FALSE),1)</f>
        <v>0</v>
      </c>
      <c r="T126" s="188">
        <f t="shared" si="25"/>
        <v>0</v>
      </c>
      <c r="U126" s="186">
        <f>O126*IFERROR(VLOOKUP(A126,[1]Tørstofindhold!A$2:B$24,2,FALSE),0)</f>
        <v>0</v>
      </c>
      <c r="V126" s="187">
        <f>IF(D126=År1,P126,SUM(O126,P126))*IFERROR(VLOOKUP(A126,[1]Tørstofindhold!A$2:B$24,2,FALSE),0)</f>
        <v>0</v>
      </c>
      <c r="W126" s="187">
        <f>J126*IFERROR(VLOOKUP(A126,[1]Tørstofindhold!A$2:B$24,2,FALSE),0)</f>
        <v>0</v>
      </c>
      <c r="X126" s="188">
        <f t="shared" si="26"/>
        <v>0</v>
      </c>
      <c r="Y126" s="168">
        <f t="shared" si="21"/>
        <v>0</v>
      </c>
      <c r="Z126" s="103">
        <f t="shared" si="22"/>
        <v>1</v>
      </c>
    </row>
    <row r="127" spans="1:26" x14ac:dyDescent="0.25">
      <c r="A127" s="189" t="str">
        <f t="shared" si="33"/>
        <v>Muslinger</v>
      </c>
      <c r="B127" s="189" t="str">
        <f t="shared" si="34"/>
        <v>Havbiomasse</v>
      </c>
      <c r="C127" s="189">
        <f>IF(COUNTIFS('Resultater - Danmark'!$D$3:$D$504,'Resultat-Produktion &amp; forbrug'!A127,'Resultater - Danmark'!$A$3:$A$504,"Til energi")+COUNTIFS('Resultater - Danmark'!$D$3:$D$504,'Resultat-Produktion &amp; forbrug'!A127,'Resultater - Danmark'!$A$3:$A$504,"Biogasanlæg")&gt;0,1,0)</f>
        <v>1</v>
      </c>
      <c r="D127" s="189">
        <f t="shared" si="35"/>
        <v>2050</v>
      </c>
      <c r="E127" s="187" t="s">
        <v>23</v>
      </c>
      <c r="F127" s="190">
        <f>IF(E127="Vestdanmark",SUMIFS(IF(D127=År1,'Resultater - Vestdanmark'!H$3:H$504,IF(D127=År2,'Resultater - Vestdanmark'!I$3:I$504,'Resultater - Vestdanmark'!J$3:J$504)),'Resultater - Vestdanmark'!$F$3:$F$504,$A127,IF(D127=År1,'Resultater - Vestdanmark'!H$3:H$504,IF(D127=År2,'Resultater - Vestdanmark'!I$3:I$504,'Resultater - Vestdanmark'!J$3:J$504)),"&gt;0"),SUMIFS(IF(D127=År1,'Resultater - Østdanmark'!H$3:H$504,IF(D127=År2,'Resultater - Østdanmark'!I$3:I$504,'Resultater - Østdanmark'!J$3:J$504)),'Resultater - Østdanmark'!$F$3:$F$504,$A127,IF(D127=År1,'Resultater - Østdanmark'!H$3:H$504,IF(D127=År2,'Resultater - Østdanmark'!I$3:I$504,'Resultater - Østdanmark'!J$3:J$504)),"&gt;0"))</f>
        <v>209595.14629167612</v>
      </c>
      <c r="G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forbrug'!G$2,'Forbrug af biomasse'!$B$2:$B$425,$E127)</f>
        <v>0</v>
      </c>
      <c r="H127" s="187">
        <f>IF(E127="Vestdanmark",-IF(A127="Halm",SUMIFS(IF(D127=År1,'Resultater - Vestdanmark'!H$3:H$504,IF(D127=År2,'Resultater - Vestdanmark'!I$3:I$504,'Resultater - Vestdanmark'!J$3:J$504)),'Resultater - Vestdanmark'!$F$3:$F$504,$A127,'Resultater - Vestdanmark'!H$3:H$504,"&lt;0"),0),-IF(A127="Halm",SUMIFS(IF(D127=År1,'Resultater - Østdanmark'!H$3:H$504,IF(D127=År2,'Resultater - Østdanmark'!I$3:I$504,'Resultater - Østdanmark'!J$3:J$504)),'Resultater - Østdanmark'!$F$3:$F$504,$A127,'Resultater - Østdanmark'!H$3:H$504,"&lt;0"),0))</f>
        <v>0</v>
      </c>
      <c r="I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forbrug'!I$2,'Forbrug af biomasse'!$B$2:$B$425,$E127)</f>
        <v>0</v>
      </c>
      <c r="J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forbrug'!J$2,'Forbrug af biomasse'!$B$2:$B$425,$E127)</f>
        <v>0</v>
      </c>
      <c r="K127" s="190">
        <f>SUMIFS('Forbrug af biomasse'!$E$2:$E$425,'Forbrug af biomasse'!$C$2:$C$425,'Resultat-Produktion &amp; forbrug'!$A127,'Forbrug af biomasse'!$D$2:$D$425,'Resultat-Produktion &amp; forbrug'!$D127,'Forbrug af biomasse'!$A$2:$A$425,'Resultat-Produktion &amp; forbrug'!K$2,'Forbrug af biomasse'!$B$2:$B$425,$E127)</f>
        <v>0</v>
      </c>
      <c r="L127" s="190">
        <f>IF(A127&lt;&gt;"Biogas",SUMIFS('Forbrug af biomasse'!$E$2:$E$425,'Forbrug af biomasse'!$C$2:$C$425,'Resultat-Produktion &amp; forbrug'!$A127,'Forbrug af biomasse'!$D$2:$D$425,'Resultat-Produktion &amp; forbrug'!$D127,'Forbrug af biomasse'!$A$2:$A$425,'Resultat-Produktion &amp; forbrug'!L$2,'Forbrug af biomasse'!$B$2:$B$425,$E127),F127)</f>
        <v>0</v>
      </c>
      <c r="M127" s="154">
        <f>SUMIFS('Forbrug af biomasse'!E:E,'Forbrug af biomasse'!C:C,'Resultat-Produktion &amp; forbrug'!$A127,'Forbrug af biomasse'!D:D,'Resultat-Produktion &amp; forbrug'!$D127,'Forbrug af biomasse'!G:G,1,'Forbrug af biomasse'!B:B,$E127)</f>
        <v>0</v>
      </c>
      <c r="N127" s="199">
        <f t="shared" si="23"/>
        <v>209595.14629167612</v>
      </c>
      <c r="O127" s="190">
        <f t="shared" si="20"/>
        <v>209595.14629167612</v>
      </c>
      <c r="P127" s="200">
        <f t="shared" si="24"/>
        <v>0</v>
      </c>
      <c r="Q127" s="187">
        <f>IFERROR(VLOOKUP(A127,[1]Energiindhold!$A$2:$C$11,3,FALSE),IFERROR(VLOOKUP(A127,[1]Biogasudbytte!$A$2:$B$18,2,FALSE)*[1]Energiindhold!$C$10,0))*O127</f>
        <v>0.18811164379677933</v>
      </c>
      <c r="R127" s="187">
        <f>IF(A127&lt;&gt;"Biogas",IFERROR(VLOOKUP(A127,[1]Biogasudbytte!$A$2:$B$18,2,FALSE)*[1]Energiindhold!$C$10,0)*J127*IFERROR(VLOOKUP(A127,Biogasanlæg!$F$3:$G$8,2,FALSE),1)+IFERROR(VLOOKUP(A127,[1]Energiindhold!$A$2:$C$11,3,FALSE),0)*L127+IF(D127&lt;&gt;År1,Q127,0),0)</f>
        <v>0.18811164379677933</v>
      </c>
      <c r="S127" s="187">
        <f>IFERROR(VLOOKUP(A127,[1]Biogasudbytte!$A$2:$B$18,2,FALSE)*[1]Energiindhold!$C$10,0)*J127*IFERROR(VLOOKUP(A127,Biogasanlæg!$F$3:$G$8,2,FALSE),1)</f>
        <v>0</v>
      </c>
      <c r="T127" s="188">
        <f t="shared" si="25"/>
        <v>0.18811164379677933</v>
      </c>
      <c r="U127" s="186">
        <f>O127*IFERROR(VLOOKUP(A127,[1]Tørstofindhold!A$2:B$24,2,FALSE),0)</f>
        <v>31439.271943751417</v>
      </c>
      <c r="V127" s="187">
        <f>IF(D127=År1,P127,SUM(O127,P127))*IFERROR(VLOOKUP(A127,[1]Tørstofindhold!A$2:B$24,2,FALSE),0)</f>
        <v>31439.271943751417</v>
      </c>
      <c r="W127" s="187">
        <f>J127*IFERROR(VLOOKUP(A127,[1]Tørstofindhold!A$2:B$24,2,FALSE),0)</f>
        <v>0</v>
      </c>
      <c r="X127" s="188">
        <f t="shared" si="26"/>
        <v>31439.271943751417</v>
      </c>
      <c r="Y127" s="168">
        <f t="shared" si="21"/>
        <v>0</v>
      </c>
      <c r="Z127" s="103">
        <f t="shared" si="22"/>
        <v>1</v>
      </c>
    </row>
    <row r="128" spans="1:26" x14ac:dyDescent="0.25">
      <c r="A128" s="189" t="str">
        <f t="shared" si="33"/>
        <v>Oksekød</v>
      </c>
      <c r="B128" s="189" t="str">
        <f t="shared" si="34"/>
        <v/>
      </c>
      <c r="C128" s="189">
        <f>IF(COUNTIFS('Resultater - Danmark'!$D$3:$D$504,'Resultat-Produktion &amp; forbrug'!A128,'Resultater - Danmark'!$A$3:$A$504,"Til energi")+COUNTIFS('Resultater - Danmark'!$D$3:$D$504,'Resultat-Produktion &amp; forbrug'!A128,'Resultater - Danmark'!$A$3:$A$504,"Biogasanlæg")&gt;0,1,0)</f>
        <v>0</v>
      </c>
      <c r="D128" s="189">
        <f t="shared" si="35"/>
        <v>2050</v>
      </c>
      <c r="E128" s="187" t="s">
        <v>23</v>
      </c>
      <c r="F128" s="190">
        <f>IF(E128="Vestdanmark",SUMIFS(IF(D128=År1,'Resultater - Vestdanmark'!H$3:H$504,IF(D128=År2,'Resultater - Vestdanmark'!I$3:I$504,'Resultater - Vestdanmark'!J$3:J$504)),'Resultater - Vestdanmark'!$F$3:$F$504,$A128,IF(D128=År1,'Resultater - Vestdanmark'!H$3:H$504,IF(D128=År2,'Resultater - Vestdanmark'!I$3:I$504,'Resultater - Vestdanmark'!J$3:J$504)),"&gt;0"),SUMIFS(IF(D128=År1,'Resultater - Østdanmark'!H$3:H$504,IF(D128=År2,'Resultater - Østdanmark'!I$3:I$504,'Resultater - Østdanmark'!J$3:J$504)),'Resultater - Østdanmark'!$F$3:$F$504,$A128,IF(D128=År1,'Resultater - Østdanmark'!H$3:H$504,IF(D128=År2,'Resultater - Østdanmark'!I$3:I$504,'Resultater - Østdanmark'!J$3:J$504)),"&gt;0"))</f>
        <v>123345.7388852182</v>
      </c>
      <c r="G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forbrug'!G$2,'Forbrug af biomasse'!$B$2:$B$425,$E128)</f>
        <v>0</v>
      </c>
      <c r="H128" s="187">
        <f>IF(E128="Vestdanmark",-IF(A128="Halm",SUMIFS(IF(D128=År1,'Resultater - Vestdanmark'!H$3:H$504,IF(D128=År2,'Resultater - Vestdanmark'!I$3:I$504,'Resultater - Vestdanmark'!J$3:J$504)),'Resultater - Vestdanmark'!$F$3:$F$504,$A128,'Resultater - Vestdanmark'!H$3:H$504,"&lt;0"),0),-IF(A128="Halm",SUMIFS(IF(D128=År1,'Resultater - Østdanmark'!H$3:H$504,IF(D128=År2,'Resultater - Østdanmark'!I$3:I$504,'Resultater - Østdanmark'!J$3:J$504)),'Resultater - Østdanmark'!$F$3:$F$504,$A128,'Resultater - Østdanmark'!H$3:H$504,"&lt;0"),0))</f>
        <v>0</v>
      </c>
      <c r="I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forbrug'!I$2,'Forbrug af biomasse'!$B$2:$B$425,$E128)</f>
        <v>62368.567673274578</v>
      </c>
      <c r="J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forbrug'!J$2,'Forbrug af biomasse'!$B$2:$B$425,$E128)</f>
        <v>0</v>
      </c>
      <c r="K128" s="190">
        <f>SUMIFS('Forbrug af biomasse'!$E$2:$E$425,'Forbrug af biomasse'!$C$2:$C$425,'Resultat-Produktion &amp; forbrug'!$A128,'Forbrug af biomasse'!$D$2:$D$425,'Resultat-Produktion &amp; forbrug'!$D128,'Forbrug af biomasse'!$A$2:$A$425,'Resultat-Produktion &amp; forbrug'!K$2,'Forbrug af biomasse'!$B$2:$B$425,$E128)</f>
        <v>0</v>
      </c>
      <c r="L128" s="190">
        <f>IF(A128&lt;&gt;"Biogas",SUMIFS('Forbrug af biomasse'!$E$2:$E$425,'Forbrug af biomasse'!$C$2:$C$425,'Resultat-Produktion &amp; forbrug'!$A128,'Forbrug af biomasse'!$D$2:$D$425,'Resultat-Produktion &amp; forbrug'!$D128,'Forbrug af biomasse'!$A$2:$A$425,'Resultat-Produktion &amp; forbrug'!L$2,'Forbrug af biomasse'!$B$2:$B$425,$E128),F128)</f>
        <v>0</v>
      </c>
      <c r="M128" s="154">
        <f>SUMIFS('Forbrug af biomasse'!E:E,'Forbrug af biomasse'!C:C,'Resultat-Produktion &amp; forbrug'!$A128,'Forbrug af biomasse'!D:D,'Resultat-Produktion &amp; forbrug'!$D128,'Forbrug af biomasse'!G:G,1,'Forbrug af biomasse'!B:B,$E128)</f>
        <v>0</v>
      </c>
      <c r="N128" s="199">
        <f t="shared" si="23"/>
        <v>60977.171211943627</v>
      </c>
      <c r="O128" s="190">
        <f t="shared" si="20"/>
        <v>0</v>
      </c>
      <c r="P128" s="200">
        <f t="shared" si="24"/>
        <v>0</v>
      </c>
      <c r="Q128" s="187">
        <f>IFERROR(VLOOKUP(A128,[1]Energiindhold!$A$2:$C$11,3,FALSE),IFERROR(VLOOKUP(A128,[1]Biogasudbytte!$A$2:$B$18,2,FALSE)*[1]Energiindhold!$C$10,0))*O128</f>
        <v>0</v>
      </c>
      <c r="R128" s="187">
        <f>IF(A128&lt;&gt;"Biogas",IFERROR(VLOOKUP(A128,[1]Biogasudbytte!$A$2:$B$18,2,FALSE)*[1]Energiindhold!$C$10,0)*J128*IFERROR(VLOOKUP(A128,Biogasanlæg!$F$3:$G$8,2,FALSE),1)+IFERROR(VLOOKUP(A128,[1]Energiindhold!$A$2:$C$11,3,FALSE),0)*L128+IF(D128&lt;&gt;År1,Q128,0),0)</f>
        <v>0</v>
      </c>
      <c r="S128" s="187">
        <f>IFERROR(VLOOKUP(A128,[1]Biogasudbytte!$A$2:$B$18,2,FALSE)*[1]Energiindhold!$C$10,0)*J128*IFERROR(VLOOKUP(A128,Biogasanlæg!$F$3:$G$8,2,FALSE),1)</f>
        <v>0</v>
      </c>
      <c r="T128" s="188">
        <f t="shared" si="25"/>
        <v>0</v>
      </c>
      <c r="U128" s="186">
        <f>O128*IFERROR(VLOOKUP(A128,[1]Tørstofindhold!A$2:B$24,2,FALSE),0)</f>
        <v>0</v>
      </c>
      <c r="V128" s="187">
        <f>IF(D128=År1,P128,SUM(O128,P128))*IFERROR(VLOOKUP(A128,[1]Tørstofindhold!A$2:B$24,2,FALSE),0)</f>
        <v>0</v>
      </c>
      <c r="W128" s="187">
        <f>J128*IFERROR(VLOOKUP(A128,[1]Tørstofindhold!A$2:B$24,2,FALSE),0)</f>
        <v>0</v>
      </c>
      <c r="X128" s="188">
        <f t="shared" si="26"/>
        <v>0</v>
      </c>
      <c r="Y128" s="168">
        <f t="shared" si="21"/>
        <v>0</v>
      </c>
      <c r="Z128" s="103">
        <f t="shared" si="22"/>
        <v>1</v>
      </c>
    </row>
    <row r="129" spans="1:26" x14ac:dyDescent="0.25">
      <c r="A129" s="189" t="str">
        <f t="shared" si="33"/>
        <v>Øvrige</v>
      </c>
      <c r="B129" s="189" t="str">
        <f t="shared" si="34"/>
        <v/>
      </c>
      <c r="C129" s="189">
        <f>IF(COUNTIFS('Resultater - Danmark'!$D$3:$D$504,'Resultat-Produktion &amp; forbrug'!A129,'Resultater - Danmark'!$A$3:$A$504,"Til energi")+COUNTIFS('Resultater - Danmark'!$D$3:$D$504,'Resultat-Produktion &amp; forbrug'!A129,'Resultater - Danmark'!$A$3:$A$504,"Biogasanlæg")&gt;0,1,0)</f>
        <v>0</v>
      </c>
      <c r="D129" s="189">
        <f t="shared" si="35"/>
        <v>2050</v>
      </c>
      <c r="E129" s="187" t="s">
        <v>23</v>
      </c>
      <c r="F129" s="190">
        <f>IF(E129="Vestdanmark",SUMIFS(IF(D129=År1,'Resultater - Vestdanmark'!H$3:H$504,IF(D129=År2,'Resultater - Vestdanmark'!I$3:I$504,'Resultater - Vestdanmark'!J$3:J$504)),'Resultater - Vestdanmark'!$F$3:$F$504,$A129,IF(D129=År1,'Resultater - Vestdanmark'!H$3:H$504,IF(D129=År2,'Resultater - Vestdanmark'!I$3:I$504,'Resultater - Vestdanmark'!J$3:J$504)),"&gt;0"),SUMIFS(IF(D129=År1,'Resultater - Østdanmark'!H$3:H$504,IF(D129=År2,'Resultater - Østdanmark'!I$3:I$504,'Resultater - Østdanmark'!J$3:J$504)),'Resultater - Østdanmark'!$F$3:$F$504,$A129,IF(D129=År1,'Resultater - Østdanmark'!H$3:H$504,IF(D129=År2,'Resultater - Østdanmark'!I$3:I$504,'Resultater - Østdanmark'!J$3:J$504)),"&gt;0"))</f>
        <v>1745209.0344552125</v>
      </c>
      <c r="G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forbrug'!G$2,'Forbrug af biomasse'!$B$2:$B$425,$E129)</f>
        <v>0</v>
      </c>
      <c r="H129" s="187">
        <f>IF(E129="Vestdanmark",-IF(A129="Halm",SUMIFS(IF(D129=År1,'Resultater - Vestdanmark'!H$3:H$504,IF(D129=År2,'Resultater - Vestdanmark'!I$3:I$504,'Resultater - Vestdanmark'!J$3:J$504)),'Resultater - Vestdanmark'!$F$3:$F$504,$A129,'Resultater - Vestdanmark'!H$3:H$504,"&lt;0"),0),-IF(A129="Halm",SUMIFS(IF(D129=År1,'Resultater - Østdanmark'!H$3:H$504,IF(D129=År2,'Resultater - Østdanmark'!I$3:I$504,'Resultater - Østdanmark'!J$3:J$504)),'Resultater - Østdanmark'!$F$3:$F$504,$A129,'Resultater - Østdanmark'!H$3:H$504,"&lt;0"),0))</f>
        <v>0</v>
      </c>
      <c r="I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forbrug'!I$2,'Forbrug af biomasse'!$B$2:$B$425,$E129)</f>
        <v>0</v>
      </c>
      <c r="J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forbrug'!J$2,'Forbrug af biomasse'!$B$2:$B$425,$E129)</f>
        <v>0</v>
      </c>
      <c r="K129" s="190">
        <f>SUMIFS('Forbrug af biomasse'!$E$2:$E$425,'Forbrug af biomasse'!$C$2:$C$425,'Resultat-Produktion &amp; forbrug'!$A129,'Forbrug af biomasse'!$D$2:$D$425,'Resultat-Produktion &amp; forbrug'!$D129,'Forbrug af biomasse'!$A$2:$A$425,'Resultat-Produktion &amp; forbrug'!K$2,'Forbrug af biomasse'!$B$2:$B$425,$E129)</f>
        <v>0</v>
      </c>
      <c r="L129" s="190">
        <f>IF(A129&lt;&gt;"Biogas",SUMIFS('Forbrug af biomasse'!$E$2:$E$425,'Forbrug af biomasse'!$C$2:$C$425,'Resultat-Produktion &amp; forbrug'!$A129,'Forbrug af biomasse'!$D$2:$D$425,'Resultat-Produktion &amp; forbrug'!$D129,'Forbrug af biomasse'!$A$2:$A$425,'Resultat-Produktion &amp; forbrug'!L$2,'Forbrug af biomasse'!$B$2:$B$425,$E129),F129)</f>
        <v>0</v>
      </c>
      <c r="M129" s="154">
        <f>SUMIFS('Forbrug af biomasse'!E:E,'Forbrug af biomasse'!C:C,'Resultat-Produktion &amp; forbrug'!$A129,'Forbrug af biomasse'!D:D,'Resultat-Produktion &amp; forbrug'!$D129,'Forbrug af biomasse'!G:G,1,'Forbrug af biomasse'!B:B,$E129)</f>
        <v>0</v>
      </c>
      <c r="N129" s="199">
        <f t="shared" si="23"/>
        <v>1745209.0344552125</v>
      </c>
      <c r="O129" s="190">
        <f t="shared" si="20"/>
        <v>0</v>
      </c>
      <c r="P129" s="200">
        <f t="shared" si="24"/>
        <v>0</v>
      </c>
      <c r="Q129" s="187">
        <f>IFERROR(VLOOKUP(A129,[1]Energiindhold!$A$2:$C$11,3,FALSE),IFERROR(VLOOKUP(A129,[1]Biogasudbytte!$A$2:$B$18,2,FALSE)*[1]Energiindhold!$C$10,0))*O129</f>
        <v>0</v>
      </c>
      <c r="R129" s="187">
        <f>IF(A129&lt;&gt;"Biogas",IFERROR(VLOOKUP(A129,[1]Biogasudbytte!$A$2:$B$18,2,FALSE)*[1]Energiindhold!$C$10,0)*J129*IFERROR(VLOOKUP(A129,Biogasanlæg!$F$3:$G$8,2,FALSE),1)+IFERROR(VLOOKUP(A129,[1]Energiindhold!$A$2:$C$11,3,FALSE),0)*L129+IF(D129&lt;&gt;År1,Q129,0),0)</f>
        <v>0</v>
      </c>
      <c r="S129" s="187">
        <f>IFERROR(VLOOKUP(A129,[1]Biogasudbytte!$A$2:$B$18,2,FALSE)*[1]Energiindhold!$C$10,0)*J129*IFERROR(VLOOKUP(A129,Biogasanlæg!$F$3:$G$8,2,FALSE),1)</f>
        <v>0</v>
      </c>
      <c r="T129" s="188">
        <f t="shared" si="25"/>
        <v>0</v>
      </c>
      <c r="U129" s="186">
        <f>O129*IFERROR(VLOOKUP(A129,[1]Tørstofindhold!A$2:B$24,2,FALSE),0)</f>
        <v>0</v>
      </c>
      <c r="V129" s="187">
        <f>IF(D129=År1,P129,SUM(O129,P129))*IFERROR(VLOOKUP(A129,[1]Tørstofindhold!A$2:B$24,2,FALSE),0)</f>
        <v>0</v>
      </c>
      <c r="W129" s="187">
        <f>J129*IFERROR(VLOOKUP(A129,[1]Tørstofindhold!A$2:B$24,2,FALSE),0)</f>
        <v>0</v>
      </c>
      <c r="X129" s="188">
        <f t="shared" si="26"/>
        <v>0</v>
      </c>
      <c r="Y129" s="168">
        <f t="shared" si="21"/>
        <v>0</v>
      </c>
      <c r="Z129" s="103">
        <f t="shared" si="22"/>
        <v>1</v>
      </c>
    </row>
    <row r="130" spans="1:26" x14ac:dyDescent="0.25">
      <c r="A130" s="189" t="str">
        <f t="shared" si="33"/>
        <v>Pil &amp; poppel</v>
      </c>
      <c r="B130" s="189" t="str">
        <f t="shared" si="34"/>
        <v>Vedmasse</v>
      </c>
      <c r="C130" s="189">
        <f>IF(COUNTIFS('Resultater - Danmark'!$D$3:$D$504,'Resultat-Produktion &amp; forbrug'!A130,'Resultater - Danmark'!$A$3:$A$504,"Til energi")+COUNTIFS('Resultater - Danmark'!$D$3:$D$504,'Resultat-Produktion &amp; forbrug'!A130,'Resultater - Danmark'!$A$3:$A$504,"Biogasanlæg")&gt;0,1,0)</f>
        <v>1</v>
      </c>
      <c r="D130" s="189">
        <f t="shared" si="35"/>
        <v>2050</v>
      </c>
      <c r="E130" s="187" t="s">
        <v>23</v>
      </c>
      <c r="F130" s="190">
        <f>IF(E130="Vestdanmark",SUMIFS(IF(D130=År1,'Resultater - Vestdanmark'!H$3:H$504,IF(D130=År2,'Resultater - Vestdanmark'!I$3:I$504,'Resultater - Vestdanmark'!J$3:J$504)),'Resultater - Vestdanmark'!$F$3:$F$504,$A130,IF(D130=År1,'Resultater - Vestdanmark'!H$3:H$504,IF(D130=År2,'Resultater - Vestdanmark'!I$3:I$504,'Resultater - Vestdanmark'!J$3:J$504)),"&gt;0"),SUMIFS(IF(D130=År1,'Resultater - Østdanmark'!H$3:H$504,IF(D130=År2,'Resultater - Østdanmark'!I$3:I$504,'Resultater - Østdanmark'!J$3:J$504)),'Resultater - Østdanmark'!$F$3:$F$504,$A130,IF(D130=År1,'Resultater - Østdanmark'!H$3:H$504,IF(D130=År2,'Resultater - Østdanmark'!I$3:I$504,'Resultater - Østdanmark'!J$3:J$504)),"&gt;0"))</f>
        <v>183249.6836740704</v>
      </c>
      <c r="G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forbrug'!G$2,'Forbrug af biomasse'!$B$2:$B$425,$E130)</f>
        <v>0</v>
      </c>
      <c r="H130" s="187">
        <f>IF(E130="Vestdanmark",-IF(A130="Halm",SUMIFS(IF(D130=År1,'Resultater - Vestdanmark'!H$3:H$504,IF(D130=År2,'Resultater - Vestdanmark'!I$3:I$504,'Resultater - Vestdanmark'!J$3:J$504)),'Resultater - Vestdanmark'!$F$3:$F$504,$A130,'Resultater - Vestdanmark'!H$3:H$504,"&lt;0"),0),-IF(A130="Halm",SUMIFS(IF(D130=År1,'Resultater - Østdanmark'!H$3:H$504,IF(D130=År2,'Resultater - Østdanmark'!I$3:I$504,'Resultater - Østdanmark'!J$3:J$504)),'Resultater - Østdanmark'!$F$3:$F$504,$A130,'Resultater - Østdanmark'!H$3:H$504,"&lt;0"),0))</f>
        <v>0</v>
      </c>
      <c r="I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forbrug'!I$2,'Forbrug af biomasse'!$B$2:$B$425,$E130)</f>
        <v>0</v>
      </c>
      <c r="J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forbrug'!J$2,'Forbrug af biomasse'!$B$2:$B$425,$E130)</f>
        <v>0</v>
      </c>
      <c r="K130" s="190">
        <f>SUMIFS('Forbrug af biomasse'!$E$2:$E$425,'Forbrug af biomasse'!$C$2:$C$425,'Resultat-Produktion &amp; forbrug'!$A130,'Forbrug af biomasse'!$D$2:$D$425,'Resultat-Produktion &amp; forbrug'!$D130,'Forbrug af biomasse'!$A$2:$A$425,'Resultat-Produktion &amp; forbrug'!K$2,'Forbrug af biomasse'!$B$2:$B$425,$E130)</f>
        <v>0</v>
      </c>
      <c r="L130" s="190">
        <f>IF(A130&lt;&gt;"Biogas",SUMIFS('Forbrug af biomasse'!$E$2:$E$425,'Forbrug af biomasse'!$C$2:$C$425,'Resultat-Produktion &amp; forbrug'!$A130,'Forbrug af biomasse'!$D$2:$D$425,'Resultat-Produktion &amp; forbrug'!$D130,'Forbrug af biomasse'!$A$2:$A$425,'Resultat-Produktion &amp; forbrug'!L$2,'Forbrug af biomasse'!$B$2:$B$425,$E130),F130)</f>
        <v>183249.6836740704</v>
      </c>
      <c r="M130" s="154">
        <f>SUMIFS('Forbrug af biomasse'!E:E,'Forbrug af biomasse'!C:C,'Resultat-Produktion &amp; forbrug'!$A130,'Forbrug af biomasse'!D:D,'Resultat-Produktion &amp; forbrug'!$D130,'Forbrug af biomasse'!G:G,1,'Forbrug af biomasse'!B:B,$E130)</f>
        <v>0</v>
      </c>
      <c r="N130" s="199">
        <f t="shared" si="23"/>
        <v>0</v>
      </c>
      <c r="O130" s="190">
        <f t="shared" si="20"/>
        <v>0</v>
      </c>
      <c r="P130" s="200">
        <f t="shared" si="24"/>
        <v>183249.6836740704</v>
      </c>
      <c r="Q130" s="187">
        <f>IFERROR(VLOOKUP(A130,[1]Energiindhold!$A$2:$C$11,3,FALSE),IFERROR(VLOOKUP(A130,[1]Biogasudbytte!$A$2:$B$18,2,FALSE)*[1]Energiindhold!$C$10,0))*O130</f>
        <v>0</v>
      </c>
      <c r="R130" s="187">
        <f>IF(A130&lt;&gt;"Biogas",IFERROR(VLOOKUP(A130,[1]Biogasudbytte!$A$2:$B$18,2,FALSE)*[1]Energiindhold!$C$10,0)*J130*IFERROR(VLOOKUP(A130,Biogasanlæg!$F$3:$G$8,2,FALSE),1)+IFERROR(VLOOKUP(A130,[1]Energiindhold!$A$2:$C$11,3,FALSE),0)*L130+IF(D130&lt;&gt;År1,Q130,0),0)</f>
        <v>3.3717941796028947</v>
      </c>
      <c r="S130" s="187">
        <f>IFERROR(VLOOKUP(A130,[1]Biogasudbytte!$A$2:$B$18,2,FALSE)*[1]Energiindhold!$C$10,0)*J130*IFERROR(VLOOKUP(A130,Biogasanlæg!$F$3:$G$8,2,FALSE),1)</f>
        <v>0</v>
      </c>
      <c r="T130" s="188">
        <f t="shared" si="25"/>
        <v>3.3717941796028947</v>
      </c>
      <c r="U130" s="186">
        <f>O130*IFERROR(VLOOKUP(A130,[1]Tørstofindhold!A$2:B$24,2,FALSE),0)</f>
        <v>0</v>
      </c>
      <c r="V130" s="187">
        <f>IF(D130=År1,P130,SUM(O130,P130))*IFERROR(VLOOKUP(A130,[1]Tørstofindhold!A$2:B$24,2,FALSE),0)</f>
        <v>76048.618724739223</v>
      </c>
      <c r="W130" s="187">
        <f>J130*IFERROR(VLOOKUP(A130,[1]Tørstofindhold!A$2:B$24,2,FALSE),0)</f>
        <v>0</v>
      </c>
      <c r="X130" s="188">
        <f t="shared" si="26"/>
        <v>76048.618724739223</v>
      </c>
      <c r="Y130" s="168">
        <f t="shared" si="21"/>
        <v>0</v>
      </c>
      <c r="Z130" s="103">
        <f t="shared" si="22"/>
        <v>0</v>
      </c>
    </row>
    <row r="131" spans="1:26" x14ac:dyDescent="0.25">
      <c r="A131" s="189" t="str">
        <f t="shared" ref="A131:A132" si="36">A83</f>
        <v>Pyrolysegas</v>
      </c>
      <c r="B131" s="189" t="str">
        <f t="shared" ref="B131:B132" si="37">IF(B83&lt;&gt;"",B83,"")</f>
        <v>Pyrolyseprodukter</v>
      </c>
      <c r="C131" s="189">
        <f>IF(COUNTIFS('Resultater - Danmark'!$D$3:$D$504,'Resultat-Produktion &amp; forbrug'!A131,'Resultater - Danmark'!$A$3:$A$504,"Til energi")+COUNTIFS('Resultater - Danmark'!$D$3:$D$504,'Resultat-Produktion &amp; forbrug'!A131,'Resultater - Danmark'!$A$3:$A$504,"Biogasanlæg")&gt;0,1,0)</f>
        <v>1</v>
      </c>
      <c r="D131" s="189">
        <f t="shared" si="35"/>
        <v>2050</v>
      </c>
      <c r="E131" s="187" t="s">
        <v>23</v>
      </c>
      <c r="F131" s="190">
        <f>IF(E131="Vestdanmark",SUMIFS(IF(D131=År1,'Resultater - Vestdanmark'!H$3:H$504,IF(D131=År2,'Resultater - Vestdanmark'!I$3:I$504,'Resultater - Vestdanmark'!J$3:J$504)),'Resultater - Vestdanmark'!$F$3:$F$504,$A131,IF(D131=År1,'Resultater - Vestdanmark'!H$3:H$504,IF(D131=År2,'Resultater - Vestdanmark'!I$3:I$504,'Resultater - Vestdanmark'!J$3:J$504)),"&gt;0"),SUMIFS(IF(D131=År1,'Resultater - Østdanmark'!H$3:H$504,IF(D131=År2,'Resultater - Østdanmark'!I$3:I$504,'Resultater - Østdanmark'!J$3:J$504)),'Resultater - Østdanmark'!$F$3:$F$504,$A131,IF(D131=År1,'Resultater - Østdanmark'!H$3:H$504,IF(D131=År2,'Resultater - Østdanmark'!I$3:I$504,'Resultater - Østdanmark'!J$3:J$504)),"&gt;0"))</f>
        <v>0</v>
      </c>
      <c r="G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forbrug'!G$2,'Forbrug af biomasse'!$B$2:$B$425,$E131)</f>
        <v>0</v>
      </c>
      <c r="H131" s="187">
        <f>IF(E131="Vestdanmark",-IF(A131="Halm",SUMIFS(IF(D131=År1,'Resultater - Vestdanmark'!H$3:H$504,IF(D131=År2,'Resultater - Vestdanmark'!I$3:I$504,'Resultater - Vestdanmark'!J$3:J$504)),'Resultater - Vestdanmark'!$F$3:$F$504,$A131,'Resultater - Vestdanmark'!H$3:H$504,"&lt;0"),0),-IF(A131="Halm",SUMIFS(IF(D131=År1,'Resultater - Østdanmark'!H$3:H$504,IF(D131=År2,'Resultater - Østdanmark'!I$3:I$504,'Resultater - Østdanmark'!J$3:J$504)),'Resultater - Østdanmark'!$F$3:$F$504,$A131,'Resultater - Østdanmark'!H$3:H$504,"&lt;0"),0))</f>
        <v>0</v>
      </c>
      <c r="I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forbrug'!I$2,'Forbrug af biomasse'!$B$2:$B$425,$E131)</f>
        <v>0</v>
      </c>
      <c r="J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forbrug'!J$2,'Forbrug af biomasse'!$B$2:$B$425,$E131)</f>
        <v>0</v>
      </c>
      <c r="K131" s="190">
        <f>SUMIFS('Forbrug af biomasse'!$E$2:$E$425,'Forbrug af biomasse'!$C$2:$C$425,'Resultat-Produktion &amp; forbrug'!$A131,'Forbrug af biomasse'!$D$2:$D$425,'Resultat-Produktion &amp; forbrug'!$D131,'Forbrug af biomasse'!$A$2:$A$425,'Resultat-Produktion &amp; forbrug'!K$2,'Forbrug af biomasse'!$B$2:$B$425,$E131)</f>
        <v>0</v>
      </c>
      <c r="L131" s="190">
        <f>IF(A131&lt;&gt;"Biogas",SUMIFS('Forbrug af biomasse'!$E$2:$E$425,'Forbrug af biomasse'!$C$2:$C$425,'Resultat-Produktion &amp; forbrug'!$A131,'Forbrug af biomasse'!$D$2:$D$425,'Resultat-Produktion &amp; forbrug'!$D131,'Forbrug af biomasse'!$A$2:$A$425,'Resultat-Produktion &amp; forbrug'!L$2,'Forbrug af biomasse'!$B$2:$B$425,$E131),F131)</f>
        <v>0</v>
      </c>
      <c r="M131" s="154">
        <f>SUMIFS('Forbrug af biomasse'!E:E,'Forbrug af biomasse'!C:C,'Resultat-Produktion &amp; forbrug'!$A131,'Forbrug af biomasse'!D:D,'Resultat-Produktion &amp; forbrug'!$D131,'Forbrug af biomasse'!G:G,1,'Forbrug af biomasse'!B:B,$E131)</f>
        <v>0</v>
      </c>
      <c r="N131" s="199">
        <f t="shared" ref="N131:N132" si="38">F131-SUM(G131:M131)</f>
        <v>0</v>
      </c>
      <c r="O131" s="190">
        <f t="shared" ref="O131:O194" si="39">IF(C131=1,IF(N131+IF(SUMIFS($N$3:$N$290,$A$3:$A$290,A131,$D$3:$D$290,D131,$E$3:$E$290,"&lt;&gt;"&amp;E131)&lt;0,SUMIFS($N$3:$N$290,$A$3:$A$290,A131,$D$3:$D$290,D131,$E$3:$E$290,"&lt;&gt;"&amp;E131),0)&gt;0,N131+IF(SUMIFS($N$3:$N$290,$A$3:$A$290,A131,$D$3:$D$290,D131,$E$3:$E$290,"&lt;&gt;"&amp;E131)&lt;0,SUMIFS($N$3:$N$290,$A$3:$A$290,A131,$D$3:$D$290,D131,$E$3:$E$290,"&lt;&gt;"&amp;E131),0),0),0)</f>
        <v>0</v>
      </c>
      <c r="P131" s="200">
        <f t="shared" ref="P131:P132" si="40">SUM(J131,L131)</f>
        <v>0</v>
      </c>
      <c r="Q131" s="187">
        <f>IFERROR(VLOOKUP(A131,[1]Energiindhold!$A$2:$C$11,3,FALSE),IFERROR(VLOOKUP(A131,[1]Biogasudbytte!$A$2:$B$18,2,FALSE)*[1]Energiindhold!$C$10,0))*O131</f>
        <v>0</v>
      </c>
      <c r="R131" s="187">
        <f>IF(A131&lt;&gt;"Biogas",IFERROR(VLOOKUP(A131,[1]Biogasudbytte!$A$2:$B$18,2,FALSE)*[1]Energiindhold!$C$10,0)*J131*IFERROR(VLOOKUP(A131,Biogasanlæg!$F$3:$G$8,2,FALSE),1)+IFERROR(VLOOKUP(A131,[1]Energiindhold!$A$2:$C$11,3,FALSE),0)*L131+IF(D131&lt;&gt;År1,Q131,0),0)</f>
        <v>0</v>
      </c>
      <c r="S131" s="187">
        <f>IFERROR(VLOOKUP(A131,[1]Biogasudbytte!$A$2:$B$18,2,FALSE)*[1]Energiindhold!$C$10,0)*J131*IFERROR(VLOOKUP(A131,Biogasanlæg!$F$3:$G$8,2,FALSE),1)</f>
        <v>0</v>
      </c>
      <c r="T131" s="188">
        <f t="shared" ref="T131:T132" si="41">R131-S131</f>
        <v>0</v>
      </c>
      <c r="U131" s="186">
        <f>O131*IFERROR(VLOOKUP(A131,[1]Tørstofindhold!A$2:B$24,2,FALSE),0)</f>
        <v>0</v>
      </c>
      <c r="V131" s="187">
        <f>IF(D131=År1,P131,SUM(O131,P131))*IFERROR(VLOOKUP(A131,[1]Tørstofindhold!A$2:B$24,2,FALSE),0)</f>
        <v>0</v>
      </c>
      <c r="W131" s="187">
        <f>J131*IFERROR(VLOOKUP(A131,[1]Tørstofindhold!A$2:B$24,2,FALSE),0)</f>
        <v>0</v>
      </c>
      <c r="X131" s="188">
        <f t="shared" ref="X131:X132" si="42">V131-W131</f>
        <v>0</v>
      </c>
      <c r="Y131" s="168">
        <f t="shared" ref="Y131:Y194" si="43">IF(SUMIFS($N$3:$N$290,$A$3:$A$290,A131,$D$3:$D$290,D131)&lt;0,1,0)</f>
        <v>0</v>
      </c>
      <c r="Z131" s="103">
        <f t="shared" ref="Z131:Z194" si="44">IF(SUMIFS($N$3:$N$290,$A$3:$A$290,A131,$D$3:$D$290,D131)&gt;0,1,0)</f>
        <v>0</v>
      </c>
    </row>
    <row r="132" spans="1:26" x14ac:dyDescent="0.25">
      <c r="A132" s="189" t="str">
        <f t="shared" si="36"/>
        <v>Pyrolyseolie</v>
      </c>
      <c r="B132" s="189" t="str">
        <f t="shared" si="37"/>
        <v>Pyrolyseprodukter</v>
      </c>
      <c r="C132" s="189">
        <f>IF(COUNTIFS('Resultater - Danmark'!$D$3:$D$504,'Resultat-Produktion &amp; forbrug'!A132,'Resultater - Danmark'!$A$3:$A$504,"Til energi")+COUNTIFS('Resultater - Danmark'!$D$3:$D$504,'Resultat-Produktion &amp; forbrug'!A132,'Resultater - Danmark'!$A$3:$A$504,"Biogasanlæg")&gt;0,1,0)</f>
        <v>1</v>
      </c>
      <c r="D132" s="189">
        <f t="shared" si="35"/>
        <v>2050</v>
      </c>
      <c r="E132" s="187" t="s">
        <v>23</v>
      </c>
      <c r="F132" s="190">
        <f>IF(E132="Vestdanmark",SUMIFS(IF(D132=År1,'Resultater - Vestdanmark'!H$3:H$504,IF(D132=År2,'Resultater - Vestdanmark'!I$3:I$504,'Resultater - Vestdanmark'!J$3:J$504)),'Resultater - Vestdanmark'!$F$3:$F$504,$A132,IF(D132=År1,'Resultater - Vestdanmark'!H$3:H$504,IF(D132=År2,'Resultater - Vestdanmark'!I$3:I$504,'Resultater - Vestdanmark'!J$3:J$504)),"&gt;0"),SUMIFS(IF(D132=År1,'Resultater - Østdanmark'!H$3:H$504,IF(D132=År2,'Resultater - Østdanmark'!I$3:I$504,'Resultater - Østdanmark'!J$3:J$504)),'Resultater - Østdanmark'!$F$3:$F$504,$A132,IF(D132=År1,'Resultater - Østdanmark'!H$3:H$504,IF(D132=År2,'Resultater - Østdanmark'!I$3:I$504,'Resultater - Østdanmark'!J$3:J$504)),"&gt;0"))</f>
        <v>0</v>
      </c>
      <c r="G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forbrug'!G$2,'Forbrug af biomasse'!$B$2:$B$425,$E132)</f>
        <v>0</v>
      </c>
      <c r="H132" s="187">
        <f>IF(E132="Vestdanmark",-IF(A132="Halm",SUMIFS(IF(D132=År1,'Resultater - Vestdanmark'!H$3:H$504,IF(D132=År2,'Resultater - Vestdanmark'!I$3:I$504,'Resultater - Vestdanmark'!J$3:J$504)),'Resultater - Vestdanmark'!$F$3:$F$504,$A132,'Resultater - Vestdanmark'!H$3:H$504,"&lt;0"),0),-IF(A132="Halm",SUMIFS(IF(D132=År1,'Resultater - Østdanmark'!H$3:H$504,IF(D132=År2,'Resultater - Østdanmark'!I$3:I$504,'Resultater - Østdanmark'!J$3:J$504)),'Resultater - Østdanmark'!$F$3:$F$504,$A132,'Resultater - Østdanmark'!H$3:H$504,"&lt;0"),0))</f>
        <v>0</v>
      </c>
      <c r="I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forbrug'!I$2,'Forbrug af biomasse'!$B$2:$B$425,$E132)</f>
        <v>0</v>
      </c>
      <c r="J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forbrug'!J$2,'Forbrug af biomasse'!$B$2:$B$425,$E132)</f>
        <v>0</v>
      </c>
      <c r="K132" s="190">
        <f>SUMIFS('Forbrug af biomasse'!$E$2:$E$425,'Forbrug af biomasse'!$C$2:$C$425,'Resultat-Produktion &amp; forbrug'!$A132,'Forbrug af biomasse'!$D$2:$D$425,'Resultat-Produktion &amp; forbrug'!$D132,'Forbrug af biomasse'!$A$2:$A$425,'Resultat-Produktion &amp; forbrug'!K$2,'Forbrug af biomasse'!$B$2:$B$425,$E132)</f>
        <v>0</v>
      </c>
      <c r="L132" s="190">
        <f>IF(A132&lt;&gt;"Biogas",SUMIFS('Forbrug af biomasse'!$E$2:$E$425,'Forbrug af biomasse'!$C$2:$C$425,'Resultat-Produktion &amp; forbrug'!$A132,'Forbrug af biomasse'!$D$2:$D$425,'Resultat-Produktion &amp; forbrug'!$D132,'Forbrug af biomasse'!$A$2:$A$425,'Resultat-Produktion &amp; forbrug'!L$2,'Forbrug af biomasse'!$B$2:$B$425,$E132),F132)</f>
        <v>0</v>
      </c>
      <c r="M132" s="154">
        <f>SUMIFS('Forbrug af biomasse'!E:E,'Forbrug af biomasse'!C:C,'Resultat-Produktion &amp; forbrug'!$A132,'Forbrug af biomasse'!D:D,'Resultat-Produktion &amp; forbrug'!$D132,'Forbrug af biomasse'!G:G,1,'Forbrug af biomasse'!B:B,$E132)</f>
        <v>0</v>
      </c>
      <c r="N132" s="199">
        <f t="shared" si="38"/>
        <v>0</v>
      </c>
      <c r="O132" s="190">
        <f t="shared" si="39"/>
        <v>0</v>
      </c>
      <c r="P132" s="200">
        <f t="shared" si="40"/>
        <v>0</v>
      </c>
      <c r="Q132" s="187">
        <f>IFERROR(VLOOKUP(A132,[1]Energiindhold!$A$2:$C$11,3,FALSE),IFERROR(VLOOKUP(A132,[1]Biogasudbytte!$A$2:$B$18,2,FALSE)*[1]Energiindhold!$C$10,0))*O132</f>
        <v>0</v>
      </c>
      <c r="R132" s="187">
        <f>IF(A132&lt;&gt;"Biogas",IFERROR(VLOOKUP(A132,[1]Biogasudbytte!$A$2:$B$18,2,FALSE)*[1]Energiindhold!$C$10,0)*J132*IFERROR(VLOOKUP(A132,Biogasanlæg!$F$3:$G$8,2,FALSE),1)+IFERROR(VLOOKUP(A132,[1]Energiindhold!$A$2:$C$11,3,FALSE),0)*L132+IF(D132&lt;&gt;År1,Q132,0),0)</f>
        <v>0</v>
      </c>
      <c r="S132" s="187">
        <f>IFERROR(VLOOKUP(A132,[1]Biogasudbytte!$A$2:$B$18,2,FALSE)*[1]Energiindhold!$C$10,0)*J132*IFERROR(VLOOKUP(A132,Biogasanlæg!$F$3:$G$8,2,FALSE),1)</f>
        <v>0</v>
      </c>
      <c r="T132" s="188">
        <f t="shared" si="41"/>
        <v>0</v>
      </c>
      <c r="U132" s="186">
        <f>O132*IFERROR(VLOOKUP(A132,[1]Tørstofindhold!A$2:B$24,2,FALSE),0)</f>
        <v>0</v>
      </c>
      <c r="V132" s="187">
        <f>IF(D132=År1,P132,SUM(O132,P132))*IFERROR(VLOOKUP(A132,[1]Tørstofindhold!A$2:B$24,2,FALSE),0)</f>
        <v>0</v>
      </c>
      <c r="W132" s="187">
        <f>J132*IFERROR(VLOOKUP(A132,[1]Tørstofindhold!A$2:B$24,2,FALSE),0)</f>
        <v>0</v>
      </c>
      <c r="X132" s="188">
        <f t="shared" si="42"/>
        <v>0</v>
      </c>
      <c r="Y132" s="168">
        <f t="shared" si="43"/>
        <v>0</v>
      </c>
      <c r="Z132" s="103">
        <f t="shared" si="44"/>
        <v>0</v>
      </c>
    </row>
    <row r="133" spans="1:26" x14ac:dyDescent="0.25">
      <c r="A133" s="189" t="str">
        <f t="shared" ref="A133:A146" si="45">A85</f>
        <v>Råmælk</v>
      </c>
      <c r="B133" s="189" t="str">
        <f t="shared" ref="B133:B146" si="46">IF(B85&lt;&gt;"",B85,"")</f>
        <v/>
      </c>
      <c r="C133" s="189">
        <f>IF(COUNTIFS('Resultater - Danmark'!$D$3:$D$504,'Resultat-Produktion &amp; forbrug'!A133,'Resultater - Danmark'!$A$3:$A$504,"Til energi")+COUNTIFS('Resultater - Danmark'!$D$3:$D$504,'Resultat-Produktion &amp; forbrug'!A133,'Resultater - Danmark'!$A$3:$A$504,"Biogasanlæg")&gt;0,1,0)</f>
        <v>0</v>
      </c>
      <c r="D133" s="189">
        <f t="shared" si="35"/>
        <v>2050</v>
      </c>
      <c r="E133" s="187" t="s">
        <v>23</v>
      </c>
      <c r="F133" s="190">
        <f>IF(E133="Vestdanmark",SUMIFS(IF(D133=År1,'Resultater - Vestdanmark'!H$3:H$504,IF(D133=År2,'Resultater - Vestdanmark'!I$3:I$504,'Resultater - Vestdanmark'!J$3:J$504)),'Resultater - Vestdanmark'!$F$3:$F$504,$A133,IF(D133=År1,'Resultater - Vestdanmark'!H$3:H$504,IF(D133=År2,'Resultater - Vestdanmark'!I$3:I$504,'Resultater - Vestdanmark'!J$3:J$504)),"&gt;0"),SUMIFS(IF(D133=År1,'Resultater - Østdanmark'!H$3:H$504,IF(D133=År2,'Resultater - Østdanmark'!I$3:I$504,'Resultater - Østdanmark'!J$3:J$504)),'Resultater - Østdanmark'!$F$3:$F$504,$A133,IF(D133=År1,'Resultater - Østdanmark'!H$3:H$504,IF(D133=År2,'Resultater - Østdanmark'!I$3:I$504,'Resultater - Østdanmark'!J$3:J$504)),"&gt;0"))</f>
        <v>5735954.3578613317</v>
      </c>
      <c r="G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forbrug'!G$2,'Forbrug af biomasse'!$B$2:$B$425,$E133)</f>
        <v>0</v>
      </c>
      <c r="H133" s="187">
        <f>IF(E133="Vestdanmark",-IF(A133="Halm",SUMIFS(IF(D133=År1,'Resultater - Vestdanmark'!H$3:H$504,IF(D133=År2,'Resultater - Vestdanmark'!I$3:I$504,'Resultater - Vestdanmark'!J$3:J$504)),'Resultater - Vestdanmark'!$F$3:$F$504,$A133,'Resultater - Vestdanmark'!H$3:H$504,"&lt;0"),0),-IF(A133="Halm",SUMIFS(IF(D133=År1,'Resultater - Østdanmark'!H$3:H$504,IF(D133=År2,'Resultater - Østdanmark'!I$3:I$504,'Resultater - Østdanmark'!J$3:J$504)),'Resultater - Østdanmark'!$F$3:$F$504,$A133,'Resultater - Østdanmark'!H$3:H$504,"&lt;0"),0))</f>
        <v>0</v>
      </c>
      <c r="I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forbrug'!I$2,'Forbrug af biomasse'!$B$2:$B$425,$E133)</f>
        <v>0</v>
      </c>
      <c r="J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forbrug'!J$2,'Forbrug af biomasse'!$B$2:$B$425,$E133)</f>
        <v>0</v>
      </c>
      <c r="K133" s="190">
        <f>SUMIFS('Forbrug af biomasse'!$E$2:$E$425,'Forbrug af biomasse'!$C$2:$C$425,'Resultat-Produktion &amp; forbrug'!$A133,'Forbrug af biomasse'!$D$2:$D$425,'Resultat-Produktion &amp; forbrug'!$D133,'Forbrug af biomasse'!$A$2:$A$425,'Resultat-Produktion &amp; forbrug'!K$2,'Forbrug af biomasse'!$B$2:$B$425,$E133)</f>
        <v>0</v>
      </c>
      <c r="L133" s="190">
        <f>IF(A133&lt;&gt;"Biogas",SUMIFS('Forbrug af biomasse'!$E$2:$E$425,'Forbrug af biomasse'!$C$2:$C$425,'Resultat-Produktion &amp; forbrug'!$A133,'Forbrug af biomasse'!$D$2:$D$425,'Resultat-Produktion &amp; forbrug'!$D133,'Forbrug af biomasse'!$A$2:$A$425,'Resultat-Produktion &amp; forbrug'!L$2,'Forbrug af biomasse'!$B$2:$B$425,$E133),F133)</f>
        <v>0</v>
      </c>
      <c r="M133" s="154">
        <f>SUMIFS('Forbrug af biomasse'!E:E,'Forbrug af biomasse'!C:C,'Resultat-Produktion &amp; forbrug'!$A133,'Forbrug af biomasse'!D:D,'Resultat-Produktion &amp; forbrug'!$D133,'Forbrug af biomasse'!G:G,1,'Forbrug af biomasse'!B:B,$E133)</f>
        <v>0</v>
      </c>
      <c r="N133" s="199">
        <f t="shared" si="23"/>
        <v>5735954.3578613317</v>
      </c>
      <c r="O133" s="190">
        <f t="shared" si="39"/>
        <v>0</v>
      </c>
      <c r="P133" s="200">
        <f t="shared" si="24"/>
        <v>0</v>
      </c>
      <c r="Q133" s="187">
        <f>IFERROR(VLOOKUP(A133,[1]Energiindhold!$A$2:$C$11,3,FALSE),IFERROR(VLOOKUP(A133,[1]Biogasudbytte!$A$2:$B$18,2,FALSE)*[1]Energiindhold!$C$10,0))*O133</f>
        <v>0</v>
      </c>
      <c r="R133" s="187">
        <f>IF(A133&lt;&gt;"Biogas",IFERROR(VLOOKUP(A133,[1]Biogasudbytte!$A$2:$B$18,2,FALSE)*[1]Energiindhold!$C$10,0)*J133*IFERROR(VLOOKUP(A133,Biogasanlæg!$F$3:$G$8,2,FALSE),1)+IFERROR(VLOOKUP(A133,[1]Energiindhold!$A$2:$C$11,3,FALSE),0)*L133+IF(D133&lt;&gt;År1,Q133,0),0)</f>
        <v>0</v>
      </c>
      <c r="S133" s="187">
        <f>IFERROR(VLOOKUP(A133,[1]Biogasudbytte!$A$2:$B$18,2,FALSE)*[1]Energiindhold!$C$10,0)*J133*IFERROR(VLOOKUP(A133,Biogasanlæg!$F$3:$G$8,2,FALSE),1)</f>
        <v>0</v>
      </c>
      <c r="T133" s="188">
        <f t="shared" si="25"/>
        <v>0</v>
      </c>
      <c r="U133" s="186">
        <f>O133*IFERROR(VLOOKUP(A133,[1]Tørstofindhold!A$2:B$24,2,FALSE),0)</f>
        <v>0</v>
      </c>
      <c r="V133" s="187">
        <f>IF(D133=År1,P133,SUM(O133,P133))*IFERROR(VLOOKUP(A133,[1]Tørstofindhold!A$2:B$24,2,FALSE),0)</f>
        <v>0</v>
      </c>
      <c r="W133" s="187">
        <f>J133*IFERROR(VLOOKUP(A133,[1]Tørstofindhold!A$2:B$24,2,FALSE),0)</f>
        <v>0</v>
      </c>
      <c r="X133" s="188">
        <f t="shared" si="26"/>
        <v>0</v>
      </c>
      <c r="Y133" s="168">
        <f t="shared" si="43"/>
        <v>0</v>
      </c>
      <c r="Z133" s="103">
        <f t="shared" si="44"/>
        <v>1</v>
      </c>
    </row>
    <row r="134" spans="1:26" x14ac:dyDescent="0.25">
      <c r="A134" s="189" t="str">
        <f t="shared" si="45"/>
        <v>Raps</v>
      </c>
      <c r="B134" s="189" t="str">
        <f t="shared" si="46"/>
        <v/>
      </c>
      <c r="C134" s="189">
        <f>IF(COUNTIFS('Resultater - Danmark'!$D$3:$D$504,'Resultat-Produktion &amp; forbrug'!A134,'Resultater - Danmark'!$A$3:$A$504,"Til energi")+COUNTIFS('Resultater - Danmark'!$D$3:$D$504,'Resultat-Produktion &amp; forbrug'!A134,'Resultater - Danmark'!$A$3:$A$504,"Biogasanlæg")&gt;0,1,0)</f>
        <v>0</v>
      </c>
      <c r="D134" s="189">
        <f t="shared" si="35"/>
        <v>2050</v>
      </c>
      <c r="E134" s="187" t="s">
        <v>23</v>
      </c>
      <c r="F134" s="190">
        <f>IF(E134="Vestdanmark",SUMIFS(IF(D134=År1,'Resultater - Vestdanmark'!H$3:H$504,IF(D134=År2,'Resultater - Vestdanmark'!I$3:I$504,'Resultater - Vestdanmark'!J$3:J$504)),'Resultater - Vestdanmark'!$F$3:$F$504,$A134,IF(D134=År1,'Resultater - Vestdanmark'!H$3:H$504,IF(D134=År2,'Resultater - Vestdanmark'!I$3:I$504,'Resultater - Vestdanmark'!J$3:J$504)),"&gt;0"),SUMIFS(IF(D134=År1,'Resultater - Østdanmark'!H$3:H$504,IF(D134=År2,'Resultater - Østdanmark'!I$3:I$504,'Resultater - Østdanmark'!J$3:J$504)),'Resultater - Østdanmark'!$F$3:$F$504,$A134,IF(D134=År1,'Resultater - Østdanmark'!H$3:H$504,IF(D134=År2,'Resultater - Østdanmark'!I$3:I$504,'Resultater - Østdanmark'!J$3:J$504)),"&gt;0"))</f>
        <v>526296.50250669091</v>
      </c>
      <c r="G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forbrug'!G$2,'Forbrug af biomasse'!$B$2:$B$425,$E134)</f>
        <v>0</v>
      </c>
      <c r="H134" s="187">
        <f>IF(E134="Vestdanmark",-IF(A134="Halm",SUMIFS(IF(D134=År1,'Resultater - Vestdanmark'!H$3:H$504,IF(D134=År2,'Resultater - Vestdanmark'!I$3:I$504,'Resultater - Vestdanmark'!J$3:J$504)),'Resultater - Vestdanmark'!$F$3:$F$504,$A134,'Resultater - Vestdanmark'!H$3:H$504,"&lt;0"),0),-IF(A134="Halm",SUMIFS(IF(D134=År1,'Resultater - Østdanmark'!H$3:H$504,IF(D134=År2,'Resultater - Østdanmark'!I$3:I$504,'Resultater - Østdanmark'!J$3:J$504)),'Resultater - Østdanmark'!$F$3:$F$504,$A134,'Resultater - Østdanmark'!H$3:H$504,"&lt;0"),0))</f>
        <v>0</v>
      </c>
      <c r="I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forbrug'!I$2,'Forbrug af biomasse'!$B$2:$B$425,$E134)</f>
        <v>0</v>
      </c>
      <c r="J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forbrug'!J$2,'Forbrug af biomasse'!$B$2:$B$425,$E134)</f>
        <v>0</v>
      </c>
      <c r="K134" s="190">
        <f>SUMIFS('Forbrug af biomasse'!$E$2:$E$425,'Forbrug af biomasse'!$C$2:$C$425,'Resultat-Produktion &amp; forbrug'!$A134,'Forbrug af biomasse'!$D$2:$D$425,'Resultat-Produktion &amp; forbrug'!$D134,'Forbrug af biomasse'!$A$2:$A$425,'Resultat-Produktion &amp; forbrug'!K$2,'Forbrug af biomasse'!$B$2:$B$425,$E134)</f>
        <v>0</v>
      </c>
      <c r="L134" s="190">
        <f>IF(A134&lt;&gt;"Biogas",SUMIFS('Forbrug af biomasse'!$E$2:$E$425,'Forbrug af biomasse'!$C$2:$C$425,'Resultat-Produktion &amp; forbrug'!$A134,'Forbrug af biomasse'!$D$2:$D$425,'Resultat-Produktion &amp; forbrug'!$D134,'Forbrug af biomasse'!$A$2:$A$425,'Resultat-Produktion &amp; forbrug'!L$2,'Forbrug af biomasse'!$B$2:$B$425,$E134),F134)</f>
        <v>0</v>
      </c>
      <c r="M134" s="154">
        <f>SUMIFS('Forbrug af biomasse'!E:E,'Forbrug af biomasse'!C:C,'Resultat-Produktion &amp; forbrug'!$A134,'Forbrug af biomasse'!D:D,'Resultat-Produktion &amp; forbrug'!$D134,'Forbrug af biomasse'!G:G,1,'Forbrug af biomasse'!B:B,$E134)</f>
        <v>526296.50250669091</v>
      </c>
      <c r="N134" s="199">
        <f t="shared" si="23"/>
        <v>0</v>
      </c>
      <c r="O134" s="190">
        <f t="shared" si="39"/>
        <v>0</v>
      </c>
      <c r="P134" s="200">
        <f t="shared" si="24"/>
        <v>0</v>
      </c>
      <c r="Q134" s="187">
        <f>IFERROR(VLOOKUP(A134,[1]Energiindhold!$A$2:$C$11,3,FALSE),IFERROR(VLOOKUP(A134,[1]Biogasudbytte!$A$2:$B$18,2,FALSE)*[1]Energiindhold!$C$10,0))*O134</f>
        <v>0</v>
      </c>
      <c r="R134" s="187">
        <f>IF(A134&lt;&gt;"Biogas",IFERROR(VLOOKUP(A134,[1]Biogasudbytte!$A$2:$B$18,2,FALSE)*[1]Energiindhold!$C$10,0)*J134*IFERROR(VLOOKUP(A134,Biogasanlæg!$F$3:$G$8,2,FALSE),1)+IFERROR(VLOOKUP(A134,[1]Energiindhold!$A$2:$C$11,3,FALSE),0)*L134+IF(D134&lt;&gt;År1,Q134,0),0)</f>
        <v>0</v>
      </c>
      <c r="S134" s="187">
        <f>IFERROR(VLOOKUP(A134,[1]Biogasudbytte!$A$2:$B$18,2,FALSE)*[1]Energiindhold!$C$10,0)*J134*IFERROR(VLOOKUP(A134,Biogasanlæg!$F$3:$G$8,2,FALSE),1)</f>
        <v>0</v>
      </c>
      <c r="T134" s="188">
        <f t="shared" si="25"/>
        <v>0</v>
      </c>
      <c r="U134" s="186">
        <f>O134*IFERROR(VLOOKUP(A134,[1]Tørstofindhold!A$2:B$24,2,FALSE),0)</f>
        <v>0</v>
      </c>
      <c r="V134" s="187">
        <f>IF(D134=År1,P134,SUM(O134,P134))*IFERROR(VLOOKUP(A134,[1]Tørstofindhold!A$2:B$24,2,FALSE),0)</f>
        <v>0</v>
      </c>
      <c r="W134" s="187">
        <f>J134*IFERROR(VLOOKUP(A134,[1]Tørstofindhold!A$2:B$24,2,FALSE),0)</f>
        <v>0</v>
      </c>
      <c r="X134" s="188">
        <f t="shared" si="26"/>
        <v>0</v>
      </c>
      <c r="Y134" s="168">
        <f t="shared" si="43"/>
        <v>0</v>
      </c>
      <c r="Z134" s="103">
        <f t="shared" si="44"/>
        <v>0</v>
      </c>
    </row>
    <row r="135" spans="1:26" x14ac:dyDescent="0.25">
      <c r="A135" s="189" t="str">
        <f t="shared" si="45"/>
        <v>Rapskage</v>
      </c>
      <c r="B135" s="189" t="str">
        <f t="shared" si="46"/>
        <v/>
      </c>
      <c r="C135" s="189">
        <f>IF(COUNTIFS('Resultater - Danmark'!$D$3:$D$504,'Resultat-Produktion &amp; forbrug'!A135,'Resultater - Danmark'!$A$3:$A$504,"Til energi")+COUNTIFS('Resultater - Danmark'!$D$3:$D$504,'Resultat-Produktion &amp; forbrug'!A135,'Resultater - Danmark'!$A$3:$A$504,"Biogasanlæg")&gt;0,1,0)</f>
        <v>0</v>
      </c>
      <c r="D135" s="189">
        <f t="shared" si="35"/>
        <v>2050</v>
      </c>
      <c r="E135" s="187" t="s">
        <v>23</v>
      </c>
      <c r="F135" s="190">
        <f>IF(E135="Vestdanmark",SUMIFS(IF(D135=År1,'Resultater - Vestdanmark'!H$3:H$504,IF(D135=År2,'Resultater - Vestdanmark'!I$3:I$504,'Resultater - Vestdanmark'!J$3:J$504)),'Resultater - Vestdanmark'!$F$3:$F$504,$A135,IF(D135=År1,'Resultater - Vestdanmark'!H$3:H$504,IF(D135=År2,'Resultater - Vestdanmark'!I$3:I$504,'Resultater - Vestdanmark'!J$3:J$504)),"&gt;0"),SUMIFS(IF(D135=År1,'Resultater - Østdanmark'!H$3:H$504,IF(D135=År2,'Resultater - Østdanmark'!I$3:I$504,'Resultater - Østdanmark'!J$3:J$504)),'Resultater - Østdanmark'!$F$3:$F$504,$A135,IF(D135=År1,'Resultater - Østdanmark'!H$3:H$504,IF(D135=År2,'Resultater - Østdanmark'!I$3:I$504,'Resultater - Østdanmark'!J$3:J$504)),"&gt;0"))</f>
        <v>263148.25125334546</v>
      </c>
      <c r="G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forbrug'!G$2,'Forbrug af biomasse'!$B$2:$B$425,$E135)</f>
        <v>256918.92730951472</v>
      </c>
      <c r="H135" s="187">
        <f>IF(E135="Vestdanmark",-IF(A135="Halm",SUMIFS(IF(D135=År1,'Resultater - Vestdanmark'!H$3:H$504,IF(D135=År2,'Resultater - Vestdanmark'!I$3:I$504,'Resultater - Vestdanmark'!J$3:J$504)),'Resultater - Vestdanmark'!$F$3:$F$504,$A135,'Resultater - Vestdanmark'!H$3:H$504,"&lt;0"),0),-IF(A135="Halm",SUMIFS(IF(D135=År1,'Resultater - Østdanmark'!H$3:H$504,IF(D135=År2,'Resultater - Østdanmark'!I$3:I$504,'Resultater - Østdanmark'!J$3:J$504)),'Resultater - Østdanmark'!$F$3:$F$504,$A135,'Resultater - Østdanmark'!H$3:H$504,"&lt;0"),0))</f>
        <v>0</v>
      </c>
      <c r="I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forbrug'!I$2,'Forbrug af biomasse'!$B$2:$B$425,$E135)</f>
        <v>0</v>
      </c>
      <c r="J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forbrug'!J$2,'Forbrug af biomasse'!$B$2:$B$425,$E135)</f>
        <v>0</v>
      </c>
      <c r="K135" s="190">
        <f>SUMIFS('Forbrug af biomasse'!$E$2:$E$425,'Forbrug af biomasse'!$C$2:$C$425,'Resultat-Produktion &amp; forbrug'!$A135,'Forbrug af biomasse'!$D$2:$D$425,'Resultat-Produktion &amp; forbrug'!$D135,'Forbrug af biomasse'!$A$2:$A$425,'Resultat-Produktion &amp; forbrug'!K$2,'Forbrug af biomasse'!$B$2:$B$425,$E135)</f>
        <v>0</v>
      </c>
      <c r="L135" s="190">
        <f>IF(A135&lt;&gt;"Biogas",SUMIFS('Forbrug af biomasse'!$E$2:$E$425,'Forbrug af biomasse'!$C$2:$C$425,'Resultat-Produktion &amp; forbrug'!$A135,'Forbrug af biomasse'!$D$2:$D$425,'Resultat-Produktion &amp; forbrug'!$D135,'Forbrug af biomasse'!$A$2:$A$425,'Resultat-Produktion &amp; forbrug'!L$2,'Forbrug af biomasse'!$B$2:$B$425,$E135),F135)</f>
        <v>0</v>
      </c>
      <c r="M135" s="154">
        <f>SUMIFS('Forbrug af biomasse'!E:E,'Forbrug af biomasse'!C:C,'Resultat-Produktion &amp; forbrug'!$A135,'Forbrug af biomasse'!D:D,'Resultat-Produktion &amp; forbrug'!$D135,'Forbrug af biomasse'!G:G,1,'Forbrug af biomasse'!B:B,$E135)</f>
        <v>0</v>
      </c>
      <c r="N135" s="199">
        <f t="shared" si="23"/>
        <v>6229.3239438307355</v>
      </c>
      <c r="O135" s="190">
        <f t="shared" si="39"/>
        <v>0</v>
      </c>
      <c r="P135" s="200">
        <f t="shared" si="24"/>
        <v>0</v>
      </c>
      <c r="Q135" s="187">
        <f>IFERROR(VLOOKUP(A135,[1]Energiindhold!$A$2:$C$11,3,FALSE),IFERROR(VLOOKUP(A135,[1]Biogasudbytte!$A$2:$B$18,2,FALSE)*[1]Energiindhold!$C$10,0))*O135</f>
        <v>0</v>
      </c>
      <c r="R135" s="187">
        <f>IF(A135&lt;&gt;"Biogas",IFERROR(VLOOKUP(A135,[1]Biogasudbytte!$A$2:$B$18,2,FALSE)*[1]Energiindhold!$C$10,0)*J135*IFERROR(VLOOKUP(A135,Biogasanlæg!$F$3:$G$8,2,FALSE),1)+IFERROR(VLOOKUP(A135,[1]Energiindhold!$A$2:$C$11,3,FALSE),0)*L135+IF(D135&lt;&gt;År1,Q135,0),0)</f>
        <v>0</v>
      </c>
      <c r="S135" s="187">
        <f>IFERROR(VLOOKUP(A135,[1]Biogasudbytte!$A$2:$B$18,2,FALSE)*[1]Energiindhold!$C$10,0)*J135*IFERROR(VLOOKUP(A135,Biogasanlæg!$F$3:$G$8,2,FALSE),1)</f>
        <v>0</v>
      </c>
      <c r="T135" s="188">
        <f t="shared" si="25"/>
        <v>0</v>
      </c>
      <c r="U135" s="186">
        <f>O135*IFERROR(VLOOKUP(A135,[1]Tørstofindhold!A$2:B$24,2,FALSE),0)</f>
        <v>0</v>
      </c>
      <c r="V135" s="187">
        <f>IF(D135=År1,P135,SUM(O135,P135))*IFERROR(VLOOKUP(A135,[1]Tørstofindhold!A$2:B$24,2,FALSE),0)</f>
        <v>0</v>
      </c>
      <c r="W135" s="187">
        <f>J135*IFERROR(VLOOKUP(A135,[1]Tørstofindhold!A$2:B$24,2,FALSE),0)</f>
        <v>0</v>
      </c>
      <c r="X135" s="188">
        <f t="shared" si="26"/>
        <v>0</v>
      </c>
      <c r="Y135" s="168">
        <f t="shared" si="43"/>
        <v>0</v>
      </c>
      <c r="Z135" s="103">
        <f t="shared" si="44"/>
        <v>1</v>
      </c>
    </row>
    <row r="136" spans="1:26" x14ac:dyDescent="0.25">
      <c r="A136" s="189" t="str">
        <f t="shared" si="45"/>
        <v>Rapsolie</v>
      </c>
      <c r="B136" s="189" t="str">
        <f t="shared" si="46"/>
        <v>Rapsolie</v>
      </c>
      <c r="C136" s="189">
        <f>IF(COUNTIFS('Resultater - Danmark'!$D$3:$D$504,'Resultat-Produktion &amp; forbrug'!A136,'Resultater - Danmark'!$A$3:$A$504,"Til energi")+COUNTIFS('Resultater - Danmark'!$D$3:$D$504,'Resultat-Produktion &amp; forbrug'!A136,'Resultater - Danmark'!$A$3:$A$504,"Biogasanlæg")&gt;0,1,0)</f>
        <v>1</v>
      </c>
      <c r="D136" s="189">
        <f t="shared" si="35"/>
        <v>2050</v>
      </c>
      <c r="E136" s="187" t="s">
        <v>23</v>
      </c>
      <c r="F136" s="190">
        <f>IF(E136="Vestdanmark",SUMIFS(IF(D136=År1,'Resultater - Vestdanmark'!H$3:H$504,IF(D136=År2,'Resultater - Vestdanmark'!I$3:I$504,'Resultater - Vestdanmark'!J$3:J$504)),'Resultater - Vestdanmark'!$F$3:$F$504,$A136,IF(D136=År1,'Resultater - Vestdanmark'!H$3:H$504,IF(D136=År2,'Resultater - Vestdanmark'!I$3:I$504,'Resultater - Vestdanmark'!J$3:J$504)),"&gt;0"),SUMIFS(IF(D136=År1,'Resultater - Østdanmark'!H$3:H$504,IF(D136=År2,'Resultater - Østdanmark'!I$3:I$504,'Resultater - Østdanmark'!J$3:J$504)),'Resultater - Østdanmark'!$F$3:$F$504,$A136,IF(D136=År1,'Resultater - Østdanmark'!H$3:H$504,IF(D136=År2,'Resultater - Østdanmark'!I$3:I$504,'Resultater - Østdanmark'!J$3:J$504)),"&gt;0"))</f>
        <v>168414.8808021411</v>
      </c>
      <c r="G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forbrug'!G$2,'Forbrug af biomasse'!$B$2:$B$425,$E136)</f>
        <v>0</v>
      </c>
      <c r="H136" s="187">
        <f>IF(E136="Vestdanmark",-IF(A136="Halm",SUMIFS(IF(D136=År1,'Resultater - Vestdanmark'!H$3:H$504,IF(D136=År2,'Resultater - Vestdanmark'!I$3:I$504,'Resultater - Vestdanmark'!J$3:J$504)),'Resultater - Vestdanmark'!$F$3:$F$504,$A136,'Resultater - Vestdanmark'!H$3:H$504,"&lt;0"),0),-IF(A136="Halm",SUMIFS(IF(D136=År1,'Resultater - Østdanmark'!H$3:H$504,IF(D136=År2,'Resultater - Østdanmark'!I$3:I$504,'Resultater - Østdanmark'!J$3:J$504)),'Resultater - Østdanmark'!$F$3:$F$504,$A136,'Resultater - Østdanmark'!H$3:H$504,"&lt;0"),0))</f>
        <v>0</v>
      </c>
      <c r="I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forbrug'!I$2,'Forbrug af biomasse'!$B$2:$B$425,$E136)</f>
        <v>0</v>
      </c>
      <c r="J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forbrug'!J$2,'Forbrug af biomasse'!$B$2:$B$425,$E136)</f>
        <v>0</v>
      </c>
      <c r="K136" s="190">
        <f>SUMIFS('Forbrug af biomasse'!$E$2:$E$425,'Forbrug af biomasse'!$C$2:$C$425,'Resultat-Produktion &amp; forbrug'!$A136,'Forbrug af biomasse'!$D$2:$D$425,'Resultat-Produktion &amp; forbrug'!$D136,'Forbrug af biomasse'!$A$2:$A$425,'Resultat-Produktion &amp; forbrug'!K$2,'Forbrug af biomasse'!$B$2:$B$425,$E136)</f>
        <v>0</v>
      </c>
      <c r="L136" s="190">
        <f>IF(A136&lt;&gt;"Biogas",SUMIFS('Forbrug af biomasse'!$E$2:$E$425,'Forbrug af biomasse'!$C$2:$C$425,'Resultat-Produktion &amp; forbrug'!$A136,'Forbrug af biomasse'!$D$2:$D$425,'Resultat-Produktion &amp; forbrug'!$D136,'Forbrug af biomasse'!$A$2:$A$425,'Resultat-Produktion &amp; forbrug'!L$2,'Forbrug af biomasse'!$B$2:$B$425,$E136),F136)</f>
        <v>168414.8808021411</v>
      </c>
      <c r="M136" s="154">
        <f>SUMIFS('Forbrug af biomasse'!E:E,'Forbrug af biomasse'!C:C,'Resultat-Produktion &amp; forbrug'!$A136,'Forbrug af biomasse'!D:D,'Resultat-Produktion &amp; forbrug'!$D136,'Forbrug af biomasse'!G:G,1,'Forbrug af biomasse'!B:B,$E136)</f>
        <v>0</v>
      </c>
      <c r="N136" s="199">
        <f t="shared" si="23"/>
        <v>0</v>
      </c>
      <c r="O136" s="190">
        <f t="shared" si="39"/>
        <v>0</v>
      </c>
      <c r="P136" s="200">
        <f t="shared" si="24"/>
        <v>168414.8808021411</v>
      </c>
      <c r="Q136" s="187">
        <f>IFERROR(VLOOKUP(A136,[1]Energiindhold!$A$2:$C$11,3,FALSE),IFERROR(VLOOKUP(A136,[1]Biogasudbytte!$A$2:$B$18,2,FALSE)*[1]Energiindhold!$C$10,0))*O136</f>
        <v>0</v>
      </c>
      <c r="R136" s="187">
        <f>IF(A136&lt;&gt;"Biogas",IFERROR(VLOOKUP(A136,[1]Biogasudbytte!$A$2:$B$18,2,FALSE)*[1]Energiindhold!$C$10,0)*J136*IFERROR(VLOOKUP(A136,Biogasanlæg!$F$3:$G$8,2,FALSE),1)+IFERROR(VLOOKUP(A136,[1]Energiindhold!$A$2:$C$11,3,FALSE),0)*L136+IF(D136&lt;&gt;År1,Q136,0),0)</f>
        <v>5.8945208280749375</v>
      </c>
      <c r="S136" s="187">
        <f>IFERROR(VLOOKUP(A136,[1]Biogasudbytte!$A$2:$B$18,2,FALSE)*[1]Energiindhold!$C$10,0)*J136*IFERROR(VLOOKUP(A136,Biogasanlæg!$F$3:$G$8,2,FALSE),1)</f>
        <v>0</v>
      </c>
      <c r="T136" s="188">
        <f t="shared" si="25"/>
        <v>5.8945208280749375</v>
      </c>
      <c r="U136" s="186">
        <f>O136*IFERROR(VLOOKUP(A136,[1]Tørstofindhold!A$2:B$24,2,FALSE),0)</f>
        <v>0</v>
      </c>
      <c r="V136" s="187">
        <f>IF(D136=År1,P136,SUM(O136,P136))*IFERROR(VLOOKUP(A136,[1]Tørstofindhold!A$2:B$24,2,FALSE),0)</f>
        <v>0</v>
      </c>
      <c r="W136" s="187">
        <f>J136*IFERROR(VLOOKUP(A136,[1]Tørstofindhold!A$2:B$24,2,FALSE),0)</f>
        <v>0</v>
      </c>
      <c r="X136" s="188">
        <f t="shared" si="26"/>
        <v>0</v>
      </c>
      <c r="Y136" s="168">
        <f t="shared" si="43"/>
        <v>0</v>
      </c>
      <c r="Z136" s="103">
        <f t="shared" si="44"/>
        <v>0</v>
      </c>
    </row>
    <row r="137" spans="1:26" x14ac:dyDescent="0.25">
      <c r="A137" s="189" t="str">
        <f t="shared" si="45"/>
        <v>Roer</v>
      </c>
      <c r="B137" s="189" t="str">
        <f t="shared" si="46"/>
        <v>Græs og urter</v>
      </c>
      <c r="C137" s="189">
        <f>IF(COUNTIFS('Resultater - Danmark'!$D$3:$D$504,'Resultat-Produktion &amp; forbrug'!A137,'Resultater - Danmark'!$A$3:$A$504,"Til energi")+COUNTIFS('Resultater - Danmark'!$D$3:$D$504,'Resultat-Produktion &amp; forbrug'!A137,'Resultater - Danmark'!$A$3:$A$504,"Biogasanlæg")&gt;0,1,0)</f>
        <v>1</v>
      </c>
      <c r="D137" s="189">
        <f t="shared" si="35"/>
        <v>2050</v>
      </c>
      <c r="E137" s="187" t="s">
        <v>23</v>
      </c>
      <c r="F137" s="190">
        <f>IF(E137="Vestdanmark",SUMIFS(IF(D137=År1,'Resultater - Vestdanmark'!H$3:H$504,IF(D137=År2,'Resultater - Vestdanmark'!I$3:I$504,'Resultater - Vestdanmark'!J$3:J$504)),'Resultater - Vestdanmark'!$F$3:$F$504,$A137,IF(D137=År1,'Resultater - Vestdanmark'!H$3:H$504,IF(D137=År2,'Resultater - Vestdanmark'!I$3:I$504,'Resultater - Vestdanmark'!J$3:J$504)),"&gt;0"),SUMIFS(IF(D137=År1,'Resultater - Østdanmark'!H$3:H$504,IF(D137=År2,'Resultater - Østdanmark'!I$3:I$504,'Resultater - Østdanmark'!J$3:J$504)),'Resultater - Østdanmark'!$F$3:$F$504,$A137,IF(D137=År1,'Resultater - Østdanmark'!H$3:H$504,IF(D137=År2,'Resultater - Østdanmark'!I$3:I$504,'Resultater - Østdanmark'!J$3:J$504)),"&gt;0"))</f>
        <v>410082.28428580571</v>
      </c>
      <c r="G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forbrug'!G$2,'Forbrug af biomasse'!$B$2:$B$425,$E137)</f>
        <v>1009401.1411867546</v>
      </c>
      <c r="H137" s="187">
        <f>IF(E137="Vestdanmark",-IF(A137="Halm",SUMIFS(IF(D137=År1,'Resultater - Vestdanmark'!H$3:H$504,IF(D137=År2,'Resultater - Vestdanmark'!I$3:I$504,'Resultater - Vestdanmark'!J$3:J$504)),'Resultater - Vestdanmark'!$F$3:$F$504,$A137,'Resultater - Vestdanmark'!H$3:H$504,"&lt;0"),0),-IF(A137="Halm",SUMIFS(IF(D137=År1,'Resultater - Østdanmark'!H$3:H$504,IF(D137=År2,'Resultater - Østdanmark'!I$3:I$504,'Resultater - Østdanmark'!J$3:J$504)),'Resultater - Østdanmark'!$F$3:$F$504,$A137,'Resultater - Østdanmark'!H$3:H$504,"&lt;0"),0))</f>
        <v>0</v>
      </c>
      <c r="I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forbrug'!I$2,'Forbrug af biomasse'!$B$2:$B$425,$E137)</f>
        <v>0</v>
      </c>
      <c r="J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forbrug'!J$2,'Forbrug af biomasse'!$B$2:$B$425,$E137)</f>
        <v>4092.8191064506923</v>
      </c>
      <c r="K137" s="190">
        <f>SUMIFS('Forbrug af biomasse'!$E$2:$E$425,'Forbrug af biomasse'!$C$2:$C$425,'Resultat-Produktion &amp; forbrug'!$A137,'Forbrug af biomasse'!$D$2:$D$425,'Resultat-Produktion &amp; forbrug'!$D137,'Forbrug af biomasse'!$A$2:$A$425,'Resultat-Produktion &amp; forbrug'!K$2,'Forbrug af biomasse'!$B$2:$B$425,$E137)</f>
        <v>0</v>
      </c>
      <c r="L137" s="190">
        <f>IF(A137&lt;&gt;"Biogas",SUMIFS('Forbrug af biomasse'!$E$2:$E$425,'Forbrug af biomasse'!$C$2:$C$425,'Resultat-Produktion &amp; forbrug'!$A137,'Forbrug af biomasse'!$D$2:$D$425,'Resultat-Produktion &amp; forbrug'!$D137,'Forbrug af biomasse'!$A$2:$A$425,'Resultat-Produktion &amp; forbrug'!L$2,'Forbrug af biomasse'!$B$2:$B$425,$E137),F137)</f>
        <v>0</v>
      </c>
      <c r="M137" s="154">
        <f>SUMIFS('Forbrug af biomasse'!E:E,'Forbrug af biomasse'!C:C,'Resultat-Produktion &amp; forbrug'!$A137,'Forbrug af biomasse'!D:D,'Resultat-Produktion &amp; forbrug'!$D137,'Forbrug af biomasse'!G:G,1,'Forbrug af biomasse'!B:B,$E137)</f>
        <v>0</v>
      </c>
      <c r="N137" s="199">
        <f t="shared" si="23"/>
        <v>-603411.67600739957</v>
      </c>
      <c r="O137" s="190">
        <f t="shared" si="39"/>
        <v>0</v>
      </c>
      <c r="P137" s="200">
        <f t="shared" si="24"/>
        <v>4092.8191064506923</v>
      </c>
      <c r="Q137" s="187">
        <f>IFERROR(VLOOKUP(A137,[1]Energiindhold!$A$2:$C$11,3,FALSE),IFERROR(VLOOKUP(A137,[1]Biogasudbytte!$A$2:$B$18,2,FALSE)*[1]Energiindhold!$C$10,0))*O137</f>
        <v>0</v>
      </c>
      <c r="R137" s="187">
        <f>IF(A137&lt;&gt;"Biogas",IFERROR(VLOOKUP(A137,[1]Biogasudbytte!$A$2:$B$18,2,FALSE)*[1]Energiindhold!$C$10,0)*J137*IFERROR(VLOOKUP(A137,Biogasanlæg!$F$3:$G$8,2,FALSE),1)+IFERROR(VLOOKUP(A137,[1]Energiindhold!$A$2:$C$11,3,FALSE),0)*L137+IF(D137&lt;&gt;År1,Q137,0),0)</f>
        <v>1.1108074767671438E-2</v>
      </c>
      <c r="S137" s="187">
        <f>IFERROR(VLOOKUP(A137,[1]Biogasudbytte!$A$2:$B$18,2,FALSE)*[1]Energiindhold!$C$10,0)*J137*IFERROR(VLOOKUP(A137,Biogasanlæg!$F$3:$G$8,2,FALSE),1)</f>
        <v>1.1108074767671438E-2</v>
      </c>
      <c r="T137" s="188">
        <f t="shared" si="25"/>
        <v>0</v>
      </c>
      <c r="U137" s="186">
        <f>O137*IFERROR(VLOOKUP(A137,[1]Tørstofindhold!A$2:B$24,2,FALSE),0)</f>
        <v>0</v>
      </c>
      <c r="V137" s="187">
        <f>IF(D137=År1,P137,SUM(O137,P137))*IFERROR(VLOOKUP(A137,[1]Tørstofindhold!A$2:B$24,2,FALSE),0)</f>
        <v>818.56382129013855</v>
      </c>
      <c r="W137" s="187">
        <f>J137*IFERROR(VLOOKUP(A137,[1]Tørstofindhold!A$2:B$24,2,FALSE),0)</f>
        <v>818.56382129013855</v>
      </c>
      <c r="X137" s="188">
        <f t="shared" si="26"/>
        <v>0</v>
      </c>
      <c r="Y137" s="168">
        <f t="shared" si="43"/>
        <v>0</v>
      </c>
      <c r="Z137" s="103">
        <f t="shared" si="44"/>
        <v>1</v>
      </c>
    </row>
    <row r="138" spans="1:26" x14ac:dyDescent="0.25">
      <c r="A138" s="189" t="str">
        <f t="shared" si="45"/>
        <v>Slagteriaffald til andet</v>
      </c>
      <c r="B138" s="189" t="str">
        <f t="shared" si="46"/>
        <v/>
      </c>
      <c r="C138" s="189">
        <f>IF(COUNTIFS('Resultater - Danmark'!$D$3:$D$504,'Resultat-Produktion &amp; forbrug'!A138,'Resultater - Danmark'!$A$3:$A$504,"Til energi")+COUNTIFS('Resultater - Danmark'!$D$3:$D$504,'Resultat-Produktion &amp; forbrug'!A138,'Resultater - Danmark'!$A$3:$A$504,"Biogasanlæg")&gt;0,1,0)</f>
        <v>0</v>
      </c>
      <c r="D138" s="189">
        <f t="shared" si="35"/>
        <v>2050</v>
      </c>
      <c r="E138" s="187" t="s">
        <v>23</v>
      </c>
      <c r="F138" s="190">
        <f>IF(E138="Vestdanmark",SUMIFS(IF(D138=År1,'Resultater - Vestdanmark'!H$3:H$504,IF(D138=År2,'Resultater - Vestdanmark'!I$3:I$504,'Resultater - Vestdanmark'!J$3:J$504)),'Resultater - Vestdanmark'!$F$3:$F$504,$A138,IF(D138=År1,'Resultater - Vestdanmark'!H$3:H$504,IF(D138=År2,'Resultater - Vestdanmark'!I$3:I$504,'Resultater - Vestdanmark'!J$3:J$504)),"&gt;0"),SUMIFS(IF(D138=År1,'Resultater - Østdanmark'!H$3:H$504,IF(D138=År2,'Resultater - Østdanmark'!I$3:I$504,'Resultater - Østdanmark'!J$3:J$504)),'Resultater - Østdanmark'!$F$3:$F$504,$A138,IF(D138=År1,'Resultater - Østdanmark'!H$3:H$504,IF(D138=År2,'Resultater - Østdanmark'!I$3:I$504,'Resultater - Østdanmark'!J$3:J$504)),"&gt;0"))</f>
        <v>222680.59406186192</v>
      </c>
      <c r="G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forbrug'!G$2,'Forbrug af biomasse'!$B$2:$B$425,$E138)</f>
        <v>0</v>
      </c>
      <c r="H138" s="187">
        <f>IF(E138="Vestdanmark",-IF(A138="Halm",SUMIFS(IF(D138=År1,'Resultater - Vestdanmark'!H$3:H$504,IF(D138=År2,'Resultater - Vestdanmark'!I$3:I$504,'Resultater - Vestdanmark'!J$3:J$504)),'Resultater - Vestdanmark'!$F$3:$F$504,$A138,'Resultater - Vestdanmark'!H$3:H$504,"&lt;0"),0),-IF(A138="Halm",SUMIFS(IF(D138=År1,'Resultater - Østdanmark'!H$3:H$504,IF(D138=År2,'Resultater - Østdanmark'!I$3:I$504,'Resultater - Østdanmark'!J$3:J$504)),'Resultater - Østdanmark'!$F$3:$F$504,$A138,'Resultater - Østdanmark'!H$3:H$504,"&lt;0"),0))</f>
        <v>0</v>
      </c>
      <c r="I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forbrug'!I$2,'Forbrug af biomasse'!$B$2:$B$425,$E138)</f>
        <v>0</v>
      </c>
      <c r="J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forbrug'!J$2,'Forbrug af biomasse'!$B$2:$B$425,$E138)</f>
        <v>0</v>
      </c>
      <c r="K138" s="190">
        <f>SUMIFS('Forbrug af biomasse'!$E$2:$E$425,'Forbrug af biomasse'!$C$2:$C$425,'Resultat-Produktion &amp; forbrug'!$A138,'Forbrug af biomasse'!$D$2:$D$425,'Resultat-Produktion &amp; forbrug'!$D138,'Forbrug af biomasse'!$A$2:$A$425,'Resultat-Produktion &amp; forbrug'!K$2,'Forbrug af biomasse'!$B$2:$B$425,$E138)</f>
        <v>0</v>
      </c>
      <c r="L138" s="190">
        <f>IF(A138&lt;&gt;"Biogas",SUMIFS('Forbrug af biomasse'!$E$2:$E$425,'Forbrug af biomasse'!$C$2:$C$425,'Resultat-Produktion &amp; forbrug'!$A138,'Forbrug af biomasse'!$D$2:$D$425,'Resultat-Produktion &amp; forbrug'!$D138,'Forbrug af biomasse'!$A$2:$A$425,'Resultat-Produktion &amp; forbrug'!L$2,'Forbrug af biomasse'!$B$2:$B$425,$E138),F138)</f>
        <v>0</v>
      </c>
      <c r="M138" s="154">
        <f>SUMIFS('Forbrug af biomasse'!E:E,'Forbrug af biomasse'!C:C,'Resultat-Produktion &amp; forbrug'!$A138,'Forbrug af biomasse'!D:D,'Resultat-Produktion &amp; forbrug'!$D138,'Forbrug af biomasse'!G:G,1,'Forbrug af biomasse'!B:B,$E138)</f>
        <v>0</v>
      </c>
      <c r="N138" s="199">
        <f t="shared" si="23"/>
        <v>222680.59406186192</v>
      </c>
      <c r="O138" s="190">
        <f t="shared" si="39"/>
        <v>0</v>
      </c>
      <c r="P138" s="200">
        <f t="shared" si="24"/>
        <v>0</v>
      </c>
      <c r="Q138" s="187">
        <f>IFERROR(VLOOKUP(A138,[1]Energiindhold!$A$2:$C$11,3,FALSE),IFERROR(VLOOKUP(A138,[1]Biogasudbytte!$A$2:$B$18,2,FALSE)*[1]Energiindhold!$C$10,0))*O138</f>
        <v>0</v>
      </c>
      <c r="R138" s="187">
        <f>IF(A138&lt;&gt;"Biogas",IFERROR(VLOOKUP(A138,[1]Biogasudbytte!$A$2:$B$18,2,FALSE)*[1]Energiindhold!$C$10,0)*J138*IFERROR(VLOOKUP(A138,Biogasanlæg!$F$3:$G$8,2,FALSE),1)+IFERROR(VLOOKUP(A138,[1]Energiindhold!$A$2:$C$11,3,FALSE),0)*L138+IF(D138&lt;&gt;År1,Q138,0),0)</f>
        <v>0</v>
      </c>
      <c r="S138" s="187">
        <f>IFERROR(VLOOKUP(A138,[1]Biogasudbytte!$A$2:$B$18,2,FALSE)*[1]Energiindhold!$C$10,0)*J138*IFERROR(VLOOKUP(A138,Biogasanlæg!$F$3:$G$8,2,FALSE),1)</f>
        <v>0</v>
      </c>
      <c r="T138" s="188">
        <f t="shared" si="25"/>
        <v>0</v>
      </c>
      <c r="U138" s="186">
        <f>O138*IFERROR(VLOOKUP(A138,[1]Tørstofindhold!A$2:B$24,2,FALSE),0)</f>
        <v>0</v>
      </c>
      <c r="V138" s="187">
        <f>IF(D138=År1,P138,SUM(O138,P138))*IFERROR(VLOOKUP(A138,[1]Tørstofindhold!A$2:B$24,2,FALSE),0)</f>
        <v>0</v>
      </c>
      <c r="W138" s="187">
        <f>J138*IFERROR(VLOOKUP(A138,[1]Tørstofindhold!A$2:B$24,2,FALSE),0)</f>
        <v>0</v>
      </c>
      <c r="X138" s="188">
        <f t="shared" si="26"/>
        <v>0</v>
      </c>
      <c r="Y138" s="168">
        <f t="shared" si="43"/>
        <v>0</v>
      </c>
      <c r="Z138" s="103">
        <f t="shared" si="44"/>
        <v>1</v>
      </c>
    </row>
    <row r="139" spans="1:26" x14ac:dyDescent="0.25">
      <c r="A139" s="189" t="str">
        <f t="shared" si="45"/>
        <v>Slagteriaffald til foder</v>
      </c>
      <c r="B139" s="189" t="str">
        <f t="shared" si="46"/>
        <v/>
      </c>
      <c r="C139" s="189">
        <f>IF(COUNTIFS('Resultater - Danmark'!$D$3:$D$504,'Resultat-Produktion &amp; forbrug'!A139,'Resultater - Danmark'!$A$3:$A$504,"Til energi")+COUNTIFS('Resultater - Danmark'!$D$3:$D$504,'Resultat-Produktion &amp; forbrug'!A139,'Resultater - Danmark'!$A$3:$A$504,"Biogasanlæg")&gt;0,1,0)</f>
        <v>0</v>
      </c>
      <c r="D139" s="189">
        <f t="shared" si="35"/>
        <v>2050</v>
      </c>
      <c r="E139" s="187" t="s">
        <v>23</v>
      </c>
      <c r="F139" s="190">
        <f>IF(E139="Vestdanmark",SUMIFS(IF(D139=År1,'Resultater - Vestdanmark'!H$3:H$504,IF(D139=År2,'Resultater - Vestdanmark'!I$3:I$504,'Resultater - Vestdanmark'!J$3:J$504)),'Resultater - Vestdanmark'!$F$3:$F$504,$A139,IF(D139=År1,'Resultater - Vestdanmark'!H$3:H$504,IF(D139=År2,'Resultater - Vestdanmark'!I$3:I$504,'Resultater - Vestdanmark'!J$3:J$504)),"&gt;0"),SUMIFS(IF(D139=År1,'Resultater - Østdanmark'!H$3:H$504,IF(D139=År2,'Resultater - Østdanmark'!I$3:I$504,'Resultater - Østdanmark'!J$3:J$504)),'Resultater - Østdanmark'!$F$3:$F$504,$A139,IF(D139=År1,'Resultater - Østdanmark'!H$3:H$504,IF(D139=År2,'Resultater - Østdanmark'!I$3:I$504,'Resultater - Østdanmark'!J$3:J$504)),"&gt;0"))</f>
        <v>151320.29792095526</v>
      </c>
      <c r="G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forbrug'!G$2,'Forbrug af biomasse'!$B$2:$B$425,$E139)</f>
        <v>47298.882015140785</v>
      </c>
      <c r="H139" s="187">
        <f>IF(E139="Vestdanmark",-IF(A139="Halm",SUMIFS(IF(D139=År1,'Resultater - Vestdanmark'!H$3:H$504,IF(D139=År2,'Resultater - Vestdanmark'!I$3:I$504,'Resultater - Vestdanmark'!J$3:J$504)),'Resultater - Vestdanmark'!$F$3:$F$504,$A139,'Resultater - Vestdanmark'!H$3:H$504,"&lt;0"),0),-IF(A139="Halm",SUMIFS(IF(D139=År1,'Resultater - Østdanmark'!H$3:H$504,IF(D139=År2,'Resultater - Østdanmark'!I$3:I$504,'Resultater - Østdanmark'!J$3:J$504)),'Resultater - Østdanmark'!$F$3:$F$504,$A139,'Resultater - Østdanmark'!H$3:H$504,"&lt;0"),0))</f>
        <v>0</v>
      </c>
      <c r="I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forbrug'!I$2,'Forbrug af biomasse'!$B$2:$B$425,$E139)</f>
        <v>0</v>
      </c>
      <c r="J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forbrug'!J$2,'Forbrug af biomasse'!$B$2:$B$425,$E139)</f>
        <v>0</v>
      </c>
      <c r="K139" s="190">
        <f>SUMIFS('Forbrug af biomasse'!$E$2:$E$425,'Forbrug af biomasse'!$C$2:$C$425,'Resultat-Produktion &amp; forbrug'!$A139,'Forbrug af biomasse'!$D$2:$D$425,'Resultat-Produktion &amp; forbrug'!$D139,'Forbrug af biomasse'!$A$2:$A$425,'Resultat-Produktion &amp; forbrug'!K$2,'Forbrug af biomasse'!$B$2:$B$425,$E139)</f>
        <v>0</v>
      </c>
      <c r="L139" s="190">
        <f>IF(A139&lt;&gt;"Biogas",SUMIFS('Forbrug af biomasse'!$E$2:$E$425,'Forbrug af biomasse'!$C$2:$C$425,'Resultat-Produktion &amp; forbrug'!$A139,'Forbrug af biomasse'!$D$2:$D$425,'Resultat-Produktion &amp; forbrug'!$D139,'Forbrug af biomasse'!$A$2:$A$425,'Resultat-Produktion &amp; forbrug'!L$2,'Forbrug af biomasse'!$B$2:$B$425,$E139),F139)</f>
        <v>0</v>
      </c>
      <c r="M139" s="154">
        <f>SUMIFS('Forbrug af biomasse'!E:E,'Forbrug af biomasse'!C:C,'Resultat-Produktion &amp; forbrug'!$A139,'Forbrug af biomasse'!D:D,'Resultat-Produktion &amp; forbrug'!$D139,'Forbrug af biomasse'!G:G,1,'Forbrug af biomasse'!B:B,$E139)</f>
        <v>0</v>
      </c>
      <c r="N139" s="199">
        <f t="shared" si="23"/>
        <v>104021.41590581447</v>
      </c>
      <c r="O139" s="190">
        <f t="shared" si="39"/>
        <v>0</v>
      </c>
      <c r="P139" s="200">
        <f t="shared" si="24"/>
        <v>0</v>
      </c>
      <c r="Q139" s="187">
        <f>IFERROR(VLOOKUP(A139,[1]Energiindhold!$A$2:$C$11,3,FALSE),IFERROR(VLOOKUP(A139,[1]Biogasudbytte!$A$2:$B$18,2,FALSE)*[1]Energiindhold!$C$10,0))*O139</f>
        <v>0</v>
      </c>
      <c r="R139" s="187">
        <f>IF(A139&lt;&gt;"Biogas",IFERROR(VLOOKUP(A139,[1]Biogasudbytte!$A$2:$B$18,2,FALSE)*[1]Energiindhold!$C$10,0)*J139*IFERROR(VLOOKUP(A139,Biogasanlæg!$F$3:$G$8,2,FALSE),1)+IFERROR(VLOOKUP(A139,[1]Energiindhold!$A$2:$C$11,3,FALSE),0)*L139+IF(D139&lt;&gt;År1,Q139,0),0)</f>
        <v>0</v>
      </c>
      <c r="S139" s="187">
        <f>IFERROR(VLOOKUP(A139,[1]Biogasudbytte!$A$2:$B$18,2,FALSE)*[1]Energiindhold!$C$10,0)*J139*IFERROR(VLOOKUP(A139,Biogasanlæg!$F$3:$G$8,2,FALSE),1)</f>
        <v>0</v>
      </c>
      <c r="T139" s="188">
        <f t="shared" si="25"/>
        <v>0</v>
      </c>
      <c r="U139" s="186">
        <f>O139*IFERROR(VLOOKUP(A139,[1]Tørstofindhold!A$2:B$24,2,FALSE),0)</f>
        <v>0</v>
      </c>
      <c r="V139" s="187">
        <f>IF(D139=År1,P139,SUM(O139,P139))*IFERROR(VLOOKUP(A139,[1]Tørstofindhold!A$2:B$24,2,FALSE),0)</f>
        <v>0</v>
      </c>
      <c r="W139" s="187">
        <f>J139*IFERROR(VLOOKUP(A139,[1]Tørstofindhold!A$2:B$24,2,FALSE),0)</f>
        <v>0</v>
      </c>
      <c r="X139" s="188">
        <f t="shared" si="26"/>
        <v>0</v>
      </c>
      <c r="Y139" s="168">
        <f t="shared" si="43"/>
        <v>0</v>
      </c>
      <c r="Z139" s="103">
        <f t="shared" si="44"/>
        <v>1</v>
      </c>
    </row>
    <row r="140" spans="1:26" x14ac:dyDescent="0.25">
      <c r="A140" s="189" t="str">
        <f t="shared" si="45"/>
        <v>Spildevandsslam</v>
      </c>
      <c r="B140" s="189" t="str">
        <f t="shared" si="46"/>
        <v>Bionedbrydeligt affald</v>
      </c>
      <c r="C140" s="189">
        <f>IF(COUNTIFS('Resultater - Danmark'!$D$3:$D$504,'Resultat-Produktion &amp; forbrug'!A140,'Resultater - Danmark'!$A$3:$A$504,"Til energi")+COUNTIFS('Resultater - Danmark'!$D$3:$D$504,'Resultat-Produktion &amp; forbrug'!A140,'Resultater - Danmark'!$A$3:$A$504,"Biogasanlæg")&gt;0,1,0)</f>
        <v>1</v>
      </c>
      <c r="D140" s="189">
        <f t="shared" si="35"/>
        <v>2050</v>
      </c>
      <c r="E140" s="187" t="s">
        <v>23</v>
      </c>
      <c r="F140" s="190">
        <f>IF(E140="Vestdanmark",SUMIFS(IF(D140=År1,'Resultater - Vestdanmark'!H$3:H$504,IF(D140=År2,'Resultater - Vestdanmark'!I$3:I$504,'Resultater - Vestdanmark'!J$3:J$504)),'Resultater - Vestdanmark'!$F$3:$F$504,$A140,IF(D140=År1,'Resultater - Vestdanmark'!H$3:H$504,IF(D140=År2,'Resultater - Vestdanmark'!I$3:I$504,'Resultater - Vestdanmark'!J$3:J$504)),"&gt;0"),SUMIFS(IF(D140=År1,'Resultater - Østdanmark'!H$3:H$504,IF(D140=År2,'Resultater - Østdanmark'!I$3:I$504,'Resultater - Østdanmark'!J$3:J$504)),'Resultater - Østdanmark'!$F$3:$F$504,$A140,IF(D140=År1,'Resultater - Østdanmark'!H$3:H$504,IF(D140=År2,'Resultater - Østdanmark'!I$3:I$504,'Resultater - Østdanmark'!J$3:J$504)),"&gt;0"))</f>
        <v>4145732.4076082129</v>
      </c>
      <c r="G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forbrug'!G$2,'Forbrug af biomasse'!$B$2:$B$425,$E140)</f>
        <v>0</v>
      </c>
      <c r="H140" s="187">
        <f>IF(E140="Vestdanmark",-IF(A140="Halm",SUMIFS(IF(D140=År1,'Resultater - Vestdanmark'!H$3:H$504,IF(D140=År2,'Resultater - Vestdanmark'!I$3:I$504,'Resultater - Vestdanmark'!J$3:J$504)),'Resultater - Vestdanmark'!$F$3:$F$504,$A140,'Resultater - Vestdanmark'!H$3:H$504,"&lt;0"),0),-IF(A140="Halm",SUMIFS(IF(D140=År1,'Resultater - Østdanmark'!H$3:H$504,IF(D140=År2,'Resultater - Østdanmark'!I$3:I$504,'Resultater - Østdanmark'!J$3:J$504)),'Resultater - Østdanmark'!$F$3:$F$504,$A140,'Resultater - Østdanmark'!H$3:H$504,"&lt;0"),0))</f>
        <v>0</v>
      </c>
      <c r="I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forbrug'!I$2,'Forbrug af biomasse'!$B$2:$B$425,$E140)</f>
        <v>0</v>
      </c>
      <c r="J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forbrug'!J$2,'Forbrug af biomasse'!$B$2:$B$425,$E140)</f>
        <v>1572264.2235564108</v>
      </c>
      <c r="K140" s="190">
        <f>SUMIFS('Forbrug af biomasse'!$E$2:$E$425,'Forbrug af biomasse'!$C$2:$C$425,'Resultat-Produktion &amp; forbrug'!$A140,'Forbrug af biomasse'!$D$2:$D$425,'Resultat-Produktion &amp; forbrug'!$D140,'Forbrug af biomasse'!$A$2:$A$425,'Resultat-Produktion &amp; forbrug'!K$2,'Forbrug af biomasse'!$B$2:$B$425,$E140)</f>
        <v>0</v>
      </c>
      <c r="L140" s="190">
        <f>IF(A140&lt;&gt;"Biogas",SUMIFS('Forbrug af biomasse'!$E$2:$E$425,'Forbrug af biomasse'!$C$2:$C$425,'Resultat-Produktion &amp; forbrug'!$A140,'Forbrug af biomasse'!$D$2:$D$425,'Resultat-Produktion &amp; forbrug'!$D140,'Forbrug af biomasse'!$A$2:$A$425,'Resultat-Produktion &amp; forbrug'!L$2,'Forbrug af biomasse'!$B$2:$B$425,$E140),F140)</f>
        <v>0</v>
      </c>
      <c r="M140" s="154">
        <f>SUMIFS('Forbrug af biomasse'!E:E,'Forbrug af biomasse'!C:C,'Resultat-Produktion &amp; forbrug'!$A140,'Forbrug af biomasse'!D:D,'Resultat-Produktion &amp; forbrug'!$D140,'Forbrug af biomasse'!G:G,1,'Forbrug af biomasse'!B:B,$E140)</f>
        <v>0</v>
      </c>
      <c r="N140" s="199">
        <f t="shared" si="23"/>
        <v>2573468.1840518024</v>
      </c>
      <c r="O140" s="190">
        <f t="shared" si="39"/>
        <v>2573468.1840518024</v>
      </c>
      <c r="P140" s="200">
        <f t="shared" si="24"/>
        <v>1572264.2235564108</v>
      </c>
      <c r="Q140" s="187">
        <f>IFERROR(VLOOKUP(A140,[1]Energiindhold!$A$2:$C$11,3,FALSE),IFERROR(VLOOKUP(A140,[1]Biogasudbytte!$A$2:$B$18,2,FALSE)*[1]Energiindhold!$C$10,0))*O140</f>
        <v>1.2841863585236901</v>
      </c>
      <c r="R140" s="187">
        <f>IF(A140&lt;&gt;"Biogas",IFERROR(VLOOKUP(A140,[1]Biogasudbytte!$A$2:$B$18,2,FALSE)*[1]Energiindhold!$C$10,0)*J140*IFERROR(VLOOKUP(A140,Biogasanlæg!$F$3:$G$8,2,FALSE),1)+IFERROR(VLOOKUP(A140,[1]Energiindhold!$A$2:$C$11,3,FALSE),0)*L140+IF(D140&lt;&gt;År1,Q140,0),0)</f>
        <v>2.0687619287205745</v>
      </c>
      <c r="S140" s="187">
        <f>IFERROR(VLOOKUP(A140,[1]Biogasudbytte!$A$2:$B$18,2,FALSE)*[1]Energiindhold!$C$10,0)*J140*IFERROR(VLOOKUP(A140,Biogasanlæg!$F$3:$G$8,2,FALSE),1)</f>
        <v>0.78457557019688462</v>
      </c>
      <c r="T140" s="188">
        <f t="shared" si="25"/>
        <v>1.2841863585236899</v>
      </c>
      <c r="U140" s="186">
        <f>O140*IFERROR(VLOOKUP(A140,[1]Tørstofindhold!A$2:B$24,2,FALSE),0)</f>
        <v>154408.09104310814</v>
      </c>
      <c r="V140" s="187">
        <f>IF(D140=År1,P140,SUM(O140,P140))*IFERROR(VLOOKUP(A140,[1]Tørstofindhold!A$2:B$24,2,FALSE),0)</f>
        <v>248743.94445649275</v>
      </c>
      <c r="W140" s="187">
        <f>J140*IFERROR(VLOOKUP(A140,[1]Tørstofindhold!A$2:B$24,2,FALSE),0)</f>
        <v>94335.853413384641</v>
      </c>
      <c r="X140" s="188">
        <f t="shared" si="26"/>
        <v>154408.09104310811</v>
      </c>
      <c r="Y140" s="168">
        <f t="shared" si="43"/>
        <v>0</v>
      </c>
      <c r="Z140" s="103">
        <f t="shared" si="44"/>
        <v>1</v>
      </c>
    </row>
    <row r="141" spans="1:26" x14ac:dyDescent="0.25">
      <c r="A141" s="189" t="str">
        <f t="shared" si="45"/>
        <v>Svinegylle</v>
      </c>
      <c r="B141" s="189" t="str">
        <f t="shared" si="46"/>
        <v>Husdyrgødning</v>
      </c>
      <c r="C141" s="189">
        <f>IF(COUNTIFS('Resultater - Danmark'!$D$3:$D$504,'Resultat-Produktion &amp; forbrug'!A141,'Resultater - Danmark'!$A$3:$A$504,"Til energi")+COUNTIFS('Resultater - Danmark'!$D$3:$D$504,'Resultat-Produktion &amp; forbrug'!A141,'Resultater - Danmark'!$A$3:$A$504,"Biogasanlæg")&gt;0,1,0)</f>
        <v>1</v>
      </c>
      <c r="D141" s="189">
        <f t="shared" si="35"/>
        <v>2050</v>
      </c>
      <c r="E141" s="187" t="s">
        <v>23</v>
      </c>
      <c r="F141" s="190">
        <f>IF(E141="Vestdanmark",SUMIFS(IF(D141=År1,'Resultater - Vestdanmark'!H$3:H$504,IF(D141=År2,'Resultater - Vestdanmark'!I$3:I$504,'Resultater - Vestdanmark'!J$3:J$504)),'Resultater - Vestdanmark'!$F$3:$F$504,$A141,IF(D141=År1,'Resultater - Vestdanmark'!H$3:H$504,IF(D141=År2,'Resultater - Vestdanmark'!I$3:I$504,'Resultater - Vestdanmark'!J$3:J$504)),"&gt;0"),SUMIFS(IF(D141=År1,'Resultater - Østdanmark'!H$3:H$504,IF(D141=År2,'Resultater - Østdanmark'!I$3:I$504,'Resultater - Østdanmark'!J$3:J$504)),'Resultater - Østdanmark'!$F$3:$F$504,$A141,IF(D141=År1,'Resultater - Østdanmark'!H$3:H$504,IF(D141=År2,'Resultater - Østdanmark'!I$3:I$504,'Resultater - Østdanmark'!J$3:J$504)),"&gt;0"))</f>
        <v>17318750.121095471</v>
      </c>
      <c r="G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forbrug'!G$2,'Forbrug af biomasse'!$B$2:$B$425,$E141)</f>
        <v>0</v>
      </c>
      <c r="H141" s="187">
        <f>IF(E141="Vestdanmark",-IF(A141="Halm",SUMIFS(IF(D141=År1,'Resultater - Vestdanmark'!H$3:H$504,IF(D141=År2,'Resultater - Vestdanmark'!I$3:I$504,'Resultater - Vestdanmark'!J$3:J$504)),'Resultater - Vestdanmark'!$F$3:$F$504,$A141,'Resultater - Vestdanmark'!H$3:H$504,"&lt;0"),0),-IF(A141="Halm",SUMIFS(IF(D141=År1,'Resultater - Østdanmark'!H$3:H$504,IF(D141=År2,'Resultater - Østdanmark'!I$3:I$504,'Resultater - Østdanmark'!J$3:J$504)),'Resultater - Østdanmark'!$F$3:$F$504,$A141,'Resultater - Østdanmark'!H$3:H$504,"&lt;0"),0))</f>
        <v>0</v>
      </c>
      <c r="I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forbrug'!I$2,'Forbrug af biomasse'!$B$2:$B$425,$E141)</f>
        <v>0</v>
      </c>
      <c r="J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forbrug'!J$2,'Forbrug af biomasse'!$B$2:$B$425,$E141)</f>
        <v>9178937.5641805995</v>
      </c>
      <c r="K141" s="190">
        <f>SUMIFS('Forbrug af biomasse'!$E$2:$E$425,'Forbrug af biomasse'!$C$2:$C$425,'Resultat-Produktion &amp; forbrug'!$A141,'Forbrug af biomasse'!$D$2:$D$425,'Resultat-Produktion &amp; forbrug'!$D141,'Forbrug af biomasse'!$A$2:$A$425,'Resultat-Produktion &amp; forbrug'!K$2,'Forbrug af biomasse'!$B$2:$B$425,$E141)</f>
        <v>8139812.5569148706</v>
      </c>
      <c r="L141" s="190">
        <f>IF(A141&lt;&gt;"Biogas",SUMIFS('Forbrug af biomasse'!$E$2:$E$425,'Forbrug af biomasse'!$C$2:$C$425,'Resultat-Produktion &amp; forbrug'!$A141,'Forbrug af biomasse'!$D$2:$D$425,'Resultat-Produktion &amp; forbrug'!$D141,'Forbrug af biomasse'!$A$2:$A$425,'Resultat-Produktion &amp; forbrug'!L$2,'Forbrug af biomasse'!$B$2:$B$425,$E141),F141)</f>
        <v>0</v>
      </c>
      <c r="M141" s="154">
        <f>SUMIFS('Forbrug af biomasse'!E:E,'Forbrug af biomasse'!C:C,'Resultat-Produktion &amp; forbrug'!$A141,'Forbrug af biomasse'!D:D,'Resultat-Produktion &amp; forbrug'!$D141,'Forbrug af biomasse'!G:G,1,'Forbrug af biomasse'!B:B,$E141)</f>
        <v>0</v>
      </c>
      <c r="N141" s="199">
        <f t="shared" si="23"/>
        <v>0</v>
      </c>
      <c r="O141" s="190">
        <f t="shared" si="39"/>
        <v>0</v>
      </c>
      <c r="P141" s="200">
        <f t="shared" si="24"/>
        <v>9178937.5641805995</v>
      </c>
      <c r="Q141" s="187">
        <f>IFERROR(VLOOKUP(A141,[1]Energiindhold!$A$2:$C$11,3,FALSE),IFERROR(VLOOKUP(A141,[1]Biogasudbytte!$A$2:$B$18,2,FALSE)*[1]Energiindhold!$C$10,0))*O141</f>
        <v>0</v>
      </c>
      <c r="R141" s="187">
        <f>IF(A141&lt;&gt;"Biogas",IFERROR(VLOOKUP(A141,[1]Biogasudbytte!$A$2:$B$18,2,FALSE)*[1]Energiindhold!$C$10,0)*J141*IFERROR(VLOOKUP(A141,Biogasanlæg!$F$3:$G$8,2,FALSE),1)+IFERROR(VLOOKUP(A141,[1]Energiindhold!$A$2:$C$11,3,FALSE),0)*L141+IF(D141&lt;&gt;År1,Q141,0),0)</f>
        <v>3.9542863026490029</v>
      </c>
      <c r="S141" s="187">
        <f>IFERROR(VLOOKUP(A141,[1]Biogasudbytte!$A$2:$B$18,2,FALSE)*[1]Energiindhold!$C$10,0)*J141*IFERROR(VLOOKUP(A141,Biogasanlæg!$F$3:$G$8,2,FALSE),1)</f>
        <v>3.9542863026490029</v>
      </c>
      <c r="T141" s="188">
        <f t="shared" si="25"/>
        <v>0</v>
      </c>
      <c r="U141" s="186">
        <f>O141*IFERROR(VLOOKUP(A141,[1]Tørstofindhold!A$2:B$24,2,FALSE),0)</f>
        <v>0</v>
      </c>
      <c r="V141" s="187">
        <f>IF(D141=År1,P141,SUM(O141,P141))*IFERROR(VLOOKUP(A141,[1]Tørstofindhold!A$2:B$24,2,FALSE),0)</f>
        <v>458946.87820903002</v>
      </c>
      <c r="W141" s="187">
        <f>J141*IFERROR(VLOOKUP(A141,[1]Tørstofindhold!A$2:B$24,2,FALSE),0)</f>
        <v>458946.87820903002</v>
      </c>
      <c r="X141" s="188">
        <f t="shared" si="26"/>
        <v>0</v>
      </c>
      <c r="Y141" s="168">
        <f t="shared" si="43"/>
        <v>0</v>
      </c>
      <c r="Z141" s="103">
        <f t="shared" si="44"/>
        <v>0</v>
      </c>
    </row>
    <row r="142" spans="1:26" x14ac:dyDescent="0.25">
      <c r="A142" s="189" t="str">
        <f t="shared" si="45"/>
        <v>Svinekød</v>
      </c>
      <c r="B142" s="189" t="str">
        <f t="shared" si="46"/>
        <v/>
      </c>
      <c r="C142" s="189">
        <f>IF(COUNTIFS('Resultater - Danmark'!$D$3:$D$504,'Resultat-Produktion &amp; forbrug'!A142,'Resultater - Danmark'!$A$3:$A$504,"Til energi")+COUNTIFS('Resultater - Danmark'!$D$3:$D$504,'Resultat-Produktion &amp; forbrug'!A142,'Resultater - Danmark'!$A$3:$A$504,"Biogasanlæg")&gt;0,1,0)</f>
        <v>0</v>
      </c>
      <c r="D142" s="189">
        <f t="shared" si="35"/>
        <v>2050</v>
      </c>
      <c r="E142" s="187" t="s">
        <v>23</v>
      </c>
      <c r="F142" s="190">
        <f>IF(E142="Vestdanmark",SUMIFS(IF(D142=År1,'Resultater - Vestdanmark'!H$3:H$504,IF(D142=År2,'Resultater - Vestdanmark'!I$3:I$504,'Resultater - Vestdanmark'!J$3:J$504)),'Resultater - Vestdanmark'!$F$3:$F$504,$A142,IF(D142=År1,'Resultater - Vestdanmark'!H$3:H$504,IF(D142=År2,'Resultater - Vestdanmark'!I$3:I$504,'Resultater - Vestdanmark'!J$3:J$504)),"&gt;0"),SUMIFS(IF(D142=År1,'Resultater - Østdanmark'!H$3:H$504,IF(D142=År2,'Resultater - Østdanmark'!I$3:I$504,'Resultater - Østdanmark'!J$3:J$504)),'Resultater - Østdanmark'!$F$3:$F$504,$A142,IF(D142=År1,'Resultater - Østdanmark'!H$3:H$504,IF(D142=År2,'Resultater - Østdanmark'!I$3:I$504,'Resultater - Østdanmark'!J$3:J$504)),"&gt;0"))</f>
        <v>1608181.0498602674</v>
      </c>
      <c r="G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forbrug'!G$2,'Forbrug af biomasse'!$B$2:$B$425,$E142)</f>
        <v>0</v>
      </c>
      <c r="H142" s="187">
        <f>IF(E142="Vestdanmark",-IF(A142="Halm",SUMIFS(IF(D142=År1,'Resultater - Vestdanmark'!H$3:H$504,IF(D142=År2,'Resultater - Vestdanmark'!I$3:I$504,'Resultater - Vestdanmark'!J$3:J$504)),'Resultater - Vestdanmark'!$F$3:$F$504,$A142,'Resultater - Vestdanmark'!H$3:H$504,"&lt;0"),0),-IF(A142="Halm",SUMIFS(IF(D142=År1,'Resultater - Østdanmark'!H$3:H$504,IF(D142=År2,'Resultater - Østdanmark'!I$3:I$504,'Resultater - Østdanmark'!J$3:J$504)),'Resultater - Østdanmark'!$F$3:$F$504,$A142,'Resultater - Østdanmark'!H$3:H$504,"&lt;0"),0))</f>
        <v>0</v>
      </c>
      <c r="I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forbrug'!I$2,'Forbrug af biomasse'!$B$2:$B$425,$E142)</f>
        <v>126627.09194270898</v>
      </c>
      <c r="J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forbrug'!J$2,'Forbrug af biomasse'!$B$2:$B$425,$E142)</f>
        <v>0</v>
      </c>
      <c r="K142" s="190">
        <f>SUMIFS('Forbrug af biomasse'!$E$2:$E$425,'Forbrug af biomasse'!$C$2:$C$425,'Resultat-Produktion &amp; forbrug'!$A142,'Forbrug af biomasse'!$D$2:$D$425,'Resultat-Produktion &amp; forbrug'!$D142,'Forbrug af biomasse'!$A$2:$A$425,'Resultat-Produktion &amp; forbrug'!K$2,'Forbrug af biomasse'!$B$2:$B$425,$E142)</f>
        <v>0</v>
      </c>
      <c r="L142" s="190">
        <f>IF(A142&lt;&gt;"Biogas",SUMIFS('Forbrug af biomasse'!$E$2:$E$425,'Forbrug af biomasse'!$C$2:$C$425,'Resultat-Produktion &amp; forbrug'!$A142,'Forbrug af biomasse'!$D$2:$D$425,'Resultat-Produktion &amp; forbrug'!$D142,'Forbrug af biomasse'!$A$2:$A$425,'Resultat-Produktion &amp; forbrug'!L$2,'Forbrug af biomasse'!$B$2:$B$425,$E142),F142)</f>
        <v>0</v>
      </c>
      <c r="M142" s="154">
        <f>SUMIFS('Forbrug af biomasse'!E:E,'Forbrug af biomasse'!C:C,'Resultat-Produktion &amp; forbrug'!$A142,'Forbrug af biomasse'!D:D,'Resultat-Produktion &amp; forbrug'!$D142,'Forbrug af biomasse'!G:G,1,'Forbrug af biomasse'!B:B,$E142)</f>
        <v>0</v>
      </c>
      <c r="N142" s="199">
        <f t="shared" si="23"/>
        <v>1481553.9579175585</v>
      </c>
      <c r="O142" s="190">
        <f t="shared" si="39"/>
        <v>0</v>
      </c>
      <c r="P142" s="200">
        <f t="shared" si="24"/>
        <v>0</v>
      </c>
      <c r="Q142" s="187">
        <f>IFERROR(VLOOKUP(A142,[1]Energiindhold!$A$2:$C$11,3,FALSE),IFERROR(VLOOKUP(A142,[1]Biogasudbytte!$A$2:$B$18,2,FALSE)*[1]Energiindhold!$C$10,0))*O142</f>
        <v>0</v>
      </c>
      <c r="R142" s="187">
        <f>IF(A142&lt;&gt;"Biogas",IFERROR(VLOOKUP(A142,[1]Biogasudbytte!$A$2:$B$18,2,FALSE)*[1]Energiindhold!$C$10,0)*J142*IFERROR(VLOOKUP(A142,Biogasanlæg!$F$3:$G$8,2,FALSE),1)+IFERROR(VLOOKUP(A142,[1]Energiindhold!$A$2:$C$11,3,FALSE),0)*L142+IF(D142&lt;&gt;År1,Q142,0),0)</f>
        <v>0</v>
      </c>
      <c r="S142" s="187">
        <f>IFERROR(VLOOKUP(A142,[1]Biogasudbytte!$A$2:$B$18,2,FALSE)*[1]Energiindhold!$C$10,0)*J142*IFERROR(VLOOKUP(A142,Biogasanlæg!$F$3:$G$8,2,FALSE),1)</f>
        <v>0</v>
      </c>
      <c r="T142" s="188">
        <f t="shared" si="25"/>
        <v>0</v>
      </c>
      <c r="U142" s="186">
        <f>O142*IFERROR(VLOOKUP(A142,[1]Tørstofindhold!A$2:B$24,2,FALSE),0)</f>
        <v>0</v>
      </c>
      <c r="V142" s="187">
        <f>IF(D142=År1,P142,SUM(O142,P142))*IFERROR(VLOOKUP(A142,[1]Tørstofindhold!A$2:B$24,2,FALSE),0)</f>
        <v>0</v>
      </c>
      <c r="W142" s="187">
        <f>J142*IFERROR(VLOOKUP(A142,[1]Tørstofindhold!A$2:B$24,2,FALSE),0)</f>
        <v>0</v>
      </c>
      <c r="X142" s="188">
        <f t="shared" si="26"/>
        <v>0</v>
      </c>
      <c r="Y142" s="168">
        <f t="shared" si="43"/>
        <v>0</v>
      </c>
      <c r="Z142" s="103">
        <f t="shared" si="44"/>
        <v>1</v>
      </c>
    </row>
    <row r="143" spans="1:26" x14ac:dyDescent="0.25">
      <c r="A143" s="189" t="str">
        <f t="shared" si="45"/>
        <v>Tang</v>
      </c>
      <c r="B143" s="189" t="str">
        <f t="shared" si="46"/>
        <v>Havbiomasse</v>
      </c>
      <c r="C143" s="189">
        <f>IF(COUNTIFS('Resultater - Danmark'!$D$3:$D$504,'Resultat-Produktion &amp; forbrug'!A143,'Resultater - Danmark'!$A$3:$A$504,"Til energi")+COUNTIFS('Resultater - Danmark'!$D$3:$D$504,'Resultat-Produktion &amp; forbrug'!A143,'Resultater - Danmark'!$A$3:$A$504,"Biogasanlæg")&gt;0,1,0)</f>
        <v>1</v>
      </c>
      <c r="D143" s="189">
        <f t="shared" si="35"/>
        <v>2050</v>
      </c>
      <c r="E143" s="187" t="s">
        <v>23</v>
      </c>
      <c r="F143" s="190">
        <f>IF(E143="Vestdanmark",SUMIFS(IF(D143=År1,'Resultater - Vestdanmark'!H$3:H$504,IF(D143=År2,'Resultater - Vestdanmark'!I$3:I$504,'Resultater - Vestdanmark'!J$3:J$504)),'Resultater - Vestdanmark'!$F$3:$F$504,$A143,IF(D143=År1,'Resultater - Vestdanmark'!H$3:H$504,IF(D143=År2,'Resultater - Vestdanmark'!I$3:I$504,'Resultater - Vestdanmark'!J$3:J$504)),"&gt;0"),SUMIFS(IF(D143=År1,'Resultater - Østdanmark'!H$3:H$504,IF(D143=År2,'Resultater - Østdanmark'!I$3:I$504,'Resultater - Østdanmark'!J$3:J$504)),'Resultater - Østdanmark'!$F$3:$F$504,$A143,IF(D143=År1,'Resultater - Østdanmark'!H$3:H$504,IF(D143=År2,'Resultater - Østdanmark'!I$3:I$504,'Resultater - Østdanmark'!J$3:J$504)),"&gt;0"))</f>
        <v>84600</v>
      </c>
      <c r="G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forbrug'!G$2,'Forbrug af biomasse'!$B$2:$B$425,$E143)</f>
        <v>0</v>
      </c>
      <c r="H143" s="187">
        <f>IF(E143="Vestdanmark",-IF(A143="Halm",SUMIFS(IF(D143=År1,'Resultater - Vestdanmark'!H$3:H$504,IF(D143=År2,'Resultater - Vestdanmark'!I$3:I$504,'Resultater - Vestdanmark'!J$3:J$504)),'Resultater - Vestdanmark'!$F$3:$F$504,$A143,'Resultater - Vestdanmark'!H$3:H$504,"&lt;0"),0),-IF(A143="Halm",SUMIFS(IF(D143=År1,'Resultater - Østdanmark'!H$3:H$504,IF(D143=År2,'Resultater - Østdanmark'!I$3:I$504,'Resultater - Østdanmark'!J$3:J$504)),'Resultater - Østdanmark'!$F$3:$F$504,$A143,'Resultater - Østdanmark'!H$3:H$504,"&lt;0"),0))</f>
        <v>0</v>
      </c>
      <c r="I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forbrug'!I$2,'Forbrug af biomasse'!$B$2:$B$425,$E143)</f>
        <v>0</v>
      </c>
      <c r="J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forbrug'!J$2,'Forbrug af biomasse'!$B$2:$B$425,$E143)</f>
        <v>0</v>
      </c>
      <c r="K143" s="190">
        <f>SUMIFS('Forbrug af biomasse'!$E$2:$E$425,'Forbrug af biomasse'!$C$2:$C$425,'Resultat-Produktion &amp; forbrug'!$A143,'Forbrug af biomasse'!$D$2:$D$425,'Resultat-Produktion &amp; forbrug'!$D143,'Forbrug af biomasse'!$A$2:$A$425,'Resultat-Produktion &amp; forbrug'!K$2,'Forbrug af biomasse'!$B$2:$B$425,$E143)</f>
        <v>0</v>
      </c>
      <c r="L143" s="190">
        <f>IF(A143&lt;&gt;"Biogas",SUMIFS('Forbrug af biomasse'!$E$2:$E$425,'Forbrug af biomasse'!$C$2:$C$425,'Resultat-Produktion &amp; forbrug'!$A143,'Forbrug af biomasse'!$D$2:$D$425,'Resultat-Produktion &amp; forbrug'!$D143,'Forbrug af biomasse'!$A$2:$A$425,'Resultat-Produktion &amp; forbrug'!L$2,'Forbrug af biomasse'!$B$2:$B$425,$E143),F143)</f>
        <v>0</v>
      </c>
      <c r="M143" s="154">
        <f>SUMIFS('Forbrug af biomasse'!E:E,'Forbrug af biomasse'!C:C,'Resultat-Produktion &amp; forbrug'!$A143,'Forbrug af biomasse'!D:D,'Resultat-Produktion &amp; forbrug'!$D143,'Forbrug af biomasse'!G:G,1,'Forbrug af biomasse'!B:B,$E143)</f>
        <v>0</v>
      </c>
      <c r="N143" s="199">
        <f t="shared" si="23"/>
        <v>84600</v>
      </c>
      <c r="O143" s="190">
        <f t="shared" si="39"/>
        <v>84600</v>
      </c>
      <c r="P143" s="200">
        <f t="shared" si="24"/>
        <v>0</v>
      </c>
      <c r="Q143" s="187">
        <f>IFERROR(VLOOKUP(A143,[1]Energiindhold!$A$2:$C$11,3,FALSE),IFERROR(VLOOKUP(A143,[1]Biogasudbytte!$A$2:$B$18,2,FALSE)*[1]Energiindhold!$C$10,0))*O143</f>
        <v>7.592850000000001E-2</v>
      </c>
      <c r="R143" s="187">
        <f>IF(A143&lt;&gt;"Biogas",IFERROR(VLOOKUP(A143,[1]Biogasudbytte!$A$2:$B$18,2,FALSE)*[1]Energiindhold!$C$10,0)*J143*IFERROR(VLOOKUP(A143,Biogasanlæg!$F$3:$G$8,2,FALSE),1)+IFERROR(VLOOKUP(A143,[1]Energiindhold!$A$2:$C$11,3,FALSE),0)*L143+IF(D143&lt;&gt;År1,Q143,0),0)</f>
        <v>7.592850000000001E-2</v>
      </c>
      <c r="S143" s="187">
        <f>IFERROR(VLOOKUP(A143,[1]Biogasudbytte!$A$2:$B$18,2,FALSE)*[1]Energiindhold!$C$10,0)*J143*IFERROR(VLOOKUP(A143,Biogasanlæg!$F$3:$G$8,2,FALSE),1)</f>
        <v>0</v>
      </c>
      <c r="T143" s="188">
        <f t="shared" si="25"/>
        <v>7.592850000000001E-2</v>
      </c>
      <c r="U143" s="186">
        <f>O143*IFERROR(VLOOKUP(A143,[1]Tørstofindhold!A$2:B$24,2,FALSE),0)</f>
        <v>12690</v>
      </c>
      <c r="V143" s="187">
        <f>IF(D143=År1,P143,SUM(O143,P143))*IFERROR(VLOOKUP(A143,[1]Tørstofindhold!A$2:B$24,2,FALSE),0)</f>
        <v>12690</v>
      </c>
      <c r="W143" s="187">
        <f>J143*IFERROR(VLOOKUP(A143,[1]Tørstofindhold!A$2:B$24,2,FALSE),0)</f>
        <v>0</v>
      </c>
      <c r="X143" s="188">
        <f t="shared" si="26"/>
        <v>12690</v>
      </c>
      <c r="Y143" s="168">
        <f t="shared" si="43"/>
        <v>0</v>
      </c>
      <c r="Z143" s="103">
        <f t="shared" si="44"/>
        <v>1</v>
      </c>
    </row>
    <row r="144" spans="1:26" x14ac:dyDescent="0.25">
      <c r="A144" s="189" t="str">
        <f t="shared" si="45"/>
        <v>Total til biogas</v>
      </c>
      <c r="B144" s="189" t="str">
        <f t="shared" si="46"/>
        <v/>
      </c>
      <c r="C144" s="189">
        <f>IF(COUNTIFS('Resultater - Danmark'!$D$3:$D$504,'Resultat-Produktion &amp; forbrug'!A144,'Resultater - Danmark'!$A$3:$A$504,"Til energi")+COUNTIFS('Resultater - Danmark'!$D$3:$D$504,'Resultat-Produktion &amp; forbrug'!A144,'Resultater - Danmark'!$A$3:$A$504,"Biogasanlæg")&gt;0,1,0)</f>
        <v>1</v>
      </c>
      <c r="D144" s="189">
        <f t="shared" si="35"/>
        <v>2050</v>
      </c>
      <c r="E144" s="187" t="s">
        <v>23</v>
      </c>
      <c r="F144" s="190">
        <f>IF(E144="Vestdanmark",SUMIFS(IF(D144=År1,'Resultater - Vestdanmark'!H$3:H$504,IF(D144=År2,'Resultater - Vestdanmark'!I$3:I$504,'Resultater - Vestdanmark'!J$3:J$504)),'Resultater - Vestdanmark'!$F$3:$F$504,$A144,IF(D144=År1,'Resultater - Vestdanmark'!H$3:H$504,IF(D144=År2,'Resultater - Vestdanmark'!I$3:I$504,'Resultater - Vestdanmark'!J$3:J$504)),"&gt;0"),SUMIFS(IF(D144=År1,'Resultater - Østdanmark'!H$3:H$504,IF(D144=År2,'Resultater - Østdanmark'!I$3:I$504,'Resultater - Østdanmark'!J$3:J$504)),'Resultater - Østdanmark'!$F$3:$F$504,$A144,IF(D144=År1,'Resultater - Østdanmark'!H$3:H$504,IF(D144=År2,'Resultater - Østdanmark'!I$3:I$504,'Resultater - Østdanmark'!J$3:J$504)),"&gt;0"))</f>
        <v>0</v>
      </c>
      <c r="G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forbrug'!G$2,'Forbrug af biomasse'!$B$2:$B$425,$E144)</f>
        <v>0</v>
      </c>
      <c r="H144" s="187">
        <f>IF(E144="Vestdanmark",-IF(A144="Halm",SUMIFS(IF(D144=År1,'Resultater - Vestdanmark'!H$3:H$504,IF(D144=År2,'Resultater - Vestdanmark'!I$3:I$504,'Resultater - Vestdanmark'!J$3:J$504)),'Resultater - Vestdanmark'!$F$3:$F$504,$A144,'Resultater - Vestdanmark'!H$3:H$504,"&lt;0"),0),-IF(A144="Halm",SUMIFS(IF(D144=År1,'Resultater - Østdanmark'!H$3:H$504,IF(D144=År2,'Resultater - Østdanmark'!I$3:I$504,'Resultater - Østdanmark'!J$3:J$504)),'Resultater - Østdanmark'!$F$3:$F$504,$A144,'Resultater - Østdanmark'!H$3:H$504,"&lt;0"),0))</f>
        <v>0</v>
      </c>
      <c r="I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forbrug'!I$2,'Forbrug af biomasse'!$B$2:$B$425,$E144)</f>
        <v>0</v>
      </c>
      <c r="J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forbrug'!J$2,'Forbrug af biomasse'!$B$2:$B$425,$E144)</f>
        <v>0</v>
      </c>
      <c r="K144" s="190">
        <f>SUMIFS('Forbrug af biomasse'!$E$2:$E$425,'Forbrug af biomasse'!$C$2:$C$425,'Resultat-Produktion &amp; forbrug'!$A144,'Forbrug af biomasse'!$D$2:$D$425,'Resultat-Produktion &amp; forbrug'!$D144,'Forbrug af biomasse'!$A$2:$A$425,'Resultat-Produktion &amp; forbrug'!K$2,'Forbrug af biomasse'!$B$2:$B$425,$E144)</f>
        <v>0</v>
      </c>
      <c r="L144" s="190">
        <f>IF(A144&lt;&gt;"Biogas",SUMIFS('Forbrug af biomasse'!$E$2:$E$425,'Forbrug af biomasse'!$C$2:$C$425,'Resultat-Produktion &amp; forbrug'!$A144,'Forbrug af biomasse'!$D$2:$D$425,'Resultat-Produktion &amp; forbrug'!$D144,'Forbrug af biomasse'!$A$2:$A$425,'Resultat-Produktion &amp; forbrug'!L$2,'Forbrug af biomasse'!$B$2:$B$425,$E144),F144)</f>
        <v>0</v>
      </c>
      <c r="M144" s="154">
        <f>SUMIFS('Forbrug af biomasse'!E:E,'Forbrug af biomasse'!C:C,'Resultat-Produktion &amp; forbrug'!$A144,'Forbrug af biomasse'!D:D,'Resultat-Produktion &amp; forbrug'!$D144,'Forbrug af biomasse'!G:G,1,'Forbrug af biomasse'!B:B,$E144)</f>
        <v>0</v>
      </c>
      <c r="N144" s="199">
        <f t="shared" si="23"/>
        <v>0</v>
      </c>
      <c r="O144" s="190">
        <f t="shared" si="39"/>
        <v>0</v>
      </c>
      <c r="P144" s="200">
        <f t="shared" si="24"/>
        <v>0</v>
      </c>
      <c r="Q144" s="187">
        <f>IFERROR(VLOOKUP(A144,[1]Energiindhold!$A$2:$C$11,3,FALSE),IFERROR(VLOOKUP(A144,[1]Biogasudbytte!$A$2:$B$18,2,FALSE)*[1]Energiindhold!$C$10,0))*O144</f>
        <v>0</v>
      </c>
      <c r="R144" s="187">
        <f>IF(A144&lt;&gt;"Biogas",IFERROR(VLOOKUP(A144,[1]Biogasudbytte!$A$2:$B$18,2,FALSE)*[1]Energiindhold!$C$10,0)*J144*IFERROR(VLOOKUP(A144,Biogasanlæg!$F$3:$G$8,2,FALSE),1)+IFERROR(VLOOKUP(A144,[1]Energiindhold!$A$2:$C$11,3,FALSE),0)*L144+IF(D144&lt;&gt;År1,Q144,0),0)</f>
        <v>0</v>
      </c>
      <c r="S144" s="187">
        <f>IFERROR(VLOOKUP(A144,[1]Biogasudbytte!$A$2:$B$18,2,FALSE)*[1]Energiindhold!$C$10,0)*J144*IFERROR(VLOOKUP(A144,Biogasanlæg!$F$3:$G$8,2,FALSE),1)</f>
        <v>0</v>
      </c>
      <c r="T144" s="188">
        <f t="shared" si="25"/>
        <v>0</v>
      </c>
      <c r="U144" s="186">
        <f>O144*IFERROR(VLOOKUP(A144,[1]Tørstofindhold!A$2:B$24,2,FALSE),0)</f>
        <v>0</v>
      </c>
      <c r="V144" s="187">
        <f>IF(D144=År1,P144,SUM(O144,P144))*IFERROR(VLOOKUP(A144,[1]Tørstofindhold!A$2:B$24,2,FALSE),0)</f>
        <v>0</v>
      </c>
      <c r="W144" s="187">
        <f>J144*IFERROR(VLOOKUP(A144,[1]Tørstofindhold!A$2:B$24,2,FALSE),0)</f>
        <v>0</v>
      </c>
      <c r="X144" s="188">
        <f t="shared" si="26"/>
        <v>0</v>
      </c>
      <c r="Y144" s="168">
        <f t="shared" si="43"/>
        <v>0</v>
      </c>
      <c r="Z144" s="103">
        <f t="shared" si="44"/>
        <v>0</v>
      </c>
    </row>
    <row r="145" spans="1:26" x14ac:dyDescent="0.25">
      <c r="A145" s="189" t="str">
        <f t="shared" si="45"/>
        <v>Træ til energi</v>
      </c>
      <c r="B145" s="189" t="str">
        <f t="shared" si="46"/>
        <v>Vedmasse</v>
      </c>
      <c r="C145" s="189">
        <f>IF(COUNTIFS('Resultater - Danmark'!$D$3:$D$504,'Resultat-Produktion &amp; forbrug'!A145,'Resultater - Danmark'!$A$3:$A$504,"Til energi")+COUNTIFS('Resultater - Danmark'!$D$3:$D$504,'Resultat-Produktion &amp; forbrug'!A145,'Resultater - Danmark'!$A$3:$A$504,"Biogasanlæg")&gt;0,1,0)</f>
        <v>1</v>
      </c>
      <c r="D145" s="189">
        <f t="shared" si="35"/>
        <v>2050</v>
      </c>
      <c r="E145" s="187" t="s">
        <v>23</v>
      </c>
      <c r="F145" s="190">
        <f ca="1">IF(E145="Vestdanmark",SUMIFS(IF(D145=År1,'Resultater - Vestdanmark'!H$3:H$504,IF(D145=År2,'Resultater - Vestdanmark'!I$3:I$504,'Resultater - Vestdanmark'!J$3:J$504)),'Resultater - Vestdanmark'!$F$3:$F$504,$A145,IF(D145=År1,'Resultater - Vestdanmark'!H$3:H$504,IF(D145=År2,'Resultater - Vestdanmark'!I$3:I$504,'Resultater - Vestdanmark'!J$3:J$504)),"&gt;0"),SUMIFS(IF(D145=År1,'Resultater - Østdanmark'!H$3:H$504,IF(D145=År2,'Resultater - Østdanmark'!I$3:I$504,'Resultater - Østdanmark'!J$3:J$504)),'Resultater - Østdanmark'!$F$3:$F$504,$A145,IF(D145=År1,'Resultater - Østdanmark'!H$3:H$504,IF(D145=År2,'Resultater - Østdanmark'!I$3:I$504,'Resultater - Østdanmark'!J$3:J$504)),"&gt;0"))</f>
        <v>2001119.0505128279</v>
      </c>
      <c r="G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forbrug'!G$2,'Forbrug af biomasse'!$B$2:$B$425,$E145)</f>
        <v>0</v>
      </c>
      <c r="H145" s="187">
        <f>IF(E145="Vestdanmark",-IF(A145="Halm",SUMIFS(IF(D145=År1,'Resultater - Vestdanmark'!H$3:H$504,IF(D145=År2,'Resultater - Vestdanmark'!I$3:I$504,'Resultater - Vestdanmark'!J$3:J$504)),'Resultater - Vestdanmark'!$F$3:$F$504,$A145,'Resultater - Vestdanmark'!H$3:H$504,"&lt;0"),0),-IF(A145="Halm",SUMIFS(IF(D145=År1,'Resultater - Østdanmark'!H$3:H$504,IF(D145=År2,'Resultater - Østdanmark'!I$3:I$504,'Resultater - Østdanmark'!J$3:J$504)),'Resultater - Østdanmark'!$F$3:$F$504,$A145,'Resultater - Østdanmark'!H$3:H$504,"&lt;0"),0))</f>
        <v>0</v>
      </c>
      <c r="I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forbrug'!I$2,'Forbrug af biomasse'!$B$2:$B$425,$E145)</f>
        <v>0</v>
      </c>
      <c r="J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forbrug'!J$2,'Forbrug af biomasse'!$B$2:$B$425,$E145)</f>
        <v>0</v>
      </c>
      <c r="K145" s="190">
        <f>SUMIFS('Forbrug af biomasse'!$E$2:$E$425,'Forbrug af biomasse'!$C$2:$C$425,'Resultat-Produktion &amp; forbrug'!$A145,'Forbrug af biomasse'!$D$2:$D$425,'Resultat-Produktion &amp; forbrug'!$D145,'Forbrug af biomasse'!$A$2:$A$425,'Resultat-Produktion &amp; forbrug'!K$2,'Forbrug af biomasse'!$B$2:$B$425,$E145)</f>
        <v>0</v>
      </c>
      <c r="L145" s="190">
        <f ca="1">IF(A145&lt;&gt;"Biogas",SUMIFS('Forbrug af biomasse'!$E$2:$E$425,'Forbrug af biomasse'!$C$2:$C$425,'Resultat-Produktion &amp; forbrug'!$A145,'Forbrug af biomasse'!$D$2:$D$425,'Resultat-Produktion &amp; forbrug'!$D145,'Forbrug af biomasse'!$A$2:$A$425,'Resultat-Produktion &amp; forbrug'!L$2,'Forbrug af biomasse'!$B$2:$B$425,$E145),F145)</f>
        <v>2001119.0505128279</v>
      </c>
      <c r="M145" s="154">
        <f>SUMIFS('Forbrug af biomasse'!E:E,'Forbrug af biomasse'!C:C,'Resultat-Produktion &amp; forbrug'!$A145,'Forbrug af biomasse'!D:D,'Resultat-Produktion &amp; forbrug'!$D145,'Forbrug af biomasse'!G:G,1,'Forbrug af biomasse'!B:B,$E145)</f>
        <v>0</v>
      </c>
      <c r="N145" s="199">
        <f t="shared" ca="1" si="23"/>
        <v>0</v>
      </c>
      <c r="O145" s="190">
        <f t="shared" ca="1" si="39"/>
        <v>0</v>
      </c>
      <c r="P145" s="200">
        <f t="shared" ca="1" si="24"/>
        <v>2001119.0505128279</v>
      </c>
      <c r="Q145" s="187">
        <f ca="1">IFERROR(VLOOKUP(A145,[1]Energiindhold!$A$2:$C$11,3,FALSE),IFERROR(VLOOKUP(A145,[1]Biogasudbytte!$A$2:$B$18,2,FALSE)*[1]Energiindhold!$C$10,0))*O145</f>
        <v>0</v>
      </c>
      <c r="R145" s="187">
        <f ca="1">IF(A145&lt;&gt;"Biogas",IFERROR(VLOOKUP(A145,[1]Biogasudbytte!$A$2:$B$18,2,FALSE)*[1]Energiindhold!$C$10,0)*J145*IFERROR(VLOOKUP(A145,Biogasanlæg!$F$3:$G$8,2,FALSE),1)+IFERROR(VLOOKUP(A145,[1]Energiindhold!$A$2:$C$11,3,FALSE),0)*L145+IF(D145&lt;&gt;År1,Q145,0),0)</f>
        <v>29.003356837261759</v>
      </c>
      <c r="S145" s="187">
        <f>IFERROR(VLOOKUP(A145,[1]Biogasudbytte!$A$2:$B$18,2,FALSE)*[1]Energiindhold!$C$10,0)*J145*IFERROR(VLOOKUP(A145,Biogasanlæg!$F$3:$G$8,2,FALSE),1)</f>
        <v>0</v>
      </c>
      <c r="T145" s="188">
        <f t="shared" ca="1" si="25"/>
        <v>29.003356837261759</v>
      </c>
      <c r="U145" s="186">
        <f ca="1">O145*IFERROR(VLOOKUP(A145,[1]Tørstofindhold!A$2:B$24,2,FALSE),0)</f>
        <v>0</v>
      </c>
      <c r="V145" s="187">
        <f ca="1">IF(D145=År1,P145,SUM(O145,P145))*IFERROR(VLOOKUP(A145,[1]Tørstofindhold!A$2:B$24,2,FALSE),0)</f>
        <v>989720.1303994694</v>
      </c>
      <c r="W145" s="187">
        <f>J145*IFERROR(VLOOKUP(A145,[1]Tørstofindhold!A$2:B$24,2,FALSE),0)</f>
        <v>0</v>
      </c>
      <c r="X145" s="188">
        <f t="shared" ca="1" si="26"/>
        <v>989720.1303994694</v>
      </c>
      <c r="Y145" s="168">
        <f t="shared" ca="1" si="43"/>
        <v>0</v>
      </c>
      <c r="Z145" s="103">
        <f t="shared" ca="1" si="44"/>
        <v>0</v>
      </c>
    </row>
    <row r="146" spans="1:26" x14ac:dyDescent="0.25">
      <c r="A146" s="189" t="str">
        <f t="shared" si="45"/>
        <v>Træmaterialer</v>
      </c>
      <c r="B146" s="189" t="str">
        <f t="shared" si="46"/>
        <v/>
      </c>
      <c r="C146" s="189">
        <f>IF(COUNTIFS('Resultater - Danmark'!$D$3:$D$504,'Resultat-Produktion &amp; forbrug'!A146,'Resultater - Danmark'!$A$3:$A$504,"Til energi")+COUNTIFS('Resultater - Danmark'!$D$3:$D$504,'Resultat-Produktion &amp; forbrug'!A146,'Resultater - Danmark'!$A$3:$A$504,"Biogasanlæg")&gt;0,1,0)</f>
        <v>0</v>
      </c>
      <c r="D146" s="189">
        <f t="shared" si="35"/>
        <v>2050</v>
      </c>
      <c r="E146" s="187" t="s">
        <v>23</v>
      </c>
      <c r="F146" s="190">
        <f ca="1">IF(E146="Vestdanmark",SUMIFS(IF(D146=År1,'Resultater - Vestdanmark'!H$3:H$504,IF(D146=År2,'Resultater - Vestdanmark'!I$3:I$504,'Resultater - Vestdanmark'!J$3:J$504)),'Resultater - Vestdanmark'!$F$3:$F$504,$A146,IF(D146=År1,'Resultater - Vestdanmark'!H$3:H$504,IF(D146=År2,'Resultater - Vestdanmark'!I$3:I$504,'Resultater - Vestdanmark'!J$3:J$504)),"&gt;0"),SUMIFS(IF(D146=År1,'Resultater - Østdanmark'!H$3:H$504,IF(D146=År2,'Resultater - Østdanmark'!I$3:I$504,'Resultater - Østdanmark'!J$3:J$504)),'Resultater - Østdanmark'!$F$3:$F$504,$A146,IF(D146=År1,'Resultater - Østdanmark'!H$3:H$504,IF(D146=År2,'Resultater - Østdanmark'!I$3:I$504,'Resultater - Østdanmark'!J$3:J$504)),"&gt;0"))</f>
        <v>551632.61779012682</v>
      </c>
      <c r="G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forbrug'!G$2,'Forbrug af biomasse'!$B$2:$B$425,$E146)</f>
        <v>0</v>
      </c>
      <c r="H146" s="187">
        <f>IF(E146="Vestdanmark",-IF(A146="Halm",SUMIFS(IF(D146=År1,'Resultater - Vestdanmark'!H$3:H$504,IF(D146=År2,'Resultater - Vestdanmark'!I$3:I$504,'Resultater - Vestdanmark'!J$3:J$504)),'Resultater - Vestdanmark'!$F$3:$F$504,$A146,'Resultater - Vestdanmark'!H$3:H$504,"&lt;0"),0),-IF(A146="Halm",SUMIFS(IF(D146=År1,'Resultater - Østdanmark'!H$3:H$504,IF(D146=År2,'Resultater - Østdanmark'!I$3:I$504,'Resultater - Østdanmark'!J$3:J$504)),'Resultater - Østdanmark'!$F$3:$F$504,$A146,'Resultater - Østdanmark'!H$3:H$504,"&lt;0"),0))</f>
        <v>0</v>
      </c>
      <c r="I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forbrug'!I$2,'Forbrug af biomasse'!$B$2:$B$425,$E146)</f>
        <v>0</v>
      </c>
      <c r="J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forbrug'!J$2,'Forbrug af biomasse'!$B$2:$B$425,$E146)</f>
        <v>0</v>
      </c>
      <c r="K146" s="190">
        <f>SUMIFS('Forbrug af biomasse'!$E$2:$E$425,'Forbrug af biomasse'!$C$2:$C$425,'Resultat-Produktion &amp; forbrug'!$A146,'Forbrug af biomasse'!$D$2:$D$425,'Resultat-Produktion &amp; forbrug'!$D146,'Forbrug af biomasse'!$A$2:$A$425,'Resultat-Produktion &amp; forbrug'!K$2,'Forbrug af biomasse'!$B$2:$B$425,$E146)</f>
        <v>0</v>
      </c>
      <c r="L146" s="190">
        <f>IF(A146&lt;&gt;"Biogas",SUMIFS('Forbrug af biomasse'!$E$2:$E$425,'Forbrug af biomasse'!$C$2:$C$425,'Resultat-Produktion &amp; forbrug'!$A146,'Forbrug af biomasse'!$D$2:$D$425,'Resultat-Produktion &amp; forbrug'!$D146,'Forbrug af biomasse'!$A$2:$A$425,'Resultat-Produktion &amp; forbrug'!L$2,'Forbrug af biomasse'!$B$2:$B$425,$E146),F146)</f>
        <v>0</v>
      </c>
      <c r="M146" s="154">
        <f ca="1">SUMIFS('Forbrug af biomasse'!E:E,'Forbrug af biomasse'!C:C,'Resultat-Produktion &amp; forbrug'!$A146,'Forbrug af biomasse'!D:D,'Resultat-Produktion &amp; forbrug'!$D146,'Forbrug af biomasse'!G:G,1,'Forbrug af biomasse'!B:B,$E146)</f>
        <v>551632.61779012682</v>
      </c>
      <c r="N146" s="199">
        <f t="shared" ca="1" si="23"/>
        <v>0</v>
      </c>
      <c r="O146" s="190">
        <f t="shared" si="39"/>
        <v>0</v>
      </c>
      <c r="P146" s="200">
        <f t="shared" si="24"/>
        <v>0</v>
      </c>
      <c r="Q146" s="187">
        <f>IFERROR(VLOOKUP(A146,[1]Energiindhold!$A$2:$C$11,3,FALSE),IFERROR(VLOOKUP(A146,[1]Biogasudbytte!$A$2:$B$18,2,FALSE)*[1]Energiindhold!$C$10,0))*O146</f>
        <v>0</v>
      </c>
      <c r="R146" s="187">
        <f>IF(A146&lt;&gt;"Biogas",IFERROR(VLOOKUP(A146,[1]Biogasudbytte!$A$2:$B$18,2,FALSE)*[1]Energiindhold!$C$10,0)*J146*IFERROR(VLOOKUP(A146,Biogasanlæg!$F$3:$G$8,2,FALSE),1)+IFERROR(VLOOKUP(A146,[1]Energiindhold!$A$2:$C$11,3,FALSE),0)*L146+IF(D146&lt;&gt;År1,Q146,0),0)</f>
        <v>0</v>
      </c>
      <c r="S146" s="187">
        <f>IFERROR(VLOOKUP(A146,[1]Biogasudbytte!$A$2:$B$18,2,FALSE)*[1]Energiindhold!$C$10,0)*J146*IFERROR(VLOOKUP(A146,Biogasanlæg!$F$3:$G$8,2,FALSE),1)</f>
        <v>0</v>
      </c>
      <c r="T146" s="188">
        <f t="shared" si="25"/>
        <v>0</v>
      </c>
      <c r="U146" s="186">
        <f>O146*IFERROR(VLOOKUP(A146,[1]Tørstofindhold!A$2:B$24,2,FALSE),0)</f>
        <v>0</v>
      </c>
      <c r="V146" s="187">
        <f>IF(D146=År1,P146,SUM(O146,P146))*IFERROR(VLOOKUP(A146,[1]Tørstofindhold!A$2:B$24,2,FALSE),0)</f>
        <v>0</v>
      </c>
      <c r="W146" s="187">
        <f>J146*IFERROR(VLOOKUP(A146,[1]Tørstofindhold!A$2:B$24,2,FALSE),0)</f>
        <v>0</v>
      </c>
      <c r="X146" s="188">
        <f t="shared" si="26"/>
        <v>0</v>
      </c>
      <c r="Y146" s="168">
        <f t="shared" ca="1" si="43"/>
        <v>0</v>
      </c>
      <c r="Z146" s="103">
        <f t="shared" ca="1" si="44"/>
        <v>0</v>
      </c>
    </row>
    <row r="147" spans="1:26" x14ac:dyDescent="0.25">
      <c r="A147" s="189" t="s">
        <v>15</v>
      </c>
      <c r="B147" s="189"/>
      <c r="C147" s="189">
        <f>IF(COUNTIFS('Resultater - Danmark'!$D$3:$D$504,'Resultat-Produktion &amp; forbrug'!A147,'Resultater - Danmark'!$A$3:$A$504,"Til energi")+COUNTIFS('Resultater - Danmark'!$D$3:$D$504,'Resultat-Produktion &amp; forbrug'!A147,'Resultater - Danmark'!$A$3:$A$504,"Biogasanlæg")&gt;0,1,0)</f>
        <v>0</v>
      </c>
      <c r="D147" s="189">
        <f t="shared" ref="D147:D194" si="47">År1</f>
        <v>2019</v>
      </c>
      <c r="E147" s="187" t="s">
        <v>24</v>
      </c>
      <c r="F147" s="190">
        <f>IF(E147="Vestdanmark",SUMIFS(IF(D147=År1,'Resultater - Vestdanmark'!H$3:H$504,IF(D147=År2,'Resultater - Vestdanmark'!I$3:I$504,'Resultater - Vestdanmark'!J$3:J$504)),'Resultater - Vestdanmark'!$F$3:$F$504,$A147,IF(D147=År1,'Resultater - Vestdanmark'!H$3:H$504,IF(D147=År2,'Resultater - Vestdanmark'!I$3:I$504,'Resultater - Vestdanmark'!J$3:J$504)),"&gt;0"),SUMIFS(IF(D147=År1,'Resultater - Østdanmark'!H$3:H$504,IF(D147=År2,'Resultater - Østdanmark'!I$3:I$504,'Resultater - Østdanmark'!J$3:J$504)),'Resultater - Østdanmark'!$F$3:$F$504,$A147,IF(D147=År1,'Resultater - Østdanmark'!H$3:H$504,IF(D147=År2,'Resultater - Østdanmark'!I$3:I$504,'Resultater - Østdanmark'!J$3:J$504)),"&gt;0"))</f>
        <v>18450.007031483605</v>
      </c>
      <c r="G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forbrug'!G$2,'Forbrug af biomasse'!$B$2:$B$425,$E147)</f>
        <v>0</v>
      </c>
      <c r="H147" s="187">
        <f>IF(E147="Vestdanmark",-IF(A147="Halm",SUMIFS(IF(D147=År1,'Resultater - Vestdanmark'!H$3:H$504,IF(D147=År2,'Resultater - Vestdanmark'!I$3:I$504,'Resultater - Vestdanmark'!J$3:J$504)),'Resultater - Vestdanmark'!$F$3:$F$504,$A147,'Resultater - Vestdanmark'!H$3:H$504,"&lt;0"),0),-IF(A147="Halm",SUMIFS(IF(D147=År1,'Resultater - Østdanmark'!H$3:H$504,IF(D147=År2,'Resultater - Østdanmark'!I$3:I$504,'Resultater - Østdanmark'!J$3:J$504)),'Resultater - Østdanmark'!$F$3:$F$504,$A147,'Resultater - Østdanmark'!H$3:H$504,"&lt;0"),0))</f>
        <v>0</v>
      </c>
      <c r="I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forbrug'!I$2,'Forbrug af biomasse'!$B$2:$B$425,$E147)</f>
        <v>26880.542267330831</v>
      </c>
      <c r="J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forbrug'!J$2,'Forbrug af biomasse'!$B$2:$B$425,$E147)</f>
        <v>0</v>
      </c>
      <c r="K147" s="190">
        <f>SUMIFS('Forbrug af biomasse'!$E$2:$E$425,'Forbrug af biomasse'!$C$2:$C$425,'Resultat-Produktion &amp; forbrug'!$A147,'Forbrug af biomasse'!$D$2:$D$425,'Resultat-Produktion &amp; forbrug'!$D147,'Forbrug af biomasse'!$A$2:$A$425,'Resultat-Produktion &amp; forbrug'!K$2,'Forbrug af biomasse'!$B$2:$B$425,$E147)</f>
        <v>0</v>
      </c>
      <c r="L147" s="190">
        <f>IF(A147&lt;&gt;"Biogas",SUMIFS('Forbrug af biomasse'!$E$2:$E$425,'Forbrug af biomasse'!$C$2:$C$425,'Resultat-Produktion &amp; forbrug'!$A147,'Forbrug af biomasse'!$D$2:$D$425,'Resultat-Produktion &amp; forbrug'!$D147,'Forbrug af biomasse'!$A$2:$A$425,'Resultat-Produktion &amp; forbrug'!L$2,'Forbrug af biomasse'!$B$2:$B$425,$E147),F147)</f>
        <v>0</v>
      </c>
      <c r="M147" s="154">
        <f>SUMIFS('Forbrug af biomasse'!E:E,'Forbrug af biomasse'!C:C,'Resultat-Produktion &amp; forbrug'!$A147,'Forbrug af biomasse'!D:D,'Resultat-Produktion &amp; forbrug'!$D147,'Forbrug af biomasse'!G:G,1,'Forbrug af biomasse'!B:B,$E147)</f>
        <v>0</v>
      </c>
      <c r="N147" s="199">
        <f t="shared" si="23"/>
        <v>-8430.5352358472264</v>
      </c>
      <c r="O147" s="190">
        <f t="shared" si="39"/>
        <v>0</v>
      </c>
      <c r="P147" s="200">
        <f t="shared" si="24"/>
        <v>0</v>
      </c>
      <c r="Q147" s="187">
        <f>IFERROR(VLOOKUP(A147,[1]Energiindhold!$A$2:$C$11,3,FALSE),IFERROR(VLOOKUP(A147,[1]Biogasudbytte!$A$2:$B$18,2,FALSE)*[1]Energiindhold!$C$10,0))*O147</f>
        <v>0</v>
      </c>
      <c r="R147" s="187">
        <f>IF(A147&lt;&gt;"Biogas",IFERROR(VLOOKUP(A147,[1]Biogasudbytte!$A$2:$B$18,2,FALSE)*[1]Energiindhold!$C$10,0)*J147*IFERROR(VLOOKUP(A147,Biogasanlæg!$F$3:$G$8,2,FALSE),1)+IFERROR(VLOOKUP(A147,[1]Energiindhold!$A$2:$C$11,3,FALSE),0)*L147+IF(D147&lt;&gt;År1,Q147,0),0)</f>
        <v>0</v>
      </c>
      <c r="S147" s="187">
        <f>IFERROR(VLOOKUP(A147,[1]Biogasudbytte!$A$2:$B$18,2,FALSE)*[1]Energiindhold!$C$10,0)*J147*IFERROR(VLOOKUP(A147,Biogasanlæg!$F$3:$G$8,2,FALSE),1)</f>
        <v>0</v>
      </c>
      <c r="T147" s="188">
        <f t="shared" si="25"/>
        <v>0</v>
      </c>
      <c r="U147" s="186">
        <f>O147*IFERROR(VLOOKUP(A147,[1]Tørstofindhold!A$2:B$24,2,FALSE),0)</f>
        <v>0</v>
      </c>
      <c r="V147" s="187">
        <f>IF(D147=År1,P147,SUM(O147,P147))*IFERROR(VLOOKUP(A147,[1]Tørstofindhold!A$2:B$24,2,FALSE),0)</f>
        <v>0</v>
      </c>
      <c r="W147" s="187">
        <f>J147*IFERROR(VLOOKUP(A147,[1]Tørstofindhold!A$2:B$24,2,FALSE),0)</f>
        <v>0</v>
      </c>
      <c r="X147" s="188">
        <f t="shared" si="26"/>
        <v>0</v>
      </c>
      <c r="Y147" s="168">
        <f t="shared" si="43"/>
        <v>0</v>
      </c>
      <c r="Z147" s="103">
        <f t="shared" si="44"/>
        <v>1</v>
      </c>
    </row>
    <row r="148" spans="1:26" x14ac:dyDescent="0.25">
      <c r="A148" s="189" t="s">
        <v>49</v>
      </c>
      <c r="B148" s="189"/>
      <c r="C148" s="189">
        <f>IF(COUNTIFS('Resultater - Danmark'!$D$3:$D$504,'Resultat-Produktion &amp; forbrug'!A148,'Resultater - Danmark'!$A$3:$A$504,"Til energi")+COUNTIFS('Resultater - Danmark'!$D$3:$D$504,'Resultat-Produktion &amp; forbrug'!A148,'Resultater - Danmark'!$A$3:$A$504,"Biogasanlæg")&gt;0,1,0)</f>
        <v>0</v>
      </c>
      <c r="D148" s="189">
        <f t="shared" si="47"/>
        <v>2019</v>
      </c>
      <c r="E148" s="187" t="s">
        <v>24</v>
      </c>
      <c r="F148" s="190">
        <f>IF(E148="Vestdanmark",SUMIFS(IF(D148=År1,'Resultater - Vestdanmark'!H$3:H$504,IF(D148=År2,'Resultater - Vestdanmark'!I$3:I$504,'Resultater - Vestdanmark'!J$3:J$504)),'Resultater - Vestdanmark'!$F$3:$F$504,$A148,IF(D148=År1,'Resultater - Vestdanmark'!H$3:H$504,IF(D148=År2,'Resultater - Vestdanmark'!I$3:I$504,'Resultater - Vestdanmark'!J$3:J$504)),"&gt;0"),SUMIFS(IF(D148=År1,'Resultater - Østdanmark'!H$3:H$504,IF(D148=År2,'Resultater - Østdanmark'!I$3:I$504,'Resultater - Østdanmark'!J$3:J$504)),'Resultater - Østdanmark'!$F$3:$F$504,$A148,IF(D148=År1,'Resultater - Østdanmark'!H$3:H$504,IF(D148=År2,'Resultater - Østdanmark'!I$3:I$504,'Resultater - Østdanmark'!J$3:J$504)),"&gt;0"))</f>
        <v>26972.495538657848</v>
      </c>
      <c r="G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forbrug'!G$2,'Forbrug af biomasse'!$B$2:$B$425,$E148)</f>
        <v>7916.616753740097</v>
      </c>
      <c r="H148" s="187">
        <f>IF(E148="Vestdanmark",-IF(A148="Halm",SUMIFS(IF(D148=År1,'Resultater - Vestdanmark'!H$3:H$504,IF(D148=År2,'Resultater - Vestdanmark'!I$3:I$504,'Resultater - Vestdanmark'!J$3:J$504)),'Resultater - Vestdanmark'!$F$3:$F$504,$A148,'Resultater - Vestdanmark'!H$3:H$504,"&lt;0"),0),-IF(A148="Halm",SUMIFS(IF(D148=År1,'Resultater - Østdanmark'!H$3:H$504,IF(D148=År2,'Resultater - Østdanmark'!I$3:I$504,'Resultater - Østdanmark'!J$3:J$504)),'Resultater - Østdanmark'!$F$3:$F$504,$A148,'Resultater - Østdanmark'!H$3:H$504,"&lt;0"),0))</f>
        <v>0</v>
      </c>
      <c r="I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forbrug'!I$2,'Forbrug af biomasse'!$B$2:$B$425,$E148)</f>
        <v>0</v>
      </c>
      <c r="J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forbrug'!J$2,'Forbrug af biomasse'!$B$2:$B$425,$E148)</f>
        <v>0</v>
      </c>
      <c r="K148" s="190">
        <f>SUMIFS('Forbrug af biomasse'!$E$2:$E$425,'Forbrug af biomasse'!$C$2:$C$425,'Resultat-Produktion &amp; forbrug'!$A148,'Forbrug af biomasse'!$D$2:$D$425,'Resultat-Produktion &amp; forbrug'!$D148,'Forbrug af biomasse'!$A$2:$A$425,'Resultat-Produktion &amp; forbrug'!K$2,'Forbrug af biomasse'!$B$2:$B$425,$E148)</f>
        <v>0</v>
      </c>
      <c r="L148" s="190">
        <f>IF(A148&lt;&gt;"Biogas",SUMIFS('Forbrug af biomasse'!$E$2:$E$425,'Forbrug af biomasse'!$C$2:$C$425,'Resultat-Produktion &amp; forbrug'!$A148,'Forbrug af biomasse'!$D$2:$D$425,'Resultat-Produktion &amp; forbrug'!$D148,'Forbrug af biomasse'!$A$2:$A$425,'Resultat-Produktion &amp; forbrug'!L$2,'Forbrug af biomasse'!$B$2:$B$425,$E148),F148)</f>
        <v>0</v>
      </c>
      <c r="M148" s="154">
        <f>SUMIFS('Forbrug af biomasse'!E:E,'Forbrug af biomasse'!C:C,'Resultat-Produktion &amp; forbrug'!$A148,'Forbrug af biomasse'!D:D,'Resultat-Produktion &amp; forbrug'!$D148,'Forbrug af biomasse'!G:G,1,'Forbrug af biomasse'!B:B,$E148)</f>
        <v>0</v>
      </c>
      <c r="N148" s="199">
        <f t="shared" si="23"/>
        <v>19055.87878491775</v>
      </c>
      <c r="O148" s="190">
        <f t="shared" si="39"/>
        <v>0</v>
      </c>
      <c r="P148" s="200">
        <f t="shared" si="24"/>
        <v>0</v>
      </c>
      <c r="Q148" s="187">
        <f>IFERROR(VLOOKUP(A148,[1]Energiindhold!$A$2:$C$11,3,FALSE),IFERROR(VLOOKUP(A148,[1]Biogasudbytte!$A$2:$B$18,2,FALSE)*[1]Energiindhold!$C$10,0))*O148</f>
        <v>0</v>
      </c>
      <c r="R148" s="187">
        <f>IF(A148&lt;&gt;"Biogas",IFERROR(VLOOKUP(A148,[1]Biogasudbytte!$A$2:$B$18,2,FALSE)*[1]Energiindhold!$C$10,0)*J148*IFERROR(VLOOKUP(A148,Biogasanlæg!$F$3:$G$8,2,FALSE),1)+IFERROR(VLOOKUP(A148,[1]Energiindhold!$A$2:$C$11,3,FALSE),0)*L148+IF(D148&lt;&gt;År1,Q148,0),0)</f>
        <v>0</v>
      </c>
      <c r="S148" s="187">
        <f>IFERROR(VLOOKUP(A148,[1]Biogasudbytte!$A$2:$B$18,2,FALSE)*[1]Energiindhold!$C$10,0)*J148*IFERROR(VLOOKUP(A148,Biogasanlæg!$F$3:$G$8,2,FALSE),1)</f>
        <v>0</v>
      </c>
      <c r="T148" s="188">
        <f t="shared" si="25"/>
        <v>0</v>
      </c>
      <c r="U148" s="186">
        <f>O148*IFERROR(VLOOKUP(A148,[1]Tørstofindhold!A$2:B$24,2,FALSE),0)</f>
        <v>0</v>
      </c>
      <c r="V148" s="187">
        <f>IF(D148=År1,P148,SUM(O148,P148))*IFERROR(VLOOKUP(A148,[1]Tørstofindhold!A$2:B$24,2,FALSE),0)</f>
        <v>0</v>
      </c>
      <c r="W148" s="187">
        <f>J148*IFERROR(VLOOKUP(A148,[1]Tørstofindhold!A$2:B$24,2,FALSE),0)</f>
        <v>0</v>
      </c>
      <c r="X148" s="188">
        <f t="shared" si="26"/>
        <v>0</v>
      </c>
      <c r="Y148" s="168">
        <f t="shared" si="43"/>
        <v>0</v>
      </c>
      <c r="Z148" s="103">
        <f t="shared" si="44"/>
        <v>1</v>
      </c>
    </row>
    <row r="149" spans="1:26" x14ac:dyDescent="0.25">
      <c r="A149" s="189" t="s">
        <v>102</v>
      </c>
      <c r="B149" s="189" t="s">
        <v>230</v>
      </c>
      <c r="C149" s="189">
        <f>IF(COUNTIFS('Resultater - Danmark'!$D$3:$D$504,'Resultat-Produktion &amp; forbrug'!A149,'Resultater - Danmark'!$A$3:$A$504,"Til energi")+COUNTIFS('Resultater - Danmark'!$D$3:$D$504,'Resultat-Produktion &amp; forbrug'!A149,'Resultater - Danmark'!$A$3:$A$504,"Biogasanlæg")&gt;0,1,0)</f>
        <v>1</v>
      </c>
      <c r="D149" s="189">
        <f t="shared" si="47"/>
        <v>2019</v>
      </c>
      <c r="E149" s="187" t="s">
        <v>24</v>
      </c>
      <c r="F149" s="190">
        <f ca="1">IF(E149="Vestdanmark",SUMIFS(IF(D149=År1,'Resultater - Vestdanmark'!H$3:H$504,IF(D149=År2,'Resultater - Vestdanmark'!I$3:I$504,'Resultater - Vestdanmark'!J$3:J$504)),'Resultater - Vestdanmark'!$F$3:$F$504,$A149,IF(D149=År1,'Resultater - Vestdanmark'!H$3:H$504,IF(D149=År2,'Resultater - Vestdanmark'!I$3:I$504,'Resultater - Vestdanmark'!J$3:J$504)),"&gt;0"),SUMIFS(IF(D149=År1,'Resultater - Østdanmark'!H$3:H$504,IF(D149=År2,'Resultater - Østdanmark'!I$3:I$504,'Resultater - Østdanmark'!J$3:J$504)),'Resultater - Østdanmark'!$F$3:$F$504,$A149,IF(D149=År1,'Resultater - Østdanmark'!H$3:H$504,IF(D149=År2,'Resultater - Østdanmark'!I$3:I$504,'Resultater - Østdanmark'!J$3:J$504)),"&gt;0"))</f>
        <v>165083.0224523381</v>
      </c>
      <c r="G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forbrug'!G$2,'Forbrug af biomasse'!$B$2:$B$425,$E149)</f>
        <v>0</v>
      </c>
      <c r="H149" s="187">
        <f>IF(E149="Vestdanmark",-IF(A149="Halm",SUMIFS(IF(D149=År1,'Resultater - Vestdanmark'!H$3:H$504,IF(D149=År2,'Resultater - Vestdanmark'!I$3:I$504,'Resultater - Vestdanmark'!J$3:J$504)),'Resultater - Vestdanmark'!$F$3:$F$504,$A149,'Resultater - Vestdanmark'!H$3:H$504,"&lt;0"),0),-IF(A149="Halm",SUMIFS(IF(D149=År1,'Resultater - Østdanmark'!H$3:H$504,IF(D149=År2,'Resultater - Østdanmark'!I$3:I$504,'Resultater - Østdanmark'!J$3:J$504)),'Resultater - Østdanmark'!$F$3:$F$504,$A149,'Resultater - Østdanmark'!H$3:H$504,"&lt;0"),0))</f>
        <v>0</v>
      </c>
      <c r="I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forbrug'!I$2,'Forbrug af biomasse'!$B$2:$B$425,$E149)</f>
        <v>0</v>
      </c>
      <c r="J149" s="190">
        <f ca="1">SUMIFS('Forbrug af biomasse'!$E$2:$E$425,'Forbrug af biomasse'!$C$2:$C$425,'Resultat-Produktion &amp; forbrug'!$A149,'Forbrug af biomasse'!$D$2:$D$425,'Resultat-Produktion &amp; forbrug'!$D149,'Forbrug af biomasse'!$A$2:$A$425,'Resultat-Produktion &amp; forbrug'!J$2,'Forbrug af biomasse'!$B$2:$B$425,$E149)</f>
        <v>335590.35573220561</v>
      </c>
      <c r="K149" s="190">
        <f>SUMIFS('Forbrug af biomasse'!$E$2:$E$425,'Forbrug af biomasse'!$C$2:$C$425,'Resultat-Produktion &amp; forbrug'!$A149,'Forbrug af biomasse'!$D$2:$D$425,'Resultat-Produktion &amp; forbrug'!$D149,'Forbrug af biomasse'!$A$2:$A$425,'Resultat-Produktion &amp; forbrug'!K$2,'Forbrug af biomasse'!$B$2:$B$425,$E149)</f>
        <v>0</v>
      </c>
      <c r="L149" s="190">
        <f ca="1">IF(A149&lt;&gt;"Biogas",SUMIFS('Forbrug af biomasse'!$E$2:$E$425,'Forbrug af biomasse'!$C$2:$C$425,'Resultat-Produktion &amp; forbrug'!$A149,'Forbrug af biomasse'!$D$2:$D$425,'Resultat-Produktion &amp; forbrug'!$D149,'Forbrug af biomasse'!$A$2:$A$425,'Resultat-Produktion &amp; forbrug'!L$2,'Forbrug af biomasse'!$B$2:$B$425,$E149),F149)</f>
        <v>0</v>
      </c>
      <c r="M149" s="154">
        <f ca="1">SUMIFS('Forbrug af biomasse'!E:E,'Forbrug af biomasse'!C:C,'Resultat-Produktion &amp; forbrug'!$A149,'Forbrug af biomasse'!D:D,'Resultat-Produktion &amp; forbrug'!$D149,'Forbrug af biomasse'!G:G,1,'Forbrug af biomasse'!B:B,$E149)</f>
        <v>0</v>
      </c>
      <c r="N149" s="199">
        <f t="shared" ca="1" si="23"/>
        <v>-170507.33327986751</v>
      </c>
      <c r="O149" s="190">
        <f t="shared" ca="1" si="39"/>
        <v>0</v>
      </c>
      <c r="P149" s="200">
        <f t="shared" ca="1" si="24"/>
        <v>335590.35573220561</v>
      </c>
      <c r="Q149" s="187">
        <f ca="1">IFERROR(VLOOKUP(A149,[1]Energiindhold!$A$2:$C$11,3,FALSE),IFERROR(VLOOKUP(A149,[1]Biogasudbytte!$A$2:$B$18,2,FALSE)*[1]Energiindhold!$C$10,0))*O149</f>
        <v>0</v>
      </c>
      <c r="R149" s="187">
        <f ca="1">IF(A149&lt;&gt;"Biogas",IFERROR(VLOOKUP(A149,[1]Biogasudbytte!$A$2:$B$18,2,FALSE)*[1]Energiindhold!$C$10,0)*J149*IFERROR(VLOOKUP(A149,Biogasanlæg!$F$3:$G$8,2,FALSE),1)+IFERROR(VLOOKUP(A149,[1]Energiindhold!$A$2:$C$11,3,FALSE),0)*L149+IF(D149&lt;&gt;År1,Q149,0),0)</f>
        <v>1.1433261388476088</v>
      </c>
      <c r="S149" s="187">
        <f ca="1">IFERROR(VLOOKUP(A149,[1]Biogasudbytte!$A$2:$B$18,2,FALSE)*[1]Energiindhold!$C$10,0)*J149*IFERROR(VLOOKUP(A149,Biogasanlæg!$F$3:$G$8,2,FALSE),1)</f>
        <v>1.1433261388476088</v>
      </c>
      <c r="T149" s="188">
        <f t="shared" ca="1" si="25"/>
        <v>0</v>
      </c>
      <c r="U149" s="186">
        <f ca="1">O149*IFERROR(VLOOKUP(A149,[1]Tørstofindhold!A$2:B$24,2,FALSE),0)</f>
        <v>0</v>
      </c>
      <c r="V149" s="187">
        <f ca="1">IF(D149=År1,P149,SUM(O149,P149))*IFERROR(VLOOKUP(A149,[1]Tørstofindhold!A$2:B$24,2,FALSE),0)</f>
        <v>93965.299605017586</v>
      </c>
      <c r="W149" s="187">
        <f ca="1">J149*IFERROR(VLOOKUP(A149,[1]Tørstofindhold!A$2:B$24,2,FALSE),0)</f>
        <v>93965.299605017586</v>
      </c>
      <c r="X149" s="188">
        <f t="shared" ca="1" si="26"/>
        <v>0</v>
      </c>
      <c r="Y149" s="168">
        <f t="shared" ca="1" si="43"/>
        <v>1</v>
      </c>
      <c r="Z149" s="103">
        <f t="shared" ca="1" si="44"/>
        <v>0</v>
      </c>
    </row>
    <row r="150" spans="1:26" x14ac:dyDescent="0.25">
      <c r="A150" s="189" t="s">
        <v>109</v>
      </c>
      <c r="B150" s="189"/>
      <c r="C150" s="189">
        <f>IF(COUNTIFS('Resultater - Danmark'!$D$3:$D$504,'Resultat-Produktion &amp; forbrug'!A150,'Resultater - Danmark'!$A$3:$A$504,"Til energi")+COUNTIFS('Resultater - Danmark'!$D$3:$D$504,'Resultat-Produktion &amp; forbrug'!A150,'Resultater - Danmark'!$A$3:$A$504,"Biogasanlæg")&gt;0,1,0)</f>
        <v>1</v>
      </c>
      <c r="D150" s="189">
        <f t="shared" si="47"/>
        <v>2019</v>
      </c>
      <c r="E150" s="187" t="s">
        <v>24</v>
      </c>
      <c r="F150" s="190">
        <f ca="1">IF(E150="Vestdanmark",SUMIFS(IF(D150=År1,'Resultater - Vestdanmark'!H$3:H$504,IF(D150=År2,'Resultater - Vestdanmark'!I$3:I$504,'Resultater - Vestdanmark'!J$3:J$504)),'Resultater - Vestdanmark'!$F$3:$F$504,$A150,IF(D150=År1,'Resultater - Vestdanmark'!H$3:H$504,IF(D150=År2,'Resultater - Vestdanmark'!I$3:I$504,'Resultater - Vestdanmark'!J$3:J$504)),"&gt;0"),SUMIFS(IF(D150=År1,'Resultater - Østdanmark'!H$3:H$504,IF(D150=År2,'Resultater - Østdanmark'!I$3:I$504,'Resultater - Østdanmark'!J$3:J$504)),'Resultater - Østdanmark'!$F$3:$F$504,$A150,IF(D150=År1,'Resultater - Østdanmark'!H$3:H$504,IF(D150=År2,'Resultater - Østdanmark'!I$3:I$504,'Resultater - Østdanmark'!J$3:J$504)),"&gt;0"))</f>
        <v>110817068.59908372</v>
      </c>
      <c r="G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forbrug'!G$2,'Forbrug af biomasse'!$B$2:$B$425,$E150)</f>
        <v>0</v>
      </c>
      <c r="H150" s="187">
        <f>IF(E150="Vestdanmark",-IF(A150="Halm",SUMIFS(IF(D150=År1,'Resultater - Vestdanmark'!H$3:H$504,IF(D150=År2,'Resultater - Vestdanmark'!I$3:I$504,'Resultater - Vestdanmark'!J$3:J$504)),'Resultater - Vestdanmark'!$F$3:$F$504,$A150,'Resultater - Vestdanmark'!H$3:H$504,"&lt;0"),0),-IF(A150="Halm",SUMIFS(IF(D150=År1,'Resultater - Østdanmark'!H$3:H$504,IF(D150=År2,'Resultater - Østdanmark'!I$3:I$504,'Resultater - Østdanmark'!J$3:J$504)),'Resultater - Østdanmark'!$F$3:$F$504,$A150,'Resultater - Østdanmark'!H$3:H$504,"&lt;0"),0))</f>
        <v>0</v>
      </c>
      <c r="I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forbrug'!I$2,'Forbrug af biomasse'!$B$2:$B$425,$E150)</f>
        <v>0</v>
      </c>
      <c r="J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forbrug'!J$2,'Forbrug af biomasse'!$B$2:$B$425,$E150)</f>
        <v>0</v>
      </c>
      <c r="K150" s="190">
        <f>SUMIFS('Forbrug af biomasse'!$E$2:$E$425,'Forbrug af biomasse'!$C$2:$C$425,'Resultat-Produktion &amp; forbrug'!$A150,'Forbrug af biomasse'!$D$2:$D$425,'Resultat-Produktion &amp; forbrug'!$D150,'Forbrug af biomasse'!$A$2:$A$425,'Resultat-Produktion &amp; forbrug'!K$2,'Forbrug af biomasse'!$B$2:$B$425,$E150)</f>
        <v>0</v>
      </c>
      <c r="L150" s="190">
        <f ca="1">IF(A150&lt;&gt;"Biogas",SUMIFS('Forbrug af biomasse'!$E$2:$E$425,'Forbrug af biomasse'!$C$2:$C$425,'Resultat-Produktion &amp; forbrug'!$A150,'Forbrug af biomasse'!$D$2:$D$425,'Resultat-Produktion &amp; forbrug'!$D150,'Forbrug af biomasse'!$A$2:$A$425,'Resultat-Produktion &amp; forbrug'!L$2,'Forbrug af biomasse'!$B$2:$B$425,$E150),F150)</f>
        <v>110817068.59908372</v>
      </c>
      <c r="M150" s="154">
        <f>SUMIFS('Forbrug af biomasse'!E:E,'Forbrug af biomasse'!C:C,'Resultat-Produktion &amp; forbrug'!$A150,'Forbrug af biomasse'!D:D,'Resultat-Produktion &amp; forbrug'!$D150,'Forbrug af biomasse'!G:G,1,'Forbrug af biomasse'!B:B,$E150)</f>
        <v>0</v>
      </c>
      <c r="N150" s="199">
        <f t="shared" ref="N150:N215" ca="1" si="48">F150-SUM(G150:M150)</f>
        <v>0</v>
      </c>
      <c r="O150" s="190">
        <f t="shared" ca="1" si="39"/>
        <v>0</v>
      </c>
      <c r="P150" s="200">
        <f t="shared" ref="P150:P215" ca="1" si="49">SUM(J150,L150)</f>
        <v>110817068.59908372</v>
      </c>
      <c r="Q150" s="187">
        <f ca="1">IFERROR(VLOOKUP(A150,[1]Energiindhold!$A$2:$C$11,3,FALSE),IFERROR(VLOOKUP(A150,[1]Biogasudbytte!$A$2:$B$18,2,FALSE)*[1]Energiindhold!$C$10,0))*O150</f>
        <v>0</v>
      </c>
      <c r="R150" s="187">
        <f>IF(A150&lt;&gt;"Biogas",IFERROR(VLOOKUP(A150,[1]Biogasudbytte!$A$2:$B$18,2,FALSE)*[1]Energiindhold!$C$10,0)*J150*IFERROR(VLOOKUP(A150,Biogasanlæg!$F$3:$G$8,2,FALSE),1)+IFERROR(VLOOKUP(A150,[1]Energiindhold!$A$2:$C$11,3,FALSE),0)*L150+IF(D150&lt;&gt;År1,Q150,0),0)</f>
        <v>0</v>
      </c>
      <c r="S150" s="187">
        <f>IFERROR(VLOOKUP(A150,[1]Biogasudbytte!$A$2:$B$18,2,FALSE)*[1]Energiindhold!$C$10,0)*J150*IFERROR(VLOOKUP(A150,Biogasanlæg!$F$3:$G$8,2,FALSE),1)</f>
        <v>0</v>
      </c>
      <c r="T150" s="188">
        <f t="shared" ref="T150:T215" si="50">R150-S150</f>
        <v>0</v>
      </c>
      <c r="U150" s="186">
        <f ca="1">O150*IFERROR(VLOOKUP(A150,[1]Tørstofindhold!A$2:B$24,2,FALSE),0)</f>
        <v>0</v>
      </c>
      <c r="V150" s="187">
        <f ca="1">IF(D150=År1,P150,SUM(O150,P150))*IFERROR(VLOOKUP(A150,[1]Tørstofindhold!A$2:B$24,2,FALSE),0)</f>
        <v>0</v>
      </c>
      <c r="W150" s="187">
        <f>J150*IFERROR(VLOOKUP(A150,[1]Tørstofindhold!A$2:B$24,2,FALSE),0)</f>
        <v>0</v>
      </c>
      <c r="X150" s="188">
        <f t="shared" ref="X150:X215" ca="1" si="51">V150-W150</f>
        <v>0</v>
      </c>
      <c r="Y150" s="168">
        <f t="shared" ca="1" si="43"/>
        <v>0</v>
      </c>
      <c r="Z150" s="103">
        <f t="shared" ca="1" si="44"/>
        <v>0</v>
      </c>
    </row>
    <row r="151" spans="1:26" x14ac:dyDescent="0.25">
      <c r="A151" s="189" t="s">
        <v>110</v>
      </c>
      <c r="B151" s="189"/>
      <c r="C151" s="189">
        <f>IF(COUNTIFS('Resultater - Danmark'!$D$3:$D$504,'Resultat-Produktion &amp; forbrug'!A151,'Resultater - Danmark'!$A$3:$A$504,"Til energi")+COUNTIFS('Resultater - Danmark'!$D$3:$D$504,'Resultat-Produktion &amp; forbrug'!A151,'Resultater - Danmark'!$A$3:$A$504,"Biogasanlæg")&gt;0,1,0)</f>
        <v>0</v>
      </c>
      <c r="D151" s="189">
        <f t="shared" si="47"/>
        <v>2019</v>
      </c>
      <c r="E151" s="187" t="s">
        <v>24</v>
      </c>
      <c r="F151" s="190">
        <f ca="1">IF(E151="Vestdanmark",SUMIFS(IF(D151=År1,'Resultater - Vestdanmark'!H$3:H$504,IF(D151=År2,'Resultater - Vestdanmark'!I$3:I$504,'Resultater - Vestdanmark'!J$3:J$504)),'Resultater - Vestdanmark'!$F$3:$F$504,$A151,IF(D151=År1,'Resultater - Vestdanmark'!H$3:H$504,IF(D151=År2,'Resultater - Vestdanmark'!I$3:I$504,'Resultater - Vestdanmark'!J$3:J$504)),"&gt;0"),SUMIFS(IF(D151=År1,'Resultater - Østdanmark'!H$3:H$504,IF(D151=År2,'Resultater - Østdanmark'!I$3:I$504,'Resultater - Østdanmark'!J$3:J$504)),'Resultater - Østdanmark'!$F$3:$F$504,$A151,IF(D151=År1,'Resultater - Østdanmark'!H$3:H$504,IF(D151=År2,'Resultater - Østdanmark'!I$3:I$504,'Resultater - Østdanmark'!J$3:J$504)),"&gt;0"))</f>
        <v>2463073.3914116896</v>
      </c>
      <c r="G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forbrug'!G$2,'Forbrug af biomasse'!$B$2:$B$425,$E151)</f>
        <v>0</v>
      </c>
      <c r="H151" s="187">
        <f>IF(E151="Vestdanmark",-IF(A151="Halm",SUMIFS(IF(D151=År1,'Resultater - Vestdanmark'!H$3:H$504,IF(D151=År2,'Resultater - Vestdanmark'!I$3:I$504,'Resultater - Vestdanmark'!J$3:J$504)),'Resultater - Vestdanmark'!$F$3:$F$504,$A151,'Resultater - Vestdanmark'!H$3:H$504,"&lt;0"),0),-IF(A151="Halm",SUMIFS(IF(D151=År1,'Resultater - Østdanmark'!H$3:H$504,IF(D151=År2,'Resultater - Østdanmark'!I$3:I$504,'Resultater - Østdanmark'!J$3:J$504)),'Resultater - Østdanmark'!$F$3:$F$504,$A151,'Resultater - Østdanmark'!H$3:H$504,"&lt;0"),0))</f>
        <v>0</v>
      </c>
      <c r="I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forbrug'!I$2,'Forbrug af biomasse'!$B$2:$B$425,$E151)</f>
        <v>0</v>
      </c>
      <c r="J151" s="190">
        <f>SUMIFS('Forbrug af biomasse'!$E$2:$E$425,'Forbrug af biomasse'!$C$2:$C$425,'Resultat-Produktion &amp; forbrug'!$A151,'Forbrug af biomasse'!$D$2:$D$425,'Resultat-Produktion &amp; forbrug'!$D151,'Forbrug af biomasse'!$A$2:$A$425,'Resultat-Produktion &amp; forbrug'!J$2,'Forbrug af biomasse'!$B$2:$B$425,$E151)</f>
        <v>0</v>
      </c>
      <c r="K151" s="190">
        <f ca="1">SUMIFS('Forbrug af biomasse'!$E$2:$E$425,'Forbrug af biomasse'!$C$2:$C$425,'Resultat-Produktion &amp; forbrug'!$A151,'Forbrug af biomasse'!$D$2:$D$425,'Resultat-Produktion &amp; forbrug'!$D151,'Forbrug af biomasse'!$A$2:$A$425,'Resultat-Produktion &amp; forbrug'!K$2,'Forbrug af biomasse'!$B$2:$B$425,$E151)</f>
        <v>1801862.1200388186</v>
      </c>
      <c r="L151" s="190">
        <f>IF(A151&lt;&gt;"Biogas",SUMIFS('Forbrug af biomasse'!$E$2:$E$425,'Forbrug af biomasse'!$C$2:$C$425,'Resultat-Produktion &amp; forbrug'!$A151,'Forbrug af biomasse'!$D$2:$D$425,'Resultat-Produktion &amp; forbrug'!$D151,'Forbrug af biomasse'!$A$2:$A$425,'Resultat-Produktion &amp; forbrug'!L$2,'Forbrug af biomasse'!$B$2:$B$425,$E151),F151)</f>
        <v>0</v>
      </c>
      <c r="M151" s="154">
        <f>SUMIFS('Forbrug af biomasse'!E:E,'Forbrug af biomasse'!C:C,'Resultat-Produktion &amp; forbrug'!$A151,'Forbrug af biomasse'!D:D,'Resultat-Produktion &amp; forbrug'!$D151,'Forbrug af biomasse'!G:G,1,'Forbrug af biomasse'!B:B,$E151)</f>
        <v>0</v>
      </c>
      <c r="N151" s="199">
        <f t="shared" ca="1" si="48"/>
        <v>661211.27137287101</v>
      </c>
      <c r="O151" s="190">
        <f t="shared" si="39"/>
        <v>0</v>
      </c>
      <c r="P151" s="200">
        <f t="shared" si="49"/>
        <v>0</v>
      </c>
      <c r="Q151" s="187">
        <f>IFERROR(VLOOKUP(A151,[1]Energiindhold!$A$2:$C$11,3,FALSE),IFERROR(VLOOKUP(A151,[1]Biogasudbytte!$A$2:$B$18,2,FALSE)*[1]Energiindhold!$C$10,0))*O151</f>
        <v>0</v>
      </c>
      <c r="R151" s="187">
        <f>IF(A151&lt;&gt;"Biogas",IFERROR(VLOOKUP(A151,[1]Biogasudbytte!$A$2:$B$18,2,FALSE)*[1]Energiindhold!$C$10,0)*J151*IFERROR(VLOOKUP(A151,Biogasanlæg!$F$3:$G$8,2,FALSE),1)+IFERROR(VLOOKUP(A151,[1]Energiindhold!$A$2:$C$11,3,FALSE),0)*L151+IF(D151&lt;&gt;År1,Q151,0),0)</f>
        <v>0</v>
      </c>
      <c r="S151" s="187">
        <f>IFERROR(VLOOKUP(A151,[1]Biogasudbytte!$A$2:$B$18,2,FALSE)*[1]Energiindhold!$C$10,0)*J151*IFERROR(VLOOKUP(A151,Biogasanlæg!$F$3:$G$8,2,FALSE),1)</f>
        <v>0</v>
      </c>
      <c r="T151" s="188">
        <f t="shared" si="50"/>
        <v>0</v>
      </c>
      <c r="U151" s="186">
        <f>O151*IFERROR(VLOOKUP(A151,[1]Tørstofindhold!A$2:B$24,2,FALSE),0)</f>
        <v>0</v>
      </c>
      <c r="V151" s="187">
        <f>IF(D151=År1,P151,SUM(O151,P151))*IFERROR(VLOOKUP(A151,[1]Tørstofindhold!A$2:B$24,2,FALSE),0)</f>
        <v>0</v>
      </c>
      <c r="W151" s="187">
        <f>J151*IFERROR(VLOOKUP(A151,[1]Tørstofindhold!A$2:B$24,2,FALSE),0)</f>
        <v>0</v>
      </c>
      <c r="X151" s="188">
        <f t="shared" si="51"/>
        <v>0</v>
      </c>
      <c r="Y151" s="168">
        <f t="shared" ca="1" si="43"/>
        <v>0</v>
      </c>
      <c r="Z151" s="103">
        <f t="shared" ca="1" si="44"/>
        <v>1</v>
      </c>
    </row>
    <row r="152" spans="1:26" x14ac:dyDescent="0.25">
      <c r="A152" s="189" t="s">
        <v>208</v>
      </c>
      <c r="B152" s="189" t="s">
        <v>230</v>
      </c>
      <c r="C152" s="189">
        <f>IF(COUNTIFS('Resultater - Danmark'!$D$3:$D$504,'Resultat-Produktion &amp; forbrug'!A152,'Resultater - Danmark'!$A$3:$A$504,"Til energi")+COUNTIFS('Resultater - Danmark'!$D$3:$D$504,'Resultat-Produktion &amp; forbrug'!A152,'Resultater - Danmark'!$A$3:$A$504,"Biogasanlæg")&gt;0,1,0)</f>
        <v>1</v>
      </c>
      <c r="D152" s="189">
        <f t="shared" si="47"/>
        <v>2019</v>
      </c>
      <c r="E152" s="187" t="s">
        <v>24</v>
      </c>
      <c r="F152" s="190">
        <f>IF(E152="Vestdanmark",SUMIFS(IF(D152=År1,'Resultater - Vestdanmark'!H$3:H$504,IF(D152=År2,'Resultater - Vestdanmark'!I$3:I$504,'Resultater - Vestdanmark'!J$3:J$504)),'Resultater - Vestdanmark'!$F$3:$F$504,$A152,IF(D152=År1,'Resultater - Vestdanmark'!H$3:H$504,IF(D152=År2,'Resultater - Vestdanmark'!I$3:I$504,'Resultater - Vestdanmark'!J$3:J$504)),"&gt;0"),SUMIFS(IF(D152=År1,'Resultater - Østdanmark'!H$3:H$504,IF(D152=År2,'Resultater - Østdanmark'!I$3:I$504,'Resultater - Østdanmark'!J$3:J$504)),'Resultater - Østdanmark'!$F$3:$F$504,$A152,IF(D152=År1,'Resultater - Østdanmark'!H$3:H$504,IF(D152=År2,'Resultater - Østdanmark'!I$3:I$504,'Resultater - Østdanmark'!J$3:J$504)),"&gt;0"))</f>
        <v>0</v>
      </c>
      <c r="G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forbrug'!G$2,'Forbrug af biomasse'!$B$2:$B$425,$E152)</f>
        <v>0</v>
      </c>
      <c r="H152" s="187">
        <f>IF(E152="Vestdanmark",-IF(A152="Halm",SUMIFS(IF(D152=År1,'Resultater - Vestdanmark'!H$3:H$504,IF(D152=År2,'Resultater - Vestdanmark'!I$3:I$504,'Resultater - Vestdanmark'!J$3:J$504)),'Resultater - Vestdanmark'!$F$3:$F$504,$A152,'Resultater - Vestdanmark'!H$3:H$504,"&lt;0"),0),-IF(A152="Halm",SUMIFS(IF(D152=År1,'Resultater - Østdanmark'!H$3:H$504,IF(D152=År2,'Resultater - Østdanmark'!I$3:I$504,'Resultater - Østdanmark'!J$3:J$504)),'Resultater - Østdanmark'!$F$3:$F$504,$A152,'Resultater - Østdanmark'!H$3:H$504,"&lt;0"),0))</f>
        <v>0</v>
      </c>
      <c r="I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forbrug'!I$2,'Forbrug af biomasse'!$B$2:$B$425,$E152)</f>
        <v>0</v>
      </c>
      <c r="J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forbrug'!J$2,'Forbrug af biomasse'!$B$2:$B$425,$E152)</f>
        <v>0</v>
      </c>
      <c r="K152" s="190">
        <f>SUMIFS('Forbrug af biomasse'!$E$2:$E$425,'Forbrug af biomasse'!$C$2:$C$425,'Resultat-Produktion &amp; forbrug'!$A152,'Forbrug af biomasse'!$D$2:$D$425,'Resultat-Produktion &amp; forbrug'!$D152,'Forbrug af biomasse'!$A$2:$A$425,'Resultat-Produktion &amp; forbrug'!K$2,'Forbrug af biomasse'!$B$2:$B$425,$E152)</f>
        <v>0</v>
      </c>
      <c r="L152" s="190">
        <f>IF(A152&lt;&gt;"Biogas",SUMIFS('Forbrug af biomasse'!$E$2:$E$425,'Forbrug af biomasse'!$C$2:$C$425,'Resultat-Produktion &amp; forbrug'!$A152,'Forbrug af biomasse'!$D$2:$D$425,'Resultat-Produktion &amp; forbrug'!$D152,'Forbrug af biomasse'!$A$2:$A$425,'Resultat-Produktion &amp; forbrug'!L$2,'Forbrug af biomasse'!$B$2:$B$425,$E152),F152)</f>
        <v>0</v>
      </c>
      <c r="M152" s="154">
        <f>SUMIFS('Forbrug af biomasse'!E:E,'Forbrug af biomasse'!C:C,'Resultat-Produktion &amp; forbrug'!$A152,'Forbrug af biomasse'!D:D,'Resultat-Produktion &amp; forbrug'!$D152,'Forbrug af biomasse'!G:G,1,'Forbrug af biomasse'!B:B,$E152)</f>
        <v>0</v>
      </c>
      <c r="N152" s="199">
        <f t="shared" si="48"/>
        <v>0</v>
      </c>
      <c r="O152" s="190">
        <f t="shared" si="39"/>
        <v>0</v>
      </c>
      <c r="P152" s="200">
        <f t="shared" si="49"/>
        <v>0</v>
      </c>
      <c r="Q152" s="187">
        <f>IFERROR(VLOOKUP(A152,[1]Energiindhold!$A$2:$C$11,3,FALSE),IFERROR(VLOOKUP(A152,[1]Biogasudbytte!$A$2:$B$18,2,FALSE)*[1]Energiindhold!$C$10,0))*O152</f>
        <v>0</v>
      </c>
      <c r="R152" s="187">
        <f>IF(A152&lt;&gt;"Biogas",IFERROR(VLOOKUP(A152,[1]Biogasudbytte!$A$2:$B$18,2,FALSE)*[1]Energiindhold!$C$10,0)*J152*IFERROR(VLOOKUP(A152,Biogasanlæg!$F$3:$G$8,2,FALSE),1)+IFERROR(VLOOKUP(A152,[1]Energiindhold!$A$2:$C$11,3,FALSE),0)*L152+IF(D152&lt;&gt;År1,Q152,0),0)</f>
        <v>0</v>
      </c>
      <c r="S152" s="187">
        <f>IFERROR(VLOOKUP(A152,[1]Biogasudbytte!$A$2:$B$18,2,FALSE)*[1]Energiindhold!$C$10,0)*J152*IFERROR(VLOOKUP(A152,Biogasanlæg!$F$3:$G$8,2,FALSE),1)</f>
        <v>0</v>
      </c>
      <c r="T152" s="188">
        <f t="shared" si="50"/>
        <v>0</v>
      </c>
      <c r="U152" s="186">
        <f>O152*IFERROR(VLOOKUP(A152,[1]Tørstofindhold!A$2:B$24,2,FALSE),0)</f>
        <v>0</v>
      </c>
      <c r="V152" s="187">
        <f>IF(D152=År1,P152,SUM(O152,P152))*IFERROR(VLOOKUP(A152,[1]Tørstofindhold!A$2:B$24,2,FALSE),0)</f>
        <v>0</v>
      </c>
      <c r="W152" s="187">
        <f>J152*IFERROR(VLOOKUP(A152,[1]Tørstofindhold!A$2:B$24,2,FALSE),0)</f>
        <v>0</v>
      </c>
      <c r="X152" s="188">
        <f t="shared" si="51"/>
        <v>0</v>
      </c>
      <c r="Y152" s="168">
        <f t="shared" si="43"/>
        <v>0</v>
      </c>
      <c r="Z152" s="103">
        <f t="shared" si="44"/>
        <v>0</v>
      </c>
    </row>
    <row r="153" spans="1:26" x14ac:dyDescent="0.25">
      <c r="A153" s="187" t="s">
        <v>101</v>
      </c>
      <c r="B153" s="189" t="s">
        <v>222</v>
      </c>
      <c r="C153" s="189">
        <f>IF(COUNTIFS('Resultater - Danmark'!$D$3:$D$504,'Resultat-Produktion &amp; forbrug'!A153,'Resultater - Danmark'!$A$3:$A$504,"Til energi")+COUNTIFS('Resultater - Danmark'!$D$3:$D$504,'Resultat-Produktion &amp; forbrug'!A153,'Resultater - Danmark'!$A$3:$A$504,"Biogasanlæg")&gt;0,1,0)</f>
        <v>1</v>
      </c>
      <c r="D153" s="189">
        <f t="shared" si="47"/>
        <v>2019</v>
      </c>
      <c r="E153" s="187" t="s">
        <v>24</v>
      </c>
      <c r="F153" s="190">
        <f>IF(E153="Vestdanmark",SUMIFS(IF(D153=År1,'Resultater - Vestdanmark'!H$3:H$504,IF(D153=År2,'Resultater - Vestdanmark'!I$3:I$504,'Resultater - Vestdanmark'!J$3:J$504)),'Resultater - Vestdanmark'!$F$3:$F$504,$A153,IF(D153=År1,'Resultater - Vestdanmark'!H$3:H$504,IF(D153=År2,'Resultater - Vestdanmark'!I$3:I$504,'Resultater - Vestdanmark'!J$3:J$504)),"&gt;0"),SUMIFS(IF(D153=År1,'Resultater - Østdanmark'!H$3:H$504,IF(D153=År2,'Resultater - Østdanmark'!I$3:I$504,'Resultater - Østdanmark'!J$3:J$504)),'Resultater - Østdanmark'!$F$3:$F$504,$A153,IF(D153=År1,'Resultater - Østdanmark'!H$3:H$504,IF(D153=År2,'Resultater - Østdanmark'!I$3:I$504,'Resultater - Østdanmark'!J$3:J$504)),"&gt;0"))</f>
        <v>332759.92297580565</v>
      </c>
      <c r="G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forbrug'!G$2,'Forbrug af biomasse'!$B$2:$B$425,$E153)</f>
        <v>0</v>
      </c>
      <c r="H153" s="187">
        <f>IF(E153="Vestdanmark",-IF(A153="Halm",SUMIFS(IF(D153=År1,'Resultater - Vestdanmark'!H$3:H$504,IF(D153=År2,'Resultater - Vestdanmark'!I$3:I$504,'Resultater - Vestdanmark'!J$3:J$504)),'Resultater - Vestdanmark'!$F$3:$F$504,$A153,'Resultater - Vestdanmark'!H$3:H$504,"&lt;0"),0),-IF(A153="Halm",SUMIFS(IF(D153=År1,'Resultater - Østdanmark'!H$3:H$504,IF(D153=År2,'Resultater - Østdanmark'!I$3:I$504,'Resultater - Østdanmark'!J$3:J$504)),'Resultater - Østdanmark'!$F$3:$F$504,$A153,'Resultater - Østdanmark'!H$3:H$504,"&lt;0"),0))</f>
        <v>0</v>
      </c>
      <c r="I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forbrug'!I$2,'Forbrug af biomasse'!$B$2:$B$425,$E153)</f>
        <v>0</v>
      </c>
      <c r="J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forbrug'!J$2,'Forbrug af biomasse'!$B$2:$B$425,$E153)</f>
        <v>85892.328449707566</v>
      </c>
      <c r="K153" s="190">
        <f>SUMIFS('Forbrug af biomasse'!$E$2:$E$425,'Forbrug af biomasse'!$C$2:$C$425,'Resultat-Produktion &amp; forbrug'!$A153,'Forbrug af biomasse'!$D$2:$D$425,'Resultat-Produktion &amp; forbrug'!$D153,'Forbrug af biomasse'!$A$2:$A$425,'Resultat-Produktion &amp; forbrug'!K$2,'Forbrug af biomasse'!$B$2:$B$425,$E153)</f>
        <v>93457.017927737121</v>
      </c>
      <c r="L153" s="190">
        <f>IF(A153&lt;&gt;"Biogas",SUMIFS('Forbrug af biomasse'!$E$2:$E$425,'Forbrug af biomasse'!$C$2:$C$425,'Resultat-Produktion &amp; forbrug'!$A153,'Forbrug af biomasse'!$D$2:$D$425,'Resultat-Produktion &amp; forbrug'!$D153,'Forbrug af biomasse'!$A$2:$A$425,'Resultat-Produktion &amp; forbrug'!L$2,'Forbrug af biomasse'!$B$2:$B$425,$E153),F153)</f>
        <v>0</v>
      </c>
      <c r="M153" s="154">
        <f>SUMIFS('Forbrug af biomasse'!E:E,'Forbrug af biomasse'!C:C,'Resultat-Produktion &amp; forbrug'!$A153,'Forbrug af biomasse'!D:D,'Resultat-Produktion &amp; forbrug'!$D153,'Forbrug af biomasse'!G:G,1,'Forbrug af biomasse'!B:B,$E153)</f>
        <v>0</v>
      </c>
      <c r="N153" s="199">
        <f t="shared" si="48"/>
        <v>153410.57659836096</v>
      </c>
      <c r="O153" s="190">
        <f t="shared" si="39"/>
        <v>153410.57659836096</v>
      </c>
      <c r="P153" s="200">
        <f t="shared" si="49"/>
        <v>85892.328449707566</v>
      </c>
      <c r="Q153" s="187">
        <f>IFERROR(VLOOKUP(A153,[1]Energiindhold!$A$2:$C$11,3,FALSE),IFERROR(VLOOKUP(A153,[1]Biogasudbytte!$A$2:$B$18,2,FALSE)*[1]Energiindhold!$C$10,0))*O153</f>
        <v>0.33044638199286952</v>
      </c>
      <c r="R153" s="187">
        <f>IF(A153&lt;&gt;"Biogas",IFERROR(VLOOKUP(A153,[1]Biogasudbytte!$A$2:$B$18,2,FALSE)*[1]Energiindhold!$C$10,0)*J153*IFERROR(VLOOKUP(A153,Biogasanlæg!$F$3:$G$8,2,FALSE),1)+IFERROR(VLOOKUP(A153,[1]Energiindhold!$A$2:$C$11,3,FALSE),0)*L153+IF(D153&lt;&gt;År1,Q153,0),0)</f>
        <v>0.18501207548067011</v>
      </c>
      <c r="S153" s="187">
        <f>IFERROR(VLOOKUP(A153,[1]Biogasudbytte!$A$2:$B$18,2,FALSE)*[1]Energiindhold!$C$10,0)*J153*IFERROR(VLOOKUP(A153,Biogasanlæg!$F$3:$G$8,2,FALSE),1)</f>
        <v>0.18501207548067011</v>
      </c>
      <c r="T153" s="188">
        <f t="shared" si="50"/>
        <v>0</v>
      </c>
      <c r="U153" s="186">
        <f>O153*IFERROR(VLOOKUP(A153,[1]Tørstofindhold!A$2:B$24,2,FALSE),0)</f>
        <v>46023.172979508287</v>
      </c>
      <c r="V153" s="187">
        <f>IF(D153=År1,P153,SUM(O153,P153))*IFERROR(VLOOKUP(A153,[1]Tørstofindhold!A$2:B$24,2,FALSE),0)</f>
        <v>25767.69853491227</v>
      </c>
      <c r="W153" s="187">
        <f>J153*IFERROR(VLOOKUP(A153,[1]Tørstofindhold!A$2:B$24,2,FALSE),0)</f>
        <v>25767.69853491227</v>
      </c>
      <c r="X153" s="188">
        <f t="shared" si="51"/>
        <v>0</v>
      </c>
      <c r="Y153" s="168">
        <f t="shared" si="43"/>
        <v>0</v>
      </c>
      <c r="Z153" s="103">
        <f t="shared" si="44"/>
        <v>1</v>
      </c>
    </row>
    <row r="154" spans="1:26" x14ac:dyDescent="0.25">
      <c r="A154" s="187" t="s">
        <v>204</v>
      </c>
      <c r="B154" s="189"/>
      <c r="C154" s="189">
        <f>IF(COUNTIFS('Resultater - Danmark'!$D$3:$D$504,'Resultat-Produktion &amp; forbrug'!A154,'Resultater - Danmark'!$A$3:$A$504,"Til energi")+COUNTIFS('Resultater - Danmark'!$D$3:$D$504,'Resultat-Produktion &amp; forbrug'!A154,'Resultater - Danmark'!$A$3:$A$504,"Biogasanlæg")&gt;0,1,0)</f>
        <v>0</v>
      </c>
      <c r="D154" s="189">
        <f t="shared" si="47"/>
        <v>2019</v>
      </c>
      <c r="E154" s="187" t="s">
        <v>24</v>
      </c>
      <c r="F154" s="190">
        <f>IF(E154="Vestdanmark",SUMIFS(IF(D154=År1,'Resultater - Vestdanmark'!H$3:H$504,IF(D154=År2,'Resultater - Vestdanmark'!I$3:I$504,'Resultater - Vestdanmark'!J$3:J$504)),'Resultater - Vestdanmark'!$F$3:$F$504,$A154,IF(D154=År1,'Resultater - Vestdanmark'!H$3:H$504,IF(D154=År2,'Resultater - Vestdanmark'!I$3:I$504,'Resultater - Vestdanmark'!J$3:J$504)),"&gt;0"),SUMIFS(IF(D154=År1,'Resultater - Østdanmark'!H$3:H$504,IF(D154=År2,'Resultater - Østdanmark'!I$3:I$504,'Resultater - Østdanmark'!J$3:J$504)),'Resultater - Østdanmark'!$F$3:$F$504,$A154,IF(D154=År1,'Resultater - Østdanmark'!H$3:H$504,IF(D154=År2,'Resultater - Østdanmark'!I$3:I$504,'Resultater - Østdanmark'!J$3:J$504)),"&gt;0"))</f>
        <v>0</v>
      </c>
      <c r="G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forbrug'!G$2,'Forbrug af biomasse'!$B$2:$B$425,$E154)</f>
        <v>0</v>
      </c>
      <c r="H154" s="187">
        <f>IF(E154="Vestdanmark",-IF(A154="Halm",SUMIFS(IF(D154=År1,'Resultater - Vestdanmark'!H$3:H$504,IF(D154=År2,'Resultater - Vestdanmark'!I$3:I$504,'Resultater - Vestdanmark'!J$3:J$504)),'Resultater - Vestdanmark'!$F$3:$F$504,$A154,'Resultater - Vestdanmark'!H$3:H$504,"&lt;0"),0),-IF(A154="Halm",SUMIFS(IF(D154=År1,'Resultater - Østdanmark'!H$3:H$504,IF(D154=År2,'Resultater - Østdanmark'!I$3:I$504,'Resultater - Østdanmark'!J$3:J$504)),'Resultater - Østdanmark'!$F$3:$F$504,$A154,'Resultater - Østdanmark'!H$3:H$504,"&lt;0"),0))</f>
        <v>0</v>
      </c>
      <c r="I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forbrug'!I$2,'Forbrug af biomasse'!$B$2:$B$425,$E154)</f>
        <v>0</v>
      </c>
      <c r="J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forbrug'!J$2,'Forbrug af biomasse'!$B$2:$B$425,$E154)</f>
        <v>0</v>
      </c>
      <c r="K154" s="190">
        <f>SUMIFS('Forbrug af biomasse'!$E$2:$E$425,'Forbrug af biomasse'!$C$2:$C$425,'Resultat-Produktion &amp; forbrug'!$A154,'Forbrug af biomasse'!$D$2:$D$425,'Resultat-Produktion &amp; forbrug'!$D154,'Forbrug af biomasse'!$A$2:$A$425,'Resultat-Produktion &amp; forbrug'!K$2,'Forbrug af biomasse'!$B$2:$B$425,$E154)</f>
        <v>0</v>
      </c>
      <c r="L154" s="190">
        <f>IF(A154&lt;&gt;"Biogas",SUMIFS('Forbrug af biomasse'!$E$2:$E$425,'Forbrug af biomasse'!$C$2:$C$425,'Resultat-Produktion &amp; forbrug'!$A154,'Forbrug af biomasse'!$D$2:$D$425,'Resultat-Produktion &amp; forbrug'!$D154,'Forbrug af biomasse'!$A$2:$A$425,'Resultat-Produktion &amp; forbrug'!L$2,'Forbrug af biomasse'!$B$2:$B$425,$E154),F154)</f>
        <v>0</v>
      </c>
      <c r="M154" s="154">
        <f>SUMIFS('Forbrug af biomasse'!E:E,'Forbrug af biomasse'!C:C,'Resultat-Produktion &amp; forbrug'!$A154,'Forbrug af biomasse'!D:D,'Resultat-Produktion &amp; forbrug'!$D154,'Forbrug af biomasse'!G:G,1,'Forbrug af biomasse'!B:B,$E154)</f>
        <v>0</v>
      </c>
      <c r="N154" s="199">
        <f t="shared" si="48"/>
        <v>0</v>
      </c>
      <c r="O154" s="190">
        <f t="shared" si="39"/>
        <v>0</v>
      </c>
      <c r="P154" s="200">
        <f t="shared" si="49"/>
        <v>0</v>
      </c>
      <c r="Q154" s="187">
        <f>IFERROR(VLOOKUP(A154,[1]Energiindhold!$A$2:$C$11,3,FALSE),IFERROR(VLOOKUP(A154,[1]Biogasudbytte!$A$2:$B$18,2,FALSE)*[1]Energiindhold!$C$10,0))*O154</f>
        <v>0</v>
      </c>
      <c r="R154" s="187">
        <f>IF(A154&lt;&gt;"Biogas",IFERROR(VLOOKUP(A154,[1]Biogasudbytte!$A$2:$B$18,2,FALSE)*[1]Energiindhold!$C$10,0)*J154*IFERROR(VLOOKUP(A154,Biogasanlæg!$F$3:$G$8,2,FALSE),1)+IFERROR(VLOOKUP(A154,[1]Energiindhold!$A$2:$C$11,3,FALSE),0)*L154+IF(D154&lt;&gt;År1,Q154,0),0)</f>
        <v>0</v>
      </c>
      <c r="S154" s="187">
        <f>IFERROR(VLOOKUP(A154,[1]Biogasudbytte!$A$2:$B$18,2,FALSE)*[1]Energiindhold!$C$10,0)*J154*IFERROR(VLOOKUP(A154,Biogasanlæg!$F$3:$G$8,2,FALSE),1)</f>
        <v>0</v>
      </c>
      <c r="T154" s="188">
        <f t="shared" si="50"/>
        <v>0</v>
      </c>
      <c r="U154" s="186">
        <f>O154*IFERROR(VLOOKUP(A154,[1]Tørstofindhold!A$2:B$24,2,FALSE),0)</f>
        <v>0</v>
      </c>
      <c r="V154" s="187">
        <f>IF(D154=År1,P154,SUM(O154,P154))*IFERROR(VLOOKUP(A154,[1]Tørstofindhold!A$2:B$24,2,FALSE),0)</f>
        <v>0</v>
      </c>
      <c r="W154" s="187">
        <f>J154*IFERROR(VLOOKUP(A154,[1]Tørstofindhold!A$2:B$24,2,FALSE),0)</f>
        <v>0</v>
      </c>
      <c r="X154" s="188">
        <f t="shared" si="51"/>
        <v>0</v>
      </c>
      <c r="Y154" s="168">
        <f t="shared" si="43"/>
        <v>0</v>
      </c>
      <c r="Z154" s="103">
        <f t="shared" si="44"/>
        <v>0</v>
      </c>
    </row>
    <row r="155" spans="1:26" x14ac:dyDescent="0.25">
      <c r="A155" s="187" t="s">
        <v>137</v>
      </c>
      <c r="B155" s="189" t="s">
        <v>222</v>
      </c>
      <c r="C155" s="189">
        <f>IF(COUNTIFS('Resultater - Danmark'!$D$3:$D$504,'Resultat-Produktion &amp; forbrug'!A155,'Resultater - Danmark'!$A$3:$A$504,"Til energi")+COUNTIFS('Resultater - Danmark'!$D$3:$D$504,'Resultat-Produktion &amp; forbrug'!A155,'Resultater - Danmark'!$A$3:$A$504,"Biogasanlæg")&gt;0,1,0)</f>
        <v>1</v>
      </c>
      <c r="D155" s="189">
        <f t="shared" si="47"/>
        <v>2019</v>
      </c>
      <c r="E155" s="187" t="s">
        <v>24</v>
      </c>
      <c r="F155" s="190">
        <f>IF(E155="Vestdanmark",SUMIFS(IF(D155=År1,'Resultater - Vestdanmark'!H$3:H$504,IF(D155=År2,'Resultater - Vestdanmark'!I$3:I$504,'Resultater - Vestdanmark'!J$3:J$504)),'Resultater - Vestdanmark'!$F$3:$F$504,$A155,IF(D155=År1,'Resultater - Vestdanmark'!H$3:H$504,IF(D155=År2,'Resultater - Vestdanmark'!I$3:I$504,'Resultater - Vestdanmark'!J$3:J$504)),"&gt;0"),SUMIFS(IF(D155=År1,'Resultater - Østdanmark'!H$3:H$504,IF(D155=År2,'Resultater - Østdanmark'!I$3:I$504,'Resultater - Østdanmark'!J$3:J$504)),'Resultater - Østdanmark'!$F$3:$F$504,$A155,IF(D155=År1,'Resultater - Østdanmark'!H$3:H$504,IF(D155=År2,'Resultater - Østdanmark'!I$3:I$504,'Resultater - Østdanmark'!J$3:J$504)),"&gt;0"))</f>
        <v>675.387643904882</v>
      </c>
      <c r="G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forbrug'!G$2,'Forbrug af biomasse'!$B$2:$B$425,$E155)</f>
        <v>0</v>
      </c>
      <c r="H155" s="187">
        <f>IF(E155="Vestdanmark",-IF(A155="Halm",SUMIFS(IF(D155=År1,'Resultater - Vestdanmark'!H$3:H$504,IF(D155=År2,'Resultater - Vestdanmark'!I$3:I$504,'Resultater - Vestdanmark'!J$3:J$504)),'Resultater - Vestdanmark'!$F$3:$F$504,$A155,'Resultater - Vestdanmark'!H$3:H$504,"&lt;0"),0),-IF(A155="Halm",SUMIFS(IF(D155=År1,'Resultater - Østdanmark'!H$3:H$504,IF(D155=År2,'Resultater - Østdanmark'!I$3:I$504,'Resultater - Østdanmark'!J$3:J$504)),'Resultater - Østdanmark'!$F$3:$F$504,$A155,'Resultater - Østdanmark'!H$3:H$504,"&lt;0"),0))</f>
        <v>0</v>
      </c>
      <c r="I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forbrug'!I$2,'Forbrug af biomasse'!$B$2:$B$425,$E155)</f>
        <v>0</v>
      </c>
      <c r="J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forbrug'!J$2,'Forbrug af biomasse'!$B$2:$B$425,$E155)</f>
        <v>337.693821952441</v>
      </c>
      <c r="K155" s="190">
        <f>SUMIFS('Forbrug af biomasse'!$E$2:$E$425,'Forbrug af biomasse'!$C$2:$C$425,'Resultat-Produktion &amp; forbrug'!$A155,'Forbrug af biomasse'!$D$2:$D$425,'Resultat-Produktion &amp; forbrug'!$D155,'Forbrug af biomasse'!$A$2:$A$425,'Resultat-Produktion &amp; forbrug'!K$2,'Forbrug af biomasse'!$B$2:$B$425,$E155)</f>
        <v>337.693821952441</v>
      </c>
      <c r="L155" s="190">
        <f>IF(A155&lt;&gt;"Biogas",SUMIFS('Forbrug af biomasse'!$E$2:$E$425,'Forbrug af biomasse'!$C$2:$C$425,'Resultat-Produktion &amp; forbrug'!$A155,'Forbrug af biomasse'!$D$2:$D$425,'Resultat-Produktion &amp; forbrug'!$D155,'Forbrug af biomasse'!$A$2:$A$425,'Resultat-Produktion &amp; forbrug'!L$2,'Forbrug af biomasse'!$B$2:$B$425,$E155),F155)</f>
        <v>0</v>
      </c>
      <c r="M155" s="154">
        <f>SUMIFS('Forbrug af biomasse'!E:E,'Forbrug af biomasse'!C:C,'Resultat-Produktion &amp; forbrug'!$A155,'Forbrug af biomasse'!D:D,'Resultat-Produktion &amp; forbrug'!$D155,'Forbrug af biomasse'!G:G,1,'Forbrug af biomasse'!B:B,$E155)</f>
        <v>0</v>
      </c>
      <c r="N155" s="199">
        <f t="shared" si="48"/>
        <v>0</v>
      </c>
      <c r="O155" s="190">
        <f t="shared" si="39"/>
        <v>0</v>
      </c>
      <c r="P155" s="200">
        <f t="shared" si="49"/>
        <v>337.693821952441</v>
      </c>
      <c r="Q155" s="187">
        <f>IFERROR(VLOOKUP(A155,[1]Energiindhold!$A$2:$C$11,3,FALSE),IFERROR(VLOOKUP(A155,[1]Biogasudbytte!$A$2:$B$18,2,FALSE)*[1]Energiindhold!$C$10,0))*O155</f>
        <v>0</v>
      </c>
      <c r="R155" s="187">
        <f>IF(A155&lt;&gt;"Biogas",IFERROR(VLOOKUP(A155,[1]Biogasudbytte!$A$2:$B$18,2,FALSE)*[1]Energiindhold!$C$10,0)*J155*IFERROR(VLOOKUP(A155,Biogasanlæg!$F$3:$G$8,2,FALSE),1)+IFERROR(VLOOKUP(A155,[1]Energiindhold!$A$2:$C$11,3,FALSE),0)*L155+IF(D155&lt;&gt;År1,Q155,0),0)</f>
        <v>1.5881402752601349E-4</v>
      </c>
      <c r="S155" s="187">
        <f>IFERROR(VLOOKUP(A155,[1]Biogasudbytte!$A$2:$B$18,2,FALSE)*[1]Energiindhold!$C$10,0)*J155*IFERROR(VLOOKUP(A155,Biogasanlæg!$F$3:$G$8,2,FALSE),1)</f>
        <v>1.5881402752601349E-4</v>
      </c>
      <c r="T155" s="188">
        <f t="shared" si="50"/>
        <v>0</v>
      </c>
      <c r="U155" s="186">
        <f>O155*IFERROR(VLOOKUP(A155,[1]Tørstofindhold!A$2:B$24,2,FALSE),0)</f>
        <v>0</v>
      </c>
      <c r="V155" s="187">
        <f>IF(D155=År1,P155,SUM(O155,P155))*IFERROR(VLOOKUP(A155,[1]Tørstofindhold!A$2:B$24,2,FALSE),0)</f>
        <v>21.274710783003783</v>
      </c>
      <c r="W155" s="187">
        <f>J155*IFERROR(VLOOKUP(A155,[1]Tørstofindhold!A$2:B$24,2,FALSE),0)</f>
        <v>21.274710783003783</v>
      </c>
      <c r="X155" s="188">
        <f t="shared" si="51"/>
        <v>0</v>
      </c>
      <c r="Y155" s="168">
        <f t="shared" si="43"/>
        <v>0</v>
      </c>
      <c r="Z155" s="103">
        <f t="shared" si="44"/>
        <v>0</v>
      </c>
    </row>
    <row r="156" spans="1:26" x14ac:dyDescent="0.25">
      <c r="A156" s="187" t="s">
        <v>96</v>
      </c>
      <c r="B156" s="189"/>
      <c r="C156" s="189">
        <f>IF(COUNTIFS('Resultater - Danmark'!$D$3:$D$504,'Resultat-Produktion &amp; forbrug'!A156,'Resultater - Danmark'!$A$3:$A$504,"Til energi")+COUNTIFS('Resultater - Danmark'!$D$3:$D$504,'Resultat-Produktion &amp; forbrug'!A156,'Resultater - Danmark'!$A$3:$A$504,"Biogasanlæg")&gt;0,1,0)</f>
        <v>0</v>
      </c>
      <c r="D156" s="189">
        <f t="shared" si="47"/>
        <v>2019</v>
      </c>
      <c r="E156" s="187" t="s">
        <v>24</v>
      </c>
      <c r="F156" s="190">
        <f>IF(E156="Vestdanmark",SUMIFS(IF(D156=År1,'Resultater - Vestdanmark'!H$3:H$504,IF(D156=År2,'Resultater - Vestdanmark'!I$3:I$504,'Resultater - Vestdanmark'!J$3:J$504)),'Resultater - Vestdanmark'!$F$3:$F$504,$A156,IF(D156=År1,'Resultater - Vestdanmark'!H$3:H$504,IF(D156=År2,'Resultater - Vestdanmark'!I$3:I$504,'Resultater - Vestdanmark'!J$3:J$504)),"&gt;0"),SUMIFS(IF(D156=År1,'Resultater - Østdanmark'!H$3:H$504,IF(D156=År2,'Resultater - Østdanmark'!I$3:I$504,'Resultater - Østdanmark'!J$3:J$504)),'Resultater - Østdanmark'!$F$3:$F$504,$A156,IF(D156=År1,'Resultater - Østdanmark'!H$3:H$504,IF(D156=År2,'Resultater - Østdanmark'!I$3:I$504,'Resultater - Østdanmark'!J$3:J$504)),"&gt;0"))</f>
        <v>15969.006082579654</v>
      </c>
      <c r="G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forbrug'!G$2,'Forbrug af biomasse'!$B$2:$B$425,$E156)</f>
        <v>0</v>
      </c>
      <c r="H156" s="187">
        <f>IF(E156="Vestdanmark",-IF(A156="Halm",SUMIFS(IF(D156=År1,'Resultater - Vestdanmark'!H$3:H$504,IF(D156=År2,'Resultater - Vestdanmark'!I$3:I$504,'Resultater - Vestdanmark'!J$3:J$504)),'Resultater - Vestdanmark'!$F$3:$F$504,$A156,'Resultater - Vestdanmark'!H$3:H$504,"&lt;0"),0),-IF(A156="Halm",SUMIFS(IF(D156=År1,'Resultater - Østdanmark'!H$3:H$504,IF(D156=År2,'Resultater - Østdanmark'!I$3:I$504,'Resultater - Østdanmark'!J$3:J$504)),'Resultater - Østdanmark'!$F$3:$F$504,$A156,'Resultater - Østdanmark'!H$3:H$504,"&lt;0"),0))</f>
        <v>0</v>
      </c>
      <c r="I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forbrug'!I$2,'Forbrug af biomasse'!$B$2:$B$425,$E156)</f>
        <v>29120.587456275069</v>
      </c>
      <c r="J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forbrug'!J$2,'Forbrug af biomasse'!$B$2:$B$425,$E156)</f>
        <v>0</v>
      </c>
      <c r="K156" s="190">
        <f>SUMIFS('Forbrug af biomasse'!$E$2:$E$425,'Forbrug af biomasse'!$C$2:$C$425,'Resultat-Produktion &amp; forbrug'!$A156,'Forbrug af biomasse'!$D$2:$D$425,'Resultat-Produktion &amp; forbrug'!$D156,'Forbrug af biomasse'!$A$2:$A$425,'Resultat-Produktion &amp; forbrug'!K$2,'Forbrug af biomasse'!$B$2:$B$425,$E156)</f>
        <v>0</v>
      </c>
      <c r="L156" s="190">
        <f>IF(A156&lt;&gt;"Biogas",SUMIFS('Forbrug af biomasse'!$E$2:$E$425,'Forbrug af biomasse'!$C$2:$C$425,'Resultat-Produktion &amp; forbrug'!$A156,'Forbrug af biomasse'!$D$2:$D$425,'Resultat-Produktion &amp; forbrug'!$D156,'Forbrug af biomasse'!$A$2:$A$425,'Resultat-Produktion &amp; forbrug'!L$2,'Forbrug af biomasse'!$B$2:$B$425,$E156),F156)</f>
        <v>0</v>
      </c>
      <c r="M156" s="154">
        <f>SUMIFS('Forbrug af biomasse'!E:E,'Forbrug af biomasse'!C:C,'Resultat-Produktion &amp; forbrug'!$A156,'Forbrug af biomasse'!D:D,'Resultat-Produktion &amp; forbrug'!$D156,'Forbrug af biomasse'!G:G,1,'Forbrug af biomasse'!B:B,$E156)</f>
        <v>0</v>
      </c>
      <c r="N156" s="199">
        <f t="shared" si="48"/>
        <v>-13151.581373695415</v>
      </c>
      <c r="O156" s="190">
        <f t="shared" si="39"/>
        <v>0</v>
      </c>
      <c r="P156" s="200">
        <f t="shared" si="49"/>
        <v>0</v>
      </c>
      <c r="Q156" s="187">
        <f>IFERROR(VLOOKUP(A156,[1]Energiindhold!$A$2:$C$11,3,FALSE),IFERROR(VLOOKUP(A156,[1]Biogasudbytte!$A$2:$B$18,2,FALSE)*[1]Energiindhold!$C$10,0))*O156</f>
        <v>0</v>
      </c>
      <c r="R156" s="187">
        <f>IF(A156&lt;&gt;"Biogas",IFERROR(VLOOKUP(A156,[1]Biogasudbytte!$A$2:$B$18,2,FALSE)*[1]Energiindhold!$C$10,0)*J156*IFERROR(VLOOKUP(A156,Biogasanlæg!$F$3:$G$8,2,FALSE),1)+IFERROR(VLOOKUP(A156,[1]Energiindhold!$A$2:$C$11,3,FALSE),0)*L156+IF(D156&lt;&gt;År1,Q156,0),0)</f>
        <v>0</v>
      </c>
      <c r="S156" s="187">
        <f>IFERROR(VLOOKUP(A156,[1]Biogasudbytte!$A$2:$B$18,2,FALSE)*[1]Energiindhold!$C$10,0)*J156*IFERROR(VLOOKUP(A156,Biogasanlæg!$F$3:$G$8,2,FALSE),1)</f>
        <v>0</v>
      </c>
      <c r="T156" s="188">
        <f t="shared" si="50"/>
        <v>0</v>
      </c>
      <c r="U156" s="186">
        <f>O156*IFERROR(VLOOKUP(A156,[1]Tørstofindhold!A$2:B$24,2,FALSE),0)</f>
        <v>0</v>
      </c>
      <c r="V156" s="187">
        <f>IF(D156=År1,P156,SUM(O156,P156))*IFERROR(VLOOKUP(A156,[1]Tørstofindhold!A$2:B$24,2,FALSE),0)</f>
        <v>0</v>
      </c>
      <c r="W156" s="187">
        <f>J156*IFERROR(VLOOKUP(A156,[1]Tørstofindhold!A$2:B$24,2,FALSE),0)</f>
        <v>0</v>
      </c>
      <c r="X156" s="188">
        <f t="shared" si="51"/>
        <v>0</v>
      </c>
      <c r="Y156" s="168">
        <f t="shared" si="43"/>
        <v>0</v>
      </c>
      <c r="Z156" s="103">
        <f t="shared" si="44"/>
        <v>1</v>
      </c>
    </row>
    <row r="157" spans="1:26" x14ac:dyDescent="0.25">
      <c r="A157" s="187" t="s">
        <v>113</v>
      </c>
      <c r="B157" s="189"/>
      <c r="C157" s="189">
        <f>IF(COUNTIFS('Resultater - Danmark'!$D$3:$D$504,'Resultat-Produktion &amp; forbrug'!A157,'Resultater - Danmark'!$A$3:$A$504,"Til energi")+COUNTIFS('Resultater - Danmark'!$D$3:$D$504,'Resultat-Produktion &amp; forbrug'!A157,'Resultater - Danmark'!$A$3:$A$504,"Biogasanlæg")&gt;0,1,0)</f>
        <v>0</v>
      </c>
      <c r="D157" s="189">
        <f t="shared" si="47"/>
        <v>2019</v>
      </c>
      <c r="E157" s="187" t="s">
        <v>24</v>
      </c>
      <c r="F157" s="190">
        <f>IF(E157="Vestdanmark",SUMIFS(IF(D157=År1,'Resultater - Vestdanmark'!H$3:H$504,IF(D157=År2,'Resultater - Vestdanmark'!I$3:I$504,'Resultater - Vestdanmark'!J$3:J$504)),'Resultater - Vestdanmark'!$F$3:$F$504,$A157,IF(D157=År1,'Resultater - Vestdanmark'!H$3:H$504,IF(D157=År2,'Resultater - Vestdanmark'!I$3:I$504,'Resultater - Vestdanmark'!J$3:J$504)),"&gt;0"),SUMIFS(IF(D157=År1,'Resultater - Østdanmark'!H$3:H$504,IF(D157=År2,'Resultater - Østdanmark'!I$3:I$504,'Resultater - Østdanmark'!J$3:J$504)),'Resultater - Østdanmark'!$F$3:$F$504,$A157,IF(D157=År1,'Resultater - Østdanmark'!H$3:H$504,IF(D157=År2,'Resultater - Østdanmark'!I$3:I$504,'Resultater - Østdanmark'!J$3:J$504)),"&gt;0"))</f>
        <v>620445.82725004398</v>
      </c>
      <c r="G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forbrug'!G$2,'Forbrug af biomasse'!$B$2:$B$425,$E157)</f>
        <v>0</v>
      </c>
      <c r="H157" s="187">
        <f>IF(E157="Vestdanmark",-IF(A157="Halm",SUMIFS(IF(D157=År1,'Resultater - Vestdanmark'!H$3:H$504,IF(D157=År2,'Resultater - Vestdanmark'!I$3:I$504,'Resultater - Vestdanmark'!J$3:J$504)),'Resultater - Vestdanmark'!$F$3:$F$504,$A157,'Resultater - Vestdanmark'!H$3:H$504,"&lt;0"),0),-IF(A157="Halm",SUMIFS(IF(D157=År1,'Resultater - Østdanmark'!H$3:H$504,IF(D157=År2,'Resultater - Østdanmark'!I$3:I$504,'Resultater - Østdanmark'!J$3:J$504)),'Resultater - Østdanmark'!$F$3:$F$504,$A157,'Resultater - Østdanmark'!H$3:H$504,"&lt;0"),0))</f>
        <v>0</v>
      </c>
      <c r="I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forbrug'!I$2,'Forbrug af biomasse'!$B$2:$B$425,$E157)</f>
        <v>0</v>
      </c>
      <c r="J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forbrug'!J$2,'Forbrug af biomasse'!$B$2:$B$425,$E157)</f>
        <v>0</v>
      </c>
      <c r="K157" s="190">
        <f>SUMIFS('Forbrug af biomasse'!$E$2:$E$425,'Forbrug af biomasse'!$C$2:$C$425,'Resultat-Produktion &amp; forbrug'!$A157,'Forbrug af biomasse'!$D$2:$D$425,'Resultat-Produktion &amp; forbrug'!$D157,'Forbrug af biomasse'!$A$2:$A$425,'Resultat-Produktion &amp; forbrug'!K$2,'Forbrug af biomasse'!$B$2:$B$425,$E157)</f>
        <v>0</v>
      </c>
      <c r="L157" s="190">
        <f>IF(A157&lt;&gt;"Biogas",SUMIFS('Forbrug af biomasse'!$E$2:$E$425,'Forbrug af biomasse'!$C$2:$C$425,'Resultat-Produktion &amp; forbrug'!$A157,'Forbrug af biomasse'!$D$2:$D$425,'Resultat-Produktion &amp; forbrug'!$D157,'Forbrug af biomasse'!$A$2:$A$425,'Resultat-Produktion &amp; forbrug'!L$2,'Forbrug af biomasse'!$B$2:$B$425,$E157),F157)</f>
        <v>0</v>
      </c>
      <c r="M157" s="154">
        <f>SUMIFS('Forbrug af biomasse'!E:E,'Forbrug af biomasse'!C:C,'Resultat-Produktion &amp; forbrug'!$A157,'Forbrug af biomasse'!D:D,'Resultat-Produktion &amp; forbrug'!$D157,'Forbrug af biomasse'!G:G,1,'Forbrug af biomasse'!B:B,$E157)</f>
        <v>0</v>
      </c>
      <c r="N157" s="199">
        <f t="shared" si="48"/>
        <v>620445.82725004398</v>
      </c>
      <c r="O157" s="190">
        <f t="shared" si="39"/>
        <v>0</v>
      </c>
      <c r="P157" s="200">
        <f t="shared" si="49"/>
        <v>0</v>
      </c>
      <c r="Q157" s="187">
        <f>IFERROR(VLOOKUP(A157,[1]Energiindhold!$A$2:$C$11,3,FALSE),IFERROR(VLOOKUP(A157,[1]Biogasudbytte!$A$2:$B$18,2,FALSE)*[1]Energiindhold!$C$10,0))*O157</f>
        <v>0</v>
      </c>
      <c r="R157" s="187">
        <f>IF(A157&lt;&gt;"Biogas",IFERROR(VLOOKUP(A157,[1]Biogasudbytte!$A$2:$B$18,2,FALSE)*[1]Energiindhold!$C$10,0)*J157*IFERROR(VLOOKUP(A157,Biogasanlæg!$F$3:$G$8,2,FALSE),1)+IFERROR(VLOOKUP(A157,[1]Energiindhold!$A$2:$C$11,3,FALSE),0)*L157+IF(D157&lt;&gt;År1,Q157,0),0)</f>
        <v>0</v>
      </c>
      <c r="S157" s="187">
        <f>IFERROR(VLOOKUP(A157,[1]Biogasudbytte!$A$2:$B$18,2,FALSE)*[1]Energiindhold!$C$10,0)*J157*IFERROR(VLOOKUP(A157,Biogasanlæg!$F$3:$G$8,2,FALSE),1)</f>
        <v>0</v>
      </c>
      <c r="T157" s="188">
        <f t="shared" si="50"/>
        <v>0</v>
      </c>
      <c r="U157" s="186">
        <f>O157*IFERROR(VLOOKUP(A157,[1]Tørstofindhold!A$2:B$24,2,FALSE),0)</f>
        <v>0</v>
      </c>
      <c r="V157" s="187">
        <f>IF(D157=År1,P157,SUM(O157,P157))*IFERROR(VLOOKUP(A157,[1]Tørstofindhold!A$2:B$24,2,FALSE),0)</f>
        <v>0</v>
      </c>
      <c r="W157" s="187">
        <f>J157*IFERROR(VLOOKUP(A157,[1]Tørstofindhold!A$2:B$24,2,FALSE),0)</f>
        <v>0</v>
      </c>
      <c r="X157" s="188">
        <f t="shared" si="51"/>
        <v>0</v>
      </c>
      <c r="Y157" s="168">
        <f t="shared" si="43"/>
        <v>0</v>
      </c>
      <c r="Z157" s="103">
        <f t="shared" si="44"/>
        <v>1</v>
      </c>
    </row>
    <row r="158" spans="1:26" x14ac:dyDescent="0.25">
      <c r="A158" s="187" t="s">
        <v>54</v>
      </c>
      <c r="B158" s="189"/>
      <c r="C158" s="189">
        <f>IF(COUNTIFS('Resultater - Danmark'!$D$3:$D$504,'Resultat-Produktion &amp; forbrug'!A158,'Resultater - Danmark'!$A$3:$A$504,"Til energi")+COUNTIFS('Resultater - Danmark'!$D$3:$D$504,'Resultat-Produktion &amp; forbrug'!A158,'Resultater - Danmark'!$A$3:$A$504,"Biogasanlæg")&gt;0,1,0)</f>
        <v>0</v>
      </c>
      <c r="D158" s="189">
        <f t="shared" si="47"/>
        <v>2019</v>
      </c>
      <c r="E158" s="187" t="s">
        <v>24</v>
      </c>
      <c r="F158" s="190">
        <f>IF(E158="Vestdanmark",SUMIFS(IF(D158=År1,'Resultater - Vestdanmark'!H$3:H$504,IF(D158=År2,'Resultater - Vestdanmark'!I$3:I$504,'Resultater - Vestdanmark'!J$3:J$504)),'Resultater - Vestdanmark'!$F$3:$F$504,$A158,IF(D158=År1,'Resultater - Vestdanmark'!H$3:H$504,IF(D158=År2,'Resultater - Vestdanmark'!I$3:I$504,'Resultater - Vestdanmark'!J$3:J$504)),"&gt;0"),SUMIFS(IF(D158=År1,'Resultater - Østdanmark'!H$3:H$504,IF(D158=År2,'Resultater - Østdanmark'!I$3:I$504,'Resultater - Østdanmark'!J$3:J$504)),'Resultater - Østdanmark'!$F$3:$F$504,$A158,IF(D158=År1,'Resultater - Østdanmark'!H$3:H$504,IF(D158=År2,'Resultater - Østdanmark'!I$3:I$504,'Resultater - Østdanmark'!J$3:J$504)),"&gt;0"))</f>
        <v>15780.226177538038</v>
      </c>
      <c r="G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forbrug'!G$2,'Forbrug af biomasse'!$B$2:$B$425,$E158)</f>
        <v>0</v>
      </c>
      <c r="H158" s="187">
        <f>IF(E158="Vestdanmark",-IF(A158="Halm",SUMIFS(IF(D158=År1,'Resultater - Vestdanmark'!H$3:H$504,IF(D158=År2,'Resultater - Vestdanmark'!I$3:I$504,'Resultater - Vestdanmark'!J$3:J$504)),'Resultater - Vestdanmark'!$F$3:$F$504,$A158,'Resultater - Vestdanmark'!H$3:H$504,"&lt;0"),0),-IF(A158="Halm",SUMIFS(IF(D158=År1,'Resultater - Østdanmark'!H$3:H$504,IF(D158=År2,'Resultater - Østdanmark'!I$3:I$504,'Resultater - Østdanmark'!J$3:J$504)),'Resultater - Østdanmark'!$F$3:$F$504,$A158,'Resultater - Østdanmark'!H$3:H$504,"&lt;0"),0))</f>
        <v>0</v>
      </c>
      <c r="I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forbrug'!I$2,'Forbrug af biomasse'!$B$2:$B$425,$E158)</f>
        <v>212804.29294970242</v>
      </c>
      <c r="J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forbrug'!J$2,'Forbrug af biomasse'!$B$2:$B$425,$E158)</f>
        <v>0</v>
      </c>
      <c r="K158" s="190">
        <f>SUMIFS('Forbrug af biomasse'!$E$2:$E$425,'Forbrug af biomasse'!$C$2:$C$425,'Resultat-Produktion &amp; forbrug'!$A158,'Forbrug af biomasse'!$D$2:$D$425,'Resultat-Produktion &amp; forbrug'!$D158,'Forbrug af biomasse'!$A$2:$A$425,'Resultat-Produktion &amp; forbrug'!K$2,'Forbrug af biomasse'!$B$2:$B$425,$E158)</f>
        <v>0</v>
      </c>
      <c r="L158" s="190">
        <f>IF(A158&lt;&gt;"Biogas",SUMIFS('Forbrug af biomasse'!$E$2:$E$425,'Forbrug af biomasse'!$C$2:$C$425,'Resultat-Produktion &amp; forbrug'!$A158,'Forbrug af biomasse'!$D$2:$D$425,'Resultat-Produktion &amp; forbrug'!$D158,'Forbrug af biomasse'!$A$2:$A$425,'Resultat-Produktion &amp; forbrug'!L$2,'Forbrug af biomasse'!$B$2:$B$425,$E158),F158)</f>
        <v>0</v>
      </c>
      <c r="M158" s="154">
        <f>SUMIFS('Forbrug af biomasse'!E:E,'Forbrug af biomasse'!C:C,'Resultat-Produktion &amp; forbrug'!$A158,'Forbrug af biomasse'!D:D,'Resultat-Produktion &amp; forbrug'!$D158,'Forbrug af biomasse'!G:G,1,'Forbrug af biomasse'!B:B,$E158)</f>
        <v>0</v>
      </c>
      <c r="N158" s="199">
        <f t="shared" si="48"/>
        <v>-197024.06677216437</v>
      </c>
      <c r="O158" s="190">
        <f t="shared" si="39"/>
        <v>0</v>
      </c>
      <c r="P158" s="200">
        <f t="shared" si="49"/>
        <v>0</v>
      </c>
      <c r="Q158" s="187">
        <f>IFERROR(VLOOKUP(A158,[1]Energiindhold!$A$2:$C$11,3,FALSE),IFERROR(VLOOKUP(A158,[1]Biogasudbytte!$A$2:$B$18,2,FALSE)*[1]Energiindhold!$C$10,0))*O158</f>
        <v>0</v>
      </c>
      <c r="R158" s="187">
        <f>IF(A158&lt;&gt;"Biogas",IFERROR(VLOOKUP(A158,[1]Biogasudbytte!$A$2:$B$18,2,FALSE)*[1]Energiindhold!$C$10,0)*J158*IFERROR(VLOOKUP(A158,Biogasanlæg!$F$3:$G$8,2,FALSE),1)+IFERROR(VLOOKUP(A158,[1]Energiindhold!$A$2:$C$11,3,FALSE),0)*L158+IF(D158&lt;&gt;År1,Q158,0),0)</f>
        <v>0</v>
      </c>
      <c r="S158" s="187">
        <f>IFERROR(VLOOKUP(A158,[1]Biogasudbytte!$A$2:$B$18,2,FALSE)*[1]Energiindhold!$C$10,0)*J158*IFERROR(VLOOKUP(A158,Biogasanlæg!$F$3:$G$8,2,FALSE),1)</f>
        <v>0</v>
      </c>
      <c r="T158" s="188">
        <f t="shared" si="50"/>
        <v>0</v>
      </c>
      <c r="U158" s="186">
        <f>O158*IFERROR(VLOOKUP(A158,[1]Tørstofindhold!A$2:B$24,2,FALSE),0)</f>
        <v>0</v>
      </c>
      <c r="V158" s="187">
        <f>IF(D158=År1,P158,SUM(O158,P158))*IFERROR(VLOOKUP(A158,[1]Tørstofindhold!A$2:B$24,2,FALSE),0)</f>
        <v>0</v>
      </c>
      <c r="W158" s="187">
        <f>J158*IFERROR(VLOOKUP(A158,[1]Tørstofindhold!A$2:B$24,2,FALSE),0)</f>
        <v>0</v>
      </c>
      <c r="X158" s="188">
        <f t="shared" si="51"/>
        <v>0</v>
      </c>
      <c r="Y158" s="168">
        <f t="shared" si="43"/>
        <v>1</v>
      </c>
      <c r="Z158" s="103">
        <f t="shared" si="44"/>
        <v>0</v>
      </c>
    </row>
    <row r="159" spans="1:26" x14ac:dyDescent="0.25">
      <c r="A159" s="189" t="s">
        <v>158</v>
      </c>
      <c r="B159" s="189" t="s">
        <v>158</v>
      </c>
      <c r="C159" s="189">
        <f>IF(COUNTIFS('Resultater - Danmark'!$D$3:$D$504,'Resultat-Produktion &amp; forbrug'!A159,'Resultater - Danmark'!$A$3:$A$504,"Til energi")+COUNTIFS('Resultater - Danmark'!$D$3:$D$504,'Resultat-Produktion &amp; forbrug'!A159,'Resultater - Danmark'!$A$3:$A$504,"Biogasanlæg")&gt;0,1,0)</f>
        <v>1</v>
      </c>
      <c r="D159" s="189">
        <f t="shared" si="47"/>
        <v>2019</v>
      </c>
      <c r="E159" s="187" t="s">
        <v>24</v>
      </c>
      <c r="F159" s="190">
        <f>IF(E159="Vestdanmark",SUMIFS(IF(D159=År1,'Resultater - Vestdanmark'!H$3:H$504,IF(D159=År2,'Resultater - Vestdanmark'!I$3:I$504,'Resultater - Vestdanmark'!J$3:J$504)),'Resultater - Vestdanmark'!$F$3:$F$504,$A159,IF(D159=År1,'Resultater - Vestdanmark'!H$3:H$504,IF(D159=År2,'Resultater - Vestdanmark'!I$3:I$504,'Resultater - Vestdanmark'!J$3:J$504)),"&gt;0"),SUMIFS(IF(D159=År1,'Resultater - Østdanmark'!H$3:H$504,IF(D159=År2,'Resultater - Østdanmark'!I$3:I$504,'Resultater - Østdanmark'!J$3:J$504)),'Resultater - Østdanmark'!$F$3:$F$504,$A159,IF(D159=År1,'Resultater - Østdanmark'!H$3:H$504,IF(D159=År2,'Resultater - Østdanmark'!I$3:I$504,'Resultater - Østdanmark'!J$3:J$504)),"&gt;0"))</f>
        <v>0</v>
      </c>
      <c r="G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forbrug'!G$2,'Forbrug af biomasse'!$B$2:$B$425,$E159)</f>
        <v>0</v>
      </c>
      <c r="H159" s="187">
        <f>IF(E159="Vestdanmark",-IF(A159="Halm",SUMIFS(IF(D159=År1,'Resultater - Vestdanmark'!H$3:H$504,IF(D159=År2,'Resultater - Vestdanmark'!I$3:I$504,'Resultater - Vestdanmark'!J$3:J$504)),'Resultater - Vestdanmark'!$F$3:$F$504,$A159,'Resultater - Vestdanmark'!H$3:H$504,"&lt;0"),0),-IF(A159="Halm",SUMIFS(IF(D159=År1,'Resultater - Østdanmark'!H$3:H$504,IF(D159=År2,'Resultater - Østdanmark'!I$3:I$504,'Resultater - Østdanmark'!J$3:J$504)),'Resultater - Østdanmark'!$F$3:$F$504,$A159,'Resultater - Østdanmark'!H$3:H$504,"&lt;0"),0))</f>
        <v>0</v>
      </c>
      <c r="I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forbrug'!I$2,'Forbrug af biomasse'!$B$2:$B$425,$E159)</f>
        <v>0</v>
      </c>
      <c r="J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forbrug'!J$2,'Forbrug af biomasse'!$B$2:$B$425,$E159)</f>
        <v>28548.400000000001</v>
      </c>
      <c r="K159" s="190">
        <f>SUMIFS('Forbrug af biomasse'!$E$2:$E$425,'Forbrug af biomasse'!$C$2:$C$425,'Resultat-Produktion &amp; forbrug'!$A159,'Forbrug af biomasse'!$D$2:$D$425,'Resultat-Produktion &amp; forbrug'!$D159,'Forbrug af biomasse'!$A$2:$A$425,'Resultat-Produktion &amp; forbrug'!K$2,'Forbrug af biomasse'!$B$2:$B$425,$E159)</f>
        <v>0</v>
      </c>
      <c r="L159" s="190">
        <f>IF(A159&lt;&gt;"Biogas",SUMIFS('Forbrug af biomasse'!$E$2:$E$425,'Forbrug af biomasse'!$C$2:$C$425,'Resultat-Produktion &amp; forbrug'!$A159,'Forbrug af biomasse'!$D$2:$D$425,'Resultat-Produktion &amp; forbrug'!$D159,'Forbrug af biomasse'!$A$2:$A$425,'Resultat-Produktion &amp; forbrug'!L$2,'Forbrug af biomasse'!$B$2:$B$425,$E159),F159)</f>
        <v>0</v>
      </c>
      <c r="M159" s="154">
        <f>SUMIFS('Forbrug af biomasse'!E:E,'Forbrug af biomasse'!C:C,'Resultat-Produktion &amp; forbrug'!$A159,'Forbrug af biomasse'!D:D,'Resultat-Produktion &amp; forbrug'!$D159,'Forbrug af biomasse'!G:G,1,'Forbrug af biomasse'!B:B,$E159)</f>
        <v>0</v>
      </c>
      <c r="N159" s="199">
        <f t="shared" si="48"/>
        <v>-28548.400000000001</v>
      </c>
      <c r="O159" s="190">
        <f t="shared" si="39"/>
        <v>0</v>
      </c>
      <c r="P159" s="200">
        <f t="shared" si="49"/>
        <v>28548.400000000001</v>
      </c>
      <c r="Q159" s="187">
        <f>IFERROR(VLOOKUP(A159,[1]Energiindhold!$A$2:$C$11,3,FALSE),IFERROR(VLOOKUP(A159,[1]Biogasudbytte!$A$2:$B$18,2,FALSE)*[1]Energiindhold!$C$10,0))*O159</f>
        <v>0</v>
      </c>
      <c r="R159" s="187">
        <f>IF(A159&lt;&gt;"Biogas",IFERROR(VLOOKUP(A159,[1]Biogasudbytte!$A$2:$B$18,2,FALSE)*[1]Energiindhold!$C$10,0)*J159*IFERROR(VLOOKUP(A159,Biogasanlæg!$F$3:$G$8,2,FALSE),1)+IFERROR(VLOOKUP(A159,[1]Energiindhold!$A$2:$C$11,3,FALSE),0)*L159+IF(D159&lt;&gt;År1,Q159,0),0)</f>
        <v>0.43389639740160008</v>
      </c>
      <c r="S159" s="187">
        <f>IFERROR(VLOOKUP(A159,[1]Biogasudbytte!$A$2:$B$18,2,FALSE)*[1]Energiindhold!$C$10,0)*J159*IFERROR(VLOOKUP(A159,Biogasanlæg!$F$3:$G$8,2,FALSE),1)</f>
        <v>0.43389639740160008</v>
      </c>
      <c r="T159" s="188">
        <f t="shared" si="50"/>
        <v>0</v>
      </c>
      <c r="U159" s="186">
        <f>O159*IFERROR(VLOOKUP(A159,[1]Tørstofindhold!A$2:B$24,2,FALSE),0)</f>
        <v>0</v>
      </c>
      <c r="V159" s="187">
        <f>IF(D159=År1,P159,SUM(O159,P159))*IFERROR(VLOOKUP(A159,[1]Tørstofindhold!A$2:B$24,2,FALSE),0)</f>
        <v>25693.56</v>
      </c>
      <c r="W159" s="187">
        <f>J159*IFERROR(VLOOKUP(A159,[1]Tørstofindhold!A$2:B$24,2,FALSE),0)</f>
        <v>25693.56</v>
      </c>
      <c r="X159" s="188">
        <f t="shared" si="51"/>
        <v>0</v>
      </c>
      <c r="Y159" s="168">
        <f t="shared" si="43"/>
        <v>1</v>
      </c>
      <c r="Z159" s="103">
        <f t="shared" si="44"/>
        <v>0</v>
      </c>
    </row>
    <row r="160" spans="1:26" x14ac:dyDescent="0.25">
      <c r="A160" s="189" t="s">
        <v>51</v>
      </c>
      <c r="B160" s="189" t="s">
        <v>224</v>
      </c>
      <c r="C160" s="189">
        <f>IF(COUNTIFS('Resultater - Danmark'!$D$3:$D$504,'Resultat-Produktion &amp; forbrug'!A160,'Resultater - Danmark'!$A$3:$A$504,"Til energi")+COUNTIFS('Resultater - Danmark'!$D$3:$D$504,'Resultat-Produktion &amp; forbrug'!A160,'Resultater - Danmark'!$A$3:$A$504,"Biogasanlæg")&gt;0,1,0)</f>
        <v>1</v>
      </c>
      <c r="D160" s="189">
        <f t="shared" si="47"/>
        <v>2019</v>
      </c>
      <c r="E160" s="187" t="s">
        <v>24</v>
      </c>
      <c r="F160" s="190">
        <f>IF(E160="Vestdanmark",SUMIFS(IF(D160=År1,'Resultater - Vestdanmark'!H$3:H$504,IF(D160=År2,'Resultater - Vestdanmark'!I$3:I$504,'Resultater - Vestdanmark'!J$3:J$504)),'Resultater - Vestdanmark'!$F$3:$F$504,$A160,IF(D160=År1,'Resultater - Vestdanmark'!H$3:H$504,IF(D160=År2,'Resultater - Vestdanmark'!I$3:I$504,'Resultater - Vestdanmark'!J$3:J$504)),"&gt;0"),SUMIFS(IF(D160=År1,'Resultater - Østdanmark'!H$3:H$504,IF(D160=År2,'Resultater - Østdanmark'!I$3:I$504,'Resultater - Østdanmark'!J$3:J$504)),'Resultater - Østdanmark'!$F$3:$F$504,$A160,IF(D160=År1,'Resultater - Østdanmark'!H$3:H$504,IF(D160=År2,'Resultater - Østdanmark'!I$3:I$504,'Resultater - Østdanmark'!J$3:J$504)),"&gt;0"))</f>
        <v>2148848.2010935447</v>
      </c>
      <c r="G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forbrug'!G$2,'Forbrug af biomasse'!$B$2:$B$425,$E160)</f>
        <v>1502068.0760117143</v>
      </c>
      <c r="H160" s="187">
        <f>IF(E160="Vestdanmark",-IF(A160="Halm",SUMIFS(IF(D160=År1,'Resultater - Vestdanmark'!H$3:H$504,IF(D160=År2,'Resultater - Vestdanmark'!I$3:I$504,'Resultater - Vestdanmark'!J$3:J$504)),'Resultater - Vestdanmark'!$F$3:$F$504,$A160,'Resultater - Vestdanmark'!H$3:H$504,"&lt;0"),0),-IF(A160="Halm",SUMIFS(IF(D160=År1,'Resultater - Østdanmark'!H$3:H$504,IF(D160=År2,'Resultater - Østdanmark'!I$3:I$504,'Resultater - Østdanmark'!J$3:J$504)),'Resultater - Østdanmark'!$F$3:$F$504,$A160,'Resultater - Østdanmark'!H$3:H$504,"&lt;0"),0))</f>
        <v>0</v>
      </c>
      <c r="I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forbrug'!I$2,'Forbrug af biomasse'!$B$2:$B$425,$E160)</f>
        <v>0</v>
      </c>
      <c r="J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forbrug'!J$2,'Forbrug af biomasse'!$B$2:$B$425,$E160)</f>
        <v>10277.831749012612</v>
      </c>
      <c r="K160" s="190">
        <f>SUMIFS('Forbrug af biomasse'!$E$2:$E$425,'Forbrug af biomasse'!$C$2:$C$425,'Resultat-Produktion &amp; forbrug'!$A160,'Forbrug af biomasse'!$D$2:$D$425,'Resultat-Produktion &amp; forbrug'!$D160,'Forbrug af biomasse'!$A$2:$A$425,'Resultat-Produktion &amp; forbrug'!K$2,'Forbrug af biomasse'!$B$2:$B$425,$E160)</f>
        <v>0</v>
      </c>
      <c r="L160" s="190">
        <f>IF(A160&lt;&gt;"Biogas",SUMIFS('Forbrug af biomasse'!$E$2:$E$425,'Forbrug af biomasse'!$C$2:$C$425,'Resultat-Produktion &amp; forbrug'!$A160,'Forbrug af biomasse'!$D$2:$D$425,'Resultat-Produktion &amp; forbrug'!$D160,'Forbrug af biomasse'!$A$2:$A$425,'Resultat-Produktion &amp; forbrug'!L$2,'Forbrug af biomasse'!$B$2:$B$425,$E160),F160)</f>
        <v>0</v>
      </c>
      <c r="M160" s="154">
        <f>SUMIFS('Forbrug af biomasse'!E:E,'Forbrug af biomasse'!C:C,'Resultat-Produktion &amp; forbrug'!$A160,'Forbrug af biomasse'!D:D,'Resultat-Produktion &amp; forbrug'!$D160,'Forbrug af biomasse'!G:G,1,'Forbrug af biomasse'!B:B,$E160)</f>
        <v>0</v>
      </c>
      <c r="N160" s="199">
        <f t="shared" si="48"/>
        <v>636502.29333281773</v>
      </c>
      <c r="O160" s="190">
        <f t="shared" si="39"/>
        <v>636502.29333281773</v>
      </c>
      <c r="P160" s="200">
        <f t="shared" si="49"/>
        <v>10277.831749012612</v>
      </c>
      <c r="Q160" s="187">
        <f>IFERROR(VLOOKUP(A160,[1]Energiindhold!$A$2:$C$11,3,FALSE),IFERROR(VLOOKUP(A160,[1]Biogasudbytte!$A$2:$B$18,2,FALSE)*[1]Energiindhold!$C$10,0))*O160</f>
        <v>1.1710846569457181</v>
      </c>
      <c r="R160" s="187">
        <f>IF(A160&lt;&gt;"Biogas",IFERROR(VLOOKUP(A160,[1]Biogasudbytte!$A$2:$B$18,2,FALSE)*[1]Energiindhold!$C$10,0)*J160*IFERROR(VLOOKUP(A160,Biogasanlæg!$F$3:$G$8,2,FALSE),1)+IFERROR(VLOOKUP(A160,[1]Energiindhold!$A$2:$C$11,3,FALSE),0)*L160+IF(D160&lt;&gt;År1,Q160,0),0)</f>
        <v>1.8909925689214579E-2</v>
      </c>
      <c r="S160" s="187">
        <f>IFERROR(VLOOKUP(A160,[1]Biogasudbytte!$A$2:$B$18,2,FALSE)*[1]Energiindhold!$C$10,0)*J160*IFERROR(VLOOKUP(A160,Biogasanlæg!$F$3:$G$8,2,FALSE),1)</f>
        <v>1.8909925689214579E-2</v>
      </c>
      <c r="T160" s="188">
        <f t="shared" si="50"/>
        <v>0</v>
      </c>
      <c r="U160" s="186">
        <f>O160*IFERROR(VLOOKUP(A160,[1]Tørstofindhold!A$2:B$24,2,FALSE),0)</f>
        <v>178220.64213318899</v>
      </c>
      <c r="V160" s="187">
        <f>IF(D160=År1,P160,SUM(O160,P160))*IFERROR(VLOOKUP(A160,[1]Tørstofindhold!A$2:B$24,2,FALSE),0)</f>
        <v>2877.7928897235315</v>
      </c>
      <c r="W160" s="187">
        <f>J160*IFERROR(VLOOKUP(A160,[1]Tørstofindhold!A$2:B$24,2,FALSE),0)</f>
        <v>2877.7928897235315</v>
      </c>
      <c r="X160" s="188">
        <f t="shared" si="51"/>
        <v>0</v>
      </c>
      <c r="Y160" s="168">
        <f t="shared" si="43"/>
        <v>0</v>
      </c>
      <c r="Z160" s="103">
        <f t="shared" si="44"/>
        <v>1</v>
      </c>
    </row>
    <row r="161" spans="1:26" x14ac:dyDescent="0.25">
      <c r="A161" s="189" t="s">
        <v>203</v>
      </c>
      <c r="B161" s="189"/>
      <c r="C161" s="189">
        <f>IF(COUNTIFS('Resultater - Danmark'!$D$3:$D$504,'Resultat-Produktion &amp; forbrug'!A161,'Resultater - Danmark'!$A$3:$A$504,"Til energi")+COUNTIFS('Resultater - Danmark'!$D$3:$D$504,'Resultat-Produktion &amp; forbrug'!A161,'Resultater - Danmark'!$A$3:$A$504,"Biogasanlæg")&gt;0,1,0)</f>
        <v>0</v>
      </c>
      <c r="D161" s="189">
        <f t="shared" si="47"/>
        <v>2019</v>
      </c>
      <c r="E161" s="187" t="s">
        <v>24</v>
      </c>
      <c r="F161" s="190">
        <f>IF(E161="Vestdanmark",SUMIFS(IF(D161=År1,'Resultater - Vestdanmark'!H$3:H$504,IF(D161=År2,'Resultater - Vestdanmark'!I$3:I$504,'Resultater - Vestdanmark'!J$3:J$504)),'Resultater - Vestdanmark'!$F$3:$F$504,$A161,IF(D161=År1,'Resultater - Vestdanmark'!H$3:H$504,IF(D161=År2,'Resultater - Vestdanmark'!I$3:I$504,'Resultater - Vestdanmark'!J$3:J$504)),"&gt;0"),SUMIFS(IF(D161=År1,'Resultater - Østdanmark'!H$3:H$504,IF(D161=År2,'Resultater - Østdanmark'!I$3:I$504,'Resultater - Østdanmark'!J$3:J$504)),'Resultater - Østdanmark'!$F$3:$F$504,$A161,IF(D161=År1,'Resultater - Østdanmark'!H$3:H$504,IF(D161=År2,'Resultater - Østdanmark'!I$3:I$504,'Resultater - Østdanmark'!J$3:J$504)),"&gt;0"))</f>
        <v>0</v>
      </c>
      <c r="G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forbrug'!G$2,'Forbrug af biomasse'!$B$2:$B$425,$E161)</f>
        <v>0</v>
      </c>
      <c r="H161" s="187">
        <f>IF(E161="Vestdanmark",-IF(A161="Halm",SUMIFS(IF(D161=År1,'Resultater - Vestdanmark'!H$3:H$504,IF(D161=År2,'Resultater - Vestdanmark'!I$3:I$504,'Resultater - Vestdanmark'!J$3:J$504)),'Resultater - Vestdanmark'!$F$3:$F$504,$A161,'Resultater - Vestdanmark'!H$3:H$504,"&lt;0"),0),-IF(A161="Halm",SUMIFS(IF(D161=År1,'Resultater - Østdanmark'!H$3:H$504,IF(D161=År2,'Resultater - Østdanmark'!I$3:I$504,'Resultater - Østdanmark'!J$3:J$504)),'Resultater - Østdanmark'!$F$3:$F$504,$A161,'Resultater - Østdanmark'!H$3:H$504,"&lt;0"),0))</f>
        <v>0</v>
      </c>
      <c r="I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forbrug'!I$2,'Forbrug af biomasse'!$B$2:$B$425,$E161)</f>
        <v>0</v>
      </c>
      <c r="J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forbrug'!J$2,'Forbrug af biomasse'!$B$2:$B$425,$E161)</f>
        <v>0</v>
      </c>
      <c r="K161" s="190">
        <f>SUMIFS('Forbrug af biomasse'!$E$2:$E$425,'Forbrug af biomasse'!$C$2:$C$425,'Resultat-Produktion &amp; forbrug'!$A161,'Forbrug af biomasse'!$D$2:$D$425,'Resultat-Produktion &amp; forbrug'!$D161,'Forbrug af biomasse'!$A$2:$A$425,'Resultat-Produktion &amp; forbrug'!K$2,'Forbrug af biomasse'!$B$2:$B$425,$E161)</f>
        <v>0</v>
      </c>
      <c r="L161" s="190">
        <f>IF(A161&lt;&gt;"Biogas",SUMIFS('Forbrug af biomasse'!$E$2:$E$425,'Forbrug af biomasse'!$C$2:$C$425,'Resultat-Produktion &amp; forbrug'!$A161,'Forbrug af biomasse'!$D$2:$D$425,'Resultat-Produktion &amp; forbrug'!$D161,'Forbrug af biomasse'!$A$2:$A$425,'Resultat-Produktion &amp; forbrug'!L$2,'Forbrug af biomasse'!$B$2:$B$425,$E161),F161)</f>
        <v>0</v>
      </c>
      <c r="M161" s="154">
        <f>SUMIFS('Forbrug af biomasse'!E:E,'Forbrug af biomasse'!C:C,'Resultat-Produktion &amp; forbrug'!$A161,'Forbrug af biomasse'!D:D,'Resultat-Produktion &amp; forbrug'!$D161,'Forbrug af biomasse'!G:G,1,'Forbrug af biomasse'!B:B,$E161)</f>
        <v>0</v>
      </c>
      <c r="N161" s="199">
        <f t="shared" si="48"/>
        <v>0</v>
      </c>
      <c r="O161" s="190">
        <f t="shared" si="39"/>
        <v>0</v>
      </c>
      <c r="P161" s="200">
        <f t="shared" si="49"/>
        <v>0</v>
      </c>
      <c r="Q161" s="187">
        <f>IFERROR(VLOOKUP(A161,[1]Energiindhold!$A$2:$C$11,3,FALSE),IFERROR(VLOOKUP(A161,[1]Biogasudbytte!$A$2:$B$18,2,FALSE)*[1]Energiindhold!$C$10,0))*O161</f>
        <v>0</v>
      </c>
      <c r="R161" s="187">
        <f>IF(A161&lt;&gt;"Biogas",IFERROR(VLOOKUP(A161,[1]Biogasudbytte!$A$2:$B$18,2,FALSE)*[1]Energiindhold!$C$10,0)*J161*IFERROR(VLOOKUP(A161,Biogasanlæg!$F$3:$G$8,2,FALSE),1)+IFERROR(VLOOKUP(A161,[1]Energiindhold!$A$2:$C$11,3,FALSE),0)*L161+IF(D161&lt;&gt;År1,Q161,0),0)</f>
        <v>0</v>
      </c>
      <c r="S161" s="187">
        <f>IFERROR(VLOOKUP(A161,[1]Biogasudbytte!$A$2:$B$18,2,FALSE)*[1]Energiindhold!$C$10,0)*J161*IFERROR(VLOOKUP(A161,Biogasanlæg!$F$3:$G$8,2,FALSE),1)</f>
        <v>0</v>
      </c>
      <c r="T161" s="188">
        <f t="shared" si="50"/>
        <v>0</v>
      </c>
      <c r="U161" s="186">
        <f>O161*IFERROR(VLOOKUP(A161,[1]Tørstofindhold!A$2:B$24,2,FALSE),0)</f>
        <v>0</v>
      </c>
      <c r="V161" s="187">
        <f>IF(D161=År1,P161,SUM(O161,P161))*IFERROR(VLOOKUP(A161,[1]Tørstofindhold!A$2:B$24,2,FALSE),0)</f>
        <v>0</v>
      </c>
      <c r="W161" s="187">
        <f>J161*IFERROR(VLOOKUP(A161,[1]Tørstofindhold!A$2:B$24,2,FALSE),0)</f>
        <v>0</v>
      </c>
      <c r="X161" s="188">
        <f t="shared" si="51"/>
        <v>0</v>
      </c>
      <c r="Y161" s="168">
        <f t="shared" si="43"/>
        <v>0</v>
      </c>
      <c r="Z161" s="103">
        <f t="shared" si="44"/>
        <v>0</v>
      </c>
    </row>
    <row r="162" spans="1:26" x14ac:dyDescent="0.25">
      <c r="A162" s="189" t="s">
        <v>6</v>
      </c>
      <c r="B162" s="189"/>
      <c r="C162" s="189">
        <f>IF(COUNTIFS('Resultater - Danmark'!$D$3:$D$504,'Resultat-Produktion &amp; forbrug'!A162,'Resultater - Danmark'!$A$3:$A$504,"Til energi")+COUNTIFS('Resultater - Danmark'!$D$3:$D$504,'Resultat-Produktion &amp; forbrug'!A162,'Resultater - Danmark'!$A$3:$A$504,"Biogasanlæg")&gt;0,1,0)</f>
        <v>0</v>
      </c>
      <c r="D162" s="189">
        <f t="shared" si="47"/>
        <v>2019</v>
      </c>
      <c r="E162" s="187" t="s">
        <v>24</v>
      </c>
      <c r="F162" s="190">
        <f>IF(E162="Vestdanmark",SUMIFS(IF(D162=År1,'Resultater - Vestdanmark'!H$3:H$504,IF(D162=År2,'Resultater - Vestdanmark'!I$3:I$504,'Resultater - Vestdanmark'!J$3:J$504)),'Resultater - Vestdanmark'!$F$3:$F$504,$A162,IF(D162=År1,'Resultater - Vestdanmark'!H$3:H$504,IF(D162=År2,'Resultater - Vestdanmark'!I$3:I$504,'Resultater - Vestdanmark'!J$3:J$504)),"&gt;0"),SUMIFS(IF(D162=År1,'Resultater - Østdanmark'!H$3:H$504,IF(D162=År2,'Resultater - Østdanmark'!I$3:I$504,'Resultater - Østdanmark'!J$3:J$504)),'Resultater - Østdanmark'!$F$3:$F$504,$A162,IF(D162=År1,'Resultater - Østdanmark'!H$3:H$504,IF(D162=År2,'Resultater - Østdanmark'!I$3:I$504,'Resultater - Østdanmark'!J$3:J$504)),"&gt;0"))</f>
        <v>95299.46904386401</v>
      </c>
      <c r="G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forbrug'!G$2,'Forbrug af biomasse'!$B$2:$B$425,$E162)</f>
        <v>0</v>
      </c>
      <c r="H162" s="187">
        <f>IF(E162="Vestdanmark",-IF(A162="Halm",SUMIFS(IF(D162=År1,'Resultater - Vestdanmark'!H$3:H$504,IF(D162=År2,'Resultater - Vestdanmark'!I$3:I$504,'Resultater - Vestdanmark'!J$3:J$504)),'Resultater - Vestdanmark'!$F$3:$F$504,$A162,'Resultater - Vestdanmark'!H$3:H$504,"&lt;0"),0),-IF(A162="Halm",SUMIFS(IF(D162=År1,'Resultater - Østdanmark'!H$3:H$504,IF(D162=År2,'Resultater - Østdanmark'!I$3:I$504,'Resultater - Østdanmark'!J$3:J$504)),'Resultater - Østdanmark'!$F$3:$F$504,$A162,'Resultater - Østdanmark'!H$3:H$504,"&lt;0"),0))</f>
        <v>0</v>
      </c>
      <c r="I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forbrug'!I$2,'Forbrug af biomasse'!$B$2:$B$425,$E162)</f>
        <v>222884.49629995148</v>
      </c>
      <c r="J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forbrug'!J$2,'Forbrug af biomasse'!$B$2:$B$425,$E162)</f>
        <v>0</v>
      </c>
      <c r="K162" s="190">
        <f>SUMIFS('Forbrug af biomasse'!$E$2:$E$425,'Forbrug af biomasse'!$C$2:$C$425,'Resultat-Produktion &amp; forbrug'!$A162,'Forbrug af biomasse'!$D$2:$D$425,'Resultat-Produktion &amp; forbrug'!$D162,'Forbrug af biomasse'!$A$2:$A$425,'Resultat-Produktion &amp; forbrug'!K$2,'Forbrug af biomasse'!$B$2:$B$425,$E162)</f>
        <v>0</v>
      </c>
      <c r="L162" s="190">
        <f>IF(A162&lt;&gt;"Biogas",SUMIFS('Forbrug af biomasse'!$E$2:$E$425,'Forbrug af biomasse'!$C$2:$C$425,'Resultat-Produktion &amp; forbrug'!$A162,'Forbrug af biomasse'!$D$2:$D$425,'Resultat-Produktion &amp; forbrug'!$D162,'Forbrug af biomasse'!$A$2:$A$425,'Resultat-Produktion &amp; forbrug'!L$2,'Forbrug af biomasse'!$B$2:$B$425,$E162),F162)</f>
        <v>0</v>
      </c>
      <c r="M162" s="154">
        <f>SUMIFS('Forbrug af biomasse'!E:E,'Forbrug af biomasse'!C:C,'Resultat-Produktion &amp; forbrug'!$A162,'Forbrug af biomasse'!D:D,'Resultat-Produktion &amp; forbrug'!$D162,'Forbrug af biomasse'!G:G,1,'Forbrug af biomasse'!B:B,$E162)</f>
        <v>0</v>
      </c>
      <c r="N162" s="199">
        <f t="shared" si="48"/>
        <v>-127585.02725608747</v>
      </c>
      <c r="O162" s="190">
        <f t="shared" si="39"/>
        <v>0</v>
      </c>
      <c r="P162" s="200">
        <f t="shared" si="49"/>
        <v>0</v>
      </c>
      <c r="Q162" s="187">
        <f>IFERROR(VLOOKUP(A162,[1]Energiindhold!$A$2:$C$11,3,FALSE),IFERROR(VLOOKUP(A162,[1]Biogasudbytte!$A$2:$B$18,2,FALSE)*[1]Energiindhold!$C$10,0))*O162</f>
        <v>0</v>
      </c>
      <c r="R162" s="187">
        <f>IF(A162&lt;&gt;"Biogas",IFERROR(VLOOKUP(A162,[1]Biogasudbytte!$A$2:$B$18,2,FALSE)*[1]Energiindhold!$C$10,0)*J162*IFERROR(VLOOKUP(A162,Biogasanlæg!$F$3:$G$8,2,FALSE),1)+IFERROR(VLOOKUP(A162,[1]Energiindhold!$A$2:$C$11,3,FALSE),0)*L162+IF(D162&lt;&gt;År1,Q162,0),0)</f>
        <v>0</v>
      </c>
      <c r="S162" s="187">
        <f>IFERROR(VLOOKUP(A162,[1]Biogasudbytte!$A$2:$B$18,2,FALSE)*[1]Energiindhold!$C$10,0)*J162*IFERROR(VLOOKUP(A162,Biogasanlæg!$F$3:$G$8,2,FALSE),1)</f>
        <v>0</v>
      </c>
      <c r="T162" s="188">
        <f t="shared" si="50"/>
        <v>0</v>
      </c>
      <c r="U162" s="186">
        <f>O162*IFERROR(VLOOKUP(A162,[1]Tørstofindhold!A$2:B$24,2,FALSE),0)</f>
        <v>0</v>
      </c>
      <c r="V162" s="187">
        <f>IF(D162=År1,P162,SUM(O162,P162))*IFERROR(VLOOKUP(A162,[1]Tørstofindhold!A$2:B$24,2,FALSE),0)</f>
        <v>0</v>
      </c>
      <c r="W162" s="187">
        <f>J162*IFERROR(VLOOKUP(A162,[1]Tørstofindhold!A$2:B$24,2,FALSE),0)</f>
        <v>0</v>
      </c>
      <c r="X162" s="188">
        <f t="shared" si="51"/>
        <v>0</v>
      </c>
      <c r="Y162" s="168">
        <f t="shared" si="43"/>
        <v>1</v>
      </c>
      <c r="Z162" s="103">
        <f t="shared" si="44"/>
        <v>0</v>
      </c>
    </row>
    <row r="163" spans="1:26" x14ac:dyDescent="0.25">
      <c r="A163" s="189" t="s">
        <v>67</v>
      </c>
      <c r="B163" s="189" t="s">
        <v>227</v>
      </c>
      <c r="C163" s="189">
        <f>IF(COUNTIFS('Resultater - Danmark'!$D$3:$D$504,'Resultat-Produktion &amp; forbrug'!A163,'Resultater - Danmark'!$A$3:$A$504,"Til energi")+COUNTIFS('Resultater - Danmark'!$D$3:$D$504,'Resultat-Produktion &amp; forbrug'!A163,'Resultater - Danmark'!$A$3:$A$504,"Biogasanlæg")&gt;0,1,0)</f>
        <v>1</v>
      </c>
      <c r="D163" s="189">
        <f t="shared" si="47"/>
        <v>2019</v>
      </c>
      <c r="E163" s="187" t="s">
        <v>24</v>
      </c>
      <c r="F163" s="190">
        <f>IF(E163="Vestdanmark",SUMIFS(IF(D163=År1,'Resultater - Vestdanmark'!H$3:H$504,IF(D163=År2,'Resultater - Vestdanmark'!I$3:I$504,'Resultater - Vestdanmark'!J$3:J$504)),'Resultater - Vestdanmark'!$F$3:$F$504,$A163,IF(D163=År1,'Resultater - Vestdanmark'!H$3:H$504,IF(D163=År2,'Resultater - Vestdanmark'!I$3:I$504,'Resultater - Vestdanmark'!J$3:J$504)),"&gt;0"),SUMIFS(IF(D163=År1,'Resultater - Østdanmark'!H$3:H$504,IF(D163=År2,'Resultater - Østdanmark'!I$3:I$504,'Resultater - Østdanmark'!J$3:J$504)),'Resultater - Østdanmark'!$F$3:$F$504,$A163,IF(D163=År1,'Resultater - Østdanmark'!H$3:H$504,IF(D163=År2,'Resultater - Østdanmark'!I$3:I$504,'Resultater - Østdanmark'!J$3:J$504)),"&gt;0"))</f>
        <v>954412.72069157928</v>
      </c>
      <c r="G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forbrug'!G$2,'Forbrug af biomasse'!$B$2:$B$425,$E163)</f>
        <v>94889.448034412548</v>
      </c>
      <c r="H163" s="187">
        <f>IF(E163="Vestdanmark",-IF(A163="Halm",SUMIFS(IF(D163=År1,'Resultater - Vestdanmark'!H$3:H$504,IF(D163=År2,'Resultater - Vestdanmark'!I$3:I$504,'Resultater - Vestdanmark'!J$3:J$504)),'Resultater - Vestdanmark'!$F$3:$F$504,$A163,'Resultater - Vestdanmark'!H$3:H$504,"&lt;0"),0),-IF(A163="Halm",SUMIFS(IF(D163=År1,'Resultater - Østdanmark'!H$3:H$504,IF(D163=År2,'Resultater - Østdanmark'!I$3:I$504,'Resultater - Østdanmark'!J$3:J$504)),'Resultater - Østdanmark'!$F$3:$F$504,$A163,'Resultater - Østdanmark'!H$3:H$504,"&lt;0"),0))</f>
        <v>104128.58905499999</v>
      </c>
      <c r="I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forbrug'!I$2,'Forbrug af biomasse'!$B$2:$B$425,$E163)</f>
        <v>0</v>
      </c>
      <c r="J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forbrug'!J$2,'Forbrug af biomasse'!$B$2:$B$425,$E163)</f>
        <v>22739.095393183845</v>
      </c>
      <c r="K163" s="190">
        <f>SUMIFS('Forbrug af biomasse'!$E$2:$E$425,'Forbrug af biomasse'!$C$2:$C$425,'Resultat-Produktion &amp; forbrug'!$A163,'Forbrug af biomasse'!$D$2:$D$425,'Resultat-Produktion &amp; forbrug'!$D163,'Forbrug af biomasse'!$A$2:$A$425,'Resultat-Produktion &amp; forbrug'!K$2,'Forbrug af biomasse'!$B$2:$B$425,$E163)</f>
        <v>0</v>
      </c>
      <c r="L163" s="190">
        <f>IF(A163&lt;&gt;"Biogas",SUMIFS('Forbrug af biomasse'!$E$2:$E$425,'Forbrug af biomasse'!$C$2:$C$425,'Resultat-Produktion &amp; forbrug'!$A163,'Forbrug af biomasse'!$D$2:$D$425,'Resultat-Produktion &amp; forbrug'!$D163,'Forbrug af biomasse'!$A$2:$A$425,'Resultat-Produktion &amp; forbrug'!L$2,'Forbrug af biomasse'!$B$2:$B$425,$E163),F163)</f>
        <v>732655.58820898295</v>
      </c>
      <c r="M163" s="154">
        <f>SUMIFS('Forbrug af biomasse'!E:E,'Forbrug af biomasse'!C:C,'Resultat-Produktion &amp; forbrug'!$A163,'Forbrug af biomasse'!D:D,'Resultat-Produktion &amp; forbrug'!$D163,'Forbrug af biomasse'!G:G,1,'Forbrug af biomasse'!B:B,$E163)</f>
        <v>0</v>
      </c>
      <c r="N163" s="199">
        <f t="shared" si="48"/>
        <v>0</v>
      </c>
      <c r="O163" s="190">
        <f t="shared" si="39"/>
        <v>0</v>
      </c>
      <c r="P163" s="200">
        <f t="shared" si="49"/>
        <v>755394.68360216683</v>
      </c>
      <c r="Q163" s="187">
        <f>IFERROR(VLOOKUP(A163,[1]Energiindhold!$A$2:$C$11,3,FALSE),IFERROR(VLOOKUP(A163,[1]Biogasudbytte!$A$2:$B$18,2,FALSE)*[1]Energiindhold!$C$10,0))*O163</f>
        <v>0</v>
      </c>
      <c r="R163" s="187">
        <f>IF(A163&lt;&gt;"Biogas",IFERROR(VLOOKUP(A163,[1]Biogasudbytte!$A$2:$B$18,2,FALSE)*[1]Energiindhold!$C$10,0)*J163*IFERROR(VLOOKUP(A163,Biogasanlæg!$F$3:$G$8,2,FALSE),1)+IFERROR(VLOOKUP(A163,[1]Energiindhold!$A$2:$C$11,3,FALSE),0)*L163+IF(D163&lt;&gt;År1,Q163,0),0)</f>
        <v>7.7036894370658402</v>
      </c>
      <c r="S163" s="187">
        <f>IFERROR(VLOOKUP(A163,[1]Biogasudbytte!$A$2:$B$18,2,FALSE)*[1]Energiindhold!$C$10,0)*J163*IFERROR(VLOOKUP(A163,Biogasanlæg!$F$3:$G$8,2,FALSE),1)</f>
        <v>0.1311031640532172</v>
      </c>
      <c r="T163" s="188">
        <f t="shared" si="50"/>
        <v>7.5725862730126234</v>
      </c>
      <c r="U163" s="186">
        <f>O163*IFERROR(VLOOKUP(A163,[1]Tørstofindhold!A$2:B$24,2,FALSE),0)</f>
        <v>0</v>
      </c>
      <c r="V163" s="187">
        <f>IF(D163=År1,P163,SUM(O163,P163))*IFERROR(VLOOKUP(A163,[1]Tørstofindhold!A$2:B$24,2,FALSE),0)</f>
        <v>642085.48106184183</v>
      </c>
      <c r="W163" s="187">
        <f>J163*IFERROR(VLOOKUP(A163,[1]Tørstofindhold!A$2:B$24,2,FALSE),0)</f>
        <v>19328.231084206269</v>
      </c>
      <c r="X163" s="188">
        <f t="shared" si="51"/>
        <v>622757.24997763557</v>
      </c>
      <c r="Y163" s="168">
        <f t="shared" si="43"/>
        <v>0</v>
      </c>
      <c r="Z163" s="103">
        <f t="shared" si="44"/>
        <v>0</v>
      </c>
    </row>
    <row r="164" spans="1:26" x14ac:dyDescent="0.25">
      <c r="A164" s="189" t="s">
        <v>162</v>
      </c>
      <c r="B164" s="189" t="s">
        <v>230</v>
      </c>
      <c r="C164" s="189">
        <f>IF(COUNTIFS('Resultater - Danmark'!$D$3:$D$504,'Resultat-Produktion &amp; forbrug'!A164,'Resultater - Danmark'!$A$3:$A$504,"Til energi")+COUNTIFS('Resultater - Danmark'!$D$3:$D$504,'Resultat-Produktion &amp; forbrug'!A164,'Resultater - Danmark'!$A$3:$A$504,"Biogasanlæg")&gt;0,1,0)</f>
        <v>1</v>
      </c>
      <c r="D164" s="189">
        <f t="shared" si="47"/>
        <v>2019</v>
      </c>
      <c r="E164" s="187" t="s">
        <v>24</v>
      </c>
      <c r="F164" s="190">
        <f>IF(E164="Vestdanmark",SUMIFS(IF(D164=År1,'Resultater - Vestdanmark'!H$3:H$504,IF(D164=År2,'Resultater - Vestdanmark'!I$3:I$504,'Resultater - Vestdanmark'!J$3:J$504)),'Resultater - Vestdanmark'!$F$3:$F$504,$A164,IF(D164=År1,'Resultater - Vestdanmark'!H$3:H$504,IF(D164=År2,'Resultater - Vestdanmark'!I$3:I$504,'Resultater - Vestdanmark'!J$3:J$504)),"&gt;0"),SUMIFS(IF(D164=År1,'Resultater - Østdanmark'!H$3:H$504,IF(D164=År2,'Resultater - Østdanmark'!I$3:I$504,'Resultater - Østdanmark'!J$3:J$504)),'Resultater - Østdanmark'!$F$3:$F$504,$A164,IF(D164=År1,'Resultater - Østdanmark'!H$3:H$504,IF(D164=År2,'Resultater - Østdanmark'!I$3:I$504,'Resultater - Østdanmark'!J$3:J$504)),"&gt;0"))</f>
        <v>452346.51233766804</v>
      </c>
      <c r="G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forbrug'!G$2,'Forbrug af biomasse'!$B$2:$B$425,$E164)</f>
        <v>0</v>
      </c>
      <c r="H164" s="187">
        <f>IF(E164="Vestdanmark",-IF(A164="Halm",SUMIFS(IF(D164=År1,'Resultater - Vestdanmark'!H$3:H$504,IF(D164=År2,'Resultater - Vestdanmark'!I$3:I$504,'Resultater - Vestdanmark'!J$3:J$504)),'Resultater - Vestdanmark'!$F$3:$F$504,$A164,'Resultater - Vestdanmark'!H$3:H$504,"&lt;0"),0),-IF(A164="Halm",SUMIFS(IF(D164=År1,'Resultater - Østdanmark'!H$3:H$504,IF(D164=År2,'Resultater - Østdanmark'!I$3:I$504,'Resultater - Østdanmark'!J$3:J$504)),'Resultater - Østdanmark'!$F$3:$F$504,$A164,'Resultater - Østdanmark'!H$3:H$504,"&lt;0"),0))</f>
        <v>0</v>
      </c>
      <c r="I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forbrug'!I$2,'Forbrug af biomasse'!$B$2:$B$425,$E164)</f>
        <v>0</v>
      </c>
      <c r="J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forbrug'!J$2,'Forbrug af biomasse'!$B$2:$B$425,$E164)</f>
        <v>35.900188095894634</v>
      </c>
      <c r="K164" s="190">
        <f>SUMIFS('Forbrug af biomasse'!$E$2:$E$425,'Forbrug af biomasse'!$C$2:$C$425,'Resultat-Produktion &amp; forbrug'!$A164,'Forbrug af biomasse'!$D$2:$D$425,'Resultat-Produktion &amp; forbrug'!$D164,'Forbrug af biomasse'!$A$2:$A$425,'Resultat-Produktion &amp; forbrug'!K$2,'Forbrug af biomasse'!$B$2:$B$425,$E164)</f>
        <v>0</v>
      </c>
      <c r="L164" s="190">
        <f>IF(A164&lt;&gt;"Biogas",SUMIFS('Forbrug af biomasse'!$E$2:$E$425,'Forbrug af biomasse'!$C$2:$C$425,'Resultat-Produktion &amp; forbrug'!$A164,'Forbrug af biomasse'!$D$2:$D$425,'Resultat-Produktion &amp; forbrug'!$D164,'Forbrug af biomasse'!$A$2:$A$425,'Resultat-Produktion &amp; forbrug'!L$2,'Forbrug af biomasse'!$B$2:$B$425,$E164),F164)</f>
        <v>452310.61214957217</v>
      </c>
      <c r="M164" s="154">
        <f>SUMIFS('Forbrug af biomasse'!E:E,'Forbrug af biomasse'!C:C,'Resultat-Produktion &amp; forbrug'!$A164,'Forbrug af biomasse'!D:D,'Resultat-Produktion &amp; forbrug'!$D164,'Forbrug af biomasse'!G:G,1,'Forbrug af biomasse'!B:B,$E164)</f>
        <v>0</v>
      </c>
      <c r="N164" s="199">
        <f t="shared" si="48"/>
        <v>0</v>
      </c>
      <c r="O164" s="190">
        <f t="shared" si="39"/>
        <v>0</v>
      </c>
      <c r="P164" s="200">
        <f t="shared" si="49"/>
        <v>452346.51233766804</v>
      </c>
      <c r="Q164" s="187">
        <f>IFERROR(VLOOKUP(A164,[1]Energiindhold!$A$2:$C$11,3,FALSE),IFERROR(VLOOKUP(A164,[1]Biogasudbytte!$A$2:$B$18,2,FALSE)*[1]Energiindhold!$C$10,0))*O164</f>
        <v>0</v>
      </c>
      <c r="R164" s="187">
        <f>IF(A164&lt;&gt;"Biogas",IFERROR(VLOOKUP(A164,[1]Biogasudbytte!$A$2:$B$18,2,FALSE)*[1]Energiindhold!$C$10,0)*J164*IFERROR(VLOOKUP(A164,Biogasanlæg!$F$3:$G$8,2,FALSE),1)+IFERROR(VLOOKUP(A164,[1]Energiindhold!$A$2:$C$11,3,FALSE),0)*L164+IF(D164&lt;&gt;År1,Q164,0),0)</f>
        <v>8.0748097529675267</v>
      </c>
      <c r="S164" s="187">
        <f>IFERROR(VLOOKUP(A164,[1]Biogasudbytte!$A$2:$B$18,2,FALSE)*[1]Energiindhold!$C$10,0)*J164*IFERROR(VLOOKUP(A164,Biogasanlæg!$F$3:$G$8,2,FALSE),1)</f>
        <v>6.0961032399995807E-5</v>
      </c>
      <c r="T164" s="188">
        <f t="shared" si="50"/>
        <v>8.0747487919351268</v>
      </c>
      <c r="U164" s="186">
        <f>O164*IFERROR(VLOOKUP(A164,[1]Tørstofindhold!A$2:B$24,2,FALSE),0)</f>
        <v>0</v>
      </c>
      <c r="V164" s="187">
        <f>IF(D164=År1,P164,SUM(O164,P164))*IFERROR(VLOOKUP(A164,[1]Tørstofindhold!A$2:B$24,2,FALSE),0)</f>
        <v>135703.9537013004</v>
      </c>
      <c r="W164" s="187">
        <f>J164*IFERROR(VLOOKUP(A164,[1]Tørstofindhold!A$2:B$24,2,FALSE),0)</f>
        <v>10.77005642876839</v>
      </c>
      <c r="X164" s="188">
        <f t="shared" si="51"/>
        <v>135693.18364487163</v>
      </c>
      <c r="Y164" s="168">
        <f t="shared" si="43"/>
        <v>0</v>
      </c>
      <c r="Z164" s="103">
        <f t="shared" si="44"/>
        <v>0</v>
      </c>
    </row>
    <row r="165" spans="1:26" x14ac:dyDescent="0.25">
      <c r="A165" s="187" t="s">
        <v>159</v>
      </c>
      <c r="B165" s="189"/>
      <c r="C165" s="189">
        <f>IF(COUNTIFS('Resultater - Danmark'!$D$3:$D$504,'Resultat-Produktion &amp; forbrug'!A165,'Resultater - Danmark'!$A$3:$A$504,"Til energi")+COUNTIFS('Resultater - Danmark'!$D$3:$D$504,'Resultat-Produktion &amp; forbrug'!A165,'Resultater - Danmark'!$A$3:$A$504,"Biogasanlæg")&gt;0,1,0)</f>
        <v>0</v>
      </c>
      <c r="D165" s="189">
        <f t="shared" si="47"/>
        <v>2019</v>
      </c>
      <c r="E165" s="187" t="s">
        <v>24</v>
      </c>
      <c r="F165" s="190">
        <f>IF(E165="Vestdanmark",SUMIFS(IF(D165=År1,'Resultater - Vestdanmark'!H$3:H$504,IF(D165=År2,'Resultater - Vestdanmark'!I$3:I$504,'Resultater - Vestdanmark'!J$3:J$504)),'Resultater - Vestdanmark'!$F$3:$F$504,$A165,IF(D165=År1,'Resultater - Vestdanmark'!H$3:H$504,IF(D165=År2,'Resultater - Vestdanmark'!I$3:I$504,'Resultater - Vestdanmark'!J$3:J$504)),"&gt;0"),SUMIFS(IF(D165=År1,'Resultater - Østdanmark'!H$3:H$504,IF(D165=År2,'Resultater - Østdanmark'!I$3:I$504,'Resultater - Østdanmark'!J$3:J$504)),'Resultater - Østdanmark'!$F$3:$F$504,$A165,IF(D165=År1,'Resultater - Østdanmark'!H$3:H$504,IF(D165=År2,'Resultater - Østdanmark'!I$3:I$504,'Resultater - Østdanmark'!J$3:J$504)),"&gt;0"))</f>
        <v>0</v>
      </c>
      <c r="G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forbrug'!G$2,'Forbrug af biomasse'!$B$2:$B$425,$E165)</f>
        <v>592646.72642582108</v>
      </c>
      <c r="H165" s="187">
        <f>IF(E165="Vestdanmark",-IF(A165="Halm",SUMIFS(IF(D165=År1,'Resultater - Vestdanmark'!H$3:H$504,IF(D165=År2,'Resultater - Vestdanmark'!I$3:I$504,'Resultater - Vestdanmark'!J$3:J$504)),'Resultater - Vestdanmark'!$F$3:$F$504,$A165,'Resultater - Vestdanmark'!H$3:H$504,"&lt;0"),0),-IF(A165="Halm",SUMIFS(IF(D165=År1,'Resultater - Østdanmark'!H$3:H$504,IF(D165=År2,'Resultater - Østdanmark'!I$3:I$504,'Resultater - Østdanmark'!J$3:J$504)),'Resultater - Østdanmark'!$F$3:$F$504,$A165,'Resultater - Østdanmark'!H$3:H$504,"&lt;0"),0))</f>
        <v>0</v>
      </c>
      <c r="I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forbrug'!I$2,'Forbrug af biomasse'!$B$2:$B$425,$E165)</f>
        <v>0</v>
      </c>
      <c r="J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forbrug'!J$2,'Forbrug af biomasse'!$B$2:$B$425,$E165)</f>
        <v>0</v>
      </c>
      <c r="K165" s="190">
        <f>SUMIFS('Forbrug af biomasse'!$E$2:$E$425,'Forbrug af biomasse'!$C$2:$C$425,'Resultat-Produktion &amp; forbrug'!$A165,'Forbrug af biomasse'!$D$2:$D$425,'Resultat-Produktion &amp; forbrug'!$D165,'Forbrug af biomasse'!$A$2:$A$425,'Resultat-Produktion &amp; forbrug'!K$2,'Forbrug af biomasse'!$B$2:$B$425,$E165)</f>
        <v>0</v>
      </c>
      <c r="L165" s="190">
        <f>IF(A165&lt;&gt;"Biogas",SUMIFS('Forbrug af biomasse'!$E$2:$E$425,'Forbrug af biomasse'!$C$2:$C$425,'Resultat-Produktion &amp; forbrug'!$A165,'Forbrug af biomasse'!$D$2:$D$425,'Resultat-Produktion &amp; forbrug'!$D165,'Forbrug af biomasse'!$A$2:$A$425,'Resultat-Produktion &amp; forbrug'!L$2,'Forbrug af biomasse'!$B$2:$B$425,$E165),F165)</f>
        <v>0</v>
      </c>
      <c r="M165" s="154">
        <f>SUMIFS('Forbrug af biomasse'!E:E,'Forbrug af biomasse'!C:C,'Resultat-Produktion &amp; forbrug'!$A165,'Forbrug af biomasse'!D:D,'Resultat-Produktion &amp; forbrug'!$D165,'Forbrug af biomasse'!G:G,1,'Forbrug af biomasse'!B:B,$E165)</f>
        <v>0</v>
      </c>
      <c r="N165" s="199">
        <f t="shared" si="48"/>
        <v>-592646.72642582108</v>
      </c>
      <c r="O165" s="190">
        <f t="shared" si="39"/>
        <v>0</v>
      </c>
      <c r="P165" s="200">
        <f t="shared" si="49"/>
        <v>0</v>
      </c>
      <c r="Q165" s="187">
        <f>IFERROR(VLOOKUP(A165,[1]Energiindhold!$A$2:$C$11,3,FALSE),IFERROR(VLOOKUP(A165,[1]Biogasudbytte!$A$2:$B$18,2,FALSE)*[1]Energiindhold!$C$10,0))*O165</f>
        <v>0</v>
      </c>
      <c r="R165" s="187">
        <f>IF(A165&lt;&gt;"Biogas",IFERROR(VLOOKUP(A165,[1]Biogasudbytte!$A$2:$B$18,2,FALSE)*[1]Energiindhold!$C$10,0)*J165*IFERROR(VLOOKUP(A165,Biogasanlæg!$F$3:$G$8,2,FALSE),1)+IFERROR(VLOOKUP(A165,[1]Energiindhold!$A$2:$C$11,3,FALSE),0)*L165+IF(D165&lt;&gt;År1,Q165,0),0)</f>
        <v>0</v>
      </c>
      <c r="S165" s="187">
        <f>IFERROR(VLOOKUP(A165,[1]Biogasudbytte!$A$2:$B$18,2,FALSE)*[1]Energiindhold!$C$10,0)*J165*IFERROR(VLOOKUP(A165,Biogasanlæg!$F$3:$G$8,2,FALSE),1)</f>
        <v>0</v>
      </c>
      <c r="T165" s="188">
        <f t="shared" si="50"/>
        <v>0</v>
      </c>
      <c r="U165" s="186">
        <f>O165*IFERROR(VLOOKUP(A165,[1]Tørstofindhold!A$2:B$24,2,FALSE),0)</f>
        <v>0</v>
      </c>
      <c r="V165" s="187">
        <f>IF(D165=År1,P165,SUM(O165,P165))*IFERROR(VLOOKUP(A165,[1]Tørstofindhold!A$2:B$24,2,FALSE),0)</f>
        <v>0</v>
      </c>
      <c r="W165" s="187">
        <f>J165*IFERROR(VLOOKUP(A165,[1]Tørstofindhold!A$2:B$24,2,FALSE),0)</f>
        <v>0</v>
      </c>
      <c r="X165" s="188">
        <f t="shared" si="51"/>
        <v>0</v>
      </c>
      <c r="Y165" s="168">
        <f t="shared" si="43"/>
        <v>1</v>
      </c>
      <c r="Z165" s="103">
        <f t="shared" si="44"/>
        <v>0</v>
      </c>
    </row>
    <row r="166" spans="1:26" x14ac:dyDescent="0.25">
      <c r="A166" s="189" t="s">
        <v>103</v>
      </c>
      <c r="B166" s="189" t="s">
        <v>230</v>
      </c>
      <c r="C166" s="189">
        <f>IF(COUNTIFS('Resultater - Danmark'!$D$3:$D$504,'Resultat-Produktion &amp; forbrug'!A166,'Resultater - Danmark'!$A$3:$A$504,"Til energi")+COUNTIFS('Resultater - Danmark'!$D$3:$D$504,'Resultat-Produktion &amp; forbrug'!A166,'Resultater - Danmark'!$A$3:$A$504,"Biogasanlæg")&gt;0,1,0)</f>
        <v>1</v>
      </c>
      <c r="D166" s="189">
        <f t="shared" si="47"/>
        <v>2019</v>
      </c>
      <c r="E166" s="187" t="s">
        <v>24</v>
      </c>
      <c r="F166" s="190">
        <f>IF(E166="Vestdanmark",SUMIFS(IF(D166=År1,'Resultater - Vestdanmark'!H$3:H$504,IF(D166=År2,'Resultater - Vestdanmark'!I$3:I$504,'Resultater - Vestdanmark'!J$3:J$504)),'Resultater - Vestdanmark'!$F$3:$F$504,$A166,IF(D166=År1,'Resultater - Vestdanmark'!H$3:H$504,IF(D166=År2,'Resultater - Vestdanmark'!I$3:I$504,'Resultater - Vestdanmark'!J$3:J$504)),"&gt;0"),SUMIFS(IF(D166=År1,'Resultater - Østdanmark'!H$3:H$504,IF(D166=År2,'Resultater - Østdanmark'!I$3:I$504,'Resultater - Østdanmark'!J$3:J$504)),'Resultater - Østdanmark'!$F$3:$F$504,$A166,IF(D166=År1,'Resultater - Østdanmark'!H$3:H$504,IF(D166=År2,'Resultater - Østdanmark'!I$3:I$504,'Resultater - Østdanmark'!J$3:J$504)),"&gt;0"))</f>
        <v>200279.74928693369</v>
      </c>
      <c r="G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forbrug'!G$2,'Forbrug af biomasse'!$B$2:$B$425,$E166)</f>
        <v>0</v>
      </c>
      <c r="H166" s="187">
        <f>IF(E166="Vestdanmark",-IF(A166="Halm",SUMIFS(IF(D166=År1,'Resultater - Vestdanmark'!H$3:H$504,IF(D166=År2,'Resultater - Vestdanmark'!I$3:I$504,'Resultater - Vestdanmark'!J$3:J$504)),'Resultater - Vestdanmark'!$F$3:$F$504,$A166,'Resultater - Vestdanmark'!H$3:H$504,"&lt;0"),0),-IF(A166="Halm",SUMIFS(IF(D166=År1,'Resultater - Østdanmark'!H$3:H$504,IF(D166=År2,'Resultater - Østdanmark'!I$3:I$504,'Resultater - Østdanmark'!J$3:J$504)),'Resultater - Østdanmark'!$F$3:$F$504,$A166,'Resultater - Østdanmark'!H$3:H$504,"&lt;0"),0))</f>
        <v>0</v>
      </c>
      <c r="I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forbrug'!I$2,'Forbrug af biomasse'!$B$2:$B$425,$E166)</f>
        <v>0</v>
      </c>
      <c r="J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forbrug'!J$2,'Forbrug af biomasse'!$B$2:$B$425,$E166)</f>
        <v>279550.24796430691</v>
      </c>
      <c r="K166" s="190">
        <f>SUMIFS('Forbrug af biomasse'!$E$2:$E$425,'Forbrug af biomasse'!$C$2:$C$425,'Resultat-Produktion &amp; forbrug'!$A166,'Forbrug af biomasse'!$D$2:$D$425,'Resultat-Produktion &amp; forbrug'!$D166,'Forbrug af biomasse'!$A$2:$A$425,'Resultat-Produktion &amp; forbrug'!K$2,'Forbrug af biomasse'!$B$2:$B$425,$E166)</f>
        <v>0</v>
      </c>
      <c r="L166" s="190">
        <f>IF(A166&lt;&gt;"Biogas",SUMIFS('Forbrug af biomasse'!$E$2:$E$425,'Forbrug af biomasse'!$C$2:$C$425,'Resultat-Produktion &amp; forbrug'!$A166,'Forbrug af biomasse'!$D$2:$D$425,'Resultat-Produktion &amp; forbrug'!$D166,'Forbrug af biomasse'!$A$2:$A$425,'Resultat-Produktion &amp; forbrug'!L$2,'Forbrug af biomasse'!$B$2:$B$425,$E166),F166)</f>
        <v>0</v>
      </c>
      <c r="M166" s="154">
        <f>SUMIFS('Forbrug af biomasse'!E:E,'Forbrug af biomasse'!C:C,'Resultat-Produktion &amp; forbrug'!$A166,'Forbrug af biomasse'!D:D,'Resultat-Produktion &amp; forbrug'!$D166,'Forbrug af biomasse'!G:G,1,'Forbrug af biomasse'!B:B,$E166)</f>
        <v>0</v>
      </c>
      <c r="N166" s="199">
        <f t="shared" si="48"/>
        <v>-79270.498677373223</v>
      </c>
      <c r="O166" s="190">
        <f t="shared" si="39"/>
        <v>0</v>
      </c>
      <c r="P166" s="200">
        <f t="shared" si="49"/>
        <v>279550.24796430691</v>
      </c>
      <c r="Q166" s="187">
        <f>IFERROR(VLOOKUP(A166,[1]Energiindhold!$A$2:$C$11,3,FALSE),IFERROR(VLOOKUP(A166,[1]Biogasudbytte!$A$2:$B$18,2,FALSE)*[1]Energiindhold!$C$10,0))*O166</f>
        <v>0</v>
      </c>
      <c r="R166" s="187">
        <f>IF(A166&lt;&gt;"Biogas",IFERROR(VLOOKUP(A166,[1]Biogasudbytte!$A$2:$B$18,2,FALSE)*[1]Energiindhold!$C$10,0)*J166*IFERROR(VLOOKUP(A166,Biogasanlæg!$F$3:$G$8,2,FALSE),1)+IFERROR(VLOOKUP(A166,[1]Energiindhold!$A$2:$C$11,3,FALSE),0)*L166+IF(D166&lt;&gt;År1,Q166,0),0)</f>
        <v>1.0296284310673407</v>
      </c>
      <c r="S166" s="187">
        <f>IFERROR(VLOOKUP(A166,[1]Biogasudbytte!$A$2:$B$18,2,FALSE)*[1]Energiindhold!$C$10,0)*J166*IFERROR(VLOOKUP(A166,Biogasanlæg!$F$3:$G$8,2,FALSE),1)</f>
        <v>1.0296284310673407</v>
      </c>
      <c r="T166" s="188">
        <f t="shared" si="50"/>
        <v>0</v>
      </c>
      <c r="U166" s="186">
        <f>O166*IFERROR(VLOOKUP(A166,[1]Tørstofindhold!A$2:B$24,2,FALSE),0)</f>
        <v>0</v>
      </c>
      <c r="V166" s="187">
        <f>IF(D166=År1,P166,SUM(O166,P166))*IFERROR(VLOOKUP(A166,[1]Tørstofindhold!A$2:B$24,2,FALSE),0)</f>
        <v>117411.1041450089</v>
      </c>
      <c r="W166" s="187">
        <f>J166*IFERROR(VLOOKUP(A166,[1]Tørstofindhold!A$2:B$24,2,FALSE),0)</f>
        <v>117411.1041450089</v>
      </c>
      <c r="X166" s="188">
        <f t="shared" si="51"/>
        <v>0</v>
      </c>
      <c r="Y166" s="168">
        <f t="shared" si="43"/>
        <v>1</v>
      </c>
      <c r="Z166" s="103">
        <f t="shared" si="44"/>
        <v>0</v>
      </c>
    </row>
    <row r="167" spans="1:26" x14ac:dyDescent="0.25">
      <c r="A167" s="189" t="s">
        <v>56</v>
      </c>
      <c r="B167" s="189"/>
      <c r="C167" s="189">
        <f>IF(COUNTIFS('Resultater - Danmark'!$D$3:$D$504,'Resultat-Produktion &amp; forbrug'!A167,'Resultater - Danmark'!$A$3:$A$504,"Til energi")+COUNTIFS('Resultater - Danmark'!$D$3:$D$504,'Resultat-Produktion &amp; forbrug'!A167,'Resultater - Danmark'!$A$3:$A$504,"Biogasanlæg")&gt;0,1,0)</f>
        <v>0</v>
      </c>
      <c r="D167" s="189">
        <f t="shared" si="47"/>
        <v>2019</v>
      </c>
      <c r="E167" s="187" t="s">
        <v>24</v>
      </c>
      <c r="F167" s="190">
        <f>IF(E167="Vestdanmark",SUMIFS(IF(D167=År1,'Resultater - Vestdanmark'!H$3:H$504,IF(D167=År2,'Resultater - Vestdanmark'!I$3:I$504,'Resultater - Vestdanmark'!J$3:J$504)),'Resultater - Vestdanmark'!$F$3:$F$504,$A167,IF(D167=År1,'Resultater - Vestdanmark'!H$3:H$504,IF(D167=År2,'Resultater - Vestdanmark'!I$3:I$504,'Resultater - Vestdanmark'!J$3:J$504)),"&gt;0"),SUMIFS(IF(D167=År1,'Resultater - Østdanmark'!H$3:H$504,IF(D167=År2,'Resultater - Østdanmark'!I$3:I$504,'Resultater - Østdanmark'!J$3:J$504)),'Resultater - Østdanmark'!$F$3:$F$504,$A167,IF(D167=År1,'Resultater - Østdanmark'!H$3:H$504,IF(D167=År2,'Resultater - Østdanmark'!I$3:I$504,'Resultater - Østdanmark'!J$3:J$504)),"&gt;0"))</f>
        <v>145627.35347864506</v>
      </c>
      <c r="G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forbrug'!G$2,'Forbrug af biomasse'!$B$2:$B$425,$E167)</f>
        <v>0</v>
      </c>
      <c r="H167" s="187">
        <f>IF(E167="Vestdanmark",-IF(A167="Halm",SUMIFS(IF(D167=År1,'Resultater - Vestdanmark'!H$3:H$504,IF(D167=År2,'Resultater - Vestdanmark'!I$3:I$504,'Resultater - Vestdanmark'!J$3:J$504)),'Resultater - Vestdanmark'!$F$3:$F$504,$A167,'Resultater - Vestdanmark'!H$3:H$504,"&lt;0"),0),-IF(A167="Halm",SUMIFS(IF(D167=År1,'Resultater - Østdanmark'!H$3:H$504,IF(D167=År2,'Resultater - Østdanmark'!I$3:I$504,'Resultater - Østdanmark'!J$3:J$504)),'Resultater - Østdanmark'!$F$3:$F$504,$A167,'Resultater - Østdanmark'!H$3:H$504,"&lt;0"),0))</f>
        <v>0</v>
      </c>
      <c r="I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forbrug'!I$2,'Forbrug af biomasse'!$B$2:$B$425,$E167)</f>
        <v>0</v>
      </c>
      <c r="J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forbrug'!J$2,'Forbrug af biomasse'!$B$2:$B$425,$E167)</f>
        <v>0</v>
      </c>
      <c r="K167" s="190">
        <f>SUMIFS('Forbrug af biomasse'!$E$2:$E$425,'Forbrug af biomasse'!$C$2:$C$425,'Resultat-Produktion &amp; forbrug'!$A167,'Forbrug af biomasse'!$D$2:$D$425,'Resultat-Produktion &amp; forbrug'!$D167,'Forbrug af biomasse'!$A$2:$A$425,'Resultat-Produktion &amp; forbrug'!K$2,'Forbrug af biomasse'!$B$2:$B$425,$E167)</f>
        <v>0</v>
      </c>
      <c r="L167" s="190">
        <f>IF(A167&lt;&gt;"Biogas",SUMIFS('Forbrug af biomasse'!$E$2:$E$425,'Forbrug af biomasse'!$C$2:$C$425,'Resultat-Produktion &amp; forbrug'!$A167,'Forbrug af biomasse'!$D$2:$D$425,'Resultat-Produktion &amp; forbrug'!$D167,'Forbrug af biomasse'!$A$2:$A$425,'Resultat-Produktion &amp; forbrug'!L$2,'Forbrug af biomasse'!$B$2:$B$425,$E167),F167)</f>
        <v>0</v>
      </c>
      <c r="M167" s="154">
        <f>SUMIFS('Forbrug af biomasse'!E:E,'Forbrug af biomasse'!C:C,'Resultat-Produktion &amp; forbrug'!$A167,'Forbrug af biomasse'!D:D,'Resultat-Produktion &amp; forbrug'!$D167,'Forbrug af biomasse'!G:G,1,'Forbrug af biomasse'!B:B,$E167)</f>
        <v>0</v>
      </c>
      <c r="N167" s="199">
        <f t="shared" si="48"/>
        <v>145627.35347864506</v>
      </c>
      <c r="O167" s="190">
        <f t="shared" si="39"/>
        <v>0</v>
      </c>
      <c r="P167" s="200">
        <f t="shared" si="49"/>
        <v>0</v>
      </c>
      <c r="Q167" s="187">
        <f>IFERROR(VLOOKUP(A167,[1]Energiindhold!$A$2:$C$11,3,FALSE),IFERROR(VLOOKUP(A167,[1]Biogasudbytte!$A$2:$B$18,2,FALSE)*[1]Energiindhold!$C$10,0))*O167</f>
        <v>0</v>
      </c>
      <c r="R167" s="187">
        <f>IF(A167&lt;&gt;"Biogas",IFERROR(VLOOKUP(A167,[1]Biogasudbytte!$A$2:$B$18,2,FALSE)*[1]Energiindhold!$C$10,0)*J167*IFERROR(VLOOKUP(A167,Biogasanlæg!$F$3:$G$8,2,FALSE),1)+IFERROR(VLOOKUP(A167,[1]Energiindhold!$A$2:$C$11,3,FALSE),0)*L167+IF(D167&lt;&gt;År1,Q167,0),0)</f>
        <v>0</v>
      </c>
      <c r="S167" s="187">
        <f>IFERROR(VLOOKUP(A167,[1]Biogasudbytte!$A$2:$B$18,2,FALSE)*[1]Energiindhold!$C$10,0)*J167*IFERROR(VLOOKUP(A167,Biogasanlæg!$F$3:$G$8,2,FALSE),1)</f>
        <v>0</v>
      </c>
      <c r="T167" s="188">
        <f t="shared" si="50"/>
        <v>0</v>
      </c>
      <c r="U167" s="186">
        <f>O167*IFERROR(VLOOKUP(A167,[1]Tørstofindhold!A$2:B$24,2,FALSE),0)</f>
        <v>0</v>
      </c>
      <c r="V167" s="187">
        <f>IF(D167=År1,P167,SUM(O167,P167))*IFERROR(VLOOKUP(A167,[1]Tørstofindhold!A$2:B$24,2,FALSE),0)</f>
        <v>0</v>
      </c>
      <c r="W167" s="187">
        <f>J167*IFERROR(VLOOKUP(A167,[1]Tørstofindhold!A$2:B$24,2,FALSE),0)</f>
        <v>0</v>
      </c>
      <c r="X167" s="188">
        <f t="shared" si="51"/>
        <v>0</v>
      </c>
      <c r="Y167" s="168">
        <f t="shared" si="43"/>
        <v>0</v>
      </c>
      <c r="Z167" s="103">
        <f t="shared" si="44"/>
        <v>1</v>
      </c>
    </row>
    <row r="168" spans="1:26" x14ac:dyDescent="0.25">
      <c r="A168" s="189" t="s">
        <v>12</v>
      </c>
      <c r="B168" s="189"/>
      <c r="C168" s="189">
        <f>IF(COUNTIFS('Resultater - Danmark'!$D$3:$D$504,'Resultat-Produktion &amp; forbrug'!A168,'Resultater - Danmark'!$A$3:$A$504,"Til energi")+COUNTIFS('Resultater - Danmark'!$D$3:$D$504,'Resultat-Produktion &amp; forbrug'!A168,'Resultater - Danmark'!$A$3:$A$504,"Biogasanlæg")&gt;0,1,0)</f>
        <v>0</v>
      </c>
      <c r="D168" s="189">
        <f t="shared" si="47"/>
        <v>2019</v>
      </c>
      <c r="E168" s="187" t="s">
        <v>24</v>
      </c>
      <c r="F168" s="190">
        <f>IF(E168="Vestdanmark",SUMIFS(IF(D168=År1,'Resultater - Vestdanmark'!H$3:H$504,IF(D168=År2,'Resultater - Vestdanmark'!I$3:I$504,'Resultater - Vestdanmark'!J$3:J$504)),'Resultater - Vestdanmark'!$F$3:$F$504,$A168,IF(D168=År1,'Resultater - Vestdanmark'!H$3:H$504,IF(D168=År2,'Resultater - Vestdanmark'!I$3:I$504,'Resultater - Vestdanmark'!J$3:J$504)),"&gt;0"),SUMIFS(IF(D168=År1,'Resultater - Østdanmark'!H$3:H$504,IF(D168=År2,'Resultater - Østdanmark'!I$3:I$504,'Resultater - Østdanmark'!J$3:J$504)),'Resultater - Østdanmark'!$F$3:$F$504,$A168,IF(D168=År1,'Resultater - Østdanmark'!H$3:H$504,IF(D168=År2,'Resultater - Østdanmark'!I$3:I$504,'Resultater - Østdanmark'!J$3:J$504)),"&gt;0"))</f>
        <v>116539.79424410909</v>
      </c>
      <c r="G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forbrug'!G$2,'Forbrug af biomasse'!$B$2:$B$425,$E168)</f>
        <v>0</v>
      </c>
      <c r="H168" s="187">
        <f>IF(E168="Vestdanmark",-IF(A168="Halm",SUMIFS(IF(D168=År1,'Resultater - Vestdanmark'!H$3:H$504,IF(D168=År2,'Resultater - Vestdanmark'!I$3:I$504,'Resultater - Vestdanmark'!J$3:J$504)),'Resultater - Vestdanmark'!$F$3:$F$504,$A168,'Resultater - Vestdanmark'!H$3:H$504,"&lt;0"),0),-IF(A168="Halm",SUMIFS(IF(D168=År1,'Resultater - Østdanmark'!H$3:H$504,IF(D168=År2,'Resultater - Østdanmark'!I$3:I$504,'Resultater - Østdanmark'!J$3:J$504)),'Resultater - Østdanmark'!$F$3:$F$504,$A168,'Resultater - Østdanmark'!H$3:H$504,"&lt;0"),0))</f>
        <v>0</v>
      </c>
      <c r="I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forbrug'!I$2,'Forbrug af biomasse'!$B$2:$B$425,$E168)</f>
        <v>101922.05609696274</v>
      </c>
      <c r="J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forbrug'!J$2,'Forbrug af biomasse'!$B$2:$B$425,$E168)</f>
        <v>0</v>
      </c>
      <c r="K168" s="190">
        <f>SUMIFS('Forbrug af biomasse'!$E$2:$E$425,'Forbrug af biomasse'!$C$2:$C$425,'Resultat-Produktion &amp; forbrug'!$A168,'Forbrug af biomasse'!$D$2:$D$425,'Resultat-Produktion &amp; forbrug'!$D168,'Forbrug af biomasse'!$A$2:$A$425,'Resultat-Produktion &amp; forbrug'!K$2,'Forbrug af biomasse'!$B$2:$B$425,$E168)</f>
        <v>0</v>
      </c>
      <c r="L168" s="190">
        <f>IF(A168&lt;&gt;"Biogas",SUMIFS('Forbrug af biomasse'!$E$2:$E$425,'Forbrug af biomasse'!$C$2:$C$425,'Resultat-Produktion &amp; forbrug'!$A168,'Forbrug af biomasse'!$D$2:$D$425,'Resultat-Produktion &amp; forbrug'!$D168,'Forbrug af biomasse'!$A$2:$A$425,'Resultat-Produktion &amp; forbrug'!L$2,'Forbrug af biomasse'!$B$2:$B$425,$E168),F168)</f>
        <v>0</v>
      </c>
      <c r="M168" s="154">
        <f>SUMIFS('Forbrug af biomasse'!E:E,'Forbrug af biomasse'!C:C,'Resultat-Produktion &amp; forbrug'!$A168,'Forbrug af biomasse'!D:D,'Resultat-Produktion &amp; forbrug'!$D168,'Forbrug af biomasse'!G:G,1,'Forbrug af biomasse'!B:B,$E168)</f>
        <v>0</v>
      </c>
      <c r="N168" s="199">
        <f t="shared" si="48"/>
        <v>14617.738147146345</v>
      </c>
      <c r="O168" s="190">
        <f t="shared" si="39"/>
        <v>0</v>
      </c>
      <c r="P168" s="200">
        <f t="shared" si="49"/>
        <v>0</v>
      </c>
      <c r="Q168" s="187">
        <f>IFERROR(VLOOKUP(A168,[1]Energiindhold!$A$2:$C$11,3,FALSE),IFERROR(VLOOKUP(A168,[1]Biogasudbytte!$A$2:$B$18,2,FALSE)*[1]Energiindhold!$C$10,0))*O168</f>
        <v>0</v>
      </c>
      <c r="R168" s="187">
        <f>IF(A168&lt;&gt;"Biogas",IFERROR(VLOOKUP(A168,[1]Biogasudbytte!$A$2:$B$18,2,FALSE)*[1]Energiindhold!$C$10,0)*J168*IFERROR(VLOOKUP(A168,Biogasanlæg!$F$3:$G$8,2,FALSE),1)+IFERROR(VLOOKUP(A168,[1]Energiindhold!$A$2:$C$11,3,FALSE),0)*L168+IF(D168&lt;&gt;År1,Q168,0),0)</f>
        <v>0</v>
      </c>
      <c r="S168" s="187">
        <f>IFERROR(VLOOKUP(A168,[1]Biogasudbytte!$A$2:$B$18,2,FALSE)*[1]Energiindhold!$C$10,0)*J168*IFERROR(VLOOKUP(A168,Biogasanlæg!$F$3:$G$8,2,FALSE),1)</f>
        <v>0</v>
      </c>
      <c r="T168" s="188">
        <f t="shared" si="50"/>
        <v>0</v>
      </c>
      <c r="U168" s="186">
        <f>O168*IFERROR(VLOOKUP(A168,[1]Tørstofindhold!A$2:B$24,2,FALSE),0)</f>
        <v>0</v>
      </c>
      <c r="V168" s="187">
        <f>IF(D168=År1,P168,SUM(O168,P168))*IFERROR(VLOOKUP(A168,[1]Tørstofindhold!A$2:B$24,2,FALSE),0)</f>
        <v>0</v>
      </c>
      <c r="W168" s="187">
        <f>J168*IFERROR(VLOOKUP(A168,[1]Tørstofindhold!A$2:B$24,2,FALSE),0)</f>
        <v>0</v>
      </c>
      <c r="X168" s="188">
        <f t="shared" si="51"/>
        <v>0</v>
      </c>
      <c r="Y168" s="168">
        <f t="shared" si="43"/>
        <v>0</v>
      </c>
      <c r="Z168" s="103">
        <f t="shared" si="44"/>
        <v>1</v>
      </c>
    </row>
    <row r="169" spans="1:26" x14ac:dyDescent="0.25">
      <c r="A169" s="189" t="s">
        <v>48</v>
      </c>
      <c r="B169" s="189" t="s">
        <v>227</v>
      </c>
      <c r="C169" s="189">
        <f>IF(COUNTIFS('Resultater - Danmark'!$D$3:$D$504,'Resultat-Produktion &amp; forbrug'!A169,'Resultater - Danmark'!$A$3:$A$504,"Til energi")+COUNTIFS('Resultater - Danmark'!$D$3:$D$504,'Resultat-Produktion &amp; forbrug'!A169,'Resultater - Danmark'!$A$3:$A$504,"Biogasanlæg")&gt;0,1,0)</f>
        <v>1</v>
      </c>
      <c r="D169" s="189">
        <f t="shared" si="47"/>
        <v>2019</v>
      </c>
      <c r="E169" s="187" t="s">
        <v>24</v>
      </c>
      <c r="F169" s="190">
        <f>IF(E169="Vestdanmark",SUMIFS(IF(D169=År1,'Resultater - Vestdanmark'!H$3:H$504,IF(D169=År2,'Resultater - Vestdanmark'!I$3:I$504,'Resultater - Vestdanmark'!J$3:J$504)),'Resultater - Vestdanmark'!$F$3:$F$504,$A169,IF(D169=År1,'Resultater - Vestdanmark'!H$3:H$504,IF(D169=År2,'Resultater - Vestdanmark'!I$3:I$504,'Resultater - Vestdanmark'!J$3:J$504)),"&gt;0"),SUMIFS(IF(D169=År1,'Resultater - Østdanmark'!H$3:H$504,IF(D169=År2,'Resultater - Østdanmark'!I$3:I$504,'Resultater - Østdanmark'!J$3:J$504)),'Resultater - Østdanmark'!$F$3:$F$504,$A169,IF(D169=År1,'Resultater - Østdanmark'!H$3:H$504,IF(D169=År2,'Resultater - Østdanmark'!I$3:I$504,'Resultater - Østdanmark'!J$3:J$504)),"&gt;0"))</f>
        <v>2268650.5850062412</v>
      </c>
      <c r="G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forbrug'!G$2,'Forbrug af biomasse'!$B$2:$B$425,$E169)</f>
        <v>721621.60770550335</v>
      </c>
      <c r="H169" s="187">
        <f>IF(E169="Vestdanmark",-IF(A169="Halm",SUMIFS(IF(D169=År1,'Resultater - Vestdanmark'!H$3:H$504,IF(D169=År2,'Resultater - Vestdanmark'!I$3:I$504,'Resultater - Vestdanmark'!J$3:J$504)),'Resultater - Vestdanmark'!$F$3:$F$504,$A169,'Resultater - Vestdanmark'!H$3:H$504,"&lt;0"),0),-IF(A169="Halm",SUMIFS(IF(D169=År1,'Resultater - Østdanmark'!H$3:H$504,IF(D169=År2,'Resultater - Østdanmark'!I$3:I$504,'Resultater - Østdanmark'!J$3:J$504)),'Resultater - Østdanmark'!$F$3:$F$504,$A169,'Resultater - Østdanmark'!H$3:H$504,"&lt;0"),0))</f>
        <v>0</v>
      </c>
      <c r="I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forbrug'!I$2,'Forbrug af biomasse'!$B$2:$B$425,$E169)</f>
        <v>244164.92559492172</v>
      </c>
      <c r="J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forbrug'!J$2,'Forbrug af biomasse'!$B$2:$B$425,$E169)</f>
        <v>942.6064741945944</v>
      </c>
      <c r="K169" s="190">
        <f>SUMIFS('Forbrug af biomasse'!$E$2:$E$425,'Forbrug af biomasse'!$C$2:$C$425,'Resultat-Produktion &amp; forbrug'!$A169,'Forbrug af biomasse'!$D$2:$D$425,'Resultat-Produktion &amp; forbrug'!$D169,'Forbrug af biomasse'!$A$2:$A$425,'Resultat-Produktion &amp; forbrug'!K$2,'Forbrug af biomasse'!$B$2:$B$425,$E169)</f>
        <v>0</v>
      </c>
      <c r="L169" s="190">
        <f>IF(A169&lt;&gt;"Biogas",SUMIFS('Forbrug af biomasse'!$E$2:$E$425,'Forbrug af biomasse'!$C$2:$C$425,'Resultat-Produktion &amp; forbrug'!$A169,'Forbrug af biomasse'!$D$2:$D$425,'Resultat-Produktion &amp; forbrug'!$D169,'Forbrug af biomasse'!$A$2:$A$425,'Resultat-Produktion &amp; forbrug'!L$2,'Forbrug af biomasse'!$B$2:$B$425,$E169),F169)</f>
        <v>0</v>
      </c>
      <c r="M169" s="154">
        <f>SUMIFS('Forbrug af biomasse'!E:E,'Forbrug af biomasse'!C:C,'Resultat-Produktion &amp; forbrug'!$A169,'Forbrug af biomasse'!D:D,'Resultat-Produktion &amp; forbrug'!$D169,'Forbrug af biomasse'!G:G,1,'Forbrug af biomasse'!B:B,$E169)</f>
        <v>0</v>
      </c>
      <c r="N169" s="199">
        <f t="shared" si="48"/>
        <v>1301921.4452316216</v>
      </c>
      <c r="O169" s="190">
        <f t="shared" si="39"/>
        <v>1301921.4452316216</v>
      </c>
      <c r="P169" s="200">
        <f t="shared" si="49"/>
        <v>942.6064741945944</v>
      </c>
      <c r="Q169" s="187">
        <f>IFERROR(VLOOKUP(A169,[1]Energiindhold!$A$2:$C$11,3,FALSE),IFERROR(VLOOKUP(A169,[1]Biogasudbytte!$A$2:$B$18,2,FALSE)*[1]Energiindhold!$C$10,0))*O169</f>
        <v>4.4588986809159721</v>
      </c>
      <c r="R169" s="187">
        <f>IF(A169&lt;&gt;"Biogas",IFERROR(VLOOKUP(A169,[1]Biogasudbytte!$A$2:$B$18,2,FALSE)*[1]Energiindhold!$C$10,0)*J169*IFERROR(VLOOKUP(A169,Biogasanlæg!$F$3:$G$8,2,FALSE),1)+IFERROR(VLOOKUP(A169,[1]Energiindhold!$A$2:$C$11,3,FALSE),0)*L169+IF(D169&lt;&gt;År1,Q169,0),0)</f>
        <v>3.2282952092100993E-3</v>
      </c>
      <c r="S169" s="187">
        <f>IFERROR(VLOOKUP(A169,[1]Biogasudbytte!$A$2:$B$18,2,FALSE)*[1]Energiindhold!$C$10,0)*J169*IFERROR(VLOOKUP(A169,Biogasanlæg!$F$3:$G$8,2,FALSE),1)</f>
        <v>3.2282952092100993E-3</v>
      </c>
      <c r="T169" s="188">
        <f t="shared" si="50"/>
        <v>0</v>
      </c>
      <c r="U169" s="186">
        <f>O169*IFERROR(VLOOKUP(A169,[1]Tørstofindhold!A$2:B$24,2,FALSE),0)</f>
        <v>403595.64802180271</v>
      </c>
      <c r="V169" s="187">
        <f>IF(D169=År1,P169,SUM(O169,P169))*IFERROR(VLOOKUP(A169,[1]Tørstofindhold!A$2:B$24,2,FALSE),0)</f>
        <v>292.20800700032424</v>
      </c>
      <c r="W169" s="187">
        <f>J169*IFERROR(VLOOKUP(A169,[1]Tørstofindhold!A$2:B$24,2,FALSE),0)</f>
        <v>292.20800700032424</v>
      </c>
      <c r="X169" s="188">
        <f t="shared" si="51"/>
        <v>0</v>
      </c>
      <c r="Y169" s="168">
        <f t="shared" si="43"/>
        <v>0</v>
      </c>
      <c r="Z169" s="103">
        <f t="shared" si="44"/>
        <v>1</v>
      </c>
    </row>
    <row r="170" spans="1:26" x14ac:dyDescent="0.25">
      <c r="A170" s="189" t="s">
        <v>115</v>
      </c>
      <c r="B170" s="189"/>
      <c r="C170" s="189">
        <f>IF(COUNTIFS('Resultater - Danmark'!$D$3:$D$504,'Resultat-Produktion &amp; forbrug'!A170,'Resultater - Danmark'!$A$3:$A$504,"Til energi")+COUNTIFS('Resultater - Danmark'!$D$3:$D$504,'Resultat-Produktion &amp; forbrug'!A170,'Resultater - Danmark'!$A$3:$A$504,"Biogasanlæg")&gt;0,1,0)</f>
        <v>0</v>
      </c>
      <c r="D170" s="189">
        <f t="shared" si="47"/>
        <v>2019</v>
      </c>
      <c r="E170" s="187" t="s">
        <v>24</v>
      </c>
      <c r="F170" s="190">
        <f>IF(E170="Vestdanmark",SUMIFS(IF(D170=År1,'Resultater - Vestdanmark'!H$3:H$504,IF(D170=År2,'Resultater - Vestdanmark'!I$3:I$504,'Resultater - Vestdanmark'!J$3:J$504)),'Resultater - Vestdanmark'!$F$3:$F$504,$A170,IF(D170=År1,'Resultater - Vestdanmark'!H$3:H$504,IF(D170=År2,'Resultater - Vestdanmark'!I$3:I$504,'Resultater - Vestdanmark'!J$3:J$504)),"&gt;0"),SUMIFS(IF(D170=År1,'Resultater - Østdanmark'!H$3:H$504,IF(D170=År2,'Resultater - Østdanmark'!I$3:I$504,'Resultater - Østdanmark'!J$3:J$504)),'Resultater - Østdanmark'!$F$3:$F$504,$A170,IF(D170=År1,'Resultater - Østdanmark'!H$3:H$504,IF(D170=År2,'Resultater - Østdanmark'!I$3:I$504,'Resultater - Østdanmark'!J$3:J$504)),"&gt;0"))</f>
        <v>0</v>
      </c>
      <c r="G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forbrug'!G$2,'Forbrug af biomasse'!$B$2:$B$425,$E170)</f>
        <v>0</v>
      </c>
      <c r="H170" s="187">
        <f>IF(E170="Vestdanmark",-IF(A170="Halm",SUMIFS(IF(D170=År1,'Resultater - Vestdanmark'!H$3:H$504,IF(D170=År2,'Resultater - Vestdanmark'!I$3:I$504,'Resultater - Vestdanmark'!J$3:J$504)),'Resultater - Vestdanmark'!$F$3:$F$504,$A170,'Resultater - Vestdanmark'!H$3:H$504,"&lt;0"),0),-IF(A170="Halm",SUMIFS(IF(D170=År1,'Resultater - Østdanmark'!H$3:H$504,IF(D170=År2,'Resultater - Østdanmark'!I$3:I$504,'Resultater - Østdanmark'!J$3:J$504)),'Resultater - Østdanmark'!$F$3:$F$504,$A170,'Resultater - Østdanmark'!H$3:H$504,"&lt;0"),0))</f>
        <v>0</v>
      </c>
      <c r="I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forbrug'!I$2,'Forbrug af biomasse'!$B$2:$B$425,$E170)</f>
        <v>0</v>
      </c>
      <c r="J170" s="190">
        <f>SUMIFS('Forbrug af biomasse'!$E$2:$E$425,'Forbrug af biomasse'!$C$2:$C$425,'Resultat-Produktion &amp; forbrug'!$A170,'Forbrug af biomasse'!$D$2:$D$425,'Resultat-Produktion &amp; forbrug'!$D170,'Forbrug af biomasse'!$A$2:$A$425,'Resultat-Produktion &amp; forbrug'!J$2,'Forbrug af biomasse'!$B$2:$B$425,$E170)</f>
        <v>0</v>
      </c>
      <c r="K170" s="190">
        <f ca="1">SUMIFS('Forbrug af biomasse'!$E$2:$E$425,'Forbrug af biomasse'!$C$2:$C$425,'Resultat-Produktion &amp; forbrug'!$A170,'Forbrug af biomasse'!$D$2:$D$425,'Resultat-Produktion &amp; forbrug'!$D170,'Forbrug af biomasse'!$A$2:$A$425,'Resultat-Produktion &amp; forbrug'!K$2,'Forbrug af biomasse'!$B$2:$B$425,$E170)</f>
        <v>374820.3560243976</v>
      </c>
      <c r="L170" s="190">
        <f>IF(A170&lt;&gt;"Biogas",SUMIFS('Forbrug af biomasse'!$E$2:$E$425,'Forbrug af biomasse'!$C$2:$C$425,'Resultat-Produktion &amp; forbrug'!$A170,'Forbrug af biomasse'!$D$2:$D$425,'Resultat-Produktion &amp; forbrug'!$D170,'Forbrug af biomasse'!$A$2:$A$425,'Resultat-Produktion &amp; forbrug'!L$2,'Forbrug af biomasse'!$B$2:$B$425,$E170),F170)</f>
        <v>0</v>
      </c>
      <c r="M170" s="154">
        <f>SUMIFS('Forbrug af biomasse'!E:E,'Forbrug af biomasse'!C:C,'Resultat-Produktion &amp; forbrug'!$A170,'Forbrug af biomasse'!D:D,'Resultat-Produktion &amp; forbrug'!$D170,'Forbrug af biomasse'!G:G,1,'Forbrug af biomasse'!B:B,$E170)</f>
        <v>0</v>
      </c>
      <c r="N170" s="199">
        <f t="shared" ca="1" si="48"/>
        <v>-374820.3560243976</v>
      </c>
      <c r="O170" s="190">
        <f t="shared" si="39"/>
        <v>0</v>
      </c>
      <c r="P170" s="200">
        <f t="shared" si="49"/>
        <v>0</v>
      </c>
      <c r="Q170" s="187">
        <f>IFERROR(VLOOKUP(A170,[1]Energiindhold!$A$2:$C$11,3,FALSE),IFERROR(VLOOKUP(A170,[1]Biogasudbytte!$A$2:$B$18,2,FALSE)*[1]Energiindhold!$C$10,0))*O170</f>
        <v>0</v>
      </c>
      <c r="R170" s="187">
        <f>IF(A170&lt;&gt;"Biogas",IFERROR(VLOOKUP(A170,[1]Biogasudbytte!$A$2:$B$18,2,FALSE)*[1]Energiindhold!$C$10,0)*J170*IFERROR(VLOOKUP(A170,Biogasanlæg!$F$3:$G$8,2,FALSE),1)+IFERROR(VLOOKUP(A170,[1]Energiindhold!$A$2:$C$11,3,FALSE),0)*L170+IF(D170&lt;&gt;År1,Q170,0),0)</f>
        <v>0</v>
      </c>
      <c r="S170" s="187">
        <f>IFERROR(VLOOKUP(A170,[1]Biogasudbytte!$A$2:$B$18,2,FALSE)*[1]Energiindhold!$C$10,0)*J170*IFERROR(VLOOKUP(A170,Biogasanlæg!$F$3:$G$8,2,FALSE),1)</f>
        <v>0</v>
      </c>
      <c r="T170" s="188">
        <f t="shared" si="50"/>
        <v>0</v>
      </c>
      <c r="U170" s="186">
        <f>O170*IFERROR(VLOOKUP(A170,[1]Tørstofindhold!A$2:B$24,2,FALSE),0)</f>
        <v>0</v>
      </c>
      <c r="V170" s="187">
        <f>IF(D170=År1,P170,SUM(O170,P170))*IFERROR(VLOOKUP(A170,[1]Tørstofindhold!A$2:B$24,2,FALSE),0)</f>
        <v>0</v>
      </c>
      <c r="W170" s="187">
        <f>J170*IFERROR(VLOOKUP(A170,[1]Tørstofindhold!A$2:B$24,2,FALSE),0)</f>
        <v>0</v>
      </c>
      <c r="X170" s="188">
        <f t="shared" si="51"/>
        <v>0</v>
      </c>
      <c r="Y170" s="168">
        <f t="shared" ca="1" si="43"/>
        <v>1</v>
      </c>
      <c r="Z170" s="103">
        <f t="shared" ca="1" si="44"/>
        <v>0</v>
      </c>
    </row>
    <row r="171" spans="1:26" x14ac:dyDescent="0.25">
      <c r="A171" s="189" t="s">
        <v>136</v>
      </c>
      <c r="B171" s="189" t="s">
        <v>222</v>
      </c>
      <c r="C171" s="189">
        <f>IF(COUNTIFS('Resultater - Danmark'!$D$3:$D$504,'Resultat-Produktion &amp; forbrug'!A171,'Resultater - Danmark'!$A$3:$A$504,"Til energi")+COUNTIFS('Resultater - Danmark'!$D$3:$D$504,'Resultat-Produktion &amp; forbrug'!A171,'Resultater - Danmark'!$A$3:$A$504,"Biogasanlæg")&gt;0,1,0)</f>
        <v>1</v>
      </c>
      <c r="D171" s="189">
        <f t="shared" si="47"/>
        <v>2019</v>
      </c>
      <c r="E171" s="187" t="s">
        <v>24</v>
      </c>
      <c r="F171" s="190">
        <f>IF(E171="Vestdanmark",SUMIFS(IF(D171=År1,'Resultater - Vestdanmark'!H$3:H$504,IF(D171=År2,'Resultater - Vestdanmark'!I$3:I$504,'Resultater - Vestdanmark'!J$3:J$504)),'Resultater - Vestdanmark'!$F$3:$F$504,$A171,IF(D171=År1,'Resultater - Vestdanmark'!H$3:H$504,IF(D171=År2,'Resultater - Vestdanmark'!I$3:I$504,'Resultater - Vestdanmark'!J$3:J$504)),"&gt;0"),SUMIFS(IF(D171=År1,'Resultater - Østdanmark'!H$3:H$504,IF(D171=År2,'Resultater - Østdanmark'!I$3:I$504,'Resultater - Østdanmark'!J$3:J$504)),'Resultater - Østdanmark'!$F$3:$F$504,$A171,IF(D171=År1,'Resultater - Østdanmark'!H$3:H$504,IF(D171=År2,'Resultater - Østdanmark'!I$3:I$504,'Resultater - Østdanmark'!J$3:J$504)),"&gt;0"))</f>
        <v>925084.21922943438</v>
      </c>
      <c r="G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forbrug'!G$2,'Forbrug af biomasse'!$B$2:$B$425,$E171)</f>
        <v>0</v>
      </c>
      <c r="H171" s="187">
        <f>IF(E171="Vestdanmark",-IF(A171="Halm",SUMIFS(IF(D171=År1,'Resultater - Vestdanmark'!H$3:H$504,IF(D171=År2,'Resultater - Vestdanmark'!I$3:I$504,'Resultater - Vestdanmark'!J$3:J$504)),'Resultater - Vestdanmark'!$F$3:$F$504,$A171,'Resultater - Vestdanmark'!H$3:H$504,"&lt;0"),0),-IF(A171="Halm",SUMIFS(IF(D171=År1,'Resultater - Østdanmark'!H$3:H$504,IF(D171=År2,'Resultater - Østdanmark'!I$3:I$504,'Resultater - Østdanmark'!J$3:J$504)),'Resultater - Østdanmark'!$F$3:$F$504,$A171,'Resultater - Østdanmark'!H$3:H$504,"&lt;0"),0))</f>
        <v>0</v>
      </c>
      <c r="I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forbrug'!I$2,'Forbrug af biomasse'!$B$2:$B$425,$E171)</f>
        <v>0</v>
      </c>
      <c r="J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forbrug'!J$2,'Forbrug af biomasse'!$B$2:$B$425,$E171)</f>
        <v>286645.05985025823</v>
      </c>
      <c r="K171" s="190">
        <f>SUMIFS('Forbrug af biomasse'!$E$2:$E$425,'Forbrug af biomasse'!$C$2:$C$425,'Resultat-Produktion &amp; forbrug'!$A171,'Forbrug af biomasse'!$D$2:$D$425,'Resultat-Produktion &amp; forbrug'!$D171,'Forbrug af biomasse'!$A$2:$A$425,'Resultat-Produktion &amp; forbrug'!K$2,'Forbrug af biomasse'!$B$2:$B$425,$E171)</f>
        <v>638439.1593791761</v>
      </c>
      <c r="L171" s="190">
        <f>IF(A171&lt;&gt;"Biogas",SUMIFS('Forbrug af biomasse'!$E$2:$E$425,'Forbrug af biomasse'!$C$2:$C$425,'Resultat-Produktion &amp; forbrug'!$A171,'Forbrug af biomasse'!$D$2:$D$425,'Resultat-Produktion &amp; forbrug'!$D171,'Forbrug af biomasse'!$A$2:$A$425,'Resultat-Produktion &amp; forbrug'!L$2,'Forbrug af biomasse'!$B$2:$B$425,$E171),F171)</f>
        <v>0</v>
      </c>
      <c r="M171" s="154">
        <f>SUMIFS('Forbrug af biomasse'!E:E,'Forbrug af biomasse'!C:C,'Resultat-Produktion &amp; forbrug'!$A171,'Forbrug af biomasse'!D:D,'Resultat-Produktion &amp; forbrug'!$D171,'Forbrug af biomasse'!G:G,1,'Forbrug af biomasse'!B:B,$E171)</f>
        <v>0</v>
      </c>
      <c r="N171" s="199">
        <f t="shared" si="48"/>
        <v>0</v>
      </c>
      <c r="O171" s="190">
        <f t="shared" si="39"/>
        <v>0</v>
      </c>
      <c r="P171" s="200">
        <f t="shared" si="49"/>
        <v>286645.05985025823</v>
      </c>
      <c r="Q171" s="187">
        <f>IFERROR(VLOOKUP(A171,[1]Energiindhold!$A$2:$C$11,3,FALSE),IFERROR(VLOOKUP(A171,[1]Biogasudbytte!$A$2:$B$18,2,FALSE)*[1]Energiindhold!$C$10,0))*O171</f>
        <v>0</v>
      </c>
      <c r="R171" s="187">
        <f>IF(A171&lt;&gt;"Biogas",IFERROR(VLOOKUP(A171,[1]Biogasudbytte!$A$2:$B$18,2,FALSE)*[1]Energiindhold!$C$10,0)*J171*IFERROR(VLOOKUP(A171,Biogasanlæg!$F$3:$G$8,2,FALSE),1)+IFERROR(VLOOKUP(A171,[1]Energiindhold!$A$2:$C$11,3,FALSE),0)*L171+IF(D171&lt;&gt;År1,Q171,0),0)</f>
        <v>0.14509686284560222</v>
      </c>
      <c r="S171" s="187">
        <f>IFERROR(VLOOKUP(A171,[1]Biogasudbytte!$A$2:$B$18,2,FALSE)*[1]Energiindhold!$C$10,0)*J171*IFERROR(VLOOKUP(A171,Biogasanlæg!$F$3:$G$8,2,FALSE),1)</f>
        <v>0.14509686284560222</v>
      </c>
      <c r="T171" s="188">
        <f t="shared" si="50"/>
        <v>0</v>
      </c>
      <c r="U171" s="186">
        <f>O171*IFERROR(VLOOKUP(A171,[1]Tørstofindhold!A$2:B$24,2,FALSE),0)</f>
        <v>0</v>
      </c>
      <c r="V171" s="187">
        <f>IF(D171=År1,P171,SUM(O171,P171))*IFERROR(VLOOKUP(A171,[1]Tørstofindhold!A$2:B$24,2,FALSE),0)</f>
        <v>21785.024548619625</v>
      </c>
      <c r="W171" s="187">
        <f>J171*IFERROR(VLOOKUP(A171,[1]Tørstofindhold!A$2:B$24,2,FALSE),0)</f>
        <v>21785.024548619625</v>
      </c>
      <c r="X171" s="188">
        <f t="shared" si="51"/>
        <v>0</v>
      </c>
      <c r="Y171" s="168">
        <f t="shared" si="43"/>
        <v>0</v>
      </c>
      <c r="Z171" s="103">
        <f t="shared" si="44"/>
        <v>0</v>
      </c>
    </row>
    <row r="172" spans="1:26" x14ac:dyDescent="0.25">
      <c r="A172" s="189" t="s">
        <v>108</v>
      </c>
      <c r="B172" s="189"/>
      <c r="C172" s="189">
        <f>IF(COUNTIFS('Resultater - Danmark'!$D$3:$D$504,'Resultat-Produktion &amp; forbrug'!A172,'Resultater - Danmark'!$A$3:$A$504,"Til energi")+COUNTIFS('Resultater - Danmark'!$D$3:$D$504,'Resultat-Produktion &amp; forbrug'!A172,'Resultater - Danmark'!$A$3:$A$504,"Biogasanlæg")&gt;0,1,0)</f>
        <v>0</v>
      </c>
      <c r="D172" s="189">
        <f t="shared" si="47"/>
        <v>2019</v>
      </c>
      <c r="E172" s="187" t="s">
        <v>24</v>
      </c>
      <c r="F172" s="190">
        <f>IF(E172="Vestdanmark",SUMIFS(IF(D172=År1,'Resultater - Vestdanmark'!H$3:H$504,IF(D172=År2,'Resultater - Vestdanmark'!I$3:I$504,'Resultater - Vestdanmark'!J$3:J$504)),'Resultater - Vestdanmark'!$F$3:$F$504,$A172,IF(D172=År1,'Resultater - Vestdanmark'!H$3:H$504,IF(D172=År2,'Resultater - Vestdanmark'!I$3:I$504,'Resultater - Vestdanmark'!J$3:J$504)),"&gt;0"),SUMIFS(IF(D172=År1,'Resultater - Østdanmark'!H$3:H$504,IF(D172=År2,'Resultater - Østdanmark'!I$3:I$504,'Resultater - Østdanmark'!J$3:J$504)),'Resultater - Østdanmark'!$F$3:$F$504,$A172,IF(D172=År1,'Resultater - Østdanmark'!H$3:H$504,IF(D172=År2,'Resultater - Østdanmark'!I$3:I$504,'Resultater - Østdanmark'!J$3:J$504)),"&gt;0"))</f>
        <v>115489.08079619991</v>
      </c>
      <c r="G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forbrug'!G$2,'Forbrug af biomasse'!$B$2:$B$425,$E172)</f>
        <v>186040.49371289223</v>
      </c>
      <c r="H172" s="187">
        <f>IF(E172="Vestdanmark",-IF(A172="Halm",SUMIFS(IF(D172=År1,'Resultater - Vestdanmark'!H$3:H$504,IF(D172=År2,'Resultater - Vestdanmark'!I$3:I$504,'Resultater - Vestdanmark'!J$3:J$504)),'Resultater - Vestdanmark'!$F$3:$F$504,$A172,'Resultater - Vestdanmark'!H$3:H$504,"&lt;0"),0),-IF(A172="Halm",SUMIFS(IF(D172=År1,'Resultater - Østdanmark'!H$3:H$504,IF(D172=År2,'Resultater - Østdanmark'!I$3:I$504,'Resultater - Østdanmark'!J$3:J$504)),'Resultater - Østdanmark'!$F$3:$F$504,$A172,'Resultater - Østdanmark'!H$3:H$504,"&lt;0"),0))</f>
        <v>0</v>
      </c>
      <c r="I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forbrug'!I$2,'Forbrug af biomasse'!$B$2:$B$425,$E172)</f>
        <v>0</v>
      </c>
      <c r="J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forbrug'!J$2,'Forbrug af biomasse'!$B$2:$B$425,$E172)</f>
        <v>0</v>
      </c>
      <c r="K172" s="190">
        <f>SUMIFS('Forbrug af biomasse'!$E$2:$E$425,'Forbrug af biomasse'!$C$2:$C$425,'Resultat-Produktion &amp; forbrug'!$A172,'Forbrug af biomasse'!$D$2:$D$425,'Resultat-Produktion &amp; forbrug'!$D172,'Forbrug af biomasse'!$A$2:$A$425,'Resultat-Produktion &amp; forbrug'!K$2,'Forbrug af biomasse'!$B$2:$B$425,$E172)</f>
        <v>0</v>
      </c>
      <c r="L172" s="190">
        <f>IF(A172&lt;&gt;"Biogas",SUMIFS('Forbrug af biomasse'!$E$2:$E$425,'Forbrug af biomasse'!$C$2:$C$425,'Resultat-Produktion &amp; forbrug'!$A172,'Forbrug af biomasse'!$D$2:$D$425,'Resultat-Produktion &amp; forbrug'!$D172,'Forbrug af biomasse'!$A$2:$A$425,'Resultat-Produktion &amp; forbrug'!L$2,'Forbrug af biomasse'!$B$2:$B$425,$E172),F172)</f>
        <v>0</v>
      </c>
      <c r="M172" s="154">
        <f>SUMIFS('Forbrug af biomasse'!E:E,'Forbrug af biomasse'!C:C,'Resultat-Produktion &amp; forbrug'!$A172,'Forbrug af biomasse'!D:D,'Resultat-Produktion &amp; forbrug'!$D172,'Forbrug af biomasse'!G:G,1,'Forbrug af biomasse'!B:B,$E172)</f>
        <v>0</v>
      </c>
      <c r="N172" s="199">
        <f t="shared" si="48"/>
        <v>-70551.412916692323</v>
      </c>
      <c r="O172" s="190">
        <f t="shared" si="39"/>
        <v>0</v>
      </c>
      <c r="P172" s="200">
        <f t="shared" si="49"/>
        <v>0</v>
      </c>
      <c r="Q172" s="187">
        <f>IFERROR(VLOOKUP(A172,[1]Energiindhold!$A$2:$C$11,3,FALSE),IFERROR(VLOOKUP(A172,[1]Biogasudbytte!$A$2:$B$18,2,FALSE)*[1]Energiindhold!$C$10,0))*O172</f>
        <v>0</v>
      </c>
      <c r="R172" s="187">
        <f>IF(A172&lt;&gt;"Biogas",IFERROR(VLOOKUP(A172,[1]Biogasudbytte!$A$2:$B$18,2,FALSE)*[1]Energiindhold!$C$10,0)*J172*IFERROR(VLOOKUP(A172,Biogasanlæg!$F$3:$G$8,2,FALSE),1)+IFERROR(VLOOKUP(A172,[1]Energiindhold!$A$2:$C$11,3,FALSE),0)*L172+IF(D172&lt;&gt;År1,Q172,0),0)</f>
        <v>0</v>
      </c>
      <c r="S172" s="187">
        <f>IFERROR(VLOOKUP(A172,[1]Biogasudbytte!$A$2:$B$18,2,FALSE)*[1]Energiindhold!$C$10,0)*J172*IFERROR(VLOOKUP(A172,Biogasanlæg!$F$3:$G$8,2,FALSE),1)</f>
        <v>0</v>
      </c>
      <c r="T172" s="188">
        <f t="shared" si="50"/>
        <v>0</v>
      </c>
      <c r="U172" s="186">
        <f>O172*IFERROR(VLOOKUP(A172,[1]Tørstofindhold!A$2:B$24,2,FALSE),0)</f>
        <v>0</v>
      </c>
      <c r="V172" s="187">
        <f>IF(D172=År1,P172,SUM(O172,P172))*IFERROR(VLOOKUP(A172,[1]Tørstofindhold!A$2:B$24,2,FALSE),0)</f>
        <v>0</v>
      </c>
      <c r="W172" s="187">
        <f>J172*IFERROR(VLOOKUP(A172,[1]Tørstofindhold!A$2:B$24,2,FALSE),0)</f>
        <v>0</v>
      </c>
      <c r="X172" s="188">
        <f t="shared" si="51"/>
        <v>0</v>
      </c>
      <c r="Y172" s="168">
        <f t="shared" si="43"/>
        <v>0</v>
      </c>
      <c r="Z172" s="103">
        <f t="shared" si="44"/>
        <v>1</v>
      </c>
    </row>
    <row r="173" spans="1:26" x14ac:dyDescent="0.25">
      <c r="A173" s="187" t="s">
        <v>53</v>
      </c>
      <c r="B173" s="189" t="s">
        <v>224</v>
      </c>
      <c r="C173" s="189">
        <f>IF(COUNTIFS('Resultater - Danmark'!$D$3:$D$504,'Resultat-Produktion &amp; forbrug'!A173,'Resultater - Danmark'!$A$3:$A$504,"Til energi")+COUNTIFS('Resultater - Danmark'!$D$3:$D$504,'Resultat-Produktion &amp; forbrug'!A173,'Resultater - Danmark'!$A$3:$A$504,"Biogasanlæg")&gt;0,1,0)</f>
        <v>1</v>
      </c>
      <c r="D173" s="189">
        <f t="shared" si="47"/>
        <v>2019</v>
      </c>
      <c r="E173" s="187" t="s">
        <v>24</v>
      </c>
      <c r="F173" s="190">
        <f>IF(E173="Vestdanmark",SUMIFS(IF(D173=År1,'Resultater - Vestdanmark'!H$3:H$504,IF(D173=År2,'Resultater - Vestdanmark'!I$3:I$504,'Resultater - Vestdanmark'!J$3:J$504)),'Resultater - Vestdanmark'!$F$3:$F$504,$A173,IF(D173=År1,'Resultater - Vestdanmark'!H$3:H$504,IF(D173=År2,'Resultater - Vestdanmark'!I$3:I$504,'Resultater - Vestdanmark'!J$3:J$504)),"&gt;0"),SUMIFS(IF(D173=År1,'Resultater - Østdanmark'!H$3:H$504,IF(D173=År2,'Resultater - Østdanmark'!I$3:I$504,'Resultater - Østdanmark'!J$3:J$504)),'Resultater - Østdanmark'!$F$3:$F$504,$A173,IF(D173=År1,'Resultater - Østdanmark'!H$3:H$504,IF(D173=År2,'Resultater - Østdanmark'!I$3:I$504,'Resultater - Østdanmark'!J$3:J$504)),"&gt;0"))</f>
        <v>365245.73356828612</v>
      </c>
      <c r="G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forbrug'!G$2,'Forbrug af biomasse'!$B$2:$B$425,$E173)</f>
        <v>694353.2611092875</v>
      </c>
      <c r="H173" s="187">
        <f>IF(E173="Vestdanmark",-IF(A173="Halm",SUMIFS(IF(D173=År1,'Resultater - Vestdanmark'!H$3:H$504,IF(D173=År2,'Resultater - Vestdanmark'!I$3:I$504,'Resultater - Vestdanmark'!J$3:J$504)),'Resultater - Vestdanmark'!$F$3:$F$504,$A173,'Resultater - Vestdanmark'!H$3:H$504,"&lt;0"),0),-IF(A173="Halm",SUMIFS(IF(D173=År1,'Resultater - Østdanmark'!H$3:H$504,IF(D173=År2,'Resultater - Østdanmark'!I$3:I$504,'Resultater - Østdanmark'!J$3:J$504)),'Resultater - Østdanmark'!$F$3:$F$504,$A173,'Resultater - Østdanmark'!H$3:H$504,"&lt;0"),0))</f>
        <v>0</v>
      </c>
      <c r="I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forbrug'!I$2,'Forbrug af biomasse'!$B$2:$B$425,$E173)</f>
        <v>0</v>
      </c>
      <c r="J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forbrug'!J$2,'Forbrug af biomasse'!$B$2:$B$425,$E173)</f>
        <v>15151.053724986185</v>
      </c>
      <c r="K173" s="190">
        <f>SUMIFS('Forbrug af biomasse'!$E$2:$E$425,'Forbrug af biomasse'!$C$2:$C$425,'Resultat-Produktion &amp; forbrug'!$A173,'Forbrug af biomasse'!$D$2:$D$425,'Resultat-Produktion &amp; forbrug'!$D173,'Forbrug af biomasse'!$A$2:$A$425,'Resultat-Produktion &amp; forbrug'!K$2,'Forbrug af biomasse'!$B$2:$B$425,$E173)</f>
        <v>0</v>
      </c>
      <c r="L173" s="190">
        <f>IF(A173&lt;&gt;"Biogas",SUMIFS('Forbrug af biomasse'!$E$2:$E$425,'Forbrug af biomasse'!$C$2:$C$425,'Resultat-Produktion &amp; forbrug'!$A173,'Forbrug af biomasse'!$D$2:$D$425,'Resultat-Produktion &amp; forbrug'!$D173,'Forbrug af biomasse'!$A$2:$A$425,'Resultat-Produktion &amp; forbrug'!L$2,'Forbrug af biomasse'!$B$2:$B$425,$E173),F173)</f>
        <v>0</v>
      </c>
      <c r="M173" s="154">
        <f>SUMIFS('Forbrug af biomasse'!E:E,'Forbrug af biomasse'!C:C,'Resultat-Produktion &amp; forbrug'!$A173,'Forbrug af biomasse'!D:D,'Resultat-Produktion &amp; forbrug'!$D173,'Forbrug af biomasse'!G:G,1,'Forbrug af biomasse'!B:B,$E173)</f>
        <v>0</v>
      </c>
      <c r="N173" s="199">
        <f t="shared" si="48"/>
        <v>-344258.58126598754</v>
      </c>
      <c r="O173" s="190">
        <f t="shared" si="39"/>
        <v>0</v>
      </c>
      <c r="P173" s="200">
        <f t="shared" si="49"/>
        <v>15151.053724986185</v>
      </c>
      <c r="Q173" s="187">
        <f>IFERROR(VLOOKUP(A173,[1]Energiindhold!$A$2:$C$11,3,FALSE),IFERROR(VLOOKUP(A173,[1]Biogasudbytte!$A$2:$B$18,2,FALSE)*[1]Energiindhold!$C$10,0))*O173</f>
        <v>0</v>
      </c>
      <c r="R173" s="187">
        <f>IF(A173&lt;&gt;"Biogas",IFERROR(VLOOKUP(A173,[1]Biogasudbytte!$A$2:$B$18,2,FALSE)*[1]Energiindhold!$C$10,0)*J173*IFERROR(VLOOKUP(A173,Biogasanlæg!$F$3:$G$8,2,FALSE),1)+IFERROR(VLOOKUP(A173,[1]Energiindhold!$A$2:$C$11,3,FALSE),0)*L173+IF(D173&lt;&gt;År1,Q173,0),0)</f>
        <v>5.4392282872700405E-2</v>
      </c>
      <c r="S173" s="187">
        <f>IFERROR(VLOOKUP(A173,[1]Biogasudbytte!$A$2:$B$18,2,FALSE)*[1]Energiindhold!$C$10,0)*J173*IFERROR(VLOOKUP(A173,Biogasanlæg!$F$3:$G$8,2,FALSE),1)</f>
        <v>5.4392282872700405E-2</v>
      </c>
      <c r="T173" s="188">
        <f t="shared" si="50"/>
        <v>0</v>
      </c>
      <c r="U173" s="186">
        <f>O173*IFERROR(VLOOKUP(A173,[1]Tørstofindhold!A$2:B$24,2,FALSE),0)</f>
        <v>0</v>
      </c>
      <c r="V173" s="187">
        <f>IF(D173=År1,P173,SUM(O173,P173))*IFERROR(VLOOKUP(A173,[1]Tørstofindhold!A$2:B$24,2,FALSE),0)</f>
        <v>4545.316117495855</v>
      </c>
      <c r="W173" s="187">
        <f>J173*IFERROR(VLOOKUP(A173,[1]Tørstofindhold!A$2:B$24,2,FALSE),0)</f>
        <v>4545.316117495855</v>
      </c>
      <c r="X173" s="188">
        <f t="shared" si="51"/>
        <v>0</v>
      </c>
      <c r="Y173" s="168">
        <f t="shared" si="43"/>
        <v>0</v>
      </c>
      <c r="Z173" s="103">
        <f t="shared" si="44"/>
        <v>1</v>
      </c>
    </row>
    <row r="174" spans="1:26" x14ac:dyDescent="0.25">
      <c r="A174" s="189" t="s">
        <v>116</v>
      </c>
      <c r="B174" s="189"/>
      <c r="C174" s="189">
        <f>IF(COUNTIFS('Resultater - Danmark'!$D$3:$D$504,'Resultat-Produktion &amp; forbrug'!A174,'Resultater - Danmark'!$A$3:$A$504,"Til energi")+COUNTIFS('Resultater - Danmark'!$D$3:$D$504,'Resultat-Produktion &amp; forbrug'!A174,'Resultater - Danmark'!$A$3:$A$504,"Biogasanlæg")&gt;0,1,0)</f>
        <v>0</v>
      </c>
      <c r="D174" s="189">
        <f t="shared" si="47"/>
        <v>2019</v>
      </c>
      <c r="E174" s="187" t="s">
        <v>24</v>
      </c>
      <c r="F174" s="190">
        <f>IF(E174="Vestdanmark",SUMIFS(IF(D174=År1,'Resultater - Vestdanmark'!H$3:H$504,IF(D174=År2,'Resultater - Vestdanmark'!I$3:I$504,'Resultater - Vestdanmark'!J$3:J$504)),'Resultater - Vestdanmark'!$F$3:$F$504,$A174,IF(D174=År1,'Resultater - Vestdanmark'!H$3:H$504,IF(D174=År2,'Resultater - Vestdanmark'!I$3:I$504,'Resultater - Vestdanmark'!J$3:J$504)),"&gt;0"),SUMIFS(IF(D174=År1,'Resultater - Østdanmark'!H$3:H$504,IF(D174=År2,'Resultater - Østdanmark'!I$3:I$504,'Resultater - Østdanmark'!J$3:J$504)),'Resultater - Østdanmark'!$F$3:$F$504,$A174,IF(D174=År1,'Resultater - Østdanmark'!H$3:H$504,IF(D174=År2,'Resultater - Østdanmark'!I$3:I$504,'Resultater - Østdanmark'!J$3:J$504)),"&gt;0"))</f>
        <v>222833.98833453824</v>
      </c>
      <c r="G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forbrug'!G$2,'Forbrug af biomasse'!$B$2:$B$425,$E174)</f>
        <v>0</v>
      </c>
      <c r="H174" s="187">
        <f>IF(E174="Vestdanmark",-IF(A174="Halm",SUMIFS(IF(D174=År1,'Resultater - Vestdanmark'!H$3:H$504,IF(D174=År2,'Resultater - Vestdanmark'!I$3:I$504,'Resultater - Vestdanmark'!J$3:J$504)),'Resultater - Vestdanmark'!$F$3:$F$504,$A174,'Resultater - Vestdanmark'!H$3:H$504,"&lt;0"),0),-IF(A174="Halm",SUMIFS(IF(D174=År1,'Resultater - Østdanmark'!H$3:H$504,IF(D174=År2,'Resultater - Østdanmark'!I$3:I$504,'Resultater - Østdanmark'!J$3:J$504)),'Resultater - Østdanmark'!$F$3:$F$504,$A174,'Resultater - Østdanmark'!H$3:H$504,"&lt;0"),0))</f>
        <v>0</v>
      </c>
      <c r="I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forbrug'!I$2,'Forbrug af biomasse'!$B$2:$B$425,$E174)</f>
        <v>389767.86287629709</v>
      </c>
      <c r="J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forbrug'!J$2,'Forbrug af biomasse'!$B$2:$B$425,$E174)</f>
        <v>0</v>
      </c>
      <c r="K174" s="190">
        <f>SUMIFS('Forbrug af biomasse'!$E$2:$E$425,'Forbrug af biomasse'!$C$2:$C$425,'Resultat-Produktion &amp; forbrug'!$A174,'Forbrug af biomasse'!$D$2:$D$425,'Resultat-Produktion &amp; forbrug'!$D174,'Forbrug af biomasse'!$A$2:$A$425,'Resultat-Produktion &amp; forbrug'!K$2,'Forbrug af biomasse'!$B$2:$B$425,$E174)</f>
        <v>0</v>
      </c>
      <c r="L174" s="190">
        <f>IF(A174&lt;&gt;"Biogas",SUMIFS('Forbrug af biomasse'!$E$2:$E$425,'Forbrug af biomasse'!$C$2:$C$425,'Resultat-Produktion &amp; forbrug'!$A174,'Forbrug af biomasse'!$D$2:$D$425,'Resultat-Produktion &amp; forbrug'!$D174,'Forbrug af biomasse'!$A$2:$A$425,'Resultat-Produktion &amp; forbrug'!L$2,'Forbrug af biomasse'!$B$2:$B$425,$E174),F174)</f>
        <v>0</v>
      </c>
      <c r="M174" s="154">
        <f>SUMIFS('Forbrug af biomasse'!E:E,'Forbrug af biomasse'!C:C,'Resultat-Produktion &amp; forbrug'!$A174,'Forbrug af biomasse'!D:D,'Resultat-Produktion &amp; forbrug'!$D174,'Forbrug af biomasse'!G:G,1,'Forbrug af biomasse'!B:B,$E174)</f>
        <v>0</v>
      </c>
      <c r="N174" s="199">
        <f t="shared" si="48"/>
        <v>-166933.87454175885</v>
      </c>
      <c r="O174" s="190">
        <f t="shared" si="39"/>
        <v>0</v>
      </c>
      <c r="P174" s="200">
        <f t="shared" si="49"/>
        <v>0</v>
      </c>
      <c r="Q174" s="187">
        <f>IFERROR(VLOOKUP(A174,[1]Energiindhold!$A$2:$C$11,3,FALSE),IFERROR(VLOOKUP(A174,[1]Biogasudbytte!$A$2:$B$18,2,FALSE)*[1]Energiindhold!$C$10,0))*O174</f>
        <v>0</v>
      </c>
      <c r="R174" s="187">
        <f>IF(A174&lt;&gt;"Biogas",IFERROR(VLOOKUP(A174,[1]Biogasudbytte!$A$2:$B$18,2,FALSE)*[1]Energiindhold!$C$10,0)*J174*IFERROR(VLOOKUP(A174,Biogasanlæg!$F$3:$G$8,2,FALSE),1)+IFERROR(VLOOKUP(A174,[1]Energiindhold!$A$2:$C$11,3,FALSE),0)*L174+IF(D174&lt;&gt;År1,Q174,0),0)</f>
        <v>0</v>
      </c>
      <c r="S174" s="187">
        <f>IFERROR(VLOOKUP(A174,[1]Biogasudbytte!$A$2:$B$18,2,FALSE)*[1]Energiindhold!$C$10,0)*J174*IFERROR(VLOOKUP(A174,Biogasanlæg!$F$3:$G$8,2,FALSE),1)</f>
        <v>0</v>
      </c>
      <c r="T174" s="188">
        <f t="shared" si="50"/>
        <v>0</v>
      </c>
      <c r="U174" s="186">
        <f>O174*IFERROR(VLOOKUP(A174,[1]Tørstofindhold!A$2:B$24,2,FALSE),0)</f>
        <v>0</v>
      </c>
      <c r="V174" s="187">
        <f>IF(D174=År1,P174,SUM(O174,P174))*IFERROR(VLOOKUP(A174,[1]Tørstofindhold!A$2:B$24,2,FALSE),0)</f>
        <v>0</v>
      </c>
      <c r="W174" s="187">
        <f>J174*IFERROR(VLOOKUP(A174,[1]Tørstofindhold!A$2:B$24,2,FALSE),0)</f>
        <v>0</v>
      </c>
      <c r="X174" s="188">
        <f t="shared" si="51"/>
        <v>0</v>
      </c>
      <c r="Y174" s="168">
        <f t="shared" si="43"/>
        <v>0</v>
      </c>
      <c r="Z174" s="103">
        <f t="shared" si="44"/>
        <v>1</v>
      </c>
    </row>
    <row r="175" spans="1:26" x14ac:dyDescent="0.25">
      <c r="A175" s="189" t="s">
        <v>106</v>
      </c>
      <c r="B175" s="189" t="s">
        <v>226</v>
      </c>
      <c r="C175" s="189">
        <f>IF(COUNTIFS('Resultater - Danmark'!$D$3:$D$504,'Resultat-Produktion &amp; forbrug'!A175,'Resultater - Danmark'!$A$3:$A$504,"Til energi")+COUNTIFS('Resultater - Danmark'!$D$3:$D$504,'Resultat-Produktion &amp; forbrug'!A175,'Resultater - Danmark'!$A$3:$A$504,"Biogasanlæg")&gt;0,1,0)</f>
        <v>1</v>
      </c>
      <c r="D175" s="189">
        <f t="shared" si="47"/>
        <v>2019</v>
      </c>
      <c r="E175" s="187" t="s">
        <v>24</v>
      </c>
      <c r="F175" s="190">
        <f>IF(E175="Vestdanmark",SUMIFS(IF(D175=År1,'Resultater - Vestdanmark'!H$3:H$504,IF(D175=År2,'Resultater - Vestdanmark'!I$3:I$504,'Resultater - Vestdanmark'!J$3:J$504)),'Resultater - Vestdanmark'!$F$3:$F$504,$A175,IF(D175=År1,'Resultater - Vestdanmark'!H$3:H$504,IF(D175=År2,'Resultater - Vestdanmark'!I$3:I$504,'Resultater - Vestdanmark'!J$3:J$504)),"&gt;0"),SUMIFS(IF(D175=År1,'Resultater - Østdanmark'!H$3:H$504,IF(D175=År2,'Resultater - Østdanmark'!I$3:I$504,'Resultater - Østdanmark'!J$3:J$504)),'Resultater - Østdanmark'!$F$3:$F$504,$A175,IF(D175=År1,'Resultater - Østdanmark'!H$3:H$504,IF(D175=År2,'Resultater - Østdanmark'!I$3:I$504,'Resultater - Østdanmark'!J$3:J$504)),"&gt;0"))</f>
        <v>1.1976865502381491</v>
      </c>
      <c r="G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forbrug'!G$2,'Forbrug af biomasse'!$B$2:$B$425,$E175)</f>
        <v>0</v>
      </c>
      <c r="H175" s="187">
        <f>IF(E175="Vestdanmark",-IF(A175="Halm",SUMIFS(IF(D175=År1,'Resultater - Vestdanmark'!H$3:H$504,IF(D175=År2,'Resultater - Vestdanmark'!I$3:I$504,'Resultater - Vestdanmark'!J$3:J$504)),'Resultater - Vestdanmark'!$F$3:$F$504,$A175,'Resultater - Vestdanmark'!H$3:H$504,"&lt;0"),0),-IF(A175="Halm",SUMIFS(IF(D175=År1,'Resultater - Østdanmark'!H$3:H$504,IF(D175=År2,'Resultater - Østdanmark'!I$3:I$504,'Resultater - Østdanmark'!J$3:J$504)),'Resultater - Østdanmark'!$F$3:$F$504,$A175,'Resultater - Østdanmark'!H$3:H$504,"&lt;0"),0))</f>
        <v>0</v>
      </c>
      <c r="I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forbrug'!I$2,'Forbrug af biomasse'!$B$2:$B$425,$E175)</f>
        <v>0</v>
      </c>
      <c r="J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forbrug'!J$2,'Forbrug af biomasse'!$B$2:$B$425,$E175)</f>
        <v>0</v>
      </c>
      <c r="K175" s="190">
        <f>SUMIFS('Forbrug af biomasse'!$E$2:$E$425,'Forbrug af biomasse'!$C$2:$C$425,'Resultat-Produktion &amp; forbrug'!$A175,'Forbrug af biomasse'!$D$2:$D$425,'Resultat-Produktion &amp; forbrug'!$D175,'Forbrug af biomasse'!$A$2:$A$425,'Resultat-Produktion &amp; forbrug'!K$2,'Forbrug af biomasse'!$B$2:$B$425,$E175)</f>
        <v>0</v>
      </c>
      <c r="L175" s="190">
        <f>IF(A175&lt;&gt;"Biogas",SUMIFS('Forbrug af biomasse'!$E$2:$E$425,'Forbrug af biomasse'!$C$2:$C$425,'Resultat-Produktion &amp; forbrug'!$A175,'Forbrug af biomasse'!$D$2:$D$425,'Resultat-Produktion &amp; forbrug'!$D175,'Forbrug af biomasse'!$A$2:$A$425,'Resultat-Produktion &amp; forbrug'!L$2,'Forbrug af biomasse'!$B$2:$B$425,$E175),F175)</f>
        <v>0</v>
      </c>
      <c r="M175" s="154">
        <f>SUMIFS('Forbrug af biomasse'!E:E,'Forbrug af biomasse'!C:C,'Resultat-Produktion &amp; forbrug'!$A175,'Forbrug af biomasse'!D:D,'Resultat-Produktion &amp; forbrug'!$D175,'Forbrug af biomasse'!G:G,1,'Forbrug af biomasse'!B:B,$E175)</f>
        <v>0</v>
      </c>
      <c r="N175" s="199">
        <f t="shared" si="48"/>
        <v>1.1976865502381491</v>
      </c>
      <c r="O175" s="190">
        <f t="shared" si="39"/>
        <v>1.1976865502381491</v>
      </c>
      <c r="P175" s="200">
        <f t="shared" si="49"/>
        <v>0</v>
      </c>
      <c r="Q175" s="187">
        <f>IFERROR(VLOOKUP(A175,[1]Energiindhold!$A$2:$C$11,3,FALSE),IFERROR(VLOOKUP(A175,[1]Biogasudbytte!$A$2:$B$18,2,FALSE)*[1]Energiindhold!$C$10,0))*O175</f>
        <v>1.0749236788387388E-6</v>
      </c>
      <c r="R175" s="187">
        <f>IF(A175&lt;&gt;"Biogas",IFERROR(VLOOKUP(A175,[1]Biogasudbytte!$A$2:$B$18,2,FALSE)*[1]Energiindhold!$C$10,0)*J175*IFERROR(VLOOKUP(A175,Biogasanlæg!$F$3:$G$8,2,FALSE),1)+IFERROR(VLOOKUP(A175,[1]Energiindhold!$A$2:$C$11,3,FALSE),0)*L175+IF(D175&lt;&gt;År1,Q175,0),0)</f>
        <v>0</v>
      </c>
      <c r="S175" s="187">
        <f>IFERROR(VLOOKUP(A175,[1]Biogasudbytte!$A$2:$B$18,2,FALSE)*[1]Energiindhold!$C$10,0)*J175*IFERROR(VLOOKUP(A175,Biogasanlæg!$F$3:$G$8,2,FALSE),1)</f>
        <v>0</v>
      </c>
      <c r="T175" s="188">
        <f t="shared" si="50"/>
        <v>0</v>
      </c>
      <c r="U175" s="186">
        <f>O175*IFERROR(VLOOKUP(A175,[1]Tørstofindhold!A$2:B$24,2,FALSE),0)</f>
        <v>0.17965298253572234</v>
      </c>
      <c r="V175" s="187">
        <f>IF(D175=År1,P175,SUM(O175,P175))*IFERROR(VLOOKUP(A175,[1]Tørstofindhold!A$2:B$24,2,FALSE),0)</f>
        <v>0</v>
      </c>
      <c r="W175" s="187">
        <f>J175*IFERROR(VLOOKUP(A175,[1]Tørstofindhold!A$2:B$24,2,FALSE),0)</f>
        <v>0</v>
      </c>
      <c r="X175" s="188">
        <f t="shared" si="51"/>
        <v>0</v>
      </c>
      <c r="Y175" s="168">
        <f t="shared" si="43"/>
        <v>0</v>
      </c>
      <c r="Z175" s="103">
        <f t="shared" si="44"/>
        <v>1</v>
      </c>
    </row>
    <row r="176" spans="1:26" x14ac:dyDescent="0.25">
      <c r="A176" s="189" t="s">
        <v>14</v>
      </c>
      <c r="B176" s="189"/>
      <c r="C176" s="189">
        <f>IF(COUNTIFS('Resultater - Danmark'!$D$3:$D$504,'Resultat-Produktion &amp; forbrug'!A176,'Resultater - Danmark'!$A$3:$A$504,"Til energi")+COUNTIFS('Resultater - Danmark'!$D$3:$D$504,'Resultat-Produktion &amp; forbrug'!A176,'Resultater - Danmark'!$A$3:$A$504,"Biogasanlæg")&gt;0,1,0)</f>
        <v>0</v>
      </c>
      <c r="D176" s="189">
        <f t="shared" si="47"/>
        <v>2019</v>
      </c>
      <c r="E176" s="187" t="s">
        <v>24</v>
      </c>
      <c r="F176" s="190">
        <f>IF(E176="Vestdanmark",SUMIFS(IF(D176=År1,'Resultater - Vestdanmark'!H$3:H$504,IF(D176=År2,'Resultater - Vestdanmark'!I$3:I$504,'Resultater - Vestdanmark'!J$3:J$504)),'Resultater - Vestdanmark'!$F$3:$F$504,$A176,IF(D176=År1,'Resultater - Vestdanmark'!H$3:H$504,IF(D176=År2,'Resultater - Vestdanmark'!I$3:I$504,'Resultater - Vestdanmark'!J$3:J$504)),"&gt;0"),SUMIFS(IF(D176=År1,'Resultater - Østdanmark'!H$3:H$504,IF(D176=År2,'Resultater - Østdanmark'!I$3:I$504,'Resultater - Østdanmark'!J$3:J$504)),'Resultater - Østdanmark'!$F$3:$F$504,$A176,IF(D176=År1,'Resultater - Østdanmark'!H$3:H$504,IF(D176=År2,'Resultater - Østdanmark'!I$3:I$504,'Resultater - Østdanmark'!J$3:J$504)),"&gt;0"))</f>
        <v>7577.0634215631153</v>
      </c>
      <c r="G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forbrug'!G$2,'Forbrug af biomasse'!$B$2:$B$425,$E176)</f>
        <v>0</v>
      </c>
      <c r="H176" s="187">
        <f>IF(E176="Vestdanmark",-IF(A176="Halm",SUMIFS(IF(D176=År1,'Resultater - Vestdanmark'!H$3:H$504,IF(D176=År2,'Resultater - Vestdanmark'!I$3:I$504,'Resultater - Vestdanmark'!J$3:J$504)),'Resultater - Vestdanmark'!$F$3:$F$504,$A176,'Resultater - Vestdanmark'!H$3:H$504,"&lt;0"),0),-IF(A176="Halm",SUMIFS(IF(D176=År1,'Resultater - Østdanmark'!H$3:H$504,IF(D176=År2,'Resultater - Østdanmark'!I$3:I$504,'Resultater - Østdanmark'!J$3:J$504)),'Resultater - Østdanmark'!$F$3:$F$504,$A176,'Resultater - Østdanmark'!H$3:H$504,"&lt;0"),0))</f>
        <v>0</v>
      </c>
      <c r="I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forbrug'!I$2,'Forbrug af biomasse'!$B$2:$B$425,$E176)</f>
        <v>49527.399127557059</v>
      </c>
      <c r="J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forbrug'!J$2,'Forbrug af biomasse'!$B$2:$B$425,$E176)</f>
        <v>0</v>
      </c>
      <c r="K176" s="190">
        <f>SUMIFS('Forbrug af biomasse'!$E$2:$E$425,'Forbrug af biomasse'!$C$2:$C$425,'Resultat-Produktion &amp; forbrug'!$A176,'Forbrug af biomasse'!$D$2:$D$425,'Resultat-Produktion &amp; forbrug'!$D176,'Forbrug af biomasse'!$A$2:$A$425,'Resultat-Produktion &amp; forbrug'!K$2,'Forbrug af biomasse'!$B$2:$B$425,$E176)</f>
        <v>0</v>
      </c>
      <c r="L176" s="190">
        <f>IF(A176&lt;&gt;"Biogas",SUMIFS('Forbrug af biomasse'!$E$2:$E$425,'Forbrug af biomasse'!$C$2:$C$425,'Resultat-Produktion &amp; forbrug'!$A176,'Forbrug af biomasse'!$D$2:$D$425,'Resultat-Produktion &amp; forbrug'!$D176,'Forbrug af biomasse'!$A$2:$A$425,'Resultat-Produktion &amp; forbrug'!L$2,'Forbrug af biomasse'!$B$2:$B$425,$E176),F176)</f>
        <v>0</v>
      </c>
      <c r="M176" s="154">
        <f>SUMIFS('Forbrug af biomasse'!E:E,'Forbrug af biomasse'!C:C,'Resultat-Produktion &amp; forbrug'!$A176,'Forbrug af biomasse'!D:D,'Resultat-Produktion &amp; forbrug'!$D176,'Forbrug af biomasse'!G:G,1,'Forbrug af biomasse'!B:B,$E176)</f>
        <v>0</v>
      </c>
      <c r="N176" s="199">
        <f t="shared" si="48"/>
        <v>-41950.335705993944</v>
      </c>
      <c r="O176" s="190">
        <f t="shared" si="39"/>
        <v>0</v>
      </c>
      <c r="P176" s="200">
        <f t="shared" si="49"/>
        <v>0</v>
      </c>
      <c r="Q176" s="187">
        <f>IFERROR(VLOOKUP(A176,[1]Energiindhold!$A$2:$C$11,3,FALSE),IFERROR(VLOOKUP(A176,[1]Biogasudbytte!$A$2:$B$18,2,FALSE)*[1]Energiindhold!$C$10,0))*O176</f>
        <v>0</v>
      </c>
      <c r="R176" s="187">
        <f>IF(A176&lt;&gt;"Biogas",IFERROR(VLOOKUP(A176,[1]Biogasudbytte!$A$2:$B$18,2,FALSE)*[1]Energiindhold!$C$10,0)*J176*IFERROR(VLOOKUP(A176,Biogasanlæg!$F$3:$G$8,2,FALSE),1)+IFERROR(VLOOKUP(A176,[1]Energiindhold!$A$2:$C$11,3,FALSE),0)*L176+IF(D176&lt;&gt;År1,Q176,0),0)</f>
        <v>0</v>
      </c>
      <c r="S176" s="187">
        <f>IFERROR(VLOOKUP(A176,[1]Biogasudbytte!$A$2:$B$18,2,FALSE)*[1]Energiindhold!$C$10,0)*J176*IFERROR(VLOOKUP(A176,Biogasanlæg!$F$3:$G$8,2,FALSE),1)</f>
        <v>0</v>
      </c>
      <c r="T176" s="188">
        <f t="shared" si="50"/>
        <v>0</v>
      </c>
      <c r="U176" s="186">
        <f>O176*IFERROR(VLOOKUP(A176,[1]Tørstofindhold!A$2:B$24,2,FALSE),0)</f>
        <v>0</v>
      </c>
      <c r="V176" s="187">
        <f>IF(D176=År1,P176,SUM(O176,P176))*IFERROR(VLOOKUP(A176,[1]Tørstofindhold!A$2:B$24,2,FALSE),0)</f>
        <v>0</v>
      </c>
      <c r="W176" s="187">
        <f>J176*IFERROR(VLOOKUP(A176,[1]Tørstofindhold!A$2:B$24,2,FALSE),0)</f>
        <v>0</v>
      </c>
      <c r="X176" s="188">
        <f t="shared" si="51"/>
        <v>0</v>
      </c>
      <c r="Y176" s="168">
        <f t="shared" si="43"/>
        <v>0</v>
      </c>
      <c r="Z176" s="103">
        <f t="shared" si="44"/>
        <v>1</v>
      </c>
    </row>
    <row r="177" spans="1:26" x14ac:dyDescent="0.25">
      <c r="A177" s="189" t="s">
        <v>55</v>
      </c>
      <c r="B177" s="189"/>
      <c r="C177" s="189">
        <f>IF(COUNTIFS('Resultater - Danmark'!$D$3:$D$504,'Resultat-Produktion &amp; forbrug'!A177,'Resultater - Danmark'!$A$3:$A$504,"Til energi")+COUNTIFS('Resultater - Danmark'!$D$3:$D$504,'Resultat-Produktion &amp; forbrug'!A177,'Resultater - Danmark'!$A$3:$A$504,"Biogasanlæg")&gt;0,1,0)</f>
        <v>0</v>
      </c>
      <c r="D177" s="189">
        <f t="shared" si="47"/>
        <v>2019</v>
      </c>
      <c r="E177" s="187" t="s">
        <v>24</v>
      </c>
      <c r="F177" s="190">
        <f>IF(E177="Vestdanmark",SUMIFS(IF(D177=År1,'Resultater - Vestdanmark'!H$3:H$504,IF(D177=År2,'Resultater - Vestdanmark'!I$3:I$504,'Resultater - Vestdanmark'!J$3:J$504)),'Resultater - Vestdanmark'!$F$3:$F$504,$A177,IF(D177=År1,'Resultater - Vestdanmark'!H$3:H$504,IF(D177=År2,'Resultater - Vestdanmark'!I$3:I$504,'Resultater - Vestdanmark'!J$3:J$504)),"&gt;0"),SUMIFS(IF(D177=År1,'Resultater - Østdanmark'!H$3:H$504,IF(D177=År2,'Resultater - Østdanmark'!I$3:I$504,'Resultater - Østdanmark'!J$3:J$504)),'Resultater - Østdanmark'!$F$3:$F$504,$A177,IF(D177=År1,'Resultater - Østdanmark'!H$3:H$504,IF(D177=År2,'Resultater - Østdanmark'!I$3:I$504,'Resultater - Østdanmark'!J$3:J$504)),"&gt;0"))</f>
        <v>395448.91426064254</v>
      </c>
      <c r="G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forbrug'!G$2,'Forbrug af biomasse'!$B$2:$B$425,$E177)</f>
        <v>0</v>
      </c>
      <c r="H177" s="187">
        <f>IF(E177="Vestdanmark",-IF(A177="Halm",SUMIFS(IF(D177=År1,'Resultater - Vestdanmark'!H$3:H$504,IF(D177=År2,'Resultater - Vestdanmark'!I$3:I$504,'Resultater - Vestdanmark'!J$3:J$504)),'Resultater - Vestdanmark'!$F$3:$F$504,$A177,'Resultater - Vestdanmark'!H$3:H$504,"&lt;0"),0),-IF(A177="Halm",SUMIFS(IF(D177=År1,'Resultater - Østdanmark'!H$3:H$504,IF(D177=År2,'Resultater - Østdanmark'!I$3:I$504,'Resultater - Østdanmark'!J$3:J$504)),'Resultater - Østdanmark'!$F$3:$F$504,$A177,'Resultater - Østdanmark'!H$3:H$504,"&lt;0"),0))</f>
        <v>0</v>
      </c>
      <c r="I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forbrug'!I$2,'Forbrug af biomasse'!$B$2:$B$425,$E177)</f>
        <v>0</v>
      </c>
      <c r="J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forbrug'!J$2,'Forbrug af biomasse'!$B$2:$B$425,$E177)</f>
        <v>0</v>
      </c>
      <c r="K177" s="190">
        <f>SUMIFS('Forbrug af biomasse'!$E$2:$E$425,'Forbrug af biomasse'!$C$2:$C$425,'Resultat-Produktion &amp; forbrug'!$A177,'Forbrug af biomasse'!$D$2:$D$425,'Resultat-Produktion &amp; forbrug'!$D177,'Forbrug af biomasse'!$A$2:$A$425,'Resultat-Produktion &amp; forbrug'!K$2,'Forbrug af biomasse'!$B$2:$B$425,$E177)</f>
        <v>0</v>
      </c>
      <c r="L177" s="190">
        <f>IF(A177&lt;&gt;"Biogas",SUMIFS('Forbrug af biomasse'!$E$2:$E$425,'Forbrug af biomasse'!$C$2:$C$425,'Resultat-Produktion &amp; forbrug'!$A177,'Forbrug af biomasse'!$D$2:$D$425,'Resultat-Produktion &amp; forbrug'!$D177,'Forbrug af biomasse'!$A$2:$A$425,'Resultat-Produktion &amp; forbrug'!L$2,'Forbrug af biomasse'!$B$2:$B$425,$E177),F177)</f>
        <v>0</v>
      </c>
      <c r="M177" s="154">
        <f>SUMIFS('Forbrug af biomasse'!E:E,'Forbrug af biomasse'!C:C,'Resultat-Produktion &amp; forbrug'!$A177,'Forbrug af biomasse'!D:D,'Resultat-Produktion &amp; forbrug'!$D177,'Forbrug af biomasse'!G:G,1,'Forbrug af biomasse'!B:B,$E177)</f>
        <v>0</v>
      </c>
      <c r="N177" s="199">
        <f t="shared" si="48"/>
        <v>395448.91426064254</v>
      </c>
      <c r="O177" s="190">
        <f t="shared" si="39"/>
        <v>0</v>
      </c>
      <c r="P177" s="200">
        <f t="shared" si="49"/>
        <v>0</v>
      </c>
      <c r="Q177" s="187">
        <f>IFERROR(VLOOKUP(A177,[1]Energiindhold!$A$2:$C$11,3,FALSE),IFERROR(VLOOKUP(A177,[1]Biogasudbytte!$A$2:$B$18,2,FALSE)*[1]Energiindhold!$C$10,0))*O177</f>
        <v>0</v>
      </c>
      <c r="R177" s="187">
        <f>IF(A177&lt;&gt;"Biogas",IFERROR(VLOOKUP(A177,[1]Biogasudbytte!$A$2:$B$18,2,FALSE)*[1]Energiindhold!$C$10,0)*J177*IFERROR(VLOOKUP(A177,Biogasanlæg!$F$3:$G$8,2,FALSE),1)+IFERROR(VLOOKUP(A177,[1]Energiindhold!$A$2:$C$11,3,FALSE),0)*L177+IF(D177&lt;&gt;År1,Q177,0),0)</f>
        <v>0</v>
      </c>
      <c r="S177" s="187">
        <f>IFERROR(VLOOKUP(A177,[1]Biogasudbytte!$A$2:$B$18,2,FALSE)*[1]Energiindhold!$C$10,0)*J177*IFERROR(VLOOKUP(A177,Biogasanlæg!$F$3:$G$8,2,FALSE),1)</f>
        <v>0</v>
      </c>
      <c r="T177" s="188">
        <f t="shared" si="50"/>
        <v>0</v>
      </c>
      <c r="U177" s="186">
        <f>O177*IFERROR(VLOOKUP(A177,[1]Tørstofindhold!A$2:B$24,2,FALSE),0)</f>
        <v>0</v>
      </c>
      <c r="V177" s="187">
        <f>IF(D177=År1,P177,SUM(O177,P177))*IFERROR(VLOOKUP(A177,[1]Tørstofindhold!A$2:B$24,2,FALSE),0)</f>
        <v>0</v>
      </c>
      <c r="W177" s="187">
        <f>J177*IFERROR(VLOOKUP(A177,[1]Tørstofindhold!A$2:B$24,2,FALSE),0)</f>
        <v>0</v>
      </c>
      <c r="X177" s="188">
        <f t="shared" si="51"/>
        <v>0</v>
      </c>
      <c r="Y177" s="168">
        <f t="shared" si="43"/>
        <v>0</v>
      </c>
      <c r="Z177" s="103">
        <f t="shared" si="44"/>
        <v>1</v>
      </c>
    </row>
    <row r="178" spans="1:26" x14ac:dyDescent="0.25">
      <c r="A178" s="189" t="s">
        <v>95</v>
      </c>
      <c r="B178" s="189" t="s">
        <v>225</v>
      </c>
      <c r="C178" s="189">
        <f>IF(COUNTIFS('Resultater - Danmark'!$D$3:$D$504,'Resultat-Produktion &amp; forbrug'!A178,'Resultater - Danmark'!$A$3:$A$504,"Til energi")+COUNTIFS('Resultater - Danmark'!$D$3:$D$504,'Resultat-Produktion &amp; forbrug'!A178,'Resultater - Danmark'!$A$3:$A$504,"Biogasanlæg")&gt;0,1,0)</f>
        <v>1</v>
      </c>
      <c r="D178" s="189">
        <f t="shared" si="47"/>
        <v>2019</v>
      </c>
      <c r="E178" s="187" t="s">
        <v>24</v>
      </c>
      <c r="F178" s="190">
        <f>IF(E178="Vestdanmark",SUMIFS(IF(D178=År1,'Resultater - Vestdanmark'!H$3:H$504,IF(D178=År2,'Resultater - Vestdanmark'!I$3:I$504,'Resultater - Vestdanmark'!J$3:J$504)),'Resultater - Vestdanmark'!$F$3:$F$504,$A178,IF(D178=År1,'Resultater - Vestdanmark'!H$3:H$504,IF(D178=År2,'Resultater - Vestdanmark'!I$3:I$504,'Resultater - Vestdanmark'!J$3:J$504)),"&gt;0"),SUMIFS(IF(D178=År1,'Resultater - Østdanmark'!H$3:H$504,IF(D178=År2,'Resultater - Østdanmark'!I$3:I$504,'Resultater - Østdanmark'!J$3:J$504)),'Resultater - Østdanmark'!$F$3:$F$504,$A178,IF(D178=År1,'Resultater - Østdanmark'!H$3:H$504,IF(D178=År2,'Resultater - Østdanmark'!I$3:I$504,'Resultater - Østdanmark'!J$3:J$504)),"&gt;0"))</f>
        <v>38860.356190289756</v>
      </c>
      <c r="G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forbrug'!G$2,'Forbrug af biomasse'!$B$2:$B$425,$E178)</f>
        <v>0</v>
      </c>
      <c r="H178" s="187">
        <f>IF(E178="Vestdanmark",-IF(A178="Halm",SUMIFS(IF(D178=År1,'Resultater - Vestdanmark'!H$3:H$504,IF(D178=År2,'Resultater - Vestdanmark'!I$3:I$504,'Resultater - Vestdanmark'!J$3:J$504)),'Resultater - Vestdanmark'!$F$3:$F$504,$A178,'Resultater - Vestdanmark'!H$3:H$504,"&lt;0"),0),-IF(A178="Halm",SUMIFS(IF(D178=År1,'Resultater - Østdanmark'!H$3:H$504,IF(D178=År2,'Resultater - Østdanmark'!I$3:I$504,'Resultater - Østdanmark'!J$3:J$504)),'Resultater - Østdanmark'!$F$3:$F$504,$A178,'Resultater - Østdanmark'!H$3:H$504,"&lt;0"),0))</f>
        <v>0</v>
      </c>
      <c r="I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forbrug'!I$2,'Forbrug af biomasse'!$B$2:$B$425,$E178)</f>
        <v>0</v>
      </c>
      <c r="J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forbrug'!J$2,'Forbrug af biomasse'!$B$2:$B$425,$E178)</f>
        <v>0</v>
      </c>
      <c r="K178" s="190">
        <f>SUMIFS('Forbrug af biomasse'!$E$2:$E$425,'Forbrug af biomasse'!$C$2:$C$425,'Resultat-Produktion &amp; forbrug'!$A178,'Forbrug af biomasse'!$D$2:$D$425,'Resultat-Produktion &amp; forbrug'!$D178,'Forbrug af biomasse'!$A$2:$A$425,'Resultat-Produktion &amp; forbrug'!K$2,'Forbrug af biomasse'!$B$2:$B$425,$E178)</f>
        <v>0</v>
      </c>
      <c r="L178" s="190">
        <f>IF(A178&lt;&gt;"Biogas",SUMIFS('Forbrug af biomasse'!$E$2:$E$425,'Forbrug af biomasse'!$C$2:$C$425,'Resultat-Produktion &amp; forbrug'!$A178,'Forbrug af biomasse'!$D$2:$D$425,'Resultat-Produktion &amp; forbrug'!$D178,'Forbrug af biomasse'!$A$2:$A$425,'Resultat-Produktion &amp; forbrug'!L$2,'Forbrug af biomasse'!$B$2:$B$425,$E178),F178)</f>
        <v>38860.356190289756</v>
      </c>
      <c r="M178" s="154">
        <f>SUMIFS('Forbrug af biomasse'!E:E,'Forbrug af biomasse'!C:C,'Resultat-Produktion &amp; forbrug'!$A178,'Forbrug af biomasse'!D:D,'Resultat-Produktion &amp; forbrug'!$D178,'Forbrug af biomasse'!G:G,1,'Forbrug af biomasse'!B:B,$E178)</f>
        <v>0</v>
      </c>
      <c r="N178" s="199">
        <f t="shared" si="48"/>
        <v>0</v>
      </c>
      <c r="O178" s="190">
        <f t="shared" si="39"/>
        <v>0</v>
      </c>
      <c r="P178" s="200">
        <f t="shared" si="49"/>
        <v>38860.356190289756</v>
      </c>
      <c r="Q178" s="187">
        <f>IFERROR(VLOOKUP(A178,[1]Energiindhold!$A$2:$C$11,3,FALSE),IFERROR(VLOOKUP(A178,[1]Biogasudbytte!$A$2:$B$18,2,FALSE)*[1]Energiindhold!$C$10,0))*O178</f>
        <v>0</v>
      </c>
      <c r="R178" s="187">
        <f>IF(A178&lt;&gt;"Biogas",IFERROR(VLOOKUP(A178,[1]Biogasudbytte!$A$2:$B$18,2,FALSE)*[1]Energiindhold!$C$10,0)*J178*IFERROR(VLOOKUP(A178,Biogasanlæg!$F$3:$G$8,2,FALSE),1)+IFERROR(VLOOKUP(A178,[1]Energiindhold!$A$2:$C$11,3,FALSE),0)*L178+IF(D178&lt;&gt;År1,Q178,0),0)</f>
        <v>0.71503055390133141</v>
      </c>
      <c r="S178" s="187">
        <f>IFERROR(VLOOKUP(A178,[1]Biogasudbytte!$A$2:$B$18,2,FALSE)*[1]Energiindhold!$C$10,0)*J178*IFERROR(VLOOKUP(A178,Biogasanlæg!$F$3:$G$8,2,FALSE),1)</f>
        <v>0</v>
      </c>
      <c r="T178" s="188">
        <f t="shared" si="50"/>
        <v>0.71503055390133141</v>
      </c>
      <c r="U178" s="186">
        <f>O178*IFERROR(VLOOKUP(A178,[1]Tørstofindhold!A$2:B$24,2,FALSE),0)</f>
        <v>0</v>
      </c>
      <c r="V178" s="187">
        <f>IF(D178=År1,P178,SUM(O178,P178))*IFERROR(VLOOKUP(A178,[1]Tørstofindhold!A$2:B$24,2,FALSE),0)</f>
        <v>16127.04781897025</v>
      </c>
      <c r="W178" s="187">
        <f>J178*IFERROR(VLOOKUP(A178,[1]Tørstofindhold!A$2:B$24,2,FALSE),0)</f>
        <v>0</v>
      </c>
      <c r="X178" s="188">
        <f t="shared" si="51"/>
        <v>16127.04781897025</v>
      </c>
      <c r="Y178" s="168">
        <f t="shared" si="43"/>
        <v>0</v>
      </c>
      <c r="Z178" s="103">
        <f t="shared" si="44"/>
        <v>0</v>
      </c>
    </row>
    <row r="179" spans="1:26" x14ac:dyDescent="0.25">
      <c r="A179" s="189" t="s">
        <v>309</v>
      </c>
      <c r="B179" s="189" t="s">
        <v>315</v>
      </c>
      <c r="C179" s="189">
        <f>IF(COUNTIFS('Resultater - Danmark'!$D$3:$D$504,'Resultat-Produktion &amp; forbrug'!A179,'Resultater - Danmark'!$A$3:$A$504,"Til energi")+COUNTIFS('Resultater - Danmark'!$D$3:$D$504,'Resultat-Produktion &amp; forbrug'!A179,'Resultater - Danmark'!$A$3:$A$504,"Biogasanlæg")&gt;0,1,0)</f>
        <v>1</v>
      </c>
      <c r="D179" s="189">
        <f t="shared" si="47"/>
        <v>2019</v>
      </c>
      <c r="E179" s="187" t="s">
        <v>24</v>
      </c>
      <c r="F179" s="190">
        <f>IF(E179="Vestdanmark",SUMIFS(IF(D179=År1,'Resultater - Vestdanmark'!H$3:H$504,IF(D179=År2,'Resultater - Vestdanmark'!I$3:I$504,'Resultater - Vestdanmark'!J$3:J$504)),'Resultater - Vestdanmark'!$F$3:$F$504,$A179,IF(D179=År1,'Resultater - Vestdanmark'!H$3:H$504,IF(D179=År2,'Resultater - Vestdanmark'!I$3:I$504,'Resultater - Vestdanmark'!J$3:J$504)),"&gt;0"),SUMIFS(IF(D179=År1,'Resultater - Østdanmark'!H$3:H$504,IF(D179=År2,'Resultater - Østdanmark'!I$3:I$504,'Resultater - Østdanmark'!J$3:J$504)),'Resultater - Østdanmark'!$F$3:$F$504,$A179,IF(D179=År1,'Resultater - Østdanmark'!H$3:H$504,IF(D179=År2,'Resultater - Østdanmark'!I$3:I$504,'Resultater - Østdanmark'!J$3:J$504)),"&gt;0"))</f>
        <v>0</v>
      </c>
      <c r="G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forbrug'!G$2,'Forbrug af biomasse'!$B$2:$B$425,$E179)</f>
        <v>0</v>
      </c>
      <c r="H179" s="187">
        <f>IF(E179="Vestdanmark",-IF(A179="Halm",SUMIFS(IF(D179=År1,'Resultater - Vestdanmark'!H$3:H$504,IF(D179=År2,'Resultater - Vestdanmark'!I$3:I$504,'Resultater - Vestdanmark'!J$3:J$504)),'Resultater - Vestdanmark'!$F$3:$F$504,$A179,'Resultater - Vestdanmark'!H$3:H$504,"&lt;0"),0),-IF(A179="Halm",SUMIFS(IF(D179=År1,'Resultater - Østdanmark'!H$3:H$504,IF(D179=År2,'Resultater - Østdanmark'!I$3:I$504,'Resultater - Østdanmark'!J$3:J$504)),'Resultater - Østdanmark'!$F$3:$F$504,$A179,'Resultater - Østdanmark'!H$3:H$504,"&lt;0"),0))</f>
        <v>0</v>
      </c>
      <c r="I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forbrug'!I$2,'Forbrug af biomasse'!$B$2:$B$425,$E179)</f>
        <v>0</v>
      </c>
      <c r="J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forbrug'!J$2,'Forbrug af biomasse'!$B$2:$B$425,$E179)</f>
        <v>0</v>
      </c>
      <c r="K179" s="190">
        <f>SUMIFS('Forbrug af biomasse'!$E$2:$E$425,'Forbrug af biomasse'!$C$2:$C$425,'Resultat-Produktion &amp; forbrug'!$A179,'Forbrug af biomasse'!$D$2:$D$425,'Resultat-Produktion &amp; forbrug'!$D179,'Forbrug af biomasse'!$A$2:$A$425,'Resultat-Produktion &amp; forbrug'!K$2,'Forbrug af biomasse'!$B$2:$B$425,$E179)</f>
        <v>0</v>
      </c>
      <c r="L179" s="190">
        <f>IF(A179&lt;&gt;"Biogas",SUMIFS('Forbrug af biomasse'!$E$2:$E$425,'Forbrug af biomasse'!$C$2:$C$425,'Resultat-Produktion &amp; forbrug'!$A179,'Forbrug af biomasse'!$D$2:$D$425,'Resultat-Produktion &amp; forbrug'!$D179,'Forbrug af biomasse'!$A$2:$A$425,'Resultat-Produktion &amp; forbrug'!L$2,'Forbrug af biomasse'!$B$2:$B$425,$E179),F179)</f>
        <v>0</v>
      </c>
      <c r="M179" s="154">
        <f>SUMIFS('Forbrug af biomasse'!E:E,'Forbrug af biomasse'!C:C,'Resultat-Produktion &amp; forbrug'!$A179,'Forbrug af biomasse'!D:D,'Resultat-Produktion &amp; forbrug'!$D179,'Forbrug af biomasse'!G:G,1,'Forbrug af biomasse'!B:B,$E179)</f>
        <v>0</v>
      </c>
      <c r="N179" s="199">
        <f t="shared" ref="N179:N180" si="52">F179-SUM(G179:M179)</f>
        <v>0</v>
      </c>
      <c r="O179" s="190">
        <f t="shared" si="39"/>
        <v>0</v>
      </c>
      <c r="P179" s="200">
        <f t="shared" ref="P179:P180" si="53">SUM(J179,L179)</f>
        <v>0</v>
      </c>
      <c r="Q179" s="187">
        <f>IFERROR(VLOOKUP(A179,[1]Energiindhold!$A$2:$C$11,3,FALSE),IFERROR(VLOOKUP(A179,[1]Biogasudbytte!$A$2:$B$18,2,FALSE)*[1]Energiindhold!$C$10,0))*O179</f>
        <v>0</v>
      </c>
      <c r="R179" s="187">
        <f>IF(A179&lt;&gt;"Biogas",IFERROR(VLOOKUP(A179,[1]Biogasudbytte!$A$2:$B$18,2,FALSE)*[1]Energiindhold!$C$10,0)*J179*IFERROR(VLOOKUP(A179,Biogasanlæg!$F$3:$G$8,2,FALSE),1)+IFERROR(VLOOKUP(A179,[1]Energiindhold!$A$2:$C$11,3,FALSE),0)*L179+IF(D179&lt;&gt;År1,Q179,0),0)</f>
        <v>0</v>
      </c>
      <c r="S179" s="187">
        <f>IFERROR(VLOOKUP(A179,[1]Biogasudbytte!$A$2:$B$18,2,FALSE)*[1]Energiindhold!$C$10,0)*J179*IFERROR(VLOOKUP(A179,Biogasanlæg!$F$3:$G$8,2,FALSE),1)</f>
        <v>0</v>
      </c>
      <c r="T179" s="188">
        <f t="shared" ref="T179:T180" si="54">R179-S179</f>
        <v>0</v>
      </c>
      <c r="U179" s="186">
        <f>O179*IFERROR(VLOOKUP(A179,[1]Tørstofindhold!A$2:B$24,2,FALSE),0)</f>
        <v>0</v>
      </c>
      <c r="V179" s="187">
        <f>IF(D179=År1,P179,SUM(O179,P179))*IFERROR(VLOOKUP(A179,[1]Tørstofindhold!A$2:B$24,2,FALSE),0)</f>
        <v>0</v>
      </c>
      <c r="W179" s="187">
        <f>J179*IFERROR(VLOOKUP(A179,[1]Tørstofindhold!A$2:B$24,2,FALSE),0)</f>
        <v>0</v>
      </c>
      <c r="X179" s="188">
        <f t="shared" ref="X179:X180" si="55">V179-W179</f>
        <v>0</v>
      </c>
      <c r="Y179" s="168">
        <f t="shared" si="43"/>
        <v>0</v>
      </c>
      <c r="Z179" s="103">
        <f t="shared" si="44"/>
        <v>0</v>
      </c>
    </row>
    <row r="180" spans="1:26" x14ac:dyDescent="0.25">
      <c r="A180" s="189" t="s">
        <v>310</v>
      </c>
      <c r="B180" s="189" t="s">
        <v>315</v>
      </c>
      <c r="C180" s="189">
        <f>IF(COUNTIFS('Resultater - Danmark'!$D$3:$D$504,'Resultat-Produktion &amp; forbrug'!A180,'Resultater - Danmark'!$A$3:$A$504,"Til energi")+COUNTIFS('Resultater - Danmark'!$D$3:$D$504,'Resultat-Produktion &amp; forbrug'!A180,'Resultater - Danmark'!$A$3:$A$504,"Biogasanlæg")&gt;0,1,0)</f>
        <v>1</v>
      </c>
      <c r="D180" s="189">
        <f t="shared" si="47"/>
        <v>2019</v>
      </c>
      <c r="E180" s="187" t="s">
        <v>24</v>
      </c>
      <c r="F180" s="190">
        <f>IF(E180="Vestdanmark",SUMIFS(IF(D180=År1,'Resultater - Vestdanmark'!H$3:H$504,IF(D180=År2,'Resultater - Vestdanmark'!I$3:I$504,'Resultater - Vestdanmark'!J$3:J$504)),'Resultater - Vestdanmark'!$F$3:$F$504,$A180,IF(D180=År1,'Resultater - Vestdanmark'!H$3:H$504,IF(D180=År2,'Resultater - Vestdanmark'!I$3:I$504,'Resultater - Vestdanmark'!J$3:J$504)),"&gt;0"),SUMIFS(IF(D180=År1,'Resultater - Østdanmark'!H$3:H$504,IF(D180=År2,'Resultater - Østdanmark'!I$3:I$504,'Resultater - Østdanmark'!J$3:J$504)),'Resultater - Østdanmark'!$F$3:$F$504,$A180,IF(D180=År1,'Resultater - Østdanmark'!H$3:H$504,IF(D180=År2,'Resultater - Østdanmark'!I$3:I$504,'Resultater - Østdanmark'!J$3:J$504)),"&gt;0"))</f>
        <v>0</v>
      </c>
      <c r="G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forbrug'!G$2,'Forbrug af biomasse'!$B$2:$B$425,$E180)</f>
        <v>0</v>
      </c>
      <c r="H180" s="187">
        <f>IF(E180="Vestdanmark",-IF(A180="Halm",SUMIFS(IF(D180=År1,'Resultater - Vestdanmark'!H$3:H$504,IF(D180=År2,'Resultater - Vestdanmark'!I$3:I$504,'Resultater - Vestdanmark'!J$3:J$504)),'Resultater - Vestdanmark'!$F$3:$F$504,$A180,'Resultater - Vestdanmark'!H$3:H$504,"&lt;0"),0),-IF(A180="Halm",SUMIFS(IF(D180=År1,'Resultater - Østdanmark'!H$3:H$504,IF(D180=År2,'Resultater - Østdanmark'!I$3:I$504,'Resultater - Østdanmark'!J$3:J$504)),'Resultater - Østdanmark'!$F$3:$F$504,$A180,'Resultater - Østdanmark'!H$3:H$504,"&lt;0"),0))</f>
        <v>0</v>
      </c>
      <c r="I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forbrug'!I$2,'Forbrug af biomasse'!$B$2:$B$425,$E180)</f>
        <v>0</v>
      </c>
      <c r="J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forbrug'!J$2,'Forbrug af biomasse'!$B$2:$B$425,$E180)</f>
        <v>0</v>
      </c>
      <c r="K180" s="190">
        <f>SUMIFS('Forbrug af biomasse'!$E$2:$E$425,'Forbrug af biomasse'!$C$2:$C$425,'Resultat-Produktion &amp; forbrug'!$A180,'Forbrug af biomasse'!$D$2:$D$425,'Resultat-Produktion &amp; forbrug'!$D180,'Forbrug af biomasse'!$A$2:$A$425,'Resultat-Produktion &amp; forbrug'!K$2,'Forbrug af biomasse'!$B$2:$B$425,$E180)</f>
        <v>0</v>
      </c>
      <c r="L180" s="190">
        <f>IF(A180&lt;&gt;"Biogas",SUMIFS('Forbrug af biomasse'!$E$2:$E$425,'Forbrug af biomasse'!$C$2:$C$425,'Resultat-Produktion &amp; forbrug'!$A180,'Forbrug af biomasse'!$D$2:$D$425,'Resultat-Produktion &amp; forbrug'!$D180,'Forbrug af biomasse'!$A$2:$A$425,'Resultat-Produktion &amp; forbrug'!L$2,'Forbrug af biomasse'!$B$2:$B$425,$E180),F180)</f>
        <v>0</v>
      </c>
      <c r="M180" s="154">
        <f>SUMIFS('Forbrug af biomasse'!E:E,'Forbrug af biomasse'!C:C,'Resultat-Produktion &amp; forbrug'!$A180,'Forbrug af biomasse'!D:D,'Resultat-Produktion &amp; forbrug'!$D180,'Forbrug af biomasse'!G:G,1,'Forbrug af biomasse'!B:B,$E180)</f>
        <v>0</v>
      </c>
      <c r="N180" s="199">
        <f t="shared" si="52"/>
        <v>0</v>
      </c>
      <c r="O180" s="190">
        <f t="shared" si="39"/>
        <v>0</v>
      </c>
      <c r="P180" s="200">
        <f t="shared" si="53"/>
        <v>0</v>
      </c>
      <c r="Q180" s="187">
        <f>IFERROR(VLOOKUP(A180,[1]Energiindhold!$A$2:$C$11,3,FALSE),IFERROR(VLOOKUP(A180,[1]Biogasudbytte!$A$2:$B$18,2,FALSE)*[1]Energiindhold!$C$10,0))*O180</f>
        <v>0</v>
      </c>
      <c r="R180" s="187">
        <f>IF(A180&lt;&gt;"Biogas",IFERROR(VLOOKUP(A180,[1]Biogasudbytte!$A$2:$B$18,2,FALSE)*[1]Energiindhold!$C$10,0)*J180*IFERROR(VLOOKUP(A180,Biogasanlæg!$F$3:$G$8,2,FALSE),1)+IFERROR(VLOOKUP(A180,[1]Energiindhold!$A$2:$C$11,3,FALSE),0)*L180+IF(D180&lt;&gt;År1,Q180,0),0)</f>
        <v>0</v>
      </c>
      <c r="S180" s="187">
        <f>IFERROR(VLOOKUP(A180,[1]Biogasudbytte!$A$2:$B$18,2,FALSE)*[1]Energiindhold!$C$10,0)*J180*IFERROR(VLOOKUP(A180,Biogasanlæg!$F$3:$G$8,2,FALSE),1)</f>
        <v>0</v>
      </c>
      <c r="T180" s="188">
        <f t="shared" si="54"/>
        <v>0</v>
      </c>
      <c r="U180" s="186">
        <f>O180*IFERROR(VLOOKUP(A180,[1]Tørstofindhold!A$2:B$24,2,FALSE),0)</f>
        <v>0</v>
      </c>
      <c r="V180" s="187">
        <f>IF(D180=År1,P180,SUM(O180,P180))*IFERROR(VLOOKUP(A180,[1]Tørstofindhold!A$2:B$24,2,FALSE),0)</f>
        <v>0</v>
      </c>
      <c r="W180" s="187">
        <f>J180*IFERROR(VLOOKUP(A180,[1]Tørstofindhold!A$2:B$24,2,FALSE),0)</f>
        <v>0</v>
      </c>
      <c r="X180" s="188">
        <f t="shared" si="55"/>
        <v>0</v>
      </c>
      <c r="Y180" s="168">
        <f t="shared" si="43"/>
        <v>0</v>
      </c>
      <c r="Z180" s="103">
        <f t="shared" si="44"/>
        <v>0</v>
      </c>
    </row>
    <row r="181" spans="1:26" x14ac:dyDescent="0.25">
      <c r="A181" s="189" t="s">
        <v>117</v>
      </c>
      <c r="B181" s="189"/>
      <c r="C181" s="189">
        <f>IF(COUNTIFS('Resultater - Danmark'!$D$3:$D$504,'Resultat-Produktion &amp; forbrug'!A181,'Resultater - Danmark'!$A$3:$A$504,"Til energi")+COUNTIFS('Resultater - Danmark'!$D$3:$D$504,'Resultat-Produktion &amp; forbrug'!A181,'Resultater - Danmark'!$A$3:$A$504,"Biogasanlæg")&gt;0,1,0)</f>
        <v>0</v>
      </c>
      <c r="D181" s="189">
        <f t="shared" si="47"/>
        <v>2019</v>
      </c>
      <c r="E181" s="187" t="s">
        <v>24</v>
      </c>
      <c r="F181" s="190">
        <f>IF(E181="Vestdanmark",SUMIFS(IF(D181=År1,'Resultater - Vestdanmark'!H$3:H$504,IF(D181=År2,'Resultater - Vestdanmark'!I$3:I$504,'Resultater - Vestdanmark'!J$3:J$504)),'Resultater - Vestdanmark'!$F$3:$F$504,$A181,IF(D181=År1,'Resultater - Vestdanmark'!H$3:H$504,IF(D181=År2,'Resultater - Vestdanmark'!I$3:I$504,'Resultater - Vestdanmark'!J$3:J$504)),"&gt;0"),SUMIFS(IF(D181=År1,'Resultater - Østdanmark'!H$3:H$504,IF(D181=År2,'Resultater - Østdanmark'!I$3:I$504,'Resultater - Østdanmark'!J$3:J$504)),'Resultater - Østdanmark'!$F$3:$F$504,$A181,IF(D181=År1,'Resultater - Østdanmark'!H$3:H$504,IF(D181=År2,'Resultater - Østdanmark'!I$3:I$504,'Resultater - Østdanmark'!J$3:J$504)),"&gt;0"))</f>
        <v>346998.01962126989</v>
      </c>
      <c r="G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forbrug'!G$2,'Forbrug af biomasse'!$B$2:$B$425,$E181)</f>
        <v>0</v>
      </c>
      <c r="H181" s="187">
        <f>IF(E181="Vestdanmark",-IF(A181="Halm",SUMIFS(IF(D181=År1,'Resultater - Vestdanmark'!H$3:H$504,IF(D181=År2,'Resultater - Vestdanmark'!I$3:I$504,'Resultater - Vestdanmark'!J$3:J$504)),'Resultater - Vestdanmark'!$F$3:$F$504,$A181,'Resultater - Vestdanmark'!H$3:H$504,"&lt;0"),0),-IF(A181="Halm",SUMIFS(IF(D181=År1,'Resultater - Østdanmark'!H$3:H$504,IF(D181=År2,'Resultater - Østdanmark'!I$3:I$504,'Resultater - Østdanmark'!J$3:J$504)),'Resultater - Østdanmark'!$F$3:$F$504,$A181,'Resultater - Østdanmark'!H$3:H$504,"&lt;0"),0))</f>
        <v>0</v>
      </c>
      <c r="I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forbrug'!I$2,'Forbrug af biomasse'!$B$2:$B$425,$E181)</f>
        <v>0</v>
      </c>
      <c r="J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forbrug'!J$2,'Forbrug af biomasse'!$B$2:$B$425,$E181)</f>
        <v>0</v>
      </c>
      <c r="K181" s="190">
        <f>SUMIFS('Forbrug af biomasse'!$E$2:$E$425,'Forbrug af biomasse'!$C$2:$C$425,'Resultat-Produktion &amp; forbrug'!$A181,'Forbrug af biomasse'!$D$2:$D$425,'Resultat-Produktion &amp; forbrug'!$D181,'Forbrug af biomasse'!$A$2:$A$425,'Resultat-Produktion &amp; forbrug'!K$2,'Forbrug af biomasse'!$B$2:$B$425,$E181)</f>
        <v>0</v>
      </c>
      <c r="L181" s="190">
        <f>IF(A181&lt;&gt;"Biogas",SUMIFS('Forbrug af biomasse'!$E$2:$E$425,'Forbrug af biomasse'!$C$2:$C$425,'Resultat-Produktion &amp; forbrug'!$A181,'Forbrug af biomasse'!$D$2:$D$425,'Resultat-Produktion &amp; forbrug'!$D181,'Forbrug af biomasse'!$A$2:$A$425,'Resultat-Produktion &amp; forbrug'!L$2,'Forbrug af biomasse'!$B$2:$B$425,$E181),F181)</f>
        <v>0</v>
      </c>
      <c r="M181" s="154">
        <f>SUMIFS('Forbrug af biomasse'!E:E,'Forbrug af biomasse'!C:C,'Resultat-Produktion &amp; forbrug'!$A181,'Forbrug af biomasse'!D:D,'Resultat-Produktion &amp; forbrug'!$D181,'Forbrug af biomasse'!G:G,1,'Forbrug af biomasse'!B:B,$E181)</f>
        <v>0</v>
      </c>
      <c r="N181" s="199">
        <f t="shared" si="48"/>
        <v>346998.01962126989</v>
      </c>
      <c r="O181" s="190">
        <f t="shared" si="39"/>
        <v>0</v>
      </c>
      <c r="P181" s="200">
        <f t="shared" si="49"/>
        <v>0</v>
      </c>
      <c r="Q181" s="187">
        <f>IFERROR(VLOOKUP(A181,[1]Energiindhold!$A$2:$C$11,3,FALSE),IFERROR(VLOOKUP(A181,[1]Biogasudbytte!$A$2:$B$18,2,FALSE)*[1]Energiindhold!$C$10,0))*O181</f>
        <v>0</v>
      </c>
      <c r="R181" s="187">
        <f>IF(A181&lt;&gt;"Biogas",IFERROR(VLOOKUP(A181,[1]Biogasudbytte!$A$2:$B$18,2,FALSE)*[1]Energiindhold!$C$10,0)*J181*IFERROR(VLOOKUP(A181,Biogasanlæg!$F$3:$G$8,2,FALSE),1)+IFERROR(VLOOKUP(A181,[1]Energiindhold!$A$2:$C$11,3,FALSE),0)*L181+IF(D181&lt;&gt;År1,Q181,0),0)</f>
        <v>0</v>
      </c>
      <c r="S181" s="187">
        <f>IFERROR(VLOOKUP(A181,[1]Biogasudbytte!$A$2:$B$18,2,FALSE)*[1]Energiindhold!$C$10,0)*J181*IFERROR(VLOOKUP(A181,Biogasanlæg!$F$3:$G$8,2,FALSE),1)</f>
        <v>0</v>
      </c>
      <c r="T181" s="188">
        <f t="shared" si="50"/>
        <v>0</v>
      </c>
      <c r="U181" s="186">
        <f>O181*IFERROR(VLOOKUP(A181,[1]Tørstofindhold!A$2:B$24,2,FALSE),0)</f>
        <v>0</v>
      </c>
      <c r="V181" s="187">
        <f>IF(D181=År1,P181,SUM(O181,P181))*IFERROR(VLOOKUP(A181,[1]Tørstofindhold!A$2:B$24,2,FALSE),0)</f>
        <v>0</v>
      </c>
      <c r="W181" s="187">
        <f>J181*IFERROR(VLOOKUP(A181,[1]Tørstofindhold!A$2:B$24,2,FALSE),0)</f>
        <v>0</v>
      </c>
      <c r="X181" s="188">
        <f t="shared" si="51"/>
        <v>0</v>
      </c>
      <c r="Y181" s="168">
        <f t="shared" si="43"/>
        <v>0</v>
      </c>
      <c r="Z181" s="103">
        <f t="shared" si="44"/>
        <v>1</v>
      </c>
    </row>
    <row r="182" spans="1:26" x14ac:dyDescent="0.25">
      <c r="A182" s="187" t="s">
        <v>50</v>
      </c>
      <c r="B182" s="189"/>
      <c r="C182" s="189">
        <f>IF(COUNTIFS('Resultater - Danmark'!$D$3:$D$504,'Resultat-Produktion &amp; forbrug'!A182,'Resultater - Danmark'!$A$3:$A$504,"Til energi")+COUNTIFS('Resultater - Danmark'!$D$3:$D$504,'Resultat-Produktion &amp; forbrug'!A182,'Resultater - Danmark'!$A$3:$A$504,"Biogasanlæg")&gt;0,1,0)</f>
        <v>0</v>
      </c>
      <c r="D182" s="189">
        <f t="shared" si="47"/>
        <v>2019</v>
      </c>
      <c r="E182" s="187" t="s">
        <v>24</v>
      </c>
      <c r="F182" s="190">
        <f>IF(E182="Vestdanmark",SUMIFS(IF(D182=År1,'Resultater - Vestdanmark'!H$3:H$504,IF(D182=År2,'Resultater - Vestdanmark'!I$3:I$504,'Resultater - Vestdanmark'!J$3:J$504)),'Resultater - Vestdanmark'!$F$3:$F$504,$A182,IF(D182=År1,'Resultater - Vestdanmark'!H$3:H$504,IF(D182=År2,'Resultater - Vestdanmark'!I$3:I$504,'Resultater - Vestdanmark'!J$3:J$504)),"&gt;0"),SUMIFS(IF(D182=År1,'Resultater - Østdanmark'!H$3:H$504,IF(D182=År2,'Resultater - Østdanmark'!I$3:I$504,'Resultater - Østdanmark'!J$3:J$504)),'Resultater - Østdanmark'!$F$3:$F$504,$A182,IF(D182=År1,'Resultater - Østdanmark'!H$3:H$504,IF(D182=År2,'Resultater - Østdanmark'!I$3:I$504,'Resultater - Østdanmark'!J$3:J$504)),"&gt;0"))</f>
        <v>192563.22613808865</v>
      </c>
      <c r="G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forbrug'!G$2,'Forbrug af biomasse'!$B$2:$B$425,$E182)</f>
        <v>0</v>
      </c>
      <c r="H182" s="187">
        <f>IF(E182="Vestdanmark",-IF(A182="Halm",SUMIFS(IF(D182=År1,'Resultater - Vestdanmark'!H$3:H$504,IF(D182=År2,'Resultater - Vestdanmark'!I$3:I$504,'Resultater - Vestdanmark'!J$3:J$504)),'Resultater - Vestdanmark'!$F$3:$F$504,$A182,'Resultater - Vestdanmark'!H$3:H$504,"&lt;0"),0),-IF(A182="Halm",SUMIFS(IF(D182=År1,'Resultater - Østdanmark'!H$3:H$504,IF(D182=År2,'Resultater - Østdanmark'!I$3:I$504,'Resultater - Østdanmark'!J$3:J$504)),'Resultater - Østdanmark'!$F$3:$F$504,$A182,'Resultater - Østdanmark'!H$3:H$504,"&lt;0"),0))</f>
        <v>0</v>
      </c>
      <c r="I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forbrug'!I$2,'Forbrug af biomasse'!$B$2:$B$425,$E182)</f>
        <v>0</v>
      </c>
      <c r="J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forbrug'!J$2,'Forbrug af biomasse'!$B$2:$B$425,$E182)</f>
        <v>0</v>
      </c>
      <c r="K182" s="190">
        <f>SUMIFS('Forbrug af biomasse'!$E$2:$E$425,'Forbrug af biomasse'!$C$2:$C$425,'Resultat-Produktion &amp; forbrug'!$A182,'Forbrug af biomasse'!$D$2:$D$425,'Resultat-Produktion &amp; forbrug'!$D182,'Forbrug af biomasse'!$A$2:$A$425,'Resultat-Produktion &amp; forbrug'!K$2,'Forbrug af biomasse'!$B$2:$B$425,$E182)</f>
        <v>0</v>
      </c>
      <c r="L182" s="190">
        <f>IF(A182&lt;&gt;"Biogas",SUMIFS('Forbrug af biomasse'!$E$2:$E$425,'Forbrug af biomasse'!$C$2:$C$425,'Resultat-Produktion &amp; forbrug'!$A182,'Forbrug af biomasse'!$D$2:$D$425,'Resultat-Produktion &amp; forbrug'!$D182,'Forbrug af biomasse'!$A$2:$A$425,'Resultat-Produktion &amp; forbrug'!L$2,'Forbrug af biomasse'!$B$2:$B$425,$E182),F182)</f>
        <v>0</v>
      </c>
      <c r="M182" s="154">
        <f>SUMIFS('Forbrug af biomasse'!E:E,'Forbrug af biomasse'!C:C,'Resultat-Produktion &amp; forbrug'!$A182,'Forbrug af biomasse'!D:D,'Resultat-Produktion &amp; forbrug'!$D182,'Forbrug af biomasse'!G:G,1,'Forbrug af biomasse'!B:B,$E182)</f>
        <v>192563.22613808865</v>
      </c>
      <c r="N182" s="199">
        <f t="shared" si="48"/>
        <v>0</v>
      </c>
      <c r="O182" s="190">
        <f t="shared" si="39"/>
        <v>0</v>
      </c>
      <c r="P182" s="200">
        <f t="shared" si="49"/>
        <v>0</v>
      </c>
      <c r="Q182" s="187">
        <f>IFERROR(VLOOKUP(A182,[1]Energiindhold!$A$2:$C$11,3,FALSE),IFERROR(VLOOKUP(A182,[1]Biogasudbytte!$A$2:$B$18,2,FALSE)*[1]Energiindhold!$C$10,0))*O182</f>
        <v>0</v>
      </c>
      <c r="R182" s="187">
        <f>IF(A182&lt;&gt;"Biogas",IFERROR(VLOOKUP(A182,[1]Biogasudbytte!$A$2:$B$18,2,FALSE)*[1]Energiindhold!$C$10,0)*J182*IFERROR(VLOOKUP(A182,Biogasanlæg!$F$3:$G$8,2,FALSE),1)+IFERROR(VLOOKUP(A182,[1]Energiindhold!$A$2:$C$11,3,FALSE),0)*L182+IF(D182&lt;&gt;År1,Q182,0),0)</f>
        <v>0</v>
      </c>
      <c r="S182" s="187">
        <f>IFERROR(VLOOKUP(A182,[1]Biogasudbytte!$A$2:$B$18,2,FALSE)*[1]Energiindhold!$C$10,0)*J182*IFERROR(VLOOKUP(A182,Biogasanlæg!$F$3:$G$8,2,FALSE),1)</f>
        <v>0</v>
      </c>
      <c r="T182" s="188">
        <f t="shared" si="50"/>
        <v>0</v>
      </c>
      <c r="U182" s="186">
        <f>O182*IFERROR(VLOOKUP(A182,[1]Tørstofindhold!A$2:B$24,2,FALSE),0)</f>
        <v>0</v>
      </c>
      <c r="V182" s="187">
        <f>IF(D182=År1,P182,SUM(O182,P182))*IFERROR(VLOOKUP(A182,[1]Tørstofindhold!A$2:B$24,2,FALSE),0)</f>
        <v>0</v>
      </c>
      <c r="W182" s="187">
        <f>J182*IFERROR(VLOOKUP(A182,[1]Tørstofindhold!A$2:B$24,2,FALSE),0)</f>
        <v>0</v>
      </c>
      <c r="X182" s="188">
        <f t="shared" si="51"/>
        <v>0</v>
      </c>
      <c r="Y182" s="168">
        <f t="shared" si="43"/>
        <v>0</v>
      </c>
      <c r="Z182" s="103">
        <f t="shared" si="44"/>
        <v>0</v>
      </c>
    </row>
    <row r="183" spans="1:26" x14ac:dyDescent="0.25">
      <c r="A183" s="187" t="s">
        <v>238</v>
      </c>
      <c r="B183" s="189"/>
      <c r="C183" s="189">
        <f>IF(COUNTIFS('Resultater - Danmark'!$D$3:$D$504,'Resultat-Produktion &amp; forbrug'!A183,'Resultater - Danmark'!$A$3:$A$504,"Til energi")+COUNTIFS('Resultater - Danmark'!$D$3:$D$504,'Resultat-Produktion &amp; forbrug'!A183,'Resultater - Danmark'!$A$3:$A$504,"Biogasanlæg")&gt;0,1,0)</f>
        <v>0</v>
      </c>
      <c r="D183" s="189">
        <f t="shared" si="47"/>
        <v>2019</v>
      </c>
      <c r="E183" s="187" t="s">
        <v>24</v>
      </c>
      <c r="F183" s="190">
        <f>IF(E183="Vestdanmark",SUMIFS(IF(D183=År1,'Resultater - Vestdanmark'!H$3:H$504,IF(D183=År2,'Resultater - Vestdanmark'!I$3:I$504,'Resultater - Vestdanmark'!J$3:J$504)),'Resultater - Vestdanmark'!$F$3:$F$504,$A183,IF(D183=År1,'Resultater - Vestdanmark'!H$3:H$504,IF(D183=År2,'Resultater - Vestdanmark'!I$3:I$504,'Resultater - Vestdanmark'!J$3:J$504)),"&gt;0"),SUMIFS(IF(D183=År1,'Resultater - Østdanmark'!H$3:H$504,IF(D183=År2,'Resultater - Østdanmark'!I$3:I$504,'Resultater - Østdanmark'!J$3:J$504)),'Resultater - Østdanmark'!$F$3:$F$504,$A183,IF(D183=År1,'Resultater - Østdanmark'!H$3:H$504,IF(D183=År2,'Resultater - Østdanmark'!I$3:I$504,'Resultater - Østdanmark'!J$3:J$504)),"&gt;0"))</f>
        <v>96281.613069044324</v>
      </c>
      <c r="G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forbrug'!G$2,'Forbrug af biomasse'!$B$2:$B$425,$E183)</f>
        <v>26278.769501998373</v>
      </c>
      <c r="H183" s="187">
        <f>IF(E183="Vestdanmark",-IF(A183="Halm",SUMIFS(IF(D183=År1,'Resultater - Vestdanmark'!H$3:H$504,IF(D183=År2,'Resultater - Vestdanmark'!I$3:I$504,'Resultater - Vestdanmark'!J$3:J$504)),'Resultater - Vestdanmark'!$F$3:$F$504,$A183,'Resultater - Vestdanmark'!H$3:H$504,"&lt;0"),0),-IF(A183="Halm",SUMIFS(IF(D183=År1,'Resultater - Østdanmark'!H$3:H$504,IF(D183=År2,'Resultater - Østdanmark'!I$3:I$504,'Resultater - Østdanmark'!J$3:J$504)),'Resultater - Østdanmark'!$F$3:$F$504,$A183,'Resultater - Østdanmark'!H$3:H$504,"&lt;0"),0))</f>
        <v>0</v>
      </c>
      <c r="I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forbrug'!I$2,'Forbrug af biomasse'!$B$2:$B$425,$E183)</f>
        <v>0</v>
      </c>
      <c r="J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forbrug'!J$2,'Forbrug af biomasse'!$B$2:$B$425,$E183)</f>
        <v>0</v>
      </c>
      <c r="K183" s="190">
        <f>SUMIFS('Forbrug af biomasse'!$E$2:$E$425,'Forbrug af biomasse'!$C$2:$C$425,'Resultat-Produktion &amp; forbrug'!$A183,'Forbrug af biomasse'!$D$2:$D$425,'Resultat-Produktion &amp; forbrug'!$D183,'Forbrug af biomasse'!$A$2:$A$425,'Resultat-Produktion &amp; forbrug'!K$2,'Forbrug af biomasse'!$B$2:$B$425,$E183)</f>
        <v>0</v>
      </c>
      <c r="L183" s="190">
        <f>IF(A183&lt;&gt;"Biogas",SUMIFS('Forbrug af biomasse'!$E$2:$E$425,'Forbrug af biomasse'!$C$2:$C$425,'Resultat-Produktion &amp; forbrug'!$A183,'Forbrug af biomasse'!$D$2:$D$425,'Resultat-Produktion &amp; forbrug'!$D183,'Forbrug af biomasse'!$A$2:$A$425,'Resultat-Produktion &amp; forbrug'!L$2,'Forbrug af biomasse'!$B$2:$B$425,$E183),F183)</f>
        <v>0</v>
      </c>
      <c r="M183" s="154">
        <f>SUMIFS('Forbrug af biomasse'!E:E,'Forbrug af biomasse'!C:C,'Resultat-Produktion &amp; forbrug'!$A183,'Forbrug af biomasse'!D:D,'Resultat-Produktion &amp; forbrug'!$D183,'Forbrug af biomasse'!G:G,1,'Forbrug af biomasse'!B:B,$E183)</f>
        <v>0</v>
      </c>
      <c r="N183" s="199">
        <f t="shared" si="48"/>
        <v>70002.843567045958</v>
      </c>
      <c r="O183" s="190">
        <f t="shared" si="39"/>
        <v>0</v>
      </c>
      <c r="P183" s="200">
        <f t="shared" si="49"/>
        <v>0</v>
      </c>
      <c r="Q183" s="187">
        <f>IFERROR(VLOOKUP(A183,[1]Energiindhold!$A$2:$C$11,3,FALSE),IFERROR(VLOOKUP(A183,[1]Biogasudbytte!$A$2:$B$18,2,FALSE)*[1]Energiindhold!$C$10,0))*O183</f>
        <v>0</v>
      </c>
      <c r="R183" s="187">
        <f>IF(A183&lt;&gt;"Biogas",IFERROR(VLOOKUP(A183,[1]Biogasudbytte!$A$2:$B$18,2,FALSE)*[1]Energiindhold!$C$10,0)*J183*IFERROR(VLOOKUP(A183,Biogasanlæg!$F$3:$G$8,2,FALSE),1)+IFERROR(VLOOKUP(A183,[1]Energiindhold!$A$2:$C$11,3,FALSE),0)*L183+IF(D183&lt;&gt;År1,Q183,0),0)</f>
        <v>0</v>
      </c>
      <c r="S183" s="187">
        <f>IFERROR(VLOOKUP(A183,[1]Biogasudbytte!$A$2:$B$18,2,FALSE)*[1]Energiindhold!$C$10,0)*J183*IFERROR(VLOOKUP(A183,Biogasanlæg!$F$3:$G$8,2,FALSE),1)</f>
        <v>0</v>
      </c>
      <c r="T183" s="188">
        <f t="shared" si="50"/>
        <v>0</v>
      </c>
      <c r="U183" s="186">
        <f>O183*IFERROR(VLOOKUP(A183,[1]Tørstofindhold!A$2:B$24,2,FALSE),0)</f>
        <v>0</v>
      </c>
      <c r="V183" s="187">
        <f>IF(D183=År1,P183,SUM(O183,P183))*IFERROR(VLOOKUP(A183,[1]Tørstofindhold!A$2:B$24,2,FALSE),0)</f>
        <v>0</v>
      </c>
      <c r="W183" s="187">
        <f>J183*IFERROR(VLOOKUP(A183,[1]Tørstofindhold!A$2:B$24,2,FALSE),0)</f>
        <v>0</v>
      </c>
      <c r="X183" s="188">
        <f t="shared" si="51"/>
        <v>0</v>
      </c>
      <c r="Y183" s="168">
        <f t="shared" si="43"/>
        <v>0</v>
      </c>
      <c r="Z183" s="103">
        <f t="shared" si="44"/>
        <v>1</v>
      </c>
    </row>
    <row r="184" spans="1:26" x14ac:dyDescent="0.25">
      <c r="A184" s="187" t="s">
        <v>231</v>
      </c>
      <c r="B184" s="189" t="s">
        <v>231</v>
      </c>
      <c r="C184" s="189">
        <f>IF(COUNTIFS('Resultater - Danmark'!$D$3:$D$504,'Resultat-Produktion &amp; forbrug'!A184,'Resultater - Danmark'!$A$3:$A$504,"Til energi")+COUNTIFS('Resultater - Danmark'!$D$3:$D$504,'Resultat-Produktion &amp; forbrug'!A184,'Resultater - Danmark'!$A$3:$A$504,"Biogasanlæg")&gt;0,1,0)</f>
        <v>1</v>
      </c>
      <c r="D184" s="189">
        <f t="shared" si="47"/>
        <v>2019</v>
      </c>
      <c r="E184" s="187" t="s">
        <v>24</v>
      </c>
      <c r="F184" s="190">
        <f>IF(E184="Vestdanmark",SUMIFS(IF(D184=År1,'Resultater - Vestdanmark'!H$3:H$504,IF(D184=År2,'Resultater - Vestdanmark'!I$3:I$504,'Resultater - Vestdanmark'!J$3:J$504)),'Resultater - Vestdanmark'!$F$3:$F$504,$A184,IF(D184=År1,'Resultater - Vestdanmark'!H$3:H$504,IF(D184=År2,'Resultater - Vestdanmark'!I$3:I$504,'Resultater - Vestdanmark'!J$3:J$504)),"&gt;0"),SUMIFS(IF(D184=År1,'Resultater - Østdanmark'!H$3:H$504,IF(D184=År2,'Resultater - Østdanmark'!I$3:I$504,'Resultater - Østdanmark'!J$3:J$504)),'Resultater - Østdanmark'!$F$3:$F$504,$A184,IF(D184=År1,'Resultater - Østdanmark'!H$3:H$504,IF(D184=År2,'Resultater - Østdanmark'!I$3:I$504,'Resultater - Østdanmark'!J$3:J$504)),"&gt;0"))</f>
        <v>61620.23236418837</v>
      </c>
      <c r="G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forbrug'!G$2,'Forbrug af biomasse'!$B$2:$B$425,$E184)</f>
        <v>0</v>
      </c>
      <c r="H184" s="187">
        <f>IF(E184="Vestdanmark",-IF(A184="Halm",SUMIFS(IF(D184=År1,'Resultater - Vestdanmark'!H$3:H$504,IF(D184=År2,'Resultater - Vestdanmark'!I$3:I$504,'Resultater - Vestdanmark'!J$3:J$504)),'Resultater - Vestdanmark'!$F$3:$F$504,$A184,'Resultater - Vestdanmark'!H$3:H$504,"&lt;0"),0),-IF(A184="Halm",SUMIFS(IF(D184=År1,'Resultater - Østdanmark'!H$3:H$504,IF(D184=År2,'Resultater - Østdanmark'!I$3:I$504,'Resultater - Østdanmark'!J$3:J$504)),'Resultater - Østdanmark'!$F$3:$F$504,$A184,'Resultater - Østdanmark'!H$3:H$504,"&lt;0"),0))</f>
        <v>0</v>
      </c>
      <c r="I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forbrug'!I$2,'Forbrug af biomasse'!$B$2:$B$425,$E184)</f>
        <v>0</v>
      </c>
      <c r="J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forbrug'!J$2,'Forbrug af biomasse'!$B$2:$B$425,$E184)</f>
        <v>0</v>
      </c>
      <c r="K184" s="190">
        <f>SUMIFS('Forbrug af biomasse'!$E$2:$E$425,'Forbrug af biomasse'!$C$2:$C$425,'Resultat-Produktion &amp; forbrug'!$A184,'Forbrug af biomasse'!$D$2:$D$425,'Resultat-Produktion &amp; forbrug'!$D184,'Forbrug af biomasse'!$A$2:$A$425,'Resultat-Produktion &amp; forbrug'!K$2,'Forbrug af biomasse'!$B$2:$B$425,$E184)</f>
        <v>0</v>
      </c>
      <c r="L184" s="190">
        <f>IF(A184&lt;&gt;"Biogas",SUMIFS('Forbrug af biomasse'!$E$2:$E$425,'Forbrug af biomasse'!$C$2:$C$425,'Resultat-Produktion &amp; forbrug'!$A184,'Forbrug af biomasse'!$D$2:$D$425,'Resultat-Produktion &amp; forbrug'!$D184,'Forbrug af biomasse'!$A$2:$A$425,'Resultat-Produktion &amp; forbrug'!L$2,'Forbrug af biomasse'!$B$2:$B$425,$E184),F184)</f>
        <v>32042.520829377954</v>
      </c>
      <c r="M184" s="154">
        <f>SUMIFS('Forbrug af biomasse'!E:E,'Forbrug af biomasse'!C:C,'Resultat-Produktion &amp; forbrug'!$A184,'Forbrug af biomasse'!D:D,'Resultat-Produktion &amp; forbrug'!$D184,'Forbrug af biomasse'!G:G,1,'Forbrug af biomasse'!B:B,$E184)</f>
        <v>29577.711534810416</v>
      </c>
      <c r="N184" s="199">
        <f t="shared" si="48"/>
        <v>0</v>
      </c>
      <c r="O184" s="190">
        <f t="shared" si="39"/>
        <v>0</v>
      </c>
      <c r="P184" s="200">
        <f t="shared" si="49"/>
        <v>32042.520829377954</v>
      </c>
      <c r="Q184" s="187">
        <f>IFERROR(VLOOKUP(A184,[1]Energiindhold!$A$2:$C$11,3,FALSE),IFERROR(VLOOKUP(A184,[1]Biogasudbytte!$A$2:$B$18,2,FALSE)*[1]Energiindhold!$C$10,0))*O184</f>
        <v>0</v>
      </c>
      <c r="R184" s="187">
        <f>IF(A184&lt;&gt;"Biogas",IFERROR(VLOOKUP(A184,[1]Biogasudbytte!$A$2:$B$18,2,FALSE)*[1]Energiindhold!$C$10,0)*J184*IFERROR(VLOOKUP(A184,Biogasanlæg!$F$3:$G$8,2,FALSE),1)+IFERROR(VLOOKUP(A184,[1]Energiindhold!$A$2:$C$11,3,FALSE),0)*L184+IF(D184&lt;&gt;År1,Q184,0),0)</f>
        <v>1.1214882290282282</v>
      </c>
      <c r="S184" s="187">
        <f>IFERROR(VLOOKUP(A184,[1]Biogasudbytte!$A$2:$B$18,2,FALSE)*[1]Energiindhold!$C$10,0)*J184*IFERROR(VLOOKUP(A184,Biogasanlæg!$F$3:$G$8,2,FALSE),1)</f>
        <v>0</v>
      </c>
      <c r="T184" s="188">
        <f t="shared" si="50"/>
        <v>1.1214882290282282</v>
      </c>
      <c r="U184" s="186">
        <f>O184*IFERROR(VLOOKUP(A184,[1]Tørstofindhold!A$2:B$24,2,FALSE),0)</f>
        <v>0</v>
      </c>
      <c r="V184" s="187">
        <f>IF(D184=År1,P184,SUM(O184,P184))*IFERROR(VLOOKUP(A184,[1]Tørstofindhold!A$2:B$24,2,FALSE),0)</f>
        <v>0</v>
      </c>
      <c r="W184" s="187">
        <f>J184*IFERROR(VLOOKUP(A184,[1]Tørstofindhold!A$2:B$24,2,FALSE),0)</f>
        <v>0</v>
      </c>
      <c r="X184" s="188">
        <f t="shared" si="51"/>
        <v>0</v>
      </c>
      <c r="Y184" s="168">
        <f t="shared" si="43"/>
        <v>0</v>
      </c>
      <c r="Z184" s="103">
        <f t="shared" si="44"/>
        <v>0</v>
      </c>
    </row>
    <row r="185" spans="1:26" x14ac:dyDescent="0.25">
      <c r="A185" s="187" t="s">
        <v>52</v>
      </c>
      <c r="B185" s="189" t="s">
        <v>224</v>
      </c>
      <c r="C185" s="189">
        <f>IF(COUNTIFS('Resultater - Danmark'!$D$3:$D$504,'Resultat-Produktion &amp; forbrug'!A185,'Resultater - Danmark'!$A$3:$A$504,"Til energi")+COUNTIFS('Resultater - Danmark'!$D$3:$D$504,'Resultat-Produktion &amp; forbrug'!A185,'Resultater - Danmark'!$A$3:$A$504,"Biogasanlæg")&gt;0,1,0)</f>
        <v>1</v>
      </c>
      <c r="D185" s="189">
        <f t="shared" si="47"/>
        <v>2019</v>
      </c>
      <c r="E185" s="187" t="s">
        <v>24</v>
      </c>
      <c r="F185" s="190">
        <f>IF(E185="Vestdanmark",SUMIFS(IF(D185=År1,'Resultater - Vestdanmark'!H$3:H$504,IF(D185=År2,'Resultater - Vestdanmark'!I$3:I$504,'Resultater - Vestdanmark'!J$3:J$504)),'Resultater - Vestdanmark'!$F$3:$F$504,$A185,IF(D185=År1,'Resultater - Vestdanmark'!H$3:H$504,IF(D185=År2,'Resultater - Vestdanmark'!I$3:I$504,'Resultater - Vestdanmark'!J$3:J$504)),"&gt;0"),SUMIFS(IF(D185=År1,'Resultater - Østdanmark'!H$3:H$504,IF(D185=År2,'Resultater - Østdanmark'!I$3:I$504,'Resultater - Østdanmark'!J$3:J$504)),'Resultater - Østdanmark'!$F$3:$F$504,$A185,IF(D185=År1,'Resultater - Østdanmark'!H$3:H$504,IF(D185=År2,'Resultater - Østdanmark'!I$3:I$504,'Resultater - Østdanmark'!J$3:J$504)),"&gt;0"))</f>
        <v>2233316.4654569654</v>
      </c>
      <c r="G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forbrug'!G$2,'Forbrug af biomasse'!$B$2:$B$425,$E185)</f>
        <v>103245.87683002709</v>
      </c>
      <c r="H185" s="187">
        <f>IF(E185="Vestdanmark",-IF(A185="Halm",SUMIFS(IF(D185=År1,'Resultater - Vestdanmark'!H$3:H$504,IF(D185=År2,'Resultater - Vestdanmark'!I$3:I$504,'Resultater - Vestdanmark'!J$3:J$504)),'Resultater - Vestdanmark'!$F$3:$F$504,$A185,'Resultater - Vestdanmark'!H$3:H$504,"&lt;0"),0),-IF(A185="Halm",SUMIFS(IF(D185=År1,'Resultater - Østdanmark'!H$3:H$504,IF(D185=År2,'Resultater - Østdanmark'!I$3:I$504,'Resultater - Østdanmark'!J$3:J$504)),'Resultater - Østdanmark'!$F$3:$F$504,$A185,'Resultater - Østdanmark'!H$3:H$504,"&lt;0"),0))</f>
        <v>0</v>
      </c>
      <c r="I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forbrug'!I$2,'Forbrug af biomasse'!$B$2:$B$425,$E185)</f>
        <v>0</v>
      </c>
      <c r="J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forbrug'!J$2,'Forbrug af biomasse'!$B$2:$B$425,$E185)</f>
        <v>24503.032029712213</v>
      </c>
      <c r="K185" s="190">
        <f>SUMIFS('Forbrug af biomasse'!$E$2:$E$425,'Forbrug af biomasse'!$C$2:$C$425,'Resultat-Produktion &amp; forbrug'!$A185,'Forbrug af biomasse'!$D$2:$D$425,'Resultat-Produktion &amp; forbrug'!$D185,'Forbrug af biomasse'!$A$2:$A$425,'Resultat-Produktion &amp; forbrug'!K$2,'Forbrug af biomasse'!$B$2:$B$425,$E185)</f>
        <v>0</v>
      </c>
      <c r="L185" s="190">
        <f>IF(A185&lt;&gt;"Biogas",SUMIFS('Forbrug af biomasse'!$E$2:$E$425,'Forbrug af biomasse'!$C$2:$C$425,'Resultat-Produktion &amp; forbrug'!$A185,'Forbrug af biomasse'!$D$2:$D$425,'Resultat-Produktion &amp; forbrug'!$D185,'Forbrug af biomasse'!$A$2:$A$425,'Resultat-Produktion &amp; forbrug'!L$2,'Forbrug af biomasse'!$B$2:$B$425,$E185),F185)</f>
        <v>0</v>
      </c>
      <c r="M185" s="154">
        <f>SUMIFS('Forbrug af biomasse'!E:E,'Forbrug af biomasse'!C:C,'Resultat-Produktion &amp; forbrug'!$A185,'Forbrug af biomasse'!D:D,'Resultat-Produktion &amp; forbrug'!$D185,'Forbrug af biomasse'!G:G,1,'Forbrug af biomasse'!B:B,$E185)</f>
        <v>0</v>
      </c>
      <c r="N185" s="199">
        <f t="shared" si="48"/>
        <v>2105567.5565972263</v>
      </c>
      <c r="O185" s="190">
        <f t="shared" si="39"/>
        <v>1637775.5474174484</v>
      </c>
      <c r="P185" s="200">
        <f t="shared" si="49"/>
        <v>24503.032029712213</v>
      </c>
      <c r="Q185" s="187">
        <f>IFERROR(VLOOKUP(A185,[1]Energiindhold!$A$2:$C$11,3,FALSE),IFERROR(VLOOKUP(A185,[1]Biogasudbytte!$A$2:$B$18,2,FALSE)*[1]Energiindhold!$C$10,0))*O185</f>
        <v>4.4449883467128517</v>
      </c>
      <c r="R185" s="187">
        <f>IF(A185&lt;&gt;"Biogas",IFERROR(VLOOKUP(A185,[1]Biogasudbytte!$A$2:$B$18,2,FALSE)*[1]Energiindhold!$C$10,0)*J185*IFERROR(VLOOKUP(A185,Biogasanlæg!$F$3:$G$8,2,FALSE),1)+IFERROR(VLOOKUP(A185,[1]Energiindhold!$A$2:$C$11,3,FALSE),0)*L185+IF(D185&lt;&gt;År1,Q185,0),0)</f>
        <v>6.650220904992013E-2</v>
      </c>
      <c r="S185" s="187">
        <f>IFERROR(VLOOKUP(A185,[1]Biogasudbytte!$A$2:$B$18,2,FALSE)*[1]Energiindhold!$C$10,0)*J185*IFERROR(VLOOKUP(A185,Biogasanlæg!$F$3:$G$8,2,FALSE),1)</f>
        <v>6.650220904992013E-2</v>
      </c>
      <c r="T185" s="188">
        <f t="shared" si="50"/>
        <v>0</v>
      </c>
      <c r="U185" s="186">
        <f>O185*IFERROR(VLOOKUP(A185,[1]Tørstofindhold!A$2:B$24,2,FALSE),0)</f>
        <v>327555.10948348971</v>
      </c>
      <c r="V185" s="187">
        <f>IF(D185=År1,P185,SUM(O185,P185))*IFERROR(VLOOKUP(A185,[1]Tørstofindhold!A$2:B$24,2,FALSE),0)</f>
        <v>4900.6064059424425</v>
      </c>
      <c r="W185" s="187">
        <f>J185*IFERROR(VLOOKUP(A185,[1]Tørstofindhold!A$2:B$24,2,FALSE),0)</f>
        <v>4900.6064059424425</v>
      </c>
      <c r="X185" s="188">
        <f t="shared" si="51"/>
        <v>0</v>
      </c>
      <c r="Y185" s="168">
        <f t="shared" si="43"/>
        <v>0</v>
      </c>
      <c r="Z185" s="103">
        <f t="shared" si="44"/>
        <v>1</v>
      </c>
    </row>
    <row r="186" spans="1:26" x14ac:dyDescent="0.25">
      <c r="A186" s="187" t="s">
        <v>121</v>
      </c>
      <c r="B186" s="189"/>
      <c r="C186" s="189">
        <f>IF(COUNTIFS('Resultater - Danmark'!$D$3:$D$504,'Resultat-Produktion &amp; forbrug'!A186,'Resultater - Danmark'!$A$3:$A$504,"Til energi")+COUNTIFS('Resultater - Danmark'!$D$3:$D$504,'Resultat-Produktion &amp; forbrug'!A186,'Resultater - Danmark'!$A$3:$A$504,"Biogasanlæg")&gt;0,1,0)</f>
        <v>0</v>
      </c>
      <c r="D186" s="189">
        <f t="shared" si="47"/>
        <v>2019</v>
      </c>
      <c r="E186" s="187" t="s">
        <v>24</v>
      </c>
      <c r="F186" s="190">
        <f>IF(E186="Vestdanmark",SUMIFS(IF(D186=År1,'Resultater - Vestdanmark'!H$3:H$504,IF(D186=År2,'Resultater - Vestdanmark'!I$3:I$504,'Resultater - Vestdanmark'!J$3:J$504)),'Resultater - Vestdanmark'!$F$3:$F$504,$A186,IF(D186=År1,'Resultater - Vestdanmark'!H$3:H$504,IF(D186=År2,'Resultater - Vestdanmark'!I$3:I$504,'Resultater - Vestdanmark'!J$3:J$504)),"&gt;0"),SUMIFS(IF(D186=År1,'Resultater - Østdanmark'!H$3:H$504,IF(D186=År2,'Resultater - Østdanmark'!I$3:I$504,'Resultater - Østdanmark'!J$3:J$504)),'Resultater - Østdanmark'!$F$3:$F$504,$A186,IF(D186=År1,'Resultater - Østdanmark'!H$3:H$504,IF(D186=År2,'Resultater - Østdanmark'!I$3:I$504,'Resultater - Østdanmark'!J$3:J$504)),"&gt;0"))</f>
        <v>23179.475218292017</v>
      </c>
      <c r="G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forbrug'!G$2,'Forbrug af biomasse'!$B$2:$B$425,$E186)</f>
        <v>0</v>
      </c>
      <c r="H186" s="187">
        <f>IF(E186="Vestdanmark",-IF(A186="Halm",SUMIFS(IF(D186=År1,'Resultater - Vestdanmark'!H$3:H$504,IF(D186=År2,'Resultater - Vestdanmark'!I$3:I$504,'Resultater - Vestdanmark'!J$3:J$504)),'Resultater - Vestdanmark'!$F$3:$F$504,$A186,'Resultater - Vestdanmark'!H$3:H$504,"&lt;0"),0),-IF(A186="Halm",SUMIFS(IF(D186=År1,'Resultater - Østdanmark'!H$3:H$504,IF(D186=År2,'Resultater - Østdanmark'!I$3:I$504,'Resultater - Østdanmark'!J$3:J$504)),'Resultater - Østdanmark'!$F$3:$F$504,$A186,'Resultater - Østdanmark'!H$3:H$504,"&lt;0"),0))</f>
        <v>0</v>
      </c>
      <c r="I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forbrug'!I$2,'Forbrug af biomasse'!$B$2:$B$425,$E186)</f>
        <v>0</v>
      </c>
      <c r="J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forbrug'!J$2,'Forbrug af biomasse'!$B$2:$B$425,$E186)</f>
        <v>0</v>
      </c>
      <c r="K186" s="190">
        <f>SUMIFS('Forbrug af biomasse'!$E$2:$E$425,'Forbrug af biomasse'!$C$2:$C$425,'Resultat-Produktion &amp; forbrug'!$A186,'Forbrug af biomasse'!$D$2:$D$425,'Resultat-Produktion &amp; forbrug'!$D186,'Forbrug af biomasse'!$A$2:$A$425,'Resultat-Produktion &amp; forbrug'!K$2,'Forbrug af biomasse'!$B$2:$B$425,$E186)</f>
        <v>0</v>
      </c>
      <c r="L186" s="190">
        <f>IF(A186&lt;&gt;"Biogas",SUMIFS('Forbrug af biomasse'!$E$2:$E$425,'Forbrug af biomasse'!$C$2:$C$425,'Resultat-Produktion &amp; forbrug'!$A186,'Forbrug af biomasse'!$D$2:$D$425,'Resultat-Produktion &amp; forbrug'!$D186,'Forbrug af biomasse'!$A$2:$A$425,'Resultat-Produktion &amp; forbrug'!L$2,'Forbrug af biomasse'!$B$2:$B$425,$E186),F186)</f>
        <v>0</v>
      </c>
      <c r="M186" s="154">
        <f>SUMIFS('Forbrug af biomasse'!E:E,'Forbrug af biomasse'!C:C,'Resultat-Produktion &amp; forbrug'!$A186,'Forbrug af biomasse'!D:D,'Resultat-Produktion &amp; forbrug'!$D186,'Forbrug af biomasse'!G:G,1,'Forbrug af biomasse'!B:B,$E186)</f>
        <v>0</v>
      </c>
      <c r="N186" s="199">
        <f t="shared" si="48"/>
        <v>23179.475218292017</v>
      </c>
      <c r="O186" s="190">
        <f t="shared" si="39"/>
        <v>0</v>
      </c>
      <c r="P186" s="200">
        <f t="shared" si="49"/>
        <v>0</v>
      </c>
      <c r="Q186" s="187">
        <f>IFERROR(VLOOKUP(A186,[1]Energiindhold!$A$2:$C$11,3,FALSE),IFERROR(VLOOKUP(A186,[1]Biogasudbytte!$A$2:$B$18,2,FALSE)*[1]Energiindhold!$C$10,0))*O186</f>
        <v>0</v>
      </c>
      <c r="R186" s="187">
        <f>IF(A186&lt;&gt;"Biogas",IFERROR(VLOOKUP(A186,[1]Biogasudbytte!$A$2:$B$18,2,FALSE)*[1]Energiindhold!$C$10,0)*J186*IFERROR(VLOOKUP(A186,Biogasanlæg!$F$3:$G$8,2,FALSE),1)+IFERROR(VLOOKUP(A186,[1]Energiindhold!$A$2:$C$11,3,FALSE),0)*L186+IF(D186&lt;&gt;År1,Q186,0),0)</f>
        <v>0</v>
      </c>
      <c r="S186" s="187">
        <f>IFERROR(VLOOKUP(A186,[1]Biogasudbytte!$A$2:$B$18,2,FALSE)*[1]Energiindhold!$C$10,0)*J186*IFERROR(VLOOKUP(A186,Biogasanlæg!$F$3:$G$8,2,FALSE),1)</f>
        <v>0</v>
      </c>
      <c r="T186" s="188">
        <f t="shared" si="50"/>
        <v>0</v>
      </c>
      <c r="U186" s="186">
        <f>O186*IFERROR(VLOOKUP(A186,[1]Tørstofindhold!A$2:B$24,2,FALSE),0)</f>
        <v>0</v>
      </c>
      <c r="V186" s="187">
        <f>IF(D186=År1,P186,SUM(O186,P186))*IFERROR(VLOOKUP(A186,[1]Tørstofindhold!A$2:B$24,2,FALSE),0)</f>
        <v>0</v>
      </c>
      <c r="W186" s="187">
        <f>J186*IFERROR(VLOOKUP(A186,[1]Tørstofindhold!A$2:B$24,2,FALSE),0)</f>
        <v>0</v>
      </c>
      <c r="X186" s="188">
        <f t="shared" si="51"/>
        <v>0</v>
      </c>
      <c r="Y186" s="168">
        <f t="shared" si="43"/>
        <v>0</v>
      </c>
      <c r="Z186" s="103">
        <f t="shared" si="44"/>
        <v>1</v>
      </c>
    </row>
    <row r="187" spans="1:26" x14ac:dyDescent="0.25">
      <c r="A187" s="187" t="s">
        <v>107</v>
      </c>
      <c r="B187" s="189"/>
      <c r="C187" s="189">
        <f>IF(COUNTIFS('Resultater - Danmark'!$D$3:$D$504,'Resultat-Produktion &amp; forbrug'!A187,'Resultater - Danmark'!$A$3:$A$504,"Til energi")+COUNTIFS('Resultater - Danmark'!$D$3:$D$504,'Resultat-Produktion &amp; forbrug'!A187,'Resultater - Danmark'!$A$3:$A$504,"Biogasanlæg")&gt;0,1,0)</f>
        <v>0</v>
      </c>
      <c r="D187" s="189">
        <f t="shared" si="47"/>
        <v>2019</v>
      </c>
      <c r="E187" s="187" t="s">
        <v>24</v>
      </c>
      <c r="F187" s="190">
        <f>IF(E187="Vestdanmark",SUMIFS(IF(D187=År1,'Resultater - Vestdanmark'!H$3:H$504,IF(D187=År2,'Resultater - Vestdanmark'!I$3:I$504,'Resultater - Vestdanmark'!J$3:J$504)),'Resultater - Vestdanmark'!$F$3:$F$504,$A187,IF(D187=År1,'Resultater - Vestdanmark'!H$3:H$504,IF(D187=År2,'Resultater - Vestdanmark'!I$3:I$504,'Resultater - Vestdanmark'!J$3:J$504)),"&gt;0"),SUMIFS(IF(D187=År1,'Resultater - Østdanmark'!H$3:H$504,IF(D187=År2,'Resultater - Østdanmark'!I$3:I$504,'Resultater - Østdanmark'!J$3:J$504)),'Resultater - Østdanmark'!$F$3:$F$504,$A187,IF(D187=År1,'Resultater - Østdanmark'!H$3:H$504,IF(D187=År2,'Resultater - Østdanmark'!I$3:I$504,'Resultater - Østdanmark'!J$3:J$504)),"&gt;0"))</f>
        <v>18923.903166389329</v>
      </c>
      <c r="G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forbrug'!G$2,'Forbrug af biomasse'!$B$2:$B$425,$E187)</f>
        <v>4837.9324606189475</v>
      </c>
      <c r="H187" s="187">
        <f>IF(E187="Vestdanmark",-IF(A187="Halm",SUMIFS(IF(D187=År1,'Resultater - Vestdanmark'!H$3:H$504,IF(D187=År2,'Resultater - Vestdanmark'!I$3:I$504,'Resultater - Vestdanmark'!J$3:J$504)),'Resultater - Vestdanmark'!$F$3:$F$504,$A187,'Resultater - Vestdanmark'!H$3:H$504,"&lt;0"),0),-IF(A187="Halm",SUMIFS(IF(D187=År1,'Resultater - Østdanmark'!H$3:H$504,IF(D187=År2,'Resultater - Østdanmark'!I$3:I$504,'Resultater - Østdanmark'!J$3:J$504)),'Resultater - Østdanmark'!$F$3:$F$504,$A187,'Resultater - Østdanmark'!H$3:H$504,"&lt;0"),0))</f>
        <v>0</v>
      </c>
      <c r="I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forbrug'!I$2,'Forbrug af biomasse'!$B$2:$B$425,$E187)</f>
        <v>0</v>
      </c>
      <c r="J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forbrug'!J$2,'Forbrug af biomasse'!$B$2:$B$425,$E187)</f>
        <v>0</v>
      </c>
      <c r="K187" s="190">
        <f>SUMIFS('Forbrug af biomasse'!$E$2:$E$425,'Forbrug af biomasse'!$C$2:$C$425,'Resultat-Produktion &amp; forbrug'!$A187,'Forbrug af biomasse'!$D$2:$D$425,'Resultat-Produktion &amp; forbrug'!$D187,'Forbrug af biomasse'!$A$2:$A$425,'Resultat-Produktion &amp; forbrug'!K$2,'Forbrug af biomasse'!$B$2:$B$425,$E187)</f>
        <v>0</v>
      </c>
      <c r="L187" s="190">
        <f>IF(A187&lt;&gt;"Biogas",SUMIFS('Forbrug af biomasse'!$E$2:$E$425,'Forbrug af biomasse'!$C$2:$C$425,'Resultat-Produktion &amp; forbrug'!$A187,'Forbrug af biomasse'!$D$2:$D$425,'Resultat-Produktion &amp; forbrug'!$D187,'Forbrug af biomasse'!$A$2:$A$425,'Resultat-Produktion &amp; forbrug'!L$2,'Forbrug af biomasse'!$B$2:$B$425,$E187),F187)</f>
        <v>0</v>
      </c>
      <c r="M187" s="154">
        <f>SUMIFS('Forbrug af biomasse'!E:E,'Forbrug af biomasse'!C:C,'Resultat-Produktion &amp; forbrug'!$A187,'Forbrug af biomasse'!D:D,'Resultat-Produktion &amp; forbrug'!$D187,'Forbrug af biomasse'!G:G,1,'Forbrug af biomasse'!B:B,$E187)</f>
        <v>0</v>
      </c>
      <c r="N187" s="199">
        <f t="shared" si="48"/>
        <v>14085.970705770382</v>
      </c>
      <c r="O187" s="190">
        <f t="shared" si="39"/>
        <v>0</v>
      </c>
      <c r="P187" s="200">
        <f t="shared" si="49"/>
        <v>0</v>
      </c>
      <c r="Q187" s="187">
        <f>IFERROR(VLOOKUP(A187,[1]Energiindhold!$A$2:$C$11,3,FALSE),IFERROR(VLOOKUP(A187,[1]Biogasudbytte!$A$2:$B$18,2,FALSE)*[1]Energiindhold!$C$10,0))*O187</f>
        <v>0</v>
      </c>
      <c r="R187" s="187">
        <f>IF(A187&lt;&gt;"Biogas",IFERROR(VLOOKUP(A187,[1]Biogasudbytte!$A$2:$B$18,2,FALSE)*[1]Energiindhold!$C$10,0)*J187*IFERROR(VLOOKUP(A187,Biogasanlæg!$F$3:$G$8,2,FALSE),1)+IFERROR(VLOOKUP(A187,[1]Energiindhold!$A$2:$C$11,3,FALSE),0)*L187+IF(D187&lt;&gt;År1,Q187,0),0)</f>
        <v>0</v>
      </c>
      <c r="S187" s="187">
        <f>IFERROR(VLOOKUP(A187,[1]Biogasudbytte!$A$2:$B$18,2,FALSE)*[1]Energiindhold!$C$10,0)*J187*IFERROR(VLOOKUP(A187,Biogasanlæg!$F$3:$G$8,2,FALSE),1)</f>
        <v>0</v>
      </c>
      <c r="T187" s="188">
        <f t="shared" si="50"/>
        <v>0</v>
      </c>
      <c r="U187" s="186">
        <f>O187*IFERROR(VLOOKUP(A187,[1]Tørstofindhold!A$2:B$24,2,FALSE),0)</f>
        <v>0</v>
      </c>
      <c r="V187" s="187">
        <f>IF(D187=År1,P187,SUM(O187,P187))*IFERROR(VLOOKUP(A187,[1]Tørstofindhold!A$2:B$24,2,FALSE),0)</f>
        <v>0</v>
      </c>
      <c r="W187" s="187">
        <f>J187*IFERROR(VLOOKUP(A187,[1]Tørstofindhold!A$2:B$24,2,FALSE),0)</f>
        <v>0</v>
      </c>
      <c r="X187" s="188">
        <f t="shared" si="51"/>
        <v>0</v>
      </c>
      <c r="Y187" s="168">
        <f t="shared" si="43"/>
        <v>0</v>
      </c>
      <c r="Z187" s="103">
        <f t="shared" si="44"/>
        <v>1</v>
      </c>
    </row>
    <row r="188" spans="1:26" x14ac:dyDescent="0.25">
      <c r="A188" s="189" t="s">
        <v>140</v>
      </c>
      <c r="B188" s="189" t="s">
        <v>230</v>
      </c>
      <c r="C188" s="189">
        <f>IF(COUNTIFS('Resultater - Danmark'!$D$3:$D$504,'Resultat-Produktion &amp; forbrug'!A188,'Resultater - Danmark'!$A$3:$A$504,"Til energi")+COUNTIFS('Resultater - Danmark'!$D$3:$D$504,'Resultat-Produktion &amp; forbrug'!A188,'Resultater - Danmark'!$A$3:$A$504,"Biogasanlæg")&gt;0,1,0)</f>
        <v>1</v>
      </c>
      <c r="D188" s="189">
        <f t="shared" si="47"/>
        <v>2019</v>
      </c>
      <c r="E188" s="187" t="s">
        <v>24</v>
      </c>
      <c r="F188" s="190">
        <f>IF(E188="Vestdanmark",SUMIFS(IF(D188=År1,'Resultater - Vestdanmark'!H$3:H$504,IF(D188=År2,'Resultater - Vestdanmark'!I$3:I$504,'Resultater - Vestdanmark'!J$3:J$504)),'Resultater - Vestdanmark'!$F$3:$F$504,$A188,IF(D188=År1,'Resultater - Vestdanmark'!H$3:H$504,IF(D188=År2,'Resultater - Vestdanmark'!I$3:I$504,'Resultater - Vestdanmark'!J$3:J$504)),"&gt;0"),SUMIFS(IF(D188=År1,'Resultater - Østdanmark'!H$3:H$504,IF(D188=År2,'Resultater - Østdanmark'!I$3:I$504,'Resultater - Østdanmark'!J$3:J$504)),'Resultater - Østdanmark'!$F$3:$F$504,$A188,IF(D188=År1,'Resultater - Østdanmark'!H$3:H$504,IF(D188=År2,'Resultater - Østdanmark'!I$3:I$504,'Resultater - Østdanmark'!J$3:J$504)),"&gt;0"))</f>
        <v>3186961.3614372411</v>
      </c>
      <c r="G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forbrug'!G$2,'Forbrug af biomasse'!$B$2:$B$425,$E188)</f>
        <v>0</v>
      </c>
      <c r="H188" s="187">
        <f>IF(E188="Vestdanmark",-IF(A188="Halm",SUMIFS(IF(D188=År1,'Resultater - Vestdanmark'!H$3:H$504,IF(D188=År2,'Resultater - Vestdanmark'!I$3:I$504,'Resultater - Vestdanmark'!J$3:J$504)),'Resultater - Vestdanmark'!$F$3:$F$504,$A188,'Resultater - Vestdanmark'!H$3:H$504,"&lt;0"),0),-IF(A188="Halm",SUMIFS(IF(D188=År1,'Resultater - Østdanmark'!H$3:H$504,IF(D188=År2,'Resultater - Østdanmark'!I$3:I$504,'Resultater - Østdanmark'!J$3:J$504)),'Resultater - Østdanmark'!$F$3:$F$504,$A188,'Resultater - Østdanmark'!H$3:H$504,"&lt;0"),0))</f>
        <v>0</v>
      </c>
      <c r="I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forbrug'!I$2,'Forbrug af biomasse'!$B$2:$B$425,$E188)</f>
        <v>0</v>
      </c>
      <c r="J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forbrug'!J$2,'Forbrug af biomasse'!$B$2:$B$425,$E188)</f>
        <v>1208651.4125341829</v>
      </c>
      <c r="K188" s="190">
        <f>SUMIFS('Forbrug af biomasse'!$E$2:$E$425,'Forbrug af biomasse'!$C$2:$C$425,'Resultat-Produktion &amp; forbrug'!$A188,'Forbrug af biomasse'!$D$2:$D$425,'Resultat-Produktion &amp; forbrug'!$D188,'Forbrug af biomasse'!$A$2:$A$425,'Resultat-Produktion &amp; forbrug'!K$2,'Forbrug af biomasse'!$B$2:$B$425,$E188)</f>
        <v>0</v>
      </c>
      <c r="L188" s="190">
        <f>IF(A188&lt;&gt;"Biogas",SUMIFS('Forbrug af biomasse'!$E$2:$E$425,'Forbrug af biomasse'!$C$2:$C$425,'Resultat-Produktion &amp; forbrug'!$A188,'Forbrug af biomasse'!$D$2:$D$425,'Resultat-Produktion &amp; forbrug'!$D188,'Forbrug af biomasse'!$A$2:$A$425,'Resultat-Produktion &amp; forbrug'!L$2,'Forbrug af biomasse'!$B$2:$B$425,$E188),F188)</f>
        <v>0</v>
      </c>
      <c r="M188" s="154">
        <f>SUMIFS('Forbrug af biomasse'!E:E,'Forbrug af biomasse'!C:C,'Resultat-Produktion &amp; forbrug'!$A188,'Forbrug af biomasse'!D:D,'Resultat-Produktion &amp; forbrug'!$D188,'Forbrug af biomasse'!G:G,1,'Forbrug af biomasse'!B:B,$E188)</f>
        <v>0</v>
      </c>
      <c r="N188" s="199">
        <f t="shared" si="48"/>
        <v>1978309.9489030582</v>
      </c>
      <c r="O188" s="190">
        <f t="shared" si="39"/>
        <v>1978309.9489030582</v>
      </c>
      <c r="P188" s="200">
        <f t="shared" si="49"/>
        <v>1208651.4125341829</v>
      </c>
      <c r="Q188" s="187">
        <f>IFERROR(VLOOKUP(A188,[1]Energiindhold!$A$2:$C$11,3,FALSE),IFERROR(VLOOKUP(A188,[1]Biogasudbytte!$A$2:$B$18,2,FALSE)*[1]Energiindhold!$C$10,0))*O188</f>
        <v>0.98719644760211522</v>
      </c>
      <c r="R188" s="187">
        <f>IF(A188&lt;&gt;"Biogas",IFERROR(VLOOKUP(A188,[1]Biogasudbytte!$A$2:$B$18,2,FALSE)*[1]Energiindhold!$C$10,0)*J188*IFERROR(VLOOKUP(A188,Biogasanlæg!$F$3:$G$8,2,FALSE),1)+IFERROR(VLOOKUP(A188,[1]Energiindhold!$A$2:$C$11,3,FALSE),0)*L188+IF(D188&lt;&gt;År1,Q188,0),0)</f>
        <v>0.60312914136868268</v>
      </c>
      <c r="S188" s="187">
        <f>IFERROR(VLOOKUP(A188,[1]Biogasudbytte!$A$2:$B$18,2,FALSE)*[1]Energiindhold!$C$10,0)*J188*IFERROR(VLOOKUP(A188,Biogasanlæg!$F$3:$G$8,2,FALSE),1)</f>
        <v>0.60312914136868268</v>
      </c>
      <c r="T188" s="188">
        <f t="shared" si="50"/>
        <v>0</v>
      </c>
      <c r="U188" s="186">
        <f>O188*IFERROR(VLOOKUP(A188,[1]Tørstofindhold!A$2:B$24,2,FALSE),0)</f>
        <v>118698.59693418349</v>
      </c>
      <c r="V188" s="187">
        <f>IF(D188=År1,P188,SUM(O188,P188))*IFERROR(VLOOKUP(A188,[1]Tørstofindhold!A$2:B$24,2,FALSE),0)</f>
        <v>72519.084752050971</v>
      </c>
      <c r="W188" s="187">
        <f>J188*IFERROR(VLOOKUP(A188,[1]Tørstofindhold!A$2:B$24,2,FALSE),0)</f>
        <v>72519.084752050971</v>
      </c>
      <c r="X188" s="188">
        <f t="shared" si="51"/>
        <v>0</v>
      </c>
      <c r="Y188" s="168">
        <f t="shared" si="43"/>
        <v>0</v>
      </c>
      <c r="Z188" s="103">
        <f t="shared" si="44"/>
        <v>1</v>
      </c>
    </row>
    <row r="189" spans="1:26" x14ac:dyDescent="0.25">
      <c r="A189" s="189" t="s">
        <v>135</v>
      </c>
      <c r="B189" s="189" t="s">
        <v>222</v>
      </c>
      <c r="C189" s="189">
        <f>IF(COUNTIFS('Resultater - Danmark'!$D$3:$D$504,'Resultat-Produktion &amp; forbrug'!A189,'Resultater - Danmark'!$A$3:$A$504,"Til energi")+COUNTIFS('Resultater - Danmark'!$D$3:$D$504,'Resultat-Produktion &amp; forbrug'!A189,'Resultater - Danmark'!$A$3:$A$504,"Biogasanlæg")&gt;0,1,0)</f>
        <v>1</v>
      </c>
      <c r="D189" s="189">
        <f t="shared" si="47"/>
        <v>2019</v>
      </c>
      <c r="E189" s="187" t="s">
        <v>24</v>
      </c>
      <c r="F189" s="190">
        <f>IF(E189="Vestdanmark",SUMIFS(IF(D189=År1,'Resultater - Vestdanmark'!H$3:H$504,IF(D189=År2,'Resultater - Vestdanmark'!I$3:I$504,'Resultater - Vestdanmark'!J$3:J$504)),'Resultater - Vestdanmark'!$F$3:$F$504,$A189,IF(D189=År1,'Resultater - Vestdanmark'!H$3:H$504,IF(D189=År2,'Resultater - Vestdanmark'!I$3:I$504,'Resultater - Vestdanmark'!J$3:J$504)),"&gt;0"),SUMIFS(IF(D189=År1,'Resultater - Østdanmark'!H$3:H$504,IF(D189=År2,'Resultater - Østdanmark'!I$3:I$504,'Resultater - Østdanmark'!J$3:J$504)),'Resultater - Østdanmark'!$F$3:$F$504,$A189,IF(D189=År1,'Resultater - Østdanmark'!H$3:H$504,IF(D189=År2,'Resultater - Østdanmark'!I$3:I$504,'Resultater - Østdanmark'!J$3:J$504)),"&gt;0"))</f>
        <v>2304461.4931079326</v>
      </c>
      <c r="G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forbrug'!G$2,'Forbrug af biomasse'!$B$2:$B$425,$E189)</f>
        <v>0</v>
      </c>
      <c r="H189" s="187">
        <f>IF(E189="Vestdanmark",-IF(A189="Halm",SUMIFS(IF(D189=År1,'Resultater - Vestdanmark'!H$3:H$504,IF(D189=År2,'Resultater - Vestdanmark'!I$3:I$504,'Resultater - Vestdanmark'!J$3:J$504)),'Resultater - Vestdanmark'!$F$3:$F$504,$A189,'Resultater - Vestdanmark'!H$3:H$504,"&lt;0"),0),-IF(A189="Halm",SUMIFS(IF(D189=År1,'Resultater - Østdanmark'!H$3:H$504,IF(D189=År2,'Resultater - Østdanmark'!I$3:I$504,'Resultater - Østdanmark'!J$3:J$504)),'Resultater - Østdanmark'!$F$3:$F$504,$A189,'Resultater - Østdanmark'!H$3:H$504,"&lt;0"),0))</f>
        <v>0</v>
      </c>
      <c r="I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forbrug'!I$2,'Forbrug af biomasse'!$B$2:$B$425,$E189)</f>
        <v>0</v>
      </c>
      <c r="J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forbrug'!J$2,'Forbrug af biomasse'!$B$2:$B$425,$E189)</f>
        <v>380427.26035611134</v>
      </c>
      <c r="K189" s="190">
        <f>SUMIFS('Forbrug af biomasse'!$E$2:$E$425,'Forbrug af biomasse'!$C$2:$C$425,'Resultat-Produktion &amp; forbrug'!$A189,'Forbrug af biomasse'!$D$2:$D$425,'Resultat-Produktion &amp; forbrug'!$D189,'Forbrug af biomasse'!$A$2:$A$425,'Resultat-Produktion &amp; forbrug'!K$2,'Forbrug af biomasse'!$B$2:$B$425,$E189)</f>
        <v>1924034.2327518209</v>
      </c>
      <c r="L189" s="190">
        <f>IF(A189&lt;&gt;"Biogas",SUMIFS('Forbrug af biomasse'!$E$2:$E$425,'Forbrug af biomasse'!$C$2:$C$425,'Resultat-Produktion &amp; forbrug'!$A189,'Forbrug af biomasse'!$D$2:$D$425,'Resultat-Produktion &amp; forbrug'!$D189,'Forbrug af biomasse'!$A$2:$A$425,'Resultat-Produktion &amp; forbrug'!L$2,'Forbrug af biomasse'!$B$2:$B$425,$E189),F189)</f>
        <v>0</v>
      </c>
      <c r="M189" s="154">
        <f>SUMIFS('Forbrug af biomasse'!E:E,'Forbrug af biomasse'!C:C,'Resultat-Produktion &amp; forbrug'!$A189,'Forbrug af biomasse'!D:D,'Resultat-Produktion &amp; forbrug'!$D189,'Forbrug af biomasse'!G:G,1,'Forbrug af biomasse'!B:B,$E189)</f>
        <v>0</v>
      </c>
      <c r="N189" s="199">
        <f t="shared" si="48"/>
        <v>0</v>
      </c>
      <c r="O189" s="190">
        <f t="shared" si="39"/>
        <v>0</v>
      </c>
      <c r="P189" s="200">
        <f t="shared" si="49"/>
        <v>380427.26035611134</v>
      </c>
      <c r="Q189" s="187">
        <f>IFERROR(VLOOKUP(A189,[1]Energiindhold!$A$2:$C$11,3,FALSE),IFERROR(VLOOKUP(A189,[1]Biogasudbytte!$A$2:$B$18,2,FALSE)*[1]Energiindhold!$C$10,0))*O189</f>
        <v>0</v>
      </c>
      <c r="R189" s="187">
        <f>IF(A189&lt;&gt;"Biogas",IFERROR(VLOOKUP(A189,[1]Biogasudbytte!$A$2:$B$18,2,FALSE)*[1]Energiindhold!$C$10,0)*J189*IFERROR(VLOOKUP(A189,Biogasanlæg!$F$3:$G$8,2,FALSE),1)+IFERROR(VLOOKUP(A189,[1]Energiindhold!$A$2:$C$11,3,FALSE),0)*L189+IF(D189&lt;&gt;År1,Q189,0),0)</f>
        <v>0.16388806376141279</v>
      </c>
      <c r="S189" s="187">
        <f>IFERROR(VLOOKUP(A189,[1]Biogasudbytte!$A$2:$B$18,2,FALSE)*[1]Energiindhold!$C$10,0)*J189*IFERROR(VLOOKUP(A189,Biogasanlæg!$F$3:$G$8,2,FALSE),1)</f>
        <v>0.16388806376141279</v>
      </c>
      <c r="T189" s="188">
        <f t="shared" si="50"/>
        <v>0</v>
      </c>
      <c r="U189" s="186">
        <f>O189*IFERROR(VLOOKUP(A189,[1]Tørstofindhold!A$2:B$24,2,FALSE),0)</f>
        <v>0</v>
      </c>
      <c r="V189" s="187">
        <f>IF(D189=År1,P189,SUM(O189,P189))*IFERROR(VLOOKUP(A189,[1]Tørstofindhold!A$2:B$24,2,FALSE),0)</f>
        <v>19021.363017805568</v>
      </c>
      <c r="W189" s="187">
        <f>J189*IFERROR(VLOOKUP(A189,[1]Tørstofindhold!A$2:B$24,2,FALSE),0)</f>
        <v>19021.363017805568</v>
      </c>
      <c r="X189" s="188">
        <f t="shared" si="51"/>
        <v>0</v>
      </c>
      <c r="Y189" s="168">
        <f t="shared" si="43"/>
        <v>0</v>
      </c>
      <c r="Z189" s="103">
        <f t="shared" si="44"/>
        <v>0</v>
      </c>
    </row>
    <row r="190" spans="1:26" x14ac:dyDescent="0.25">
      <c r="A190" s="189" t="s">
        <v>13</v>
      </c>
      <c r="B190" s="189"/>
      <c r="C190" s="189">
        <f>IF(COUNTIFS('Resultater - Danmark'!$D$3:$D$504,'Resultat-Produktion &amp; forbrug'!A190,'Resultater - Danmark'!$A$3:$A$504,"Til energi")+COUNTIFS('Resultater - Danmark'!$D$3:$D$504,'Resultat-Produktion &amp; forbrug'!A190,'Resultater - Danmark'!$A$3:$A$504,"Biogasanlæg")&gt;0,1,0)</f>
        <v>0</v>
      </c>
      <c r="D190" s="189">
        <f t="shared" si="47"/>
        <v>2019</v>
      </c>
      <c r="E190" s="187" t="s">
        <v>24</v>
      </c>
      <c r="F190" s="190">
        <f>IF(E190="Vestdanmark",SUMIFS(IF(D190=År1,'Resultater - Vestdanmark'!H$3:H$504,IF(D190=År2,'Resultater - Vestdanmark'!I$3:I$504,'Resultater - Vestdanmark'!J$3:J$504)),'Resultater - Vestdanmark'!$F$3:$F$504,$A190,IF(D190=År1,'Resultater - Vestdanmark'!H$3:H$504,IF(D190=År2,'Resultater - Vestdanmark'!I$3:I$504,'Resultater - Vestdanmark'!J$3:J$504)),"&gt;0"),SUMIFS(IF(D190=År1,'Resultater - Østdanmark'!H$3:H$504,IF(D190=År2,'Resultater - Østdanmark'!I$3:I$504,'Resultater - Østdanmark'!J$3:J$504)),'Resultater - Østdanmark'!$F$3:$F$504,$A190,IF(D190=År1,'Resultater - Østdanmark'!H$3:H$504,IF(D190=År2,'Resultater - Østdanmark'!I$3:I$504,'Resultater - Østdanmark'!J$3:J$504)),"&gt;0"))</f>
        <v>206750.71206041813</v>
      </c>
      <c r="G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forbrug'!G$2,'Forbrug af biomasse'!$B$2:$B$425,$E190)</f>
        <v>0</v>
      </c>
      <c r="H190" s="187">
        <f>IF(E190="Vestdanmark",-IF(A190="Halm",SUMIFS(IF(D190=År1,'Resultater - Vestdanmark'!H$3:H$504,IF(D190=År2,'Resultater - Vestdanmark'!I$3:I$504,'Resultater - Vestdanmark'!J$3:J$504)),'Resultater - Vestdanmark'!$F$3:$F$504,$A190,'Resultater - Vestdanmark'!H$3:H$504,"&lt;0"),0),-IF(A190="Halm",SUMIFS(IF(D190=År1,'Resultater - Østdanmark'!H$3:H$504,IF(D190=År2,'Resultater - Østdanmark'!I$3:I$504,'Resultater - Østdanmark'!J$3:J$504)),'Resultater - Østdanmark'!$F$3:$F$504,$A190,'Resultater - Østdanmark'!H$3:H$504,"&lt;0"),0))</f>
        <v>0</v>
      </c>
      <c r="I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forbrug'!I$2,'Forbrug af biomasse'!$B$2:$B$425,$E190)</f>
        <v>100555.62853170674</v>
      </c>
      <c r="J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forbrug'!J$2,'Forbrug af biomasse'!$B$2:$B$425,$E190)</f>
        <v>0</v>
      </c>
      <c r="K190" s="190">
        <f>SUMIFS('Forbrug af biomasse'!$E$2:$E$425,'Forbrug af biomasse'!$C$2:$C$425,'Resultat-Produktion &amp; forbrug'!$A190,'Forbrug af biomasse'!$D$2:$D$425,'Resultat-Produktion &amp; forbrug'!$D190,'Forbrug af biomasse'!$A$2:$A$425,'Resultat-Produktion &amp; forbrug'!K$2,'Forbrug af biomasse'!$B$2:$B$425,$E190)</f>
        <v>0</v>
      </c>
      <c r="L190" s="190">
        <f>IF(A190&lt;&gt;"Biogas",SUMIFS('Forbrug af biomasse'!$E$2:$E$425,'Forbrug af biomasse'!$C$2:$C$425,'Resultat-Produktion &amp; forbrug'!$A190,'Forbrug af biomasse'!$D$2:$D$425,'Resultat-Produktion &amp; forbrug'!$D190,'Forbrug af biomasse'!$A$2:$A$425,'Resultat-Produktion &amp; forbrug'!L$2,'Forbrug af biomasse'!$B$2:$B$425,$E190),F190)</f>
        <v>0</v>
      </c>
      <c r="M190" s="154">
        <f>SUMIFS('Forbrug af biomasse'!E:E,'Forbrug af biomasse'!C:C,'Resultat-Produktion &amp; forbrug'!$A190,'Forbrug af biomasse'!D:D,'Resultat-Produktion &amp; forbrug'!$D190,'Forbrug af biomasse'!G:G,1,'Forbrug af biomasse'!B:B,$E190)</f>
        <v>0</v>
      </c>
      <c r="N190" s="199">
        <f t="shared" si="48"/>
        <v>106195.08352871139</v>
      </c>
      <c r="O190" s="190">
        <f t="shared" si="39"/>
        <v>0</v>
      </c>
      <c r="P190" s="200">
        <f t="shared" si="49"/>
        <v>0</v>
      </c>
      <c r="Q190" s="187">
        <f>IFERROR(VLOOKUP(A190,[1]Energiindhold!$A$2:$C$11,3,FALSE),IFERROR(VLOOKUP(A190,[1]Biogasudbytte!$A$2:$B$18,2,FALSE)*[1]Energiindhold!$C$10,0))*O190</f>
        <v>0</v>
      </c>
      <c r="R190" s="187">
        <f>IF(A190&lt;&gt;"Biogas",IFERROR(VLOOKUP(A190,[1]Biogasudbytte!$A$2:$B$18,2,FALSE)*[1]Energiindhold!$C$10,0)*J190*IFERROR(VLOOKUP(A190,Biogasanlæg!$F$3:$G$8,2,FALSE),1)+IFERROR(VLOOKUP(A190,[1]Energiindhold!$A$2:$C$11,3,FALSE),0)*L190+IF(D190&lt;&gt;År1,Q190,0),0)</f>
        <v>0</v>
      </c>
      <c r="S190" s="187">
        <f>IFERROR(VLOOKUP(A190,[1]Biogasudbytte!$A$2:$B$18,2,FALSE)*[1]Energiindhold!$C$10,0)*J190*IFERROR(VLOOKUP(A190,Biogasanlæg!$F$3:$G$8,2,FALSE),1)</f>
        <v>0</v>
      </c>
      <c r="T190" s="188">
        <f t="shared" si="50"/>
        <v>0</v>
      </c>
      <c r="U190" s="186">
        <f>O190*IFERROR(VLOOKUP(A190,[1]Tørstofindhold!A$2:B$24,2,FALSE),0)</f>
        <v>0</v>
      </c>
      <c r="V190" s="187">
        <f>IF(D190=År1,P190,SUM(O190,P190))*IFERROR(VLOOKUP(A190,[1]Tørstofindhold!A$2:B$24,2,FALSE),0)</f>
        <v>0</v>
      </c>
      <c r="W190" s="187">
        <f>J190*IFERROR(VLOOKUP(A190,[1]Tørstofindhold!A$2:B$24,2,FALSE),0)</f>
        <v>0</v>
      </c>
      <c r="X190" s="188">
        <f t="shared" si="51"/>
        <v>0</v>
      </c>
      <c r="Y190" s="168">
        <f t="shared" si="43"/>
        <v>0</v>
      </c>
      <c r="Z190" s="103">
        <f t="shared" si="44"/>
        <v>1</v>
      </c>
    </row>
    <row r="191" spans="1:26" x14ac:dyDescent="0.25">
      <c r="A191" s="189" t="s">
        <v>99</v>
      </c>
      <c r="B191" s="189" t="s">
        <v>226</v>
      </c>
      <c r="C191" s="189">
        <f>IF(COUNTIFS('Resultater - Danmark'!$D$3:$D$504,'Resultat-Produktion &amp; forbrug'!A191,'Resultater - Danmark'!$A$3:$A$504,"Til energi")+COUNTIFS('Resultater - Danmark'!$D$3:$D$504,'Resultat-Produktion &amp; forbrug'!A191,'Resultater - Danmark'!$A$3:$A$504,"Biogasanlæg")&gt;0,1,0)</f>
        <v>1</v>
      </c>
      <c r="D191" s="189">
        <f t="shared" si="47"/>
        <v>2019</v>
      </c>
      <c r="E191" s="187" t="s">
        <v>24</v>
      </c>
      <c r="F191" s="190">
        <f>IF(E191="Vestdanmark",SUMIFS(IF(D191=År1,'Resultater - Vestdanmark'!H$3:H$504,IF(D191=År2,'Resultater - Vestdanmark'!I$3:I$504,'Resultater - Vestdanmark'!J$3:J$504)),'Resultater - Vestdanmark'!$F$3:$F$504,$A191,IF(D191=År1,'Resultater - Vestdanmark'!H$3:H$504,IF(D191=År2,'Resultater - Vestdanmark'!I$3:I$504,'Resultater - Vestdanmark'!J$3:J$504)),"&gt;0"),SUMIFS(IF(D191=År1,'Resultater - Østdanmark'!H$3:H$504,IF(D191=År2,'Resultater - Østdanmark'!I$3:I$504,'Resultater - Østdanmark'!J$3:J$504)),'Resultater - Østdanmark'!$F$3:$F$504,$A191,IF(D191=År1,'Resultater - Østdanmark'!H$3:H$504,IF(D191=År2,'Resultater - Østdanmark'!I$3:I$504,'Resultater - Østdanmark'!J$3:J$504)),"&gt;0"))</f>
        <v>0</v>
      </c>
      <c r="G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forbrug'!G$2,'Forbrug af biomasse'!$B$2:$B$425,$E191)</f>
        <v>0</v>
      </c>
      <c r="H191" s="187">
        <f>IF(E191="Vestdanmark",-IF(A191="Halm",SUMIFS(IF(D191=År1,'Resultater - Vestdanmark'!H$3:H$504,IF(D191=År2,'Resultater - Vestdanmark'!I$3:I$504,'Resultater - Vestdanmark'!J$3:J$504)),'Resultater - Vestdanmark'!$F$3:$F$504,$A191,'Resultater - Vestdanmark'!H$3:H$504,"&lt;0"),0),-IF(A191="Halm",SUMIFS(IF(D191=År1,'Resultater - Østdanmark'!H$3:H$504,IF(D191=År2,'Resultater - Østdanmark'!I$3:I$504,'Resultater - Østdanmark'!J$3:J$504)),'Resultater - Østdanmark'!$F$3:$F$504,$A191,'Resultater - Østdanmark'!H$3:H$504,"&lt;0"),0))</f>
        <v>0</v>
      </c>
      <c r="I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forbrug'!I$2,'Forbrug af biomasse'!$B$2:$B$425,$E191)</f>
        <v>0</v>
      </c>
      <c r="J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forbrug'!J$2,'Forbrug af biomasse'!$B$2:$B$425,$E191)</f>
        <v>0</v>
      </c>
      <c r="K191" s="190">
        <f>SUMIFS('Forbrug af biomasse'!$E$2:$E$425,'Forbrug af biomasse'!$C$2:$C$425,'Resultat-Produktion &amp; forbrug'!$A191,'Forbrug af biomasse'!$D$2:$D$425,'Resultat-Produktion &amp; forbrug'!$D191,'Forbrug af biomasse'!$A$2:$A$425,'Resultat-Produktion &amp; forbrug'!K$2,'Forbrug af biomasse'!$B$2:$B$425,$E191)</f>
        <v>0</v>
      </c>
      <c r="L191" s="190">
        <f>IF(A191&lt;&gt;"Biogas",SUMIFS('Forbrug af biomasse'!$E$2:$E$425,'Forbrug af biomasse'!$C$2:$C$425,'Resultat-Produktion &amp; forbrug'!$A191,'Forbrug af biomasse'!$D$2:$D$425,'Resultat-Produktion &amp; forbrug'!$D191,'Forbrug af biomasse'!$A$2:$A$425,'Resultat-Produktion &amp; forbrug'!L$2,'Forbrug af biomasse'!$B$2:$B$425,$E191),F191)</f>
        <v>0</v>
      </c>
      <c r="M191" s="154">
        <f>SUMIFS('Forbrug af biomasse'!E:E,'Forbrug af biomasse'!C:C,'Resultat-Produktion &amp; forbrug'!$A191,'Forbrug af biomasse'!D:D,'Resultat-Produktion &amp; forbrug'!$D191,'Forbrug af biomasse'!G:G,1,'Forbrug af biomasse'!B:B,$E191)</f>
        <v>0</v>
      </c>
      <c r="N191" s="199">
        <f t="shared" si="48"/>
        <v>0</v>
      </c>
      <c r="O191" s="190">
        <f t="shared" si="39"/>
        <v>0</v>
      </c>
      <c r="P191" s="200">
        <f t="shared" si="49"/>
        <v>0</v>
      </c>
      <c r="Q191" s="187">
        <f>IFERROR(VLOOKUP(A191,[1]Energiindhold!$A$2:$C$11,3,FALSE),IFERROR(VLOOKUP(A191,[1]Biogasudbytte!$A$2:$B$18,2,FALSE)*[1]Energiindhold!$C$10,0))*O191</f>
        <v>0</v>
      </c>
      <c r="R191" s="187">
        <f>IF(A191&lt;&gt;"Biogas",IFERROR(VLOOKUP(A191,[1]Biogasudbytte!$A$2:$B$18,2,FALSE)*[1]Energiindhold!$C$10,0)*J191*IFERROR(VLOOKUP(A191,Biogasanlæg!$F$3:$G$8,2,FALSE),1)+IFERROR(VLOOKUP(A191,[1]Energiindhold!$A$2:$C$11,3,FALSE),0)*L191+IF(D191&lt;&gt;År1,Q191,0),0)</f>
        <v>0</v>
      </c>
      <c r="S191" s="187">
        <f>IFERROR(VLOOKUP(A191,[1]Biogasudbytte!$A$2:$B$18,2,FALSE)*[1]Energiindhold!$C$10,0)*J191*IFERROR(VLOOKUP(A191,Biogasanlæg!$F$3:$G$8,2,FALSE),1)</f>
        <v>0</v>
      </c>
      <c r="T191" s="188">
        <f t="shared" si="50"/>
        <v>0</v>
      </c>
      <c r="U191" s="186">
        <f>O191*IFERROR(VLOOKUP(A191,[1]Tørstofindhold!A$2:B$24,2,FALSE),0)</f>
        <v>0</v>
      </c>
      <c r="V191" s="187">
        <f>IF(D191=År1,P191,SUM(O191,P191))*IFERROR(VLOOKUP(A191,[1]Tørstofindhold!A$2:B$24,2,FALSE),0)</f>
        <v>0</v>
      </c>
      <c r="W191" s="187">
        <f>J191*IFERROR(VLOOKUP(A191,[1]Tørstofindhold!A$2:B$24,2,FALSE),0)</f>
        <v>0</v>
      </c>
      <c r="X191" s="188">
        <f t="shared" si="51"/>
        <v>0</v>
      </c>
      <c r="Y191" s="168">
        <f t="shared" si="43"/>
        <v>0</v>
      </c>
      <c r="Z191" s="103">
        <f t="shared" si="44"/>
        <v>1</v>
      </c>
    </row>
    <row r="192" spans="1:26" x14ac:dyDescent="0.25">
      <c r="A192" s="189" t="s">
        <v>104</v>
      </c>
      <c r="B192" s="189"/>
      <c r="C192" s="189">
        <f>IF(COUNTIFS('Resultater - Danmark'!$D$3:$D$504,'Resultat-Produktion &amp; forbrug'!A192,'Resultater - Danmark'!$A$3:$A$504,"Til energi")+COUNTIFS('Resultater - Danmark'!$D$3:$D$504,'Resultat-Produktion &amp; forbrug'!A192,'Resultater - Danmark'!$A$3:$A$504,"Biogasanlæg")&gt;0,1,0)</f>
        <v>1</v>
      </c>
      <c r="D192" s="189">
        <f t="shared" si="47"/>
        <v>2019</v>
      </c>
      <c r="E192" s="187" t="s">
        <v>24</v>
      </c>
      <c r="F192" s="190">
        <f>IF(E192="Vestdanmark",SUMIFS(IF(D192=År1,'Resultater - Vestdanmark'!H$3:H$504,IF(D192=År2,'Resultater - Vestdanmark'!I$3:I$504,'Resultater - Vestdanmark'!J$3:J$504)),'Resultater - Vestdanmark'!$F$3:$F$504,$A192,IF(D192=År1,'Resultater - Vestdanmark'!H$3:H$504,IF(D192=År2,'Resultater - Vestdanmark'!I$3:I$504,'Resultater - Vestdanmark'!J$3:J$504)),"&gt;0"),SUMIFS(IF(D192=År1,'Resultater - Østdanmark'!H$3:H$504,IF(D192=År2,'Resultater - Østdanmark'!I$3:I$504,'Resultater - Østdanmark'!J$3:J$504)),'Resultater - Østdanmark'!$F$3:$F$504,$A192,IF(D192=År1,'Resultater - Østdanmark'!H$3:H$504,IF(D192=År2,'Resultater - Østdanmark'!I$3:I$504,'Resultater - Østdanmark'!J$3:J$504)),"&gt;0"))</f>
        <v>0</v>
      </c>
      <c r="G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forbrug'!G$2,'Forbrug af biomasse'!$B$2:$B$425,$E192)</f>
        <v>0</v>
      </c>
      <c r="H192" s="187">
        <f>IF(E192="Vestdanmark",-IF(A192="Halm",SUMIFS(IF(D192=År1,'Resultater - Vestdanmark'!H$3:H$504,IF(D192=År2,'Resultater - Vestdanmark'!I$3:I$504,'Resultater - Vestdanmark'!J$3:J$504)),'Resultater - Vestdanmark'!$F$3:$F$504,$A192,'Resultater - Vestdanmark'!H$3:H$504,"&lt;0"),0),-IF(A192="Halm",SUMIFS(IF(D192=År1,'Resultater - Østdanmark'!H$3:H$504,IF(D192=År2,'Resultater - Østdanmark'!I$3:I$504,'Resultater - Østdanmark'!J$3:J$504)),'Resultater - Østdanmark'!$F$3:$F$504,$A192,'Resultater - Østdanmark'!H$3:H$504,"&lt;0"),0))</f>
        <v>0</v>
      </c>
      <c r="I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forbrug'!I$2,'Forbrug af biomasse'!$B$2:$B$425,$E192)</f>
        <v>0</v>
      </c>
      <c r="J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forbrug'!J$2,'Forbrug af biomasse'!$B$2:$B$425,$E192)</f>
        <v>0</v>
      </c>
      <c r="K192" s="190">
        <f>SUMIFS('Forbrug af biomasse'!$E$2:$E$425,'Forbrug af biomasse'!$C$2:$C$425,'Resultat-Produktion &amp; forbrug'!$A192,'Forbrug af biomasse'!$D$2:$D$425,'Resultat-Produktion &amp; forbrug'!$D192,'Forbrug af biomasse'!$A$2:$A$425,'Resultat-Produktion &amp; forbrug'!K$2,'Forbrug af biomasse'!$B$2:$B$425,$E192)</f>
        <v>0</v>
      </c>
      <c r="L192" s="190">
        <f>IF(A192&lt;&gt;"Biogas",SUMIFS('Forbrug af biomasse'!$E$2:$E$425,'Forbrug af biomasse'!$C$2:$C$425,'Resultat-Produktion &amp; forbrug'!$A192,'Forbrug af biomasse'!$D$2:$D$425,'Resultat-Produktion &amp; forbrug'!$D192,'Forbrug af biomasse'!$A$2:$A$425,'Resultat-Produktion &amp; forbrug'!L$2,'Forbrug af biomasse'!$B$2:$B$425,$E192),F192)</f>
        <v>0</v>
      </c>
      <c r="M192" s="154">
        <f>SUMIFS('Forbrug af biomasse'!E:E,'Forbrug af biomasse'!C:C,'Resultat-Produktion &amp; forbrug'!$A192,'Forbrug af biomasse'!D:D,'Resultat-Produktion &amp; forbrug'!$D192,'Forbrug af biomasse'!G:G,1,'Forbrug af biomasse'!B:B,$E192)</f>
        <v>0</v>
      </c>
      <c r="N192" s="199">
        <f t="shared" si="48"/>
        <v>0</v>
      </c>
      <c r="O192" s="190">
        <f t="shared" si="39"/>
        <v>0</v>
      </c>
      <c r="P192" s="200">
        <f t="shared" si="49"/>
        <v>0</v>
      </c>
      <c r="Q192" s="187">
        <f>IFERROR(VLOOKUP(A192,[1]Energiindhold!$A$2:$C$11,3,FALSE),IFERROR(VLOOKUP(A192,[1]Biogasudbytte!$A$2:$B$18,2,FALSE)*[1]Energiindhold!$C$10,0))*O192</f>
        <v>0</v>
      </c>
      <c r="R192" s="187">
        <f>IF(A192&lt;&gt;"Biogas",IFERROR(VLOOKUP(A192,[1]Biogasudbytte!$A$2:$B$18,2,FALSE)*[1]Energiindhold!$C$10,0)*J192*IFERROR(VLOOKUP(A192,Biogasanlæg!$F$3:$G$8,2,FALSE),1)+IFERROR(VLOOKUP(A192,[1]Energiindhold!$A$2:$C$11,3,FALSE),0)*L192+IF(D192&lt;&gt;År1,Q192,0),0)</f>
        <v>0</v>
      </c>
      <c r="S192" s="187">
        <f>IFERROR(VLOOKUP(A192,[1]Biogasudbytte!$A$2:$B$18,2,FALSE)*[1]Energiindhold!$C$10,0)*J192*IFERROR(VLOOKUP(A192,Biogasanlæg!$F$3:$G$8,2,FALSE),1)</f>
        <v>0</v>
      </c>
      <c r="T192" s="188">
        <f t="shared" si="50"/>
        <v>0</v>
      </c>
      <c r="U192" s="186">
        <f>O192*IFERROR(VLOOKUP(A192,[1]Tørstofindhold!A$2:B$24,2,FALSE),0)</f>
        <v>0</v>
      </c>
      <c r="V192" s="187">
        <f>IF(D192=År1,P192,SUM(O192,P192))*IFERROR(VLOOKUP(A192,[1]Tørstofindhold!A$2:B$24,2,FALSE),0)</f>
        <v>0</v>
      </c>
      <c r="W192" s="187">
        <f>J192*IFERROR(VLOOKUP(A192,[1]Tørstofindhold!A$2:B$24,2,FALSE),0)</f>
        <v>0</v>
      </c>
      <c r="X192" s="188">
        <f t="shared" si="51"/>
        <v>0</v>
      </c>
      <c r="Y192" s="168">
        <f t="shared" si="43"/>
        <v>0</v>
      </c>
      <c r="Z192" s="103">
        <f t="shared" si="44"/>
        <v>0</v>
      </c>
    </row>
    <row r="193" spans="1:26" x14ac:dyDescent="0.25">
      <c r="A193" s="189" t="s">
        <v>119</v>
      </c>
      <c r="B193" s="189" t="s">
        <v>225</v>
      </c>
      <c r="C193" s="189">
        <f>IF(COUNTIFS('Resultater - Danmark'!$D$3:$D$504,'Resultat-Produktion &amp; forbrug'!A193,'Resultater - Danmark'!$A$3:$A$504,"Til energi")+COUNTIFS('Resultater - Danmark'!$D$3:$D$504,'Resultat-Produktion &amp; forbrug'!A193,'Resultater - Danmark'!$A$3:$A$504,"Biogasanlæg")&gt;0,1,0)</f>
        <v>1</v>
      </c>
      <c r="D193" s="189">
        <f t="shared" si="47"/>
        <v>2019</v>
      </c>
      <c r="E193" s="187" t="s">
        <v>24</v>
      </c>
      <c r="F193" s="190">
        <f ca="1">IF(E193="Vestdanmark",SUMIFS(IF(D193=År1,'Resultater - Vestdanmark'!H$3:H$504,IF(D193=År2,'Resultater - Vestdanmark'!I$3:I$504,'Resultater - Vestdanmark'!J$3:J$504)),'Resultater - Vestdanmark'!$F$3:$F$504,$A193,IF(D193=År1,'Resultater - Vestdanmark'!H$3:H$504,IF(D193=År2,'Resultater - Vestdanmark'!I$3:I$504,'Resultater - Vestdanmark'!J$3:J$504)),"&gt;0"),SUMIFS(IF(D193=År1,'Resultater - Østdanmark'!H$3:H$504,IF(D193=År2,'Resultater - Østdanmark'!I$3:I$504,'Resultater - Østdanmark'!J$3:J$504)),'Resultater - Østdanmark'!$F$3:$F$504,$A193,IF(D193=År1,'Resultater - Østdanmark'!H$3:H$504,IF(D193=År2,'Resultater - Østdanmark'!I$3:I$504,'Resultater - Østdanmark'!J$3:J$504)),"&gt;0"))</f>
        <v>681614.98381741357</v>
      </c>
      <c r="G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forbrug'!G$2,'Forbrug af biomasse'!$B$2:$B$425,$E193)</f>
        <v>0</v>
      </c>
      <c r="H193" s="187">
        <f>IF(E193="Vestdanmark",-IF(A193="Halm",SUMIFS(IF(D193=År1,'Resultater - Vestdanmark'!H$3:H$504,IF(D193=År2,'Resultater - Vestdanmark'!I$3:I$504,'Resultater - Vestdanmark'!J$3:J$504)),'Resultater - Vestdanmark'!$F$3:$F$504,$A193,'Resultater - Vestdanmark'!H$3:H$504,"&lt;0"),0),-IF(A193="Halm",SUMIFS(IF(D193=År1,'Resultater - Østdanmark'!H$3:H$504,IF(D193=År2,'Resultater - Østdanmark'!I$3:I$504,'Resultater - Østdanmark'!J$3:J$504)),'Resultater - Østdanmark'!$F$3:$F$504,$A193,'Resultater - Østdanmark'!H$3:H$504,"&lt;0"),0))</f>
        <v>0</v>
      </c>
      <c r="I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forbrug'!I$2,'Forbrug af biomasse'!$B$2:$B$425,$E193)</f>
        <v>0</v>
      </c>
      <c r="J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forbrug'!J$2,'Forbrug af biomasse'!$B$2:$B$425,$E193)</f>
        <v>0</v>
      </c>
      <c r="K193" s="190">
        <f>SUMIFS('Forbrug af biomasse'!$E$2:$E$425,'Forbrug af biomasse'!$C$2:$C$425,'Resultat-Produktion &amp; forbrug'!$A193,'Forbrug af biomasse'!$D$2:$D$425,'Resultat-Produktion &amp; forbrug'!$D193,'Forbrug af biomasse'!$A$2:$A$425,'Resultat-Produktion &amp; forbrug'!K$2,'Forbrug af biomasse'!$B$2:$B$425,$E193)</f>
        <v>0</v>
      </c>
      <c r="L193" s="190">
        <f ca="1">IF(A193&lt;&gt;"Biogas",SUMIFS('Forbrug af biomasse'!$E$2:$E$425,'Forbrug af biomasse'!$C$2:$C$425,'Resultat-Produktion &amp; forbrug'!$A193,'Forbrug af biomasse'!$D$2:$D$425,'Resultat-Produktion &amp; forbrug'!$D193,'Forbrug af biomasse'!$A$2:$A$425,'Resultat-Produktion &amp; forbrug'!L$2,'Forbrug af biomasse'!$B$2:$B$425,$E193),F193)</f>
        <v>681614.98381741357</v>
      </c>
      <c r="M193" s="154">
        <f>SUMIFS('Forbrug af biomasse'!E:E,'Forbrug af biomasse'!C:C,'Resultat-Produktion &amp; forbrug'!$A193,'Forbrug af biomasse'!D:D,'Resultat-Produktion &amp; forbrug'!$D193,'Forbrug af biomasse'!G:G,1,'Forbrug af biomasse'!B:B,$E193)</f>
        <v>0</v>
      </c>
      <c r="N193" s="199">
        <f t="shared" ca="1" si="48"/>
        <v>0</v>
      </c>
      <c r="O193" s="190">
        <f t="shared" ca="1" si="39"/>
        <v>0</v>
      </c>
      <c r="P193" s="200">
        <f t="shared" ca="1" si="49"/>
        <v>681614.98381741357</v>
      </c>
      <c r="Q193" s="187">
        <f ca="1">IFERROR(VLOOKUP(A193,[1]Energiindhold!$A$2:$C$11,3,FALSE),IFERROR(VLOOKUP(A193,[1]Biogasudbytte!$A$2:$B$18,2,FALSE)*[1]Energiindhold!$C$10,0))*O193</f>
        <v>0</v>
      </c>
      <c r="R193" s="187">
        <f ca="1">IF(A193&lt;&gt;"Biogas",IFERROR(VLOOKUP(A193,[1]Biogasudbytte!$A$2:$B$18,2,FALSE)*[1]Energiindhold!$C$10,0)*J193*IFERROR(VLOOKUP(A193,Biogasanlæg!$F$3:$G$8,2,FALSE),1)+IFERROR(VLOOKUP(A193,[1]Energiindhold!$A$2:$C$11,3,FALSE),0)*L193+IF(D193&lt;&gt;År1,Q193,0),0)</f>
        <v>9.8790337317585379</v>
      </c>
      <c r="S193" s="187">
        <f>IFERROR(VLOOKUP(A193,[1]Biogasudbytte!$A$2:$B$18,2,FALSE)*[1]Energiindhold!$C$10,0)*J193*IFERROR(VLOOKUP(A193,Biogasanlæg!$F$3:$G$8,2,FALSE),1)</f>
        <v>0</v>
      </c>
      <c r="T193" s="188">
        <f t="shared" ca="1" si="50"/>
        <v>9.8790337317585379</v>
      </c>
      <c r="U193" s="186">
        <f ca="1">O193*IFERROR(VLOOKUP(A193,[1]Tørstofindhold!A$2:B$24,2,FALSE),0)</f>
        <v>0</v>
      </c>
      <c r="V193" s="187">
        <f ca="1">IF(D193=År1,P193,SUM(O193,P193))*IFERROR(VLOOKUP(A193,[1]Tørstofindhold!A$2:B$24,2,FALSE),0)</f>
        <v>337115.41074636247</v>
      </c>
      <c r="W193" s="187">
        <f>J193*IFERROR(VLOOKUP(A193,[1]Tørstofindhold!A$2:B$24,2,FALSE),0)</f>
        <v>0</v>
      </c>
      <c r="X193" s="188">
        <f t="shared" ca="1" si="51"/>
        <v>337115.41074636247</v>
      </c>
      <c r="Y193" s="168">
        <f t="shared" ca="1" si="43"/>
        <v>0</v>
      </c>
      <c r="Z193" s="103">
        <f t="shared" ca="1" si="44"/>
        <v>0</v>
      </c>
    </row>
    <row r="194" spans="1:26" x14ac:dyDescent="0.25">
      <c r="A194" s="189" t="s">
        <v>118</v>
      </c>
      <c r="B194" s="189"/>
      <c r="C194" s="189">
        <f>IF(COUNTIFS('Resultater - Danmark'!$D$3:$D$504,'Resultat-Produktion &amp; forbrug'!A194,'Resultater - Danmark'!$A$3:$A$504,"Til energi")+COUNTIFS('Resultater - Danmark'!$D$3:$D$504,'Resultat-Produktion &amp; forbrug'!A194,'Resultater - Danmark'!$A$3:$A$504,"Biogasanlæg")&gt;0,1,0)</f>
        <v>0</v>
      </c>
      <c r="D194" s="189">
        <f t="shared" si="47"/>
        <v>2019</v>
      </c>
      <c r="E194" s="187" t="s">
        <v>24</v>
      </c>
      <c r="F194" s="190">
        <f ca="1">IF(E194="Vestdanmark",SUMIFS(IF(D194=År1,'Resultater - Vestdanmark'!H$3:H$504,IF(D194=År2,'Resultater - Vestdanmark'!I$3:I$504,'Resultater - Vestdanmark'!J$3:J$504)),'Resultater - Vestdanmark'!$F$3:$F$504,$A194,IF(D194=År1,'Resultater - Vestdanmark'!H$3:H$504,IF(D194=År2,'Resultater - Vestdanmark'!I$3:I$504,'Resultater - Vestdanmark'!J$3:J$504)),"&gt;0"),SUMIFS(IF(D194=År1,'Resultater - Østdanmark'!H$3:H$504,IF(D194=År2,'Resultater - Østdanmark'!I$3:I$504,'Resultater - Østdanmark'!J$3:J$504)),'Resultater - Østdanmark'!$F$3:$F$504,$A194,IF(D194=År1,'Resultater - Østdanmark'!H$3:H$504,IF(D194=År2,'Resultater - Østdanmark'!I$3:I$504,'Resultater - Østdanmark'!J$3:J$504)),"&gt;0"))</f>
        <v>187416.40966897184</v>
      </c>
      <c r="G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forbrug'!G$2,'Forbrug af biomasse'!$B$2:$B$425,$E194)</f>
        <v>0</v>
      </c>
      <c r="H194" s="187">
        <f>IF(E194="Vestdanmark",-IF(A194="Halm",SUMIFS(IF(D194=År1,'Resultater - Vestdanmark'!H$3:H$504,IF(D194=År2,'Resultater - Vestdanmark'!I$3:I$504,'Resultater - Vestdanmark'!J$3:J$504)),'Resultater - Vestdanmark'!$F$3:$F$504,$A194,'Resultater - Vestdanmark'!H$3:H$504,"&lt;0"),0),-IF(A194="Halm",SUMIFS(IF(D194=År1,'Resultater - Østdanmark'!H$3:H$504,IF(D194=År2,'Resultater - Østdanmark'!I$3:I$504,'Resultater - Østdanmark'!J$3:J$504)),'Resultater - Østdanmark'!$F$3:$F$504,$A194,'Resultater - Østdanmark'!H$3:H$504,"&lt;0"),0))</f>
        <v>0</v>
      </c>
      <c r="I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forbrug'!I$2,'Forbrug af biomasse'!$B$2:$B$425,$E194)</f>
        <v>0</v>
      </c>
      <c r="J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forbrug'!J$2,'Forbrug af biomasse'!$B$2:$B$425,$E194)</f>
        <v>0</v>
      </c>
      <c r="K194" s="190">
        <f>SUMIFS('Forbrug af biomasse'!$E$2:$E$425,'Forbrug af biomasse'!$C$2:$C$425,'Resultat-Produktion &amp; forbrug'!$A194,'Forbrug af biomasse'!$D$2:$D$425,'Resultat-Produktion &amp; forbrug'!$D194,'Forbrug af biomasse'!$A$2:$A$425,'Resultat-Produktion &amp; forbrug'!K$2,'Forbrug af biomasse'!$B$2:$B$425,$E194)</f>
        <v>0</v>
      </c>
      <c r="L194" s="190">
        <f>IF(A194&lt;&gt;"Biogas",SUMIFS('Forbrug af biomasse'!$E$2:$E$425,'Forbrug af biomasse'!$C$2:$C$425,'Resultat-Produktion &amp; forbrug'!$A194,'Forbrug af biomasse'!$D$2:$D$425,'Resultat-Produktion &amp; forbrug'!$D194,'Forbrug af biomasse'!$A$2:$A$425,'Resultat-Produktion &amp; forbrug'!L$2,'Forbrug af biomasse'!$B$2:$B$425,$E194),F194)</f>
        <v>0</v>
      </c>
      <c r="M194" s="154">
        <f ca="1">SUMIFS('Forbrug af biomasse'!E:E,'Forbrug af biomasse'!C:C,'Resultat-Produktion &amp; forbrug'!$A194,'Forbrug af biomasse'!D:D,'Resultat-Produktion &amp; forbrug'!$D194,'Forbrug af biomasse'!G:G,1,'Forbrug af biomasse'!B:B,$E194)</f>
        <v>187416.40966897184</v>
      </c>
      <c r="N194" s="199">
        <f t="shared" ca="1" si="48"/>
        <v>0</v>
      </c>
      <c r="O194" s="190">
        <f t="shared" si="39"/>
        <v>0</v>
      </c>
      <c r="P194" s="200">
        <f t="shared" si="49"/>
        <v>0</v>
      </c>
      <c r="Q194" s="187">
        <f>IFERROR(VLOOKUP(A194,[1]Energiindhold!$A$2:$C$11,3,FALSE),IFERROR(VLOOKUP(A194,[1]Biogasudbytte!$A$2:$B$18,2,FALSE)*[1]Energiindhold!$C$10,0))*O194</f>
        <v>0</v>
      </c>
      <c r="R194" s="187">
        <f>IF(A194&lt;&gt;"Biogas",IFERROR(VLOOKUP(A194,[1]Biogasudbytte!$A$2:$B$18,2,FALSE)*[1]Energiindhold!$C$10,0)*J194*IFERROR(VLOOKUP(A194,Biogasanlæg!$F$3:$G$8,2,FALSE),1)+IFERROR(VLOOKUP(A194,[1]Energiindhold!$A$2:$C$11,3,FALSE),0)*L194+IF(D194&lt;&gt;År1,Q194,0),0)</f>
        <v>0</v>
      </c>
      <c r="S194" s="187">
        <f>IFERROR(VLOOKUP(A194,[1]Biogasudbytte!$A$2:$B$18,2,FALSE)*[1]Energiindhold!$C$10,0)*J194*IFERROR(VLOOKUP(A194,Biogasanlæg!$F$3:$G$8,2,FALSE),1)</f>
        <v>0</v>
      </c>
      <c r="T194" s="188">
        <f t="shared" si="50"/>
        <v>0</v>
      </c>
      <c r="U194" s="186">
        <f>O194*IFERROR(VLOOKUP(A194,[1]Tørstofindhold!A$2:B$24,2,FALSE),0)</f>
        <v>0</v>
      </c>
      <c r="V194" s="187">
        <f>IF(D194=År1,P194,SUM(O194,P194))*IFERROR(VLOOKUP(A194,[1]Tørstofindhold!A$2:B$24,2,FALSE),0)</f>
        <v>0</v>
      </c>
      <c r="W194" s="187">
        <f>J194*IFERROR(VLOOKUP(A194,[1]Tørstofindhold!A$2:B$24,2,FALSE),0)</f>
        <v>0</v>
      </c>
      <c r="X194" s="188">
        <f t="shared" si="51"/>
        <v>0</v>
      </c>
      <c r="Y194" s="168">
        <f t="shared" ca="1" si="43"/>
        <v>0</v>
      </c>
      <c r="Z194" s="103">
        <f t="shared" ca="1" si="44"/>
        <v>0</v>
      </c>
    </row>
    <row r="195" spans="1:26" x14ac:dyDescent="0.25">
      <c r="A195" s="189" t="str">
        <f t="shared" ref="A195:A226" si="56">A147</f>
        <v>Æg</v>
      </c>
      <c r="B195" s="189" t="str">
        <f t="shared" ref="B195:B226" si="57">IF(B147&lt;&gt;"",B147,"")</f>
        <v/>
      </c>
      <c r="C195" s="189">
        <f>IF(COUNTIFS('Resultater - Danmark'!$D$3:$D$504,'Resultat-Produktion &amp; forbrug'!A195,'Resultater - Danmark'!$A$3:$A$504,"Til energi")+COUNTIFS('Resultater - Danmark'!$D$3:$D$504,'Resultat-Produktion &amp; forbrug'!A195,'Resultater - Danmark'!$A$3:$A$504,"Biogasanlæg")&gt;0,1,0)</f>
        <v>0</v>
      </c>
      <c r="D195" s="189">
        <f t="shared" ref="D195:D242" si="58">År2</f>
        <v>2030</v>
      </c>
      <c r="E195" s="187" t="s">
        <v>24</v>
      </c>
      <c r="F195" s="190">
        <f>IF(E195="Vestdanmark",SUMIFS(IF(D195=År1,'Resultater - Vestdanmark'!H$3:H$504,IF(D195=År2,'Resultater - Vestdanmark'!I$3:I$504,'Resultater - Vestdanmark'!J$3:J$504)),'Resultater - Vestdanmark'!$F$3:$F$504,$A195,IF(D195=År1,'Resultater - Vestdanmark'!H$3:H$504,IF(D195=År2,'Resultater - Vestdanmark'!I$3:I$504,'Resultater - Vestdanmark'!J$3:J$504)),"&gt;0"),SUMIFS(IF(D195=År1,'Resultater - Østdanmark'!H$3:H$504,IF(D195=År2,'Resultater - Østdanmark'!I$3:I$504,'Resultater - Østdanmark'!J$3:J$504)),'Resultater - Østdanmark'!$F$3:$F$504,$A195,IF(D195=År1,'Resultater - Østdanmark'!H$3:H$504,IF(D195=År2,'Resultater - Østdanmark'!I$3:I$504,'Resultater - Østdanmark'!J$3:J$504)),"&gt;0"))</f>
        <v>21532.175325477547</v>
      </c>
      <c r="G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forbrug'!G$2,'Forbrug af biomasse'!$B$2:$B$425,$E195)</f>
        <v>0</v>
      </c>
      <c r="H195" s="187">
        <f>IF(E195="Vestdanmark",-IF(A195="Halm",SUMIFS(IF(D195=År1,'Resultater - Vestdanmark'!H$3:H$504,IF(D195=År2,'Resultater - Vestdanmark'!I$3:I$504,'Resultater - Vestdanmark'!J$3:J$504)),'Resultater - Vestdanmark'!$F$3:$F$504,$A195,'Resultater - Vestdanmark'!H$3:H$504,"&lt;0"),0),-IF(A195="Halm",SUMIFS(IF(D195=År1,'Resultater - Østdanmark'!H$3:H$504,IF(D195=År2,'Resultater - Østdanmark'!I$3:I$504,'Resultater - Østdanmark'!J$3:J$504)),'Resultater - Østdanmark'!$F$3:$F$504,$A195,'Resultater - Østdanmark'!H$3:H$504,"&lt;0"),0))</f>
        <v>0</v>
      </c>
      <c r="I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forbrug'!I$2,'Forbrug af biomasse'!$B$2:$B$425,$E195)</f>
        <v>28209.340124628539</v>
      </c>
      <c r="J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forbrug'!J$2,'Forbrug af biomasse'!$B$2:$B$425,$E195)</f>
        <v>0</v>
      </c>
      <c r="K195" s="190">
        <f>SUMIFS('Forbrug af biomasse'!$E$2:$E$425,'Forbrug af biomasse'!$C$2:$C$425,'Resultat-Produktion &amp; forbrug'!$A195,'Forbrug af biomasse'!$D$2:$D$425,'Resultat-Produktion &amp; forbrug'!$D195,'Forbrug af biomasse'!$A$2:$A$425,'Resultat-Produktion &amp; forbrug'!K$2,'Forbrug af biomasse'!$B$2:$B$425,$E195)</f>
        <v>0</v>
      </c>
      <c r="L195" s="190">
        <f>IF(A195&lt;&gt;"Biogas",SUMIFS('Forbrug af biomasse'!$E$2:$E$425,'Forbrug af biomasse'!$C$2:$C$425,'Resultat-Produktion &amp; forbrug'!$A195,'Forbrug af biomasse'!$D$2:$D$425,'Resultat-Produktion &amp; forbrug'!$D195,'Forbrug af biomasse'!$A$2:$A$425,'Resultat-Produktion &amp; forbrug'!L$2,'Forbrug af biomasse'!$B$2:$B$425,$E195),F195)</f>
        <v>0</v>
      </c>
      <c r="M195" s="154">
        <f>SUMIFS('Forbrug af biomasse'!E:E,'Forbrug af biomasse'!C:C,'Resultat-Produktion &amp; forbrug'!$A195,'Forbrug af biomasse'!D:D,'Resultat-Produktion &amp; forbrug'!$D195,'Forbrug af biomasse'!G:G,1,'Forbrug af biomasse'!B:B,$E195)</f>
        <v>0</v>
      </c>
      <c r="N195" s="199">
        <f t="shared" si="48"/>
        <v>-6677.1647991509926</v>
      </c>
      <c r="O195" s="190">
        <f t="shared" ref="O195:O258" si="59">IF(C195=1,IF(N195+IF(SUMIFS($N$3:$N$290,$A$3:$A$290,A195,$D$3:$D$290,D195,$E$3:$E$290,"&lt;&gt;"&amp;E195)&lt;0,SUMIFS($N$3:$N$290,$A$3:$A$290,A195,$D$3:$D$290,D195,$E$3:$E$290,"&lt;&gt;"&amp;E195),0)&gt;0,N195+IF(SUMIFS($N$3:$N$290,$A$3:$A$290,A195,$D$3:$D$290,D195,$E$3:$E$290,"&lt;&gt;"&amp;E195)&lt;0,SUMIFS($N$3:$N$290,$A$3:$A$290,A195,$D$3:$D$290,D195,$E$3:$E$290,"&lt;&gt;"&amp;E195),0),0),0)</f>
        <v>0</v>
      </c>
      <c r="P195" s="200">
        <f t="shared" si="49"/>
        <v>0</v>
      </c>
      <c r="Q195" s="187">
        <f>IFERROR(VLOOKUP(A195,[1]Energiindhold!$A$2:$C$11,3,FALSE),IFERROR(VLOOKUP(A195,[1]Biogasudbytte!$A$2:$B$18,2,FALSE)*[1]Energiindhold!$C$10,0))*O195</f>
        <v>0</v>
      </c>
      <c r="R195" s="187">
        <f>IF(A195&lt;&gt;"Biogas",IFERROR(VLOOKUP(A195,[1]Biogasudbytte!$A$2:$B$18,2,FALSE)*[1]Energiindhold!$C$10,0)*J195*IFERROR(VLOOKUP(A195,Biogasanlæg!$F$3:$G$8,2,FALSE),1)+IFERROR(VLOOKUP(A195,[1]Energiindhold!$A$2:$C$11,3,FALSE),0)*L195+IF(D195&lt;&gt;År1,Q195,0),0)</f>
        <v>0</v>
      </c>
      <c r="S195" s="187">
        <f>IFERROR(VLOOKUP(A195,[1]Biogasudbytte!$A$2:$B$18,2,FALSE)*[1]Energiindhold!$C$10,0)*J195*IFERROR(VLOOKUP(A195,Biogasanlæg!$F$3:$G$8,2,FALSE),1)</f>
        <v>0</v>
      </c>
      <c r="T195" s="188">
        <f t="shared" si="50"/>
        <v>0</v>
      </c>
      <c r="U195" s="186">
        <f>O195*IFERROR(VLOOKUP(A195,[1]Tørstofindhold!A$2:B$24,2,FALSE),0)</f>
        <v>0</v>
      </c>
      <c r="V195" s="187">
        <f>IF(D195=År1,P195,SUM(O195,P195))*IFERROR(VLOOKUP(A195,[1]Tørstofindhold!A$2:B$24,2,FALSE),0)</f>
        <v>0</v>
      </c>
      <c r="W195" s="187">
        <f>J195*IFERROR(VLOOKUP(A195,[1]Tørstofindhold!A$2:B$24,2,FALSE),0)</f>
        <v>0</v>
      </c>
      <c r="X195" s="188">
        <f t="shared" si="51"/>
        <v>0</v>
      </c>
      <c r="Y195" s="168">
        <f t="shared" ref="Y195:Y258" si="60">IF(SUMIFS($N$3:$N$290,$A$3:$A$290,A195,$D$3:$D$290,D195)&lt;0,1,0)</f>
        <v>0</v>
      </c>
      <c r="Z195" s="103">
        <f t="shared" ref="Z195:Z258" si="61">IF(SUMIFS($N$3:$N$290,$A$3:$A$290,A195,$D$3:$D$290,D195)&gt;0,1,0)</f>
        <v>1</v>
      </c>
    </row>
    <row r="196" spans="1:26" x14ac:dyDescent="0.25">
      <c r="A196" s="189" t="str">
        <f t="shared" si="56"/>
        <v>Bælgsæd</v>
      </c>
      <c r="B196" s="189" t="str">
        <f t="shared" si="57"/>
        <v/>
      </c>
      <c r="C196" s="189">
        <f>IF(COUNTIFS('Resultater - Danmark'!$D$3:$D$504,'Resultat-Produktion &amp; forbrug'!A196,'Resultater - Danmark'!$A$3:$A$504,"Til energi")+COUNTIFS('Resultater - Danmark'!$D$3:$D$504,'Resultat-Produktion &amp; forbrug'!A196,'Resultater - Danmark'!$A$3:$A$504,"Biogasanlæg")&gt;0,1,0)</f>
        <v>0</v>
      </c>
      <c r="D196" s="189">
        <f t="shared" si="58"/>
        <v>2030</v>
      </c>
      <c r="E196" s="187" t="s">
        <v>24</v>
      </c>
      <c r="F196" s="190">
        <f>IF(E196="Vestdanmark",SUMIFS(IF(D196=År1,'Resultater - Vestdanmark'!H$3:H$504,IF(D196=År2,'Resultater - Vestdanmark'!I$3:I$504,'Resultater - Vestdanmark'!J$3:J$504)),'Resultater - Vestdanmark'!$F$3:$F$504,$A196,IF(D196=År1,'Resultater - Vestdanmark'!H$3:H$504,IF(D196=År2,'Resultater - Vestdanmark'!I$3:I$504,'Resultater - Vestdanmark'!J$3:J$504)),"&gt;0"),SUMIFS(IF(D196=År1,'Resultater - Østdanmark'!H$3:H$504,IF(D196=År2,'Resultater - Østdanmark'!I$3:I$504,'Resultater - Østdanmark'!J$3:J$504)),'Resultater - Østdanmark'!$F$3:$F$504,$A196,IF(D196=År1,'Resultater - Østdanmark'!H$3:H$504,IF(D196=År2,'Resultater - Østdanmark'!I$3:I$504,'Resultater - Østdanmark'!J$3:J$504)),"&gt;0"))</f>
        <v>28427.465119156146</v>
      </c>
      <c r="G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forbrug'!G$2,'Forbrug af biomasse'!$B$2:$B$425,$E196)</f>
        <v>9499.9401044881142</v>
      </c>
      <c r="H196" s="187">
        <f>IF(E196="Vestdanmark",-IF(A196="Halm",SUMIFS(IF(D196=År1,'Resultater - Vestdanmark'!H$3:H$504,IF(D196=År2,'Resultater - Vestdanmark'!I$3:I$504,'Resultater - Vestdanmark'!J$3:J$504)),'Resultater - Vestdanmark'!$F$3:$F$504,$A196,'Resultater - Vestdanmark'!H$3:H$504,"&lt;0"),0),-IF(A196="Halm",SUMIFS(IF(D196=År1,'Resultater - Østdanmark'!H$3:H$504,IF(D196=År2,'Resultater - Østdanmark'!I$3:I$504,'Resultater - Østdanmark'!J$3:J$504)),'Resultater - Østdanmark'!$F$3:$F$504,$A196,'Resultater - Østdanmark'!H$3:H$504,"&lt;0"),0))</f>
        <v>0</v>
      </c>
      <c r="I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forbrug'!I$2,'Forbrug af biomasse'!$B$2:$B$425,$E196)</f>
        <v>0</v>
      </c>
      <c r="J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forbrug'!J$2,'Forbrug af biomasse'!$B$2:$B$425,$E196)</f>
        <v>0</v>
      </c>
      <c r="K196" s="190">
        <f>SUMIFS('Forbrug af biomasse'!$E$2:$E$425,'Forbrug af biomasse'!$C$2:$C$425,'Resultat-Produktion &amp; forbrug'!$A196,'Forbrug af biomasse'!$D$2:$D$425,'Resultat-Produktion &amp; forbrug'!$D196,'Forbrug af biomasse'!$A$2:$A$425,'Resultat-Produktion &amp; forbrug'!K$2,'Forbrug af biomasse'!$B$2:$B$425,$E196)</f>
        <v>0</v>
      </c>
      <c r="L196" s="190">
        <f>IF(A196&lt;&gt;"Biogas",SUMIFS('Forbrug af biomasse'!$E$2:$E$425,'Forbrug af biomasse'!$C$2:$C$425,'Resultat-Produktion &amp; forbrug'!$A196,'Forbrug af biomasse'!$D$2:$D$425,'Resultat-Produktion &amp; forbrug'!$D196,'Forbrug af biomasse'!$A$2:$A$425,'Resultat-Produktion &amp; forbrug'!L$2,'Forbrug af biomasse'!$B$2:$B$425,$E196),F196)</f>
        <v>0</v>
      </c>
      <c r="M196" s="154">
        <f>SUMIFS('Forbrug af biomasse'!E:E,'Forbrug af biomasse'!C:C,'Resultat-Produktion &amp; forbrug'!$A196,'Forbrug af biomasse'!D:D,'Resultat-Produktion &amp; forbrug'!$D196,'Forbrug af biomasse'!G:G,1,'Forbrug af biomasse'!B:B,$E196)</f>
        <v>0</v>
      </c>
      <c r="N196" s="199">
        <f t="shared" si="48"/>
        <v>18927.525014668034</v>
      </c>
      <c r="O196" s="190">
        <f t="shared" si="59"/>
        <v>0</v>
      </c>
      <c r="P196" s="200">
        <f t="shared" si="49"/>
        <v>0</v>
      </c>
      <c r="Q196" s="187">
        <f>IFERROR(VLOOKUP(A196,[1]Energiindhold!$A$2:$C$11,3,FALSE),IFERROR(VLOOKUP(A196,[1]Biogasudbytte!$A$2:$B$18,2,FALSE)*[1]Energiindhold!$C$10,0))*O196</f>
        <v>0</v>
      </c>
      <c r="R196" s="187">
        <f>IF(A196&lt;&gt;"Biogas",IFERROR(VLOOKUP(A196,[1]Biogasudbytte!$A$2:$B$18,2,FALSE)*[1]Energiindhold!$C$10,0)*J196*IFERROR(VLOOKUP(A196,Biogasanlæg!$F$3:$G$8,2,FALSE),1)+IFERROR(VLOOKUP(A196,[1]Energiindhold!$A$2:$C$11,3,FALSE),0)*L196+IF(D196&lt;&gt;År1,Q196,0),0)</f>
        <v>0</v>
      </c>
      <c r="S196" s="187">
        <f>IFERROR(VLOOKUP(A196,[1]Biogasudbytte!$A$2:$B$18,2,FALSE)*[1]Energiindhold!$C$10,0)*J196*IFERROR(VLOOKUP(A196,Biogasanlæg!$F$3:$G$8,2,FALSE),1)</f>
        <v>0</v>
      </c>
      <c r="T196" s="188">
        <f t="shared" si="50"/>
        <v>0</v>
      </c>
      <c r="U196" s="186">
        <f>O196*IFERROR(VLOOKUP(A196,[1]Tørstofindhold!A$2:B$24,2,FALSE),0)</f>
        <v>0</v>
      </c>
      <c r="V196" s="187">
        <f>IF(D196=År1,P196,SUM(O196,P196))*IFERROR(VLOOKUP(A196,[1]Tørstofindhold!A$2:B$24,2,FALSE),0)</f>
        <v>0</v>
      </c>
      <c r="W196" s="187">
        <f>J196*IFERROR(VLOOKUP(A196,[1]Tørstofindhold!A$2:B$24,2,FALSE),0)</f>
        <v>0</v>
      </c>
      <c r="X196" s="188">
        <f t="shared" si="51"/>
        <v>0</v>
      </c>
      <c r="Y196" s="168">
        <f t="shared" si="60"/>
        <v>0</v>
      </c>
      <c r="Z196" s="103">
        <f t="shared" si="61"/>
        <v>1</v>
      </c>
    </row>
    <row r="197" spans="1:26" x14ac:dyDescent="0.25">
      <c r="A197" s="189" t="str">
        <f t="shared" si="56"/>
        <v>Bioaffald</v>
      </c>
      <c r="B197" s="189" t="str">
        <f t="shared" si="57"/>
        <v>Bionedbrydeligt affald</v>
      </c>
      <c r="C197" s="189">
        <f>IF(COUNTIFS('Resultater - Danmark'!$D$3:$D$504,'Resultat-Produktion &amp; forbrug'!A197,'Resultater - Danmark'!$A$3:$A$504,"Til energi")+COUNTIFS('Resultater - Danmark'!$D$3:$D$504,'Resultat-Produktion &amp; forbrug'!A197,'Resultater - Danmark'!$A$3:$A$504,"Biogasanlæg")&gt;0,1,0)</f>
        <v>1</v>
      </c>
      <c r="D197" s="189">
        <f t="shared" si="58"/>
        <v>2030</v>
      </c>
      <c r="E197" s="187" t="s">
        <v>24</v>
      </c>
      <c r="F197" s="190">
        <f ca="1">IF(E197="Vestdanmark",SUMIFS(IF(D197=År1,'Resultater - Vestdanmark'!H$3:H$504,IF(D197=År2,'Resultater - Vestdanmark'!I$3:I$504,'Resultater - Vestdanmark'!J$3:J$504)),'Resultater - Vestdanmark'!$F$3:$F$504,$A197,IF(D197=År1,'Resultater - Vestdanmark'!H$3:H$504,IF(D197=År2,'Resultater - Vestdanmark'!I$3:I$504,'Resultater - Vestdanmark'!J$3:J$504)),"&gt;0"),SUMIFS(IF(D197=År1,'Resultater - Østdanmark'!H$3:H$504,IF(D197=År2,'Resultater - Østdanmark'!I$3:I$504,'Resultater - Østdanmark'!J$3:J$504)),'Resultater - Østdanmark'!$F$3:$F$504,$A197,IF(D197=År1,'Resultater - Østdanmark'!H$3:H$504,IF(D197=År2,'Resultater - Østdanmark'!I$3:I$504,'Resultater - Østdanmark'!J$3:J$504)),"&gt;0"))</f>
        <v>168912.745758362</v>
      </c>
      <c r="G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forbrug'!G$2,'Forbrug af biomasse'!$B$2:$B$425,$E197)</f>
        <v>0</v>
      </c>
      <c r="H197" s="187">
        <f>IF(E197="Vestdanmark",-IF(A197="Halm",SUMIFS(IF(D197=År1,'Resultater - Vestdanmark'!H$3:H$504,IF(D197=År2,'Resultater - Vestdanmark'!I$3:I$504,'Resultater - Vestdanmark'!J$3:J$504)),'Resultater - Vestdanmark'!$F$3:$F$504,$A197,'Resultater - Vestdanmark'!H$3:H$504,"&lt;0"),0),-IF(A197="Halm",SUMIFS(IF(D197=År1,'Resultater - Østdanmark'!H$3:H$504,IF(D197=År2,'Resultater - Østdanmark'!I$3:I$504,'Resultater - Østdanmark'!J$3:J$504)),'Resultater - Østdanmark'!$F$3:$F$504,$A197,'Resultater - Østdanmark'!H$3:H$504,"&lt;0"),0))</f>
        <v>0</v>
      </c>
      <c r="I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forbrug'!I$2,'Forbrug af biomasse'!$B$2:$B$425,$E197)</f>
        <v>0</v>
      </c>
      <c r="J197" s="190">
        <f ca="1">SUMIFS('Forbrug af biomasse'!$E$2:$E$425,'Forbrug af biomasse'!$C$2:$C$425,'Resultat-Produktion &amp; forbrug'!$A197,'Forbrug af biomasse'!$D$2:$D$425,'Resultat-Produktion &amp; forbrug'!$D197,'Forbrug af biomasse'!$A$2:$A$425,'Resultat-Produktion &amp; forbrug'!J$2,'Forbrug af biomasse'!$B$2:$B$425,$E197)</f>
        <v>168912.75887120995</v>
      </c>
      <c r="K197" s="190">
        <f>SUMIFS('Forbrug af biomasse'!$E$2:$E$425,'Forbrug af biomasse'!$C$2:$C$425,'Resultat-Produktion &amp; forbrug'!$A197,'Forbrug af biomasse'!$D$2:$D$425,'Resultat-Produktion &amp; forbrug'!$D197,'Forbrug af biomasse'!$A$2:$A$425,'Resultat-Produktion &amp; forbrug'!K$2,'Forbrug af biomasse'!$B$2:$B$425,$E197)</f>
        <v>0</v>
      </c>
      <c r="L197" s="190">
        <f ca="1">IF(A197&lt;&gt;"Biogas",SUMIFS('Forbrug af biomasse'!$E$2:$E$425,'Forbrug af biomasse'!$C$2:$C$425,'Resultat-Produktion &amp; forbrug'!$A197,'Forbrug af biomasse'!$D$2:$D$425,'Resultat-Produktion &amp; forbrug'!$D197,'Forbrug af biomasse'!$A$2:$A$425,'Resultat-Produktion &amp; forbrug'!L$2,'Forbrug af biomasse'!$B$2:$B$425,$E197),F197)</f>
        <v>0</v>
      </c>
      <c r="M197" s="154">
        <f ca="1">SUMIFS('Forbrug af biomasse'!E:E,'Forbrug af biomasse'!C:C,'Resultat-Produktion &amp; forbrug'!$A197,'Forbrug af biomasse'!D:D,'Resultat-Produktion &amp; forbrug'!$D197,'Forbrug af biomasse'!G:G,1,'Forbrug af biomasse'!B:B,$E197)</f>
        <v>0</v>
      </c>
      <c r="N197" s="199">
        <f t="shared" ca="1" si="48"/>
        <v>-1.3112847955198959E-2</v>
      </c>
      <c r="O197" s="190">
        <f t="shared" ca="1" si="59"/>
        <v>0</v>
      </c>
      <c r="P197" s="200">
        <f t="shared" ca="1" si="49"/>
        <v>168912.75887120995</v>
      </c>
      <c r="Q197" s="187">
        <f ca="1">IFERROR(VLOOKUP(A197,[1]Energiindhold!$A$2:$C$11,3,FALSE),IFERROR(VLOOKUP(A197,[1]Biogasudbytte!$A$2:$B$18,2,FALSE)*[1]Energiindhold!$C$10,0))*O197</f>
        <v>0</v>
      </c>
      <c r="R197" s="187">
        <f ca="1">IF(A197&lt;&gt;"Biogas",IFERROR(VLOOKUP(A197,[1]Biogasudbytte!$A$2:$B$18,2,FALSE)*[1]Energiindhold!$C$10,0)*J197*IFERROR(VLOOKUP(A197,Biogasanlæg!$F$3:$G$8,2,FALSE),1)+IFERROR(VLOOKUP(A197,[1]Energiindhold!$A$2:$C$11,3,FALSE),0)*L197+IF(D197&lt;&gt;År1,Q197,0),0)</f>
        <v>0.57547056732591406</v>
      </c>
      <c r="S197" s="187">
        <f ca="1">IFERROR(VLOOKUP(A197,[1]Biogasudbytte!$A$2:$B$18,2,FALSE)*[1]Energiindhold!$C$10,0)*J197*IFERROR(VLOOKUP(A197,Biogasanlæg!$F$3:$G$8,2,FALSE),1)</f>
        <v>0.57547056732591406</v>
      </c>
      <c r="T197" s="188">
        <f t="shared" ca="1" si="50"/>
        <v>0</v>
      </c>
      <c r="U197" s="186">
        <f ca="1">O197*IFERROR(VLOOKUP(A197,[1]Tørstofindhold!A$2:B$24,2,FALSE),0)</f>
        <v>0</v>
      </c>
      <c r="V197" s="187">
        <f ca="1">IF(D197=År1,P197,SUM(O197,P197))*IFERROR(VLOOKUP(A197,[1]Tørstofindhold!A$2:B$24,2,FALSE),0)</f>
        <v>47295.572483938791</v>
      </c>
      <c r="W197" s="187">
        <f ca="1">J197*IFERROR(VLOOKUP(A197,[1]Tørstofindhold!A$2:B$24,2,FALSE),0)</f>
        <v>47295.572483938791</v>
      </c>
      <c r="X197" s="188">
        <f t="shared" ca="1" si="51"/>
        <v>0</v>
      </c>
      <c r="Y197" s="168">
        <f t="shared" ca="1" si="60"/>
        <v>1</v>
      </c>
      <c r="Z197" s="103">
        <f t="shared" ca="1" si="61"/>
        <v>0</v>
      </c>
    </row>
    <row r="198" spans="1:26" x14ac:dyDescent="0.25">
      <c r="A198" s="189" t="str">
        <f t="shared" si="56"/>
        <v>Biogas</v>
      </c>
      <c r="B198" s="189" t="str">
        <f t="shared" si="57"/>
        <v/>
      </c>
      <c r="C198" s="189">
        <f>IF(COUNTIFS('Resultater - Danmark'!$D$3:$D$504,'Resultat-Produktion &amp; forbrug'!A198,'Resultater - Danmark'!$A$3:$A$504,"Til energi")+COUNTIFS('Resultater - Danmark'!$D$3:$D$504,'Resultat-Produktion &amp; forbrug'!A198,'Resultater - Danmark'!$A$3:$A$504,"Biogasanlæg")&gt;0,1,0)</f>
        <v>1</v>
      </c>
      <c r="D198" s="189">
        <f t="shared" si="58"/>
        <v>2030</v>
      </c>
      <c r="E198" s="187" t="s">
        <v>24</v>
      </c>
      <c r="F198" s="190">
        <f ca="1">IF(E198="Vestdanmark",SUMIFS(IF(D198=År1,'Resultater - Vestdanmark'!H$3:H$504,IF(D198=År2,'Resultater - Vestdanmark'!I$3:I$504,'Resultater - Vestdanmark'!J$3:J$504)),'Resultater - Vestdanmark'!$F$3:$F$504,$A198,IF(D198=År1,'Resultater - Vestdanmark'!H$3:H$504,IF(D198=År2,'Resultater - Vestdanmark'!I$3:I$504,'Resultater - Vestdanmark'!J$3:J$504)),"&gt;0"),SUMIFS(IF(D198=År1,'Resultater - Østdanmark'!H$3:H$504,IF(D198=År2,'Resultater - Østdanmark'!I$3:I$504,'Resultater - Østdanmark'!J$3:J$504)),'Resultater - Østdanmark'!$F$3:$F$504,$A198,IF(D198=År1,'Resultater - Østdanmark'!H$3:H$504,IF(D198=År2,'Resultater - Østdanmark'!I$3:I$504,'Resultater - Østdanmark'!J$3:J$504)),"&gt;0"))</f>
        <v>114612390.86550629</v>
      </c>
      <c r="G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forbrug'!G$2,'Forbrug af biomasse'!$B$2:$B$425,$E198)</f>
        <v>0</v>
      </c>
      <c r="H198" s="187">
        <f>IF(E198="Vestdanmark",-IF(A198="Halm",SUMIFS(IF(D198=År1,'Resultater - Vestdanmark'!H$3:H$504,IF(D198=År2,'Resultater - Vestdanmark'!I$3:I$504,'Resultater - Vestdanmark'!J$3:J$504)),'Resultater - Vestdanmark'!$F$3:$F$504,$A198,'Resultater - Vestdanmark'!H$3:H$504,"&lt;0"),0),-IF(A198="Halm",SUMIFS(IF(D198=År1,'Resultater - Østdanmark'!H$3:H$504,IF(D198=År2,'Resultater - Østdanmark'!I$3:I$504,'Resultater - Østdanmark'!J$3:J$504)),'Resultater - Østdanmark'!$F$3:$F$504,$A198,'Resultater - Østdanmark'!H$3:H$504,"&lt;0"),0))</f>
        <v>0</v>
      </c>
      <c r="I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forbrug'!I$2,'Forbrug af biomasse'!$B$2:$B$425,$E198)</f>
        <v>0</v>
      </c>
      <c r="J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forbrug'!J$2,'Forbrug af biomasse'!$B$2:$B$425,$E198)</f>
        <v>0</v>
      </c>
      <c r="K198" s="190">
        <f>SUMIFS('Forbrug af biomasse'!$E$2:$E$425,'Forbrug af biomasse'!$C$2:$C$425,'Resultat-Produktion &amp; forbrug'!$A198,'Forbrug af biomasse'!$D$2:$D$425,'Resultat-Produktion &amp; forbrug'!$D198,'Forbrug af biomasse'!$A$2:$A$425,'Resultat-Produktion &amp; forbrug'!K$2,'Forbrug af biomasse'!$B$2:$B$425,$E198)</f>
        <v>0</v>
      </c>
      <c r="L198" s="190">
        <f ca="1">IF(A198&lt;&gt;"Biogas",SUMIFS('Forbrug af biomasse'!$E$2:$E$425,'Forbrug af biomasse'!$C$2:$C$425,'Resultat-Produktion &amp; forbrug'!$A198,'Forbrug af biomasse'!$D$2:$D$425,'Resultat-Produktion &amp; forbrug'!$D198,'Forbrug af biomasse'!$A$2:$A$425,'Resultat-Produktion &amp; forbrug'!L$2,'Forbrug af biomasse'!$B$2:$B$425,$E198),F198)</f>
        <v>114612390.86550629</v>
      </c>
      <c r="M198" s="154">
        <f>SUMIFS('Forbrug af biomasse'!E:E,'Forbrug af biomasse'!C:C,'Resultat-Produktion &amp; forbrug'!$A198,'Forbrug af biomasse'!D:D,'Resultat-Produktion &amp; forbrug'!$D198,'Forbrug af biomasse'!G:G,1,'Forbrug af biomasse'!B:B,$E198)</f>
        <v>0</v>
      </c>
      <c r="N198" s="199">
        <f t="shared" ca="1" si="48"/>
        <v>0</v>
      </c>
      <c r="O198" s="190">
        <f t="shared" ca="1" si="59"/>
        <v>0</v>
      </c>
      <c r="P198" s="200">
        <f t="shared" ca="1" si="49"/>
        <v>114612390.86550629</v>
      </c>
      <c r="Q198" s="187">
        <f ca="1">IFERROR(VLOOKUP(A198,[1]Energiindhold!$A$2:$C$11,3,FALSE),IFERROR(VLOOKUP(A198,[1]Biogasudbytte!$A$2:$B$18,2,FALSE)*[1]Energiindhold!$C$10,0))*O198</f>
        <v>0</v>
      </c>
      <c r="R198" s="187">
        <f>IF(A198&lt;&gt;"Biogas",IFERROR(VLOOKUP(A198,[1]Biogasudbytte!$A$2:$B$18,2,FALSE)*[1]Energiindhold!$C$10,0)*J198*IFERROR(VLOOKUP(A198,Biogasanlæg!$F$3:$G$8,2,FALSE),1)+IFERROR(VLOOKUP(A198,[1]Energiindhold!$A$2:$C$11,3,FALSE),0)*L198+IF(D198&lt;&gt;År1,Q198,0),0)</f>
        <v>0</v>
      </c>
      <c r="S198" s="187">
        <f>IFERROR(VLOOKUP(A198,[1]Biogasudbytte!$A$2:$B$18,2,FALSE)*[1]Energiindhold!$C$10,0)*J198*IFERROR(VLOOKUP(A198,Biogasanlæg!$F$3:$G$8,2,FALSE),1)</f>
        <v>0</v>
      </c>
      <c r="T198" s="188">
        <f t="shared" si="50"/>
        <v>0</v>
      </c>
      <c r="U198" s="186">
        <f ca="1">O198*IFERROR(VLOOKUP(A198,[1]Tørstofindhold!A$2:B$24,2,FALSE),0)</f>
        <v>0</v>
      </c>
      <c r="V198" s="187">
        <f ca="1">IF(D198=År1,P198,SUM(O198,P198))*IFERROR(VLOOKUP(A198,[1]Tørstofindhold!A$2:B$24,2,FALSE),0)</f>
        <v>0</v>
      </c>
      <c r="W198" s="187">
        <f>J198*IFERROR(VLOOKUP(A198,[1]Tørstofindhold!A$2:B$24,2,FALSE),0)</f>
        <v>0</v>
      </c>
      <c r="X198" s="188">
        <f t="shared" ca="1" si="51"/>
        <v>0</v>
      </c>
      <c r="Y198" s="168">
        <f t="shared" ca="1" si="60"/>
        <v>0</v>
      </c>
      <c r="Z198" s="103">
        <f t="shared" ca="1" si="61"/>
        <v>0</v>
      </c>
    </row>
    <row r="199" spans="1:26" x14ac:dyDescent="0.25">
      <c r="A199" s="189" t="str">
        <f t="shared" si="56"/>
        <v>Biogasgylle</v>
      </c>
      <c r="B199" s="189" t="str">
        <f t="shared" si="57"/>
        <v/>
      </c>
      <c r="C199" s="189">
        <f>IF(COUNTIFS('Resultater - Danmark'!$D$3:$D$504,'Resultat-Produktion &amp; forbrug'!A199,'Resultater - Danmark'!$A$3:$A$504,"Til energi")+COUNTIFS('Resultater - Danmark'!$D$3:$D$504,'Resultat-Produktion &amp; forbrug'!A199,'Resultater - Danmark'!$A$3:$A$504,"Biogasanlæg")&gt;0,1,0)</f>
        <v>0</v>
      </c>
      <c r="D199" s="189">
        <f t="shared" si="58"/>
        <v>2030</v>
      </c>
      <c r="E199" s="187" t="s">
        <v>24</v>
      </c>
      <c r="F199" s="190">
        <f ca="1">IF(E199="Vestdanmark",SUMIFS(IF(D199=År1,'Resultater - Vestdanmark'!H$3:H$504,IF(D199=År2,'Resultater - Vestdanmark'!I$3:I$504,'Resultater - Vestdanmark'!J$3:J$504)),'Resultater - Vestdanmark'!$F$3:$F$504,$A199,IF(D199=År1,'Resultater - Vestdanmark'!H$3:H$504,IF(D199=År2,'Resultater - Vestdanmark'!I$3:I$504,'Resultater - Vestdanmark'!J$3:J$504)),"&gt;0"),SUMIFS(IF(D199=År1,'Resultater - Østdanmark'!H$3:H$504,IF(D199=År2,'Resultater - Østdanmark'!I$3:I$504,'Resultater - Østdanmark'!J$3:J$504)),'Resultater - Østdanmark'!$F$3:$F$504,$A199,IF(D199=År1,'Resultater - Østdanmark'!H$3:H$504,IF(D199=År2,'Resultater - Østdanmark'!I$3:I$504,'Resultater - Østdanmark'!J$3:J$504)),"&gt;0"))</f>
        <v>3841169.7786713694</v>
      </c>
      <c r="G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forbrug'!G$2,'Forbrug af biomasse'!$B$2:$B$425,$E199)</f>
        <v>0</v>
      </c>
      <c r="H199" s="187">
        <f>IF(E199="Vestdanmark",-IF(A199="Halm",SUMIFS(IF(D199=År1,'Resultater - Vestdanmark'!H$3:H$504,IF(D199=År2,'Resultater - Vestdanmark'!I$3:I$504,'Resultater - Vestdanmark'!J$3:J$504)),'Resultater - Vestdanmark'!$F$3:$F$504,$A199,'Resultater - Vestdanmark'!H$3:H$504,"&lt;0"),0),-IF(A199="Halm",SUMIFS(IF(D199=År1,'Resultater - Østdanmark'!H$3:H$504,IF(D199=År2,'Resultater - Østdanmark'!I$3:I$504,'Resultater - Østdanmark'!J$3:J$504)),'Resultater - Østdanmark'!$F$3:$F$504,$A199,'Resultater - Østdanmark'!H$3:H$504,"&lt;0"),0))</f>
        <v>0</v>
      </c>
      <c r="I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forbrug'!I$2,'Forbrug af biomasse'!$B$2:$B$425,$E199)</f>
        <v>0</v>
      </c>
      <c r="J199" s="190">
        <f>SUMIFS('Forbrug af biomasse'!$E$2:$E$425,'Forbrug af biomasse'!$C$2:$C$425,'Resultat-Produktion &amp; forbrug'!$A199,'Forbrug af biomasse'!$D$2:$D$425,'Resultat-Produktion &amp; forbrug'!$D199,'Forbrug af biomasse'!$A$2:$A$425,'Resultat-Produktion &amp; forbrug'!J$2,'Forbrug af biomasse'!$B$2:$B$425,$E199)</f>
        <v>0</v>
      </c>
      <c r="K199" s="190">
        <f ca="1">SUMIFS('Forbrug af biomasse'!$E$2:$E$425,'Forbrug af biomasse'!$C$2:$C$425,'Resultat-Produktion &amp; forbrug'!$A199,'Forbrug af biomasse'!$D$2:$D$425,'Resultat-Produktion &amp; forbrug'!$D199,'Forbrug af biomasse'!$A$2:$A$425,'Resultat-Produktion &amp; forbrug'!K$2,'Forbrug af biomasse'!$B$2:$B$425,$E199)</f>
        <v>3436689.0951916357</v>
      </c>
      <c r="L199" s="190">
        <f>IF(A199&lt;&gt;"Biogas",SUMIFS('Forbrug af biomasse'!$E$2:$E$425,'Forbrug af biomasse'!$C$2:$C$425,'Resultat-Produktion &amp; forbrug'!$A199,'Forbrug af biomasse'!$D$2:$D$425,'Resultat-Produktion &amp; forbrug'!$D199,'Forbrug af biomasse'!$A$2:$A$425,'Resultat-Produktion &amp; forbrug'!L$2,'Forbrug af biomasse'!$B$2:$B$425,$E199),F199)</f>
        <v>0</v>
      </c>
      <c r="M199" s="154">
        <f>SUMIFS('Forbrug af biomasse'!E:E,'Forbrug af biomasse'!C:C,'Resultat-Produktion &amp; forbrug'!$A199,'Forbrug af biomasse'!D:D,'Resultat-Produktion &amp; forbrug'!$D199,'Forbrug af biomasse'!G:G,1,'Forbrug af biomasse'!B:B,$E199)</f>
        <v>0</v>
      </c>
      <c r="N199" s="199">
        <f t="shared" ca="1" si="48"/>
        <v>404480.68347973377</v>
      </c>
      <c r="O199" s="190">
        <f t="shared" si="59"/>
        <v>0</v>
      </c>
      <c r="P199" s="200">
        <f t="shared" si="49"/>
        <v>0</v>
      </c>
      <c r="Q199" s="187">
        <f>IFERROR(VLOOKUP(A199,[1]Energiindhold!$A$2:$C$11,3,FALSE),IFERROR(VLOOKUP(A199,[1]Biogasudbytte!$A$2:$B$18,2,FALSE)*[1]Energiindhold!$C$10,0))*O199</f>
        <v>0</v>
      </c>
      <c r="R199" s="187">
        <f>IF(A199&lt;&gt;"Biogas",IFERROR(VLOOKUP(A199,[1]Biogasudbytte!$A$2:$B$18,2,FALSE)*[1]Energiindhold!$C$10,0)*J199*IFERROR(VLOOKUP(A199,Biogasanlæg!$F$3:$G$8,2,FALSE),1)+IFERROR(VLOOKUP(A199,[1]Energiindhold!$A$2:$C$11,3,FALSE),0)*L199+IF(D199&lt;&gt;År1,Q199,0),0)</f>
        <v>0</v>
      </c>
      <c r="S199" s="187">
        <f>IFERROR(VLOOKUP(A199,[1]Biogasudbytte!$A$2:$B$18,2,FALSE)*[1]Energiindhold!$C$10,0)*J199*IFERROR(VLOOKUP(A199,Biogasanlæg!$F$3:$G$8,2,FALSE),1)</f>
        <v>0</v>
      </c>
      <c r="T199" s="188">
        <f t="shared" si="50"/>
        <v>0</v>
      </c>
      <c r="U199" s="186">
        <f>O199*IFERROR(VLOOKUP(A199,[1]Tørstofindhold!A$2:B$24,2,FALSE),0)</f>
        <v>0</v>
      </c>
      <c r="V199" s="187">
        <f>IF(D199=År1,P199,SUM(O199,P199))*IFERROR(VLOOKUP(A199,[1]Tørstofindhold!A$2:B$24,2,FALSE),0)</f>
        <v>0</v>
      </c>
      <c r="W199" s="187">
        <f>J199*IFERROR(VLOOKUP(A199,[1]Tørstofindhold!A$2:B$24,2,FALSE),0)</f>
        <v>0</v>
      </c>
      <c r="X199" s="188">
        <f t="shared" si="51"/>
        <v>0</v>
      </c>
      <c r="Y199" s="168">
        <f t="shared" ca="1" si="60"/>
        <v>0</v>
      </c>
      <c r="Z199" s="103">
        <f t="shared" ca="1" si="61"/>
        <v>1</v>
      </c>
    </row>
    <row r="200" spans="1:26" x14ac:dyDescent="0.25">
      <c r="A200" s="189" t="str">
        <f t="shared" si="56"/>
        <v>Brun saft</v>
      </c>
      <c r="B200" s="189" t="str">
        <f t="shared" si="57"/>
        <v>Bionedbrydeligt affald</v>
      </c>
      <c r="C200" s="189">
        <f>IF(COUNTIFS('Resultater - Danmark'!$D$3:$D$504,'Resultat-Produktion &amp; forbrug'!A200,'Resultater - Danmark'!$A$3:$A$504,"Til energi")+COUNTIFS('Resultater - Danmark'!$D$3:$D$504,'Resultat-Produktion &amp; forbrug'!A200,'Resultater - Danmark'!$A$3:$A$504,"Biogasanlæg")&gt;0,1,0)</f>
        <v>1</v>
      </c>
      <c r="D200" s="189">
        <f t="shared" si="58"/>
        <v>2030</v>
      </c>
      <c r="E200" s="187" t="s">
        <v>24</v>
      </c>
      <c r="F200" s="190">
        <f>IF(E200="Vestdanmark",SUMIFS(IF(D200=År1,'Resultater - Vestdanmark'!H$3:H$504,IF(D200=År2,'Resultater - Vestdanmark'!I$3:I$504,'Resultater - Vestdanmark'!J$3:J$504)),'Resultater - Vestdanmark'!$F$3:$F$504,$A200,IF(D200=År1,'Resultater - Vestdanmark'!H$3:H$504,IF(D200=År2,'Resultater - Vestdanmark'!I$3:I$504,'Resultater - Vestdanmark'!J$3:J$504)),"&gt;0"),SUMIFS(IF(D200=År1,'Resultater - Østdanmark'!H$3:H$504,IF(D200=År2,'Resultater - Østdanmark'!I$3:I$504,'Resultater - Østdanmark'!J$3:J$504)),'Resultater - Østdanmark'!$F$3:$F$504,$A200,IF(D200=År1,'Resultater - Østdanmark'!H$3:H$504,IF(D200=År2,'Resultater - Østdanmark'!I$3:I$504,'Resultater - Østdanmark'!J$3:J$504)),"&gt;0"))</f>
        <v>0</v>
      </c>
      <c r="G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forbrug'!G$2,'Forbrug af biomasse'!$B$2:$B$425,$E200)</f>
        <v>0</v>
      </c>
      <c r="H200" s="187">
        <f>IF(E200="Vestdanmark",-IF(A200="Halm",SUMIFS(IF(D200=År1,'Resultater - Vestdanmark'!H$3:H$504,IF(D200=År2,'Resultater - Vestdanmark'!I$3:I$504,'Resultater - Vestdanmark'!J$3:J$504)),'Resultater - Vestdanmark'!$F$3:$F$504,$A200,'Resultater - Vestdanmark'!H$3:H$504,"&lt;0"),0),-IF(A200="Halm",SUMIFS(IF(D200=År1,'Resultater - Østdanmark'!H$3:H$504,IF(D200=År2,'Resultater - Østdanmark'!I$3:I$504,'Resultater - Østdanmark'!J$3:J$504)),'Resultater - Østdanmark'!$F$3:$F$504,$A200,'Resultater - Østdanmark'!H$3:H$504,"&lt;0"),0))</f>
        <v>0</v>
      </c>
      <c r="I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forbrug'!I$2,'Forbrug af biomasse'!$B$2:$B$425,$E200)</f>
        <v>0</v>
      </c>
      <c r="J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forbrug'!J$2,'Forbrug af biomasse'!$B$2:$B$425,$E200)</f>
        <v>0</v>
      </c>
      <c r="K200" s="190">
        <f>SUMIFS('Forbrug af biomasse'!$E$2:$E$425,'Forbrug af biomasse'!$C$2:$C$425,'Resultat-Produktion &amp; forbrug'!$A200,'Forbrug af biomasse'!$D$2:$D$425,'Resultat-Produktion &amp; forbrug'!$D200,'Forbrug af biomasse'!$A$2:$A$425,'Resultat-Produktion &amp; forbrug'!K$2,'Forbrug af biomasse'!$B$2:$B$425,$E200)</f>
        <v>0</v>
      </c>
      <c r="L200" s="190">
        <f>IF(A200&lt;&gt;"Biogas",SUMIFS('Forbrug af biomasse'!$E$2:$E$425,'Forbrug af biomasse'!$C$2:$C$425,'Resultat-Produktion &amp; forbrug'!$A200,'Forbrug af biomasse'!$D$2:$D$425,'Resultat-Produktion &amp; forbrug'!$D200,'Forbrug af biomasse'!$A$2:$A$425,'Resultat-Produktion &amp; forbrug'!L$2,'Forbrug af biomasse'!$B$2:$B$425,$E200),F200)</f>
        <v>0</v>
      </c>
      <c r="M200" s="154">
        <f>SUMIFS('Forbrug af biomasse'!E:E,'Forbrug af biomasse'!C:C,'Resultat-Produktion &amp; forbrug'!$A200,'Forbrug af biomasse'!D:D,'Resultat-Produktion &amp; forbrug'!$D200,'Forbrug af biomasse'!G:G,1,'Forbrug af biomasse'!B:B,$E200)</f>
        <v>0</v>
      </c>
      <c r="N200" s="199">
        <f t="shared" si="48"/>
        <v>0</v>
      </c>
      <c r="O200" s="190">
        <f t="shared" si="59"/>
        <v>0</v>
      </c>
      <c r="P200" s="200">
        <f t="shared" si="49"/>
        <v>0</v>
      </c>
      <c r="Q200" s="187">
        <f>IFERROR(VLOOKUP(A200,[1]Energiindhold!$A$2:$C$11,3,FALSE),IFERROR(VLOOKUP(A200,[1]Biogasudbytte!$A$2:$B$18,2,FALSE)*[1]Energiindhold!$C$10,0))*O200</f>
        <v>0</v>
      </c>
      <c r="R200" s="187">
        <f>IF(A200&lt;&gt;"Biogas",IFERROR(VLOOKUP(A200,[1]Biogasudbytte!$A$2:$B$18,2,FALSE)*[1]Energiindhold!$C$10,0)*J200*IFERROR(VLOOKUP(A200,Biogasanlæg!$F$3:$G$8,2,FALSE),1)+IFERROR(VLOOKUP(A200,[1]Energiindhold!$A$2:$C$11,3,FALSE),0)*L200+IF(D200&lt;&gt;År1,Q200,0),0)</f>
        <v>0</v>
      </c>
      <c r="S200" s="187">
        <f>IFERROR(VLOOKUP(A200,[1]Biogasudbytte!$A$2:$B$18,2,FALSE)*[1]Energiindhold!$C$10,0)*J200*IFERROR(VLOOKUP(A200,Biogasanlæg!$F$3:$G$8,2,FALSE),1)</f>
        <v>0</v>
      </c>
      <c r="T200" s="188">
        <f t="shared" si="50"/>
        <v>0</v>
      </c>
      <c r="U200" s="186">
        <f>O200*IFERROR(VLOOKUP(A200,[1]Tørstofindhold!A$2:B$24,2,FALSE),0)</f>
        <v>0</v>
      </c>
      <c r="V200" s="187">
        <f>IF(D200=År1,P200,SUM(O200,P200))*IFERROR(VLOOKUP(A200,[1]Tørstofindhold!A$2:B$24,2,FALSE),0)</f>
        <v>0</v>
      </c>
      <c r="W200" s="187">
        <f>J200*IFERROR(VLOOKUP(A200,[1]Tørstofindhold!A$2:B$24,2,FALSE),0)</f>
        <v>0</v>
      </c>
      <c r="X200" s="188">
        <f t="shared" si="51"/>
        <v>0</v>
      </c>
      <c r="Y200" s="168">
        <f t="shared" si="60"/>
        <v>0</v>
      </c>
      <c r="Z200" s="103">
        <f t="shared" si="61"/>
        <v>0</v>
      </c>
    </row>
    <row r="201" spans="1:26" x14ac:dyDescent="0.25">
      <c r="A201" s="189" t="str">
        <f t="shared" si="56"/>
        <v>Dybstrøelse</v>
      </c>
      <c r="B201" s="189" t="str">
        <f t="shared" si="57"/>
        <v>Husdyrgødning</v>
      </c>
      <c r="C201" s="189">
        <f>IF(COUNTIFS('Resultater - Danmark'!$D$3:$D$504,'Resultat-Produktion &amp; forbrug'!A201,'Resultater - Danmark'!$A$3:$A$504,"Til energi")+COUNTIFS('Resultater - Danmark'!$D$3:$D$504,'Resultat-Produktion &amp; forbrug'!A201,'Resultater - Danmark'!$A$3:$A$504,"Biogasanlæg")&gt;0,1,0)</f>
        <v>1</v>
      </c>
      <c r="D201" s="189">
        <f t="shared" si="58"/>
        <v>2030</v>
      </c>
      <c r="E201" s="187" t="s">
        <v>24</v>
      </c>
      <c r="F201" s="190">
        <f>IF(E201="Vestdanmark",SUMIFS(IF(D201=År1,'Resultater - Vestdanmark'!H$3:H$504,IF(D201=År2,'Resultater - Vestdanmark'!I$3:I$504,'Resultater - Vestdanmark'!J$3:J$504)),'Resultater - Vestdanmark'!$F$3:$F$504,$A201,IF(D201=År1,'Resultater - Vestdanmark'!H$3:H$504,IF(D201=År2,'Resultater - Vestdanmark'!I$3:I$504,'Resultater - Vestdanmark'!J$3:J$504)),"&gt;0"),SUMIFS(IF(D201=År1,'Resultater - Østdanmark'!H$3:H$504,IF(D201=År2,'Resultater - Østdanmark'!I$3:I$504,'Resultater - Østdanmark'!J$3:J$504)),'Resultater - Østdanmark'!$F$3:$F$504,$A201,IF(D201=År1,'Resultater - Østdanmark'!H$3:H$504,IF(D201=År2,'Resultater - Østdanmark'!I$3:I$504,'Resultater - Østdanmark'!J$3:J$504)),"&gt;0"))</f>
        <v>429666.13151061774</v>
      </c>
      <c r="G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forbrug'!G$2,'Forbrug af biomasse'!$B$2:$B$425,$E201)</f>
        <v>0</v>
      </c>
      <c r="H201" s="187">
        <f>IF(E201="Vestdanmark",-IF(A201="Halm",SUMIFS(IF(D201=År1,'Resultater - Vestdanmark'!H$3:H$504,IF(D201=År2,'Resultater - Vestdanmark'!I$3:I$504,'Resultater - Vestdanmark'!J$3:J$504)),'Resultater - Vestdanmark'!$F$3:$F$504,$A201,'Resultater - Vestdanmark'!H$3:H$504,"&lt;0"),0),-IF(A201="Halm",SUMIFS(IF(D201=År1,'Resultater - Østdanmark'!H$3:H$504,IF(D201=År2,'Resultater - Østdanmark'!I$3:I$504,'Resultater - Østdanmark'!J$3:J$504)),'Resultater - Østdanmark'!$F$3:$F$504,$A201,'Resultater - Østdanmark'!H$3:H$504,"&lt;0"),0))</f>
        <v>0</v>
      </c>
      <c r="I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forbrug'!I$2,'Forbrug af biomasse'!$B$2:$B$425,$E201)</f>
        <v>0</v>
      </c>
      <c r="J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forbrug'!J$2,'Forbrug af biomasse'!$B$2:$B$425,$E201)</f>
        <v>214833.06575530887</v>
      </c>
      <c r="K201" s="190">
        <f>SUMIFS('Forbrug af biomasse'!$E$2:$E$425,'Forbrug af biomasse'!$C$2:$C$425,'Resultat-Produktion &amp; forbrug'!$A201,'Forbrug af biomasse'!$D$2:$D$425,'Resultat-Produktion &amp; forbrug'!$D201,'Forbrug af biomasse'!$A$2:$A$425,'Resultat-Produktion &amp; forbrug'!K$2,'Forbrug af biomasse'!$B$2:$B$425,$E201)</f>
        <v>81329.660607366925</v>
      </c>
      <c r="L201" s="190">
        <f>IF(A201&lt;&gt;"Biogas",SUMIFS('Forbrug af biomasse'!$E$2:$E$425,'Forbrug af biomasse'!$C$2:$C$425,'Resultat-Produktion &amp; forbrug'!$A201,'Forbrug af biomasse'!$D$2:$D$425,'Resultat-Produktion &amp; forbrug'!$D201,'Forbrug af biomasse'!$A$2:$A$425,'Resultat-Produktion &amp; forbrug'!L$2,'Forbrug af biomasse'!$B$2:$B$425,$E201),F201)</f>
        <v>0</v>
      </c>
      <c r="M201" s="154">
        <f>SUMIFS('Forbrug af biomasse'!E:E,'Forbrug af biomasse'!C:C,'Resultat-Produktion &amp; forbrug'!$A201,'Forbrug af biomasse'!D:D,'Resultat-Produktion &amp; forbrug'!$D201,'Forbrug af biomasse'!G:G,1,'Forbrug af biomasse'!B:B,$E201)</f>
        <v>0</v>
      </c>
      <c r="N201" s="199">
        <f t="shared" si="48"/>
        <v>133503.40514794196</v>
      </c>
      <c r="O201" s="190">
        <f t="shared" si="59"/>
        <v>133503.40514794196</v>
      </c>
      <c r="P201" s="200">
        <f t="shared" si="49"/>
        <v>214833.06575530887</v>
      </c>
      <c r="Q201" s="187">
        <f>IFERROR(VLOOKUP(A201,[1]Energiindhold!$A$2:$C$11,3,FALSE),IFERROR(VLOOKUP(A201,[1]Biogasudbytte!$A$2:$B$18,2,FALSE)*[1]Energiindhold!$C$10,0))*O201</f>
        <v>0.28756633468866699</v>
      </c>
      <c r="R201" s="187">
        <f>IF(A201&lt;&gt;"Biogas",IFERROR(VLOOKUP(A201,[1]Biogasudbytte!$A$2:$B$18,2,FALSE)*[1]Energiindhold!$C$10,0)*J201*IFERROR(VLOOKUP(A201,Biogasanlæg!$F$3:$G$8,2,FALSE),1)+IFERROR(VLOOKUP(A201,[1]Energiindhold!$A$2:$C$11,3,FALSE),0)*L201+IF(D201&lt;&gt;År1,Q201,0),0)</f>
        <v>0.7503167583256023</v>
      </c>
      <c r="S201" s="187">
        <f>IFERROR(VLOOKUP(A201,[1]Biogasudbytte!$A$2:$B$18,2,FALSE)*[1]Energiindhold!$C$10,0)*J201*IFERROR(VLOOKUP(A201,Biogasanlæg!$F$3:$G$8,2,FALSE),1)</f>
        <v>0.4627504236369353</v>
      </c>
      <c r="T201" s="188">
        <f t="shared" si="50"/>
        <v>0.28756633468866699</v>
      </c>
      <c r="U201" s="186">
        <f>O201*IFERROR(VLOOKUP(A201,[1]Tørstofindhold!A$2:B$24,2,FALSE),0)</f>
        <v>40051.021544382587</v>
      </c>
      <c r="V201" s="187">
        <f>IF(D201=År1,P201,SUM(O201,P201))*IFERROR(VLOOKUP(A201,[1]Tørstofindhold!A$2:B$24,2,FALSE),0)</f>
        <v>104500.94127097525</v>
      </c>
      <c r="W201" s="187">
        <f>J201*IFERROR(VLOOKUP(A201,[1]Tørstofindhold!A$2:B$24,2,FALSE),0)</f>
        <v>64449.919726592656</v>
      </c>
      <c r="X201" s="188">
        <f t="shared" si="51"/>
        <v>40051.021544382595</v>
      </c>
      <c r="Y201" s="168">
        <f t="shared" si="60"/>
        <v>0</v>
      </c>
      <c r="Z201" s="103">
        <f t="shared" si="61"/>
        <v>1</v>
      </c>
    </row>
    <row r="202" spans="1:26" x14ac:dyDescent="0.25">
      <c r="A202" s="189" t="str">
        <f t="shared" si="56"/>
        <v>Fiberfraktion</v>
      </c>
      <c r="B202" s="189" t="str">
        <f t="shared" si="57"/>
        <v/>
      </c>
      <c r="C202" s="189">
        <f>IF(COUNTIFS('Resultater - Danmark'!$D$3:$D$504,'Resultat-Produktion &amp; forbrug'!A202,'Resultater - Danmark'!$A$3:$A$504,"Til energi")+COUNTIFS('Resultater - Danmark'!$D$3:$D$504,'Resultat-Produktion &amp; forbrug'!A202,'Resultater - Danmark'!$A$3:$A$504,"Biogasanlæg")&gt;0,1,0)</f>
        <v>0</v>
      </c>
      <c r="D202" s="189">
        <f t="shared" si="58"/>
        <v>2030</v>
      </c>
      <c r="E202" s="187" t="s">
        <v>24</v>
      </c>
      <c r="F202" s="190">
        <f>IF(E202="Vestdanmark",SUMIFS(IF(D202=År1,'Resultater - Vestdanmark'!H$3:H$504,IF(D202=År2,'Resultater - Vestdanmark'!I$3:I$504,'Resultater - Vestdanmark'!J$3:J$504)),'Resultater - Vestdanmark'!$F$3:$F$504,$A202,IF(D202=År1,'Resultater - Vestdanmark'!H$3:H$504,IF(D202=År2,'Resultater - Vestdanmark'!I$3:I$504,'Resultater - Vestdanmark'!J$3:J$504)),"&gt;0"),SUMIFS(IF(D202=År1,'Resultater - Østdanmark'!H$3:H$504,IF(D202=År2,'Resultater - Østdanmark'!I$3:I$504,'Resultater - Østdanmark'!J$3:J$504)),'Resultater - Østdanmark'!$F$3:$F$504,$A202,IF(D202=År1,'Resultater - Østdanmark'!H$3:H$504,IF(D202=År2,'Resultater - Østdanmark'!I$3:I$504,'Resultater - Østdanmark'!J$3:J$504)),"&gt;0"))</f>
        <v>0</v>
      </c>
      <c r="G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forbrug'!G$2,'Forbrug af biomasse'!$B$2:$B$425,$E202)</f>
        <v>0</v>
      </c>
      <c r="H202" s="187">
        <f>IF(E202="Vestdanmark",-IF(A202="Halm",SUMIFS(IF(D202=År1,'Resultater - Vestdanmark'!H$3:H$504,IF(D202=År2,'Resultater - Vestdanmark'!I$3:I$504,'Resultater - Vestdanmark'!J$3:J$504)),'Resultater - Vestdanmark'!$F$3:$F$504,$A202,'Resultater - Vestdanmark'!H$3:H$504,"&lt;0"),0),-IF(A202="Halm",SUMIFS(IF(D202=År1,'Resultater - Østdanmark'!H$3:H$504,IF(D202=År2,'Resultater - Østdanmark'!I$3:I$504,'Resultater - Østdanmark'!J$3:J$504)),'Resultater - Østdanmark'!$F$3:$F$504,$A202,'Resultater - Østdanmark'!H$3:H$504,"&lt;0"),0))</f>
        <v>0</v>
      </c>
      <c r="I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forbrug'!I$2,'Forbrug af biomasse'!$B$2:$B$425,$E202)</f>
        <v>0</v>
      </c>
      <c r="J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forbrug'!J$2,'Forbrug af biomasse'!$B$2:$B$425,$E202)</f>
        <v>0</v>
      </c>
      <c r="K202" s="190">
        <f>SUMIFS('Forbrug af biomasse'!$E$2:$E$425,'Forbrug af biomasse'!$C$2:$C$425,'Resultat-Produktion &amp; forbrug'!$A202,'Forbrug af biomasse'!$D$2:$D$425,'Resultat-Produktion &amp; forbrug'!$D202,'Forbrug af biomasse'!$A$2:$A$425,'Resultat-Produktion &amp; forbrug'!K$2,'Forbrug af biomasse'!$B$2:$B$425,$E202)</f>
        <v>0</v>
      </c>
      <c r="L202" s="190">
        <f>IF(A202&lt;&gt;"Biogas",SUMIFS('Forbrug af biomasse'!$E$2:$E$425,'Forbrug af biomasse'!$C$2:$C$425,'Resultat-Produktion &amp; forbrug'!$A202,'Forbrug af biomasse'!$D$2:$D$425,'Resultat-Produktion &amp; forbrug'!$D202,'Forbrug af biomasse'!$A$2:$A$425,'Resultat-Produktion &amp; forbrug'!L$2,'Forbrug af biomasse'!$B$2:$B$425,$E202),F202)</f>
        <v>0</v>
      </c>
      <c r="M202" s="154">
        <f>SUMIFS('Forbrug af biomasse'!E:E,'Forbrug af biomasse'!C:C,'Resultat-Produktion &amp; forbrug'!$A202,'Forbrug af biomasse'!D:D,'Resultat-Produktion &amp; forbrug'!$D202,'Forbrug af biomasse'!G:G,1,'Forbrug af biomasse'!B:B,$E202)</f>
        <v>0</v>
      </c>
      <c r="N202" s="199">
        <f t="shared" si="48"/>
        <v>0</v>
      </c>
      <c r="O202" s="190">
        <f t="shared" si="59"/>
        <v>0</v>
      </c>
      <c r="P202" s="200">
        <f t="shared" si="49"/>
        <v>0</v>
      </c>
      <c r="Q202" s="187">
        <f>IFERROR(VLOOKUP(A202,[1]Energiindhold!$A$2:$C$11,3,FALSE),IFERROR(VLOOKUP(A202,[1]Biogasudbytte!$A$2:$B$18,2,FALSE)*[1]Energiindhold!$C$10,0))*O202</f>
        <v>0</v>
      </c>
      <c r="R202" s="187">
        <f>IF(A202&lt;&gt;"Biogas",IFERROR(VLOOKUP(A202,[1]Biogasudbytte!$A$2:$B$18,2,FALSE)*[1]Energiindhold!$C$10,0)*J202*IFERROR(VLOOKUP(A202,Biogasanlæg!$F$3:$G$8,2,FALSE),1)+IFERROR(VLOOKUP(A202,[1]Energiindhold!$A$2:$C$11,3,FALSE),0)*L202+IF(D202&lt;&gt;År1,Q202,0),0)</f>
        <v>0</v>
      </c>
      <c r="S202" s="187">
        <f>IFERROR(VLOOKUP(A202,[1]Biogasudbytte!$A$2:$B$18,2,FALSE)*[1]Energiindhold!$C$10,0)*J202*IFERROR(VLOOKUP(A202,Biogasanlæg!$F$3:$G$8,2,FALSE),1)</f>
        <v>0</v>
      </c>
      <c r="T202" s="188">
        <f t="shared" si="50"/>
        <v>0</v>
      </c>
      <c r="U202" s="186">
        <f>O202*IFERROR(VLOOKUP(A202,[1]Tørstofindhold!A$2:B$24,2,FALSE),0)</f>
        <v>0</v>
      </c>
      <c r="V202" s="187">
        <f>IF(D202=År1,P202,SUM(O202,P202))*IFERROR(VLOOKUP(A202,[1]Tørstofindhold!A$2:B$24,2,FALSE),0)</f>
        <v>0</v>
      </c>
      <c r="W202" s="187">
        <f>J202*IFERROR(VLOOKUP(A202,[1]Tørstofindhold!A$2:B$24,2,FALSE),0)</f>
        <v>0</v>
      </c>
      <c r="X202" s="188">
        <f t="shared" si="51"/>
        <v>0</v>
      </c>
      <c r="Y202" s="168">
        <f t="shared" si="60"/>
        <v>0</v>
      </c>
      <c r="Z202" s="103">
        <f t="shared" si="61"/>
        <v>0</v>
      </c>
    </row>
    <row r="203" spans="1:26" x14ac:dyDescent="0.25">
      <c r="A203" s="189" t="str">
        <f t="shared" si="56"/>
        <v>Fjerkrægylle</v>
      </c>
      <c r="B203" s="189" t="str">
        <f t="shared" si="57"/>
        <v>Husdyrgødning</v>
      </c>
      <c r="C203" s="189">
        <f>IF(COUNTIFS('Resultater - Danmark'!$D$3:$D$504,'Resultat-Produktion &amp; forbrug'!A203,'Resultater - Danmark'!$A$3:$A$504,"Til energi")+COUNTIFS('Resultater - Danmark'!$D$3:$D$504,'Resultat-Produktion &amp; forbrug'!A203,'Resultater - Danmark'!$A$3:$A$504,"Biogasanlæg")&gt;0,1,0)</f>
        <v>1</v>
      </c>
      <c r="D203" s="189">
        <f t="shared" si="58"/>
        <v>2030</v>
      </c>
      <c r="E203" s="187" t="s">
        <v>24</v>
      </c>
      <c r="F203" s="190">
        <f>IF(E203="Vestdanmark",SUMIFS(IF(D203=År1,'Resultater - Vestdanmark'!H$3:H$504,IF(D203=År2,'Resultater - Vestdanmark'!I$3:I$504,'Resultater - Vestdanmark'!J$3:J$504)),'Resultater - Vestdanmark'!$F$3:$F$504,$A203,IF(D203=År1,'Resultater - Vestdanmark'!H$3:H$504,IF(D203=År2,'Resultater - Vestdanmark'!I$3:I$504,'Resultater - Vestdanmark'!J$3:J$504)),"&gt;0"),SUMIFS(IF(D203=År1,'Resultater - Østdanmark'!H$3:H$504,IF(D203=År2,'Resultater - Østdanmark'!I$3:I$504,'Resultater - Østdanmark'!J$3:J$504)),'Resultater - Østdanmark'!$F$3:$F$504,$A203,IF(D203=År1,'Resultater - Østdanmark'!H$3:H$504,IF(D203=År2,'Resultater - Østdanmark'!I$3:I$504,'Resultater - Østdanmark'!J$3:J$504)),"&gt;0"))</f>
        <v>840.2423101834255</v>
      </c>
      <c r="G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forbrug'!G$2,'Forbrug af biomasse'!$B$2:$B$425,$E203)</f>
        <v>0</v>
      </c>
      <c r="H203" s="187">
        <f>IF(E203="Vestdanmark",-IF(A203="Halm",SUMIFS(IF(D203=År1,'Resultater - Vestdanmark'!H$3:H$504,IF(D203=År2,'Resultater - Vestdanmark'!I$3:I$504,'Resultater - Vestdanmark'!J$3:J$504)),'Resultater - Vestdanmark'!$F$3:$F$504,$A203,'Resultater - Vestdanmark'!H$3:H$504,"&lt;0"),0),-IF(A203="Halm",SUMIFS(IF(D203=År1,'Resultater - Østdanmark'!H$3:H$504,IF(D203=År2,'Resultater - Østdanmark'!I$3:I$504,'Resultater - Østdanmark'!J$3:J$504)),'Resultater - Østdanmark'!$F$3:$F$504,$A203,'Resultater - Østdanmark'!H$3:H$504,"&lt;0"),0))</f>
        <v>0</v>
      </c>
      <c r="I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forbrug'!I$2,'Forbrug af biomasse'!$B$2:$B$425,$E203)</f>
        <v>0</v>
      </c>
      <c r="J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forbrug'!J$2,'Forbrug af biomasse'!$B$2:$B$425,$E203)</f>
        <v>420.12115509171275</v>
      </c>
      <c r="K203" s="190">
        <f>SUMIFS('Forbrug af biomasse'!$E$2:$E$425,'Forbrug af biomasse'!$C$2:$C$425,'Resultat-Produktion &amp; forbrug'!$A203,'Forbrug af biomasse'!$D$2:$D$425,'Resultat-Produktion &amp; forbrug'!$D203,'Forbrug af biomasse'!$A$2:$A$425,'Resultat-Produktion &amp; forbrug'!K$2,'Forbrug af biomasse'!$B$2:$B$425,$E203)</f>
        <v>420.12115509171275</v>
      </c>
      <c r="L203" s="190">
        <f>IF(A203&lt;&gt;"Biogas",SUMIFS('Forbrug af biomasse'!$E$2:$E$425,'Forbrug af biomasse'!$C$2:$C$425,'Resultat-Produktion &amp; forbrug'!$A203,'Forbrug af biomasse'!$D$2:$D$425,'Resultat-Produktion &amp; forbrug'!$D203,'Forbrug af biomasse'!$A$2:$A$425,'Resultat-Produktion &amp; forbrug'!L$2,'Forbrug af biomasse'!$B$2:$B$425,$E203),F203)</f>
        <v>0</v>
      </c>
      <c r="M203" s="154">
        <f>SUMIFS('Forbrug af biomasse'!E:E,'Forbrug af biomasse'!C:C,'Resultat-Produktion &amp; forbrug'!$A203,'Forbrug af biomasse'!D:D,'Resultat-Produktion &amp; forbrug'!$D203,'Forbrug af biomasse'!G:G,1,'Forbrug af biomasse'!B:B,$E203)</f>
        <v>0</v>
      </c>
      <c r="N203" s="199">
        <f t="shared" si="48"/>
        <v>0</v>
      </c>
      <c r="O203" s="190">
        <f t="shared" si="59"/>
        <v>0</v>
      </c>
      <c r="P203" s="200">
        <f t="shared" si="49"/>
        <v>420.12115509171275</v>
      </c>
      <c r="Q203" s="187">
        <f>IFERROR(VLOOKUP(A203,[1]Energiindhold!$A$2:$C$11,3,FALSE),IFERROR(VLOOKUP(A203,[1]Biogasudbytte!$A$2:$B$18,2,FALSE)*[1]Energiindhold!$C$10,0))*O203</f>
        <v>0</v>
      </c>
      <c r="R203" s="187">
        <f>IF(A203&lt;&gt;"Biogas",IFERROR(VLOOKUP(A203,[1]Biogasudbytte!$A$2:$B$18,2,FALSE)*[1]Energiindhold!$C$10,0)*J203*IFERROR(VLOOKUP(A203,Biogasanlæg!$F$3:$G$8,2,FALSE),1)+IFERROR(VLOOKUP(A203,[1]Energiindhold!$A$2:$C$11,3,FALSE),0)*L203+IF(D203&lt;&gt;År1,Q203,0),0)</f>
        <v>1.9757877802808159E-4</v>
      </c>
      <c r="S203" s="187">
        <f>IFERROR(VLOOKUP(A203,[1]Biogasudbytte!$A$2:$B$18,2,FALSE)*[1]Energiindhold!$C$10,0)*J203*IFERROR(VLOOKUP(A203,Biogasanlæg!$F$3:$G$8,2,FALSE),1)</f>
        <v>1.9757877802808159E-4</v>
      </c>
      <c r="T203" s="188">
        <f t="shared" si="50"/>
        <v>0</v>
      </c>
      <c r="U203" s="186">
        <f>O203*IFERROR(VLOOKUP(A203,[1]Tørstofindhold!A$2:B$24,2,FALSE),0)</f>
        <v>0</v>
      </c>
      <c r="V203" s="187">
        <f>IF(D203=År1,P203,SUM(O203,P203))*IFERROR(VLOOKUP(A203,[1]Tørstofindhold!A$2:B$24,2,FALSE),0)</f>
        <v>26.467632770777904</v>
      </c>
      <c r="W203" s="187">
        <f>J203*IFERROR(VLOOKUP(A203,[1]Tørstofindhold!A$2:B$24,2,FALSE),0)</f>
        <v>26.467632770777904</v>
      </c>
      <c r="X203" s="188">
        <f t="shared" si="51"/>
        <v>0</v>
      </c>
      <c r="Y203" s="168">
        <f t="shared" si="60"/>
        <v>0</v>
      </c>
      <c r="Z203" s="103">
        <f t="shared" si="61"/>
        <v>0</v>
      </c>
    </row>
    <row r="204" spans="1:26" x14ac:dyDescent="0.25">
      <c r="A204" s="189" t="str">
        <f t="shared" si="56"/>
        <v>Fjerkrækød</v>
      </c>
      <c r="B204" s="189" t="str">
        <f t="shared" si="57"/>
        <v/>
      </c>
      <c r="C204" s="189">
        <f>IF(COUNTIFS('Resultater - Danmark'!$D$3:$D$504,'Resultat-Produktion &amp; forbrug'!A204,'Resultater - Danmark'!$A$3:$A$504,"Til energi")+COUNTIFS('Resultater - Danmark'!$D$3:$D$504,'Resultat-Produktion &amp; forbrug'!A204,'Resultater - Danmark'!$A$3:$A$504,"Biogasanlæg")&gt;0,1,0)</f>
        <v>0</v>
      </c>
      <c r="D204" s="189">
        <f t="shared" si="58"/>
        <v>2030</v>
      </c>
      <c r="E204" s="187" t="s">
        <v>24</v>
      </c>
      <c r="F204" s="190">
        <f>IF(E204="Vestdanmark",SUMIFS(IF(D204=År1,'Resultater - Vestdanmark'!H$3:H$504,IF(D204=År2,'Resultater - Vestdanmark'!I$3:I$504,'Resultater - Vestdanmark'!J$3:J$504)),'Resultater - Vestdanmark'!$F$3:$F$504,$A204,IF(D204=År1,'Resultater - Vestdanmark'!H$3:H$504,IF(D204=År2,'Resultater - Vestdanmark'!I$3:I$504,'Resultater - Vestdanmark'!J$3:J$504)),"&gt;0"),SUMIFS(IF(D204=År1,'Resultater - Østdanmark'!H$3:H$504,IF(D204=År2,'Resultater - Østdanmark'!I$3:I$504,'Resultater - Østdanmark'!J$3:J$504)),'Resultater - Østdanmark'!$F$3:$F$504,$A204,IF(D204=År1,'Resultater - Østdanmark'!H$3:H$504,IF(D204=År2,'Resultater - Østdanmark'!I$3:I$504,'Resultater - Østdanmark'!J$3:J$504)),"&gt;0"))</f>
        <v>18292.854791513339</v>
      </c>
      <c r="G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forbrug'!G$2,'Forbrug af biomasse'!$B$2:$B$425,$E204)</f>
        <v>0</v>
      </c>
      <c r="H204" s="187">
        <f>IF(E204="Vestdanmark",-IF(A204="Halm",SUMIFS(IF(D204=År1,'Resultater - Vestdanmark'!H$3:H$504,IF(D204=År2,'Resultater - Vestdanmark'!I$3:I$504,'Resultater - Vestdanmark'!J$3:J$504)),'Resultater - Vestdanmark'!$F$3:$F$504,$A204,'Resultater - Vestdanmark'!H$3:H$504,"&lt;0"),0),-IF(A204="Halm",SUMIFS(IF(D204=År1,'Resultater - Østdanmark'!H$3:H$504,IF(D204=År2,'Resultater - Østdanmark'!I$3:I$504,'Resultater - Østdanmark'!J$3:J$504)),'Resultater - Østdanmark'!$F$3:$F$504,$A204,'Resultater - Østdanmark'!H$3:H$504,"&lt;0"),0))</f>
        <v>0</v>
      </c>
      <c r="I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forbrug'!I$2,'Forbrug af biomasse'!$B$2:$B$425,$E204)</f>
        <v>30560.118468347584</v>
      </c>
      <c r="J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forbrug'!J$2,'Forbrug af biomasse'!$B$2:$B$425,$E204)</f>
        <v>0</v>
      </c>
      <c r="K204" s="190">
        <f>SUMIFS('Forbrug af biomasse'!$E$2:$E$425,'Forbrug af biomasse'!$C$2:$C$425,'Resultat-Produktion &amp; forbrug'!$A204,'Forbrug af biomasse'!$D$2:$D$425,'Resultat-Produktion &amp; forbrug'!$D204,'Forbrug af biomasse'!$A$2:$A$425,'Resultat-Produktion &amp; forbrug'!K$2,'Forbrug af biomasse'!$B$2:$B$425,$E204)</f>
        <v>0</v>
      </c>
      <c r="L204" s="190">
        <f>IF(A204&lt;&gt;"Biogas",SUMIFS('Forbrug af biomasse'!$E$2:$E$425,'Forbrug af biomasse'!$C$2:$C$425,'Resultat-Produktion &amp; forbrug'!$A204,'Forbrug af biomasse'!$D$2:$D$425,'Resultat-Produktion &amp; forbrug'!$D204,'Forbrug af biomasse'!$A$2:$A$425,'Resultat-Produktion &amp; forbrug'!L$2,'Forbrug af biomasse'!$B$2:$B$425,$E204),F204)</f>
        <v>0</v>
      </c>
      <c r="M204" s="154">
        <f>SUMIFS('Forbrug af biomasse'!E:E,'Forbrug af biomasse'!C:C,'Resultat-Produktion &amp; forbrug'!$A204,'Forbrug af biomasse'!D:D,'Resultat-Produktion &amp; forbrug'!$D204,'Forbrug af biomasse'!G:G,1,'Forbrug af biomasse'!B:B,$E204)</f>
        <v>0</v>
      </c>
      <c r="N204" s="199">
        <f t="shared" si="48"/>
        <v>-12267.263676834245</v>
      </c>
      <c r="O204" s="190">
        <f t="shared" si="59"/>
        <v>0</v>
      </c>
      <c r="P204" s="200">
        <f t="shared" si="49"/>
        <v>0</v>
      </c>
      <c r="Q204" s="187">
        <f>IFERROR(VLOOKUP(A204,[1]Energiindhold!$A$2:$C$11,3,FALSE),IFERROR(VLOOKUP(A204,[1]Biogasudbytte!$A$2:$B$18,2,FALSE)*[1]Energiindhold!$C$10,0))*O204</f>
        <v>0</v>
      </c>
      <c r="R204" s="187">
        <f>IF(A204&lt;&gt;"Biogas",IFERROR(VLOOKUP(A204,[1]Biogasudbytte!$A$2:$B$18,2,FALSE)*[1]Energiindhold!$C$10,0)*J204*IFERROR(VLOOKUP(A204,Biogasanlæg!$F$3:$G$8,2,FALSE),1)+IFERROR(VLOOKUP(A204,[1]Energiindhold!$A$2:$C$11,3,FALSE),0)*L204+IF(D204&lt;&gt;År1,Q204,0),0)</f>
        <v>0</v>
      </c>
      <c r="S204" s="187">
        <f>IFERROR(VLOOKUP(A204,[1]Biogasudbytte!$A$2:$B$18,2,FALSE)*[1]Energiindhold!$C$10,0)*J204*IFERROR(VLOOKUP(A204,Biogasanlæg!$F$3:$G$8,2,FALSE),1)</f>
        <v>0</v>
      </c>
      <c r="T204" s="188">
        <f t="shared" si="50"/>
        <v>0</v>
      </c>
      <c r="U204" s="186">
        <f>O204*IFERROR(VLOOKUP(A204,[1]Tørstofindhold!A$2:B$24,2,FALSE),0)</f>
        <v>0</v>
      </c>
      <c r="V204" s="187">
        <f>IF(D204=År1,P204,SUM(O204,P204))*IFERROR(VLOOKUP(A204,[1]Tørstofindhold!A$2:B$24,2,FALSE),0)</f>
        <v>0</v>
      </c>
      <c r="W204" s="187">
        <f>J204*IFERROR(VLOOKUP(A204,[1]Tørstofindhold!A$2:B$24,2,FALSE),0)</f>
        <v>0</v>
      </c>
      <c r="X204" s="188">
        <f t="shared" si="51"/>
        <v>0</v>
      </c>
      <c r="Y204" s="168">
        <f t="shared" si="60"/>
        <v>0</v>
      </c>
      <c r="Z204" s="103">
        <f t="shared" si="61"/>
        <v>1</v>
      </c>
    </row>
    <row r="205" spans="1:26" x14ac:dyDescent="0.25">
      <c r="A205" s="189" t="str">
        <f t="shared" si="56"/>
        <v>Frø</v>
      </c>
      <c r="B205" s="189" t="str">
        <f t="shared" si="57"/>
        <v/>
      </c>
      <c r="C205" s="189">
        <f>IF(COUNTIFS('Resultater - Danmark'!$D$3:$D$504,'Resultat-Produktion &amp; forbrug'!A205,'Resultater - Danmark'!$A$3:$A$504,"Til energi")+COUNTIFS('Resultater - Danmark'!$D$3:$D$504,'Resultat-Produktion &amp; forbrug'!A205,'Resultater - Danmark'!$A$3:$A$504,"Biogasanlæg")&gt;0,1,0)</f>
        <v>0</v>
      </c>
      <c r="D205" s="189">
        <f t="shared" si="58"/>
        <v>2030</v>
      </c>
      <c r="E205" s="187" t="s">
        <v>24</v>
      </c>
      <c r="F205" s="190">
        <f>IF(E205="Vestdanmark",SUMIFS(IF(D205=År1,'Resultater - Vestdanmark'!H$3:H$504,IF(D205=År2,'Resultater - Vestdanmark'!I$3:I$504,'Resultater - Vestdanmark'!J$3:J$504)),'Resultater - Vestdanmark'!$F$3:$F$504,$A205,IF(D205=År1,'Resultater - Vestdanmark'!H$3:H$504,IF(D205=År2,'Resultater - Vestdanmark'!I$3:I$504,'Resultater - Vestdanmark'!J$3:J$504)),"&gt;0"),SUMIFS(IF(D205=År1,'Resultater - Østdanmark'!H$3:H$504,IF(D205=År2,'Resultater - Østdanmark'!I$3:I$504,'Resultater - Østdanmark'!J$3:J$504)),'Resultater - Østdanmark'!$F$3:$F$504,$A205,IF(D205=År1,'Resultater - Østdanmark'!H$3:H$504,IF(D205=År2,'Resultater - Østdanmark'!I$3:I$504,'Resultater - Østdanmark'!J$3:J$504)),"&gt;0"))</f>
        <v>651574.6178029154</v>
      </c>
      <c r="G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forbrug'!G$2,'Forbrug af biomasse'!$B$2:$B$425,$E205)</f>
        <v>0</v>
      </c>
      <c r="H205" s="187">
        <f>IF(E205="Vestdanmark",-IF(A205="Halm",SUMIFS(IF(D205=År1,'Resultater - Vestdanmark'!H$3:H$504,IF(D205=År2,'Resultater - Vestdanmark'!I$3:I$504,'Resultater - Vestdanmark'!J$3:J$504)),'Resultater - Vestdanmark'!$F$3:$F$504,$A205,'Resultater - Vestdanmark'!H$3:H$504,"&lt;0"),0),-IF(A205="Halm",SUMIFS(IF(D205=År1,'Resultater - Østdanmark'!H$3:H$504,IF(D205=År2,'Resultater - Østdanmark'!I$3:I$504,'Resultater - Østdanmark'!J$3:J$504)),'Resultater - Østdanmark'!$F$3:$F$504,$A205,'Resultater - Østdanmark'!H$3:H$504,"&lt;0"),0))</f>
        <v>0</v>
      </c>
      <c r="I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forbrug'!I$2,'Forbrug af biomasse'!$B$2:$B$425,$E205)</f>
        <v>0</v>
      </c>
      <c r="J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forbrug'!J$2,'Forbrug af biomasse'!$B$2:$B$425,$E205)</f>
        <v>0</v>
      </c>
      <c r="K205" s="190">
        <f>SUMIFS('Forbrug af biomasse'!$E$2:$E$425,'Forbrug af biomasse'!$C$2:$C$425,'Resultat-Produktion &amp; forbrug'!$A205,'Forbrug af biomasse'!$D$2:$D$425,'Resultat-Produktion &amp; forbrug'!$D205,'Forbrug af biomasse'!$A$2:$A$425,'Resultat-Produktion &amp; forbrug'!K$2,'Forbrug af biomasse'!$B$2:$B$425,$E205)</f>
        <v>0</v>
      </c>
      <c r="L205" s="190">
        <f>IF(A205&lt;&gt;"Biogas",SUMIFS('Forbrug af biomasse'!$E$2:$E$425,'Forbrug af biomasse'!$C$2:$C$425,'Resultat-Produktion &amp; forbrug'!$A205,'Forbrug af biomasse'!$D$2:$D$425,'Resultat-Produktion &amp; forbrug'!$D205,'Forbrug af biomasse'!$A$2:$A$425,'Resultat-Produktion &amp; forbrug'!L$2,'Forbrug af biomasse'!$B$2:$B$425,$E205),F205)</f>
        <v>0</v>
      </c>
      <c r="M205" s="154">
        <f>SUMIFS('Forbrug af biomasse'!E:E,'Forbrug af biomasse'!C:C,'Resultat-Produktion &amp; forbrug'!$A205,'Forbrug af biomasse'!D:D,'Resultat-Produktion &amp; forbrug'!$D205,'Forbrug af biomasse'!G:G,1,'Forbrug af biomasse'!B:B,$E205)</f>
        <v>0</v>
      </c>
      <c r="N205" s="199">
        <f t="shared" si="48"/>
        <v>651574.6178029154</v>
      </c>
      <c r="O205" s="190">
        <f t="shared" si="59"/>
        <v>0</v>
      </c>
      <c r="P205" s="200">
        <f t="shared" si="49"/>
        <v>0</v>
      </c>
      <c r="Q205" s="187">
        <f>IFERROR(VLOOKUP(A205,[1]Energiindhold!$A$2:$C$11,3,FALSE),IFERROR(VLOOKUP(A205,[1]Biogasudbytte!$A$2:$B$18,2,FALSE)*[1]Energiindhold!$C$10,0))*O205</f>
        <v>0</v>
      </c>
      <c r="R205" s="187">
        <f>IF(A205&lt;&gt;"Biogas",IFERROR(VLOOKUP(A205,[1]Biogasudbytte!$A$2:$B$18,2,FALSE)*[1]Energiindhold!$C$10,0)*J205*IFERROR(VLOOKUP(A205,Biogasanlæg!$F$3:$G$8,2,FALSE),1)+IFERROR(VLOOKUP(A205,[1]Energiindhold!$A$2:$C$11,3,FALSE),0)*L205+IF(D205&lt;&gt;År1,Q205,0),0)</f>
        <v>0</v>
      </c>
      <c r="S205" s="187">
        <f>IFERROR(VLOOKUP(A205,[1]Biogasudbytte!$A$2:$B$18,2,FALSE)*[1]Energiindhold!$C$10,0)*J205*IFERROR(VLOOKUP(A205,Biogasanlæg!$F$3:$G$8,2,FALSE),1)</f>
        <v>0</v>
      </c>
      <c r="T205" s="188">
        <f t="shared" si="50"/>
        <v>0</v>
      </c>
      <c r="U205" s="186">
        <f>O205*IFERROR(VLOOKUP(A205,[1]Tørstofindhold!A$2:B$24,2,FALSE),0)</f>
        <v>0</v>
      </c>
      <c r="V205" s="187">
        <f>IF(D205=År1,P205,SUM(O205,P205))*IFERROR(VLOOKUP(A205,[1]Tørstofindhold!A$2:B$24,2,FALSE),0)</f>
        <v>0</v>
      </c>
      <c r="W205" s="187">
        <f>J205*IFERROR(VLOOKUP(A205,[1]Tørstofindhold!A$2:B$24,2,FALSE),0)</f>
        <v>0</v>
      </c>
      <c r="X205" s="188">
        <f t="shared" si="51"/>
        <v>0</v>
      </c>
      <c r="Y205" s="168">
        <f t="shared" si="60"/>
        <v>0</v>
      </c>
      <c r="Z205" s="103">
        <f t="shared" si="61"/>
        <v>1</v>
      </c>
    </row>
    <row r="206" spans="1:26" x14ac:dyDescent="0.25">
      <c r="A206" s="189" t="str">
        <f t="shared" si="56"/>
        <v>Frugt</v>
      </c>
      <c r="B206" s="189" t="str">
        <f t="shared" si="57"/>
        <v/>
      </c>
      <c r="C206" s="189">
        <f>IF(COUNTIFS('Resultater - Danmark'!$D$3:$D$504,'Resultat-Produktion &amp; forbrug'!A206,'Resultater - Danmark'!$A$3:$A$504,"Til energi")+COUNTIFS('Resultater - Danmark'!$D$3:$D$504,'Resultat-Produktion &amp; forbrug'!A206,'Resultater - Danmark'!$A$3:$A$504,"Biogasanlæg")&gt;0,1,0)</f>
        <v>0</v>
      </c>
      <c r="D206" s="189">
        <f t="shared" si="58"/>
        <v>2030</v>
      </c>
      <c r="E206" s="187" t="s">
        <v>24</v>
      </c>
      <c r="F206" s="190">
        <f>IF(E206="Vestdanmark",SUMIFS(IF(D206=År1,'Resultater - Vestdanmark'!H$3:H$504,IF(D206=År2,'Resultater - Vestdanmark'!I$3:I$504,'Resultater - Vestdanmark'!J$3:J$504)),'Resultater - Vestdanmark'!$F$3:$F$504,$A206,IF(D206=År1,'Resultater - Vestdanmark'!H$3:H$504,IF(D206=År2,'Resultater - Vestdanmark'!I$3:I$504,'Resultater - Vestdanmark'!J$3:J$504)),"&gt;0"),SUMIFS(IF(D206=År1,'Resultater - Østdanmark'!H$3:H$504,IF(D206=År2,'Resultater - Østdanmark'!I$3:I$504,'Resultater - Østdanmark'!J$3:J$504)),'Resultater - Østdanmark'!$F$3:$F$504,$A206,IF(D206=År1,'Resultater - Østdanmark'!H$3:H$504,IF(D206=År2,'Resultater - Østdanmark'!I$3:I$504,'Resultater - Østdanmark'!J$3:J$504)),"&gt;0"))</f>
        <v>16628.1277891153</v>
      </c>
      <c r="G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forbrug'!G$2,'Forbrug af biomasse'!$B$2:$B$425,$E206)</f>
        <v>0</v>
      </c>
      <c r="H206" s="187">
        <f>IF(E206="Vestdanmark",-IF(A206="Halm",SUMIFS(IF(D206=År1,'Resultater - Vestdanmark'!H$3:H$504,IF(D206=År2,'Resultater - Vestdanmark'!I$3:I$504,'Resultater - Vestdanmark'!J$3:J$504)),'Resultater - Vestdanmark'!$F$3:$F$504,$A206,'Resultater - Vestdanmark'!H$3:H$504,"&lt;0"),0),-IF(A206="Halm",SUMIFS(IF(D206=År1,'Resultater - Østdanmark'!H$3:H$504,IF(D206=År2,'Resultater - Østdanmark'!I$3:I$504,'Resultater - Østdanmark'!J$3:J$504)),'Resultater - Østdanmark'!$F$3:$F$504,$A206,'Resultater - Østdanmark'!H$3:H$504,"&lt;0"),0))</f>
        <v>0</v>
      </c>
      <c r="I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forbrug'!I$2,'Forbrug af biomasse'!$B$2:$B$425,$E206)</f>
        <v>223323.94265330929</v>
      </c>
      <c r="J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forbrug'!J$2,'Forbrug af biomasse'!$B$2:$B$425,$E206)</f>
        <v>0</v>
      </c>
      <c r="K206" s="190">
        <f>SUMIFS('Forbrug af biomasse'!$E$2:$E$425,'Forbrug af biomasse'!$C$2:$C$425,'Resultat-Produktion &amp; forbrug'!$A206,'Forbrug af biomasse'!$D$2:$D$425,'Resultat-Produktion &amp; forbrug'!$D206,'Forbrug af biomasse'!$A$2:$A$425,'Resultat-Produktion &amp; forbrug'!K$2,'Forbrug af biomasse'!$B$2:$B$425,$E206)</f>
        <v>0</v>
      </c>
      <c r="L206" s="190">
        <f>IF(A206&lt;&gt;"Biogas",SUMIFS('Forbrug af biomasse'!$E$2:$E$425,'Forbrug af biomasse'!$C$2:$C$425,'Resultat-Produktion &amp; forbrug'!$A206,'Forbrug af biomasse'!$D$2:$D$425,'Resultat-Produktion &amp; forbrug'!$D206,'Forbrug af biomasse'!$A$2:$A$425,'Resultat-Produktion &amp; forbrug'!L$2,'Forbrug af biomasse'!$B$2:$B$425,$E206),F206)</f>
        <v>0</v>
      </c>
      <c r="M206" s="154">
        <f>SUMIFS('Forbrug af biomasse'!E:E,'Forbrug af biomasse'!C:C,'Resultat-Produktion &amp; forbrug'!$A206,'Forbrug af biomasse'!D:D,'Resultat-Produktion &amp; forbrug'!$D206,'Forbrug af biomasse'!G:G,1,'Forbrug af biomasse'!B:B,$E206)</f>
        <v>0</v>
      </c>
      <c r="N206" s="199">
        <f t="shared" si="48"/>
        <v>-206695.81486419399</v>
      </c>
      <c r="O206" s="190">
        <f t="shared" si="59"/>
        <v>0</v>
      </c>
      <c r="P206" s="200">
        <f t="shared" si="49"/>
        <v>0</v>
      </c>
      <c r="Q206" s="187">
        <f>IFERROR(VLOOKUP(A206,[1]Energiindhold!$A$2:$C$11,3,FALSE),IFERROR(VLOOKUP(A206,[1]Biogasudbytte!$A$2:$B$18,2,FALSE)*[1]Energiindhold!$C$10,0))*O206</f>
        <v>0</v>
      </c>
      <c r="R206" s="187">
        <f>IF(A206&lt;&gt;"Biogas",IFERROR(VLOOKUP(A206,[1]Biogasudbytte!$A$2:$B$18,2,FALSE)*[1]Energiindhold!$C$10,0)*J206*IFERROR(VLOOKUP(A206,Biogasanlæg!$F$3:$G$8,2,FALSE),1)+IFERROR(VLOOKUP(A206,[1]Energiindhold!$A$2:$C$11,3,FALSE),0)*L206+IF(D206&lt;&gt;År1,Q206,0),0)</f>
        <v>0</v>
      </c>
      <c r="S206" s="187">
        <f>IFERROR(VLOOKUP(A206,[1]Biogasudbytte!$A$2:$B$18,2,FALSE)*[1]Energiindhold!$C$10,0)*J206*IFERROR(VLOOKUP(A206,Biogasanlæg!$F$3:$G$8,2,FALSE),1)</f>
        <v>0</v>
      </c>
      <c r="T206" s="188">
        <f t="shared" si="50"/>
        <v>0</v>
      </c>
      <c r="U206" s="186">
        <f>O206*IFERROR(VLOOKUP(A206,[1]Tørstofindhold!A$2:B$24,2,FALSE),0)</f>
        <v>0</v>
      </c>
      <c r="V206" s="187">
        <f>IF(D206=År1,P206,SUM(O206,P206))*IFERROR(VLOOKUP(A206,[1]Tørstofindhold!A$2:B$24,2,FALSE),0)</f>
        <v>0</v>
      </c>
      <c r="W206" s="187">
        <f>J206*IFERROR(VLOOKUP(A206,[1]Tørstofindhold!A$2:B$24,2,FALSE),0)</f>
        <v>0</v>
      </c>
      <c r="X206" s="188">
        <f t="shared" si="51"/>
        <v>0</v>
      </c>
      <c r="Y206" s="168">
        <f t="shared" si="60"/>
        <v>1</v>
      </c>
      <c r="Z206" s="103">
        <f t="shared" si="61"/>
        <v>0</v>
      </c>
    </row>
    <row r="207" spans="1:26" x14ac:dyDescent="0.25">
      <c r="A207" s="189" t="str">
        <f t="shared" si="56"/>
        <v>Glycerin</v>
      </c>
      <c r="B207" s="189" t="str">
        <f t="shared" si="57"/>
        <v>Glycerin</v>
      </c>
      <c r="C207" s="189">
        <f>IF(COUNTIFS('Resultater - Danmark'!$D$3:$D$504,'Resultat-Produktion &amp; forbrug'!A207,'Resultater - Danmark'!$A$3:$A$504,"Til energi")+COUNTIFS('Resultater - Danmark'!$D$3:$D$504,'Resultat-Produktion &amp; forbrug'!A207,'Resultater - Danmark'!$A$3:$A$504,"Biogasanlæg")&gt;0,1,0)</f>
        <v>1</v>
      </c>
      <c r="D207" s="189">
        <f t="shared" si="58"/>
        <v>2030</v>
      </c>
      <c r="E207" s="187" t="s">
        <v>24</v>
      </c>
      <c r="F207" s="190">
        <f>IF(E207="Vestdanmark",SUMIFS(IF(D207=År1,'Resultater - Vestdanmark'!H$3:H$504,IF(D207=År2,'Resultater - Vestdanmark'!I$3:I$504,'Resultater - Vestdanmark'!J$3:J$504)),'Resultater - Vestdanmark'!$F$3:$F$504,$A207,IF(D207=År1,'Resultater - Vestdanmark'!H$3:H$504,IF(D207=År2,'Resultater - Vestdanmark'!I$3:I$504,'Resultater - Vestdanmark'!J$3:J$504)),"&gt;0"),SUMIFS(IF(D207=År1,'Resultater - Østdanmark'!H$3:H$504,IF(D207=År2,'Resultater - Østdanmark'!I$3:I$504,'Resultater - Østdanmark'!J$3:J$504)),'Resultater - Østdanmark'!$F$3:$F$504,$A207,IF(D207=År1,'Resultater - Østdanmark'!H$3:H$504,IF(D207=År2,'Resultater - Østdanmark'!I$3:I$504,'Resultater - Østdanmark'!J$3:J$504)),"&gt;0"))</f>
        <v>0</v>
      </c>
      <c r="G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forbrug'!G$2,'Forbrug af biomasse'!$B$2:$B$425,$E207)</f>
        <v>0</v>
      </c>
      <c r="H207" s="187">
        <f>IF(E207="Vestdanmark",-IF(A207="Halm",SUMIFS(IF(D207=År1,'Resultater - Vestdanmark'!H$3:H$504,IF(D207=År2,'Resultater - Vestdanmark'!I$3:I$504,'Resultater - Vestdanmark'!J$3:J$504)),'Resultater - Vestdanmark'!$F$3:$F$504,$A207,'Resultater - Vestdanmark'!H$3:H$504,"&lt;0"),0),-IF(A207="Halm",SUMIFS(IF(D207=År1,'Resultater - Østdanmark'!H$3:H$504,IF(D207=År2,'Resultater - Østdanmark'!I$3:I$504,'Resultater - Østdanmark'!J$3:J$504)),'Resultater - Østdanmark'!$F$3:$F$504,$A207,'Resultater - Østdanmark'!H$3:H$504,"&lt;0"),0))</f>
        <v>0</v>
      </c>
      <c r="I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forbrug'!I$2,'Forbrug af biomasse'!$B$2:$B$425,$E207)</f>
        <v>0</v>
      </c>
      <c r="J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forbrug'!J$2,'Forbrug af biomasse'!$B$2:$B$425,$E207)</f>
        <v>28548.400000000001</v>
      </c>
      <c r="K207" s="190">
        <f>SUMIFS('Forbrug af biomasse'!$E$2:$E$425,'Forbrug af biomasse'!$C$2:$C$425,'Resultat-Produktion &amp; forbrug'!$A207,'Forbrug af biomasse'!$D$2:$D$425,'Resultat-Produktion &amp; forbrug'!$D207,'Forbrug af biomasse'!$A$2:$A$425,'Resultat-Produktion &amp; forbrug'!K$2,'Forbrug af biomasse'!$B$2:$B$425,$E207)</f>
        <v>0</v>
      </c>
      <c r="L207" s="190">
        <f>IF(A207&lt;&gt;"Biogas",SUMIFS('Forbrug af biomasse'!$E$2:$E$425,'Forbrug af biomasse'!$C$2:$C$425,'Resultat-Produktion &amp; forbrug'!$A207,'Forbrug af biomasse'!$D$2:$D$425,'Resultat-Produktion &amp; forbrug'!$D207,'Forbrug af biomasse'!$A$2:$A$425,'Resultat-Produktion &amp; forbrug'!L$2,'Forbrug af biomasse'!$B$2:$B$425,$E207),F207)</f>
        <v>0</v>
      </c>
      <c r="M207" s="154">
        <f>SUMIFS('Forbrug af biomasse'!E:E,'Forbrug af biomasse'!C:C,'Resultat-Produktion &amp; forbrug'!$A207,'Forbrug af biomasse'!D:D,'Resultat-Produktion &amp; forbrug'!$D207,'Forbrug af biomasse'!G:G,1,'Forbrug af biomasse'!B:B,$E207)</f>
        <v>0</v>
      </c>
      <c r="N207" s="199">
        <f t="shared" si="48"/>
        <v>-28548.400000000001</v>
      </c>
      <c r="O207" s="190">
        <f t="shared" si="59"/>
        <v>0</v>
      </c>
      <c r="P207" s="200">
        <f t="shared" si="49"/>
        <v>28548.400000000001</v>
      </c>
      <c r="Q207" s="187">
        <f>IFERROR(VLOOKUP(A207,[1]Energiindhold!$A$2:$C$11,3,FALSE),IFERROR(VLOOKUP(A207,[1]Biogasudbytte!$A$2:$B$18,2,FALSE)*[1]Energiindhold!$C$10,0))*O207</f>
        <v>0</v>
      </c>
      <c r="R207" s="187">
        <f>IF(A207&lt;&gt;"Biogas",IFERROR(VLOOKUP(A207,[1]Biogasudbytte!$A$2:$B$18,2,FALSE)*[1]Energiindhold!$C$10,0)*J207*IFERROR(VLOOKUP(A207,Biogasanlæg!$F$3:$G$8,2,FALSE),1)+IFERROR(VLOOKUP(A207,[1]Energiindhold!$A$2:$C$11,3,FALSE),0)*L207+IF(D207&lt;&gt;År1,Q207,0),0)</f>
        <v>0.43389639740160008</v>
      </c>
      <c r="S207" s="187">
        <f>IFERROR(VLOOKUP(A207,[1]Biogasudbytte!$A$2:$B$18,2,FALSE)*[1]Energiindhold!$C$10,0)*J207*IFERROR(VLOOKUP(A207,Biogasanlæg!$F$3:$G$8,2,FALSE),1)</f>
        <v>0.43389639740160008</v>
      </c>
      <c r="T207" s="188">
        <f t="shared" si="50"/>
        <v>0</v>
      </c>
      <c r="U207" s="186">
        <f>O207*IFERROR(VLOOKUP(A207,[1]Tørstofindhold!A$2:B$24,2,FALSE),0)</f>
        <v>0</v>
      </c>
      <c r="V207" s="187">
        <f>IF(D207=År1,P207,SUM(O207,P207))*IFERROR(VLOOKUP(A207,[1]Tørstofindhold!A$2:B$24,2,FALSE),0)</f>
        <v>25693.56</v>
      </c>
      <c r="W207" s="187">
        <f>J207*IFERROR(VLOOKUP(A207,[1]Tørstofindhold!A$2:B$24,2,FALSE),0)</f>
        <v>25693.56</v>
      </c>
      <c r="X207" s="188">
        <f t="shared" si="51"/>
        <v>0</v>
      </c>
      <c r="Y207" s="168">
        <f t="shared" si="60"/>
        <v>1</v>
      </c>
      <c r="Z207" s="103">
        <f t="shared" si="61"/>
        <v>0</v>
      </c>
    </row>
    <row r="208" spans="1:26" x14ac:dyDescent="0.25">
      <c r="A208" s="189" t="str">
        <f t="shared" si="56"/>
        <v>Græs</v>
      </c>
      <c r="B208" s="189" t="str">
        <f t="shared" si="57"/>
        <v>Græs og urter</v>
      </c>
      <c r="C208" s="189">
        <f>IF(COUNTIFS('Resultater - Danmark'!$D$3:$D$504,'Resultat-Produktion &amp; forbrug'!A208,'Resultater - Danmark'!$A$3:$A$504,"Til energi")+COUNTIFS('Resultater - Danmark'!$D$3:$D$504,'Resultat-Produktion &amp; forbrug'!A208,'Resultater - Danmark'!$A$3:$A$504,"Biogasanlæg")&gt;0,1,0)</f>
        <v>1</v>
      </c>
      <c r="D208" s="189">
        <f t="shared" si="58"/>
        <v>2030</v>
      </c>
      <c r="E208" s="187" t="s">
        <v>24</v>
      </c>
      <c r="F208" s="190">
        <f>IF(E208="Vestdanmark",SUMIFS(IF(D208=År1,'Resultater - Vestdanmark'!H$3:H$504,IF(D208=År2,'Resultater - Vestdanmark'!I$3:I$504,'Resultater - Vestdanmark'!J$3:J$504)),'Resultater - Vestdanmark'!$F$3:$F$504,$A208,IF(D208=År1,'Resultater - Vestdanmark'!H$3:H$504,IF(D208=År2,'Resultater - Vestdanmark'!I$3:I$504,'Resultater - Vestdanmark'!J$3:J$504)),"&gt;0"),SUMIFS(IF(D208=År1,'Resultater - Østdanmark'!H$3:H$504,IF(D208=År2,'Resultater - Østdanmark'!I$3:I$504,'Resultater - Østdanmark'!J$3:J$504)),'Resultater - Østdanmark'!$F$3:$F$504,$A208,IF(D208=År1,'Resultater - Østdanmark'!H$3:H$504,IF(D208=År2,'Resultater - Østdanmark'!I$3:I$504,'Resultater - Østdanmark'!J$3:J$504)),"&gt;0"))</f>
        <v>2253848.7282700147</v>
      </c>
      <c r="G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forbrug'!G$2,'Forbrug af biomasse'!$B$2:$B$425,$E208)</f>
        <v>1802481.6912140569</v>
      </c>
      <c r="H208" s="187">
        <f>IF(E208="Vestdanmark",-IF(A208="Halm",SUMIFS(IF(D208=År1,'Resultater - Vestdanmark'!H$3:H$504,IF(D208=År2,'Resultater - Vestdanmark'!I$3:I$504,'Resultater - Vestdanmark'!J$3:J$504)),'Resultater - Vestdanmark'!$F$3:$F$504,$A208,'Resultater - Vestdanmark'!H$3:H$504,"&lt;0"),0),-IF(A208="Halm",SUMIFS(IF(D208=År1,'Resultater - Østdanmark'!H$3:H$504,IF(D208=År2,'Resultater - Østdanmark'!I$3:I$504,'Resultater - Østdanmark'!J$3:J$504)),'Resultater - Østdanmark'!$F$3:$F$504,$A208,'Resultater - Østdanmark'!H$3:H$504,"&lt;0"),0))</f>
        <v>0</v>
      </c>
      <c r="I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forbrug'!I$2,'Forbrug af biomasse'!$B$2:$B$425,$E208)</f>
        <v>0</v>
      </c>
      <c r="J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forbrug'!J$2,'Forbrug af biomasse'!$B$2:$B$425,$E208)</f>
        <v>10365.657989973257</v>
      </c>
      <c r="K208" s="190">
        <f>SUMIFS('Forbrug af biomasse'!$E$2:$E$425,'Forbrug af biomasse'!$C$2:$C$425,'Resultat-Produktion &amp; forbrug'!$A208,'Forbrug af biomasse'!$D$2:$D$425,'Resultat-Produktion &amp; forbrug'!$D208,'Forbrug af biomasse'!$A$2:$A$425,'Resultat-Produktion &amp; forbrug'!K$2,'Forbrug af biomasse'!$B$2:$B$425,$E208)</f>
        <v>0</v>
      </c>
      <c r="L208" s="190">
        <f>IF(A208&lt;&gt;"Biogas",SUMIFS('Forbrug af biomasse'!$E$2:$E$425,'Forbrug af biomasse'!$C$2:$C$425,'Resultat-Produktion &amp; forbrug'!$A208,'Forbrug af biomasse'!$D$2:$D$425,'Resultat-Produktion &amp; forbrug'!$D208,'Forbrug af biomasse'!$A$2:$A$425,'Resultat-Produktion &amp; forbrug'!L$2,'Forbrug af biomasse'!$B$2:$B$425,$E208),F208)</f>
        <v>0</v>
      </c>
      <c r="M208" s="154">
        <f>SUMIFS('Forbrug af biomasse'!E:E,'Forbrug af biomasse'!C:C,'Resultat-Produktion &amp; forbrug'!$A208,'Forbrug af biomasse'!D:D,'Resultat-Produktion &amp; forbrug'!$D208,'Forbrug af biomasse'!G:G,1,'Forbrug af biomasse'!B:B,$E208)</f>
        <v>0</v>
      </c>
      <c r="N208" s="199">
        <f t="shared" si="48"/>
        <v>441001.37906598463</v>
      </c>
      <c r="O208" s="190">
        <f t="shared" si="59"/>
        <v>441001.37906598463</v>
      </c>
      <c r="P208" s="200">
        <f t="shared" si="49"/>
        <v>10365.657989973257</v>
      </c>
      <c r="Q208" s="187">
        <f>IFERROR(VLOOKUP(A208,[1]Energiindhold!$A$2:$C$11,3,FALSE),IFERROR(VLOOKUP(A208,[1]Biogasudbytte!$A$2:$B$18,2,FALSE)*[1]Energiindhold!$C$10,0))*O208</f>
        <v>0.81138741230902856</v>
      </c>
      <c r="R208" s="187">
        <f>IF(A208&lt;&gt;"Biogas",IFERROR(VLOOKUP(A208,[1]Biogasudbytte!$A$2:$B$18,2,FALSE)*[1]Energiindhold!$C$10,0)*J208*IFERROR(VLOOKUP(A208,Biogasanlæg!$F$3:$G$8,2,FALSE),1)+IFERROR(VLOOKUP(A208,[1]Energiindhold!$A$2:$C$11,3,FALSE),0)*L208+IF(D208&lt;&gt;År1,Q208,0),0)</f>
        <v>0.8304589273033306</v>
      </c>
      <c r="S208" s="187">
        <f>IFERROR(VLOOKUP(A208,[1]Biogasudbytte!$A$2:$B$18,2,FALSE)*[1]Energiindhold!$C$10,0)*J208*IFERROR(VLOOKUP(A208,Biogasanlæg!$F$3:$G$8,2,FALSE),1)</f>
        <v>1.9071514994302048E-2</v>
      </c>
      <c r="T208" s="188">
        <f t="shared" si="50"/>
        <v>0.81138741230902856</v>
      </c>
      <c r="U208" s="186">
        <f>O208*IFERROR(VLOOKUP(A208,[1]Tørstofindhold!A$2:B$24,2,FALSE),0)</f>
        <v>123480.3861384757</v>
      </c>
      <c r="V208" s="187">
        <f>IF(D208=År1,P208,SUM(O208,P208))*IFERROR(VLOOKUP(A208,[1]Tørstofindhold!A$2:B$24,2,FALSE),0)</f>
        <v>126382.77037566822</v>
      </c>
      <c r="W208" s="187">
        <f>J208*IFERROR(VLOOKUP(A208,[1]Tørstofindhold!A$2:B$24,2,FALSE),0)</f>
        <v>2902.384237192512</v>
      </c>
      <c r="X208" s="188">
        <f t="shared" si="51"/>
        <v>123480.3861384757</v>
      </c>
      <c r="Y208" s="168">
        <f t="shared" si="60"/>
        <v>0</v>
      </c>
      <c r="Z208" s="103">
        <f t="shared" si="61"/>
        <v>1</v>
      </c>
    </row>
    <row r="209" spans="1:26" x14ac:dyDescent="0.25">
      <c r="A209" s="189" t="str">
        <f t="shared" si="56"/>
        <v>Græsprotein</v>
      </c>
      <c r="B209" s="189" t="str">
        <f t="shared" si="57"/>
        <v/>
      </c>
      <c r="C209" s="189">
        <f>IF(COUNTIFS('Resultater - Danmark'!$D$3:$D$504,'Resultat-Produktion &amp; forbrug'!A209,'Resultater - Danmark'!$A$3:$A$504,"Til energi")+COUNTIFS('Resultater - Danmark'!$D$3:$D$504,'Resultat-Produktion &amp; forbrug'!A209,'Resultater - Danmark'!$A$3:$A$504,"Biogasanlæg")&gt;0,1,0)</f>
        <v>0</v>
      </c>
      <c r="D209" s="189">
        <f t="shared" si="58"/>
        <v>2030</v>
      </c>
      <c r="E209" s="187" t="s">
        <v>24</v>
      </c>
      <c r="F209" s="190">
        <f>IF(E209="Vestdanmark",SUMIFS(IF(D209=År1,'Resultater - Vestdanmark'!H$3:H$504,IF(D209=År2,'Resultater - Vestdanmark'!I$3:I$504,'Resultater - Vestdanmark'!J$3:J$504)),'Resultater - Vestdanmark'!$F$3:$F$504,$A209,IF(D209=År1,'Resultater - Vestdanmark'!H$3:H$504,IF(D209=År2,'Resultater - Vestdanmark'!I$3:I$504,'Resultater - Vestdanmark'!J$3:J$504)),"&gt;0"),SUMIFS(IF(D209=År1,'Resultater - Østdanmark'!H$3:H$504,IF(D209=År2,'Resultater - Østdanmark'!I$3:I$504,'Resultater - Østdanmark'!J$3:J$504)),'Resultater - Østdanmark'!$F$3:$F$504,$A209,IF(D209=År1,'Resultater - Østdanmark'!H$3:H$504,IF(D209=År2,'Resultater - Østdanmark'!I$3:I$504,'Resultater - Østdanmark'!J$3:J$504)),"&gt;0"))</f>
        <v>0</v>
      </c>
      <c r="G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forbrug'!G$2,'Forbrug af biomasse'!$B$2:$B$425,$E209)</f>
        <v>0</v>
      </c>
      <c r="H209" s="187">
        <f>IF(E209="Vestdanmark",-IF(A209="Halm",SUMIFS(IF(D209=År1,'Resultater - Vestdanmark'!H$3:H$504,IF(D209=År2,'Resultater - Vestdanmark'!I$3:I$504,'Resultater - Vestdanmark'!J$3:J$504)),'Resultater - Vestdanmark'!$F$3:$F$504,$A209,'Resultater - Vestdanmark'!H$3:H$504,"&lt;0"),0),-IF(A209="Halm",SUMIFS(IF(D209=År1,'Resultater - Østdanmark'!H$3:H$504,IF(D209=År2,'Resultater - Østdanmark'!I$3:I$504,'Resultater - Østdanmark'!J$3:J$504)),'Resultater - Østdanmark'!$F$3:$F$504,$A209,'Resultater - Østdanmark'!H$3:H$504,"&lt;0"),0))</f>
        <v>0</v>
      </c>
      <c r="I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forbrug'!I$2,'Forbrug af biomasse'!$B$2:$B$425,$E209)</f>
        <v>0</v>
      </c>
      <c r="J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forbrug'!J$2,'Forbrug af biomasse'!$B$2:$B$425,$E209)</f>
        <v>0</v>
      </c>
      <c r="K209" s="190">
        <f>SUMIFS('Forbrug af biomasse'!$E$2:$E$425,'Forbrug af biomasse'!$C$2:$C$425,'Resultat-Produktion &amp; forbrug'!$A209,'Forbrug af biomasse'!$D$2:$D$425,'Resultat-Produktion &amp; forbrug'!$D209,'Forbrug af biomasse'!$A$2:$A$425,'Resultat-Produktion &amp; forbrug'!K$2,'Forbrug af biomasse'!$B$2:$B$425,$E209)</f>
        <v>0</v>
      </c>
      <c r="L209" s="190">
        <f>IF(A209&lt;&gt;"Biogas",SUMIFS('Forbrug af biomasse'!$E$2:$E$425,'Forbrug af biomasse'!$C$2:$C$425,'Resultat-Produktion &amp; forbrug'!$A209,'Forbrug af biomasse'!$D$2:$D$425,'Resultat-Produktion &amp; forbrug'!$D209,'Forbrug af biomasse'!$A$2:$A$425,'Resultat-Produktion &amp; forbrug'!L$2,'Forbrug af biomasse'!$B$2:$B$425,$E209),F209)</f>
        <v>0</v>
      </c>
      <c r="M209" s="154">
        <f>SUMIFS('Forbrug af biomasse'!E:E,'Forbrug af biomasse'!C:C,'Resultat-Produktion &amp; forbrug'!$A209,'Forbrug af biomasse'!D:D,'Resultat-Produktion &amp; forbrug'!$D209,'Forbrug af biomasse'!G:G,1,'Forbrug af biomasse'!B:B,$E209)</f>
        <v>0</v>
      </c>
      <c r="N209" s="199">
        <f t="shared" si="48"/>
        <v>0</v>
      </c>
      <c r="O209" s="190">
        <f t="shared" si="59"/>
        <v>0</v>
      </c>
      <c r="P209" s="200">
        <f t="shared" si="49"/>
        <v>0</v>
      </c>
      <c r="Q209" s="187">
        <f>IFERROR(VLOOKUP(A209,[1]Energiindhold!$A$2:$C$11,3,FALSE),IFERROR(VLOOKUP(A209,[1]Biogasudbytte!$A$2:$B$18,2,FALSE)*[1]Energiindhold!$C$10,0))*O209</f>
        <v>0</v>
      </c>
      <c r="R209" s="187">
        <f>IF(A209&lt;&gt;"Biogas",IFERROR(VLOOKUP(A209,[1]Biogasudbytte!$A$2:$B$18,2,FALSE)*[1]Energiindhold!$C$10,0)*J209*IFERROR(VLOOKUP(A209,Biogasanlæg!$F$3:$G$8,2,FALSE),1)+IFERROR(VLOOKUP(A209,[1]Energiindhold!$A$2:$C$11,3,FALSE),0)*L209+IF(D209&lt;&gt;År1,Q209,0),0)</f>
        <v>0</v>
      </c>
      <c r="S209" s="187">
        <f>IFERROR(VLOOKUP(A209,[1]Biogasudbytte!$A$2:$B$18,2,FALSE)*[1]Energiindhold!$C$10,0)*J209*IFERROR(VLOOKUP(A209,Biogasanlæg!$F$3:$G$8,2,FALSE),1)</f>
        <v>0</v>
      </c>
      <c r="T209" s="188">
        <f t="shared" si="50"/>
        <v>0</v>
      </c>
      <c r="U209" s="186">
        <f>O209*IFERROR(VLOOKUP(A209,[1]Tørstofindhold!A$2:B$24,2,FALSE),0)</f>
        <v>0</v>
      </c>
      <c r="V209" s="187">
        <f>IF(D209=År1,P209,SUM(O209,P209))*IFERROR(VLOOKUP(A209,[1]Tørstofindhold!A$2:B$24,2,FALSE),0)</f>
        <v>0</v>
      </c>
      <c r="W209" s="187">
        <f>J209*IFERROR(VLOOKUP(A209,[1]Tørstofindhold!A$2:B$24,2,FALSE),0)</f>
        <v>0</v>
      </c>
      <c r="X209" s="188">
        <f t="shared" si="51"/>
        <v>0</v>
      </c>
      <c r="Y209" s="168">
        <f t="shared" si="60"/>
        <v>0</v>
      </c>
      <c r="Z209" s="103">
        <f t="shared" si="61"/>
        <v>0</v>
      </c>
    </row>
    <row r="210" spans="1:26" x14ac:dyDescent="0.25">
      <c r="A210" s="189" t="str">
        <f t="shared" si="56"/>
        <v>Grøntsager</v>
      </c>
      <c r="B210" s="189" t="str">
        <f t="shared" si="57"/>
        <v/>
      </c>
      <c r="C210" s="189">
        <f>IF(COUNTIFS('Resultater - Danmark'!$D$3:$D$504,'Resultat-Produktion &amp; forbrug'!A210,'Resultater - Danmark'!$A$3:$A$504,"Til energi")+COUNTIFS('Resultater - Danmark'!$D$3:$D$504,'Resultat-Produktion &amp; forbrug'!A210,'Resultater - Danmark'!$A$3:$A$504,"Biogasanlæg")&gt;0,1,0)</f>
        <v>0</v>
      </c>
      <c r="D210" s="189">
        <f t="shared" si="58"/>
        <v>2030</v>
      </c>
      <c r="E210" s="187" t="s">
        <v>24</v>
      </c>
      <c r="F210" s="190">
        <f>IF(E210="Vestdanmark",SUMIFS(IF(D210=År1,'Resultater - Vestdanmark'!H$3:H$504,IF(D210=År2,'Resultater - Vestdanmark'!I$3:I$504,'Resultater - Vestdanmark'!J$3:J$504)),'Resultater - Vestdanmark'!$F$3:$F$504,$A210,IF(D210=År1,'Resultater - Vestdanmark'!H$3:H$504,IF(D210=År2,'Resultater - Vestdanmark'!I$3:I$504,'Resultater - Vestdanmark'!J$3:J$504)),"&gt;0"),SUMIFS(IF(D210=År1,'Resultater - Østdanmark'!H$3:H$504,IF(D210=År2,'Resultater - Østdanmark'!I$3:I$504,'Resultater - Østdanmark'!J$3:J$504)),'Resultater - Østdanmark'!$F$3:$F$504,$A210,IF(D210=År1,'Resultater - Østdanmark'!H$3:H$504,IF(D210=År2,'Resultater - Østdanmark'!I$3:I$504,'Resultater - Østdanmark'!J$3:J$504)),"&gt;0"))</f>
        <v>99860.697208716942</v>
      </c>
      <c r="G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forbrug'!G$2,'Forbrug af biomasse'!$B$2:$B$425,$E210)</f>
        <v>0</v>
      </c>
      <c r="H210" s="187">
        <f>IF(E210="Vestdanmark",-IF(A210="Halm",SUMIFS(IF(D210=År1,'Resultater - Vestdanmark'!H$3:H$504,IF(D210=År2,'Resultater - Vestdanmark'!I$3:I$504,'Resultater - Vestdanmark'!J$3:J$504)),'Resultater - Vestdanmark'!$F$3:$F$504,$A210,'Resultater - Vestdanmark'!H$3:H$504,"&lt;0"),0),-IF(A210="Halm",SUMIFS(IF(D210=År1,'Resultater - Østdanmark'!H$3:H$504,IF(D210=År2,'Resultater - Østdanmark'!I$3:I$504,'Resultater - Østdanmark'!J$3:J$504)),'Resultater - Østdanmark'!$F$3:$F$504,$A210,'Resultater - Østdanmark'!H$3:H$504,"&lt;0"),0))</f>
        <v>0</v>
      </c>
      <c r="I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forbrug'!I$2,'Forbrug af biomasse'!$B$2:$B$425,$E210)</f>
        <v>233902.44520004498</v>
      </c>
      <c r="J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forbrug'!J$2,'Forbrug af biomasse'!$B$2:$B$425,$E210)</f>
        <v>0</v>
      </c>
      <c r="K210" s="190">
        <f>SUMIFS('Forbrug af biomasse'!$E$2:$E$425,'Forbrug af biomasse'!$C$2:$C$425,'Resultat-Produktion &amp; forbrug'!$A210,'Forbrug af biomasse'!$D$2:$D$425,'Resultat-Produktion &amp; forbrug'!$D210,'Forbrug af biomasse'!$A$2:$A$425,'Resultat-Produktion &amp; forbrug'!K$2,'Forbrug af biomasse'!$B$2:$B$425,$E210)</f>
        <v>0</v>
      </c>
      <c r="L210" s="190">
        <f>IF(A210&lt;&gt;"Biogas",SUMIFS('Forbrug af biomasse'!$E$2:$E$425,'Forbrug af biomasse'!$C$2:$C$425,'Resultat-Produktion &amp; forbrug'!$A210,'Forbrug af biomasse'!$D$2:$D$425,'Resultat-Produktion &amp; forbrug'!$D210,'Forbrug af biomasse'!$A$2:$A$425,'Resultat-Produktion &amp; forbrug'!L$2,'Forbrug af biomasse'!$B$2:$B$425,$E210),F210)</f>
        <v>0</v>
      </c>
      <c r="M210" s="154">
        <f>SUMIFS('Forbrug af biomasse'!E:E,'Forbrug af biomasse'!C:C,'Resultat-Produktion &amp; forbrug'!$A210,'Forbrug af biomasse'!D:D,'Resultat-Produktion &amp; forbrug'!$D210,'Forbrug af biomasse'!G:G,1,'Forbrug af biomasse'!B:B,$E210)</f>
        <v>0</v>
      </c>
      <c r="N210" s="199">
        <f t="shared" si="48"/>
        <v>-134041.74799132804</v>
      </c>
      <c r="O210" s="190">
        <f t="shared" si="59"/>
        <v>0</v>
      </c>
      <c r="P210" s="200">
        <f t="shared" si="49"/>
        <v>0</v>
      </c>
      <c r="Q210" s="187">
        <f>IFERROR(VLOOKUP(A210,[1]Energiindhold!$A$2:$C$11,3,FALSE),IFERROR(VLOOKUP(A210,[1]Biogasudbytte!$A$2:$B$18,2,FALSE)*[1]Energiindhold!$C$10,0))*O210</f>
        <v>0</v>
      </c>
      <c r="R210" s="187">
        <f>IF(A210&lt;&gt;"Biogas",IFERROR(VLOOKUP(A210,[1]Biogasudbytte!$A$2:$B$18,2,FALSE)*[1]Energiindhold!$C$10,0)*J210*IFERROR(VLOOKUP(A210,Biogasanlæg!$F$3:$G$8,2,FALSE),1)+IFERROR(VLOOKUP(A210,[1]Energiindhold!$A$2:$C$11,3,FALSE),0)*L210+IF(D210&lt;&gt;År1,Q210,0),0)</f>
        <v>0</v>
      </c>
      <c r="S210" s="187">
        <f>IFERROR(VLOOKUP(A210,[1]Biogasudbytte!$A$2:$B$18,2,FALSE)*[1]Energiindhold!$C$10,0)*J210*IFERROR(VLOOKUP(A210,Biogasanlæg!$F$3:$G$8,2,FALSE),1)</f>
        <v>0</v>
      </c>
      <c r="T210" s="188">
        <f t="shared" si="50"/>
        <v>0</v>
      </c>
      <c r="U210" s="186">
        <f>O210*IFERROR(VLOOKUP(A210,[1]Tørstofindhold!A$2:B$24,2,FALSE),0)</f>
        <v>0</v>
      </c>
      <c r="V210" s="187">
        <f>IF(D210=År1,P210,SUM(O210,P210))*IFERROR(VLOOKUP(A210,[1]Tørstofindhold!A$2:B$24,2,FALSE),0)</f>
        <v>0</v>
      </c>
      <c r="W210" s="187">
        <f>J210*IFERROR(VLOOKUP(A210,[1]Tørstofindhold!A$2:B$24,2,FALSE),0)</f>
        <v>0</v>
      </c>
      <c r="X210" s="188">
        <f t="shared" si="51"/>
        <v>0</v>
      </c>
      <c r="Y210" s="168">
        <f t="shared" si="60"/>
        <v>1</v>
      </c>
      <c r="Z210" s="103">
        <f t="shared" si="61"/>
        <v>0</v>
      </c>
    </row>
    <row r="211" spans="1:26" x14ac:dyDescent="0.25">
      <c r="A211" s="189" t="str">
        <f t="shared" si="56"/>
        <v>Halm</v>
      </c>
      <c r="B211" s="189" t="str">
        <f t="shared" si="57"/>
        <v>Halm og strå</v>
      </c>
      <c r="C211" s="189">
        <f>IF(COUNTIFS('Resultater - Danmark'!$D$3:$D$504,'Resultat-Produktion &amp; forbrug'!A211,'Resultater - Danmark'!$A$3:$A$504,"Til energi")+COUNTIFS('Resultater - Danmark'!$D$3:$D$504,'Resultat-Produktion &amp; forbrug'!A211,'Resultater - Danmark'!$A$3:$A$504,"Biogasanlæg")&gt;0,1,0)</f>
        <v>1</v>
      </c>
      <c r="D211" s="189">
        <f t="shared" si="58"/>
        <v>2030</v>
      </c>
      <c r="E211" s="187" t="s">
        <v>24</v>
      </c>
      <c r="F211" s="190">
        <f>IF(E211="Vestdanmark",SUMIFS(IF(D211=År1,'Resultater - Vestdanmark'!H$3:H$504,IF(D211=År2,'Resultater - Vestdanmark'!I$3:I$504,'Resultater - Vestdanmark'!J$3:J$504)),'Resultater - Vestdanmark'!$F$3:$F$504,$A211,IF(D211=År1,'Resultater - Vestdanmark'!H$3:H$504,IF(D211=År2,'Resultater - Vestdanmark'!I$3:I$504,'Resultater - Vestdanmark'!J$3:J$504)),"&gt;0"),SUMIFS(IF(D211=År1,'Resultater - Østdanmark'!H$3:H$504,IF(D211=År2,'Resultater - Østdanmark'!I$3:I$504,'Resultater - Østdanmark'!J$3:J$504)),'Resultater - Østdanmark'!$F$3:$F$504,$A211,IF(D211=År1,'Resultater - Østdanmark'!H$3:H$504,IF(D211=År2,'Resultater - Østdanmark'!I$3:I$504,'Resultater - Østdanmark'!J$3:J$504)),"&gt;0"))</f>
        <v>934395.72639170452</v>
      </c>
      <c r="G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forbrug'!G$2,'Forbrug af biomasse'!$B$2:$B$425,$E211)</f>
        <v>113867.33764129503</v>
      </c>
      <c r="H211" s="187">
        <f>IF(E211="Vestdanmark",-IF(A211="Halm",SUMIFS(IF(D211=År1,'Resultater - Vestdanmark'!H$3:H$504,IF(D211=År2,'Resultater - Vestdanmark'!I$3:I$504,'Resultater - Vestdanmark'!J$3:J$504)),'Resultater - Vestdanmark'!$F$3:$F$504,$A211,'Resultater - Vestdanmark'!H$3:H$504,"&lt;0"),0),-IF(A211="Halm",SUMIFS(IF(D211=År1,'Resultater - Østdanmark'!H$3:H$504,IF(D211=År2,'Resultater - Østdanmark'!I$3:I$504,'Resultater - Østdanmark'!J$3:J$504)),'Resultater - Østdanmark'!$F$3:$F$504,$A211,'Resultater - Østdanmark'!H$3:H$504,"&lt;0"),0))</f>
        <v>124225.03152224726</v>
      </c>
      <c r="I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forbrug'!I$2,'Forbrug af biomasse'!$B$2:$B$425,$E211)</f>
        <v>0</v>
      </c>
      <c r="J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forbrug'!J$2,'Forbrug af biomasse'!$B$2:$B$425,$E211)</f>
        <v>23829.136806804134</v>
      </c>
      <c r="K211" s="190">
        <f>SUMIFS('Forbrug af biomasse'!$E$2:$E$425,'Forbrug af biomasse'!$C$2:$C$425,'Resultat-Produktion &amp; forbrug'!$A211,'Forbrug af biomasse'!$D$2:$D$425,'Resultat-Produktion &amp; forbrug'!$D211,'Forbrug af biomasse'!$A$2:$A$425,'Resultat-Produktion &amp; forbrug'!K$2,'Forbrug af biomasse'!$B$2:$B$425,$E211)</f>
        <v>0</v>
      </c>
      <c r="L211" s="190">
        <f>IF(A211&lt;&gt;"Biogas",SUMIFS('Forbrug af biomasse'!$E$2:$E$425,'Forbrug af biomasse'!$C$2:$C$425,'Resultat-Produktion &amp; forbrug'!$A211,'Forbrug af biomasse'!$D$2:$D$425,'Resultat-Produktion &amp; forbrug'!$D211,'Forbrug af biomasse'!$A$2:$A$425,'Resultat-Produktion &amp; forbrug'!L$2,'Forbrug af biomasse'!$B$2:$B$425,$E211),F211)</f>
        <v>672474.22042135813</v>
      </c>
      <c r="M211" s="154">
        <f>SUMIFS('Forbrug af biomasse'!E:E,'Forbrug af biomasse'!C:C,'Resultat-Produktion &amp; forbrug'!$A211,'Forbrug af biomasse'!D:D,'Resultat-Produktion &amp; forbrug'!$D211,'Forbrug af biomasse'!G:G,1,'Forbrug af biomasse'!B:B,$E211)</f>
        <v>0</v>
      </c>
      <c r="N211" s="199">
        <f t="shared" si="48"/>
        <v>0</v>
      </c>
      <c r="O211" s="190">
        <f t="shared" si="59"/>
        <v>0</v>
      </c>
      <c r="P211" s="200">
        <f t="shared" si="49"/>
        <v>696303.35722816223</v>
      </c>
      <c r="Q211" s="187">
        <f>IFERROR(VLOOKUP(A211,[1]Energiindhold!$A$2:$C$11,3,FALSE),IFERROR(VLOOKUP(A211,[1]Biogasudbytte!$A$2:$B$18,2,FALSE)*[1]Energiindhold!$C$10,0))*O211</f>
        <v>0</v>
      </c>
      <c r="R211" s="187">
        <f>IF(A211&lt;&gt;"Biogas",IFERROR(VLOOKUP(A211,[1]Biogasudbytte!$A$2:$B$18,2,FALSE)*[1]Energiindhold!$C$10,0)*J211*IFERROR(VLOOKUP(A211,Biogasanlæg!$F$3:$G$8,2,FALSE),1)+IFERROR(VLOOKUP(A211,[1]Energiindhold!$A$2:$C$11,3,FALSE),0)*L211+IF(D211&lt;&gt;År1,Q211,0),0)</f>
        <v>7.0879511517606151</v>
      </c>
      <c r="S211" s="187">
        <f>IFERROR(VLOOKUP(A211,[1]Biogasudbytte!$A$2:$B$18,2,FALSE)*[1]Energiindhold!$C$10,0)*J211*IFERROR(VLOOKUP(A211,Biogasanlæg!$F$3:$G$8,2,FALSE),1)</f>
        <v>0.13738784142510152</v>
      </c>
      <c r="T211" s="188">
        <f t="shared" si="50"/>
        <v>6.9505633103355136</v>
      </c>
      <c r="U211" s="186">
        <f>O211*IFERROR(VLOOKUP(A211,[1]Tørstofindhold!A$2:B$24,2,FALSE),0)</f>
        <v>0</v>
      </c>
      <c r="V211" s="187">
        <f>IF(D211=År1,P211,SUM(O211,P211))*IFERROR(VLOOKUP(A211,[1]Tørstofindhold!A$2:B$24,2,FALSE),0)</f>
        <v>591857.85364393785</v>
      </c>
      <c r="W211" s="187">
        <f>J211*IFERROR(VLOOKUP(A211,[1]Tørstofindhold!A$2:B$24,2,FALSE),0)</f>
        <v>20254.766285783513</v>
      </c>
      <c r="X211" s="188">
        <f t="shared" si="51"/>
        <v>571603.08735815436</v>
      </c>
      <c r="Y211" s="168">
        <f t="shared" si="60"/>
        <v>0</v>
      </c>
      <c r="Z211" s="103">
        <f t="shared" si="61"/>
        <v>0</v>
      </c>
    </row>
    <row r="212" spans="1:26" x14ac:dyDescent="0.25">
      <c r="A212" s="189" t="str">
        <f t="shared" si="56"/>
        <v>Have/parkaffald</v>
      </c>
      <c r="B212" s="189" t="str">
        <f t="shared" si="57"/>
        <v>Bionedbrydeligt affald</v>
      </c>
      <c r="C212" s="189">
        <f>IF(COUNTIFS('Resultater - Danmark'!$D$3:$D$504,'Resultat-Produktion &amp; forbrug'!A212,'Resultater - Danmark'!$A$3:$A$504,"Til energi")+COUNTIFS('Resultater - Danmark'!$D$3:$D$504,'Resultat-Produktion &amp; forbrug'!A212,'Resultater - Danmark'!$A$3:$A$504,"Biogasanlæg")&gt;0,1,0)</f>
        <v>1</v>
      </c>
      <c r="D212" s="189">
        <f t="shared" si="58"/>
        <v>2030</v>
      </c>
      <c r="E212" s="187" t="s">
        <v>24</v>
      </c>
      <c r="F212" s="190">
        <f>IF(E212="Vestdanmark",SUMIFS(IF(D212=År1,'Resultater - Vestdanmark'!H$3:H$504,IF(D212=År2,'Resultater - Vestdanmark'!I$3:I$504,'Resultater - Vestdanmark'!J$3:J$504)),'Resultater - Vestdanmark'!$F$3:$F$504,$A212,IF(D212=År1,'Resultater - Vestdanmark'!H$3:H$504,IF(D212=År2,'Resultater - Vestdanmark'!I$3:I$504,'Resultater - Vestdanmark'!J$3:J$504)),"&gt;0"),SUMIFS(IF(D212=År1,'Resultater - Østdanmark'!H$3:H$504,IF(D212=År2,'Resultater - Østdanmark'!I$3:I$504,'Resultater - Østdanmark'!J$3:J$504)),'Resultater - Østdanmark'!$F$3:$F$504,$A212,IF(D212=År1,'Resultater - Østdanmark'!H$3:H$504,IF(D212=År2,'Resultater - Østdanmark'!I$3:I$504,'Resultater - Østdanmark'!J$3:J$504)),"&gt;0"))</f>
        <v>456074.89013160887</v>
      </c>
      <c r="G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forbrug'!G$2,'Forbrug af biomasse'!$B$2:$B$425,$E212)</f>
        <v>0</v>
      </c>
      <c r="H212" s="187">
        <f>IF(E212="Vestdanmark",-IF(A212="Halm",SUMIFS(IF(D212=År1,'Resultater - Vestdanmark'!H$3:H$504,IF(D212=År2,'Resultater - Vestdanmark'!I$3:I$504,'Resultater - Vestdanmark'!J$3:J$504)),'Resultater - Vestdanmark'!$F$3:$F$504,$A212,'Resultater - Vestdanmark'!H$3:H$504,"&lt;0"),0),-IF(A212="Halm",SUMIFS(IF(D212=År1,'Resultater - Østdanmark'!H$3:H$504,IF(D212=År2,'Resultater - Østdanmark'!I$3:I$504,'Resultater - Østdanmark'!J$3:J$504)),'Resultater - Østdanmark'!$F$3:$F$504,$A212,'Resultater - Østdanmark'!H$3:H$504,"&lt;0"),0))</f>
        <v>0</v>
      </c>
      <c r="I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forbrug'!I$2,'Forbrug af biomasse'!$B$2:$B$425,$E212)</f>
        <v>0</v>
      </c>
      <c r="J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forbrug'!J$2,'Forbrug af biomasse'!$B$2:$B$425,$E212)</f>
        <v>36.19608838570413</v>
      </c>
      <c r="K212" s="190">
        <f>SUMIFS('Forbrug af biomasse'!$E$2:$E$425,'Forbrug af biomasse'!$C$2:$C$425,'Resultat-Produktion &amp; forbrug'!$A212,'Forbrug af biomasse'!$D$2:$D$425,'Resultat-Produktion &amp; forbrug'!$D212,'Forbrug af biomasse'!$A$2:$A$425,'Resultat-Produktion &amp; forbrug'!K$2,'Forbrug af biomasse'!$B$2:$B$425,$E212)</f>
        <v>0</v>
      </c>
      <c r="L212" s="190">
        <f>IF(A212&lt;&gt;"Biogas",SUMIFS('Forbrug af biomasse'!$E$2:$E$425,'Forbrug af biomasse'!$C$2:$C$425,'Resultat-Produktion &amp; forbrug'!$A212,'Forbrug af biomasse'!$D$2:$D$425,'Resultat-Produktion &amp; forbrug'!$D212,'Forbrug af biomasse'!$A$2:$A$425,'Resultat-Produktion &amp; forbrug'!L$2,'Forbrug af biomasse'!$B$2:$B$425,$E212),F212)</f>
        <v>456038.69404322316</v>
      </c>
      <c r="M212" s="154">
        <f>SUMIFS('Forbrug af biomasse'!E:E,'Forbrug af biomasse'!C:C,'Resultat-Produktion &amp; forbrug'!$A212,'Forbrug af biomasse'!D:D,'Resultat-Produktion &amp; forbrug'!$D212,'Forbrug af biomasse'!G:G,1,'Forbrug af biomasse'!B:B,$E212)</f>
        <v>0</v>
      </c>
      <c r="N212" s="199">
        <f t="shared" si="48"/>
        <v>0</v>
      </c>
      <c r="O212" s="190">
        <f t="shared" si="59"/>
        <v>0</v>
      </c>
      <c r="P212" s="200">
        <f t="shared" si="49"/>
        <v>456074.89013160887</v>
      </c>
      <c r="Q212" s="187">
        <f>IFERROR(VLOOKUP(A212,[1]Energiindhold!$A$2:$C$11,3,FALSE),IFERROR(VLOOKUP(A212,[1]Biogasudbytte!$A$2:$B$18,2,FALSE)*[1]Energiindhold!$C$10,0))*O212</f>
        <v>0</v>
      </c>
      <c r="R212" s="187">
        <f>IF(A212&lt;&gt;"Biogas",IFERROR(VLOOKUP(A212,[1]Biogasudbytte!$A$2:$B$18,2,FALSE)*[1]Energiindhold!$C$10,0)*J212*IFERROR(VLOOKUP(A212,Biogasanlæg!$F$3:$G$8,2,FALSE),1)+IFERROR(VLOOKUP(A212,[1]Energiindhold!$A$2:$C$11,3,FALSE),0)*L212+IF(D212&lt;&gt;År1,Q212,0),0)</f>
        <v>8.1413647955115209</v>
      </c>
      <c r="S212" s="187">
        <f>IFERROR(VLOOKUP(A212,[1]Biogasudbytte!$A$2:$B$18,2,FALSE)*[1]Energiindhold!$C$10,0)*J212*IFERROR(VLOOKUP(A212,Biogasanlæg!$F$3:$G$8,2,FALSE),1)</f>
        <v>6.1463491805112617E-5</v>
      </c>
      <c r="T212" s="188">
        <f t="shared" si="50"/>
        <v>8.1413033320197155</v>
      </c>
      <c r="U212" s="186">
        <f>O212*IFERROR(VLOOKUP(A212,[1]Tørstofindhold!A$2:B$24,2,FALSE),0)</f>
        <v>0</v>
      </c>
      <c r="V212" s="187">
        <f>IF(D212=År1,P212,SUM(O212,P212))*IFERROR(VLOOKUP(A212,[1]Tørstofindhold!A$2:B$24,2,FALSE),0)</f>
        <v>136822.46703948267</v>
      </c>
      <c r="W212" s="187">
        <f>J212*IFERROR(VLOOKUP(A212,[1]Tørstofindhold!A$2:B$24,2,FALSE),0)</f>
        <v>10.858826515711238</v>
      </c>
      <c r="X212" s="188">
        <f t="shared" si="51"/>
        <v>136811.60821296697</v>
      </c>
      <c r="Y212" s="168">
        <f t="shared" si="60"/>
        <v>0</v>
      </c>
      <c r="Z212" s="103">
        <f t="shared" si="61"/>
        <v>0</v>
      </c>
    </row>
    <row r="213" spans="1:26" x14ac:dyDescent="0.25">
      <c r="A213" s="189" t="str">
        <f t="shared" si="56"/>
        <v>Import af foder</v>
      </c>
      <c r="B213" s="189" t="str">
        <f t="shared" si="57"/>
        <v/>
      </c>
      <c r="C213" s="189">
        <f>IF(COUNTIFS('Resultater - Danmark'!$D$3:$D$504,'Resultat-Produktion &amp; forbrug'!A213,'Resultater - Danmark'!$A$3:$A$504,"Til energi")+COUNTIFS('Resultater - Danmark'!$D$3:$D$504,'Resultat-Produktion &amp; forbrug'!A213,'Resultater - Danmark'!$A$3:$A$504,"Biogasanlæg")&gt;0,1,0)</f>
        <v>0</v>
      </c>
      <c r="D213" s="189">
        <f t="shared" si="58"/>
        <v>2030</v>
      </c>
      <c r="E213" s="187" t="s">
        <v>24</v>
      </c>
      <c r="F213" s="190">
        <f>IF(E213="Vestdanmark",SUMIFS(IF(D213=År1,'Resultater - Vestdanmark'!H$3:H$504,IF(D213=År2,'Resultater - Vestdanmark'!I$3:I$504,'Resultater - Vestdanmark'!J$3:J$504)),'Resultater - Vestdanmark'!$F$3:$F$504,$A213,IF(D213=År1,'Resultater - Vestdanmark'!H$3:H$504,IF(D213=År2,'Resultater - Vestdanmark'!I$3:I$504,'Resultater - Vestdanmark'!J$3:J$504)),"&gt;0"),SUMIFS(IF(D213=År1,'Resultater - Østdanmark'!H$3:H$504,IF(D213=År2,'Resultater - Østdanmark'!I$3:I$504,'Resultater - Østdanmark'!J$3:J$504)),'Resultater - Østdanmark'!$F$3:$F$504,$A213,IF(D213=År1,'Resultater - Østdanmark'!H$3:H$504,IF(D213=År2,'Resultater - Østdanmark'!I$3:I$504,'Resultater - Østdanmark'!J$3:J$504)),"&gt;0"))</f>
        <v>0</v>
      </c>
      <c r="G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forbrug'!G$2,'Forbrug af biomasse'!$B$2:$B$425,$E213)</f>
        <v>711176.07171098527</v>
      </c>
      <c r="H213" s="187">
        <f>IF(E213="Vestdanmark",-IF(A213="Halm",SUMIFS(IF(D213=År1,'Resultater - Vestdanmark'!H$3:H$504,IF(D213=År2,'Resultater - Vestdanmark'!I$3:I$504,'Resultater - Vestdanmark'!J$3:J$504)),'Resultater - Vestdanmark'!$F$3:$F$504,$A213,'Resultater - Vestdanmark'!H$3:H$504,"&lt;0"),0),-IF(A213="Halm",SUMIFS(IF(D213=År1,'Resultater - Østdanmark'!H$3:H$504,IF(D213=År2,'Resultater - Østdanmark'!I$3:I$504,'Resultater - Østdanmark'!J$3:J$504)),'Resultater - Østdanmark'!$F$3:$F$504,$A213,'Resultater - Østdanmark'!H$3:H$504,"&lt;0"),0))</f>
        <v>0</v>
      </c>
      <c r="I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forbrug'!I$2,'Forbrug af biomasse'!$B$2:$B$425,$E213)</f>
        <v>0</v>
      </c>
      <c r="J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forbrug'!J$2,'Forbrug af biomasse'!$B$2:$B$425,$E213)</f>
        <v>0</v>
      </c>
      <c r="K213" s="190">
        <f>SUMIFS('Forbrug af biomasse'!$E$2:$E$425,'Forbrug af biomasse'!$C$2:$C$425,'Resultat-Produktion &amp; forbrug'!$A213,'Forbrug af biomasse'!$D$2:$D$425,'Resultat-Produktion &amp; forbrug'!$D213,'Forbrug af biomasse'!$A$2:$A$425,'Resultat-Produktion &amp; forbrug'!K$2,'Forbrug af biomasse'!$B$2:$B$425,$E213)</f>
        <v>0</v>
      </c>
      <c r="L213" s="190">
        <f>IF(A213&lt;&gt;"Biogas",SUMIFS('Forbrug af biomasse'!$E$2:$E$425,'Forbrug af biomasse'!$C$2:$C$425,'Resultat-Produktion &amp; forbrug'!$A213,'Forbrug af biomasse'!$D$2:$D$425,'Resultat-Produktion &amp; forbrug'!$D213,'Forbrug af biomasse'!$A$2:$A$425,'Resultat-Produktion &amp; forbrug'!L$2,'Forbrug af biomasse'!$B$2:$B$425,$E213),F213)</f>
        <v>0</v>
      </c>
      <c r="M213" s="154">
        <f>SUMIFS('Forbrug af biomasse'!E:E,'Forbrug af biomasse'!C:C,'Resultat-Produktion &amp; forbrug'!$A213,'Forbrug af biomasse'!D:D,'Resultat-Produktion &amp; forbrug'!$D213,'Forbrug af biomasse'!G:G,1,'Forbrug af biomasse'!B:B,$E213)</f>
        <v>0</v>
      </c>
      <c r="N213" s="199">
        <f t="shared" si="48"/>
        <v>-711176.07171098527</v>
      </c>
      <c r="O213" s="190">
        <f t="shared" si="59"/>
        <v>0</v>
      </c>
      <c r="P213" s="200">
        <f t="shared" si="49"/>
        <v>0</v>
      </c>
      <c r="Q213" s="187">
        <f>IFERROR(VLOOKUP(A213,[1]Energiindhold!$A$2:$C$11,3,FALSE),IFERROR(VLOOKUP(A213,[1]Biogasudbytte!$A$2:$B$18,2,FALSE)*[1]Energiindhold!$C$10,0))*O213</f>
        <v>0</v>
      </c>
      <c r="R213" s="187">
        <f>IF(A213&lt;&gt;"Biogas",IFERROR(VLOOKUP(A213,[1]Biogasudbytte!$A$2:$B$18,2,FALSE)*[1]Energiindhold!$C$10,0)*J213*IFERROR(VLOOKUP(A213,Biogasanlæg!$F$3:$G$8,2,FALSE),1)+IFERROR(VLOOKUP(A213,[1]Energiindhold!$A$2:$C$11,3,FALSE),0)*L213+IF(D213&lt;&gt;År1,Q213,0),0)</f>
        <v>0</v>
      </c>
      <c r="S213" s="187">
        <f>IFERROR(VLOOKUP(A213,[1]Biogasudbytte!$A$2:$B$18,2,FALSE)*[1]Energiindhold!$C$10,0)*J213*IFERROR(VLOOKUP(A213,Biogasanlæg!$F$3:$G$8,2,FALSE),1)</f>
        <v>0</v>
      </c>
      <c r="T213" s="188">
        <f t="shared" si="50"/>
        <v>0</v>
      </c>
      <c r="U213" s="186">
        <f>O213*IFERROR(VLOOKUP(A213,[1]Tørstofindhold!A$2:B$24,2,FALSE),0)</f>
        <v>0</v>
      </c>
      <c r="V213" s="187">
        <f>IF(D213=År1,P213,SUM(O213,P213))*IFERROR(VLOOKUP(A213,[1]Tørstofindhold!A$2:B$24,2,FALSE),0)</f>
        <v>0</v>
      </c>
      <c r="W213" s="187">
        <f>J213*IFERROR(VLOOKUP(A213,[1]Tørstofindhold!A$2:B$24,2,FALSE),0)</f>
        <v>0</v>
      </c>
      <c r="X213" s="188">
        <f t="shared" si="51"/>
        <v>0</v>
      </c>
      <c r="Y213" s="168">
        <f t="shared" si="60"/>
        <v>1</v>
      </c>
      <c r="Z213" s="103">
        <f t="shared" si="61"/>
        <v>0</v>
      </c>
    </row>
    <row r="214" spans="1:26" x14ac:dyDescent="0.25">
      <c r="A214" s="189" t="str">
        <f t="shared" si="56"/>
        <v>Industriaffald</v>
      </c>
      <c r="B214" s="189" t="str">
        <f t="shared" si="57"/>
        <v>Bionedbrydeligt affald</v>
      </c>
      <c r="C214" s="189">
        <f>IF(COUNTIFS('Resultater - Danmark'!$D$3:$D$504,'Resultat-Produktion &amp; forbrug'!A214,'Resultater - Danmark'!$A$3:$A$504,"Til energi")+COUNTIFS('Resultater - Danmark'!$D$3:$D$504,'Resultat-Produktion &amp; forbrug'!A214,'Resultater - Danmark'!$A$3:$A$504,"Biogasanlæg")&gt;0,1,0)</f>
        <v>1</v>
      </c>
      <c r="D214" s="189">
        <f t="shared" si="58"/>
        <v>2030</v>
      </c>
      <c r="E214" s="187" t="s">
        <v>24</v>
      </c>
      <c r="F214" s="190">
        <f>IF(E214="Vestdanmark",SUMIFS(IF(D214=År1,'Resultater - Vestdanmark'!H$3:H$504,IF(D214=År2,'Resultater - Vestdanmark'!I$3:I$504,'Resultater - Vestdanmark'!J$3:J$504)),'Resultater - Vestdanmark'!$F$3:$F$504,$A214,IF(D214=År1,'Resultater - Vestdanmark'!H$3:H$504,IF(D214=År2,'Resultater - Vestdanmark'!I$3:I$504,'Resultater - Vestdanmark'!J$3:J$504)),"&gt;0"),SUMIFS(IF(D214=År1,'Resultater - Østdanmark'!H$3:H$504,IF(D214=År2,'Resultater - Østdanmark'!I$3:I$504,'Resultater - Østdanmark'!J$3:J$504)),'Resultater - Østdanmark'!$F$3:$F$504,$A214,IF(D214=År1,'Resultater - Østdanmark'!H$3:H$504,IF(D214=År2,'Resultater - Østdanmark'!I$3:I$504,'Resultater - Østdanmark'!J$3:J$504)),"&gt;0"))</f>
        <v>210543.78587843414</v>
      </c>
      <c r="G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forbrug'!G$2,'Forbrug af biomasse'!$B$2:$B$425,$E214)</f>
        <v>0</v>
      </c>
      <c r="H214" s="187">
        <f>IF(E214="Vestdanmark",-IF(A214="Halm",SUMIFS(IF(D214=År1,'Resultater - Vestdanmark'!H$3:H$504,IF(D214=År2,'Resultater - Vestdanmark'!I$3:I$504,'Resultater - Vestdanmark'!J$3:J$504)),'Resultater - Vestdanmark'!$F$3:$F$504,$A214,'Resultater - Vestdanmark'!H$3:H$504,"&lt;0"),0),-IF(A214="Halm",SUMIFS(IF(D214=År1,'Resultater - Østdanmark'!H$3:H$504,IF(D214=År2,'Resultater - Østdanmark'!I$3:I$504,'Resultater - Østdanmark'!J$3:J$504)),'Resultater - Østdanmark'!$F$3:$F$504,$A214,'Resultater - Østdanmark'!H$3:H$504,"&lt;0"),0))</f>
        <v>0</v>
      </c>
      <c r="I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forbrug'!I$2,'Forbrug af biomasse'!$B$2:$B$425,$E214)</f>
        <v>0</v>
      </c>
      <c r="J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forbrug'!J$2,'Forbrug af biomasse'!$B$2:$B$425,$E214)</f>
        <v>191022.2216043165</v>
      </c>
      <c r="K214" s="190">
        <f>SUMIFS('Forbrug af biomasse'!$E$2:$E$425,'Forbrug af biomasse'!$C$2:$C$425,'Resultat-Produktion &amp; forbrug'!$A214,'Forbrug af biomasse'!$D$2:$D$425,'Resultat-Produktion &amp; forbrug'!$D214,'Forbrug af biomasse'!$A$2:$A$425,'Resultat-Produktion &amp; forbrug'!K$2,'Forbrug af biomasse'!$B$2:$B$425,$E214)</f>
        <v>0</v>
      </c>
      <c r="L214" s="190">
        <f>IF(A214&lt;&gt;"Biogas",SUMIFS('Forbrug af biomasse'!$E$2:$E$425,'Forbrug af biomasse'!$C$2:$C$425,'Resultat-Produktion &amp; forbrug'!$A214,'Forbrug af biomasse'!$D$2:$D$425,'Resultat-Produktion &amp; forbrug'!$D214,'Forbrug af biomasse'!$A$2:$A$425,'Resultat-Produktion &amp; forbrug'!L$2,'Forbrug af biomasse'!$B$2:$B$425,$E214),F214)</f>
        <v>0</v>
      </c>
      <c r="M214" s="154">
        <f>SUMIFS('Forbrug af biomasse'!E:E,'Forbrug af biomasse'!C:C,'Resultat-Produktion &amp; forbrug'!$A214,'Forbrug af biomasse'!D:D,'Resultat-Produktion &amp; forbrug'!$D214,'Forbrug af biomasse'!G:G,1,'Forbrug af biomasse'!B:B,$E214)</f>
        <v>0</v>
      </c>
      <c r="N214" s="199">
        <f t="shared" si="48"/>
        <v>19521.564274117642</v>
      </c>
      <c r="O214" s="190">
        <f t="shared" si="59"/>
        <v>19521.564274117642</v>
      </c>
      <c r="P214" s="200">
        <f t="shared" si="49"/>
        <v>191022.2216043165</v>
      </c>
      <c r="Q214" s="187">
        <f>IFERROR(VLOOKUP(A214,[1]Energiindhold!$A$2:$C$11,3,FALSE),IFERROR(VLOOKUP(A214,[1]Biogasudbytte!$A$2:$B$18,2,FALSE)*[1]Energiindhold!$C$10,0))*O214</f>
        <v>8.4589475803107383E-2</v>
      </c>
      <c r="R214" s="187">
        <f>IF(A214&lt;&gt;"Biogas",IFERROR(VLOOKUP(A214,[1]Biogasudbytte!$A$2:$B$18,2,FALSE)*[1]Energiindhold!$C$10,0)*J214*IFERROR(VLOOKUP(A214,Biogasanlæg!$F$3:$G$8,2,FALSE),1)+IFERROR(VLOOKUP(A214,[1]Energiindhold!$A$2:$C$11,3,FALSE),0)*L214+IF(D214&lt;&gt;År1,Q214,0),0)</f>
        <v>0.78815497703837267</v>
      </c>
      <c r="S214" s="187">
        <f>IFERROR(VLOOKUP(A214,[1]Biogasudbytte!$A$2:$B$18,2,FALSE)*[1]Energiindhold!$C$10,0)*J214*IFERROR(VLOOKUP(A214,Biogasanlæg!$F$3:$G$8,2,FALSE),1)</f>
        <v>0.70356550123526529</v>
      </c>
      <c r="T214" s="188">
        <f t="shared" si="50"/>
        <v>8.4589475803107383E-2</v>
      </c>
      <c r="U214" s="186">
        <f>O214*IFERROR(VLOOKUP(A214,[1]Tørstofindhold!A$2:B$24,2,FALSE),0)</f>
        <v>8199.0569951294092</v>
      </c>
      <c r="V214" s="187">
        <f>IF(D214=År1,P214,SUM(O214,P214))*IFERROR(VLOOKUP(A214,[1]Tørstofindhold!A$2:B$24,2,FALSE),0)</f>
        <v>88428.390068942332</v>
      </c>
      <c r="W214" s="187">
        <f>J214*IFERROR(VLOOKUP(A214,[1]Tørstofindhold!A$2:B$24,2,FALSE),0)</f>
        <v>80229.33307381293</v>
      </c>
      <c r="X214" s="188">
        <f t="shared" si="51"/>
        <v>8199.0569951294019</v>
      </c>
      <c r="Y214" s="168">
        <f t="shared" si="60"/>
        <v>0</v>
      </c>
      <c r="Z214" s="103">
        <f t="shared" si="61"/>
        <v>1</v>
      </c>
    </row>
    <row r="215" spans="1:26" x14ac:dyDescent="0.25">
      <c r="A215" s="189" t="str">
        <f t="shared" si="56"/>
        <v>Juletræer</v>
      </c>
      <c r="B215" s="189" t="str">
        <f t="shared" si="57"/>
        <v/>
      </c>
      <c r="C215" s="189">
        <f>IF(COUNTIFS('Resultater - Danmark'!$D$3:$D$504,'Resultat-Produktion &amp; forbrug'!A215,'Resultater - Danmark'!$A$3:$A$504,"Til energi")+COUNTIFS('Resultater - Danmark'!$D$3:$D$504,'Resultat-Produktion &amp; forbrug'!A215,'Resultater - Danmark'!$A$3:$A$504,"Biogasanlæg")&gt;0,1,0)</f>
        <v>0</v>
      </c>
      <c r="D215" s="189">
        <f t="shared" si="58"/>
        <v>2030</v>
      </c>
      <c r="E215" s="187" t="s">
        <v>24</v>
      </c>
      <c r="F215" s="190">
        <f>IF(E215="Vestdanmark",SUMIFS(IF(D215=År1,'Resultater - Vestdanmark'!H$3:H$504,IF(D215=År2,'Resultater - Vestdanmark'!I$3:I$504,'Resultater - Vestdanmark'!J$3:J$504)),'Resultater - Vestdanmark'!$F$3:$F$504,$A215,IF(D215=År1,'Resultater - Vestdanmark'!H$3:H$504,IF(D215=År2,'Resultater - Vestdanmark'!I$3:I$504,'Resultater - Vestdanmark'!J$3:J$504)),"&gt;0"),SUMIFS(IF(D215=År1,'Resultater - Østdanmark'!H$3:H$504,IF(D215=År2,'Resultater - Østdanmark'!I$3:I$504,'Resultater - Østdanmark'!J$3:J$504)),'Resultater - Østdanmark'!$F$3:$F$504,$A215,IF(D215=År1,'Resultater - Østdanmark'!H$3:H$504,IF(D215=År2,'Resultater - Østdanmark'!I$3:I$504,'Resultater - Østdanmark'!J$3:J$504)),"&gt;0"))</f>
        <v>153452.1885801873</v>
      </c>
      <c r="G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forbrug'!G$2,'Forbrug af biomasse'!$B$2:$B$425,$E215)</f>
        <v>0</v>
      </c>
      <c r="H215" s="187">
        <f>IF(E215="Vestdanmark",-IF(A215="Halm",SUMIFS(IF(D215=År1,'Resultater - Vestdanmark'!H$3:H$504,IF(D215=År2,'Resultater - Vestdanmark'!I$3:I$504,'Resultater - Vestdanmark'!J$3:J$504)),'Resultater - Vestdanmark'!$F$3:$F$504,$A215,'Resultater - Vestdanmark'!H$3:H$504,"&lt;0"),0),-IF(A215="Halm",SUMIFS(IF(D215=År1,'Resultater - Østdanmark'!H$3:H$504,IF(D215=År2,'Resultater - Østdanmark'!I$3:I$504,'Resultater - Østdanmark'!J$3:J$504)),'Resultater - Østdanmark'!$F$3:$F$504,$A215,'Resultater - Østdanmark'!H$3:H$504,"&lt;0"),0))</f>
        <v>0</v>
      </c>
      <c r="I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forbrug'!I$2,'Forbrug af biomasse'!$B$2:$B$425,$E215)</f>
        <v>0</v>
      </c>
      <c r="J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forbrug'!J$2,'Forbrug af biomasse'!$B$2:$B$425,$E215)</f>
        <v>0</v>
      </c>
      <c r="K215" s="190">
        <f>SUMIFS('Forbrug af biomasse'!$E$2:$E$425,'Forbrug af biomasse'!$C$2:$C$425,'Resultat-Produktion &amp; forbrug'!$A215,'Forbrug af biomasse'!$D$2:$D$425,'Resultat-Produktion &amp; forbrug'!$D215,'Forbrug af biomasse'!$A$2:$A$425,'Resultat-Produktion &amp; forbrug'!K$2,'Forbrug af biomasse'!$B$2:$B$425,$E215)</f>
        <v>0</v>
      </c>
      <c r="L215" s="190">
        <f>IF(A215&lt;&gt;"Biogas",SUMIFS('Forbrug af biomasse'!$E$2:$E$425,'Forbrug af biomasse'!$C$2:$C$425,'Resultat-Produktion &amp; forbrug'!$A215,'Forbrug af biomasse'!$D$2:$D$425,'Resultat-Produktion &amp; forbrug'!$D215,'Forbrug af biomasse'!$A$2:$A$425,'Resultat-Produktion &amp; forbrug'!L$2,'Forbrug af biomasse'!$B$2:$B$425,$E215),F215)</f>
        <v>0</v>
      </c>
      <c r="M215" s="154">
        <f>SUMIFS('Forbrug af biomasse'!E:E,'Forbrug af biomasse'!C:C,'Resultat-Produktion &amp; forbrug'!$A215,'Forbrug af biomasse'!D:D,'Resultat-Produktion &amp; forbrug'!$D215,'Forbrug af biomasse'!G:G,1,'Forbrug af biomasse'!B:B,$E215)</f>
        <v>0</v>
      </c>
      <c r="N215" s="199">
        <f t="shared" si="48"/>
        <v>153452.1885801873</v>
      </c>
      <c r="O215" s="190">
        <f t="shared" si="59"/>
        <v>0</v>
      </c>
      <c r="P215" s="200">
        <f t="shared" si="49"/>
        <v>0</v>
      </c>
      <c r="Q215" s="187">
        <f>IFERROR(VLOOKUP(A215,[1]Energiindhold!$A$2:$C$11,3,FALSE),IFERROR(VLOOKUP(A215,[1]Biogasudbytte!$A$2:$B$18,2,FALSE)*[1]Energiindhold!$C$10,0))*O215</f>
        <v>0</v>
      </c>
      <c r="R215" s="187">
        <f>IF(A215&lt;&gt;"Biogas",IFERROR(VLOOKUP(A215,[1]Biogasudbytte!$A$2:$B$18,2,FALSE)*[1]Energiindhold!$C$10,0)*J215*IFERROR(VLOOKUP(A215,Biogasanlæg!$F$3:$G$8,2,FALSE),1)+IFERROR(VLOOKUP(A215,[1]Energiindhold!$A$2:$C$11,3,FALSE),0)*L215+IF(D215&lt;&gt;År1,Q215,0),0)</f>
        <v>0</v>
      </c>
      <c r="S215" s="187">
        <f>IFERROR(VLOOKUP(A215,[1]Biogasudbytte!$A$2:$B$18,2,FALSE)*[1]Energiindhold!$C$10,0)*J215*IFERROR(VLOOKUP(A215,Biogasanlæg!$F$3:$G$8,2,FALSE),1)</f>
        <v>0</v>
      </c>
      <c r="T215" s="188">
        <f t="shared" si="50"/>
        <v>0</v>
      </c>
      <c r="U215" s="186">
        <f>O215*IFERROR(VLOOKUP(A215,[1]Tørstofindhold!A$2:B$24,2,FALSE),0)</f>
        <v>0</v>
      </c>
      <c r="V215" s="187">
        <f>IF(D215=År1,P215,SUM(O215,P215))*IFERROR(VLOOKUP(A215,[1]Tørstofindhold!A$2:B$24,2,FALSE),0)</f>
        <v>0</v>
      </c>
      <c r="W215" s="187">
        <f>J215*IFERROR(VLOOKUP(A215,[1]Tørstofindhold!A$2:B$24,2,FALSE),0)</f>
        <v>0</v>
      </c>
      <c r="X215" s="188">
        <f t="shared" si="51"/>
        <v>0</v>
      </c>
      <c r="Y215" s="168">
        <f t="shared" si="60"/>
        <v>0</v>
      </c>
      <c r="Z215" s="103">
        <f t="shared" si="61"/>
        <v>1</v>
      </c>
    </row>
    <row r="216" spans="1:26" x14ac:dyDescent="0.25">
      <c r="A216" s="189" t="str">
        <f t="shared" si="56"/>
        <v>Kartofler</v>
      </c>
      <c r="B216" s="189" t="str">
        <f t="shared" si="57"/>
        <v/>
      </c>
      <c r="C216" s="189">
        <f>IF(COUNTIFS('Resultater - Danmark'!$D$3:$D$504,'Resultat-Produktion &amp; forbrug'!A216,'Resultater - Danmark'!$A$3:$A$504,"Til energi")+COUNTIFS('Resultater - Danmark'!$D$3:$D$504,'Resultat-Produktion &amp; forbrug'!A216,'Resultater - Danmark'!$A$3:$A$504,"Biogasanlæg")&gt;0,1,0)</f>
        <v>0</v>
      </c>
      <c r="D216" s="189">
        <f t="shared" si="58"/>
        <v>2030</v>
      </c>
      <c r="E216" s="187" t="s">
        <v>24</v>
      </c>
      <c r="F216" s="190">
        <f>IF(E216="Vestdanmark",SUMIFS(IF(D216=År1,'Resultater - Vestdanmark'!H$3:H$504,IF(D216=År2,'Resultater - Vestdanmark'!I$3:I$504,'Resultater - Vestdanmark'!J$3:J$504)),'Resultater - Vestdanmark'!$F$3:$F$504,$A216,IF(D216=År1,'Resultater - Vestdanmark'!H$3:H$504,IF(D216=År2,'Resultater - Vestdanmark'!I$3:I$504,'Resultater - Vestdanmark'!J$3:J$504)),"&gt;0"),SUMIFS(IF(D216=År1,'Resultater - Østdanmark'!H$3:H$504,IF(D216=År2,'Resultater - Østdanmark'!I$3:I$504,'Resultater - Østdanmark'!J$3:J$504)),'Resultater - Østdanmark'!$F$3:$F$504,$A216,IF(D216=År1,'Resultater - Østdanmark'!H$3:H$504,IF(D216=År2,'Resultater - Østdanmark'!I$3:I$504,'Resultater - Østdanmark'!J$3:J$504)),"&gt;0"))</f>
        <v>122729.17644107634</v>
      </c>
      <c r="G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forbrug'!G$2,'Forbrug af biomasse'!$B$2:$B$425,$E216)</f>
        <v>0</v>
      </c>
      <c r="H216" s="187">
        <f>IF(E216="Vestdanmark",-IF(A216="Halm",SUMIFS(IF(D216=År1,'Resultater - Vestdanmark'!H$3:H$504,IF(D216=År2,'Resultater - Vestdanmark'!I$3:I$504,'Resultater - Vestdanmark'!J$3:J$504)),'Resultater - Vestdanmark'!$F$3:$F$504,$A216,'Resultater - Vestdanmark'!H$3:H$504,"&lt;0"),0),-IF(A216="Halm",SUMIFS(IF(D216=År1,'Resultater - Østdanmark'!H$3:H$504,IF(D216=År2,'Resultater - Østdanmark'!I$3:I$504,'Resultater - Østdanmark'!J$3:J$504)),'Resultater - Østdanmark'!$F$3:$F$504,$A216,'Resultater - Østdanmark'!H$3:H$504,"&lt;0"),0))</f>
        <v>0</v>
      </c>
      <c r="I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forbrug'!I$2,'Forbrug af biomasse'!$B$2:$B$425,$E216)</f>
        <v>106960.41463921656</v>
      </c>
      <c r="J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forbrug'!J$2,'Forbrug af biomasse'!$B$2:$B$425,$E216)</f>
        <v>0</v>
      </c>
      <c r="K216" s="190">
        <f>SUMIFS('Forbrug af biomasse'!$E$2:$E$425,'Forbrug af biomasse'!$C$2:$C$425,'Resultat-Produktion &amp; forbrug'!$A216,'Forbrug af biomasse'!$D$2:$D$425,'Resultat-Produktion &amp; forbrug'!$D216,'Forbrug af biomasse'!$A$2:$A$425,'Resultat-Produktion &amp; forbrug'!K$2,'Forbrug af biomasse'!$B$2:$B$425,$E216)</f>
        <v>0</v>
      </c>
      <c r="L216" s="190">
        <f>IF(A216&lt;&gt;"Biogas",SUMIFS('Forbrug af biomasse'!$E$2:$E$425,'Forbrug af biomasse'!$C$2:$C$425,'Resultat-Produktion &amp; forbrug'!$A216,'Forbrug af biomasse'!$D$2:$D$425,'Resultat-Produktion &amp; forbrug'!$D216,'Forbrug af biomasse'!$A$2:$A$425,'Resultat-Produktion &amp; forbrug'!L$2,'Forbrug af biomasse'!$B$2:$B$425,$E216),F216)</f>
        <v>0</v>
      </c>
      <c r="M216" s="154">
        <f>SUMIFS('Forbrug af biomasse'!E:E,'Forbrug af biomasse'!C:C,'Resultat-Produktion &amp; forbrug'!$A216,'Forbrug af biomasse'!D:D,'Resultat-Produktion &amp; forbrug'!$D216,'Forbrug af biomasse'!G:G,1,'Forbrug af biomasse'!B:B,$E216)</f>
        <v>0</v>
      </c>
      <c r="N216" s="199">
        <f t="shared" ref="N216:N281" si="62">F216-SUM(G216:M216)</f>
        <v>15768.761801859786</v>
      </c>
      <c r="O216" s="190">
        <f t="shared" si="59"/>
        <v>0</v>
      </c>
      <c r="P216" s="200">
        <f t="shared" ref="P216:P281" si="63">SUM(J216,L216)</f>
        <v>0</v>
      </c>
      <c r="Q216" s="187">
        <f>IFERROR(VLOOKUP(A216,[1]Energiindhold!$A$2:$C$11,3,FALSE),IFERROR(VLOOKUP(A216,[1]Biogasudbytte!$A$2:$B$18,2,FALSE)*[1]Energiindhold!$C$10,0))*O216</f>
        <v>0</v>
      </c>
      <c r="R216" s="187">
        <f>IF(A216&lt;&gt;"Biogas",IFERROR(VLOOKUP(A216,[1]Biogasudbytte!$A$2:$B$18,2,FALSE)*[1]Energiindhold!$C$10,0)*J216*IFERROR(VLOOKUP(A216,Biogasanlæg!$F$3:$G$8,2,FALSE),1)+IFERROR(VLOOKUP(A216,[1]Energiindhold!$A$2:$C$11,3,FALSE),0)*L216+IF(D216&lt;&gt;År1,Q216,0),0)</f>
        <v>0</v>
      </c>
      <c r="S216" s="187">
        <f>IFERROR(VLOOKUP(A216,[1]Biogasudbytte!$A$2:$B$18,2,FALSE)*[1]Energiindhold!$C$10,0)*J216*IFERROR(VLOOKUP(A216,Biogasanlæg!$F$3:$G$8,2,FALSE),1)</f>
        <v>0</v>
      </c>
      <c r="T216" s="188">
        <f t="shared" ref="T216:T281" si="64">R216-S216</f>
        <v>0</v>
      </c>
      <c r="U216" s="186">
        <f>O216*IFERROR(VLOOKUP(A216,[1]Tørstofindhold!A$2:B$24,2,FALSE),0)</f>
        <v>0</v>
      </c>
      <c r="V216" s="187">
        <f>IF(D216=År1,P216,SUM(O216,P216))*IFERROR(VLOOKUP(A216,[1]Tørstofindhold!A$2:B$24,2,FALSE),0)</f>
        <v>0</v>
      </c>
      <c r="W216" s="187">
        <f>J216*IFERROR(VLOOKUP(A216,[1]Tørstofindhold!A$2:B$24,2,FALSE),0)</f>
        <v>0</v>
      </c>
      <c r="X216" s="188">
        <f t="shared" ref="X216:X281" si="65">V216-W216</f>
        <v>0</v>
      </c>
      <c r="Y216" s="168">
        <f t="shared" si="60"/>
        <v>0</v>
      </c>
      <c r="Z216" s="103">
        <f t="shared" si="61"/>
        <v>1</v>
      </c>
    </row>
    <row r="217" spans="1:26" x14ac:dyDescent="0.25">
      <c r="A217" s="189" t="str">
        <f t="shared" si="56"/>
        <v>Korn</v>
      </c>
      <c r="B217" s="189" t="str">
        <f t="shared" si="57"/>
        <v>Halm og strå</v>
      </c>
      <c r="C217" s="189">
        <f>IF(COUNTIFS('Resultater - Danmark'!$D$3:$D$504,'Resultat-Produktion &amp; forbrug'!A217,'Resultater - Danmark'!$A$3:$A$504,"Til energi")+COUNTIFS('Resultater - Danmark'!$D$3:$D$504,'Resultat-Produktion &amp; forbrug'!A217,'Resultater - Danmark'!$A$3:$A$504,"Biogasanlæg")&gt;0,1,0)</f>
        <v>1</v>
      </c>
      <c r="D217" s="189">
        <f t="shared" si="58"/>
        <v>2030</v>
      </c>
      <c r="E217" s="187" t="s">
        <v>24</v>
      </c>
      <c r="F217" s="190">
        <f>IF(E217="Vestdanmark",SUMIFS(IF(D217=År1,'Resultater - Vestdanmark'!H$3:H$504,IF(D217=År2,'Resultater - Vestdanmark'!I$3:I$504,'Resultater - Vestdanmark'!J$3:J$504)),'Resultater - Vestdanmark'!$F$3:$F$504,$A217,IF(D217=År1,'Resultater - Vestdanmark'!H$3:H$504,IF(D217=År2,'Resultater - Vestdanmark'!I$3:I$504,'Resultater - Vestdanmark'!J$3:J$504)),"&gt;0"),SUMIFS(IF(D217=År1,'Resultater - Østdanmark'!H$3:H$504,IF(D217=År2,'Resultater - Østdanmark'!I$3:I$504,'Resultater - Østdanmark'!J$3:J$504)),'Resultater - Østdanmark'!$F$3:$F$504,$A217,IF(D217=År1,'Resultater - Østdanmark'!H$3:H$504,IF(D217=År2,'Resultater - Østdanmark'!I$3:I$504,'Resultater - Østdanmark'!J$3:J$504)),"&gt;0"))</f>
        <v>2397159.4134105444</v>
      </c>
      <c r="G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forbrug'!G$2,'Forbrug af biomasse'!$B$2:$B$425,$E217)</f>
        <v>865945.92924660386</v>
      </c>
      <c r="H217" s="187">
        <f>IF(E217="Vestdanmark",-IF(A217="Halm",SUMIFS(IF(D217=År1,'Resultater - Vestdanmark'!H$3:H$504,IF(D217=År2,'Resultater - Vestdanmark'!I$3:I$504,'Resultater - Vestdanmark'!J$3:J$504)),'Resultater - Vestdanmark'!$F$3:$F$504,$A217,'Resultater - Vestdanmark'!H$3:H$504,"&lt;0"),0),-IF(A217="Halm",SUMIFS(IF(D217=År1,'Resultater - Østdanmark'!H$3:H$504,IF(D217=År2,'Resultater - Østdanmark'!I$3:I$504,'Resultater - Østdanmark'!J$3:J$504)),'Resultater - Østdanmark'!$F$3:$F$504,$A217,'Resultater - Østdanmark'!H$3:H$504,"&lt;0"),0))</f>
        <v>0</v>
      </c>
      <c r="I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forbrug'!I$2,'Forbrug af biomasse'!$B$2:$B$425,$E217)</f>
        <v>256234.83946537593</v>
      </c>
      <c r="J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forbrug'!J$2,'Forbrug af biomasse'!$B$2:$B$425,$E217)</f>
        <v>947.1343436742535</v>
      </c>
      <c r="K217" s="190">
        <f>SUMIFS('Forbrug af biomasse'!$E$2:$E$425,'Forbrug af biomasse'!$C$2:$C$425,'Resultat-Produktion &amp; forbrug'!$A217,'Forbrug af biomasse'!$D$2:$D$425,'Resultat-Produktion &amp; forbrug'!$D217,'Forbrug af biomasse'!$A$2:$A$425,'Resultat-Produktion &amp; forbrug'!K$2,'Forbrug af biomasse'!$B$2:$B$425,$E217)</f>
        <v>0</v>
      </c>
      <c r="L217" s="190">
        <f>IF(A217&lt;&gt;"Biogas",SUMIFS('Forbrug af biomasse'!$E$2:$E$425,'Forbrug af biomasse'!$C$2:$C$425,'Resultat-Produktion &amp; forbrug'!$A217,'Forbrug af biomasse'!$D$2:$D$425,'Resultat-Produktion &amp; forbrug'!$D217,'Forbrug af biomasse'!$A$2:$A$425,'Resultat-Produktion &amp; forbrug'!L$2,'Forbrug af biomasse'!$B$2:$B$425,$E217),F217)</f>
        <v>0</v>
      </c>
      <c r="M217" s="154">
        <f>SUMIFS('Forbrug af biomasse'!E:E,'Forbrug af biomasse'!C:C,'Resultat-Produktion &amp; forbrug'!$A217,'Forbrug af biomasse'!D:D,'Resultat-Produktion &amp; forbrug'!$D217,'Forbrug af biomasse'!G:G,1,'Forbrug af biomasse'!B:B,$E217)</f>
        <v>0</v>
      </c>
      <c r="N217" s="199">
        <f>F217-SUM(G217:M217)</f>
        <v>1274031.5103548905</v>
      </c>
      <c r="O217" s="190">
        <f t="shared" si="59"/>
        <v>1105257.6049126349</v>
      </c>
      <c r="P217" s="200">
        <f t="shared" si="63"/>
        <v>947.1343436742535</v>
      </c>
      <c r="Q217" s="187">
        <f>IFERROR(VLOOKUP(A217,[1]Energiindhold!$A$2:$C$11,3,FALSE),IFERROR(VLOOKUP(A217,[1]Biogasudbytte!$A$2:$B$18,2,FALSE)*[1]Energiindhold!$C$10,0))*O217</f>
        <v>3.7853525607610874</v>
      </c>
      <c r="R217" s="187">
        <f>IF(A217&lt;&gt;"Biogas",IFERROR(VLOOKUP(A217,[1]Biogasudbytte!$A$2:$B$18,2,FALSE)*[1]Energiindhold!$C$10,0)*J217*IFERROR(VLOOKUP(A217,Biogasanlæg!$F$3:$G$8,2,FALSE),1)+IFERROR(VLOOKUP(A217,[1]Energiindhold!$A$2:$C$11,3,FALSE),0)*L217+IF(D217&lt;&gt;År1,Q217,0),0)</f>
        <v>3.7885963632893636</v>
      </c>
      <c r="S217" s="187">
        <f>IFERROR(VLOOKUP(A217,[1]Biogasudbytte!$A$2:$B$18,2,FALSE)*[1]Energiindhold!$C$10,0)*J217*IFERROR(VLOOKUP(A217,Biogasanlæg!$F$3:$G$8,2,FALSE),1)</f>
        <v>3.2438025282762045E-3</v>
      </c>
      <c r="T217" s="188">
        <f t="shared" si="64"/>
        <v>3.7853525607610874</v>
      </c>
      <c r="U217" s="186">
        <f>O217*IFERROR(VLOOKUP(A217,[1]Tørstofindhold!A$2:B$24,2,FALSE),0)</f>
        <v>342629.85752291681</v>
      </c>
      <c r="V217" s="187">
        <f>IF(D217=År1,P217,SUM(O217,P217))*IFERROR(VLOOKUP(A217,[1]Tørstofindhold!A$2:B$24,2,FALSE),0)</f>
        <v>342923.46916945581</v>
      </c>
      <c r="W217" s="187">
        <f>J217*IFERROR(VLOOKUP(A217,[1]Tørstofindhold!A$2:B$24,2,FALSE),0)</f>
        <v>293.61164653901858</v>
      </c>
      <c r="X217" s="188">
        <f t="shared" si="65"/>
        <v>342629.85752291681</v>
      </c>
      <c r="Y217" s="168">
        <f t="shared" si="60"/>
        <v>0</v>
      </c>
      <c r="Z217" s="103">
        <f t="shared" si="61"/>
        <v>1</v>
      </c>
    </row>
    <row r="218" spans="1:26" x14ac:dyDescent="0.25">
      <c r="A218" s="189" t="str">
        <f t="shared" si="56"/>
        <v>Kunstgødning</v>
      </c>
      <c r="B218" s="189" t="str">
        <f t="shared" si="57"/>
        <v/>
      </c>
      <c r="C218" s="189">
        <f>IF(COUNTIFS('Resultater - Danmark'!$D$3:$D$504,'Resultat-Produktion &amp; forbrug'!A218,'Resultater - Danmark'!$A$3:$A$504,"Til energi")+COUNTIFS('Resultater - Danmark'!$D$3:$D$504,'Resultat-Produktion &amp; forbrug'!A218,'Resultater - Danmark'!$A$3:$A$504,"Biogasanlæg")&gt;0,1,0)</f>
        <v>0</v>
      </c>
      <c r="D218" s="189">
        <f t="shared" si="58"/>
        <v>2030</v>
      </c>
      <c r="E218" s="187" t="s">
        <v>24</v>
      </c>
      <c r="F218" s="190">
        <f>IF(E218="Vestdanmark",SUMIFS(IF(D218=År1,'Resultater - Vestdanmark'!H$3:H$504,IF(D218=År2,'Resultater - Vestdanmark'!I$3:I$504,'Resultater - Vestdanmark'!J$3:J$504)),'Resultater - Vestdanmark'!$F$3:$F$504,$A218,IF(D218=År1,'Resultater - Vestdanmark'!H$3:H$504,IF(D218=År2,'Resultater - Vestdanmark'!I$3:I$504,'Resultater - Vestdanmark'!J$3:J$504)),"&gt;0"),SUMIFS(IF(D218=År1,'Resultater - Østdanmark'!H$3:H$504,IF(D218=År2,'Resultater - Østdanmark'!I$3:I$504,'Resultater - Østdanmark'!J$3:J$504)),'Resultater - Østdanmark'!$F$3:$F$504,$A218,IF(D218=År1,'Resultater - Østdanmark'!H$3:H$504,IF(D218=År2,'Resultater - Østdanmark'!I$3:I$504,'Resultater - Østdanmark'!J$3:J$504)),"&gt;0"))</f>
        <v>0</v>
      </c>
      <c r="G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forbrug'!G$2,'Forbrug af biomasse'!$B$2:$B$425,$E218)</f>
        <v>0</v>
      </c>
      <c r="H218" s="187">
        <f>IF(E218="Vestdanmark",-IF(A218="Halm",SUMIFS(IF(D218=År1,'Resultater - Vestdanmark'!H$3:H$504,IF(D218=År2,'Resultater - Vestdanmark'!I$3:I$504,'Resultater - Vestdanmark'!J$3:J$504)),'Resultater - Vestdanmark'!$F$3:$F$504,$A218,'Resultater - Vestdanmark'!H$3:H$504,"&lt;0"),0),-IF(A218="Halm",SUMIFS(IF(D218=År1,'Resultater - Østdanmark'!H$3:H$504,IF(D218=År2,'Resultater - Østdanmark'!I$3:I$504,'Resultater - Østdanmark'!J$3:J$504)),'Resultater - Østdanmark'!$F$3:$F$504,$A218,'Resultater - Østdanmark'!H$3:H$504,"&lt;0"),0))</f>
        <v>0</v>
      </c>
      <c r="I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forbrug'!I$2,'Forbrug af biomasse'!$B$2:$B$425,$E218)</f>
        <v>0</v>
      </c>
      <c r="J218" s="190">
        <f>SUMIFS('Forbrug af biomasse'!$E$2:$E$425,'Forbrug af biomasse'!$C$2:$C$425,'Resultat-Produktion &amp; forbrug'!$A218,'Forbrug af biomasse'!$D$2:$D$425,'Resultat-Produktion &amp; forbrug'!$D218,'Forbrug af biomasse'!$A$2:$A$425,'Resultat-Produktion &amp; forbrug'!J$2,'Forbrug af biomasse'!$B$2:$B$425,$E218)</f>
        <v>0</v>
      </c>
      <c r="K218" s="190">
        <f ca="1">SUMIFS('Forbrug af biomasse'!$E$2:$E$425,'Forbrug af biomasse'!$C$2:$C$425,'Resultat-Produktion &amp; forbrug'!$A218,'Forbrug af biomasse'!$D$2:$D$425,'Resultat-Produktion &amp; forbrug'!$D218,'Forbrug af biomasse'!$A$2:$A$425,'Resultat-Produktion &amp; forbrug'!K$2,'Forbrug af biomasse'!$B$2:$B$425,$E218)</f>
        <v>337668.75931622676</v>
      </c>
      <c r="L218" s="190">
        <f>IF(A218&lt;&gt;"Biogas",SUMIFS('Forbrug af biomasse'!$E$2:$E$425,'Forbrug af biomasse'!$C$2:$C$425,'Resultat-Produktion &amp; forbrug'!$A218,'Forbrug af biomasse'!$D$2:$D$425,'Resultat-Produktion &amp; forbrug'!$D218,'Forbrug af biomasse'!$A$2:$A$425,'Resultat-Produktion &amp; forbrug'!L$2,'Forbrug af biomasse'!$B$2:$B$425,$E218),F218)</f>
        <v>0</v>
      </c>
      <c r="M218" s="154">
        <f>SUMIFS('Forbrug af biomasse'!E:E,'Forbrug af biomasse'!C:C,'Resultat-Produktion &amp; forbrug'!$A218,'Forbrug af biomasse'!D:D,'Resultat-Produktion &amp; forbrug'!$D218,'Forbrug af biomasse'!G:G,1,'Forbrug af biomasse'!B:B,$E218)</f>
        <v>0</v>
      </c>
      <c r="N218" s="199">
        <f t="shared" ca="1" si="62"/>
        <v>-337668.75931622676</v>
      </c>
      <c r="O218" s="190">
        <f t="shared" si="59"/>
        <v>0</v>
      </c>
      <c r="P218" s="200">
        <f t="shared" si="63"/>
        <v>0</v>
      </c>
      <c r="Q218" s="187">
        <f>IFERROR(VLOOKUP(A218,[1]Energiindhold!$A$2:$C$11,3,FALSE),IFERROR(VLOOKUP(A218,[1]Biogasudbytte!$A$2:$B$18,2,FALSE)*[1]Energiindhold!$C$10,0))*O218</f>
        <v>0</v>
      </c>
      <c r="R218" s="187">
        <f>IF(A218&lt;&gt;"Biogas",IFERROR(VLOOKUP(A218,[1]Biogasudbytte!$A$2:$B$18,2,FALSE)*[1]Energiindhold!$C$10,0)*J218*IFERROR(VLOOKUP(A218,Biogasanlæg!$F$3:$G$8,2,FALSE),1)+IFERROR(VLOOKUP(A218,[1]Energiindhold!$A$2:$C$11,3,FALSE),0)*L218+IF(D218&lt;&gt;År1,Q218,0),0)</f>
        <v>0</v>
      </c>
      <c r="S218" s="187">
        <f>IFERROR(VLOOKUP(A218,[1]Biogasudbytte!$A$2:$B$18,2,FALSE)*[1]Energiindhold!$C$10,0)*J218*IFERROR(VLOOKUP(A218,Biogasanlæg!$F$3:$G$8,2,FALSE),1)</f>
        <v>0</v>
      </c>
      <c r="T218" s="188">
        <f t="shared" si="64"/>
        <v>0</v>
      </c>
      <c r="U218" s="186">
        <f>O218*IFERROR(VLOOKUP(A218,[1]Tørstofindhold!A$2:B$24,2,FALSE),0)</f>
        <v>0</v>
      </c>
      <c r="V218" s="187">
        <f>IF(D218=År1,P218,SUM(O218,P218))*IFERROR(VLOOKUP(A218,[1]Tørstofindhold!A$2:B$24,2,FALSE),0)</f>
        <v>0</v>
      </c>
      <c r="W218" s="187">
        <f>J218*IFERROR(VLOOKUP(A218,[1]Tørstofindhold!A$2:B$24,2,FALSE),0)</f>
        <v>0</v>
      </c>
      <c r="X218" s="188">
        <f t="shared" si="65"/>
        <v>0</v>
      </c>
      <c r="Y218" s="168">
        <f t="shared" ca="1" si="60"/>
        <v>1</v>
      </c>
      <c r="Z218" s="103">
        <f t="shared" ca="1" si="61"/>
        <v>0</v>
      </c>
    </row>
    <row r="219" spans="1:26" x14ac:dyDescent="0.25">
      <c r="A219" s="189" t="str">
        <f t="shared" si="56"/>
        <v>Kvæggylle</v>
      </c>
      <c r="B219" s="189" t="str">
        <f t="shared" si="57"/>
        <v>Husdyrgødning</v>
      </c>
      <c r="C219" s="189">
        <f>IF(COUNTIFS('Resultater - Danmark'!$D$3:$D$504,'Resultat-Produktion &amp; forbrug'!A219,'Resultater - Danmark'!$A$3:$A$504,"Til energi")+COUNTIFS('Resultater - Danmark'!$D$3:$D$504,'Resultat-Produktion &amp; forbrug'!A219,'Resultater - Danmark'!$A$3:$A$504,"Biogasanlæg")&gt;0,1,0)</f>
        <v>1</v>
      </c>
      <c r="D219" s="189">
        <f t="shared" si="58"/>
        <v>2030</v>
      </c>
      <c r="E219" s="187" t="s">
        <v>24</v>
      </c>
      <c r="F219" s="190">
        <f>IF(E219="Vestdanmark",SUMIFS(IF(D219=År1,'Resultater - Vestdanmark'!H$3:H$504,IF(D219=År2,'Resultater - Vestdanmark'!I$3:I$504,'Resultater - Vestdanmark'!J$3:J$504)),'Resultater - Vestdanmark'!$F$3:$F$504,$A219,IF(D219=År1,'Resultater - Vestdanmark'!H$3:H$504,IF(D219=År2,'Resultater - Vestdanmark'!I$3:I$504,'Resultater - Vestdanmark'!J$3:J$504)),"&gt;0"),SUMIFS(IF(D219=År1,'Resultater - Østdanmark'!H$3:H$504,IF(D219=År2,'Resultater - Østdanmark'!I$3:I$504,'Resultater - Østdanmark'!J$3:J$504)),'Resultater - Østdanmark'!$F$3:$F$504,$A219,IF(D219=År1,'Resultater - Østdanmark'!H$3:H$504,IF(D219=År2,'Resultater - Østdanmark'!I$3:I$504,'Resultater - Østdanmark'!J$3:J$504)),"&gt;0"))</f>
        <v>1107347.0071994506</v>
      </c>
      <c r="G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forbrug'!G$2,'Forbrug af biomasse'!$B$2:$B$425,$E219)</f>
        <v>0</v>
      </c>
      <c r="H219" s="187">
        <f>IF(E219="Vestdanmark",-IF(A219="Halm",SUMIFS(IF(D219=År1,'Resultater - Vestdanmark'!H$3:H$504,IF(D219=År2,'Resultater - Vestdanmark'!I$3:I$504,'Resultater - Vestdanmark'!J$3:J$504)),'Resultater - Vestdanmark'!$F$3:$F$504,$A219,'Resultater - Vestdanmark'!H$3:H$504,"&lt;0"),0),-IF(A219="Halm",SUMIFS(IF(D219=År1,'Resultater - Østdanmark'!H$3:H$504,IF(D219=År2,'Resultater - Østdanmark'!I$3:I$504,'Resultater - Østdanmark'!J$3:J$504)),'Resultater - Østdanmark'!$F$3:$F$504,$A219,'Resultater - Østdanmark'!H$3:H$504,"&lt;0"),0))</f>
        <v>0</v>
      </c>
      <c r="I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forbrug'!I$2,'Forbrug af biomasse'!$B$2:$B$425,$E219)</f>
        <v>0</v>
      </c>
      <c r="J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forbrug'!J$2,'Forbrug af biomasse'!$B$2:$B$425,$E219)</f>
        <v>841583.7254715825</v>
      </c>
      <c r="K219" s="190">
        <f>SUMIFS('Forbrug af biomasse'!$E$2:$E$425,'Forbrug af biomasse'!$C$2:$C$425,'Resultat-Produktion &amp; forbrug'!$A219,'Forbrug af biomasse'!$D$2:$D$425,'Resultat-Produktion &amp; forbrug'!$D219,'Forbrug af biomasse'!$A$2:$A$425,'Resultat-Produktion &amp; forbrug'!K$2,'Forbrug af biomasse'!$B$2:$B$425,$E219)</f>
        <v>265763.28172786813</v>
      </c>
      <c r="L219" s="190">
        <f>IF(A219&lt;&gt;"Biogas",SUMIFS('Forbrug af biomasse'!$E$2:$E$425,'Forbrug af biomasse'!$C$2:$C$425,'Resultat-Produktion &amp; forbrug'!$A219,'Forbrug af biomasse'!$D$2:$D$425,'Resultat-Produktion &amp; forbrug'!$D219,'Forbrug af biomasse'!$A$2:$A$425,'Resultat-Produktion &amp; forbrug'!L$2,'Forbrug af biomasse'!$B$2:$B$425,$E219),F219)</f>
        <v>0</v>
      </c>
      <c r="M219" s="154">
        <f>SUMIFS('Forbrug af biomasse'!E:E,'Forbrug af biomasse'!C:C,'Resultat-Produktion &amp; forbrug'!$A219,'Forbrug af biomasse'!D:D,'Resultat-Produktion &amp; forbrug'!$D219,'Forbrug af biomasse'!G:G,1,'Forbrug af biomasse'!B:B,$E219)</f>
        <v>0</v>
      </c>
      <c r="N219" s="199">
        <f t="shared" si="62"/>
        <v>0</v>
      </c>
      <c r="O219" s="190">
        <f t="shared" si="59"/>
        <v>0</v>
      </c>
      <c r="P219" s="200">
        <f t="shared" si="63"/>
        <v>841583.7254715825</v>
      </c>
      <c r="Q219" s="187">
        <f>IFERROR(VLOOKUP(A219,[1]Energiindhold!$A$2:$C$11,3,FALSE),IFERROR(VLOOKUP(A219,[1]Biogasudbytte!$A$2:$B$18,2,FALSE)*[1]Energiindhold!$C$10,0))*O219</f>
        <v>0</v>
      </c>
      <c r="R219" s="187">
        <f>IF(A219&lt;&gt;"Biogas",IFERROR(VLOOKUP(A219,[1]Biogasudbytte!$A$2:$B$18,2,FALSE)*[1]Energiindhold!$C$10,0)*J219*IFERROR(VLOOKUP(A219,Biogasanlæg!$F$3:$G$8,2,FALSE),1)+IFERROR(VLOOKUP(A219,[1]Energiindhold!$A$2:$C$11,3,FALSE),0)*L219+IF(D219&lt;&gt;År1,Q219,0),0)</f>
        <v>0.42600126599646038</v>
      </c>
      <c r="S219" s="187">
        <f>IFERROR(VLOOKUP(A219,[1]Biogasudbytte!$A$2:$B$18,2,FALSE)*[1]Energiindhold!$C$10,0)*J219*IFERROR(VLOOKUP(A219,Biogasanlæg!$F$3:$G$8,2,FALSE),1)</f>
        <v>0.42600126599646038</v>
      </c>
      <c r="T219" s="188">
        <f t="shared" si="64"/>
        <v>0</v>
      </c>
      <c r="U219" s="186">
        <f>O219*IFERROR(VLOOKUP(A219,[1]Tørstofindhold!A$2:B$24,2,FALSE),0)</f>
        <v>0</v>
      </c>
      <c r="V219" s="187">
        <f>IF(D219=År1,P219,SUM(O219,P219))*IFERROR(VLOOKUP(A219,[1]Tørstofindhold!A$2:B$24,2,FALSE),0)</f>
        <v>63960.363135840271</v>
      </c>
      <c r="W219" s="187">
        <f>J219*IFERROR(VLOOKUP(A219,[1]Tørstofindhold!A$2:B$24,2,FALSE),0)</f>
        <v>63960.363135840271</v>
      </c>
      <c r="X219" s="188">
        <f t="shared" si="65"/>
        <v>0</v>
      </c>
      <c r="Y219" s="168">
        <f t="shared" si="60"/>
        <v>0</v>
      </c>
      <c r="Z219" s="103">
        <f t="shared" si="61"/>
        <v>0</v>
      </c>
    </row>
    <row r="220" spans="1:26" x14ac:dyDescent="0.25">
      <c r="A220" s="189" t="str">
        <f t="shared" si="56"/>
        <v>Mælk til foder</v>
      </c>
      <c r="B220" s="189" t="str">
        <f t="shared" si="57"/>
        <v/>
      </c>
      <c r="C220" s="189">
        <f>IF(COUNTIFS('Resultater - Danmark'!$D$3:$D$504,'Resultat-Produktion &amp; forbrug'!A220,'Resultater - Danmark'!$A$3:$A$504,"Til energi")+COUNTIFS('Resultater - Danmark'!$D$3:$D$504,'Resultat-Produktion &amp; forbrug'!A220,'Resultater - Danmark'!$A$3:$A$504,"Biogasanlæg")&gt;0,1,0)</f>
        <v>0</v>
      </c>
      <c r="D220" s="189">
        <f t="shared" si="58"/>
        <v>2030</v>
      </c>
      <c r="E220" s="187" t="s">
        <v>24</v>
      </c>
      <c r="F220" s="190">
        <f>IF(E220="Vestdanmark",SUMIFS(IF(D220=År1,'Resultater - Vestdanmark'!H$3:H$504,IF(D220=År2,'Resultater - Vestdanmark'!I$3:I$504,'Resultater - Vestdanmark'!J$3:J$504)),'Resultater - Vestdanmark'!$F$3:$F$504,$A220,IF(D220=År1,'Resultater - Vestdanmark'!H$3:H$504,IF(D220=År2,'Resultater - Vestdanmark'!I$3:I$504,'Resultater - Vestdanmark'!J$3:J$504)),"&gt;0"),SUMIFS(IF(D220=År1,'Resultater - Østdanmark'!H$3:H$504,IF(D220=År2,'Resultater - Østdanmark'!I$3:I$504,'Resultater - Østdanmark'!J$3:J$504)),'Resultater - Østdanmark'!$F$3:$F$504,$A220,IF(D220=År1,'Resultater - Østdanmark'!H$3:H$504,IF(D220=År2,'Resultater - Østdanmark'!I$3:I$504,'Resultater - Østdanmark'!J$3:J$504)),"&gt;0"))</f>
        <v>138252.64067231142</v>
      </c>
      <c r="G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forbrug'!G$2,'Forbrug af biomasse'!$B$2:$B$425,$E220)</f>
        <v>223248.59245547064</v>
      </c>
      <c r="H220" s="187">
        <f>IF(E220="Vestdanmark",-IF(A220="Halm",SUMIFS(IF(D220=År1,'Resultater - Vestdanmark'!H$3:H$504,IF(D220=År2,'Resultater - Vestdanmark'!I$3:I$504,'Resultater - Vestdanmark'!J$3:J$504)),'Resultater - Vestdanmark'!$F$3:$F$504,$A220,'Resultater - Vestdanmark'!H$3:H$504,"&lt;0"),0),-IF(A220="Halm",SUMIFS(IF(D220=År1,'Resultater - Østdanmark'!H$3:H$504,IF(D220=År2,'Resultater - Østdanmark'!I$3:I$504,'Resultater - Østdanmark'!J$3:J$504)),'Resultater - Østdanmark'!$F$3:$F$504,$A220,'Resultater - Østdanmark'!H$3:H$504,"&lt;0"),0))</f>
        <v>0</v>
      </c>
      <c r="I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forbrug'!I$2,'Forbrug af biomasse'!$B$2:$B$425,$E220)</f>
        <v>0</v>
      </c>
      <c r="J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forbrug'!J$2,'Forbrug af biomasse'!$B$2:$B$425,$E220)</f>
        <v>0</v>
      </c>
      <c r="K220" s="190">
        <f>SUMIFS('Forbrug af biomasse'!$E$2:$E$425,'Forbrug af biomasse'!$C$2:$C$425,'Resultat-Produktion &amp; forbrug'!$A220,'Forbrug af biomasse'!$D$2:$D$425,'Resultat-Produktion &amp; forbrug'!$D220,'Forbrug af biomasse'!$A$2:$A$425,'Resultat-Produktion &amp; forbrug'!K$2,'Forbrug af biomasse'!$B$2:$B$425,$E220)</f>
        <v>0</v>
      </c>
      <c r="L220" s="190">
        <f>IF(A220&lt;&gt;"Biogas",SUMIFS('Forbrug af biomasse'!$E$2:$E$425,'Forbrug af biomasse'!$C$2:$C$425,'Resultat-Produktion &amp; forbrug'!$A220,'Forbrug af biomasse'!$D$2:$D$425,'Resultat-Produktion &amp; forbrug'!$D220,'Forbrug af biomasse'!$A$2:$A$425,'Resultat-Produktion &amp; forbrug'!L$2,'Forbrug af biomasse'!$B$2:$B$425,$E220),F220)</f>
        <v>0</v>
      </c>
      <c r="M220" s="154">
        <f>SUMIFS('Forbrug af biomasse'!E:E,'Forbrug af biomasse'!C:C,'Resultat-Produktion &amp; forbrug'!$A220,'Forbrug af biomasse'!D:D,'Resultat-Produktion &amp; forbrug'!$D220,'Forbrug af biomasse'!G:G,1,'Forbrug af biomasse'!B:B,$E220)</f>
        <v>0</v>
      </c>
      <c r="N220" s="199">
        <f t="shared" si="62"/>
        <v>-84995.951783159224</v>
      </c>
      <c r="O220" s="190">
        <f t="shared" si="59"/>
        <v>0</v>
      </c>
      <c r="P220" s="200">
        <f t="shared" si="63"/>
        <v>0</v>
      </c>
      <c r="Q220" s="187">
        <f>IFERROR(VLOOKUP(A220,[1]Energiindhold!$A$2:$C$11,3,FALSE),IFERROR(VLOOKUP(A220,[1]Biogasudbytte!$A$2:$B$18,2,FALSE)*[1]Energiindhold!$C$10,0))*O220</f>
        <v>0</v>
      </c>
      <c r="R220" s="187">
        <f>IF(A220&lt;&gt;"Biogas",IFERROR(VLOOKUP(A220,[1]Biogasudbytte!$A$2:$B$18,2,FALSE)*[1]Energiindhold!$C$10,0)*J220*IFERROR(VLOOKUP(A220,Biogasanlæg!$F$3:$G$8,2,FALSE),1)+IFERROR(VLOOKUP(A220,[1]Energiindhold!$A$2:$C$11,3,FALSE),0)*L220+IF(D220&lt;&gt;År1,Q220,0),0)</f>
        <v>0</v>
      </c>
      <c r="S220" s="187">
        <f>IFERROR(VLOOKUP(A220,[1]Biogasudbytte!$A$2:$B$18,2,FALSE)*[1]Energiindhold!$C$10,0)*J220*IFERROR(VLOOKUP(A220,Biogasanlæg!$F$3:$G$8,2,FALSE),1)</f>
        <v>0</v>
      </c>
      <c r="T220" s="188">
        <f t="shared" si="64"/>
        <v>0</v>
      </c>
      <c r="U220" s="186">
        <f>O220*IFERROR(VLOOKUP(A220,[1]Tørstofindhold!A$2:B$24,2,FALSE),0)</f>
        <v>0</v>
      </c>
      <c r="V220" s="187">
        <f>IF(D220=År1,P220,SUM(O220,P220))*IFERROR(VLOOKUP(A220,[1]Tørstofindhold!A$2:B$24,2,FALSE),0)</f>
        <v>0</v>
      </c>
      <c r="W220" s="187">
        <f>J220*IFERROR(VLOOKUP(A220,[1]Tørstofindhold!A$2:B$24,2,FALSE),0)</f>
        <v>0</v>
      </c>
      <c r="X220" s="188">
        <f t="shared" si="65"/>
        <v>0</v>
      </c>
      <c r="Y220" s="168">
        <f t="shared" si="60"/>
        <v>0</v>
      </c>
      <c r="Z220" s="103">
        <f t="shared" si="61"/>
        <v>1</v>
      </c>
    </row>
    <row r="221" spans="1:26" x14ac:dyDescent="0.25">
      <c r="A221" s="189" t="str">
        <f t="shared" si="56"/>
        <v>Majs</v>
      </c>
      <c r="B221" s="189" t="str">
        <f t="shared" si="57"/>
        <v>Græs og urter</v>
      </c>
      <c r="C221" s="189">
        <f>IF(COUNTIFS('Resultater - Danmark'!$D$3:$D$504,'Resultat-Produktion &amp; forbrug'!A221,'Resultater - Danmark'!$A$3:$A$504,"Til energi")+COUNTIFS('Resultater - Danmark'!$D$3:$D$504,'Resultat-Produktion &amp; forbrug'!A221,'Resultater - Danmark'!$A$3:$A$504,"Biogasanlæg")&gt;0,1,0)</f>
        <v>1</v>
      </c>
      <c r="D221" s="189">
        <f t="shared" si="58"/>
        <v>2030</v>
      </c>
      <c r="E221" s="187" t="s">
        <v>24</v>
      </c>
      <c r="F221" s="190">
        <f>IF(E221="Vestdanmark",SUMIFS(IF(D221=År1,'Resultater - Vestdanmark'!H$3:H$504,IF(D221=År2,'Resultater - Vestdanmark'!I$3:I$504,'Resultater - Vestdanmark'!J$3:J$504)),'Resultater - Vestdanmark'!$F$3:$F$504,$A221,IF(D221=År1,'Resultater - Vestdanmark'!H$3:H$504,IF(D221=År2,'Resultater - Vestdanmark'!I$3:I$504,'Resultater - Vestdanmark'!J$3:J$504)),"&gt;0"),SUMIFS(IF(D221=År1,'Resultater - Østdanmark'!H$3:H$504,IF(D221=År2,'Resultater - Østdanmark'!I$3:I$504,'Resultater - Østdanmark'!J$3:J$504)),'Resultater - Østdanmark'!$F$3:$F$504,$A221,IF(D221=År1,'Resultater - Østdanmark'!H$3:H$504,IF(D221=År2,'Resultater - Østdanmark'!I$3:I$504,'Resultater - Østdanmark'!J$3:J$504)),"&gt;0"))</f>
        <v>387291.92766215833</v>
      </c>
      <c r="G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forbrug'!G$2,'Forbrug af biomasse'!$B$2:$B$425,$E221)</f>
        <v>833223.91333114496</v>
      </c>
      <c r="H221" s="187">
        <f>IF(E221="Vestdanmark",-IF(A221="Halm",SUMIFS(IF(D221=År1,'Resultater - Vestdanmark'!H$3:H$504,IF(D221=År2,'Resultater - Vestdanmark'!I$3:I$504,'Resultater - Vestdanmark'!J$3:J$504)),'Resultater - Vestdanmark'!$F$3:$F$504,$A221,'Resultater - Vestdanmark'!H$3:H$504,"&lt;0"),0),-IF(A221="Halm",SUMIFS(IF(D221=År1,'Resultater - Østdanmark'!H$3:H$504,IF(D221=År2,'Resultater - Østdanmark'!I$3:I$504,'Resultater - Østdanmark'!J$3:J$504)),'Resultater - Østdanmark'!$F$3:$F$504,$A221,'Resultater - Østdanmark'!H$3:H$504,"&lt;0"),0))</f>
        <v>0</v>
      </c>
      <c r="I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forbrug'!I$2,'Forbrug af biomasse'!$B$2:$B$425,$E221)</f>
        <v>0</v>
      </c>
      <c r="J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forbrug'!J$2,'Forbrug af biomasse'!$B$2:$B$425,$E221)</f>
        <v>15243.990880599462</v>
      </c>
      <c r="K221" s="190">
        <f>SUMIFS('Forbrug af biomasse'!$E$2:$E$425,'Forbrug af biomasse'!$C$2:$C$425,'Resultat-Produktion &amp; forbrug'!$A221,'Forbrug af biomasse'!$D$2:$D$425,'Resultat-Produktion &amp; forbrug'!$D221,'Forbrug af biomasse'!$A$2:$A$425,'Resultat-Produktion &amp; forbrug'!K$2,'Forbrug af biomasse'!$B$2:$B$425,$E221)</f>
        <v>0</v>
      </c>
      <c r="L221" s="190">
        <f>IF(A221&lt;&gt;"Biogas",SUMIFS('Forbrug af biomasse'!$E$2:$E$425,'Forbrug af biomasse'!$C$2:$C$425,'Resultat-Produktion &amp; forbrug'!$A221,'Forbrug af biomasse'!$D$2:$D$425,'Resultat-Produktion &amp; forbrug'!$D221,'Forbrug af biomasse'!$A$2:$A$425,'Resultat-Produktion &amp; forbrug'!L$2,'Forbrug af biomasse'!$B$2:$B$425,$E221),F221)</f>
        <v>0</v>
      </c>
      <c r="M221" s="154">
        <f>SUMIFS('Forbrug af biomasse'!E:E,'Forbrug af biomasse'!C:C,'Resultat-Produktion &amp; forbrug'!$A221,'Forbrug af biomasse'!D:D,'Resultat-Produktion &amp; forbrug'!$D221,'Forbrug af biomasse'!G:G,1,'Forbrug af biomasse'!B:B,$E221)</f>
        <v>0</v>
      </c>
      <c r="N221" s="199">
        <f t="shared" si="62"/>
        <v>-461175.97654958611</v>
      </c>
      <c r="O221" s="190">
        <f t="shared" si="59"/>
        <v>0</v>
      </c>
      <c r="P221" s="200">
        <f t="shared" si="63"/>
        <v>15243.990880599462</v>
      </c>
      <c r="Q221" s="187">
        <f>IFERROR(VLOOKUP(A221,[1]Energiindhold!$A$2:$C$11,3,FALSE),IFERROR(VLOOKUP(A221,[1]Biogasudbytte!$A$2:$B$18,2,FALSE)*[1]Energiindhold!$C$10,0))*O221</f>
        <v>0</v>
      </c>
      <c r="R221" s="187">
        <f>IF(A221&lt;&gt;"Biogas",IFERROR(VLOOKUP(A221,[1]Biogasudbytte!$A$2:$B$18,2,FALSE)*[1]Energiindhold!$C$10,0)*J221*IFERROR(VLOOKUP(A221,Biogasanlæg!$F$3:$G$8,2,FALSE),1)+IFERROR(VLOOKUP(A221,[1]Energiindhold!$A$2:$C$11,3,FALSE),0)*L221+IF(D221&lt;&gt;År1,Q221,0),0)</f>
        <v>5.4725927261352073E-2</v>
      </c>
      <c r="S221" s="187">
        <f>IFERROR(VLOOKUP(A221,[1]Biogasudbytte!$A$2:$B$18,2,FALSE)*[1]Energiindhold!$C$10,0)*J221*IFERROR(VLOOKUP(A221,Biogasanlæg!$F$3:$G$8,2,FALSE),1)</f>
        <v>5.4725927261352073E-2</v>
      </c>
      <c r="T221" s="188">
        <f t="shared" si="64"/>
        <v>0</v>
      </c>
      <c r="U221" s="186">
        <f>O221*IFERROR(VLOOKUP(A221,[1]Tørstofindhold!A$2:B$24,2,FALSE),0)</f>
        <v>0</v>
      </c>
      <c r="V221" s="187">
        <f>IF(D221=År1,P221,SUM(O221,P221))*IFERROR(VLOOKUP(A221,[1]Tørstofindhold!A$2:B$24,2,FALSE),0)</f>
        <v>4573.1972641798384</v>
      </c>
      <c r="W221" s="187">
        <f>J221*IFERROR(VLOOKUP(A221,[1]Tørstofindhold!A$2:B$24,2,FALSE),0)</f>
        <v>4573.1972641798384</v>
      </c>
      <c r="X221" s="188">
        <f t="shared" si="65"/>
        <v>0</v>
      </c>
      <c r="Y221" s="168">
        <f t="shared" si="60"/>
        <v>0</v>
      </c>
      <c r="Z221" s="103">
        <f t="shared" si="61"/>
        <v>1</v>
      </c>
    </row>
    <row r="222" spans="1:26" x14ac:dyDescent="0.25">
      <c r="A222" s="189" t="str">
        <f t="shared" si="56"/>
        <v>Mejeriprodukter</v>
      </c>
      <c r="B222" s="189" t="str">
        <f t="shared" si="57"/>
        <v/>
      </c>
      <c r="C222" s="189">
        <f>IF(COUNTIFS('Resultater - Danmark'!$D$3:$D$504,'Resultat-Produktion &amp; forbrug'!A222,'Resultater - Danmark'!$A$3:$A$504,"Til energi")+COUNTIFS('Resultater - Danmark'!$D$3:$D$504,'Resultat-Produktion &amp; forbrug'!A222,'Resultater - Danmark'!$A$3:$A$504,"Biogasanlæg")&gt;0,1,0)</f>
        <v>0</v>
      </c>
      <c r="D222" s="189">
        <f t="shared" si="58"/>
        <v>2030</v>
      </c>
      <c r="E222" s="187" t="s">
        <v>24</v>
      </c>
      <c r="F222" s="190">
        <f>IF(E222="Vestdanmark",SUMIFS(IF(D222=År1,'Resultater - Vestdanmark'!H$3:H$504,IF(D222=År2,'Resultater - Vestdanmark'!I$3:I$504,'Resultater - Vestdanmark'!J$3:J$504)),'Resultater - Vestdanmark'!$F$3:$F$504,$A222,IF(D222=År1,'Resultater - Vestdanmark'!H$3:H$504,IF(D222=År2,'Resultater - Vestdanmark'!I$3:I$504,'Resultater - Vestdanmark'!J$3:J$504)),"&gt;0"),SUMIFS(IF(D222=År1,'Resultater - Østdanmark'!H$3:H$504,IF(D222=År2,'Resultater - Østdanmark'!I$3:I$504,'Resultater - Østdanmark'!J$3:J$504)),'Resultater - Østdanmark'!$F$3:$F$504,$A222,IF(D222=År1,'Resultater - Østdanmark'!H$3:H$504,IF(D222=År2,'Resultater - Østdanmark'!I$3:I$504,'Resultater - Østdanmark'!J$3:J$504)),"&gt;0"))</f>
        <v>266755.84485045663</v>
      </c>
      <c r="G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forbrug'!G$2,'Forbrug af biomasse'!$B$2:$B$425,$E222)</f>
        <v>0</v>
      </c>
      <c r="H222" s="187">
        <f>IF(E222="Vestdanmark",-IF(A222="Halm",SUMIFS(IF(D222=År1,'Resultater - Vestdanmark'!H$3:H$504,IF(D222=År2,'Resultater - Vestdanmark'!I$3:I$504,'Resultater - Vestdanmark'!J$3:J$504)),'Resultater - Vestdanmark'!$F$3:$F$504,$A222,'Resultater - Vestdanmark'!H$3:H$504,"&lt;0"),0),-IF(A222="Halm",SUMIFS(IF(D222=År1,'Resultater - Østdanmark'!H$3:H$504,IF(D222=År2,'Resultater - Østdanmark'!I$3:I$504,'Resultater - Østdanmark'!J$3:J$504)),'Resultater - Østdanmark'!$F$3:$F$504,$A222,'Resultater - Østdanmark'!H$3:H$504,"&lt;0"),0))</f>
        <v>0</v>
      </c>
      <c r="I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forbrug'!I$2,'Forbrug af biomasse'!$B$2:$B$425,$E222)</f>
        <v>409035.43180711387</v>
      </c>
      <c r="J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forbrug'!J$2,'Forbrug af biomasse'!$B$2:$B$425,$E222)</f>
        <v>0</v>
      </c>
      <c r="K222" s="190">
        <f>SUMIFS('Forbrug af biomasse'!$E$2:$E$425,'Forbrug af biomasse'!$C$2:$C$425,'Resultat-Produktion &amp; forbrug'!$A222,'Forbrug af biomasse'!$D$2:$D$425,'Resultat-Produktion &amp; forbrug'!$D222,'Forbrug af biomasse'!$A$2:$A$425,'Resultat-Produktion &amp; forbrug'!K$2,'Forbrug af biomasse'!$B$2:$B$425,$E222)</f>
        <v>0</v>
      </c>
      <c r="L222" s="190">
        <f>IF(A222&lt;&gt;"Biogas",SUMIFS('Forbrug af biomasse'!$E$2:$E$425,'Forbrug af biomasse'!$C$2:$C$425,'Resultat-Produktion &amp; forbrug'!$A222,'Forbrug af biomasse'!$D$2:$D$425,'Resultat-Produktion &amp; forbrug'!$D222,'Forbrug af biomasse'!$A$2:$A$425,'Resultat-Produktion &amp; forbrug'!L$2,'Forbrug af biomasse'!$B$2:$B$425,$E222),F222)</f>
        <v>0</v>
      </c>
      <c r="M222" s="154">
        <f>SUMIFS('Forbrug af biomasse'!E:E,'Forbrug af biomasse'!C:C,'Resultat-Produktion &amp; forbrug'!$A222,'Forbrug af biomasse'!D:D,'Resultat-Produktion &amp; forbrug'!$D222,'Forbrug af biomasse'!G:G,1,'Forbrug af biomasse'!B:B,$E222)</f>
        <v>0</v>
      </c>
      <c r="N222" s="199">
        <f t="shared" si="62"/>
        <v>-142279.58695665724</v>
      </c>
      <c r="O222" s="190">
        <f t="shared" si="59"/>
        <v>0</v>
      </c>
      <c r="P222" s="200">
        <f t="shared" si="63"/>
        <v>0</v>
      </c>
      <c r="Q222" s="187">
        <f>IFERROR(VLOOKUP(A222,[1]Energiindhold!$A$2:$C$11,3,FALSE),IFERROR(VLOOKUP(A222,[1]Biogasudbytte!$A$2:$B$18,2,FALSE)*[1]Energiindhold!$C$10,0))*O222</f>
        <v>0</v>
      </c>
      <c r="R222" s="187">
        <f>IF(A222&lt;&gt;"Biogas",IFERROR(VLOOKUP(A222,[1]Biogasudbytte!$A$2:$B$18,2,FALSE)*[1]Energiindhold!$C$10,0)*J222*IFERROR(VLOOKUP(A222,Biogasanlæg!$F$3:$G$8,2,FALSE),1)+IFERROR(VLOOKUP(A222,[1]Energiindhold!$A$2:$C$11,3,FALSE),0)*L222+IF(D222&lt;&gt;År1,Q222,0),0)</f>
        <v>0</v>
      </c>
      <c r="S222" s="187">
        <f>IFERROR(VLOOKUP(A222,[1]Biogasudbytte!$A$2:$B$18,2,FALSE)*[1]Energiindhold!$C$10,0)*J222*IFERROR(VLOOKUP(A222,Biogasanlæg!$F$3:$G$8,2,FALSE),1)</f>
        <v>0</v>
      </c>
      <c r="T222" s="188">
        <f t="shared" si="64"/>
        <v>0</v>
      </c>
      <c r="U222" s="186">
        <f>O222*IFERROR(VLOOKUP(A222,[1]Tørstofindhold!A$2:B$24,2,FALSE),0)</f>
        <v>0</v>
      </c>
      <c r="V222" s="187">
        <f>IF(D222=År1,P222,SUM(O222,P222))*IFERROR(VLOOKUP(A222,[1]Tørstofindhold!A$2:B$24,2,FALSE),0)</f>
        <v>0</v>
      </c>
      <c r="W222" s="187">
        <f>J222*IFERROR(VLOOKUP(A222,[1]Tørstofindhold!A$2:B$24,2,FALSE),0)</f>
        <v>0</v>
      </c>
      <c r="X222" s="188">
        <f t="shared" si="65"/>
        <v>0</v>
      </c>
      <c r="Y222" s="168">
        <f t="shared" si="60"/>
        <v>0</v>
      </c>
      <c r="Z222" s="103">
        <f t="shared" si="61"/>
        <v>1</v>
      </c>
    </row>
    <row r="223" spans="1:26" x14ac:dyDescent="0.25">
      <c r="A223" s="189" t="str">
        <f t="shared" si="56"/>
        <v>Muslinger</v>
      </c>
      <c r="B223" s="189" t="str">
        <f t="shared" si="57"/>
        <v>Havbiomasse</v>
      </c>
      <c r="C223" s="189">
        <f>IF(COUNTIFS('Resultater - Danmark'!$D$3:$D$504,'Resultat-Produktion &amp; forbrug'!A223,'Resultater - Danmark'!$A$3:$A$504,"Til energi")+COUNTIFS('Resultater - Danmark'!$D$3:$D$504,'Resultat-Produktion &amp; forbrug'!A223,'Resultater - Danmark'!$A$3:$A$504,"Biogasanlæg")&gt;0,1,0)</f>
        <v>1</v>
      </c>
      <c r="D223" s="189">
        <f t="shared" si="58"/>
        <v>2030</v>
      </c>
      <c r="E223" s="187" t="s">
        <v>24</v>
      </c>
      <c r="F223" s="190">
        <f>IF(E223="Vestdanmark",SUMIFS(IF(D223=År1,'Resultater - Vestdanmark'!H$3:H$504,IF(D223=År2,'Resultater - Vestdanmark'!I$3:I$504,'Resultater - Vestdanmark'!J$3:J$504)),'Resultater - Vestdanmark'!$F$3:$F$504,$A223,IF(D223=År1,'Resultater - Vestdanmark'!H$3:H$504,IF(D223=År2,'Resultater - Vestdanmark'!I$3:I$504,'Resultater - Vestdanmark'!J$3:J$504)),"&gt;0"),SUMIFS(IF(D223=År1,'Resultater - Østdanmark'!H$3:H$504,IF(D223=År2,'Resultater - Østdanmark'!I$3:I$504,'Resultater - Østdanmark'!J$3:J$504)),'Resultater - Østdanmark'!$F$3:$F$504,$A223,IF(D223=År1,'Resultater - Østdanmark'!H$3:H$504,IF(D223=År2,'Resultater - Østdanmark'!I$3:I$504,'Resultater - Østdanmark'!J$3:J$504)),"&gt;0"))</f>
        <v>69865.048763892031</v>
      </c>
      <c r="G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forbrug'!G$2,'Forbrug af biomasse'!$B$2:$B$425,$E223)</f>
        <v>0</v>
      </c>
      <c r="H223" s="187">
        <f>IF(E223="Vestdanmark",-IF(A223="Halm",SUMIFS(IF(D223=År1,'Resultater - Vestdanmark'!H$3:H$504,IF(D223=År2,'Resultater - Vestdanmark'!I$3:I$504,'Resultater - Vestdanmark'!J$3:J$504)),'Resultater - Vestdanmark'!$F$3:$F$504,$A223,'Resultater - Vestdanmark'!H$3:H$504,"&lt;0"),0),-IF(A223="Halm",SUMIFS(IF(D223=År1,'Resultater - Østdanmark'!H$3:H$504,IF(D223=År2,'Resultater - Østdanmark'!I$3:I$504,'Resultater - Østdanmark'!J$3:J$504)),'Resultater - Østdanmark'!$F$3:$F$504,$A223,'Resultater - Østdanmark'!H$3:H$504,"&lt;0"),0))</f>
        <v>0</v>
      </c>
      <c r="I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forbrug'!I$2,'Forbrug af biomasse'!$B$2:$B$425,$E223)</f>
        <v>0</v>
      </c>
      <c r="J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forbrug'!J$2,'Forbrug af biomasse'!$B$2:$B$425,$E223)</f>
        <v>0</v>
      </c>
      <c r="K223" s="190">
        <f>SUMIFS('Forbrug af biomasse'!$E$2:$E$425,'Forbrug af biomasse'!$C$2:$C$425,'Resultat-Produktion &amp; forbrug'!$A223,'Forbrug af biomasse'!$D$2:$D$425,'Resultat-Produktion &amp; forbrug'!$D223,'Forbrug af biomasse'!$A$2:$A$425,'Resultat-Produktion &amp; forbrug'!K$2,'Forbrug af biomasse'!$B$2:$B$425,$E223)</f>
        <v>0</v>
      </c>
      <c r="L223" s="190">
        <f>IF(A223&lt;&gt;"Biogas",SUMIFS('Forbrug af biomasse'!$E$2:$E$425,'Forbrug af biomasse'!$C$2:$C$425,'Resultat-Produktion &amp; forbrug'!$A223,'Forbrug af biomasse'!$D$2:$D$425,'Resultat-Produktion &amp; forbrug'!$D223,'Forbrug af biomasse'!$A$2:$A$425,'Resultat-Produktion &amp; forbrug'!L$2,'Forbrug af biomasse'!$B$2:$B$425,$E223),F223)</f>
        <v>0</v>
      </c>
      <c r="M223" s="154">
        <f>SUMIFS('Forbrug af biomasse'!E:E,'Forbrug af biomasse'!C:C,'Resultat-Produktion &amp; forbrug'!$A223,'Forbrug af biomasse'!D:D,'Resultat-Produktion &amp; forbrug'!$D223,'Forbrug af biomasse'!G:G,1,'Forbrug af biomasse'!B:B,$E223)</f>
        <v>0</v>
      </c>
      <c r="N223" s="199">
        <f t="shared" si="62"/>
        <v>69865.048763892031</v>
      </c>
      <c r="O223" s="190">
        <f t="shared" si="59"/>
        <v>69865.048763892031</v>
      </c>
      <c r="P223" s="200">
        <f t="shared" si="63"/>
        <v>0</v>
      </c>
      <c r="Q223" s="187">
        <f>IFERROR(VLOOKUP(A223,[1]Energiindhold!$A$2:$C$11,3,FALSE),IFERROR(VLOOKUP(A223,[1]Biogasudbytte!$A$2:$B$18,2,FALSE)*[1]Energiindhold!$C$10,0))*O223</f>
        <v>6.2703881265593106E-2</v>
      </c>
      <c r="R223" s="187">
        <f>IF(A223&lt;&gt;"Biogas",IFERROR(VLOOKUP(A223,[1]Biogasudbytte!$A$2:$B$18,2,FALSE)*[1]Energiindhold!$C$10,0)*J223*IFERROR(VLOOKUP(A223,Biogasanlæg!$F$3:$G$8,2,FALSE),1)+IFERROR(VLOOKUP(A223,[1]Energiindhold!$A$2:$C$11,3,FALSE),0)*L223+IF(D223&lt;&gt;År1,Q223,0),0)</f>
        <v>6.2703881265593106E-2</v>
      </c>
      <c r="S223" s="187">
        <f>IFERROR(VLOOKUP(A223,[1]Biogasudbytte!$A$2:$B$18,2,FALSE)*[1]Energiindhold!$C$10,0)*J223*IFERROR(VLOOKUP(A223,Biogasanlæg!$F$3:$G$8,2,FALSE),1)</f>
        <v>0</v>
      </c>
      <c r="T223" s="188">
        <f t="shared" si="64"/>
        <v>6.2703881265593106E-2</v>
      </c>
      <c r="U223" s="186">
        <f>O223*IFERROR(VLOOKUP(A223,[1]Tørstofindhold!A$2:B$24,2,FALSE),0)</f>
        <v>10479.757314583805</v>
      </c>
      <c r="V223" s="187">
        <f>IF(D223=År1,P223,SUM(O223,P223))*IFERROR(VLOOKUP(A223,[1]Tørstofindhold!A$2:B$24,2,FALSE),0)</f>
        <v>10479.757314583805</v>
      </c>
      <c r="W223" s="187">
        <f>J223*IFERROR(VLOOKUP(A223,[1]Tørstofindhold!A$2:B$24,2,FALSE),0)</f>
        <v>0</v>
      </c>
      <c r="X223" s="188">
        <f t="shared" si="65"/>
        <v>10479.757314583805</v>
      </c>
      <c r="Y223" s="168">
        <f t="shared" si="60"/>
        <v>0</v>
      </c>
      <c r="Z223" s="103">
        <f t="shared" si="61"/>
        <v>1</v>
      </c>
    </row>
    <row r="224" spans="1:26" x14ac:dyDescent="0.25">
      <c r="A224" s="189" t="str">
        <f t="shared" si="56"/>
        <v>Oksekød</v>
      </c>
      <c r="B224" s="189" t="str">
        <f t="shared" si="57"/>
        <v/>
      </c>
      <c r="C224" s="189">
        <f>IF(COUNTIFS('Resultater - Danmark'!$D$3:$D$504,'Resultat-Produktion &amp; forbrug'!A224,'Resultater - Danmark'!$A$3:$A$504,"Til energi")+COUNTIFS('Resultater - Danmark'!$D$3:$D$504,'Resultat-Produktion &amp; forbrug'!A224,'Resultater - Danmark'!$A$3:$A$504,"Biogasanlæg")&gt;0,1,0)</f>
        <v>0</v>
      </c>
      <c r="D224" s="189">
        <f t="shared" si="58"/>
        <v>2030</v>
      </c>
      <c r="E224" s="187" t="s">
        <v>24</v>
      </c>
      <c r="F224" s="190">
        <f>IF(E224="Vestdanmark",SUMIFS(IF(D224=År1,'Resultater - Vestdanmark'!H$3:H$504,IF(D224=År2,'Resultater - Vestdanmark'!I$3:I$504,'Resultater - Vestdanmark'!J$3:J$504)),'Resultater - Vestdanmark'!$F$3:$F$504,$A224,IF(D224=År1,'Resultater - Vestdanmark'!H$3:H$504,IF(D224=År2,'Resultater - Vestdanmark'!I$3:I$504,'Resultater - Vestdanmark'!J$3:J$504)),"&gt;0"),SUMIFS(IF(D224=År1,'Resultater - Østdanmark'!H$3:H$504,IF(D224=År2,'Resultater - Østdanmark'!I$3:I$504,'Resultater - Østdanmark'!J$3:J$504)),'Resultater - Østdanmark'!$F$3:$F$504,$A224,IF(D224=År1,'Resultater - Østdanmark'!H$3:H$504,IF(D224=År2,'Resultater - Østdanmark'!I$3:I$504,'Resultater - Østdanmark'!J$3:J$504)),"&gt;0"))</f>
        <v>9054.9543846077213</v>
      </c>
      <c r="G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forbrug'!G$2,'Forbrug af biomasse'!$B$2:$B$425,$E224)</f>
        <v>0</v>
      </c>
      <c r="H224" s="187">
        <f>IF(E224="Vestdanmark",-IF(A224="Halm",SUMIFS(IF(D224=År1,'Resultater - Vestdanmark'!H$3:H$504,IF(D224=År2,'Resultater - Vestdanmark'!I$3:I$504,'Resultater - Vestdanmark'!J$3:J$504)),'Resultater - Vestdanmark'!$F$3:$F$504,$A224,'Resultater - Vestdanmark'!H$3:H$504,"&lt;0"),0),-IF(A224="Halm",SUMIFS(IF(D224=År1,'Resultater - Østdanmark'!H$3:H$504,IF(D224=År2,'Resultater - Østdanmark'!I$3:I$504,'Resultater - Østdanmark'!J$3:J$504)),'Resultater - Østdanmark'!$F$3:$F$504,$A224,'Resultater - Østdanmark'!H$3:H$504,"&lt;0"),0))</f>
        <v>0</v>
      </c>
      <c r="I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forbrug'!I$2,'Forbrug af biomasse'!$B$2:$B$425,$E224)</f>
        <v>51975.70917962808</v>
      </c>
      <c r="J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forbrug'!J$2,'Forbrug af biomasse'!$B$2:$B$425,$E224)</f>
        <v>0</v>
      </c>
      <c r="K224" s="190">
        <f>SUMIFS('Forbrug af biomasse'!$E$2:$E$425,'Forbrug af biomasse'!$C$2:$C$425,'Resultat-Produktion &amp; forbrug'!$A224,'Forbrug af biomasse'!$D$2:$D$425,'Resultat-Produktion &amp; forbrug'!$D224,'Forbrug af biomasse'!$A$2:$A$425,'Resultat-Produktion &amp; forbrug'!K$2,'Forbrug af biomasse'!$B$2:$B$425,$E224)</f>
        <v>0</v>
      </c>
      <c r="L224" s="190">
        <f>IF(A224&lt;&gt;"Biogas",SUMIFS('Forbrug af biomasse'!$E$2:$E$425,'Forbrug af biomasse'!$C$2:$C$425,'Resultat-Produktion &amp; forbrug'!$A224,'Forbrug af biomasse'!$D$2:$D$425,'Resultat-Produktion &amp; forbrug'!$D224,'Forbrug af biomasse'!$A$2:$A$425,'Resultat-Produktion &amp; forbrug'!L$2,'Forbrug af biomasse'!$B$2:$B$425,$E224),F224)</f>
        <v>0</v>
      </c>
      <c r="M224" s="154">
        <f>SUMIFS('Forbrug af biomasse'!E:E,'Forbrug af biomasse'!C:C,'Resultat-Produktion &amp; forbrug'!$A224,'Forbrug af biomasse'!D:D,'Resultat-Produktion &amp; forbrug'!$D224,'Forbrug af biomasse'!G:G,1,'Forbrug af biomasse'!B:B,$E224)</f>
        <v>0</v>
      </c>
      <c r="N224" s="199">
        <f t="shared" si="62"/>
        <v>-42920.754795020359</v>
      </c>
      <c r="O224" s="190">
        <f t="shared" si="59"/>
        <v>0</v>
      </c>
      <c r="P224" s="200">
        <f t="shared" si="63"/>
        <v>0</v>
      </c>
      <c r="Q224" s="187">
        <f>IFERROR(VLOOKUP(A224,[1]Energiindhold!$A$2:$C$11,3,FALSE),IFERROR(VLOOKUP(A224,[1]Biogasudbytte!$A$2:$B$18,2,FALSE)*[1]Energiindhold!$C$10,0))*O224</f>
        <v>0</v>
      </c>
      <c r="R224" s="187">
        <f>IF(A224&lt;&gt;"Biogas",IFERROR(VLOOKUP(A224,[1]Biogasudbytte!$A$2:$B$18,2,FALSE)*[1]Energiindhold!$C$10,0)*J224*IFERROR(VLOOKUP(A224,Biogasanlæg!$F$3:$G$8,2,FALSE),1)+IFERROR(VLOOKUP(A224,[1]Energiindhold!$A$2:$C$11,3,FALSE),0)*L224+IF(D224&lt;&gt;År1,Q224,0),0)</f>
        <v>0</v>
      </c>
      <c r="S224" s="187">
        <f>IFERROR(VLOOKUP(A224,[1]Biogasudbytte!$A$2:$B$18,2,FALSE)*[1]Energiindhold!$C$10,0)*J224*IFERROR(VLOOKUP(A224,Biogasanlæg!$F$3:$G$8,2,FALSE),1)</f>
        <v>0</v>
      </c>
      <c r="T224" s="188">
        <f t="shared" si="64"/>
        <v>0</v>
      </c>
      <c r="U224" s="186">
        <f>O224*IFERROR(VLOOKUP(A224,[1]Tørstofindhold!A$2:B$24,2,FALSE),0)</f>
        <v>0</v>
      </c>
      <c r="V224" s="187">
        <f>IF(D224=År1,P224,SUM(O224,P224))*IFERROR(VLOOKUP(A224,[1]Tørstofindhold!A$2:B$24,2,FALSE),0)</f>
        <v>0</v>
      </c>
      <c r="W224" s="187">
        <f>J224*IFERROR(VLOOKUP(A224,[1]Tørstofindhold!A$2:B$24,2,FALSE),0)</f>
        <v>0</v>
      </c>
      <c r="X224" s="188">
        <f t="shared" si="65"/>
        <v>0</v>
      </c>
      <c r="Y224" s="168">
        <f t="shared" si="60"/>
        <v>0</v>
      </c>
      <c r="Z224" s="103">
        <f t="shared" si="61"/>
        <v>1</v>
      </c>
    </row>
    <row r="225" spans="1:26" x14ac:dyDescent="0.25">
      <c r="A225" s="189" t="str">
        <f t="shared" si="56"/>
        <v>Øvrige</v>
      </c>
      <c r="B225" s="189" t="str">
        <f t="shared" si="57"/>
        <v/>
      </c>
      <c r="C225" s="189">
        <f>IF(COUNTIFS('Resultater - Danmark'!$D$3:$D$504,'Resultat-Produktion &amp; forbrug'!A225,'Resultater - Danmark'!$A$3:$A$504,"Til energi")+COUNTIFS('Resultater - Danmark'!$D$3:$D$504,'Resultat-Produktion &amp; forbrug'!A225,'Resultater - Danmark'!$A$3:$A$504,"Biogasanlæg")&gt;0,1,0)</f>
        <v>0</v>
      </c>
      <c r="D225" s="189">
        <f t="shared" si="58"/>
        <v>2030</v>
      </c>
      <c r="E225" s="187" t="s">
        <v>24</v>
      </c>
      <c r="F225" s="190">
        <f>IF(E225="Vestdanmark",SUMIFS(IF(D225=År1,'Resultater - Vestdanmark'!H$3:H$504,IF(D225=År2,'Resultater - Vestdanmark'!I$3:I$504,'Resultater - Vestdanmark'!J$3:J$504)),'Resultater - Vestdanmark'!$F$3:$F$504,$A225,IF(D225=År1,'Resultater - Vestdanmark'!H$3:H$504,IF(D225=År2,'Resultater - Vestdanmark'!I$3:I$504,'Resultater - Vestdanmark'!J$3:J$504)),"&gt;0"),SUMIFS(IF(D225=År1,'Resultater - Østdanmark'!H$3:H$504,IF(D225=År2,'Resultater - Østdanmark'!I$3:I$504,'Resultater - Østdanmark'!J$3:J$504)),'Resultater - Østdanmark'!$F$3:$F$504,$A225,IF(D225=År1,'Resultater - Østdanmark'!H$3:H$504,IF(D225=År2,'Resultater - Østdanmark'!I$3:I$504,'Resultater - Østdanmark'!J$3:J$504)),"&gt;0"))</f>
        <v>416697.13769709459</v>
      </c>
      <c r="G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forbrug'!G$2,'Forbrug af biomasse'!$B$2:$B$425,$E225)</f>
        <v>0</v>
      </c>
      <c r="H225" s="187">
        <f>IF(E225="Vestdanmark",-IF(A225="Halm",SUMIFS(IF(D225=År1,'Resultater - Vestdanmark'!H$3:H$504,IF(D225=År2,'Resultater - Vestdanmark'!I$3:I$504,'Resultater - Vestdanmark'!J$3:J$504)),'Resultater - Vestdanmark'!$F$3:$F$504,$A225,'Resultater - Vestdanmark'!H$3:H$504,"&lt;0"),0),-IF(A225="Halm",SUMIFS(IF(D225=År1,'Resultater - Østdanmark'!H$3:H$504,IF(D225=År2,'Resultater - Østdanmark'!I$3:I$504,'Resultater - Østdanmark'!J$3:J$504)),'Resultater - Østdanmark'!$F$3:$F$504,$A225,'Resultater - Østdanmark'!H$3:H$504,"&lt;0"),0))</f>
        <v>0</v>
      </c>
      <c r="I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forbrug'!I$2,'Forbrug af biomasse'!$B$2:$B$425,$E225)</f>
        <v>0</v>
      </c>
      <c r="J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forbrug'!J$2,'Forbrug af biomasse'!$B$2:$B$425,$E225)</f>
        <v>0</v>
      </c>
      <c r="K225" s="190">
        <f>SUMIFS('Forbrug af biomasse'!$E$2:$E$425,'Forbrug af biomasse'!$C$2:$C$425,'Resultat-Produktion &amp; forbrug'!$A225,'Forbrug af biomasse'!$D$2:$D$425,'Resultat-Produktion &amp; forbrug'!$D225,'Forbrug af biomasse'!$A$2:$A$425,'Resultat-Produktion &amp; forbrug'!K$2,'Forbrug af biomasse'!$B$2:$B$425,$E225)</f>
        <v>0</v>
      </c>
      <c r="L225" s="190">
        <f>IF(A225&lt;&gt;"Biogas",SUMIFS('Forbrug af biomasse'!$E$2:$E$425,'Forbrug af biomasse'!$C$2:$C$425,'Resultat-Produktion &amp; forbrug'!$A225,'Forbrug af biomasse'!$D$2:$D$425,'Resultat-Produktion &amp; forbrug'!$D225,'Forbrug af biomasse'!$A$2:$A$425,'Resultat-Produktion &amp; forbrug'!L$2,'Forbrug af biomasse'!$B$2:$B$425,$E225),F225)</f>
        <v>0</v>
      </c>
      <c r="M225" s="154">
        <f>SUMIFS('Forbrug af biomasse'!E:E,'Forbrug af biomasse'!C:C,'Resultat-Produktion &amp; forbrug'!$A225,'Forbrug af biomasse'!D:D,'Resultat-Produktion &amp; forbrug'!$D225,'Forbrug af biomasse'!G:G,1,'Forbrug af biomasse'!B:B,$E225)</f>
        <v>0</v>
      </c>
      <c r="N225" s="199">
        <f t="shared" si="62"/>
        <v>416697.13769709459</v>
      </c>
      <c r="O225" s="190">
        <f t="shared" si="59"/>
        <v>0</v>
      </c>
      <c r="P225" s="200">
        <f t="shared" si="63"/>
        <v>0</v>
      </c>
      <c r="Q225" s="187">
        <f>IFERROR(VLOOKUP(A225,[1]Energiindhold!$A$2:$C$11,3,FALSE),IFERROR(VLOOKUP(A225,[1]Biogasudbytte!$A$2:$B$18,2,FALSE)*[1]Energiindhold!$C$10,0))*O225</f>
        <v>0</v>
      </c>
      <c r="R225" s="187">
        <f>IF(A225&lt;&gt;"Biogas",IFERROR(VLOOKUP(A225,[1]Biogasudbytte!$A$2:$B$18,2,FALSE)*[1]Energiindhold!$C$10,0)*J225*IFERROR(VLOOKUP(A225,Biogasanlæg!$F$3:$G$8,2,FALSE),1)+IFERROR(VLOOKUP(A225,[1]Energiindhold!$A$2:$C$11,3,FALSE),0)*L225+IF(D225&lt;&gt;År1,Q225,0),0)</f>
        <v>0</v>
      </c>
      <c r="S225" s="187">
        <f>IFERROR(VLOOKUP(A225,[1]Biogasudbytte!$A$2:$B$18,2,FALSE)*[1]Energiindhold!$C$10,0)*J225*IFERROR(VLOOKUP(A225,Biogasanlæg!$F$3:$G$8,2,FALSE),1)</f>
        <v>0</v>
      </c>
      <c r="T225" s="188">
        <f t="shared" si="64"/>
        <v>0</v>
      </c>
      <c r="U225" s="186">
        <f>O225*IFERROR(VLOOKUP(A225,[1]Tørstofindhold!A$2:B$24,2,FALSE),0)</f>
        <v>0</v>
      </c>
      <c r="V225" s="187">
        <f>IF(D225=År1,P225,SUM(O225,P225))*IFERROR(VLOOKUP(A225,[1]Tørstofindhold!A$2:B$24,2,FALSE),0)</f>
        <v>0</v>
      </c>
      <c r="W225" s="187">
        <f>J225*IFERROR(VLOOKUP(A225,[1]Tørstofindhold!A$2:B$24,2,FALSE),0)</f>
        <v>0</v>
      </c>
      <c r="X225" s="188">
        <f t="shared" si="65"/>
        <v>0</v>
      </c>
      <c r="Y225" s="168">
        <f t="shared" si="60"/>
        <v>0</v>
      </c>
      <c r="Z225" s="103">
        <f t="shared" si="61"/>
        <v>1</v>
      </c>
    </row>
    <row r="226" spans="1:26" x14ac:dyDescent="0.25">
      <c r="A226" s="189" t="str">
        <f t="shared" si="56"/>
        <v>Pil &amp; poppel</v>
      </c>
      <c r="B226" s="189" t="str">
        <f t="shared" si="57"/>
        <v>Vedmasse</v>
      </c>
      <c r="C226" s="189">
        <f>IF(COUNTIFS('Resultater - Danmark'!$D$3:$D$504,'Resultat-Produktion &amp; forbrug'!A226,'Resultater - Danmark'!$A$3:$A$504,"Til energi")+COUNTIFS('Resultater - Danmark'!$D$3:$D$504,'Resultat-Produktion &amp; forbrug'!A226,'Resultater - Danmark'!$A$3:$A$504,"Biogasanlæg")&gt;0,1,0)</f>
        <v>1</v>
      </c>
      <c r="D226" s="189">
        <f t="shared" si="58"/>
        <v>2030</v>
      </c>
      <c r="E226" s="187" t="s">
        <v>24</v>
      </c>
      <c r="F226" s="190">
        <f>IF(E226="Vestdanmark",SUMIFS(IF(D226=År1,'Resultater - Vestdanmark'!H$3:H$504,IF(D226=År2,'Resultater - Vestdanmark'!I$3:I$504,'Resultater - Vestdanmark'!J$3:J$504)),'Resultater - Vestdanmark'!$F$3:$F$504,$A226,IF(D226=År1,'Resultater - Vestdanmark'!H$3:H$504,IF(D226=År2,'Resultater - Vestdanmark'!I$3:I$504,'Resultater - Vestdanmark'!J$3:J$504)),"&gt;0"),SUMIFS(IF(D226=År1,'Resultater - Østdanmark'!H$3:H$504,IF(D226=År2,'Resultater - Østdanmark'!I$3:I$504,'Resultater - Østdanmark'!J$3:J$504)),'Resultater - Østdanmark'!$F$3:$F$504,$A226,IF(D226=År1,'Resultater - Østdanmark'!H$3:H$504,IF(D226=År2,'Resultater - Østdanmark'!I$3:I$504,'Resultater - Østdanmark'!J$3:J$504)),"&gt;0"))</f>
        <v>40614.954242467749</v>
      </c>
      <c r="G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forbrug'!G$2,'Forbrug af biomasse'!$B$2:$B$425,$E226)</f>
        <v>0</v>
      </c>
      <c r="H226" s="187">
        <f>IF(E226="Vestdanmark",-IF(A226="Halm",SUMIFS(IF(D226=År1,'Resultater - Vestdanmark'!H$3:H$504,IF(D226=År2,'Resultater - Vestdanmark'!I$3:I$504,'Resultater - Vestdanmark'!J$3:J$504)),'Resultater - Vestdanmark'!$F$3:$F$504,$A226,'Resultater - Vestdanmark'!H$3:H$504,"&lt;0"),0),-IF(A226="Halm",SUMIFS(IF(D226=År1,'Resultater - Østdanmark'!H$3:H$504,IF(D226=År2,'Resultater - Østdanmark'!I$3:I$504,'Resultater - Østdanmark'!J$3:J$504)),'Resultater - Østdanmark'!$F$3:$F$504,$A226,'Resultater - Østdanmark'!H$3:H$504,"&lt;0"),0))</f>
        <v>0</v>
      </c>
      <c r="I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forbrug'!I$2,'Forbrug af biomasse'!$B$2:$B$425,$E226)</f>
        <v>0</v>
      </c>
      <c r="J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forbrug'!J$2,'Forbrug af biomasse'!$B$2:$B$425,$E226)</f>
        <v>0</v>
      </c>
      <c r="K226" s="190">
        <f>SUMIFS('Forbrug af biomasse'!$E$2:$E$425,'Forbrug af biomasse'!$C$2:$C$425,'Resultat-Produktion &amp; forbrug'!$A226,'Forbrug af biomasse'!$D$2:$D$425,'Resultat-Produktion &amp; forbrug'!$D226,'Forbrug af biomasse'!$A$2:$A$425,'Resultat-Produktion &amp; forbrug'!K$2,'Forbrug af biomasse'!$B$2:$B$425,$E226)</f>
        <v>0</v>
      </c>
      <c r="L226" s="190">
        <f>IF(A226&lt;&gt;"Biogas",SUMIFS('Forbrug af biomasse'!$E$2:$E$425,'Forbrug af biomasse'!$C$2:$C$425,'Resultat-Produktion &amp; forbrug'!$A226,'Forbrug af biomasse'!$D$2:$D$425,'Resultat-Produktion &amp; forbrug'!$D226,'Forbrug af biomasse'!$A$2:$A$425,'Resultat-Produktion &amp; forbrug'!L$2,'Forbrug af biomasse'!$B$2:$B$425,$E226),F226)</f>
        <v>40614.954242467749</v>
      </c>
      <c r="M226" s="154">
        <f>SUMIFS('Forbrug af biomasse'!E:E,'Forbrug af biomasse'!C:C,'Resultat-Produktion &amp; forbrug'!$A226,'Forbrug af biomasse'!D:D,'Resultat-Produktion &amp; forbrug'!$D226,'Forbrug af biomasse'!G:G,1,'Forbrug af biomasse'!B:B,$E226)</f>
        <v>0</v>
      </c>
      <c r="N226" s="199">
        <f t="shared" si="62"/>
        <v>0</v>
      </c>
      <c r="O226" s="190">
        <f t="shared" si="59"/>
        <v>0</v>
      </c>
      <c r="P226" s="200">
        <f t="shared" si="63"/>
        <v>40614.954242467749</v>
      </c>
      <c r="Q226" s="187">
        <f>IFERROR(VLOOKUP(A226,[1]Energiindhold!$A$2:$C$11,3,FALSE),IFERROR(VLOOKUP(A226,[1]Biogasudbytte!$A$2:$B$18,2,FALSE)*[1]Energiindhold!$C$10,0))*O226</f>
        <v>0</v>
      </c>
      <c r="R226" s="187">
        <f>IF(A226&lt;&gt;"Biogas",IFERROR(VLOOKUP(A226,[1]Biogasudbytte!$A$2:$B$18,2,FALSE)*[1]Energiindhold!$C$10,0)*J226*IFERROR(VLOOKUP(A226,Biogasanlæg!$F$3:$G$8,2,FALSE),1)+IFERROR(VLOOKUP(A226,[1]Energiindhold!$A$2:$C$11,3,FALSE),0)*L226+IF(D226&lt;&gt;År1,Q226,0),0)</f>
        <v>0.74731515806140647</v>
      </c>
      <c r="S226" s="187">
        <f>IFERROR(VLOOKUP(A226,[1]Biogasudbytte!$A$2:$B$18,2,FALSE)*[1]Energiindhold!$C$10,0)*J226*IFERROR(VLOOKUP(A226,Biogasanlæg!$F$3:$G$8,2,FALSE),1)</f>
        <v>0</v>
      </c>
      <c r="T226" s="188">
        <f t="shared" si="64"/>
        <v>0.74731515806140647</v>
      </c>
      <c r="U226" s="186">
        <f>O226*IFERROR(VLOOKUP(A226,[1]Tørstofindhold!A$2:B$24,2,FALSE),0)</f>
        <v>0</v>
      </c>
      <c r="V226" s="187">
        <f>IF(D226=År1,P226,SUM(O226,P226))*IFERROR(VLOOKUP(A226,[1]Tørstofindhold!A$2:B$24,2,FALSE),0)</f>
        <v>16855.206010624119</v>
      </c>
      <c r="W226" s="187">
        <f>J226*IFERROR(VLOOKUP(A226,[1]Tørstofindhold!A$2:B$24,2,FALSE),0)</f>
        <v>0</v>
      </c>
      <c r="X226" s="188">
        <f t="shared" si="65"/>
        <v>16855.206010624119</v>
      </c>
      <c r="Y226" s="168">
        <f t="shared" si="60"/>
        <v>0</v>
      </c>
      <c r="Z226" s="103">
        <f t="shared" si="61"/>
        <v>0</v>
      </c>
    </row>
    <row r="227" spans="1:26" x14ac:dyDescent="0.25">
      <c r="A227" s="189" t="str">
        <f t="shared" ref="A227:A228" si="66">A179</f>
        <v>Pyrolysegas</v>
      </c>
      <c r="B227" s="189" t="str">
        <f t="shared" ref="B227:B228" si="67">IF(B179&lt;&gt;"",B179,"")</f>
        <v>Pyrolyseprodukter</v>
      </c>
      <c r="C227" s="189">
        <f>IF(COUNTIFS('Resultater - Danmark'!$D$3:$D$504,'Resultat-Produktion &amp; forbrug'!A227,'Resultater - Danmark'!$A$3:$A$504,"Til energi")+COUNTIFS('Resultater - Danmark'!$D$3:$D$504,'Resultat-Produktion &amp; forbrug'!A227,'Resultater - Danmark'!$A$3:$A$504,"Biogasanlæg")&gt;0,1,0)</f>
        <v>1</v>
      </c>
      <c r="D227" s="189">
        <f t="shared" si="58"/>
        <v>2030</v>
      </c>
      <c r="E227" s="187" t="s">
        <v>24</v>
      </c>
      <c r="F227" s="190">
        <f>IF(E227="Vestdanmark",SUMIFS(IF(D227=År1,'Resultater - Vestdanmark'!H$3:H$504,IF(D227=År2,'Resultater - Vestdanmark'!I$3:I$504,'Resultater - Vestdanmark'!J$3:J$504)),'Resultater - Vestdanmark'!$F$3:$F$504,$A227,IF(D227=År1,'Resultater - Vestdanmark'!H$3:H$504,IF(D227=År2,'Resultater - Vestdanmark'!I$3:I$504,'Resultater - Vestdanmark'!J$3:J$504)),"&gt;0"),SUMIFS(IF(D227=År1,'Resultater - Østdanmark'!H$3:H$504,IF(D227=År2,'Resultater - Østdanmark'!I$3:I$504,'Resultater - Østdanmark'!J$3:J$504)),'Resultater - Østdanmark'!$F$3:$F$504,$A227,IF(D227=År1,'Resultater - Østdanmark'!H$3:H$504,IF(D227=År2,'Resultater - Østdanmark'!I$3:I$504,'Resultater - Østdanmark'!J$3:J$504)),"&gt;0"))</f>
        <v>0</v>
      </c>
      <c r="G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forbrug'!G$2,'Forbrug af biomasse'!$B$2:$B$425,$E227)</f>
        <v>0</v>
      </c>
      <c r="H227" s="187">
        <f>IF(E227="Vestdanmark",-IF(A227="Halm",SUMIFS(IF(D227=År1,'Resultater - Vestdanmark'!H$3:H$504,IF(D227=År2,'Resultater - Vestdanmark'!I$3:I$504,'Resultater - Vestdanmark'!J$3:J$504)),'Resultater - Vestdanmark'!$F$3:$F$504,$A227,'Resultater - Vestdanmark'!H$3:H$504,"&lt;0"),0),-IF(A227="Halm",SUMIFS(IF(D227=År1,'Resultater - Østdanmark'!H$3:H$504,IF(D227=År2,'Resultater - Østdanmark'!I$3:I$504,'Resultater - Østdanmark'!J$3:J$504)),'Resultater - Østdanmark'!$F$3:$F$504,$A227,'Resultater - Østdanmark'!H$3:H$504,"&lt;0"),0))</f>
        <v>0</v>
      </c>
      <c r="I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forbrug'!I$2,'Forbrug af biomasse'!$B$2:$B$425,$E227)</f>
        <v>0</v>
      </c>
      <c r="J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forbrug'!J$2,'Forbrug af biomasse'!$B$2:$B$425,$E227)</f>
        <v>0</v>
      </c>
      <c r="K227" s="190">
        <f>SUMIFS('Forbrug af biomasse'!$E$2:$E$425,'Forbrug af biomasse'!$C$2:$C$425,'Resultat-Produktion &amp; forbrug'!$A227,'Forbrug af biomasse'!$D$2:$D$425,'Resultat-Produktion &amp; forbrug'!$D227,'Forbrug af biomasse'!$A$2:$A$425,'Resultat-Produktion &amp; forbrug'!K$2,'Forbrug af biomasse'!$B$2:$B$425,$E227)</f>
        <v>0</v>
      </c>
      <c r="L227" s="190">
        <f>IF(A227&lt;&gt;"Biogas",SUMIFS('Forbrug af biomasse'!$E$2:$E$425,'Forbrug af biomasse'!$C$2:$C$425,'Resultat-Produktion &amp; forbrug'!$A227,'Forbrug af biomasse'!$D$2:$D$425,'Resultat-Produktion &amp; forbrug'!$D227,'Forbrug af biomasse'!$A$2:$A$425,'Resultat-Produktion &amp; forbrug'!L$2,'Forbrug af biomasse'!$B$2:$B$425,$E227),F227)</f>
        <v>0</v>
      </c>
      <c r="M227" s="154">
        <f>SUMIFS('Forbrug af biomasse'!E:E,'Forbrug af biomasse'!C:C,'Resultat-Produktion &amp; forbrug'!$A227,'Forbrug af biomasse'!D:D,'Resultat-Produktion &amp; forbrug'!$D227,'Forbrug af biomasse'!G:G,1,'Forbrug af biomasse'!B:B,$E227)</f>
        <v>0</v>
      </c>
      <c r="N227" s="199">
        <f t="shared" ref="N227:N228" si="68">F227-SUM(G227:M227)</f>
        <v>0</v>
      </c>
      <c r="O227" s="190">
        <f t="shared" si="59"/>
        <v>0</v>
      </c>
      <c r="P227" s="200">
        <f t="shared" ref="P227:P228" si="69">SUM(J227,L227)</f>
        <v>0</v>
      </c>
      <c r="Q227" s="187">
        <f>IFERROR(VLOOKUP(A227,[1]Energiindhold!$A$2:$C$11,3,FALSE),IFERROR(VLOOKUP(A227,[1]Biogasudbytte!$A$2:$B$18,2,FALSE)*[1]Energiindhold!$C$10,0))*O227</f>
        <v>0</v>
      </c>
      <c r="R227" s="187">
        <f>IF(A227&lt;&gt;"Biogas",IFERROR(VLOOKUP(A227,[1]Biogasudbytte!$A$2:$B$18,2,FALSE)*[1]Energiindhold!$C$10,0)*J227*IFERROR(VLOOKUP(A227,Biogasanlæg!$F$3:$G$8,2,FALSE),1)+IFERROR(VLOOKUP(A227,[1]Energiindhold!$A$2:$C$11,3,FALSE),0)*L227+IF(D227&lt;&gt;År1,Q227,0),0)</f>
        <v>0</v>
      </c>
      <c r="S227" s="187">
        <f>IFERROR(VLOOKUP(A227,[1]Biogasudbytte!$A$2:$B$18,2,FALSE)*[1]Energiindhold!$C$10,0)*J227*IFERROR(VLOOKUP(A227,Biogasanlæg!$F$3:$G$8,2,FALSE),1)</f>
        <v>0</v>
      </c>
      <c r="T227" s="188">
        <f t="shared" ref="T227:T228" si="70">R227-S227</f>
        <v>0</v>
      </c>
      <c r="U227" s="186">
        <f>O227*IFERROR(VLOOKUP(A227,[1]Tørstofindhold!A$2:B$24,2,FALSE),0)</f>
        <v>0</v>
      </c>
      <c r="V227" s="187">
        <f>IF(D227=År1,P227,SUM(O227,P227))*IFERROR(VLOOKUP(A227,[1]Tørstofindhold!A$2:B$24,2,FALSE),0)</f>
        <v>0</v>
      </c>
      <c r="W227" s="187">
        <f>J227*IFERROR(VLOOKUP(A227,[1]Tørstofindhold!A$2:B$24,2,FALSE),0)</f>
        <v>0</v>
      </c>
      <c r="X227" s="188">
        <f t="shared" ref="X227:X228" si="71">V227-W227</f>
        <v>0</v>
      </c>
      <c r="Y227" s="168">
        <f t="shared" si="60"/>
        <v>0</v>
      </c>
      <c r="Z227" s="103">
        <f t="shared" si="61"/>
        <v>0</v>
      </c>
    </row>
    <row r="228" spans="1:26" x14ac:dyDescent="0.25">
      <c r="A228" s="189" t="str">
        <f t="shared" si="66"/>
        <v>Pyrolyseolie</v>
      </c>
      <c r="B228" s="189" t="str">
        <f t="shared" si="67"/>
        <v>Pyrolyseprodukter</v>
      </c>
      <c r="C228" s="189">
        <f>IF(COUNTIFS('Resultater - Danmark'!$D$3:$D$504,'Resultat-Produktion &amp; forbrug'!A228,'Resultater - Danmark'!$A$3:$A$504,"Til energi")+COUNTIFS('Resultater - Danmark'!$D$3:$D$504,'Resultat-Produktion &amp; forbrug'!A228,'Resultater - Danmark'!$A$3:$A$504,"Biogasanlæg")&gt;0,1,0)</f>
        <v>1</v>
      </c>
      <c r="D228" s="189">
        <f t="shared" si="58"/>
        <v>2030</v>
      </c>
      <c r="E228" s="187" t="s">
        <v>24</v>
      </c>
      <c r="F228" s="190">
        <f>IF(E228="Vestdanmark",SUMIFS(IF(D228=År1,'Resultater - Vestdanmark'!H$3:H$504,IF(D228=År2,'Resultater - Vestdanmark'!I$3:I$504,'Resultater - Vestdanmark'!J$3:J$504)),'Resultater - Vestdanmark'!$F$3:$F$504,$A228,IF(D228=År1,'Resultater - Vestdanmark'!H$3:H$504,IF(D228=År2,'Resultater - Vestdanmark'!I$3:I$504,'Resultater - Vestdanmark'!J$3:J$504)),"&gt;0"),SUMIFS(IF(D228=År1,'Resultater - Østdanmark'!H$3:H$504,IF(D228=År2,'Resultater - Østdanmark'!I$3:I$504,'Resultater - Østdanmark'!J$3:J$504)),'Resultater - Østdanmark'!$F$3:$F$504,$A228,IF(D228=År1,'Resultater - Østdanmark'!H$3:H$504,IF(D228=År2,'Resultater - Østdanmark'!I$3:I$504,'Resultater - Østdanmark'!J$3:J$504)),"&gt;0"))</f>
        <v>0</v>
      </c>
      <c r="G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forbrug'!G$2,'Forbrug af biomasse'!$B$2:$B$425,$E228)</f>
        <v>0</v>
      </c>
      <c r="H228" s="187">
        <f>IF(E228="Vestdanmark",-IF(A228="Halm",SUMIFS(IF(D228=År1,'Resultater - Vestdanmark'!H$3:H$504,IF(D228=År2,'Resultater - Vestdanmark'!I$3:I$504,'Resultater - Vestdanmark'!J$3:J$504)),'Resultater - Vestdanmark'!$F$3:$F$504,$A228,'Resultater - Vestdanmark'!H$3:H$504,"&lt;0"),0),-IF(A228="Halm",SUMIFS(IF(D228=År1,'Resultater - Østdanmark'!H$3:H$504,IF(D228=År2,'Resultater - Østdanmark'!I$3:I$504,'Resultater - Østdanmark'!J$3:J$504)),'Resultater - Østdanmark'!$F$3:$F$504,$A228,'Resultater - Østdanmark'!H$3:H$504,"&lt;0"),0))</f>
        <v>0</v>
      </c>
      <c r="I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forbrug'!I$2,'Forbrug af biomasse'!$B$2:$B$425,$E228)</f>
        <v>0</v>
      </c>
      <c r="J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forbrug'!J$2,'Forbrug af biomasse'!$B$2:$B$425,$E228)</f>
        <v>0</v>
      </c>
      <c r="K228" s="190">
        <f>SUMIFS('Forbrug af biomasse'!$E$2:$E$425,'Forbrug af biomasse'!$C$2:$C$425,'Resultat-Produktion &amp; forbrug'!$A228,'Forbrug af biomasse'!$D$2:$D$425,'Resultat-Produktion &amp; forbrug'!$D228,'Forbrug af biomasse'!$A$2:$A$425,'Resultat-Produktion &amp; forbrug'!K$2,'Forbrug af biomasse'!$B$2:$B$425,$E228)</f>
        <v>0</v>
      </c>
      <c r="L228" s="190">
        <f>IF(A228&lt;&gt;"Biogas",SUMIFS('Forbrug af biomasse'!$E$2:$E$425,'Forbrug af biomasse'!$C$2:$C$425,'Resultat-Produktion &amp; forbrug'!$A228,'Forbrug af biomasse'!$D$2:$D$425,'Resultat-Produktion &amp; forbrug'!$D228,'Forbrug af biomasse'!$A$2:$A$425,'Resultat-Produktion &amp; forbrug'!L$2,'Forbrug af biomasse'!$B$2:$B$425,$E228),F228)</f>
        <v>0</v>
      </c>
      <c r="M228" s="154">
        <f>SUMIFS('Forbrug af biomasse'!E:E,'Forbrug af biomasse'!C:C,'Resultat-Produktion &amp; forbrug'!$A228,'Forbrug af biomasse'!D:D,'Resultat-Produktion &amp; forbrug'!$D228,'Forbrug af biomasse'!G:G,1,'Forbrug af biomasse'!B:B,$E228)</f>
        <v>0</v>
      </c>
      <c r="N228" s="199">
        <f t="shared" si="68"/>
        <v>0</v>
      </c>
      <c r="O228" s="190">
        <f t="shared" si="59"/>
        <v>0</v>
      </c>
      <c r="P228" s="200">
        <f t="shared" si="69"/>
        <v>0</v>
      </c>
      <c r="Q228" s="187">
        <f>IFERROR(VLOOKUP(A228,[1]Energiindhold!$A$2:$C$11,3,FALSE),IFERROR(VLOOKUP(A228,[1]Biogasudbytte!$A$2:$B$18,2,FALSE)*[1]Energiindhold!$C$10,0))*O228</f>
        <v>0</v>
      </c>
      <c r="R228" s="187">
        <f>IF(A228&lt;&gt;"Biogas",IFERROR(VLOOKUP(A228,[1]Biogasudbytte!$A$2:$B$18,2,FALSE)*[1]Energiindhold!$C$10,0)*J228*IFERROR(VLOOKUP(A228,Biogasanlæg!$F$3:$G$8,2,FALSE),1)+IFERROR(VLOOKUP(A228,[1]Energiindhold!$A$2:$C$11,3,FALSE),0)*L228+IF(D228&lt;&gt;År1,Q228,0),0)</f>
        <v>0</v>
      </c>
      <c r="S228" s="187">
        <f>IFERROR(VLOOKUP(A228,[1]Biogasudbytte!$A$2:$B$18,2,FALSE)*[1]Energiindhold!$C$10,0)*J228*IFERROR(VLOOKUP(A228,Biogasanlæg!$F$3:$G$8,2,FALSE),1)</f>
        <v>0</v>
      </c>
      <c r="T228" s="188">
        <f t="shared" si="70"/>
        <v>0</v>
      </c>
      <c r="U228" s="186">
        <f>O228*IFERROR(VLOOKUP(A228,[1]Tørstofindhold!A$2:B$24,2,FALSE),0)</f>
        <v>0</v>
      </c>
      <c r="V228" s="187">
        <f>IF(D228=År1,P228,SUM(O228,P228))*IFERROR(VLOOKUP(A228,[1]Tørstofindhold!A$2:B$24,2,FALSE),0)</f>
        <v>0</v>
      </c>
      <c r="W228" s="187">
        <f>J228*IFERROR(VLOOKUP(A228,[1]Tørstofindhold!A$2:B$24,2,FALSE),0)</f>
        <v>0</v>
      </c>
      <c r="X228" s="188">
        <f t="shared" si="71"/>
        <v>0</v>
      </c>
      <c r="Y228" s="168">
        <f t="shared" si="60"/>
        <v>0</v>
      </c>
      <c r="Z228" s="103">
        <f t="shared" si="61"/>
        <v>0</v>
      </c>
    </row>
    <row r="229" spans="1:26" x14ac:dyDescent="0.25">
      <c r="A229" s="189" t="str">
        <f t="shared" ref="A229:A274" si="72">A181</f>
        <v>Råmælk</v>
      </c>
      <c r="B229" s="189" t="str">
        <f t="shared" ref="B229:B274" si="73">IF(B181&lt;&gt;"",B181,"")</f>
        <v/>
      </c>
      <c r="C229" s="189">
        <f>IF(COUNTIFS('Resultater - Danmark'!$D$3:$D$504,'Resultat-Produktion &amp; forbrug'!A229,'Resultater - Danmark'!$A$3:$A$504,"Til energi")+COUNTIFS('Resultater - Danmark'!$D$3:$D$504,'Resultat-Produktion &amp; forbrug'!A229,'Resultater - Danmark'!$A$3:$A$504,"Biogasanlæg")&gt;0,1,0)</f>
        <v>0</v>
      </c>
      <c r="D229" s="189">
        <f t="shared" si="58"/>
        <v>2030</v>
      </c>
      <c r="E229" s="187" t="s">
        <v>24</v>
      </c>
      <c r="F229" s="190">
        <f>IF(E229="Vestdanmark",SUMIFS(IF(D229=År1,'Resultater - Vestdanmark'!H$3:H$504,IF(D229=År2,'Resultater - Vestdanmark'!I$3:I$504,'Resultater - Vestdanmark'!J$3:J$504)),'Resultater - Vestdanmark'!$F$3:$F$504,$A229,IF(D229=År1,'Resultater - Vestdanmark'!H$3:H$504,IF(D229=År2,'Resultater - Vestdanmark'!I$3:I$504,'Resultater - Vestdanmark'!J$3:J$504)),"&gt;0"),SUMIFS(IF(D229=År1,'Resultater - Østdanmark'!H$3:H$504,IF(D229=År2,'Resultater - Østdanmark'!I$3:I$504,'Resultater - Østdanmark'!J$3:J$504)),'Resultater - Østdanmark'!$F$3:$F$504,$A229,IF(D229=År1,'Resultater - Østdanmark'!H$3:H$504,IF(D229=År2,'Resultater - Østdanmark'!I$3:I$504,'Resultater - Østdanmark'!J$3:J$504)),"&gt;0"))</f>
        <v>415393.31848489033</v>
      </c>
      <c r="G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forbrug'!G$2,'Forbrug af biomasse'!$B$2:$B$425,$E229)</f>
        <v>0</v>
      </c>
      <c r="H229" s="187">
        <f>IF(E229="Vestdanmark",-IF(A229="Halm",SUMIFS(IF(D229=År1,'Resultater - Vestdanmark'!H$3:H$504,IF(D229=År2,'Resultater - Vestdanmark'!I$3:I$504,'Resultater - Vestdanmark'!J$3:J$504)),'Resultater - Vestdanmark'!$F$3:$F$504,$A229,'Resultater - Vestdanmark'!H$3:H$504,"&lt;0"),0),-IF(A229="Halm",SUMIFS(IF(D229=År1,'Resultater - Østdanmark'!H$3:H$504,IF(D229=År2,'Resultater - Østdanmark'!I$3:I$504,'Resultater - Østdanmark'!J$3:J$504)),'Resultater - Østdanmark'!$F$3:$F$504,$A229,'Resultater - Østdanmark'!H$3:H$504,"&lt;0"),0))</f>
        <v>0</v>
      </c>
      <c r="I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forbrug'!I$2,'Forbrug af biomasse'!$B$2:$B$425,$E229)</f>
        <v>0</v>
      </c>
      <c r="J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forbrug'!J$2,'Forbrug af biomasse'!$B$2:$B$425,$E229)</f>
        <v>0</v>
      </c>
      <c r="K229" s="190">
        <f>SUMIFS('Forbrug af biomasse'!$E$2:$E$425,'Forbrug af biomasse'!$C$2:$C$425,'Resultat-Produktion &amp; forbrug'!$A229,'Forbrug af biomasse'!$D$2:$D$425,'Resultat-Produktion &amp; forbrug'!$D229,'Forbrug af biomasse'!$A$2:$A$425,'Resultat-Produktion &amp; forbrug'!K$2,'Forbrug af biomasse'!$B$2:$B$425,$E229)</f>
        <v>0</v>
      </c>
      <c r="L229" s="190">
        <f>IF(A229&lt;&gt;"Biogas",SUMIFS('Forbrug af biomasse'!$E$2:$E$425,'Forbrug af biomasse'!$C$2:$C$425,'Resultat-Produktion &amp; forbrug'!$A229,'Forbrug af biomasse'!$D$2:$D$425,'Resultat-Produktion &amp; forbrug'!$D229,'Forbrug af biomasse'!$A$2:$A$425,'Resultat-Produktion &amp; forbrug'!L$2,'Forbrug af biomasse'!$B$2:$B$425,$E229),F229)</f>
        <v>0</v>
      </c>
      <c r="M229" s="154">
        <f>SUMIFS('Forbrug af biomasse'!E:E,'Forbrug af biomasse'!C:C,'Resultat-Produktion &amp; forbrug'!$A229,'Forbrug af biomasse'!D:D,'Resultat-Produktion &amp; forbrug'!$D229,'Forbrug af biomasse'!G:G,1,'Forbrug af biomasse'!B:B,$E229)</f>
        <v>0</v>
      </c>
      <c r="N229" s="199">
        <f t="shared" si="62"/>
        <v>415393.31848489033</v>
      </c>
      <c r="O229" s="190">
        <f t="shared" si="59"/>
        <v>0</v>
      </c>
      <c r="P229" s="200">
        <f t="shared" si="63"/>
        <v>0</v>
      </c>
      <c r="Q229" s="187">
        <f>IFERROR(VLOOKUP(A229,[1]Energiindhold!$A$2:$C$11,3,FALSE),IFERROR(VLOOKUP(A229,[1]Biogasudbytte!$A$2:$B$18,2,FALSE)*[1]Energiindhold!$C$10,0))*O229</f>
        <v>0</v>
      </c>
      <c r="R229" s="187">
        <f>IF(A229&lt;&gt;"Biogas",IFERROR(VLOOKUP(A229,[1]Biogasudbytte!$A$2:$B$18,2,FALSE)*[1]Energiindhold!$C$10,0)*J229*IFERROR(VLOOKUP(A229,Biogasanlæg!$F$3:$G$8,2,FALSE),1)+IFERROR(VLOOKUP(A229,[1]Energiindhold!$A$2:$C$11,3,FALSE),0)*L229+IF(D229&lt;&gt;År1,Q229,0),0)</f>
        <v>0</v>
      </c>
      <c r="S229" s="187">
        <f>IFERROR(VLOOKUP(A229,[1]Biogasudbytte!$A$2:$B$18,2,FALSE)*[1]Energiindhold!$C$10,0)*J229*IFERROR(VLOOKUP(A229,Biogasanlæg!$F$3:$G$8,2,FALSE),1)</f>
        <v>0</v>
      </c>
      <c r="T229" s="188">
        <f t="shared" si="64"/>
        <v>0</v>
      </c>
      <c r="U229" s="186">
        <f>O229*IFERROR(VLOOKUP(A229,[1]Tørstofindhold!A$2:B$24,2,FALSE),0)</f>
        <v>0</v>
      </c>
      <c r="V229" s="187">
        <f>IF(D229=År1,P229,SUM(O229,P229))*IFERROR(VLOOKUP(A229,[1]Tørstofindhold!A$2:B$24,2,FALSE),0)</f>
        <v>0</v>
      </c>
      <c r="W229" s="187">
        <f>J229*IFERROR(VLOOKUP(A229,[1]Tørstofindhold!A$2:B$24,2,FALSE),0)</f>
        <v>0</v>
      </c>
      <c r="X229" s="188">
        <f t="shared" si="65"/>
        <v>0</v>
      </c>
      <c r="Y229" s="168">
        <f t="shared" si="60"/>
        <v>0</v>
      </c>
      <c r="Z229" s="103">
        <f t="shared" si="61"/>
        <v>1</v>
      </c>
    </row>
    <row r="230" spans="1:26" x14ac:dyDescent="0.25">
      <c r="A230" s="189" t="str">
        <f t="shared" si="72"/>
        <v>Raps</v>
      </c>
      <c r="B230" s="189" t="str">
        <f t="shared" si="73"/>
        <v/>
      </c>
      <c r="C230" s="189">
        <f>IF(COUNTIFS('Resultater - Danmark'!$D$3:$D$504,'Resultat-Produktion &amp; forbrug'!A230,'Resultater - Danmark'!$A$3:$A$504,"Til energi")+COUNTIFS('Resultater - Danmark'!$D$3:$D$504,'Resultat-Produktion &amp; forbrug'!A230,'Resultater - Danmark'!$A$3:$A$504,"Biogasanlæg")&gt;0,1,0)</f>
        <v>0</v>
      </c>
      <c r="D230" s="189">
        <f t="shared" si="58"/>
        <v>2030</v>
      </c>
      <c r="E230" s="187" t="s">
        <v>24</v>
      </c>
      <c r="F230" s="190">
        <f>IF(E230="Vestdanmark",SUMIFS(IF(D230=År1,'Resultater - Vestdanmark'!H$3:H$504,IF(D230=År2,'Resultater - Vestdanmark'!I$3:I$504,'Resultater - Vestdanmark'!J$3:J$504)),'Resultater - Vestdanmark'!$F$3:$F$504,$A230,IF(D230=År1,'Resultater - Vestdanmark'!H$3:H$504,IF(D230=År2,'Resultater - Vestdanmark'!I$3:I$504,'Resultater - Vestdanmark'!J$3:J$504)),"&gt;0"),SUMIFS(IF(D230=År1,'Resultater - Østdanmark'!H$3:H$504,IF(D230=År2,'Resultater - Østdanmark'!I$3:I$504,'Resultater - Østdanmark'!J$3:J$504)),'Resultater - Østdanmark'!$F$3:$F$504,$A230,IF(D230=År1,'Resultater - Østdanmark'!H$3:H$504,IF(D230=År2,'Resultater - Østdanmark'!I$3:I$504,'Resultater - Østdanmark'!J$3:J$504)),"&gt;0"))</f>
        <v>202988.92221517742</v>
      </c>
      <c r="G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forbrug'!G$2,'Forbrug af biomasse'!$B$2:$B$425,$E230)</f>
        <v>0</v>
      </c>
      <c r="H230" s="187">
        <f>IF(E230="Vestdanmark",-IF(A230="Halm",SUMIFS(IF(D230=År1,'Resultater - Vestdanmark'!H$3:H$504,IF(D230=År2,'Resultater - Vestdanmark'!I$3:I$504,'Resultater - Vestdanmark'!J$3:J$504)),'Resultater - Vestdanmark'!$F$3:$F$504,$A230,'Resultater - Vestdanmark'!H$3:H$504,"&lt;0"),0),-IF(A230="Halm",SUMIFS(IF(D230=År1,'Resultater - Østdanmark'!H$3:H$504,IF(D230=År2,'Resultater - Østdanmark'!I$3:I$504,'Resultater - Østdanmark'!J$3:J$504)),'Resultater - Østdanmark'!$F$3:$F$504,$A230,'Resultater - Østdanmark'!H$3:H$504,"&lt;0"),0))</f>
        <v>0</v>
      </c>
      <c r="I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forbrug'!I$2,'Forbrug af biomasse'!$B$2:$B$425,$E230)</f>
        <v>0</v>
      </c>
      <c r="J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forbrug'!J$2,'Forbrug af biomasse'!$B$2:$B$425,$E230)</f>
        <v>0</v>
      </c>
      <c r="K230" s="190">
        <f>SUMIFS('Forbrug af biomasse'!$E$2:$E$425,'Forbrug af biomasse'!$C$2:$C$425,'Resultat-Produktion &amp; forbrug'!$A230,'Forbrug af biomasse'!$D$2:$D$425,'Resultat-Produktion &amp; forbrug'!$D230,'Forbrug af biomasse'!$A$2:$A$425,'Resultat-Produktion &amp; forbrug'!K$2,'Forbrug af biomasse'!$B$2:$B$425,$E230)</f>
        <v>0</v>
      </c>
      <c r="L230" s="190">
        <f>IF(A230&lt;&gt;"Biogas",SUMIFS('Forbrug af biomasse'!$E$2:$E$425,'Forbrug af biomasse'!$C$2:$C$425,'Resultat-Produktion &amp; forbrug'!$A230,'Forbrug af biomasse'!$D$2:$D$425,'Resultat-Produktion &amp; forbrug'!$D230,'Forbrug af biomasse'!$A$2:$A$425,'Resultat-Produktion &amp; forbrug'!L$2,'Forbrug af biomasse'!$B$2:$B$425,$E230),F230)</f>
        <v>0</v>
      </c>
      <c r="M230" s="154">
        <f>SUMIFS('Forbrug af biomasse'!E:E,'Forbrug af biomasse'!C:C,'Resultat-Produktion &amp; forbrug'!$A230,'Forbrug af biomasse'!D:D,'Resultat-Produktion &amp; forbrug'!$D230,'Forbrug af biomasse'!G:G,1,'Forbrug af biomasse'!B:B,$E230)</f>
        <v>202988.92221517742</v>
      </c>
      <c r="N230" s="199">
        <f t="shared" si="62"/>
        <v>0</v>
      </c>
      <c r="O230" s="190">
        <f t="shared" si="59"/>
        <v>0</v>
      </c>
      <c r="P230" s="200">
        <f t="shared" si="63"/>
        <v>0</v>
      </c>
      <c r="Q230" s="187">
        <f>IFERROR(VLOOKUP(A230,[1]Energiindhold!$A$2:$C$11,3,FALSE),IFERROR(VLOOKUP(A230,[1]Biogasudbytte!$A$2:$B$18,2,FALSE)*[1]Energiindhold!$C$10,0))*O230</f>
        <v>0</v>
      </c>
      <c r="R230" s="187">
        <f>IF(A230&lt;&gt;"Biogas",IFERROR(VLOOKUP(A230,[1]Biogasudbytte!$A$2:$B$18,2,FALSE)*[1]Energiindhold!$C$10,0)*J230*IFERROR(VLOOKUP(A230,Biogasanlæg!$F$3:$G$8,2,FALSE),1)+IFERROR(VLOOKUP(A230,[1]Energiindhold!$A$2:$C$11,3,FALSE),0)*L230+IF(D230&lt;&gt;År1,Q230,0),0)</f>
        <v>0</v>
      </c>
      <c r="S230" s="187">
        <f>IFERROR(VLOOKUP(A230,[1]Biogasudbytte!$A$2:$B$18,2,FALSE)*[1]Energiindhold!$C$10,0)*J230*IFERROR(VLOOKUP(A230,Biogasanlæg!$F$3:$G$8,2,FALSE),1)</f>
        <v>0</v>
      </c>
      <c r="T230" s="188">
        <f t="shared" si="64"/>
        <v>0</v>
      </c>
      <c r="U230" s="186">
        <f>O230*IFERROR(VLOOKUP(A230,[1]Tørstofindhold!A$2:B$24,2,FALSE),0)</f>
        <v>0</v>
      </c>
      <c r="V230" s="187">
        <f>IF(D230=År1,P230,SUM(O230,P230))*IFERROR(VLOOKUP(A230,[1]Tørstofindhold!A$2:B$24,2,FALSE),0)</f>
        <v>0</v>
      </c>
      <c r="W230" s="187">
        <f>J230*IFERROR(VLOOKUP(A230,[1]Tørstofindhold!A$2:B$24,2,FALSE),0)</f>
        <v>0</v>
      </c>
      <c r="X230" s="188">
        <f t="shared" si="65"/>
        <v>0</v>
      </c>
      <c r="Y230" s="168">
        <f t="shared" si="60"/>
        <v>0</v>
      </c>
      <c r="Z230" s="103">
        <f t="shared" si="61"/>
        <v>0</v>
      </c>
    </row>
    <row r="231" spans="1:26" x14ac:dyDescent="0.25">
      <c r="A231" s="189" t="str">
        <f t="shared" si="72"/>
        <v>Rapskage</v>
      </c>
      <c r="B231" s="189" t="str">
        <f t="shared" si="73"/>
        <v/>
      </c>
      <c r="C231" s="189">
        <f>IF(COUNTIFS('Resultater - Danmark'!$D$3:$D$504,'Resultat-Produktion &amp; forbrug'!A231,'Resultater - Danmark'!$A$3:$A$504,"Til energi")+COUNTIFS('Resultater - Danmark'!$D$3:$D$504,'Resultat-Produktion &amp; forbrug'!A231,'Resultater - Danmark'!$A$3:$A$504,"Biogasanlæg")&gt;0,1,0)</f>
        <v>0</v>
      </c>
      <c r="D231" s="189">
        <f t="shared" si="58"/>
        <v>2030</v>
      </c>
      <c r="E231" s="187" t="s">
        <v>24</v>
      </c>
      <c r="F231" s="190">
        <f>IF(E231="Vestdanmark",SUMIFS(IF(D231=År1,'Resultater - Vestdanmark'!H$3:H$504,IF(D231=År2,'Resultater - Vestdanmark'!I$3:I$504,'Resultater - Vestdanmark'!J$3:J$504)),'Resultater - Vestdanmark'!$F$3:$F$504,$A231,IF(D231=År1,'Resultater - Vestdanmark'!H$3:H$504,IF(D231=År2,'Resultater - Vestdanmark'!I$3:I$504,'Resultater - Vestdanmark'!J$3:J$504)),"&gt;0"),SUMIFS(IF(D231=År1,'Resultater - Østdanmark'!H$3:H$504,IF(D231=År2,'Resultater - Østdanmark'!I$3:I$504,'Resultater - Østdanmark'!J$3:J$504)),'Resultater - Østdanmark'!$F$3:$F$504,$A231,IF(D231=År1,'Resultater - Østdanmark'!H$3:H$504,IF(D231=År2,'Resultater - Østdanmark'!I$3:I$504,'Resultater - Østdanmark'!J$3:J$504)),"&gt;0"))</f>
        <v>101494.46110758871</v>
      </c>
      <c r="G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forbrug'!G$2,'Forbrug af biomasse'!$B$2:$B$425,$E231)</f>
        <v>31534.523402398045</v>
      </c>
      <c r="H231" s="187">
        <f>IF(E231="Vestdanmark",-IF(A231="Halm",SUMIFS(IF(D231=År1,'Resultater - Vestdanmark'!H$3:H$504,IF(D231=År2,'Resultater - Vestdanmark'!I$3:I$504,'Resultater - Vestdanmark'!J$3:J$504)),'Resultater - Vestdanmark'!$F$3:$F$504,$A231,'Resultater - Vestdanmark'!H$3:H$504,"&lt;0"),0),-IF(A231="Halm",SUMIFS(IF(D231=År1,'Resultater - Østdanmark'!H$3:H$504,IF(D231=År2,'Resultater - Østdanmark'!I$3:I$504,'Resultater - Østdanmark'!J$3:J$504)),'Resultater - Østdanmark'!$F$3:$F$504,$A231,'Resultater - Østdanmark'!H$3:H$504,"&lt;0"),0))</f>
        <v>0</v>
      </c>
      <c r="I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forbrug'!I$2,'Forbrug af biomasse'!$B$2:$B$425,$E231)</f>
        <v>0</v>
      </c>
      <c r="J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forbrug'!J$2,'Forbrug af biomasse'!$B$2:$B$425,$E231)</f>
        <v>0</v>
      </c>
      <c r="K231" s="190">
        <f>SUMIFS('Forbrug af biomasse'!$E$2:$E$425,'Forbrug af biomasse'!$C$2:$C$425,'Resultat-Produktion &amp; forbrug'!$A231,'Forbrug af biomasse'!$D$2:$D$425,'Resultat-Produktion &amp; forbrug'!$D231,'Forbrug af biomasse'!$A$2:$A$425,'Resultat-Produktion &amp; forbrug'!K$2,'Forbrug af biomasse'!$B$2:$B$425,$E231)</f>
        <v>0</v>
      </c>
      <c r="L231" s="190">
        <f>IF(A231&lt;&gt;"Biogas",SUMIFS('Forbrug af biomasse'!$E$2:$E$425,'Forbrug af biomasse'!$C$2:$C$425,'Resultat-Produktion &amp; forbrug'!$A231,'Forbrug af biomasse'!$D$2:$D$425,'Resultat-Produktion &amp; forbrug'!$D231,'Forbrug af biomasse'!$A$2:$A$425,'Resultat-Produktion &amp; forbrug'!L$2,'Forbrug af biomasse'!$B$2:$B$425,$E231),F231)</f>
        <v>0</v>
      </c>
      <c r="M231" s="154">
        <f>SUMIFS('Forbrug af biomasse'!E:E,'Forbrug af biomasse'!C:C,'Resultat-Produktion &amp; forbrug'!$A231,'Forbrug af biomasse'!D:D,'Resultat-Produktion &amp; forbrug'!$D231,'Forbrug af biomasse'!G:G,1,'Forbrug af biomasse'!B:B,$E231)</f>
        <v>0</v>
      </c>
      <c r="N231" s="199">
        <f t="shared" si="62"/>
        <v>69959.937705190663</v>
      </c>
      <c r="O231" s="190">
        <f t="shared" si="59"/>
        <v>0</v>
      </c>
      <c r="P231" s="200">
        <f t="shared" si="63"/>
        <v>0</v>
      </c>
      <c r="Q231" s="187">
        <f>IFERROR(VLOOKUP(A231,[1]Energiindhold!$A$2:$C$11,3,FALSE),IFERROR(VLOOKUP(A231,[1]Biogasudbytte!$A$2:$B$18,2,FALSE)*[1]Energiindhold!$C$10,0))*O231</f>
        <v>0</v>
      </c>
      <c r="R231" s="187">
        <f>IF(A231&lt;&gt;"Biogas",IFERROR(VLOOKUP(A231,[1]Biogasudbytte!$A$2:$B$18,2,FALSE)*[1]Energiindhold!$C$10,0)*J231*IFERROR(VLOOKUP(A231,Biogasanlæg!$F$3:$G$8,2,FALSE),1)+IFERROR(VLOOKUP(A231,[1]Energiindhold!$A$2:$C$11,3,FALSE),0)*L231+IF(D231&lt;&gt;År1,Q231,0),0)</f>
        <v>0</v>
      </c>
      <c r="S231" s="187">
        <f>IFERROR(VLOOKUP(A231,[1]Biogasudbytte!$A$2:$B$18,2,FALSE)*[1]Energiindhold!$C$10,0)*J231*IFERROR(VLOOKUP(A231,Biogasanlæg!$F$3:$G$8,2,FALSE),1)</f>
        <v>0</v>
      </c>
      <c r="T231" s="188">
        <f t="shared" si="64"/>
        <v>0</v>
      </c>
      <c r="U231" s="186">
        <f>O231*IFERROR(VLOOKUP(A231,[1]Tørstofindhold!A$2:B$24,2,FALSE),0)</f>
        <v>0</v>
      </c>
      <c r="V231" s="187">
        <f>IF(D231=År1,P231,SUM(O231,P231))*IFERROR(VLOOKUP(A231,[1]Tørstofindhold!A$2:B$24,2,FALSE),0)</f>
        <v>0</v>
      </c>
      <c r="W231" s="187">
        <f>J231*IFERROR(VLOOKUP(A231,[1]Tørstofindhold!A$2:B$24,2,FALSE),0)</f>
        <v>0</v>
      </c>
      <c r="X231" s="188">
        <f t="shared" si="65"/>
        <v>0</v>
      </c>
      <c r="Y231" s="168">
        <f t="shared" si="60"/>
        <v>0</v>
      </c>
      <c r="Z231" s="103">
        <f t="shared" si="61"/>
        <v>1</v>
      </c>
    </row>
    <row r="232" spans="1:26" x14ac:dyDescent="0.25">
      <c r="A232" s="189" t="str">
        <f t="shared" si="72"/>
        <v>Rapsolie</v>
      </c>
      <c r="B232" s="189" t="str">
        <f t="shared" si="73"/>
        <v>Rapsolie</v>
      </c>
      <c r="C232" s="189">
        <f>IF(COUNTIFS('Resultater - Danmark'!$D$3:$D$504,'Resultat-Produktion &amp; forbrug'!A232,'Resultater - Danmark'!$A$3:$A$504,"Til energi")+COUNTIFS('Resultater - Danmark'!$D$3:$D$504,'Resultat-Produktion &amp; forbrug'!A232,'Resultater - Danmark'!$A$3:$A$504,"Biogasanlæg")&gt;0,1,0)</f>
        <v>1</v>
      </c>
      <c r="D232" s="189">
        <f t="shared" si="58"/>
        <v>2030</v>
      </c>
      <c r="E232" s="187" t="s">
        <v>24</v>
      </c>
      <c r="F232" s="190">
        <f>IF(E232="Vestdanmark",SUMIFS(IF(D232=År1,'Resultater - Vestdanmark'!H$3:H$504,IF(D232=År2,'Resultater - Vestdanmark'!I$3:I$504,'Resultater - Vestdanmark'!J$3:J$504)),'Resultater - Vestdanmark'!$F$3:$F$504,$A232,IF(D232=År1,'Resultater - Vestdanmark'!H$3:H$504,IF(D232=År2,'Resultater - Vestdanmark'!I$3:I$504,'Resultater - Vestdanmark'!J$3:J$504)),"&gt;0"),SUMIFS(IF(D232=År1,'Resultater - Østdanmark'!H$3:H$504,IF(D232=År2,'Resultater - Østdanmark'!I$3:I$504,'Resultater - Østdanmark'!J$3:J$504)),'Resultater - Østdanmark'!$F$3:$F$504,$A232,IF(D232=År1,'Resultater - Østdanmark'!H$3:H$504,IF(D232=År2,'Resultater - Østdanmark'!I$3:I$504,'Resultater - Østdanmark'!J$3:J$504)),"&gt;0"))</f>
        <v>64956.455108856775</v>
      </c>
      <c r="G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forbrug'!G$2,'Forbrug af biomasse'!$B$2:$B$425,$E232)</f>
        <v>0</v>
      </c>
      <c r="H232" s="187">
        <f>IF(E232="Vestdanmark",-IF(A232="Halm",SUMIFS(IF(D232=År1,'Resultater - Vestdanmark'!H$3:H$504,IF(D232=År2,'Resultater - Vestdanmark'!I$3:I$504,'Resultater - Vestdanmark'!J$3:J$504)),'Resultater - Vestdanmark'!$F$3:$F$504,$A232,'Resultater - Vestdanmark'!H$3:H$504,"&lt;0"),0),-IF(A232="Halm",SUMIFS(IF(D232=År1,'Resultater - Østdanmark'!H$3:H$504,IF(D232=År2,'Resultater - Østdanmark'!I$3:I$504,'Resultater - Østdanmark'!J$3:J$504)),'Resultater - Østdanmark'!$F$3:$F$504,$A232,'Resultater - Østdanmark'!H$3:H$504,"&lt;0"),0))</f>
        <v>0</v>
      </c>
      <c r="I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forbrug'!I$2,'Forbrug af biomasse'!$B$2:$B$425,$E232)</f>
        <v>0</v>
      </c>
      <c r="J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forbrug'!J$2,'Forbrug af biomasse'!$B$2:$B$425,$E232)</f>
        <v>0</v>
      </c>
      <c r="K232" s="190">
        <f>SUMIFS('Forbrug af biomasse'!$E$2:$E$425,'Forbrug af biomasse'!$C$2:$C$425,'Resultat-Produktion &amp; forbrug'!$A232,'Forbrug af biomasse'!$D$2:$D$425,'Resultat-Produktion &amp; forbrug'!$D232,'Forbrug af biomasse'!$A$2:$A$425,'Resultat-Produktion &amp; forbrug'!K$2,'Forbrug af biomasse'!$B$2:$B$425,$E232)</f>
        <v>0</v>
      </c>
      <c r="L232" s="190">
        <f>IF(A232&lt;&gt;"Biogas",SUMIFS('Forbrug af biomasse'!$E$2:$E$425,'Forbrug af biomasse'!$C$2:$C$425,'Resultat-Produktion &amp; forbrug'!$A232,'Forbrug af biomasse'!$D$2:$D$425,'Resultat-Produktion &amp; forbrug'!$D232,'Forbrug af biomasse'!$A$2:$A$425,'Resultat-Produktion &amp; forbrug'!L$2,'Forbrug af biomasse'!$B$2:$B$425,$E232),F232)</f>
        <v>64956.455108856775</v>
      </c>
      <c r="M232" s="154">
        <f>SUMIFS('Forbrug af biomasse'!E:E,'Forbrug af biomasse'!C:C,'Resultat-Produktion &amp; forbrug'!$A232,'Forbrug af biomasse'!D:D,'Resultat-Produktion &amp; forbrug'!$D232,'Forbrug af biomasse'!G:G,1,'Forbrug af biomasse'!B:B,$E232)</f>
        <v>0</v>
      </c>
      <c r="N232" s="199">
        <f t="shared" si="62"/>
        <v>0</v>
      </c>
      <c r="O232" s="190">
        <f t="shared" si="59"/>
        <v>0</v>
      </c>
      <c r="P232" s="200">
        <f t="shared" si="63"/>
        <v>64956.455108856775</v>
      </c>
      <c r="Q232" s="187">
        <f>IFERROR(VLOOKUP(A232,[1]Energiindhold!$A$2:$C$11,3,FALSE),IFERROR(VLOOKUP(A232,[1]Biogasudbytte!$A$2:$B$18,2,FALSE)*[1]Energiindhold!$C$10,0))*O232</f>
        <v>0</v>
      </c>
      <c r="R232" s="187">
        <f>IF(A232&lt;&gt;"Biogas",IFERROR(VLOOKUP(A232,[1]Biogasudbytte!$A$2:$B$18,2,FALSE)*[1]Energiindhold!$C$10,0)*J232*IFERROR(VLOOKUP(A232,Biogasanlæg!$F$3:$G$8,2,FALSE),1)+IFERROR(VLOOKUP(A232,[1]Energiindhold!$A$2:$C$11,3,FALSE),0)*L232+IF(D232&lt;&gt;År1,Q232,0),0)</f>
        <v>2.2734759288099871</v>
      </c>
      <c r="S232" s="187">
        <f>IFERROR(VLOOKUP(A232,[1]Biogasudbytte!$A$2:$B$18,2,FALSE)*[1]Energiindhold!$C$10,0)*J232*IFERROR(VLOOKUP(A232,Biogasanlæg!$F$3:$G$8,2,FALSE),1)</f>
        <v>0</v>
      </c>
      <c r="T232" s="188">
        <f t="shared" si="64"/>
        <v>2.2734759288099871</v>
      </c>
      <c r="U232" s="186">
        <f>O232*IFERROR(VLOOKUP(A232,[1]Tørstofindhold!A$2:B$24,2,FALSE),0)</f>
        <v>0</v>
      </c>
      <c r="V232" s="187">
        <f>IF(D232=År1,P232,SUM(O232,P232))*IFERROR(VLOOKUP(A232,[1]Tørstofindhold!A$2:B$24,2,FALSE),0)</f>
        <v>0</v>
      </c>
      <c r="W232" s="187">
        <f>J232*IFERROR(VLOOKUP(A232,[1]Tørstofindhold!A$2:B$24,2,FALSE),0)</f>
        <v>0</v>
      </c>
      <c r="X232" s="188">
        <f t="shared" si="65"/>
        <v>0</v>
      </c>
      <c r="Y232" s="168">
        <f t="shared" si="60"/>
        <v>0</v>
      </c>
      <c r="Z232" s="103">
        <f t="shared" si="61"/>
        <v>0</v>
      </c>
    </row>
    <row r="233" spans="1:26" x14ac:dyDescent="0.25">
      <c r="A233" s="189" t="str">
        <f t="shared" si="72"/>
        <v>Roer</v>
      </c>
      <c r="B233" s="189" t="str">
        <f t="shared" si="73"/>
        <v>Græs og urter</v>
      </c>
      <c r="C233" s="189">
        <f>IF(COUNTIFS('Resultater - Danmark'!$D$3:$D$504,'Resultat-Produktion &amp; forbrug'!A233,'Resultater - Danmark'!$A$3:$A$504,"Til energi")+COUNTIFS('Resultater - Danmark'!$D$3:$D$504,'Resultat-Produktion &amp; forbrug'!A233,'Resultater - Danmark'!$A$3:$A$504,"Biogasanlæg")&gt;0,1,0)</f>
        <v>1</v>
      </c>
      <c r="D233" s="189">
        <f t="shared" si="58"/>
        <v>2030</v>
      </c>
      <c r="E233" s="187" t="s">
        <v>24</v>
      </c>
      <c r="F233" s="190">
        <f>IF(E233="Vestdanmark",SUMIFS(IF(D233=År1,'Resultater - Vestdanmark'!H$3:H$504,IF(D233=År2,'Resultater - Vestdanmark'!I$3:I$504,'Resultater - Vestdanmark'!J$3:J$504)),'Resultater - Vestdanmark'!$F$3:$F$504,$A233,IF(D233=År1,'Resultater - Vestdanmark'!H$3:H$504,IF(D233=År2,'Resultater - Vestdanmark'!I$3:I$504,'Resultater - Vestdanmark'!J$3:J$504)),"&gt;0"),SUMIFS(IF(D233=År1,'Resultater - Østdanmark'!H$3:H$504,IF(D233=År2,'Resultater - Østdanmark'!I$3:I$504,'Resultater - Østdanmark'!J$3:J$504)),'Resultater - Østdanmark'!$F$3:$F$504,$A233,IF(D233=År1,'Resultater - Østdanmark'!H$3:H$504,IF(D233=År2,'Resultater - Østdanmark'!I$3:I$504,'Resultater - Østdanmark'!J$3:J$504)),"&gt;0"))</f>
        <v>2357380.2059099637</v>
      </c>
      <c r="G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forbrug'!G$2,'Forbrug af biomasse'!$B$2:$B$425,$E233)</f>
        <v>123895.05219603248</v>
      </c>
      <c r="H233" s="187">
        <f>IF(E233="Vestdanmark",-IF(A233="Halm",SUMIFS(IF(D233=År1,'Resultater - Vestdanmark'!H$3:H$504,IF(D233=År2,'Resultater - Vestdanmark'!I$3:I$504,'Resultater - Vestdanmark'!J$3:J$504)),'Resultater - Vestdanmark'!$F$3:$F$504,$A233,'Resultater - Vestdanmark'!H$3:H$504,"&lt;0"),0),-IF(A233="Halm",SUMIFS(IF(D233=År1,'Resultater - Østdanmark'!H$3:H$504,IF(D233=År2,'Resultater - Østdanmark'!I$3:I$504,'Resultater - Østdanmark'!J$3:J$504)),'Resultater - Østdanmark'!$F$3:$F$504,$A233,'Resultater - Østdanmark'!H$3:H$504,"&lt;0"),0))</f>
        <v>0</v>
      </c>
      <c r="I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forbrug'!I$2,'Forbrug af biomasse'!$B$2:$B$425,$E233)</f>
        <v>0</v>
      </c>
      <c r="J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forbrug'!J$2,'Forbrug af biomasse'!$B$2:$B$425,$E233)</f>
        <v>24521.571336172448</v>
      </c>
      <c r="K233" s="190">
        <f>SUMIFS('Forbrug af biomasse'!$E$2:$E$425,'Forbrug af biomasse'!$C$2:$C$425,'Resultat-Produktion &amp; forbrug'!$A233,'Forbrug af biomasse'!$D$2:$D$425,'Resultat-Produktion &amp; forbrug'!$D233,'Forbrug af biomasse'!$A$2:$A$425,'Resultat-Produktion &amp; forbrug'!K$2,'Forbrug af biomasse'!$B$2:$B$425,$E233)</f>
        <v>0</v>
      </c>
      <c r="L233" s="190">
        <f>IF(A233&lt;&gt;"Biogas",SUMIFS('Forbrug af biomasse'!$E$2:$E$425,'Forbrug af biomasse'!$C$2:$C$425,'Resultat-Produktion &amp; forbrug'!$A233,'Forbrug af biomasse'!$D$2:$D$425,'Resultat-Produktion &amp; forbrug'!$D233,'Forbrug af biomasse'!$A$2:$A$425,'Resultat-Produktion &amp; forbrug'!L$2,'Forbrug af biomasse'!$B$2:$B$425,$E233),F233)</f>
        <v>0</v>
      </c>
      <c r="M233" s="154">
        <f>SUMIFS('Forbrug af biomasse'!E:E,'Forbrug af biomasse'!C:C,'Resultat-Produktion &amp; forbrug'!$A233,'Forbrug af biomasse'!D:D,'Resultat-Produktion &amp; forbrug'!$D233,'Forbrug af biomasse'!G:G,1,'Forbrug af biomasse'!B:B,$E233)</f>
        <v>0</v>
      </c>
      <c r="N233" s="199">
        <f t="shared" si="62"/>
        <v>2208963.5823777588</v>
      </c>
      <c r="O233" s="190">
        <f t="shared" si="59"/>
        <v>1591844.6498058075</v>
      </c>
      <c r="P233" s="200">
        <f t="shared" si="63"/>
        <v>24521.571336172448</v>
      </c>
      <c r="Q233" s="187">
        <f>IFERROR(VLOOKUP(A233,[1]Energiindhold!$A$2:$C$11,3,FALSE),IFERROR(VLOOKUP(A233,[1]Biogasudbytte!$A$2:$B$18,2,FALSE)*[1]Energiindhold!$C$10,0))*O233</f>
        <v>4.3203300533589539</v>
      </c>
      <c r="R233" s="187">
        <f>IF(A233&lt;&gt;"Biogas",IFERROR(VLOOKUP(A233,[1]Biogasudbytte!$A$2:$B$18,2,FALSE)*[1]Energiindhold!$C$10,0)*J233*IFERROR(VLOOKUP(A233,Biogasanlæg!$F$3:$G$8,2,FALSE),1)+IFERROR(VLOOKUP(A233,[1]Energiindhold!$A$2:$C$11,3,FALSE),0)*L233+IF(D233&lt;&gt;År1,Q233,0),0)</f>
        <v>4.3868825788281791</v>
      </c>
      <c r="S233" s="187">
        <f>IFERROR(VLOOKUP(A233,[1]Biogasudbytte!$A$2:$B$18,2,FALSE)*[1]Energiindhold!$C$10,0)*J233*IFERROR(VLOOKUP(A233,Biogasanlæg!$F$3:$G$8,2,FALSE),1)</f>
        <v>6.6552525469225479E-2</v>
      </c>
      <c r="T233" s="188">
        <f t="shared" si="64"/>
        <v>4.3203300533589539</v>
      </c>
      <c r="U233" s="186">
        <f>O233*IFERROR(VLOOKUP(A233,[1]Tørstofindhold!A$2:B$24,2,FALSE),0)</f>
        <v>318368.92996116151</v>
      </c>
      <c r="V233" s="187">
        <f>IF(D233=År1,P233,SUM(O233,P233))*IFERROR(VLOOKUP(A233,[1]Tørstofindhold!A$2:B$24,2,FALSE),0)</f>
        <v>323273.24422839604</v>
      </c>
      <c r="W233" s="187">
        <f>J233*IFERROR(VLOOKUP(A233,[1]Tørstofindhold!A$2:B$24,2,FALSE),0)</f>
        <v>4904.3142672344902</v>
      </c>
      <c r="X233" s="188">
        <f t="shared" si="65"/>
        <v>318368.92996116157</v>
      </c>
      <c r="Y233" s="168">
        <f t="shared" si="60"/>
        <v>0</v>
      </c>
      <c r="Z233" s="103">
        <f t="shared" si="61"/>
        <v>1</v>
      </c>
    </row>
    <row r="234" spans="1:26" x14ac:dyDescent="0.25">
      <c r="A234" s="189" t="str">
        <f t="shared" si="72"/>
        <v>Slagteriaffald til andet</v>
      </c>
      <c r="B234" s="189" t="str">
        <f t="shared" si="73"/>
        <v/>
      </c>
      <c r="C234" s="189">
        <f>IF(COUNTIFS('Resultater - Danmark'!$D$3:$D$504,'Resultat-Produktion &amp; forbrug'!A234,'Resultater - Danmark'!$A$3:$A$504,"Til energi")+COUNTIFS('Resultater - Danmark'!$D$3:$D$504,'Resultat-Produktion &amp; forbrug'!A234,'Resultater - Danmark'!$A$3:$A$504,"Biogasanlæg")&gt;0,1,0)</f>
        <v>0</v>
      </c>
      <c r="D234" s="189">
        <f t="shared" si="58"/>
        <v>2030</v>
      </c>
      <c r="E234" s="187" t="s">
        <v>24</v>
      </c>
      <c r="F234" s="190">
        <f>IF(E234="Vestdanmark",SUMIFS(IF(D234=År1,'Resultater - Vestdanmark'!H$3:H$504,IF(D234=År2,'Resultater - Vestdanmark'!I$3:I$504,'Resultater - Vestdanmark'!J$3:J$504)),'Resultater - Vestdanmark'!$F$3:$F$504,$A234,IF(D234=År1,'Resultater - Vestdanmark'!H$3:H$504,IF(D234=År2,'Resultater - Vestdanmark'!I$3:I$504,'Resultater - Vestdanmark'!J$3:J$504)),"&gt;0"),SUMIFS(IF(D234=År1,'Resultater - Østdanmark'!H$3:H$504,IF(D234=År2,'Resultater - Østdanmark'!I$3:I$504,'Resultater - Østdanmark'!J$3:J$504)),'Resultater - Østdanmark'!$F$3:$F$504,$A234,IF(D234=År1,'Resultater - Østdanmark'!H$3:H$504,IF(D234=År2,'Resultater - Østdanmark'!I$3:I$504,'Resultater - Østdanmark'!J$3:J$504)),"&gt;0"))</f>
        <v>27042.987950784696</v>
      </c>
      <c r="G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forbrug'!G$2,'Forbrug af biomasse'!$B$2:$B$425,$E234)</f>
        <v>0</v>
      </c>
      <c r="H234" s="187">
        <f>IF(E234="Vestdanmark",-IF(A234="Halm",SUMIFS(IF(D234=År1,'Resultater - Vestdanmark'!H$3:H$504,IF(D234=År2,'Resultater - Vestdanmark'!I$3:I$504,'Resultater - Vestdanmark'!J$3:J$504)),'Resultater - Vestdanmark'!$F$3:$F$504,$A234,'Resultater - Vestdanmark'!H$3:H$504,"&lt;0"),0),-IF(A234="Halm",SUMIFS(IF(D234=År1,'Resultater - Østdanmark'!H$3:H$504,IF(D234=År2,'Resultater - Østdanmark'!I$3:I$504,'Resultater - Østdanmark'!J$3:J$504)),'Resultater - Østdanmark'!$F$3:$F$504,$A234,'Resultater - Østdanmark'!H$3:H$504,"&lt;0"),0))</f>
        <v>0</v>
      </c>
      <c r="I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forbrug'!I$2,'Forbrug af biomasse'!$B$2:$B$425,$E234)</f>
        <v>0</v>
      </c>
      <c r="J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forbrug'!J$2,'Forbrug af biomasse'!$B$2:$B$425,$E234)</f>
        <v>0</v>
      </c>
      <c r="K234" s="190">
        <f>SUMIFS('Forbrug af biomasse'!$E$2:$E$425,'Forbrug af biomasse'!$C$2:$C$425,'Resultat-Produktion &amp; forbrug'!$A234,'Forbrug af biomasse'!$D$2:$D$425,'Resultat-Produktion &amp; forbrug'!$D234,'Forbrug af biomasse'!$A$2:$A$425,'Resultat-Produktion &amp; forbrug'!K$2,'Forbrug af biomasse'!$B$2:$B$425,$E234)</f>
        <v>0</v>
      </c>
      <c r="L234" s="190">
        <f>IF(A234&lt;&gt;"Biogas",SUMIFS('Forbrug af biomasse'!$E$2:$E$425,'Forbrug af biomasse'!$C$2:$C$425,'Resultat-Produktion &amp; forbrug'!$A234,'Forbrug af biomasse'!$D$2:$D$425,'Resultat-Produktion &amp; forbrug'!$D234,'Forbrug af biomasse'!$A$2:$A$425,'Resultat-Produktion &amp; forbrug'!L$2,'Forbrug af biomasse'!$B$2:$B$425,$E234),F234)</f>
        <v>0</v>
      </c>
      <c r="M234" s="154">
        <f>SUMIFS('Forbrug af biomasse'!E:E,'Forbrug af biomasse'!C:C,'Resultat-Produktion &amp; forbrug'!$A234,'Forbrug af biomasse'!D:D,'Resultat-Produktion &amp; forbrug'!$D234,'Forbrug af biomasse'!G:G,1,'Forbrug af biomasse'!B:B,$E234)</f>
        <v>0</v>
      </c>
      <c r="N234" s="199">
        <f t="shared" si="62"/>
        <v>27042.987950784696</v>
      </c>
      <c r="O234" s="190">
        <f t="shared" si="59"/>
        <v>0</v>
      </c>
      <c r="P234" s="200">
        <f t="shared" si="63"/>
        <v>0</v>
      </c>
      <c r="Q234" s="187">
        <f>IFERROR(VLOOKUP(A234,[1]Energiindhold!$A$2:$C$11,3,FALSE),IFERROR(VLOOKUP(A234,[1]Biogasudbytte!$A$2:$B$18,2,FALSE)*[1]Energiindhold!$C$10,0))*O234</f>
        <v>0</v>
      </c>
      <c r="R234" s="187">
        <f>IF(A234&lt;&gt;"Biogas",IFERROR(VLOOKUP(A234,[1]Biogasudbytte!$A$2:$B$18,2,FALSE)*[1]Energiindhold!$C$10,0)*J234*IFERROR(VLOOKUP(A234,Biogasanlæg!$F$3:$G$8,2,FALSE),1)+IFERROR(VLOOKUP(A234,[1]Energiindhold!$A$2:$C$11,3,FALSE),0)*L234+IF(D234&lt;&gt;År1,Q234,0),0)</f>
        <v>0</v>
      </c>
      <c r="S234" s="187">
        <f>IFERROR(VLOOKUP(A234,[1]Biogasudbytte!$A$2:$B$18,2,FALSE)*[1]Energiindhold!$C$10,0)*J234*IFERROR(VLOOKUP(A234,Biogasanlæg!$F$3:$G$8,2,FALSE),1)</f>
        <v>0</v>
      </c>
      <c r="T234" s="188">
        <f t="shared" si="64"/>
        <v>0</v>
      </c>
      <c r="U234" s="186">
        <f>O234*IFERROR(VLOOKUP(A234,[1]Tørstofindhold!A$2:B$24,2,FALSE),0)</f>
        <v>0</v>
      </c>
      <c r="V234" s="187">
        <f>IF(D234=År1,P234,SUM(O234,P234))*IFERROR(VLOOKUP(A234,[1]Tørstofindhold!A$2:B$24,2,FALSE),0)</f>
        <v>0</v>
      </c>
      <c r="W234" s="187">
        <f>J234*IFERROR(VLOOKUP(A234,[1]Tørstofindhold!A$2:B$24,2,FALSE),0)</f>
        <v>0</v>
      </c>
      <c r="X234" s="188">
        <f t="shared" si="65"/>
        <v>0</v>
      </c>
      <c r="Y234" s="168">
        <f t="shared" si="60"/>
        <v>0</v>
      </c>
      <c r="Z234" s="103">
        <f t="shared" si="61"/>
        <v>1</v>
      </c>
    </row>
    <row r="235" spans="1:26" x14ac:dyDescent="0.25">
      <c r="A235" s="189" t="str">
        <f t="shared" si="72"/>
        <v>Slagteriaffald til foder</v>
      </c>
      <c r="B235" s="189" t="str">
        <f t="shared" si="73"/>
        <v/>
      </c>
      <c r="C235" s="189">
        <f>IF(COUNTIFS('Resultater - Danmark'!$D$3:$D$504,'Resultat-Produktion &amp; forbrug'!A235,'Resultater - Danmark'!$A$3:$A$504,"Til energi")+COUNTIFS('Resultater - Danmark'!$D$3:$D$504,'Resultat-Produktion &amp; forbrug'!A235,'Resultater - Danmark'!$A$3:$A$504,"Biogasanlæg")&gt;0,1,0)</f>
        <v>0</v>
      </c>
      <c r="D235" s="189">
        <f t="shared" si="58"/>
        <v>2030</v>
      </c>
      <c r="E235" s="187" t="s">
        <v>24</v>
      </c>
      <c r="F235" s="190">
        <f>IF(E235="Vestdanmark",SUMIFS(IF(D235=År1,'Resultater - Vestdanmark'!H$3:H$504,IF(D235=År2,'Resultater - Vestdanmark'!I$3:I$504,'Resultater - Vestdanmark'!J$3:J$504)),'Resultater - Vestdanmark'!$F$3:$F$504,$A235,IF(D235=År1,'Resultater - Vestdanmark'!H$3:H$504,IF(D235=År2,'Resultater - Vestdanmark'!I$3:I$504,'Resultater - Vestdanmark'!J$3:J$504)),"&gt;0"),SUMIFS(IF(D235=År1,'Resultater - Østdanmark'!H$3:H$504,IF(D235=År2,'Resultater - Østdanmark'!I$3:I$504,'Resultater - Østdanmark'!J$3:J$504)),'Resultater - Østdanmark'!$F$3:$F$504,$A235,IF(D235=År1,'Resultater - Østdanmark'!H$3:H$504,IF(D235=År2,'Resultater - Østdanmark'!I$3:I$504,'Resultater - Østdanmark'!J$3:J$504)),"&gt;0"))</f>
        <v>21948.511505172726</v>
      </c>
      <c r="G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forbrug'!G$2,'Forbrug af biomasse'!$B$2:$B$425,$E235)</f>
        <v>5805.5189527427374</v>
      </c>
      <c r="H235" s="187">
        <f>IF(E235="Vestdanmark",-IF(A235="Halm",SUMIFS(IF(D235=År1,'Resultater - Vestdanmark'!H$3:H$504,IF(D235=År2,'Resultater - Vestdanmark'!I$3:I$504,'Resultater - Vestdanmark'!J$3:J$504)),'Resultater - Vestdanmark'!$F$3:$F$504,$A235,'Resultater - Vestdanmark'!H$3:H$504,"&lt;0"),0),-IF(A235="Halm",SUMIFS(IF(D235=År1,'Resultater - Østdanmark'!H$3:H$504,IF(D235=År2,'Resultater - Østdanmark'!I$3:I$504,'Resultater - Østdanmark'!J$3:J$504)),'Resultater - Østdanmark'!$F$3:$F$504,$A235,'Resultater - Østdanmark'!H$3:H$504,"&lt;0"),0))</f>
        <v>0</v>
      </c>
      <c r="I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forbrug'!I$2,'Forbrug af biomasse'!$B$2:$B$425,$E235)</f>
        <v>0</v>
      </c>
      <c r="J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forbrug'!J$2,'Forbrug af biomasse'!$B$2:$B$425,$E235)</f>
        <v>0</v>
      </c>
      <c r="K235" s="190">
        <f>SUMIFS('Forbrug af biomasse'!$E$2:$E$425,'Forbrug af biomasse'!$C$2:$C$425,'Resultat-Produktion &amp; forbrug'!$A235,'Forbrug af biomasse'!$D$2:$D$425,'Resultat-Produktion &amp; forbrug'!$D235,'Forbrug af biomasse'!$A$2:$A$425,'Resultat-Produktion &amp; forbrug'!K$2,'Forbrug af biomasse'!$B$2:$B$425,$E235)</f>
        <v>0</v>
      </c>
      <c r="L235" s="190">
        <f>IF(A235&lt;&gt;"Biogas",SUMIFS('Forbrug af biomasse'!$E$2:$E$425,'Forbrug af biomasse'!$C$2:$C$425,'Resultat-Produktion &amp; forbrug'!$A235,'Forbrug af biomasse'!$D$2:$D$425,'Resultat-Produktion &amp; forbrug'!$D235,'Forbrug af biomasse'!$A$2:$A$425,'Resultat-Produktion &amp; forbrug'!L$2,'Forbrug af biomasse'!$B$2:$B$425,$E235),F235)</f>
        <v>0</v>
      </c>
      <c r="M235" s="154">
        <f>SUMIFS('Forbrug af biomasse'!E:E,'Forbrug af biomasse'!C:C,'Resultat-Produktion &amp; forbrug'!$A235,'Forbrug af biomasse'!D:D,'Resultat-Produktion &amp; forbrug'!$D235,'Forbrug af biomasse'!G:G,1,'Forbrug af biomasse'!B:B,$E235)</f>
        <v>0</v>
      </c>
      <c r="N235" s="199">
        <f t="shared" si="62"/>
        <v>16142.992552429989</v>
      </c>
      <c r="O235" s="190">
        <f t="shared" si="59"/>
        <v>0</v>
      </c>
      <c r="P235" s="200">
        <f t="shared" si="63"/>
        <v>0</v>
      </c>
      <c r="Q235" s="187">
        <f>IFERROR(VLOOKUP(A235,[1]Energiindhold!$A$2:$C$11,3,FALSE),IFERROR(VLOOKUP(A235,[1]Biogasudbytte!$A$2:$B$18,2,FALSE)*[1]Energiindhold!$C$10,0))*O235</f>
        <v>0</v>
      </c>
      <c r="R235" s="187">
        <f>IF(A235&lt;&gt;"Biogas",IFERROR(VLOOKUP(A235,[1]Biogasudbytte!$A$2:$B$18,2,FALSE)*[1]Energiindhold!$C$10,0)*J235*IFERROR(VLOOKUP(A235,Biogasanlæg!$F$3:$G$8,2,FALSE),1)+IFERROR(VLOOKUP(A235,[1]Energiindhold!$A$2:$C$11,3,FALSE),0)*L235+IF(D235&lt;&gt;År1,Q235,0),0)</f>
        <v>0</v>
      </c>
      <c r="S235" s="187">
        <f>IFERROR(VLOOKUP(A235,[1]Biogasudbytte!$A$2:$B$18,2,FALSE)*[1]Energiindhold!$C$10,0)*J235*IFERROR(VLOOKUP(A235,Biogasanlæg!$F$3:$G$8,2,FALSE),1)</f>
        <v>0</v>
      </c>
      <c r="T235" s="188">
        <f t="shared" si="64"/>
        <v>0</v>
      </c>
      <c r="U235" s="186">
        <f>O235*IFERROR(VLOOKUP(A235,[1]Tørstofindhold!A$2:B$24,2,FALSE),0)</f>
        <v>0</v>
      </c>
      <c r="V235" s="187">
        <f>IF(D235=År1,P235,SUM(O235,P235))*IFERROR(VLOOKUP(A235,[1]Tørstofindhold!A$2:B$24,2,FALSE),0)</f>
        <v>0</v>
      </c>
      <c r="W235" s="187">
        <f>J235*IFERROR(VLOOKUP(A235,[1]Tørstofindhold!A$2:B$24,2,FALSE),0)</f>
        <v>0</v>
      </c>
      <c r="X235" s="188">
        <f t="shared" si="65"/>
        <v>0</v>
      </c>
      <c r="Y235" s="168">
        <f t="shared" si="60"/>
        <v>0</v>
      </c>
      <c r="Z235" s="103">
        <f t="shared" si="61"/>
        <v>1</v>
      </c>
    </row>
    <row r="236" spans="1:26" x14ac:dyDescent="0.25">
      <c r="A236" s="189" t="str">
        <f t="shared" si="72"/>
        <v>Spildevandsslam</v>
      </c>
      <c r="B236" s="189" t="str">
        <f t="shared" si="73"/>
        <v>Bionedbrydeligt affald</v>
      </c>
      <c r="C236" s="189">
        <f>IF(COUNTIFS('Resultater - Danmark'!$D$3:$D$504,'Resultat-Produktion &amp; forbrug'!A236,'Resultater - Danmark'!$A$3:$A$504,"Til energi")+COUNTIFS('Resultater - Danmark'!$D$3:$D$504,'Resultat-Produktion &amp; forbrug'!A236,'Resultater - Danmark'!$A$3:$A$504,"Biogasanlæg")&gt;0,1,0)</f>
        <v>1</v>
      </c>
      <c r="D236" s="189">
        <f t="shared" si="58"/>
        <v>2030</v>
      </c>
      <c r="E236" s="187" t="s">
        <v>24</v>
      </c>
      <c r="F236" s="190">
        <f>IF(E236="Vestdanmark",SUMIFS(IF(D236=År1,'Resultater - Vestdanmark'!H$3:H$504,IF(D236=År2,'Resultater - Vestdanmark'!I$3:I$504,'Resultater - Vestdanmark'!J$3:J$504)),'Resultater - Vestdanmark'!$F$3:$F$504,$A236,IF(D236=År1,'Resultater - Vestdanmark'!H$3:H$504,IF(D236=År2,'Resultater - Vestdanmark'!I$3:I$504,'Resultater - Vestdanmark'!J$3:J$504)),"&gt;0"),SUMIFS(IF(D236=År1,'Resultater - Østdanmark'!H$3:H$504,IF(D236=År2,'Resultater - Østdanmark'!I$3:I$504,'Resultater - Østdanmark'!J$3:J$504)),'Resultater - Østdanmark'!$F$3:$F$504,$A236,IF(D236=År1,'Resultater - Østdanmark'!H$3:H$504,IF(D236=År2,'Resultater - Østdanmark'!I$3:I$504,'Resultater - Østdanmark'!J$3:J$504)),"&gt;0"))</f>
        <v>3345784.8962579207</v>
      </c>
      <c r="G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forbrug'!G$2,'Forbrug af biomasse'!$B$2:$B$425,$E236)</f>
        <v>0</v>
      </c>
      <c r="H236" s="187">
        <f>IF(E236="Vestdanmark",-IF(A236="Halm",SUMIFS(IF(D236=År1,'Resultater - Vestdanmark'!H$3:H$504,IF(D236=År2,'Resultater - Vestdanmark'!I$3:I$504,'Resultater - Vestdanmark'!J$3:J$504)),'Resultater - Vestdanmark'!$F$3:$F$504,$A236,'Resultater - Vestdanmark'!H$3:H$504,"&lt;0"),0),-IF(A236="Halm",SUMIFS(IF(D236=År1,'Resultater - Østdanmark'!H$3:H$504,IF(D236=År2,'Resultater - Østdanmark'!I$3:I$504,'Resultater - Østdanmark'!J$3:J$504)),'Resultater - Østdanmark'!$F$3:$F$504,$A236,'Resultater - Østdanmark'!H$3:H$504,"&lt;0"),0))</f>
        <v>0</v>
      </c>
      <c r="I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forbrug'!I$2,'Forbrug af biomasse'!$B$2:$B$425,$E236)</f>
        <v>0</v>
      </c>
      <c r="J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forbrug'!J$2,'Forbrug af biomasse'!$B$2:$B$425,$E236)</f>
        <v>1268885.054531686</v>
      </c>
      <c r="K236" s="190">
        <f>SUMIFS('Forbrug af biomasse'!$E$2:$E$425,'Forbrug af biomasse'!$C$2:$C$425,'Resultat-Produktion &amp; forbrug'!$A236,'Forbrug af biomasse'!$D$2:$D$425,'Resultat-Produktion &amp; forbrug'!$D236,'Forbrug af biomasse'!$A$2:$A$425,'Resultat-Produktion &amp; forbrug'!K$2,'Forbrug af biomasse'!$B$2:$B$425,$E236)</f>
        <v>0</v>
      </c>
      <c r="L236" s="190">
        <f>IF(A236&lt;&gt;"Biogas",SUMIFS('Forbrug af biomasse'!$E$2:$E$425,'Forbrug af biomasse'!$C$2:$C$425,'Resultat-Produktion &amp; forbrug'!$A236,'Forbrug af biomasse'!$D$2:$D$425,'Resultat-Produktion &amp; forbrug'!$D236,'Forbrug af biomasse'!$A$2:$A$425,'Resultat-Produktion &amp; forbrug'!L$2,'Forbrug af biomasse'!$B$2:$B$425,$E236),F236)</f>
        <v>0</v>
      </c>
      <c r="M236" s="154">
        <f>SUMIFS('Forbrug af biomasse'!E:E,'Forbrug af biomasse'!C:C,'Resultat-Produktion &amp; forbrug'!$A236,'Forbrug af biomasse'!D:D,'Resultat-Produktion &amp; forbrug'!$D236,'Forbrug af biomasse'!G:G,1,'Forbrug af biomasse'!B:B,$E236)</f>
        <v>0</v>
      </c>
      <c r="N236" s="199">
        <f t="shared" si="62"/>
        <v>2076899.8417262346</v>
      </c>
      <c r="O236" s="190">
        <f t="shared" si="59"/>
        <v>2076899.8417262346</v>
      </c>
      <c r="P236" s="200">
        <f t="shared" si="63"/>
        <v>1268885.054531686</v>
      </c>
      <c r="Q236" s="187">
        <f>IFERROR(VLOOKUP(A236,[1]Energiindhold!$A$2:$C$11,3,FALSE),IFERROR(VLOOKUP(A236,[1]Biogasudbytte!$A$2:$B$18,2,FALSE)*[1]Energiindhold!$C$10,0))*O236</f>
        <v>1.0363937900198086</v>
      </c>
      <c r="R236" s="187">
        <f>IF(A236&lt;&gt;"Biogas",IFERROR(VLOOKUP(A236,[1]Biogasudbytte!$A$2:$B$18,2,FALSE)*[1]Energiindhold!$C$10,0)*J236*IFERROR(VLOOKUP(A236,Biogasanlæg!$F$3:$G$8,2,FALSE),1)+IFERROR(VLOOKUP(A236,[1]Energiindhold!$A$2:$C$11,3,FALSE),0)*L236+IF(D236&lt;&gt;År1,Q236,0),0)</f>
        <v>1.6695801210816654</v>
      </c>
      <c r="S236" s="187">
        <f>IFERROR(VLOOKUP(A236,[1]Biogasudbytte!$A$2:$B$18,2,FALSE)*[1]Energiindhold!$C$10,0)*J236*IFERROR(VLOOKUP(A236,Biogasanlæg!$F$3:$G$8,2,FALSE),1)</f>
        <v>0.63318633106185673</v>
      </c>
      <c r="T236" s="188">
        <f t="shared" si="64"/>
        <v>1.0363937900198086</v>
      </c>
      <c r="U236" s="186">
        <f>O236*IFERROR(VLOOKUP(A236,[1]Tørstofindhold!A$2:B$24,2,FALSE),0)</f>
        <v>124613.99050357408</v>
      </c>
      <c r="V236" s="187">
        <f>IF(D236=År1,P236,SUM(O236,P236))*IFERROR(VLOOKUP(A236,[1]Tørstofindhold!A$2:B$24,2,FALSE),0)</f>
        <v>200747.09377547522</v>
      </c>
      <c r="W236" s="187">
        <f>J236*IFERROR(VLOOKUP(A236,[1]Tørstofindhold!A$2:B$24,2,FALSE),0)</f>
        <v>76133.103271901156</v>
      </c>
      <c r="X236" s="188">
        <f t="shared" si="65"/>
        <v>124613.99050357407</v>
      </c>
      <c r="Y236" s="168">
        <f t="shared" si="60"/>
        <v>0</v>
      </c>
      <c r="Z236" s="103">
        <f t="shared" si="61"/>
        <v>1</v>
      </c>
    </row>
    <row r="237" spans="1:26" x14ac:dyDescent="0.25">
      <c r="A237" s="189" t="str">
        <f t="shared" si="72"/>
        <v>Svinegylle</v>
      </c>
      <c r="B237" s="189" t="str">
        <f t="shared" si="73"/>
        <v>Husdyrgødning</v>
      </c>
      <c r="C237" s="189">
        <f>IF(COUNTIFS('Resultater - Danmark'!$D$3:$D$504,'Resultat-Produktion &amp; forbrug'!A237,'Resultater - Danmark'!$A$3:$A$504,"Til energi")+COUNTIFS('Resultater - Danmark'!$D$3:$D$504,'Resultat-Produktion &amp; forbrug'!A237,'Resultater - Danmark'!$A$3:$A$504,"Biogasanlæg")&gt;0,1,0)</f>
        <v>1</v>
      </c>
      <c r="D237" s="189">
        <f t="shared" si="58"/>
        <v>2030</v>
      </c>
      <c r="E237" s="187" t="s">
        <v>24</v>
      </c>
      <c r="F237" s="190">
        <f>IF(E237="Vestdanmark",SUMIFS(IF(D237=År1,'Resultater - Vestdanmark'!H$3:H$504,IF(D237=År2,'Resultater - Vestdanmark'!I$3:I$504,'Resultater - Vestdanmark'!J$3:J$504)),'Resultater - Vestdanmark'!$F$3:$F$504,$A237,IF(D237=År1,'Resultater - Vestdanmark'!H$3:H$504,IF(D237=År2,'Resultater - Vestdanmark'!I$3:I$504,'Resultater - Vestdanmark'!J$3:J$504)),"&gt;0"),SUMIFS(IF(D237=År1,'Resultater - Østdanmark'!H$3:H$504,IF(D237=År2,'Resultater - Østdanmark'!I$3:I$504,'Resultater - Østdanmark'!J$3:J$504)),'Resultater - Østdanmark'!$F$3:$F$504,$A237,IF(D237=År1,'Resultater - Østdanmark'!H$3:H$504,IF(D237=År2,'Resultater - Østdanmark'!I$3:I$504,'Resultater - Østdanmark'!J$3:J$504)),"&gt;0"))</f>
        <v>2621159.8056514151</v>
      </c>
      <c r="G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forbrug'!G$2,'Forbrug af biomasse'!$B$2:$B$425,$E237)</f>
        <v>0</v>
      </c>
      <c r="H237" s="187">
        <f>IF(E237="Vestdanmark",-IF(A237="Halm",SUMIFS(IF(D237=År1,'Resultater - Vestdanmark'!H$3:H$504,IF(D237=År2,'Resultater - Vestdanmark'!I$3:I$504,'Resultater - Vestdanmark'!J$3:J$504)),'Resultater - Vestdanmark'!$F$3:$F$504,$A237,'Resultater - Vestdanmark'!H$3:H$504,"&lt;0"),0),-IF(A237="Halm",SUMIFS(IF(D237=År1,'Resultater - Østdanmark'!H$3:H$504,IF(D237=År2,'Resultater - Østdanmark'!I$3:I$504,'Resultater - Østdanmark'!J$3:J$504)),'Resultater - Østdanmark'!$F$3:$F$504,$A237,'Resultater - Østdanmark'!H$3:H$504,"&lt;0"),0))</f>
        <v>0</v>
      </c>
      <c r="I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forbrug'!I$2,'Forbrug af biomasse'!$B$2:$B$425,$E237)</f>
        <v>0</v>
      </c>
      <c r="J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forbrug'!J$2,'Forbrug af biomasse'!$B$2:$B$425,$E237)</f>
        <v>1389214.6969952502</v>
      </c>
      <c r="K237" s="190">
        <f>SUMIFS('Forbrug af biomasse'!$E$2:$E$425,'Forbrug af biomasse'!$C$2:$C$425,'Resultat-Produktion &amp; forbrug'!$A237,'Forbrug af biomasse'!$D$2:$D$425,'Resultat-Produktion &amp; forbrug'!$D237,'Forbrug af biomasse'!$A$2:$A$425,'Resultat-Produktion &amp; forbrug'!K$2,'Forbrug af biomasse'!$B$2:$B$425,$E237)</f>
        <v>1231945.108656165</v>
      </c>
      <c r="L237" s="190">
        <f>IF(A237&lt;&gt;"Biogas",SUMIFS('Forbrug af biomasse'!$E$2:$E$425,'Forbrug af biomasse'!$C$2:$C$425,'Resultat-Produktion &amp; forbrug'!$A237,'Forbrug af biomasse'!$D$2:$D$425,'Resultat-Produktion &amp; forbrug'!$D237,'Forbrug af biomasse'!$A$2:$A$425,'Resultat-Produktion &amp; forbrug'!L$2,'Forbrug af biomasse'!$B$2:$B$425,$E237),F237)</f>
        <v>0</v>
      </c>
      <c r="M237" s="154">
        <f>SUMIFS('Forbrug af biomasse'!E:E,'Forbrug af biomasse'!C:C,'Resultat-Produktion &amp; forbrug'!$A237,'Forbrug af biomasse'!D:D,'Resultat-Produktion &amp; forbrug'!$D237,'Forbrug af biomasse'!G:G,1,'Forbrug af biomasse'!B:B,$E237)</f>
        <v>0</v>
      </c>
      <c r="N237" s="199">
        <f t="shared" si="62"/>
        <v>0</v>
      </c>
      <c r="O237" s="190">
        <f t="shared" si="59"/>
        <v>0</v>
      </c>
      <c r="P237" s="200">
        <f t="shared" si="63"/>
        <v>1389214.6969952502</v>
      </c>
      <c r="Q237" s="187">
        <f>IFERROR(VLOOKUP(A237,[1]Energiindhold!$A$2:$C$11,3,FALSE),IFERROR(VLOOKUP(A237,[1]Biogasudbytte!$A$2:$B$18,2,FALSE)*[1]Energiindhold!$C$10,0))*O237</f>
        <v>0</v>
      </c>
      <c r="R237" s="187">
        <f>IF(A237&lt;&gt;"Biogas",IFERROR(VLOOKUP(A237,[1]Biogasudbytte!$A$2:$B$18,2,FALSE)*[1]Energiindhold!$C$10,0)*J237*IFERROR(VLOOKUP(A237,Biogasanlæg!$F$3:$G$8,2,FALSE),1)+IFERROR(VLOOKUP(A237,[1]Energiindhold!$A$2:$C$11,3,FALSE),0)*L237+IF(D237&lt;&gt;År1,Q237,0),0)</f>
        <v>0.59847369146555385</v>
      </c>
      <c r="S237" s="187">
        <f>IFERROR(VLOOKUP(A237,[1]Biogasudbytte!$A$2:$B$18,2,FALSE)*[1]Energiindhold!$C$10,0)*J237*IFERROR(VLOOKUP(A237,Biogasanlæg!$F$3:$G$8,2,FALSE),1)</f>
        <v>0.59847369146555385</v>
      </c>
      <c r="T237" s="188">
        <f t="shared" si="64"/>
        <v>0</v>
      </c>
      <c r="U237" s="186">
        <f>O237*IFERROR(VLOOKUP(A237,[1]Tørstofindhold!A$2:B$24,2,FALSE),0)</f>
        <v>0</v>
      </c>
      <c r="V237" s="187">
        <f>IF(D237=År1,P237,SUM(O237,P237))*IFERROR(VLOOKUP(A237,[1]Tørstofindhold!A$2:B$24,2,FALSE),0)</f>
        <v>69460.734849762506</v>
      </c>
      <c r="W237" s="187">
        <f>J237*IFERROR(VLOOKUP(A237,[1]Tørstofindhold!A$2:B$24,2,FALSE),0)</f>
        <v>69460.734849762506</v>
      </c>
      <c r="X237" s="188">
        <f t="shared" si="65"/>
        <v>0</v>
      </c>
      <c r="Y237" s="168">
        <f t="shared" si="60"/>
        <v>0</v>
      </c>
      <c r="Z237" s="103">
        <f t="shared" si="61"/>
        <v>0</v>
      </c>
    </row>
    <row r="238" spans="1:26" x14ac:dyDescent="0.25">
      <c r="A238" s="189" t="str">
        <f t="shared" si="72"/>
        <v>Svinekød</v>
      </c>
      <c r="B238" s="189" t="str">
        <f t="shared" si="73"/>
        <v/>
      </c>
      <c r="C238" s="189">
        <f>IF(COUNTIFS('Resultater - Danmark'!$D$3:$D$504,'Resultat-Produktion &amp; forbrug'!A238,'Resultater - Danmark'!$A$3:$A$504,"Til energi")+COUNTIFS('Resultater - Danmark'!$D$3:$D$504,'Resultat-Produktion &amp; forbrug'!A238,'Resultater - Danmark'!$A$3:$A$504,"Biogasanlæg")&gt;0,1,0)</f>
        <v>0</v>
      </c>
      <c r="D238" s="189">
        <f t="shared" si="58"/>
        <v>2030</v>
      </c>
      <c r="E238" s="187" t="s">
        <v>24</v>
      </c>
      <c r="F238" s="190">
        <f>IF(E238="Vestdanmark",SUMIFS(IF(D238=År1,'Resultater - Vestdanmark'!H$3:H$504,IF(D238=År2,'Resultater - Vestdanmark'!I$3:I$504,'Resultater - Vestdanmark'!J$3:J$504)),'Resultater - Vestdanmark'!$F$3:$F$504,$A238,IF(D238=År1,'Resultater - Vestdanmark'!H$3:H$504,IF(D238=År2,'Resultater - Vestdanmark'!I$3:I$504,'Resultater - Vestdanmark'!J$3:J$504)),"&gt;0"),SUMIFS(IF(D238=År1,'Resultater - Østdanmark'!H$3:H$504,IF(D238=År2,'Resultater - Østdanmark'!I$3:I$504,'Resultater - Østdanmark'!J$3:J$504)),'Resultater - Østdanmark'!$F$3:$F$504,$A238,IF(D238=År1,'Resultater - Østdanmark'!H$3:H$504,IF(D238=År2,'Resultater - Østdanmark'!I$3:I$504,'Resultater - Østdanmark'!J$3:J$504)),"&gt;0"))</f>
        <v>239604.1344339604</v>
      </c>
      <c r="G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forbrug'!G$2,'Forbrug af biomasse'!$B$2:$B$425,$E238)</f>
        <v>0</v>
      </c>
      <c r="H238" s="187">
        <f>IF(E238="Vestdanmark",-IF(A238="Halm",SUMIFS(IF(D238=År1,'Resultater - Vestdanmark'!H$3:H$504,IF(D238=År2,'Resultater - Vestdanmark'!I$3:I$504,'Resultater - Vestdanmark'!J$3:J$504)),'Resultater - Vestdanmark'!$F$3:$F$504,$A238,'Resultater - Vestdanmark'!H$3:H$504,"&lt;0"),0),-IF(A238="Halm",SUMIFS(IF(D238=År1,'Resultater - Østdanmark'!H$3:H$504,IF(D238=År2,'Resultater - Østdanmark'!I$3:I$504,'Resultater - Østdanmark'!J$3:J$504)),'Resultater - Østdanmark'!$F$3:$F$504,$A238,'Resultater - Østdanmark'!H$3:H$504,"&lt;0"),0))</f>
        <v>0</v>
      </c>
      <c r="I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forbrug'!I$2,'Forbrug af biomasse'!$B$2:$B$425,$E238)</f>
        <v>105526.43984954793</v>
      </c>
      <c r="J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forbrug'!J$2,'Forbrug af biomasse'!$B$2:$B$425,$E238)</f>
        <v>0</v>
      </c>
      <c r="K238" s="190">
        <f>SUMIFS('Forbrug af biomasse'!$E$2:$E$425,'Forbrug af biomasse'!$C$2:$C$425,'Resultat-Produktion &amp; forbrug'!$A238,'Forbrug af biomasse'!$D$2:$D$425,'Resultat-Produktion &amp; forbrug'!$D238,'Forbrug af biomasse'!$A$2:$A$425,'Resultat-Produktion &amp; forbrug'!K$2,'Forbrug af biomasse'!$B$2:$B$425,$E238)</f>
        <v>0</v>
      </c>
      <c r="L238" s="190">
        <f>IF(A238&lt;&gt;"Biogas",SUMIFS('Forbrug af biomasse'!$E$2:$E$425,'Forbrug af biomasse'!$C$2:$C$425,'Resultat-Produktion &amp; forbrug'!$A238,'Forbrug af biomasse'!$D$2:$D$425,'Resultat-Produktion &amp; forbrug'!$D238,'Forbrug af biomasse'!$A$2:$A$425,'Resultat-Produktion &amp; forbrug'!L$2,'Forbrug af biomasse'!$B$2:$B$425,$E238),F238)</f>
        <v>0</v>
      </c>
      <c r="M238" s="154">
        <f>SUMIFS('Forbrug af biomasse'!E:E,'Forbrug af biomasse'!C:C,'Resultat-Produktion &amp; forbrug'!$A238,'Forbrug af biomasse'!D:D,'Resultat-Produktion &amp; forbrug'!$D238,'Forbrug af biomasse'!G:G,1,'Forbrug af biomasse'!B:B,$E238)</f>
        <v>0</v>
      </c>
      <c r="N238" s="199">
        <f t="shared" si="62"/>
        <v>134077.69458441247</v>
      </c>
      <c r="O238" s="190">
        <f t="shared" si="59"/>
        <v>0</v>
      </c>
      <c r="P238" s="200">
        <f t="shared" si="63"/>
        <v>0</v>
      </c>
      <c r="Q238" s="187">
        <f>IFERROR(VLOOKUP(A238,[1]Energiindhold!$A$2:$C$11,3,FALSE),IFERROR(VLOOKUP(A238,[1]Biogasudbytte!$A$2:$B$18,2,FALSE)*[1]Energiindhold!$C$10,0))*O238</f>
        <v>0</v>
      </c>
      <c r="R238" s="187">
        <f>IF(A238&lt;&gt;"Biogas",IFERROR(VLOOKUP(A238,[1]Biogasudbytte!$A$2:$B$18,2,FALSE)*[1]Energiindhold!$C$10,0)*J238*IFERROR(VLOOKUP(A238,Biogasanlæg!$F$3:$G$8,2,FALSE),1)+IFERROR(VLOOKUP(A238,[1]Energiindhold!$A$2:$C$11,3,FALSE),0)*L238+IF(D238&lt;&gt;År1,Q238,0),0)</f>
        <v>0</v>
      </c>
      <c r="S238" s="187">
        <f>IFERROR(VLOOKUP(A238,[1]Biogasudbytte!$A$2:$B$18,2,FALSE)*[1]Energiindhold!$C$10,0)*J238*IFERROR(VLOOKUP(A238,Biogasanlæg!$F$3:$G$8,2,FALSE),1)</f>
        <v>0</v>
      </c>
      <c r="T238" s="188">
        <f t="shared" si="64"/>
        <v>0</v>
      </c>
      <c r="U238" s="186">
        <f>O238*IFERROR(VLOOKUP(A238,[1]Tørstofindhold!A$2:B$24,2,FALSE),0)</f>
        <v>0</v>
      </c>
      <c r="V238" s="187">
        <f>IF(D238=År1,P238,SUM(O238,P238))*IFERROR(VLOOKUP(A238,[1]Tørstofindhold!A$2:B$24,2,FALSE),0)</f>
        <v>0</v>
      </c>
      <c r="W238" s="187">
        <f>J238*IFERROR(VLOOKUP(A238,[1]Tørstofindhold!A$2:B$24,2,FALSE),0)</f>
        <v>0</v>
      </c>
      <c r="X238" s="188">
        <f t="shared" si="65"/>
        <v>0</v>
      </c>
      <c r="Y238" s="168">
        <f t="shared" si="60"/>
        <v>0</v>
      </c>
      <c r="Z238" s="103">
        <f t="shared" si="61"/>
        <v>1</v>
      </c>
    </row>
    <row r="239" spans="1:26" x14ac:dyDescent="0.25">
      <c r="A239" s="189" t="str">
        <f t="shared" si="72"/>
        <v>Tang</v>
      </c>
      <c r="B239" s="189" t="str">
        <f t="shared" si="73"/>
        <v>Havbiomasse</v>
      </c>
      <c r="C239" s="189">
        <f>IF(COUNTIFS('Resultater - Danmark'!$D$3:$D$504,'Resultat-Produktion &amp; forbrug'!A239,'Resultater - Danmark'!$A$3:$A$504,"Til energi")+COUNTIFS('Resultater - Danmark'!$D$3:$D$504,'Resultat-Produktion &amp; forbrug'!A239,'Resultater - Danmark'!$A$3:$A$504,"Biogasanlæg")&gt;0,1,0)</f>
        <v>1</v>
      </c>
      <c r="D239" s="189">
        <f t="shared" si="58"/>
        <v>2030</v>
      </c>
      <c r="E239" s="187" t="s">
        <v>24</v>
      </c>
      <c r="F239" s="190">
        <f>IF(E239="Vestdanmark",SUMIFS(IF(D239=År1,'Resultater - Vestdanmark'!H$3:H$504,IF(D239=År2,'Resultater - Vestdanmark'!I$3:I$504,'Resultater - Vestdanmark'!J$3:J$504)),'Resultater - Vestdanmark'!$F$3:$F$504,$A239,IF(D239=År1,'Resultater - Vestdanmark'!H$3:H$504,IF(D239=År2,'Resultater - Vestdanmark'!I$3:I$504,'Resultater - Vestdanmark'!J$3:J$504)),"&gt;0"),SUMIFS(IF(D239=År1,'Resultater - Østdanmark'!H$3:H$504,IF(D239=År2,'Resultater - Østdanmark'!I$3:I$504,'Resultater - Østdanmark'!J$3:J$504)),'Resultater - Østdanmark'!$F$3:$F$504,$A239,IF(D239=År1,'Resultater - Østdanmark'!H$3:H$504,IF(D239=År2,'Resultater - Østdanmark'!I$3:I$504,'Resultater - Østdanmark'!J$3:J$504)),"&gt;0"))</f>
        <v>36000</v>
      </c>
      <c r="G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forbrug'!G$2,'Forbrug af biomasse'!$B$2:$B$425,$E239)</f>
        <v>0</v>
      </c>
      <c r="H239" s="187">
        <f>IF(E239="Vestdanmark",-IF(A239="Halm",SUMIFS(IF(D239=År1,'Resultater - Vestdanmark'!H$3:H$504,IF(D239=År2,'Resultater - Vestdanmark'!I$3:I$504,'Resultater - Vestdanmark'!J$3:J$504)),'Resultater - Vestdanmark'!$F$3:$F$504,$A239,'Resultater - Vestdanmark'!H$3:H$504,"&lt;0"),0),-IF(A239="Halm",SUMIFS(IF(D239=År1,'Resultater - Østdanmark'!H$3:H$504,IF(D239=År2,'Resultater - Østdanmark'!I$3:I$504,'Resultater - Østdanmark'!J$3:J$504)),'Resultater - Østdanmark'!$F$3:$F$504,$A239,'Resultater - Østdanmark'!H$3:H$504,"&lt;0"),0))</f>
        <v>0</v>
      </c>
      <c r="I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forbrug'!I$2,'Forbrug af biomasse'!$B$2:$B$425,$E239)</f>
        <v>0</v>
      </c>
      <c r="J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forbrug'!J$2,'Forbrug af biomasse'!$B$2:$B$425,$E239)</f>
        <v>0</v>
      </c>
      <c r="K239" s="190">
        <f>SUMIFS('Forbrug af biomasse'!$E$2:$E$425,'Forbrug af biomasse'!$C$2:$C$425,'Resultat-Produktion &amp; forbrug'!$A239,'Forbrug af biomasse'!$D$2:$D$425,'Resultat-Produktion &amp; forbrug'!$D239,'Forbrug af biomasse'!$A$2:$A$425,'Resultat-Produktion &amp; forbrug'!K$2,'Forbrug af biomasse'!$B$2:$B$425,$E239)</f>
        <v>0</v>
      </c>
      <c r="L239" s="190">
        <f>IF(A239&lt;&gt;"Biogas",SUMIFS('Forbrug af biomasse'!$E$2:$E$425,'Forbrug af biomasse'!$C$2:$C$425,'Resultat-Produktion &amp; forbrug'!$A239,'Forbrug af biomasse'!$D$2:$D$425,'Resultat-Produktion &amp; forbrug'!$D239,'Forbrug af biomasse'!$A$2:$A$425,'Resultat-Produktion &amp; forbrug'!L$2,'Forbrug af biomasse'!$B$2:$B$425,$E239),F239)</f>
        <v>0</v>
      </c>
      <c r="M239" s="154">
        <f>SUMIFS('Forbrug af biomasse'!E:E,'Forbrug af biomasse'!C:C,'Resultat-Produktion &amp; forbrug'!$A239,'Forbrug af biomasse'!D:D,'Resultat-Produktion &amp; forbrug'!$D239,'Forbrug af biomasse'!G:G,1,'Forbrug af biomasse'!B:B,$E239)</f>
        <v>0</v>
      </c>
      <c r="N239" s="199">
        <f t="shared" si="62"/>
        <v>36000</v>
      </c>
      <c r="O239" s="190">
        <f t="shared" si="59"/>
        <v>36000</v>
      </c>
      <c r="P239" s="200">
        <f t="shared" si="63"/>
        <v>0</v>
      </c>
      <c r="Q239" s="187">
        <f>IFERROR(VLOOKUP(A239,[1]Energiindhold!$A$2:$C$11,3,FALSE),IFERROR(VLOOKUP(A239,[1]Biogasudbytte!$A$2:$B$18,2,FALSE)*[1]Energiindhold!$C$10,0))*O239</f>
        <v>3.2310000000000005E-2</v>
      </c>
      <c r="R239" s="187">
        <f>IF(A239&lt;&gt;"Biogas",IFERROR(VLOOKUP(A239,[1]Biogasudbytte!$A$2:$B$18,2,FALSE)*[1]Energiindhold!$C$10,0)*J239*IFERROR(VLOOKUP(A239,Biogasanlæg!$F$3:$G$8,2,FALSE),1)+IFERROR(VLOOKUP(A239,[1]Energiindhold!$A$2:$C$11,3,FALSE),0)*L239+IF(D239&lt;&gt;År1,Q239,0),0)</f>
        <v>3.2310000000000005E-2</v>
      </c>
      <c r="S239" s="187">
        <f>IFERROR(VLOOKUP(A239,[1]Biogasudbytte!$A$2:$B$18,2,FALSE)*[1]Energiindhold!$C$10,0)*J239*IFERROR(VLOOKUP(A239,Biogasanlæg!$F$3:$G$8,2,FALSE),1)</f>
        <v>0</v>
      </c>
      <c r="T239" s="188">
        <f t="shared" si="64"/>
        <v>3.2310000000000005E-2</v>
      </c>
      <c r="U239" s="186">
        <f>O239*IFERROR(VLOOKUP(A239,[1]Tørstofindhold!A$2:B$24,2,FALSE),0)</f>
        <v>5400</v>
      </c>
      <c r="V239" s="187">
        <f>IF(D239=År1,P239,SUM(O239,P239))*IFERROR(VLOOKUP(A239,[1]Tørstofindhold!A$2:B$24,2,FALSE),0)</f>
        <v>5400</v>
      </c>
      <c r="W239" s="187">
        <f>J239*IFERROR(VLOOKUP(A239,[1]Tørstofindhold!A$2:B$24,2,FALSE),0)</f>
        <v>0</v>
      </c>
      <c r="X239" s="188">
        <f t="shared" si="65"/>
        <v>5400</v>
      </c>
      <c r="Y239" s="168">
        <f t="shared" si="60"/>
        <v>0</v>
      </c>
      <c r="Z239" s="103">
        <f t="shared" si="61"/>
        <v>1</v>
      </c>
    </row>
    <row r="240" spans="1:26" x14ac:dyDescent="0.25">
      <c r="A240" s="189" t="str">
        <f t="shared" si="72"/>
        <v>Total til biogas</v>
      </c>
      <c r="B240" s="189" t="str">
        <f t="shared" si="73"/>
        <v/>
      </c>
      <c r="C240" s="189">
        <f>IF(COUNTIFS('Resultater - Danmark'!$D$3:$D$504,'Resultat-Produktion &amp; forbrug'!A240,'Resultater - Danmark'!$A$3:$A$504,"Til energi")+COUNTIFS('Resultater - Danmark'!$D$3:$D$504,'Resultat-Produktion &amp; forbrug'!A240,'Resultater - Danmark'!$A$3:$A$504,"Biogasanlæg")&gt;0,1,0)</f>
        <v>1</v>
      </c>
      <c r="D240" s="189">
        <f t="shared" si="58"/>
        <v>2030</v>
      </c>
      <c r="E240" s="187" t="s">
        <v>24</v>
      </c>
      <c r="F240" s="190">
        <f>IF(E240="Vestdanmark",SUMIFS(IF(D240=År1,'Resultater - Vestdanmark'!H$3:H$504,IF(D240=År2,'Resultater - Vestdanmark'!I$3:I$504,'Resultater - Vestdanmark'!J$3:J$504)),'Resultater - Vestdanmark'!$F$3:$F$504,$A240,IF(D240=År1,'Resultater - Vestdanmark'!H$3:H$504,IF(D240=År2,'Resultater - Vestdanmark'!I$3:I$504,'Resultater - Vestdanmark'!J$3:J$504)),"&gt;0"),SUMIFS(IF(D240=År1,'Resultater - Østdanmark'!H$3:H$504,IF(D240=År2,'Resultater - Østdanmark'!I$3:I$504,'Resultater - Østdanmark'!J$3:J$504)),'Resultater - Østdanmark'!$F$3:$F$504,$A240,IF(D240=År1,'Resultater - Østdanmark'!H$3:H$504,IF(D240=År2,'Resultater - Østdanmark'!I$3:I$504,'Resultater - Østdanmark'!J$3:J$504)),"&gt;0"))</f>
        <v>0</v>
      </c>
      <c r="G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forbrug'!G$2,'Forbrug af biomasse'!$B$2:$B$425,$E240)</f>
        <v>0</v>
      </c>
      <c r="H240" s="187">
        <f>IF(E240="Vestdanmark",-IF(A240="Halm",SUMIFS(IF(D240=År1,'Resultater - Vestdanmark'!H$3:H$504,IF(D240=År2,'Resultater - Vestdanmark'!I$3:I$504,'Resultater - Vestdanmark'!J$3:J$504)),'Resultater - Vestdanmark'!$F$3:$F$504,$A240,'Resultater - Vestdanmark'!H$3:H$504,"&lt;0"),0),-IF(A240="Halm",SUMIFS(IF(D240=År1,'Resultater - Østdanmark'!H$3:H$504,IF(D240=År2,'Resultater - Østdanmark'!I$3:I$504,'Resultater - Østdanmark'!J$3:J$504)),'Resultater - Østdanmark'!$F$3:$F$504,$A240,'Resultater - Østdanmark'!H$3:H$504,"&lt;0"),0))</f>
        <v>0</v>
      </c>
      <c r="I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forbrug'!I$2,'Forbrug af biomasse'!$B$2:$B$425,$E240)</f>
        <v>0</v>
      </c>
      <c r="J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forbrug'!J$2,'Forbrug af biomasse'!$B$2:$B$425,$E240)</f>
        <v>0</v>
      </c>
      <c r="K240" s="190">
        <f>SUMIFS('Forbrug af biomasse'!$E$2:$E$425,'Forbrug af biomasse'!$C$2:$C$425,'Resultat-Produktion &amp; forbrug'!$A240,'Forbrug af biomasse'!$D$2:$D$425,'Resultat-Produktion &amp; forbrug'!$D240,'Forbrug af biomasse'!$A$2:$A$425,'Resultat-Produktion &amp; forbrug'!K$2,'Forbrug af biomasse'!$B$2:$B$425,$E240)</f>
        <v>0</v>
      </c>
      <c r="L240" s="190">
        <f>IF(A240&lt;&gt;"Biogas",SUMIFS('Forbrug af biomasse'!$E$2:$E$425,'Forbrug af biomasse'!$C$2:$C$425,'Resultat-Produktion &amp; forbrug'!$A240,'Forbrug af biomasse'!$D$2:$D$425,'Resultat-Produktion &amp; forbrug'!$D240,'Forbrug af biomasse'!$A$2:$A$425,'Resultat-Produktion &amp; forbrug'!L$2,'Forbrug af biomasse'!$B$2:$B$425,$E240),F240)</f>
        <v>0</v>
      </c>
      <c r="M240" s="154">
        <f>SUMIFS('Forbrug af biomasse'!E:E,'Forbrug af biomasse'!C:C,'Resultat-Produktion &amp; forbrug'!$A240,'Forbrug af biomasse'!D:D,'Resultat-Produktion &amp; forbrug'!$D240,'Forbrug af biomasse'!G:G,1,'Forbrug af biomasse'!B:B,$E240)</f>
        <v>0</v>
      </c>
      <c r="N240" s="199">
        <f t="shared" si="62"/>
        <v>0</v>
      </c>
      <c r="O240" s="190">
        <f t="shared" si="59"/>
        <v>0</v>
      </c>
      <c r="P240" s="200">
        <f t="shared" si="63"/>
        <v>0</v>
      </c>
      <c r="Q240" s="187">
        <f>IFERROR(VLOOKUP(A240,[1]Energiindhold!$A$2:$C$11,3,FALSE),IFERROR(VLOOKUP(A240,[1]Biogasudbytte!$A$2:$B$18,2,FALSE)*[1]Energiindhold!$C$10,0))*O240</f>
        <v>0</v>
      </c>
      <c r="R240" s="187">
        <f>IF(A240&lt;&gt;"Biogas",IFERROR(VLOOKUP(A240,[1]Biogasudbytte!$A$2:$B$18,2,FALSE)*[1]Energiindhold!$C$10,0)*J240*IFERROR(VLOOKUP(A240,Biogasanlæg!$F$3:$G$8,2,FALSE),1)+IFERROR(VLOOKUP(A240,[1]Energiindhold!$A$2:$C$11,3,FALSE),0)*L240+IF(D240&lt;&gt;År1,Q240,0),0)</f>
        <v>0</v>
      </c>
      <c r="S240" s="187">
        <f>IFERROR(VLOOKUP(A240,[1]Biogasudbytte!$A$2:$B$18,2,FALSE)*[1]Energiindhold!$C$10,0)*J240*IFERROR(VLOOKUP(A240,Biogasanlæg!$F$3:$G$8,2,FALSE),1)</f>
        <v>0</v>
      </c>
      <c r="T240" s="188">
        <f t="shared" si="64"/>
        <v>0</v>
      </c>
      <c r="U240" s="186">
        <f>O240*IFERROR(VLOOKUP(A240,[1]Tørstofindhold!A$2:B$24,2,FALSE),0)</f>
        <v>0</v>
      </c>
      <c r="V240" s="187">
        <f>IF(D240=År1,P240,SUM(O240,P240))*IFERROR(VLOOKUP(A240,[1]Tørstofindhold!A$2:B$24,2,FALSE),0)</f>
        <v>0</v>
      </c>
      <c r="W240" s="187">
        <f>J240*IFERROR(VLOOKUP(A240,[1]Tørstofindhold!A$2:B$24,2,FALSE),0)</f>
        <v>0</v>
      </c>
      <c r="X240" s="188">
        <f t="shared" si="65"/>
        <v>0</v>
      </c>
      <c r="Y240" s="168">
        <f t="shared" si="60"/>
        <v>0</v>
      </c>
      <c r="Z240" s="103">
        <f t="shared" si="61"/>
        <v>0</v>
      </c>
    </row>
    <row r="241" spans="1:26" x14ac:dyDescent="0.25">
      <c r="A241" s="189" t="str">
        <f t="shared" si="72"/>
        <v>Træ til energi</v>
      </c>
      <c r="B241" s="189" t="str">
        <f t="shared" si="73"/>
        <v>Vedmasse</v>
      </c>
      <c r="C241" s="189">
        <f>IF(COUNTIFS('Resultater - Danmark'!$D$3:$D$504,'Resultat-Produktion &amp; forbrug'!A241,'Resultater - Danmark'!$A$3:$A$504,"Til energi")+COUNTIFS('Resultater - Danmark'!$D$3:$D$504,'Resultat-Produktion &amp; forbrug'!A241,'Resultater - Danmark'!$A$3:$A$504,"Biogasanlæg")&gt;0,1,0)</f>
        <v>1</v>
      </c>
      <c r="D241" s="189">
        <f t="shared" si="58"/>
        <v>2030</v>
      </c>
      <c r="E241" s="187" t="s">
        <v>24</v>
      </c>
      <c r="F241" s="190">
        <f ca="1">IF(E241="Vestdanmark",SUMIFS(IF(D241=År1,'Resultater - Vestdanmark'!H$3:H$504,IF(D241=År2,'Resultater - Vestdanmark'!I$3:I$504,'Resultater - Vestdanmark'!J$3:J$504)),'Resultater - Vestdanmark'!$F$3:$F$504,$A241,IF(D241=År1,'Resultater - Vestdanmark'!H$3:H$504,IF(D241=År2,'Resultater - Vestdanmark'!I$3:I$504,'Resultater - Vestdanmark'!J$3:J$504)),"&gt;0"),SUMIFS(IF(D241=År1,'Resultater - Østdanmark'!H$3:H$504,IF(D241=År2,'Resultater - Østdanmark'!I$3:I$504,'Resultater - Østdanmark'!J$3:J$504)),'Resultater - Østdanmark'!$F$3:$F$504,$A241,IF(D241=År1,'Resultater - Østdanmark'!H$3:H$504,IF(D241=År2,'Resultater - Østdanmark'!I$3:I$504,'Resultater - Østdanmark'!J$3:J$504)),"&gt;0"))</f>
        <v>645049.46160507516</v>
      </c>
      <c r="G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forbrug'!G$2,'Forbrug af biomasse'!$B$2:$B$425,$E241)</f>
        <v>0</v>
      </c>
      <c r="H241" s="187">
        <f>IF(E241="Vestdanmark",-IF(A241="Halm",SUMIFS(IF(D241=År1,'Resultater - Vestdanmark'!H$3:H$504,IF(D241=År2,'Resultater - Vestdanmark'!I$3:I$504,'Resultater - Vestdanmark'!J$3:J$504)),'Resultater - Vestdanmark'!$F$3:$F$504,$A241,'Resultater - Vestdanmark'!H$3:H$504,"&lt;0"),0),-IF(A241="Halm",SUMIFS(IF(D241=År1,'Resultater - Østdanmark'!H$3:H$504,IF(D241=År2,'Resultater - Østdanmark'!I$3:I$504,'Resultater - Østdanmark'!J$3:J$504)),'Resultater - Østdanmark'!$F$3:$F$504,$A241,'Resultater - Østdanmark'!H$3:H$504,"&lt;0"),0))</f>
        <v>0</v>
      </c>
      <c r="I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forbrug'!I$2,'Forbrug af biomasse'!$B$2:$B$425,$E241)</f>
        <v>0</v>
      </c>
      <c r="J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forbrug'!J$2,'Forbrug af biomasse'!$B$2:$B$425,$E241)</f>
        <v>0</v>
      </c>
      <c r="K241" s="190">
        <f>SUMIFS('Forbrug af biomasse'!$E$2:$E$425,'Forbrug af biomasse'!$C$2:$C$425,'Resultat-Produktion &amp; forbrug'!$A241,'Forbrug af biomasse'!$D$2:$D$425,'Resultat-Produktion &amp; forbrug'!$D241,'Forbrug af biomasse'!$A$2:$A$425,'Resultat-Produktion &amp; forbrug'!K$2,'Forbrug af biomasse'!$B$2:$B$425,$E241)</f>
        <v>0</v>
      </c>
      <c r="L241" s="190">
        <f ca="1">IF(A241&lt;&gt;"Biogas",SUMIFS('Forbrug af biomasse'!$E$2:$E$425,'Forbrug af biomasse'!$C$2:$C$425,'Resultat-Produktion &amp; forbrug'!$A241,'Forbrug af biomasse'!$D$2:$D$425,'Resultat-Produktion &amp; forbrug'!$D241,'Forbrug af biomasse'!$A$2:$A$425,'Resultat-Produktion &amp; forbrug'!L$2,'Forbrug af biomasse'!$B$2:$B$425,$E241),F241)</f>
        <v>645049.46160507516</v>
      </c>
      <c r="M241" s="154">
        <f>SUMIFS('Forbrug af biomasse'!E:E,'Forbrug af biomasse'!C:C,'Resultat-Produktion &amp; forbrug'!$A241,'Forbrug af biomasse'!D:D,'Resultat-Produktion &amp; forbrug'!$D241,'Forbrug af biomasse'!G:G,1,'Forbrug af biomasse'!B:B,$E241)</f>
        <v>0</v>
      </c>
      <c r="N241" s="199">
        <f t="shared" ca="1" si="62"/>
        <v>0</v>
      </c>
      <c r="O241" s="190">
        <f t="shared" ca="1" si="59"/>
        <v>0</v>
      </c>
      <c r="P241" s="200">
        <f t="shared" ca="1" si="63"/>
        <v>645049.46160507516</v>
      </c>
      <c r="Q241" s="187">
        <f ca="1">IFERROR(VLOOKUP(A241,[1]Energiindhold!$A$2:$C$11,3,FALSE),IFERROR(VLOOKUP(A241,[1]Biogasudbytte!$A$2:$B$18,2,FALSE)*[1]Energiindhold!$C$10,0))*O241</f>
        <v>0</v>
      </c>
      <c r="R241" s="187">
        <f ca="1">IF(A241&lt;&gt;"Biogas",IFERROR(VLOOKUP(A241,[1]Biogasudbytte!$A$2:$B$18,2,FALSE)*[1]Energiindhold!$C$10,0)*J241*IFERROR(VLOOKUP(A241,Biogasanlæg!$F$3:$G$8,2,FALSE),1)+IFERROR(VLOOKUP(A241,[1]Energiindhold!$A$2:$C$11,3,FALSE),0)*L241+IF(D241&lt;&gt;År1,Q241,0),0)</f>
        <v>9.3490688161811804</v>
      </c>
      <c r="S241" s="187">
        <f>IFERROR(VLOOKUP(A241,[1]Biogasudbytte!$A$2:$B$18,2,FALSE)*[1]Energiindhold!$C$10,0)*J241*IFERROR(VLOOKUP(A241,Biogasanlæg!$F$3:$G$8,2,FALSE),1)</f>
        <v>0</v>
      </c>
      <c r="T241" s="188">
        <f t="shared" ca="1" si="64"/>
        <v>9.3490688161811804</v>
      </c>
      <c r="U241" s="186">
        <f ca="1">O241*IFERROR(VLOOKUP(A241,[1]Tørstofindhold!A$2:B$24,2,FALSE),0)</f>
        <v>0</v>
      </c>
      <c r="V241" s="187">
        <f ca="1">IF(D241=År1,P241,SUM(O241,P241))*IFERROR(VLOOKUP(A241,[1]Tørstofindhold!A$2:B$24,2,FALSE),0)</f>
        <v>319030.71288551006</v>
      </c>
      <c r="W241" s="187">
        <f>J241*IFERROR(VLOOKUP(A241,[1]Tørstofindhold!A$2:B$24,2,FALSE),0)</f>
        <v>0</v>
      </c>
      <c r="X241" s="188">
        <f t="shared" ca="1" si="65"/>
        <v>319030.71288551006</v>
      </c>
      <c r="Y241" s="168">
        <f t="shared" ca="1" si="60"/>
        <v>0</v>
      </c>
      <c r="Z241" s="103">
        <f t="shared" ca="1" si="61"/>
        <v>0</v>
      </c>
    </row>
    <row r="242" spans="1:26" x14ac:dyDescent="0.25">
      <c r="A242" s="189" t="str">
        <f t="shared" si="72"/>
        <v>Træmaterialer</v>
      </c>
      <c r="B242" s="189" t="str">
        <f t="shared" si="73"/>
        <v/>
      </c>
      <c r="C242" s="189">
        <f>IF(COUNTIFS('Resultater - Danmark'!$D$3:$D$504,'Resultat-Produktion &amp; forbrug'!A242,'Resultater - Danmark'!$A$3:$A$504,"Til energi")+COUNTIFS('Resultater - Danmark'!$D$3:$D$504,'Resultat-Produktion &amp; forbrug'!A242,'Resultater - Danmark'!$A$3:$A$504,"Biogasanlæg")&gt;0,1,0)</f>
        <v>0</v>
      </c>
      <c r="D242" s="189">
        <f t="shared" si="58"/>
        <v>2030</v>
      </c>
      <c r="E242" s="187" t="s">
        <v>24</v>
      </c>
      <c r="F242" s="190">
        <f ca="1">IF(E242="Vestdanmark",SUMIFS(IF(D242=År1,'Resultater - Vestdanmark'!H$3:H$504,IF(D242=År2,'Resultater - Vestdanmark'!I$3:I$504,'Resultater - Vestdanmark'!J$3:J$504)),'Resultater - Vestdanmark'!$F$3:$F$504,$A242,IF(D242=År1,'Resultater - Vestdanmark'!H$3:H$504,IF(D242=År2,'Resultater - Vestdanmark'!I$3:I$504,'Resultater - Vestdanmark'!J$3:J$504)),"&gt;0"),SUMIFS(IF(D242=År1,'Resultater - Østdanmark'!H$3:H$504,IF(D242=År2,'Resultater - Østdanmark'!I$3:I$504,'Resultater - Østdanmark'!J$3:J$504)),'Resultater - Østdanmark'!$F$3:$F$504,$A242,IF(D242=År1,'Resultater - Østdanmark'!H$3:H$504,IF(D242=År2,'Resultater - Østdanmark'!I$3:I$504,'Resultater - Østdanmark'!J$3:J$504)),"&gt;0"))</f>
        <v>177362.37762242398</v>
      </c>
      <c r="G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forbrug'!G$2,'Forbrug af biomasse'!$B$2:$B$425,$E242)</f>
        <v>0</v>
      </c>
      <c r="H242" s="187">
        <f>IF(E242="Vestdanmark",-IF(A242="Halm",SUMIFS(IF(D242=År1,'Resultater - Vestdanmark'!H$3:H$504,IF(D242=År2,'Resultater - Vestdanmark'!I$3:I$504,'Resultater - Vestdanmark'!J$3:J$504)),'Resultater - Vestdanmark'!$F$3:$F$504,$A242,'Resultater - Vestdanmark'!H$3:H$504,"&lt;0"),0),-IF(A242="Halm",SUMIFS(IF(D242=År1,'Resultater - Østdanmark'!H$3:H$504,IF(D242=År2,'Resultater - Østdanmark'!I$3:I$504,'Resultater - Østdanmark'!J$3:J$504)),'Resultater - Østdanmark'!$F$3:$F$504,$A242,'Resultater - Østdanmark'!H$3:H$504,"&lt;0"),0))</f>
        <v>0</v>
      </c>
      <c r="I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forbrug'!I$2,'Forbrug af biomasse'!$B$2:$B$425,$E242)</f>
        <v>0</v>
      </c>
      <c r="J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forbrug'!J$2,'Forbrug af biomasse'!$B$2:$B$425,$E242)</f>
        <v>0</v>
      </c>
      <c r="K242" s="190">
        <f>SUMIFS('Forbrug af biomasse'!$E$2:$E$425,'Forbrug af biomasse'!$C$2:$C$425,'Resultat-Produktion &amp; forbrug'!$A242,'Forbrug af biomasse'!$D$2:$D$425,'Resultat-Produktion &amp; forbrug'!$D242,'Forbrug af biomasse'!$A$2:$A$425,'Resultat-Produktion &amp; forbrug'!K$2,'Forbrug af biomasse'!$B$2:$B$425,$E242)</f>
        <v>0</v>
      </c>
      <c r="L242" s="190">
        <f>IF(A242&lt;&gt;"Biogas",SUMIFS('Forbrug af biomasse'!$E$2:$E$425,'Forbrug af biomasse'!$C$2:$C$425,'Resultat-Produktion &amp; forbrug'!$A242,'Forbrug af biomasse'!$D$2:$D$425,'Resultat-Produktion &amp; forbrug'!$D242,'Forbrug af biomasse'!$A$2:$A$425,'Resultat-Produktion &amp; forbrug'!L$2,'Forbrug af biomasse'!$B$2:$B$425,$E242),F242)</f>
        <v>0</v>
      </c>
      <c r="M242" s="154">
        <f ca="1">SUMIFS('Forbrug af biomasse'!E:E,'Forbrug af biomasse'!C:C,'Resultat-Produktion &amp; forbrug'!$A242,'Forbrug af biomasse'!D:D,'Resultat-Produktion &amp; forbrug'!$D242,'Forbrug af biomasse'!G:G,1,'Forbrug af biomasse'!B:B,$E242)</f>
        <v>177362.37762242398</v>
      </c>
      <c r="N242" s="199">
        <f t="shared" ca="1" si="62"/>
        <v>0</v>
      </c>
      <c r="O242" s="190">
        <f t="shared" si="59"/>
        <v>0</v>
      </c>
      <c r="P242" s="200">
        <f t="shared" si="63"/>
        <v>0</v>
      </c>
      <c r="Q242" s="187">
        <f>IFERROR(VLOOKUP(A242,[1]Energiindhold!$A$2:$C$11,3,FALSE),IFERROR(VLOOKUP(A242,[1]Biogasudbytte!$A$2:$B$18,2,FALSE)*[1]Energiindhold!$C$10,0))*O242</f>
        <v>0</v>
      </c>
      <c r="R242" s="187">
        <f>IF(A242&lt;&gt;"Biogas",IFERROR(VLOOKUP(A242,[1]Biogasudbytte!$A$2:$B$18,2,FALSE)*[1]Energiindhold!$C$10,0)*J242*IFERROR(VLOOKUP(A242,Biogasanlæg!$F$3:$G$8,2,FALSE),1)+IFERROR(VLOOKUP(A242,[1]Energiindhold!$A$2:$C$11,3,FALSE),0)*L242+IF(D242&lt;&gt;År1,Q242,0),0)</f>
        <v>0</v>
      </c>
      <c r="S242" s="187">
        <f>IFERROR(VLOOKUP(A242,[1]Biogasudbytte!$A$2:$B$18,2,FALSE)*[1]Energiindhold!$C$10,0)*J242*IFERROR(VLOOKUP(A242,Biogasanlæg!$F$3:$G$8,2,FALSE),1)</f>
        <v>0</v>
      </c>
      <c r="T242" s="188">
        <f t="shared" si="64"/>
        <v>0</v>
      </c>
      <c r="U242" s="186">
        <f>O242*IFERROR(VLOOKUP(A242,[1]Tørstofindhold!A$2:B$24,2,FALSE),0)</f>
        <v>0</v>
      </c>
      <c r="V242" s="187">
        <f>IF(D242=År1,P242,SUM(O242,P242))*IFERROR(VLOOKUP(A242,[1]Tørstofindhold!A$2:B$24,2,FALSE),0)</f>
        <v>0</v>
      </c>
      <c r="W242" s="187">
        <f>J242*IFERROR(VLOOKUP(A242,[1]Tørstofindhold!A$2:B$24,2,FALSE),0)</f>
        <v>0</v>
      </c>
      <c r="X242" s="188">
        <f t="shared" si="65"/>
        <v>0</v>
      </c>
      <c r="Y242" s="168">
        <f t="shared" ca="1" si="60"/>
        <v>0</v>
      </c>
      <c r="Z242" s="103">
        <f t="shared" ca="1" si="61"/>
        <v>0</v>
      </c>
    </row>
    <row r="243" spans="1:26" x14ac:dyDescent="0.25">
      <c r="A243" s="189" t="str">
        <f t="shared" si="72"/>
        <v>Æg</v>
      </c>
      <c r="B243" s="189" t="str">
        <f t="shared" si="73"/>
        <v/>
      </c>
      <c r="C243" s="189">
        <f>IF(COUNTIFS('Resultater - Danmark'!$D$3:$D$504,'Resultat-Produktion &amp; forbrug'!A243,'Resultater - Danmark'!$A$3:$A$504,"Til energi")+COUNTIFS('Resultater - Danmark'!$D$3:$D$504,'Resultat-Produktion &amp; forbrug'!A243,'Resultater - Danmark'!$A$3:$A$504,"Biogasanlæg")&gt;0,1,0)</f>
        <v>0</v>
      </c>
      <c r="D243" s="189">
        <f t="shared" ref="D243:D281" si="74">År3</f>
        <v>2050</v>
      </c>
      <c r="E243" s="187" t="s">
        <v>24</v>
      </c>
      <c r="F243" s="190">
        <f>IF(E243="Vestdanmark",SUMIFS(IF(D243=År1,'Resultater - Vestdanmark'!H$3:H$504,IF(D243=År2,'Resultater - Vestdanmark'!I$3:I$504,'Resultater - Vestdanmark'!J$3:J$504)),'Resultater - Vestdanmark'!$F$3:$F$504,$A243,IF(D243=År1,'Resultater - Vestdanmark'!H$3:H$504,IF(D243=År2,'Resultater - Vestdanmark'!I$3:I$504,'Resultater - Vestdanmark'!J$3:J$504)),"&gt;0"),SUMIFS(IF(D243=År1,'Resultater - Østdanmark'!H$3:H$504,IF(D243=År2,'Resultater - Østdanmark'!I$3:I$504,'Resultater - Østdanmark'!J$3:J$504)),'Resultater - Østdanmark'!$F$3:$F$504,$A243,IF(D243=År1,'Resultater - Østdanmark'!H$3:H$504,IF(D243=År2,'Resultater - Østdanmark'!I$3:I$504,'Resultater - Østdanmark'!J$3:J$504)),"&gt;0"))</f>
        <v>20971.319509081128</v>
      </c>
      <c r="G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forbrug'!G$2,'Forbrug af biomasse'!$B$2:$B$425,$E243)</f>
        <v>0</v>
      </c>
      <c r="H243" s="187">
        <f>IF(E243="Vestdanmark",-IF(A243="Halm",SUMIFS(IF(D243=År1,'Resultater - Vestdanmark'!H$3:H$504,IF(D243=År2,'Resultater - Vestdanmark'!I$3:I$504,'Resultater - Vestdanmark'!J$3:J$504)),'Resultater - Vestdanmark'!$F$3:$F$504,$A243,'Resultater - Vestdanmark'!H$3:H$504,"&lt;0"),0),-IF(A243="Halm",SUMIFS(IF(D243=År1,'Resultater - Østdanmark'!H$3:H$504,IF(D243=År2,'Resultater - Østdanmark'!I$3:I$504,'Resultater - Østdanmark'!J$3:J$504)),'Resultater - Østdanmark'!$F$3:$F$504,$A243,'Resultater - Østdanmark'!H$3:H$504,"&lt;0"),0))</f>
        <v>0</v>
      </c>
      <c r="I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forbrug'!I$2,'Forbrug af biomasse'!$B$2:$B$425,$E243)</f>
        <v>29532.002020101954</v>
      </c>
      <c r="J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forbrug'!J$2,'Forbrug af biomasse'!$B$2:$B$425,$E243)</f>
        <v>0</v>
      </c>
      <c r="K243" s="190">
        <f>SUMIFS('Forbrug af biomasse'!$E$2:$E$425,'Forbrug af biomasse'!$C$2:$C$425,'Resultat-Produktion &amp; forbrug'!$A243,'Forbrug af biomasse'!$D$2:$D$425,'Resultat-Produktion &amp; forbrug'!$D243,'Forbrug af biomasse'!$A$2:$A$425,'Resultat-Produktion &amp; forbrug'!K$2,'Forbrug af biomasse'!$B$2:$B$425,$E243)</f>
        <v>0</v>
      </c>
      <c r="L243" s="190">
        <f>IF(A243&lt;&gt;"Biogas",SUMIFS('Forbrug af biomasse'!$E$2:$E$425,'Forbrug af biomasse'!$C$2:$C$425,'Resultat-Produktion &amp; forbrug'!$A243,'Forbrug af biomasse'!$D$2:$D$425,'Resultat-Produktion &amp; forbrug'!$D243,'Forbrug af biomasse'!$A$2:$A$425,'Resultat-Produktion &amp; forbrug'!L$2,'Forbrug af biomasse'!$B$2:$B$425,$E243),F243)</f>
        <v>0</v>
      </c>
      <c r="M243" s="154">
        <f>SUMIFS('Forbrug af biomasse'!E:E,'Forbrug af biomasse'!C:C,'Resultat-Produktion &amp; forbrug'!$A243,'Forbrug af biomasse'!D:D,'Resultat-Produktion &amp; forbrug'!$D243,'Forbrug af biomasse'!G:G,1,'Forbrug af biomasse'!B:B,$E243)</f>
        <v>0</v>
      </c>
      <c r="N243" s="199">
        <f t="shared" si="62"/>
        <v>-8560.6825110208265</v>
      </c>
      <c r="O243" s="190">
        <f t="shared" si="59"/>
        <v>0</v>
      </c>
      <c r="P243" s="200">
        <f t="shared" si="63"/>
        <v>0</v>
      </c>
      <c r="Q243" s="187">
        <f>IFERROR(VLOOKUP(A243,[1]Energiindhold!$A$2:$C$11,3,FALSE),IFERROR(VLOOKUP(A243,[1]Biogasudbytte!$A$2:$B$18,2,FALSE)*[1]Energiindhold!$C$10,0))*O243</f>
        <v>0</v>
      </c>
      <c r="R243" s="187">
        <f>IF(A243&lt;&gt;"Biogas",IFERROR(VLOOKUP(A243,[1]Biogasudbytte!$A$2:$B$18,2,FALSE)*[1]Energiindhold!$C$10,0)*J243*IFERROR(VLOOKUP(A243,Biogasanlæg!$F$3:$G$8,2,FALSE),1)+IFERROR(VLOOKUP(A243,[1]Energiindhold!$A$2:$C$11,3,FALSE),0)*L243+IF(D243&lt;&gt;År1,Q243,0),0)</f>
        <v>0</v>
      </c>
      <c r="S243" s="187">
        <f>IFERROR(VLOOKUP(A243,[1]Biogasudbytte!$A$2:$B$18,2,FALSE)*[1]Energiindhold!$C$10,0)*J243*IFERROR(VLOOKUP(A243,Biogasanlæg!$F$3:$G$8,2,FALSE),1)</f>
        <v>0</v>
      </c>
      <c r="T243" s="188">
        <f t="shared" si="64"/>
        <v>0</v>
      </c>
      <c r="U243" s="186">
        <f>O243*IFERROR(VLOOKUP(A243,[1]Tørstofindhold!A$2:B$24,2,FALSE),0)</f>
        <v>0</v>
      </c>
      <c r="V243" s="187">
        <f>IF(D243=År1,P243,SUM(O243,P243))*IFERROR(VLOOKUP(A243,[1]Tørstofindhold!A$2:B$24,2,FALSE),0)</f>
        <v>0</v>
      </c>
      <c r="W243" s="187">
        <f>J243*IFERROR(VLOOKUP(A243,[1]Tørstofindhold!A$2:B$24,2,FALSE),0)</f>
        <v>0</v>
      </c>
      <c r="X243" s="188">
        <f t="shared" si="65"/>
        <v>0</v>
      </c>
      <c r="Y243" s="168">
        <f t="shared" si="60"/>
        <v>0</v>
      </c>
      <c r="Z243" s="103">
        <f t="shared" si="61"/>
        <v>1</v>
      </c>
    </row>
    <row r="244" spans="1:26" x14ac:dyDescent="0.25">
      <c r="A244" s="189" t="str">
        <f t="shared" si="72"/>
        <v>Bælgsæd</v>
      </c>
      <c r="B244" s="189" t="str">
        <f t="shared" si="73"/>
        <v/>
      </c>
      <c r="C244" s="189">
        <f>IF(COUNTIFS('Resultater - Danmark'!$D$3:$D$504,'Resultat-Produktion &amp; forbrug'!A244,'Resultater - Danmark'!$A$3:$A$504,"Til energi")+COUNTIFS('Resultater - Danmark'!$D$3:$D$504,'Resultat-Produktion &amp; forbrug'!A244,'Resultater - Danmark'!$A$3:$A$504,"Biogasanlæg")&gt;0,1,0)</f>
        <v>0</v>
      </c>
      <c r="D244" s="189">
        <f t="shared" si="74"/>
        <v>2050</v>
      </c>
      <c r="E244" s="187" t="s">
        <v>24</v>
      </c>
      <c r="F244" s="190">
        <f>IF(E244="Vestdanmark",SUMIFS(IF(D244=År1,'Resultater - Vestdanmark'!H$3:H$504,IF(D244=År2,'Resultater - Vestdanmark'!I$3:I$504,'Resultater - Vestdanmark'!J$3:J$504)),'Resultater - Vestdanmark'!$F$3:$F$504,$A244,IF(D244=År1,'Resultater - Vestdanmark'!H$3:H$504,IF(D244=År2,'Resultater - Vestdanmark'!I$3:I$504,'Resultater - Vestdanmark'!J$3:J$504)),"&gt;0"),SUMIFS(IF(D244=År1,'Resultater - Østdanmark'!H$3:H$504,IF(D244=År2,'Resultater - Østdanmark'!I$3:I$504,'Resultater - Østdanmark'!J$3:J$504)),'Resultater - Østdanmark'!$F$3:$F$504,$A244,IF(D244=År1,'Resultater - Østdanmark'!H$3:H$504,IF(D244=År2,'Resultater - Østdanmark'!I$3:I$504,'Resultater - Østdanmark'!J$3:J$504)),"&gt;0"))</f>
        <v>29671.151024691055</v>
      </c>
      <c r="G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forbrug'!G$2,'Forbrug af biomasse'!$B$2:$B$425,$E244)</f>
        <v>9499.9401044881179</v>
      </c>
      <c r="H244" s="187">
        <f>IF(E244="Vestdanmark",-IF(A244="Halm",SUMIFS(IF(D244=År1,'Resultater - Vestdanmark'!H$3:H$504,IF(D244=År2,'Resultater - Vestdanmark'!I$3:I$504,'Resultater - Vestdanmark'!J$3:J$504)),'Resultater - Vestdanmark'!$F$3:$F$504,$A244,'Resultater - Vestdanmark'!H$3:H$504,"&lt;0"),0),-IF(A244="Halm",SUMIFS(IF(D244=År1,'Resultater - Østdanmark'!H$3:H$504,IF(D244=År2,'Resultater - Østdanmark'!I$3:I$504,'Resultater - Østdanmark'!J$3:J$504)),'Resultater - Østdanmark'!$F$3:$F$504,$A244,'Resultater - Østdanmark'!H$3:H$504,"&lt;0"),0))</f>
        <v>0</v>
      </c>
      <c r="I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forbrug'!I$2,'Forbrug af biomasse'!$B$2:$B$425,$E244)</f>
        <v>0</v>
      </c>
      <c r="J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forbrug'!J$2,'Forbrug af biomasse'!$B$2:$B$425,$E244)</f>
        <v>0</v>
      </c>
      <c r="K244" s="190">
        <f>SUMIFS('Forbrug af biomasse'!$E$2:$E$425,'Forbrug af biomasse'!$C$2:$C$425,'Resultat-Produktion &amp; forbrug'!$A244,'Forbrug af biomasse'!$D$2:$D$425,'Resultat-Produktion &amp; forbrug'!$D244,'Forbrug af biomasse'!$A$2:$A$425,'Resultat-Produktion &amp; forbrug'!K$2,'Forbrug af biomasse'!$B$2:$B$425,$E244)</f>
        <v>0</v>
      </c>
      <c r="L244" s="190">
        <f>IF(A244&lt;&gt;"Biogas",SUMIFS('Forbrug af biomasse'!$E$2:$E$425,'Forbrug af biomasse'!$C$2:$C$425,'Resultat-Produktion &amp; forbrug'!$A244,'Forbrug af biomasse'!$D$2:$D$425,'Resultat-Produktion &amp; forbrug'!$D244,'Forbrug af biomasse'!$A$2:$A$425,'Resultat-Produktion &amp; forbrug'!L$2,'Forbrug af biomasse'!$B$2:$B$425,$E244),F244)</f>
        <v>0</v>
      </c>
      <c r="M244" s="154">
        <f>SUMIFS('Forbrug af biomasse'!E:E,'Forbrug af biomasse'!C:C,'Resultat-Produktion &amp; forbrug'!$A244,'Forbrug af biomasse'!D:D,'Resultat-Produktion &amp; forbrug'!$D244,'Forbrug af biomasse'!G:G,1,'Forbrug af biomasse'!B:B,$E244)</f>
        <v>0</v>
      </c>
      <c r="N244" s="199">
        <f t="shared" si="62"/>
        <v>20171.210920202939</v>
      </c>
      <c r="O244" s="190">
        <f t="shared" si="59"/>
        <v>0</v>
      </c>
      <c r="P244" s="200">
        <f t="shared" si="63"/>
        <v>0</v>
      </c>
      <c r="Q244" s="187">
        <f>IFERROR(VLOOKUP(A244,[1]Energiindhold!$A$2:$C$11,3,FALSE),IFERROR(VLOOKUP(A244,[1]Biogasudbytte!$A$2:$B$18,2,FALSE)*[1]Energiindhold!$C$10,0))*O244</f>
        <v>0</v>
      </c>
      <c r="R244" s="187">
        <f>IF(A244&lt;&gt;"Biogas",IFERROR(VLOOKUP(A244,[1]Biogasudbytte!$A$2:$B$18,2,FALSE)*[1]Energiindhold!$C$10,0)*J244*IFERROR(VLOOKUP(A244,Biogasanlæg!$F$3:$G$8,2,FALSE),1)+IFERROR(VLOOKUP(A244,[1]Energiindhold!$A$2:$C$11,3,FALSE),0)*L244+IF(D244&lt;&gt;År1,Q244,0),0)</f>
        <v>0</v>
      </c>
      <c r="S244" s="187">
        <f>IFERROR(VLOOKUP(A244,[1]Biogasudbytte!$A$2:$B$18,2,FALSE)*[1]Energiindhold!$C$10,0)*J244*IFERROR(VLOOKUP(A244,Biogasanlæg!$F$3:$G$8,2,FALSE),1)</f>
        <v>0</v>
      </c>
      <c r="T244" s="188">
        <f t="shared" si="64"/>
        <v>0</v>
      </c>
      <c r="U244" s="186">
        <f>O244*IFERROR(VLOOKUP(A244,[1]Tørstofindhold!A$2:B$24,2,FALSE),0)</f>
        <v>0</v>
      </c>
      <c r="V244" s="187">
        <f>IF(D244=År1,P244,SUM(O244,P244))*IFERROR(VLOOKUP(A244,[1]Tørstofindhold!A$2:B$24,2,FALSE),0)</f>
        <v>0</v>
      </c>
      <c r="W244" s="187">
        <f>J244*IFERROR(VLOOKUP(A244,[1]Tørstofindhold!A$2:B$24,2,FALSE),0)</f>
        <v>0</v>
      </c>
      <c r="X244" s="188">
        <f t="shared" si="65"/>
        <v>0</v>
      </c>
      <c r="Y244" s="168">
        <f t="shared" si="60"/>
        <v>0</v>
      </c>
      <c r="Z244" s="103">
        <f t="shared" si="61"/>
        <v>1</v>
      </c>
    </row>
    <row r="245" spans="1:26" x14ac:dyDescent="0.25">
      <c r="A245" s="189" t="str">
        <f t="shared" si="72"/>
        <v>Bioaffald</v>
      </c>
      <c r="B245" s="189" t="str">
        <f t="shared" si="73"/>
        <v>Bionedbrydeligt affald</v>
      </c>
      <c r="C245" s="189">
        <f>IF(COUNTIFS('Resultater - Danmark'!$D$3:$D$504,'Resultat-Produktion &amp; forbrug'!A245,'Resultater - Danmark'!$A$3:$A$504,"Til energi")+COUNTIFS('Resultater - Danmark'!$D$3:$D$504,'Resultat-Produktion &amp; forbrug'!A245,'Resultater - Danmark'!$A$3:$A$504,"Biogasanlæg")&gt;0,1,0)</f>
        <v>1</v>
      </c>
      <c r="D245" s="189">
        <f t="shared" si="74"/>
        <v>2050</v>
      </c>
      <c r="E245" s="187" t="s">
        <v>24</v>
      </c>
      <c r="F245" s="190">
        <f ca="1">IF(E245="Vestdanmark",SUMIFS(IF(D245=År1,'Resultater - Vestdanmark'!H$3:H$504,IF(D245=År2,'Resultater - Vestdanmark'!I$3:I$504,'Resultater - Vestdanmark'!J$3:J$504)),'Resultater - Vestdanmark'!$F$3:$F$504,$A245,IF(D245=År1,'Resultater - Vestdanmark'!H$3:H$504,IF(D245=År2,'Resultater - Vestdanmark'!I$3:I$504,'Resultater - Vestdanmark'!J$3:J$504)),"&gt;0"),SUMIFS(IF(D245=År1,'Resultater - Østdanmark'!H$3:H$504,IF(D245=År2,'Resultater - Østdanmark'!I$3:I$504,'Resultater - Østdanmark'!J$3:J$504)),'Resultater - Østdanmark'!$F$3:$F$504,$A245,IF(D245=År1,'Resultater - Østdanmark'!H$3:H$504,IF(D245=År2,'Resultater - Østdanmark'!I$3:I$504,'Resultater - Østdanmark'!J$3:J$504)),"&gt;0"))</f>
        <v>172292.68030975034</v>
      </c>
      <c r="G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forbrug'!G$2,'Forbrug af biomasse'!$B$2:$B$425,$E245)</f>
        <v>0</v>
      </c>
      <c r="H245" s="187">
        <f>IF(E245="Vestdanmark",-IF(A245="Halm",SUMIFS(IF(D245=År1,'Resultater - Vestdanmark'!H$3:H$504,IF(D245=År2,'Resultater - Vestdanmark'!I$3:I$504,'Resultater - Vestdanmark'!J$3:J$504)),'Resultater - Vestdanmark'!$F$3:$F$504,$A245,'Resultater - Vestdanmark'!H$3:H$504,"&lt;0"),0),-IF(A245="Halm",SUMIFS(IF(D245=År1,'Resultater - Østdanmark'!H$3:H$504,IF(D245=År2,'Resultater - Østdanmark'!I$3:I$504,'Resultater - Østdanmark'!J$3:J$504)),'Resultater - Østdanmark'!$F$3:$F$504,$A245,'Resultater - Østdanmark'!H$3:H$504,"&lt;0"),0))</f>
        <v>0</v>
      </c>
      <c r="I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forbrug'!I$2,'Forbrug af biomasse'!$B$2:$B$425,$E245)</f>
        <v>0</v>
      </c>
      <c r="J245" s="190">
        <f ca="1">SUMIFS('Forbrug af biomasse'!$E$2:$E$425,'Forbrug af biomasse'!$C$2:$C$425,'Resultat-Produktion &amp; forbrug'!$A245,'Forbrug af biomasse'!$D$2:$D$425,'Resultat-Produktion &amp; forbrug'!$D245,'Forbrug af biomasse'!$A$2:$A$425,'Resultat-Produktion &amp; forbrug'!J$2,'Forbrug af biomasse'!$B$2:$B$425,$E245)</f>
        <v>172292.76645701908</v>
      </c>
      <c r="K245" s="190">
        <f>SUMIFS('Forbrug af biomasse'!$E$2:$E$425,'Forbrug af biomasse'!$C$2:$C$425,'Resultat-Produktion &amp; forbrug'!$A245,'Forbrug af biomasse'!$D$2:$D$425,'Resultat-Produktion &amp; forbrug'!$D245,'Forbrug af biomasse'!$A$2:$A$425,'Resultat-Produktion &amp; forbrug'!K$2,'Forbrug af biomasse'!$B$2:$B$425,$E245)</f>
        <v>0</v>
      </c>
      <c r="L245" s="190">
        <f ca="1">IF(A245&lt;&gt;"Biogas",SUMIFS('Forbrug af biomasse'!$E$2:$E$425,'Forbrug af biomasse'!$C$2:$C$425,'Resultat-Produktion &amp; forbrug'!$A245,'Forbrug af biomasse'!$D$2:$D$425,'Resultat-Produktion &amp; forbrug'!$D245,'Forbrug af biomasse'!$A$2:$A$425,'Resultat-Produktion &amp; forbrug'!L$2,'Forbrug af biomasse'!$B$2:$B$425,$E245),F245)</f>
        <v>0</v>
      </c>
      <c r="M245" s="154">
        <f ca="1">SUMIFS('Forbrug af biomasse'!E:E,'Forbrug af biomasse'!C:C,'Resultat-Produktion &amp; forbrug'!$A245,'Forbrug af biomasse'!D:D,'Resultat-Produktion &amp; forbrug'!$D245,'Forbrug af biomasse'!G:G,1,'Forbrug af biomasse'!B:B,$E245)</f>
        <v>0</v>
      </c>
      <c r="N245" s="199">
        <f t="shared" ca="1" si="62"/>
        <v>-8.6147268739296123E-2</v>
      </c>
      <c r="O245" s="190">
        <f t="shared" ca="1" si="59"/>
        <v>0</v>
      </c>
      <c r="P245" s="200">
        <f t="shared" ca="1" si="63"/>
        <v>172292.76645701908</v>
      </c>
      <c r="Q245" s="187">
        <f ca="1">IFERROR(VLOOKUP(A245,[1]Energiindhold!$A$2:$C$11,3,FALSE),IFERROR(VLOOKUP(A245,[1]Biogasudbytte!$A$2:$B$18,2,FALSE)*[1]Energiindhold!$C$10,0))*O245</f>
        <v>0</v>
      </c>
      <c r="R245" s="187">
        <f ca="1">IF(A245&lt;&gt;"Biogas",IFERROR(VLOOKUP(A245,[1]Biogasudbytte!$A$2:$B$18,2,FALSE)*[1]Energiindhold!$C$10,0)*J245*IFERROR(VLOOKUP(A245,Biogasanlæg!$F$3:$G$8,2,FALSE),1)+IFERROR(VLOOKUP(A245,[1]Energiindhold!$A$2:$C$11,3,FALSE),0)*L245+IF(D245&lt;&gt;År1,Q245,0),0)</f>
        <v>0.58698594897008305</v>
      </c>
      <c r="S245" s="187">
        <f ca="1">IFERROR(VLOOKUP(A245,[1]Biogasudbytte!$A$2:$B$18,2,FALSE)*[1]Energiindhold!$C$10,0)*J245*IFERROR(VLOOKUP(A245,Biogasanlæg!$F$3:$G$8,2,FALSE),1)</f>
        <v>0.58698594897008305</v>
      </c>
      <c r="T245" s="188">
        <f t="shared" ca="1" si="64"/>
        <v>0</v>
      </c>
      <c r="U245" s="186">
        <f ca="1">O245*IFERROR(VLOOKUP(A245,[1]Tørstofindhold!A$2:B$24,2,FALSE),0)</f>
        <v>0</v>
      </c>
      <c r="V245" s="187">
        <f ca="1">IF(D245=År1,P245,SUM(O245,P245))*IFERROR(VLOOKUP(A245,[1]Tørstofindhold!A$2:B$24,2,FALSE),0)</f>
        <v>48241.974607965349</v>
      </c>
      <c r="W245" s="187">
        <f ca="1">J245*IFERROR(VLOOKUP(A245,[1]Tørstofindhold!A$2:B$24,2,FALSE),0)</f>
        <v>48241.974607965349</v>
      </c>
      <c r="X245" s="188">
        <f t="shared" ca="1" si="65"/>
        <v>0</v>
      </c>
      <c r="Y245" s="168">
        <f t="shared" ca="1" si="60"/>
        <v>1</v>
      </c>
      <c r="Z245" s="103">
        <f t="shared" ca="1" si="61"/>
        <v>0</v>
      </c>
    </row>
    <row r="246" spans="1:26" x14ac:dyDescent="0.25">
      <c r="A246" s="189" t="str">
        <f t="shared" si="72"/>
        <v>Biogas</v>
      </c>
      <c r="B246" s="189" t="str">
        <f t="shared" si="73"/>
        <v/>
      </c>
      <c r="C246" s="189">
        <f>IF(COUNTIFS('Resultater - Danmark'!$D$3:$D$504,'Resultat-Produktion &amp; forbrug'!A246,'Resultater - Danmark'!$A$3:$A$504,"Til energi")+COUNTIFS('Resultater - Danmark'!$D$3:$D$504,'Resultat-Produktion &amp; forbrug'!A246,'Resultater - Danmark'!$A$3:$A$504,"Biogasanlæg")&gt;0,1,0)</f>
        <v>1</v>
      </c>
      <c r="D246" s="189">
        <f t="shared" si="74"/>
        <v>2050</v>
      </c>
      <c r="E246" s="187" t="s">
        <v>24</v>
      </c>
      <c r="F246" s="190">
        <f ca="1">IF(E246="Vestdanmark",SUMIFS(IF(D246=År1,'Resultater - Vestdanmark'!H$3:H$504,IF(D246=År2,'Resultater - Vestdanmark'!I$3:I$504,'Resultater - Vestdanmark'!J$3:J$504)),'Resultater - Vestdanmark'!$F$3:$F$504,$A246,IF(D246=År1,'Resultater - Vestdanmark'!H$3:H$504,IF(D246=År2,'Resultater - Vestdanmark'!I$3:I$504,'Resultater - Vestdanmark'!J$3:J$504)),"&gt;0"),SUMIFS(IF(D246=År1,'Resultater - Østdanmark'!H$3:H$504,IF(D246=År2,'Resultater - Østdanmark'!I$3:I$504,'Resultater - Østdanmark'!J$3:J$504)),'Resultater - Østdanmark'!$F$3:$F$504,$A246,IF(D246=År1,'Resultater - Østdanmark'!H$3:H$504,IF(D246=År2,'Resultater - Østdanmark'!I$3:I$504,'Resultater - Østdanmark'!J$3:J$504)),"&gt;0"))</f>
        <v>115614273.25282219</v>
      </c>
      <c r="G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forbrug'!G$2,'Forbrug af biomasse'!$B$2:$B$425,$E246)</f>
        <v>0</v>
      </c>
      <c r="H246" s="187">
        <f>IF(E246="Vestdanmark",-IF(A246="Halm",SUMIFS(IF(D246=År1,'Resultater - Vestdanmark'!H$3:H$504,IF(D246=År2,'Resultater - Vestdanmark'!I$3:I$504,'Resultater - Vestdanmark'!J$3:J$504)),'Resultater - Vestdanmark'!$F$3:$F$504,$A246,'Resultater - Vestdanmark'!H$3:H$504,"&lt;0"),0),-IF(A246="Halm",SUMIFS(IF(D246=År1,'Resultater - Østdanmark'!H$3:H$504,IF(D246=År2,'Resultater - Østdanmark'!I$3:I$504,'Resultater - Østdanmark'!J$3:J$504)),'Resultater - Østdanmark'!$F$3:$F$504,$A246,'Resultater - Østdanmark'!H$3:H$504,"&lt;0"),0))</f>
        <v>0</v>
      </c>
      <c r="I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forbrug'!I$2,'Forbrug af biomasse'!$B$2:$B$425,$E246)</f>
        <v>0</v>
      </c>
      <c r="J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forbrug'!J$2,'Forbrug af biomasse'!$B$2:$B$425,$E246)</f>
        <v>0</v>
      </c>
      <c r="K246" s="190">
        <f>SUMIFS('Forbrug af biomasse'!$E$2:$E$425,'Forbrug af biomasse'!$C$2:$C$425,'Resultat-Produktion &amp; forbrug'!$A246,'Forbrug af biomasse'!$D$2:$D$425,'Resultat-Produktion &amp; forbrug'!$D246,'Forbrug af biomasse'!$A$2:$A$425,'Resultat-Produktion &amp; forbrug'!K$2,'Forbrug af biomasse'!$B$2:$B$425,$E246)</f>
        <v>0</v>
      </c>
      <c r="L246" s="190">
        <f ca="1">IF(A246&lt;&gt;"Biogas",SUMIFS('Forbrug af biomasse'!$E$2:$E$425,'Forbrug af biomasse'!$C$2:$C$425,'Resultat-Produktion &amp; forbrug'!$A246,'Forbrug af biomasse'!$D$2:$D$425,'Resultat-Produktion &amp; forbrug'!$D246,'Forbrug af biomasse'!$A$2:$A$425,'Resultat-Produktion &amp; forbrug'!L$2,'Forbrug af biomasse'!$B$2:$B$425,$E246),F246)</f>
        <v>115614273.25282219</v>
      </c>
      <c r="M246" s="154">
        <f>SUMIFS('Forbrug af biomasse'!E:E,'Forbrug af biomasse'!C:C,'Resultat-Produktion &amp; forbrug'!$A246,'Forbrug af biomasse'!D:D,'Resultat-Produktion &amp; forbrug'!$D246,'Forbrug af biomasse'!G:G,1,'Forbrug af biomasse'!B:B,$E246)</f>
        <v>0</v>
      </c>
      <c r="N246" s="199">
        <f t="shared" ca="1" si="62"/>
        <v>0</v>
      </c>
      <c r="O246" s="190">
        <f t="shared" ca="1" si="59"/>
        <v>0</v>
      </c>
      <c r="P246" s="200">
        <f t="shared" ca="1" si="63"/>
        <v>115614273.25282219</v>
      </c>
      <c r="Q246" s="187">
        <f ca="1">IFERROR(VLOOKUP(A246,[1]Energiindhold!$A$2:$C$11,3,FALSE),IFERROR(VLOOKUP(A246,[1]Biogasudbytte!$A$2:$B$18,2,FALSE)*[1]Energiindhold!$C$10,0))*O246</f>
        <v>0</v>
      </c>
      <c r="R246" s="187">
        <f>IF(A246&lt;&gt;"Biogas",IFERROR(VLOOKUP(A246,[1]Biogasudbytte!$A$2:$B$18,2,FALSE)*[1]Energiindhold!$C$10,0)*J246*IFERROR(VLOOKUP(A246,Biogasanlæg!$F$3:$G$8,2,FALSE),1)+IFERROR(VLOOKUP(A246,[1]Energiindhold!$A$2:$C$11,3,FALSE),0)*L246+IF(D246&lt;&gt;År1,Q246,0),0)</f>
        <v>0</v>
      </c>
      <c r="S246" s="187">
        <f>IFERROR(VLOOKUP(A246,[1]Biogasudbytte!$A$2:$B$18,2,FALSE)*[1]Energiindhold!$C$10,0)*J246*IFERROR(VLOOKUP(A246,Biogasanlæg!$F$3:$G$8,2,FALSE),1)</f>
        <v>0</v>
      </c>
      <c r="T246" s="188">
        <f t="shared" si="64"/>
        <v>0</v>
      </c>
      <c r="U246" s="186">
        <f ca="1">O246*IFERROR(VLOOKUP(A246,[1]Tørstofindhold!A$2:B$24,2,FALSE),0)</f>
        <v>0</v>
      </c>
      <c r="V246" s="187">
        <f ca="1">IF(D246=År1,P246,SUM(O246,P246))*IFERROR(VLOOKUP(A246,[1]Tørstofindhold!A$2:B$24,2,FALSE),0)</f>
        <v>0</v>
      </c>
      <c r="W246" s="187">
        <f>J246*IFERROR(VLOOKUP(A246,[1]Tørstofindhold!A$2:B$24,2,FALSE),0)</f>
        <v>0</v>
      </c>
      <c r="X246" s="188">
        <f t="shared" ca="1" si="65"/>
        <v>0</v>
      </c>
      <c r="Y246" s="168">
        <f t="shared" ca="1" si="60"/>
        <v>0</v>
      </c>
      <c r="Z246" s="103">
        <f t="shared" ca="1" si="61"/>
        <v>0</v>
      </c>
    </row>
    <row r="247" spans="1:26" x14ac:dyDescent="0.25">
      <c r="A247" s="189" t="str">
        <f t="shared" si="72"/>
        <v>Biogasgylle</v>
      </c>
      <c r="B247" s="189" t="str">
        <f t="shared" si="73"/>
        <v/>
      </c>
      <c r="C247" s="189">
        <f>IF(COUNTIFS('Resultater - Danmark'!$D$3:$D$504,'Resultat-Produktion &amp; forbrug'!A247,'Resultater - Danmark'!$A$3:$A$504,"Til energi")+COUNTIFS('Resultater - Danmark'!$D$3:$D$504,'Resultat-Produktion &amp; forbrug'!A247,'Resultater - Danmark'!$A$3:$A$504,"Biogasanlæg")&gt;0,1,0)</f>
        <v>0</v>
      </c>
      <c r="D247" s="189">
        <f t="shared" si="74"/>
        <v>2050</v>
      </c>
      <c r="E247" s="187" t="s">
        <v>24</v>
      </c>
      <c r="F247" s="190">
        <f ca="1">IF(E247="Vestdanmark",SUMIFS(IF(D247=År1,'Resultater - Vestdanmark'!H$3:H$504,IF(D247=År2,'Resultater - Vestdanmark'!I$3:I$504,'Resultater - Vestdanmark'!J$3:J$504)),'Resultater - Vestdanmark'!$F$3:$F$504,$A247,IF(D247=År1,'Resultater - Vestdanmark'!H$3:H$504,IF(D247=År2,'Resultater - Vestdanmark'!I$3:I$504,'Resultater - Vestdanmark'!J$3:J$504)),"&gt;0"),SUMIFS(IF(D247=År1,'Resultater - Østdanmark'!H$3:H$504,IF(D247=År2,'Resultater - Østdanmark'!I$3:I$504,'Resultater - Østdanmark'!J$3:J$504)),'Resultater - Østdanmark'!$F$3:$F$504,$A247,IF(D247=År1,'Resultater - Østdanmark'!H$3:H$504,IF(D247=År2,'Resultater - Østdanmark'!I$3:I$504,'Resultater - Østdanmark'!J$3:J$504)),"&gt;0"))</f>
        <v>3840880.8617539103</v>
      </c>
      <c r="G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forbrug'!G$2,'Forbrug af biomasse'!$B$2:$B$425,$E247)</f>
        <v>0</v>
      </c>
      <c r="H247" s="187">
        <f>IF(E247="Vestdanmark",-IF(A247="Halm",SUMIFS(IF(D247=År1,'Resultater - Vestdanmark'!H$3:H$504,IF(D247=År2,'Resultater - Vestdanmark'!I$3:I$504,'Resultater - Vestdanmark'!J$3:J$504)),'Resultater - Vestdanmark'!$F$3:$F$504,$A247,'Resultater - Vestdanmark'!H$3:H$504,"&lt;0"),0),-IF(A247="Halm",SUMIFS(IF(D247=År1,'Resultater - Østdanmark'!H$3:H$504,IF(D247=År2,'Resultater - Østdanmark'!I$3:I$504,'Resultater - Østdanmark'!J$3:J$504)),'Resultater - Østdanmark'!$F$3:$F$504,$A247,'Resultater - Østdanmark'!H$3:H$504,"&lt;0"),0))</f>
        <v>0</v>
      </c>
      <c r="I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forbrug'!I$2,'Forbrug af biomasse'!$B$2:$B$425,$E247)</f>
        <v>0</v>
      </c>
      <c r="J247" s="190">
        <f>SUMIFS('Forbrug af biomasse'!$E$2:$E$425,'Forbrug af biomasse'!$C$2:$C$425,'Resultat-Produktion &amp; forbrug'!$A247,'Forbrug af biomasse'!$D$2:$D$425,'Resultat-Produktion &amp; forbrug'!$D247,'Forbrug af biomasse'!$A$2:$A$425,'Resultat-Produktion &amp; forbrug'!J$2,'Forbrug af biomasse'!$B$2:$B$425,$E247)</f>
        <v>0</v>
      </c>
      <c r="K247" s="190">
        <f ca="1">SUMIFS('Forbrug af biomasse'!$E$2:$E$425,'Forbrug af biomasse'!$C$2:$C$425,'Resultat-Produktion &amp; forbrug'!$A247,'Forbrug af biomasse'!$D$2:$D$425,'Resultat-Produktion &amp; forbrug'!$D247,'Forbrug af biomasse'!$A$2:$A$425,'Resultat-Produktion &amp; forbrug'!K$2,'Forbrug af biomasse'!$B$2:$B$425,$E247)</f>
        <v>3410016.9999342072</v>
      </c>
      <c r="L247" s="190">
        <f>IF(A247&lt;&gt;"Biogas",SUMIFS('Forbrug af biomasse'!$E$2:$E$425,'Forbrug af biomasse'!$C$2:$C$425,'Resultat-Produktion &amp; forbrug'!$A247,'Forbrug af biomasse'!$D$2:$D$425,'Resultat-Produktion &amp; forbrug'!$D247,'Forbrug af biomasse'!$A$2:$A$425,'Resultat-Produktion &amp; forbrug'!L$2,'Forbrug af biomasse'!$B$2:$B$425,$E247),F247)</f>
        <v>0</v>
      </c>
      <c r="M247" s="154">
        <f>SUMIFS('Forbrug af biomasse'!E:E,'Forbrug af biomasse'!C:C,'Resultat-Produktion &amp; forbrug'!$A247,'Forbrug af biomasse'!D:D,'Resultat-Produktion &amp; forbrug'!$D247,'Forbrug af biomasse'!G:G,1,'Forbrug af biomasse'!B:B,$E247)</f>
        <v>0</v>
      </c>
      <c r="N247" s="199">
        <f t="shared" ca="1" si="62"/>
        <v>430863.86181970313</v>
      </c>
      <c r="O247" s="190">
        <f t="shared" si="59"/>
        <v>0</v>
      </c>
      <c r="P247" s="200">
        <f t="shared" si="63"/>
        <v>0</v>
      </c>
      <c r="Q247" s="187">
        <f>IFERROR(VLOOKUP(A247,[1]Energiindhold!$A$2:$C$11,3,FALSE),IFERROR(VLOOKUP(A247,[1]Biogasudbytte!$A$2:$B$18,2,FALSE)*[1]Energiindhold!$C$10,0))*O247</f>
        <v>0</v>
      </c>
      <c r="R247" s="187">
        <f>IF(A247&lt;&gt;"Biogas",IFERROR(VLOOKUP(A247,[1]Biogasudbytte!$A$2:$B$18,2,FALSE)*[1]Energiindhold!$C$10,0)*J247*IFERROR(VLOOKUP(A247,Biogasanlæg!$F$3:$G$8,2,FALSE),1)+IFERROR(VLOOKUP(A247,[1]Energiindhold!$A$2:$C$11,3,FALSE),0)*L247+IF(D247&lt;&gt;År1,Q247,0),0)</f>
        <v>0</v>
      </c>
      <c r="S247" s="187">
        <f>IFERROR(VLOOKUP(A247,[1]Biogasudbytte!$A$2:$B$18,2,FALSE)*[1]Energiindhold!$C$10,0)*J247*IFERROR(VLOOKUP(A247,Biogasanlæg!$F$3:$G$8,2,FALSE),1)</f>
        <v>0</v>
      </c>
      <c r="T247" s="188">
        <f t="shared" si="64"/>
        <v>0</v>
      </c>
      <c r="U247" s="186">
        <f>O247*IFERROR(VLOOKUP(A247,[1]Tørstofindhold!A$2:B$24,2,FALSE),0)</f>
        <v>0</v>
      </c>
      <c r="V247" s="187">
        <f>IF(D247=År1,P247,SUM(O247,P247))*IFERROR(VLOOKUP(A247,[1]Tørstofindhold!A$2:B$24,2,FALSE),0)</f>
        <v>0</v>
      </c>
      <c r="W247" s="187">
        <f>J247*IFERROR(VLOOKUP(A247,[1]Tørstofindhold!A$2:B$24,2,FALSE),0)</f>
        <v>0</v>
      </c>
      <c r="X247" s="188">
        <f t="shared" si="65"/>
        <v>0</v>
      </c>
      <c r="Y247" s="168">
        <f t="shared" ca="1" si="60"/>
        <v>0</v>
      </c>
      <c r="Z247" s="103">
        <f t="shared" ca="1" si="61"/>
        <v>1</v>
      </c>
    </row>
    <row r="248" spans="1:26" x14ac:dyDescent="0.25">
      <c r="A248" s="189" t="str">
        <f t="shared" si="72"/>
        <v>Brun saft</v>
      </c>
      <c r="B248" s="189" t="str">
        <f t="shared" si="73"/>
        <v>Bionedbrydeligt affald</v>
      </c>
      <c r="C248" s="189">
        <f>IF(COUNTIFS('Resultater - Danmark'!$D$3:$D$504,'Resultat-Produktion &amp; forbrug'!A248,'Resultater - Danmark'!$A$3:$A$504,"Til energi")+COUNTIFS('Resultater - Danmark'!$D$3:$D$504,'Resultat-Produktion &amp; forbrug'!A248,'Resultater - Danmark'!$A$3:$A$504,"Biogasanlæg")&gt;0,1,0)</f>
        <v>1</v>
      </c>
      <c r="D248" s="189">
        <f t="shared" si="74"/>
        <v>2050</v>
      </c>
      <c r="E248" s="187" t="s">
        <v>24</v>
      </c>
      <c r="F248" s="190">
        <f>IF(E248="Vestdanmark",SUMIFS(IF(D248=År1,'Resultater - Vestdanmark'!H$3:H$504,IF(D248=År2,'Resultater - Vestdanmark'!I$3:I$504,'Resultater - Vestdanmark'!J$3:J$504)),'Resultater - Vestdanmark'!$F$3:$F$504,$A248,IF(D248=År1,'Resultater - Vestdanmark'!H$3:H$504,IF(D248=År2,'Resultater - Vestdanmark'!I$3:I$504,'Resultater - Vestdanmark'!J$3:J$504)),"&gt;0"),SUMIFS(IF(D248=År1,'Resultater - Østdanmark'!H$3:H$504,IF(D248=År2,'Resultater - Østdanmark'!I$3:I$504,'Resultater - Østdanmark'!J$3:J$504)),'Resultater - Østdanmark'!$F$3:$F$504,$A248,IF(D248=År1,'Resultater - Østdanmark'!H$3:H$504,IF(D248=År2,'Resultater - Østdanmark'!I$3:I$504,'Resultater - Østdanmark'!J$3:J$504)),"&gt;0"))</f>
        <v>0</v>
      </c>
      <c r="G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forbrug'!G$2,'Forbrug af biomasse'!$B$2:$B$425,$E248)</f>
        <v>0</v>
      </c>
      <c r="H248" s="187">
        <f>IF(E248="Vestdanmark",-IF(A248="Halm",SUMIFS(IF(D248=År1,'Resultater - Vestdanmark'!H$3:H$504,IF(D248=År2,'Resultater - Vestdanmark'!I$3:I$504,'Resultater - Vestdanmark'!J$3:J$504)),'Resultater - Vestdanmark'!$F$3:$F$504,$A248,'Resultater - Vestdanmark'!H$3:H$504,"&lt;0"),0),-IF(A248="Halm",SUMIFS(IF(D248=År1,'Resultater - Østdanmark'!H$3:H$504,IF(D248=År2,'Resultater - Østdanmark'!I$3:I$504,'Resultater - Østdanmark'!J$3:J$504)),'Resultater - Østdanmark'!$F$3:$F$504,$A248,'Resultater - Østdanmark'!H$3:H$504,"&lt;0"),0))</f>
        <v>0</v>
      </c>
      <c r="I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forbrug'!I$2,'Forbrug af biomasse'!$B$2:$B$425,$E248)</f>
        <v>0</v>
      </c>
      <c r="J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forbrug'!J$2,'Forbrug af biomasse'!$B$2:$B$425,$E248)</f>
        <v>0</v>
      </c>
      <c r="K248" s="190">
        <f>SUMIFS('Forbrug af biomasse'!$E$2:$E$425,'Forbrug af biomasse'!$C$2:$C$425,'Resultat-Produktion &amp; forbrug'!$A248,'Forbrug af biomasse'!$D$2:$D$425,'Resultat-Produktion &amp; forbrug'!$D248,'Forbrug af biomasse'!$A$2:$A$425,'Resultat-Produktion &amp; forbrug'!K$2,'Forbrug af biomasse'!$B$2:$B$425,$E248)</f>
        <v>0</v>
      </c>
      <c r="L248" s="190">
        <f>IF(A248&lt;&gt;"Biogas",SUMIFS('Forbrug af biomasse'!$E$2:$E$425,'Forbrug af biomasse'!$C$2:$C$425,'Resultat-Produktion &amp; forbrug'!$A248,'Forbrug af biomasse'!$D$2:$D$425,'Resultat-Produktion &amp; forbrug'!$D248,'Forbrug af biomasse'!$A$2:$A$425,'Resultat-Produktion &amp; forbrug'!L$2,'Forbrug af biomasse'!$B$2:$B$425,$E248),F248)</f>
        <v>0</v>
      </c>
      <c r="M248" s="154">
        <f>SUMIFS('Forbrug af biomasse'!E:E,'Forbrug af biomasse'!C:C,'Resultat-Produktion &amp; forbrug'!$A248,'Forbrug af biomasse'!D:D,'Resultat-Produktion &amp; forbrug'!$D248,'Forbrug af biomasse'!G:G,1,'Forbrug af biomasse'!B:B,$E248)</f>
        <v>0</v>
      </c>
      <c r="N248" s="199">
        <f t="shared" si="62"/>
        <v>0</v>
      </c>
      <c r="O248" s="190">
        <f t="shared" si="59"/>
        <v>0</v>
      </c>
      <c r="P248" s="200">
        <f t="shared" si="63"/>
        <v>0</v>
      </c>
      <c r="Q248" s="187">
        <f>IFERROR(VLOOKUP(A248,[1]Energiindhold!$A$2:$C$11,3,FALSE),IFERROR(VLOOKUP(A248,[1]Biogasudbytte!$A$2:$B$18,2,FALSE)*[1]Energiindhold!$C$10,0))*O248</f>
        <v>0</v>
      </c>
      <c r="R248" s="187">
        <f>IF(A248&lt;&gt;"Biogas",IFERROR(VLOOKUP(A248,[1]Biogasudbytte!$A$2:$B$18,2,FALSE)*[1]Energiindhold!$C$10,0)*J248*IFERROR(VLOOKUP(A248,Biogasanlæg!$F$3:$G$8,2,FALSE),1)+IFERROR(VLOOKUP(A248,[1]Energiindhold!$A$2:$C$11,3,FALSE),0)*L248+IF(D248&lt;&gt;År1,Q248,0),0)</f>
        <v>0</v>
      </c>
      <c r="S248" s="187">
        <f>IFERROR(VLOOKUP(A248,[1]Biogasudbytte!$A$2:$B$18,2,FALSE)*[1]Energiindhold!$C$10,0)*J248*IFERROR(VLOOKUP(A248,Biogasanlæg!$F$3:$G$8,2,FALSE),1)</f>
        <v>0</v>
      </c>
      <c r="T248" s="188">
        <f t="shared" si="64"/>
        <v>0</v>
      </c>
      <c r="U248" s="186">
        <f>O248*IFERROR(VLOOKUP(A248,[1]Tørstofindhold!A$2:B$24,2,FALSE),0)</f>
        <v>0</v>
      </c>
      <c r="V248" s="187">
        <f>IF(D248=År1,P248,SUM(O248,P248))*IFERROR(VLOOKUP(A248,[1]Tørstofindhold!A$2:B$24,2,FALSE),0)</f>
        <v>0</v>
      </c>
      <c r="W248" s="187">
        <f>J248*IFERROR(VLOOKUP(A248,[1]Tørstofindhold!A$2:B$24,2,FALSE),0)</f>
        <v>0</v>
      </c>
      <c r="X248" s="188">
        <f t="shared" si="65"/>
        <v>0</v>
      </c>
      <c r="Y248" s="168">
        <f t="shared" si="60"/>
        <v>0</v>
      </c>
      <c r="Z248" s="103">
        <f t="shared" si="61"/>
        <v>0</v>
      </c>
    </row>
    <row r="249" spans="1:26" x14ac:dyDescent="0.25">
      <c r="A249" s="189" t="str">
        <f t="shared" si="72"/>
        <v>Dybstrøelse</v>
      </c>
      <c r="B249" s="189" t="str">
        <f t="shared" si="73"/>
        <v>Husdyrgødning</v>
      </c>
      <c r="C249" s="189">
        <f>IF(COUNTIFS('Resultater - Danmark'!$D$3:$D$504,'Resultat-Produktion &amp; forbrug'!A249,'Resultater - Danmark'!$A$3:$A$504,"Til energi")+COUNTIFS('Resultater - Danmark'!$D$3:$D$504,'Resultat-Produktion &amp; forbrug'!A249,'Resultater - Danmark'!$A$3:$A$504,"Biogasanlæg")&gt;0,1,0)</f>
        <v>1</v>
      </c>
      <c r="D249" s="189">
        <f t="shared" si="74"/>
        <v>2050</v>
      </c>
      <c r="E249" s="187" t="s">
        <v>24</v>
      </c>
      <c r="F249" s="190">
        <f>IF(E249="Vestdanmark",SUMIFS(IF(D249=År1,'Resultater - Vestdanmark'!H$3:H$504,IF(D249=År2,'Resultater - Vestdanmark'!I$3:I$504,'Resultater - Vestdanmark'!J$3:J$504)),'Resultater - Vestdanmark'!$F$3:$F$504,$A249,IF(D249=År1,'Resultater - Vestdanmark'!H$3:H$504,IF(D249=År2,'Resultater - Vestdanmark'!I$3:I$504,'Resultater - Vestdanmark'!J$3:J$504)),"&gt;0"),SUMIFS(IF(D249=År1,'Resultater - Østdanmark'!H$3:H$504,IF(D249=År2,'Resultater - Østdanmark'!I$3:I$504,'Resultater - Østdanmark'!J$3:J$504)),'Resultater - Østdanmark'!$F$3:$F$504,$A249,IF(D249=År1,'Resultater - Østdanmark'!H$3:H$504,IF(D249=År2,'Resultater - Østdanmark'!I$3:I$504,'Resultater - Østdanmark'!J$3:J$504)),"&gt;0"))</f>
        <v>452469.72841919982</v>
      </c>
      <c r="G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forbrug'!G$2,'Forbrug af biomasse'!$B$2:$B$425,$E249)</f>
        <v>0</v>
      </c>
      <c r="H249" s="187">
        <f>IF(E249="Vestdanmark",-IF(A249="Halm",SUMIFS(IF(D249=År1,'Resultater - Vestdanmark'!H$3:H$504,IF(D249=År2,'Resultater - Vestdanmark'!I$3:I$504,'Resultater - Vestdanmark'!J$3:J$504)),'Resultater - Vestdanmark'!$F$3:$F$504,$A249,'Resultater - Vestdanmark'!H$3:H$504,"&lt;0"),0),-IF(A249="Halm",SUMIFS(IF(D249=År1,'Resultater - Østdanmark'!H$3:H$504,IF(D249=År2,'Resultater - Østdanmark'!I$3:I$504,'Resultater - Østdanmark'!J$3:J$504)),'Resultater - Østdanmark'!$F$3:$F$504,$A249,'Resultater - Østdanmark'!H$3:H$504,"&lt;0"),0))</f>
        <v>0</v>
      </c>
      <c r="I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forbrug'!I$2,'Forbrug af biomasse'!$B$2:$B$425,$E249)</f>
        <v>0</v>
      </c>
      <c r="J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forbrug'!J$2,'Forbrug af biomasse'!$B$2:$B$425,$E249)</f>
        <v>226234.86420959991</v>
      </c>
      <c r="K249" s="190">
        <f>SUMIFS('Forbrug af biomasse'!$E$2:$E$425,'Forbrug af biomasse'!$C$2:$C$425,'Resultat-Produktion &amp; forbrug'!$A249,'Forbrug af biomasse'!$D$2:$D$425,'Resultat-Produktion &amp; forbrug'!$D249,'Forbrug af biomasse'!$A$2:$A$425,'Resultat-Produktion &amp; forbrug'!K$2,'Forbrug af biomasse'!$B$2:$B$425,$E249)</f>
        <v>85646.055736491384</v>
      </c>
      <c r="L249" s="190">
        <f>IF(A249&lt;&gt;"Biogas",SUMIFS('Forbrug af biomasse'!$E$2:$E$425,'Forbrug af biomasse'!$C$2:$C$425,'Resultat-Produktion &amp; forbrug'!$A249,'Forbrug af biomasse'!$D$2:$D$425,'Resultat-Produktion &amp; forbrug'!$D249,'Forbrug af biomasse'!$A$2:$A$425,'Resultat-Produktion &amp; forbrug'!L$2,'Forbrug af biomasse'!$B$2:$B$425,$E249),F249)</f>
        <v>0</v>
      </c>
      <c r="M249" s="154">
        <f>SUMIFS('Forbrug af biomasse'!E:E,'Forbrug af biomasse'!C:C,'Resultat-Produktion &amp; forbrug'!$A249,'Forbrug af biomasse'!D:D,'Resultat-Produktion &amp; forbrug'!$D249,'Forbrug af biomasse'!G:G,1,'Forbrug af biomasse'!B:B,$E249)</f>
        <v>0</v>
      </c>
      <c r="N249" s="199">
        <f t="shared" si="62"/>
        <v>140588.80847310851</v>
      </c>
      <c r="O249" s="190">
        <f t="shared" si="59"/>
        <v>140588.80847310851</v>
      </c>
      <c r="P249" s="200">
        <f t="shared" si="63"/>
        <v>226234.86420959991</v>
      </c>
      <c r="Q249" s="187">
        <f>IFERROR(VLOOKUP(A249,[1]Energiindhold!$A$2:$C$11,3,FALSE),IFERROR(VLOOKUP(A249,[1]Biogasudbytte!$A$2:$B$18,2,FALSE)*[1]Energiindhold!$C$10,0))*O249</f>
        <v>0.30282829345107576</v>
      </c>
      <c r="R249" s="187">
        <f>IF(A249&lt;&gt;"Biogas",IFERROR(VLOOKUP(A249,[1]Biogasudbytte!$A$2:$B$18,2,FALSE)*[1]Energiindhold!$C$10,0)*J249*IFERROR(VLOOKUP(A249,Biogasanlæg!$F$3:$G$8,2,FALSE),1)+IFERROR(VLOOKUP(A249,[1]Energiindhold!$A$2:$C$11,3,FALSE),0)*L249+IF(D249&lt;&gt;År1,Q249,0),0)</f>
        <v>0.79013819095855398</v>
      </c>
      <c r="S249" s="187">
        <f>IFERROR(VLOOKUP(A249,[1]Biogasudbytte!$A$2:$B$18,2,FALSE)*[1]Energiindhold!$C$10,0)*J249*IFERROR(VLOOKUP(A249,Biogasanlæg!$F$3:$G$8,2,FALSE),1)</f>
        <v>0.48730989750747822</v>
      </c>
      <c r="T249" s="188">
        <f t="shared" si="64"/>
        <v>0.30282829345107576</v>
      </c>
      <c r="U249" s="186">
        <f>O249*IFERROR(VLOOKUP(A249,[1]Tørstofindhold!A$2:B$24,2,FALSE),0)</f>
        <v>42176.642541932553</v>
      </c>
      <c r="V249" s="187">
        <f>IF(D249=År1,P249,SUM(O249,P249))*IFERROR(VLOOKUP(A249,[1]Tørstofindhold!A$2:B$24,2,FALSE),0)</f>
        <v>110047.10180481253</v>
      </c>
      <c r="W249" s="187">
        <f>J249*IFERROR(VLOOKUP(A249,[1]Tørstofindhold!A$2:B$24,2,FALSE),0)</f>
        <v>67870.459262879973</v>
      </c>
      <c r="X249" s="188">
        <f t="shared" si="65"/>
        <v>42176.642541932553</v>
      </c>
      <c r="Y249" s="168">
        <f t="shared" si="60"/>
        <v>0</v>
      </c>
      <c r="Z249" s="103">
        <f t="shared" si="61"/>
        <v>1</v>
      </c>
    </row>
    <row r="250" spans="1:26" x14ac:dyDescent="0.25">
      <c r="A250" s="189" t="str">
        <f t="shared" si="72"/>
        <v>Fiberfraktion</v>
      </c>
      <c r="B250" s="189" t="str">
        <f t="shared" si="73"/>
        <v/>
      </c>
      <c r="C250" s="189">
        <f>IF(COUNTIFS('Resultater - Danmark'!$D$3:$D$504,'Resultat-Produktion &amp; forbrug'!A250,'Resultater - Danmark'!$A$3:$A$504,"Til energi")+COUNTIFS('Resultater - Danmark'!$D$3:$D$504,'Resultat-Produktion &amp; forbrug'!A250,'Resultater - Danmark'!$A$3:$A$504,"Biogasanlæg")&gt;0,1,0)</f>
        <v>0</v>
      </c>
      <c r="D250" s="189">
        <f t="shared" si="74"/>
        <v>2050</v>
      </c>
      <c r="E250" s="187" t="s">
        <v>24</v>
      </c>
      <c r="F250" s="190">
        <f>IF(E250="Vestdanmark",SUMIFS(IF(D250=År1,'Resultater - Vestdanmark'!H$3:H$504,IF(D250=År2,'Resultater - Vestdanmark'!I$3:I$504,'Resultater - Vestdanmark'!J$3:J$504)),'Resultater - Vestdanmark'!$F$3:$F$504,$A250,IF(D250=År1,'Resultater - Vestdanmark'!H$3:H$504,IF(D250=År2,'Resultater - Vestdanmark'!I$3:I$504,'Resultater - Vestdanmark'!J$3:J$504)),"&gt;0"),SUMIFS(IF(D250=År1,'Resultater - Østdanmark'!H$3:H$504,IF(D250=År2,'Resultater - Østdanmark'!I$3:I$504,'Resultater - Østdanmark'!J$3:J$504)),'Resultater - Østdanmark'!$F$3:$F$504,$A250,IF(D250=År1,'Resultater - Østdanmark'!H$3:H$504,IF(D250=År2,'Resultater - Østdanmark'!I$3:I$504,'Resultater - Østdanmark'!J$3:J$504)),"&gt;0"))</f>
        <v>0</v>
      </c>
      <c r="G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forbrug'!G$2,'Forbrug af biomasse'!$B$2:$B$425,$E250)</f>
        <v>0</v>
      </c>
      <c r="H250" s="187">
        <f>IF(E250="Vestdanmark",-IF(A250="Halm",SUMIFS(IF(D250=År1,'Resultater - Vestdanmark'!H$3:H$504,IF(D250=År2,'Resultater - Vestdanmark'!I$3:I$504,'Resultater - Vestdanmark'!J$3:J$504)),'Resultater - Vestdanmark'!$F$3:$F$504,$A250,'Resultater - Vestdanmark'!H$3:H$504,"&lt;0"),0),-IF(A250="Halm",SUMIFS(IF(D250=År1,'Resultater - Østdanmark'!H$3:H$504,IF(D250=År2,'Resultater - Østdanmark'!I$3:I$504,'Resultater - Østdanmark'!J$3:J$504)),'Resultater - Østdanmark'!$F$3:$F$504,$A250,'Resultater - Østdanmark'!H$3:H$504,"&lt;0"),0))</f>
        <v>0</v>
      </c>
      <c r="I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forbrug'!I$2,'Forbrug af biomasse'!$B$2:$B$425,$E250)</f>
        <v>0</v>
      </c>
      <c r="J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forbrug'!J$2,'Forbrug af biomasse'!$B$2:$B$425,$E250)</f>
        <v>0</v>
      </c>
      <c r="K250" s="190">
        <f>SUMIFS('Forbrug af biomasse'!$E$2:$E$425,'Forbrug af biomasse'!$C$2:$C$425,'Resultat-Produktion &amp; forbrug'!$A250,'Forbrug af biomasse'!$D$2:$D$425,'Resultat-Produktion &amp; forbrug'!$D250,'Forbrug af biomasse'!$A$2:$A$425,'Resultat-Produktion &amp; forbrug'!K$2,'Forbrug af biomasse'!$B$2:$B$425,$E250)</f>
        <v>0</v>
      </c>
      <c r="L250" s="190">
        <f>IF(A250&lt;&gt;"Biogas",SUMIFS('Forbrug af biomasse'!$E$2:$E$425,'Forbrug af biomasse'!$C$2:$C$425,'Resultat-Produktion &amp; forbrug'!$A250,'Forbrug af biomasse'!$D$2:$D$425,'Resultat-Produktion &amp; forbrug'!$D250,'Forbrug af biomasse'!$A$2:$A$425,'Resultat-Produktion &amp; forbrug'!L$2,'Forbrug af biomasse'!$B$2:$B$425,$E250),F250)</f>
        <v>0</v>
      </c>
      <c r="M250" s="154">
        <f>SUMIFS('Forbrug af biomasse'!E:E,'Forbrug af biomasse'!C:C,'Resultat-Produktion &amp; forbrug'!$A250,'Forbrug af biomasse'!D:D,'Resultat-Produktion &amp; forbrug'!$D250,'Forbrug af biomasse'!G:G,1,'Forbrug af biomasse'!B:B,$E250)</f>
        <v>0</v>
      </c>
      <c r="N250" s="199">
        <f t="shared" si="62"/>
        <v>0</v>
      </c>
      <c r="O250" s="190">
        <f t="shared" si="59"/>
        <v>0</v>
      </c>
      <c r="P250" s="200">
        <f t="shared" si="63"/>
        <v>0</v>
      </c>
      <c r="Q250" s="187">
        <f>IFERROR(VLOOKUP(A250,[1]Energiindhold!$A$2:$C$11,3,FALSE),IFERROR(VLOOKUP(A250,[1]Biogasudbytte!$A$2:$B$18,2,FALSE)*[1]Energiindhold!$C$10,0))*O250</f>
        <v>0</v>
      </c>
      <c r="R250" s="187">
        <f>IF(A250&lt;&gt;"Biogas",IFERROR(VLOOKUP(A250,[1]Biogasudbytte!$A$2:$B$18,2,FALSE)*[1]Energiindhold!$C$10,0)*J250*IFERROR(VLOOKUP(A250,Biogasanlæg!$F$3:$G$8,2,FALSE),1)+IFERROR(VLOOKUP(A250,[1]Energiindhold!$A$2:$C$11,3,FALSE),0)*L250+IF(D250&lt;&gt;År1,Q250,0),0)</f>
        <v>0</v>
      </c>
      <c r="S250" s="187">
        <f>IFERROR(VLOOKUP(A250,[1]Biogasudbytte!$A$2:$B$18,2,FALSE)*[1]Energiindhold!$C$10,0)*J250*IFERROR(VLOOKUP(A250,Biogasanlæg!$F$3:$G$8,2,FALSE),1)</f>
        <v>0</v>
      </c>
      <c r="T250" s="188">
        <f t="shared" si="64"/>
        <v>0</v>
      </c>
      <c r="U250" s="186">
        <f>O250*IFERROR(VLOOKUP(A250,[1]Tørstofindhold!A$2:B$24,2,FALSE),0)</f>
        <v>0</v>
      </c>
      <c r="V250" s="187">
        <f>IF(D250=År1,P250,SUM(O250,P250))*IFERROR(VLOOKUP(A250,[1]Tørstofindhold!A$2:B$24,2,FALSE),0)</f>
        <v>0</v>
      </c>
      <c r="W250" s="187">
        <f>J250*IFERROR(VLOOKUP(A250,[1]Tørstofindhold!A$2:B$24,2,FALSE),0)</f>
        <v>0</v>
      </c>
      <c r="X250" s="188">
        <f t="shared" si="65"/>
        <v>0</v>
      </c>
      <c r="Y250" s="168">
        <f t="shared" si="60"/>
        <v>0</v>
      </c>
      <c r="Z250" s="103">
        <f t="shared" si="61"/>
        <v>0</v>
      </c>
    </row>
    <row r="251" spans="1:26" x14ac:dyDescent="0.25">
      <c r="A251" s="189" t="str">
        <f t="shared" si="72"/>
        <v>Fjerkrægylle</v>
      </c>
      <c r="B251" s="189" t="str">
        <f t="shared" si="73"/>
        <v>Husdyrgødning</v>
      </c>
      <c r="C251" s="189">
        <f>IF(COUNTIFS('Resultater - Danmark'!$D$3:$D$504,'Resultat-Produktion &amp; forbrug'!A251,'Resultater - Danmark'!$A$3:$A$504,"Til energi")+COUNTIFS('Resultater - Danmark'!$D$3:$D$504,'Resultat-Produktion &amp; forbrug'!A251,'Resultater - Danmark'!$A$3:$A$504,"Biogasanlæg")&gt;0,1,0)</f>
        <v>1</v>
      </c>
      <c r="D251" s="189">
        <f t="shared" si="74"/>
        <v>2050</v>
      </c>
      <c r="E251" s="187" t="s">
        <v>24</v>
      </c>
      <c r="F251" s="190">
        <f>IF(E251="Vestdanmark",SUMIFS(IF(D251=År1,'Resultater - Vestdanmark'!H$3:H$504,IF(D251=År2,'Resultater - Vestdanmark'!I$3:I$504,'Resultater - Vestdanmark'!J$3:J$504)),'Resultater - Vestdanmark'!$F$3:$F$504,$A251,IF(D251=År1,'Resultater - Vestdanmark'!H$3:H$504,IF(D251=År2,'Resultater - Vestdanmark'!I$3:I$504,'Resultater - Vestdanmark'!J$3:J$504)),"&gt;0"),SUMIFS(IF(D251=År1,'Resultater - Østdanmark'!H$3:H$504,IF(D251=År2,'Resultater - Østdanmark'!I$3:I$504,'Resultater - Østdanmark'!J$3:J$504)),'Resultater - Østdanmark'!$F$3:$F$504,$A251,IF(D251=År1,'Resultater - Østdanmark'!H$3:H$504,IF(D251=År2,'Resultater - Østdanmark'!I$3:I$504,'Resultater - Østdanmark'!J$3:J$504)),"&gt;0"))</f>
        <v>867.71807684226371</v>
      </c>
      <c r="G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forbrug'!G$2,'Forbrug af biomasse'!$B$2:$B$425,$E251)</f>
        <v>0</v>
      </c>
      <c r="H251" s="187">
        <f>IF(E251="Vestdanmark",-IF(A251="Halm",SUMIFS(IF(D251=År1,'Resultater - Vestdanmark'!H$3:H$504,IF(D251=År2,'Resultater - Vestdanmark'!I$3:I$504,'Resultater - Vestdanmark'!J$3:J$504)),'Resultater - Vestdanmark'!$F$3:$F$504,$A251,'Resultater - Vestdanmark'!H$3:H$504,"&lt;0"),0),-IF(A251="Halm",SUMIFS(IF(D251=År1,'Resultater - Østdanmark'!H$3:H$504,IF(D251=År2,'Resultater - Østdanmark'!I$3:I$504,'Resultater - Østdanmark'!J$3:J$504)),'Resultater - Østdanmark'!$F$3:$F$504,$A251,'Resultater - Østdanmark'!H$3:H$504,"&lt;0"),0))</f>
        <v>0</v>
      </c>
      <c r="I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forbrug'!I$2,'Forbrug af biomasse'!$B$2:$B$425,$E251)</f>
        <v>0</v>
      </c>
      <c r="J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forbrug'!J$2,'Forbrug af biomasse'!$B$2:$B$425,$E251)</f>
        <v>433.85903842113186</v>
      </c>
      <c r="K251" s="190">
        <f>SUMIFS('Forbrug af biomasse'!$E$2:$E$425,'Forbrug af biomasse'!$C$2:$C$425,'Resultat-Produktion &amp; forbrug'!$A251,'Forbrug af biomasse'!$D$2:$D$425,'Resultat-Produktion &amp; forbrug'!$D251,'Forbrug af biomasse'!$A$2:$A$425,'Resultat-Produktion &amp; forbrug'!K$2,'Forbrug af biomasse'!$B$2:$B$425,$E251)</f>
        <v>433.85903842113186</v>
      </c>
      <c r="L251" s="190">
        <f>IF(A251&lt;&gt;"Biogas",SUMIFS('Forbrug af biomasse'!$E$2:$E$425,'Forbrug af biomasse'!$C$2:$C$425,'Resultat-Produktion &amp; forbrug'!$A251,'Forbrug af biomasse'!$D$2:$D$425,'Resultat-Produktion &amp; forbrug'!$D251,'Forbrug af biomasse'!$A$2:$A$425,'Resultat-Produktion &amp; forbrug'!L$2,'Forbrug af biomasse'!$B$2:$B$425,$E251),F251)</f>
        <v>0</v>
      </c>
      <c r="M251" s="154">
        <f>SUMIFS('Forbrug af biomasse'!E:E,'Forbrug af biomasse'!C:C,'Resultat-Produktion &amp; forbrug'!$A251,'Forbrug af biomasse'!D:D,'Resultat-Produktion &amp; forbrug'!$D251,'Forbrug af biomasse'!G:G,1,'Forbrug af biomasse'!B:B,$E251)</f>
        <v>0</v>
      </c>
      <c r="N251" s="199">
        <f t="shared" si="62"/>
        <v>0</v>
      </c>
      <c r="O251" s="190">
        <f t="shared" si="59"/>
        <v>0</v>
      </c>
      <c r="P251" s="200">
        <f t="shared" si="63"/>
        <v>433.85903842113186</v>
      </c>
      <c r="Q251" s="187">
        <f>IFERROR(VLOOKUP(A251,[1]Energiindhold!$A$2:$C$11,3,FALSE),IFERROR(VLOOKUP(A251,[1]Biogasudbytte!$A$2:$B$18,2,FALSE)*[1]Energiindhold!$C$10,0))*O251</f>
        <v>0</v>
      </c>
      <c r="R251" s="187">
        <f>IF(A251&lt;&gt;"Biogas",IFERROR(VLOOKUP(A251,[1]Biogasudbytte!$A$2:$B$18,2,FALSE)*[1]Energiindhold!$C$10,0)*J251*IFERROR(VLOOKUP(A251,Biogasanlæg!$F$3:$G$8,2,FALSE),1)+IFERROR(VLOOKUP(A251,[1]Energiindhold!$A$2:$C$11,3,FALSE),0)*L251+IF(D251&lt;&gt;År1,Q251,0),0)</f>
        <v>2.040395671790741E-4</v>
      </c>
      <c r="S251" s="187">
        <f>IFERROR(VLOOKUP(A251,[1]Biogasudbytte!$A$2:$B$18,2,FALSE)*[1]Energiindhold!$C$10,0)*J251*IFERROR(VLOOKUP(A251,Biogasanlæg!$F$3:$G$8,2,FALSE),1)</f>
        <v>2.040395671790741E-4</v>
      </c>
      <c r="T251" s="188">
        <f t="shared" si="64"/>
        <v>0</v>
      </c>
      <c r="U251" s="186">
        <f>O251*IFERROR(VLOOKUP(A251,[1]Tørstofindhold!A$2:B$24,2,FALSE),0)</f>
        <v>0</v>
      </c>
      <c r="V251" s="187">
        <f>IF(D251=År1,P251,SUM(O251,P251))*IFERROR(VLOOKUP(A251,[1]Tørstofindhold!A$2:B$24,2,FALSE),0)</f>
        <v>27.333119420531307</v>
      </c>
      <c r="W251" s="187">
        <f>J251*IFERROR(VLOOKUP(A251,[1]Tørstofindhold!A$2:B$24,2,FALSE),0)</f>
        <v>27.333119420531307</v>
      </c>
      <c r="X251" s="188">
        <f t="shared" si="65"/>
        <v>0</v>
      </c>
      <c r="Y251" s="168">
        <f t="shared" si="60"/>
        <v>0</v>
      </c>
      <c r="Z251" s="103">
        <f t="shared" si="61"/>
        <v>0</v>
      </c>
    </row>
    <row r="252" spans="1:26" x14ac:dyDescent="0.25">
      <c r="A252" s="189" t="str">
        <f t="shared" si="72"/>
        <v>Fjerkrækød</v>
      </c>
      <c r="B252" s="189" t="str">
        <f t="shared" si="73"/>
        <v/>
      </c>
      <c r="C252" s="189">
        <f>IF(COUNTIFS('Resultater - Danmark'!$D$3:$D$504,'Resultat-Produktion &amp; forbrug'!A252,'Resultater - Danmark'!$A$3:$A$504,"Til energi")+COUNTIFS('Resultater - Danmark'!$D$3:$D$504,'Resultat-Produktion &amp; forbrug'!A252,'Resultater - Danmark'!$A$3:$A$504,"Biogasanlæg")&gt;0,1,0)</f>
        <v>0</v>
      </c>
      <c r="D252" s="189">
        <f t="shared" si="74"/>
        <v>2050</v>
      </c>
      <c r="E252" s="187" t="s">
        <v>24</v>
      </c>
      <c r="F252" s="190">
        <f>IF(E252="Vestdanmark",SUMIFS(IF(D252=År1,'Resultater - Vestdanmark'!H$3:H$504,IF(D252=År2,'Resultater - Vestdanmark'!I$3:I$504,'Resultater - Vestdanmark'!J$3:J$504)),'Resultater - Vestdanmark'!$F$3:$F$504,$A252,IF(D252=År1,'Resultater - Vestdanmark'!H$3:H$504,IF(D252=År2,'Resultater - Vestdanmark'!I$3:I$504,'Resultater - Vestdanmark'!J$3:J$504)),"&gt;0"),SUMIFS(IF(D252=År1,'Resultater - Østdanmark'!H$3:H$504,IF(D252=År2,'Resultater - Østdanmark'!I$3:I$504,'Resultater - Østdanmark'!J$3:J$504)),'Resultater - Østdanmark'!$F$3:$F$504,$A252,IF(D252=År1,'Resultater - Østdanmark'!H$3:H$504,IF(D252=År2,'Resultater - Østdanmark'!I$3:I$504,'Resultater - Østdanmark'!J$3:J$504)),"&gt;0"))</f>
        <v>17490.137871374405</v>
      </c>
      <c r="G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forbrug'!G$2,'Forbrug af biomasse'!$B$2:$B$425,$E252)</f>
        <v>0</v>
      </c>
      <c r="H252" s="187">
        <f>IF(E252="Vestdanmark",-IF(A252="Halm",SUMIFS(IF(D252=År1,'Resultater - Vestdanmark'!H$3:H$504,IF(D252=År2,'Resultater - Vestdanmark'!I$3:I$504,'Resultater - Vestdanmark'!J$3:J$504)),'Resultater - Vestdanmark'!$F$3:$F$504,$A252,'Resultater - Vestdanmark'!H$3:H$504,"&lt;0"),0),-IF(A252="Halm",SUMIFS(IF(D252=År1,'Resultater - Østdanmark'!H$3:H$504,IF(D252=År2,'Resultater - Østdanmark'!I$3:I$504,'Resultater - Østdanmark'!J$3:J$504)),'Resultater - Østdanmark'!$F$3:$F$504,$A252,'Resultater - Østdanmark'!H$3:H$504,"&lt;0"),0))</f>
        <v>0</v>
      </c>
      <c r="I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forbrug'!I$2,'Forbrug af biomasse'!$B$2:$B$425,$E252)</f>
        <v>31993.002188443785</v>
      </c>
      <c r="J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forbrug'!J$2,'Forbrug af biomasse'!$B$2:$B$425,$E252)</f>
        <v>0</v>
      </c>
      <c r="K252" s="190">
        <f>SUMIFS('Forbrug af biomasse'!$E$2:$E$425,'Forbrug af biomasse'!$C$2:$C$425,'Resultat-Produktion &amp; forbrug'!$A252,'Forbrug af biomasse'!$D$2:$D$425,'Resultat-Produktion &amp; forbrug'!$D252,'Forbrug af biomasse'!$A$2:$A$425,'Resultat-Produktion &amp; forbrug'!K$2,'Forbrug af biomasse'!$B$2:$B$425,$E252)</f>
        <v>0</v>
      </c>
      <c r="L252" s="190">
        <f>IF(A252&lt;&gt;"Biogas",SUMIFS('Forbrug af biomasse'!$E$2:$E$425,'Forbrug af biomasse'!$C$2:$C$425,'Resultat-Produktion &amp; forbrug'!$A252,'Forbrug af biomasse'!$D$2:$D$425,'Resultat-Produktion &amp; forbrug'!$D252,'Forbrug af biomasse'!$A$2:$A$425,'Resultat-Produktion &amp; forbrug'!L$2,'Forbrug af biomasse'!$B$2:$B$425,$E252),F252)</f>
        <v>0</v>
      </c>
      <c r="M252" s="154">
        <f>SUMIFS('Forbrug af biomasse'!E:E,'Forbrug af biomasse'!C:C,'Resultat-Produktion &amp; forbrug'!$A252,'Forbrug af biomasse'!D:D,'Resultat-Produktion &amp; forbrug'!$D252,'Forbrug af biomasse'!G:G,1,'Forbrug af biomasse'!B:B,$E252)</f>
        <v>0</v>
      </c>
      <c r="N252" s="199">
        <f t="shared" si="62"/>
        <v>-14502.864317069379</v>
      </c>
      <c r="O252" s="190">
        <f t="shared" si="59"/>
        <v>0</v>
      </c>
      <c r="P252" s="200">
        <f t="shared" si="63"/>
        <v>0</v>
      </c>
      <c r="Q252" s="187">
        <f>IFERROR(VLOOKUP(A252,[1]Energiindhold!$A$2:$C$11,3,FALSE),IFERROR(VLOOKUP(A252,[1]Biogasudbytte!$A$2:$B$18,2,FALSE)*[1]Energiindhold!$C$10,0))*O252</f>
        <v>0</v>
      </c>
      <c r="R252" s="187">
        <f>IF(A252&lt;&gt;"Biogas",IFERROR(VLOOKUP(A252,[1]Biogasudbytte!$A$2:$B$18,2,FALSE)*[1]Energiindhold!$C$10,0)*J252*IFERROR(VLOOKUP(A252,Biogasanlæg!$F$3:$G$8,2,FALSE),1)+IFERROR(VLOOKUP(A252,[1]Energiindhold!$A$2:$C$11,3,FALSE),0)*L252+IF(D252&lt;&gt;År1,Q252,0),0)</f>
        <v>0</v>
      </c>
      <c r="S252" s="187">
        <f>IFERROR(VLOOKUP(A252,[1]Biogasudbytte!$A$2:$B$18,2,FALSE)*[1]Energiindhold!$C$10,0)*J252*IFERROR(VLOOKUP(A252,Biogasanlæg!$F$3:$G$8,2,FALSE),1)</f>
        <v>0</v>
      </c>
      <c r="T252" s="188">
        <f t="shared" si="64"/>
        <v>0</v>
      </c>
      <c r="U252" s="186">
        <f>O252*IFERROR(VLOOKUP(A252,[1]Tørstofindhold!A$2:B$24,2,FALSE),0)</f>
        <v>0</v>
      </c>
      <c r="V252" s="187">
        <f>IF(D252=År1,P252,SUM(O252,P252))*IFERROR(VLOOKUP(A252,[1]Tørstofindhold!A$2:B$24,2,FALSE),0)</f>
        <v>0</v>
      </c>
      <c r="W252" s="187">
        <f>J252*IFERROR(VLOOKUP(A252,[1]Tørstofindhold!A$2:B$24,2,FALSE),0)</f>
        <v>0</v>
      </c>
      <c r="X252" s="188">
        <f t="shared" si="65"/>
        <v>0</v>
      </c>
      <c r="Y252" s="168">
        <f t="shared" si="60"/>
        <v>0</v>
      </c>
      <c r="Z252" s="103">
        <f t="shared" si="61"/>
        <v>1</v>
      </c>
    </row>
    <row r="253" spans="1:26" x14ac:dyDescent="0.25">
      <c r="A253" s="189" t="str">
        <f t="shared" si="72"/>
        <v>Frø</v>
      </c>
      <c r="B253" s="189" t="str">
        <f t="shared" si="73"/>
        <v/>
      </c>
      <c r="C253" s="189">
        <f>IF(COUNTIFS('Resultater - Danmark'!$D$3:$D$504,'Resultat-Produktion &amp; forbrug'!A253,'Resultater - Danmark'!$A$3:$A$504,"Til energi")+COUNTIFS('Resultater - Danmark'!$D$3:$D$504,'Resultat-Produktion &amp; forbrug'!A253,'Resultater - Danmark'!$A$3:$A$504,"Biogasanlæg")&gt;0,1,0)</f>
        <v>0</v>
      </c>
      <c r="D253" s="189">
        <f t="shared" si="74"/>
        <v>2050</v>
      </c>
      <c r="E253" s="187" t="s">
        <v>24</v>
      </c>
      <c r="F253" s="190">
        <f>IF(E253="Vestdanmark",SUMIFS(IF(D253=År1,'Resultater - Vestdanmark'!H$3:H$504,IF(D253=År2,'Resultater - Vestdanmark'!I$3:I$504,'Resultater - Vestdanmark'!J$3:J$504)),'Resultater - Vestdanmark'!$F$3:$F$504,$A253,IF(D253=År1,'Resultater - Vestdanmark'!H$3:H$504,IF(D253=År2,'Resultater - Vestdanmark'!I$3:I$504,'Resultater - Vestdanmark'!J$3:J$504)),"&gt;0"),SUMIFS(IF(D253=År1,'Resultater - Østdanmark'!H$3:H$504,IF(D253=År2,'Resultater - Østdanmark'!I$3:I$504,'Resultater - Østdanmark'!J$3:J$504)),'Resultater - Østdanmark'!$F$3:$F$504,$A253,IF(D253=År1,'Resultater - Østdanmark'!H$3:H$504,IF(D253=År2,'Resultater - Østdanmark'!I$3:I$504,'Resultater - Østdanmark'!J$3:J$504)),"&gt;0"))</f>
        <v>680414.34761758172</v>
      </c>
      <c r="G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forbrug'!G$2,'Forbrug af biomasse'!$B$2:$B$425,$E253)</f>
        <v>0</v>
      </c>
      <c r="H253" s="187">
        <f>IF(E253="Vestdanmark",-IF(A253="Halm",SUMIFS(IF(D253=År1,'Resultater - Vestdanmark'!H$3:H$504,IF(D253=År2,'Resultater - Vestdanmark'!I$3:I$504,'Resultater - Vestdanmark'!J$3:J$504)),'Resultater - Vestdanmark'!$F$3:$F$504,$A253,'Resultater - Vestdanmark'!H$3:H$504,"&lt;0"),0),-IF(A253="Halm",SUMIFS(IF(D253=År1,'Resultater - Østdanmark'!H$3:H$504,IF(D253=År2,'Resultater - Østdanmark'!I$3:I$504,'Resultater - Østdanmark'!J$3:J$504)),'Resultater - Østdanmark'!$F$3:$F$504,$A253,'Resultater - Østdanmark'!H$3:H$504,"&lt;0"),0))</f>
        <v>0</v>
      </c>
      <c r="I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forbrug'!I$2,'Forbrug af biomasse'!$B$2:$B$425,$E253)</f>
        <v>0</v>
      </c>
      <c r="J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forbrug'!J$2,'Forbrug af biomasse'!$B$2:$B$425,$E253)</f>
        <v>0</v>
      </c>
      <c r="K253" s="190">
        <f>SUMIFS('Forbrug af biomasse'!$E$2:$E$425,'Forbrug af biomasse'!$C$2:$C$425,'Resultat-Produktion &amp; forbrug'!$A253,'Forbrug af biomasse'!$D$2:$D$425,'Resultat-Produktion &amp; forbrug'!$D253,'Forbrug af biomasse'!$A$2:$A$425,'Resultat-Produktion &amp; forbrug'!K$2,'Forbrug af biomasse'!$B$2:$B$425,$E253)</f>
        <v>0</v>
      </c>
      <c r="L253" s="190">
        <f>IF(A253&lt;&gt;"Biogas",SUMIFS('Forbrug af biomasse'!$E$2:$E$425,'Forbrug af biomasse'!$C$2:$C$425,'Resultat-Produktion &amp; forbrug'!$A253,'Forbrug af biomasse'!$D$2:$D$425,'Resultat-Produktion &amp; forbrug'!$D253,'Forbrug af biomasse'!$A$2:$A$425,'Resultat-Produktion &amp; forbrug'!L$2,'Forbrug af biomasse'!$B$2:$B$425,$E253),F253)</f>
        <v>0</v>
      </c>
      <c r="M253" s="154">
        <f>SUMIFS('Forbrug af biomasse'!E:E,'Forbrug af biomasse'!C:C,'Resultat-Produktion &amp; forbrug'!$A253,'Forbrug af biomasse'!D:D,'Resultat-Produktion &amp; forbrug'!$D253,'Forbrug af biomasse'!G:G,1,'Forbrug af biomasse'!B:B,$E253)</f>
        <v>0</v>
      </c>
      <c r="N253" s="199">
        <f t="shared" si="62"/>
        <v>680414.34761758172</v>
      </c>
      <c r="O253" s="190">
        <f t="shared" si="59"/>
        <v>0</v>
      </c>
      <c r="P253" s="200">
        <f t="shared" si="63"/>
        <v>0</v>
      </c>
      <c r="Q253" s="187">
        <f>IFERROR(VLOOKUP(A253,[1]Energiindhold!$A$2:$C$11,3,FALSE),IFERROR(VLOOKUP(A253,[1]Biogasudbytte!$A$2:$B$18,2,FALSE)*[1]Energiindhold!$C$10,0))*O253</f>
        <v>0</v>
      </c>
      <c r="R253" s="187">
        <f>IF(A253&lt;&gt;"Biogas",IFERROR(VLOOKUP(A253,[1]Biogasudbytte!$A$2:$B$18,2,FALSE)*[1]Energiindhold!$C$10,0)*J253*IFERROR(VLOOKUP(A253,Biogasanlæg!$F$3:$G$8,2,FALSE),1)+IFERROR(VLOOKUP(A253,[1]Energiindhold!$A$2:$C$11,3,FALSE),0)*L253+IF(D253&lt;&gt;År1,Q253,0),0)</f>
        <v>0</v>
      </c>
      <c r="S253" s="187">
        <f>IFERROR(VLOOKUP(A253,[1]Biogasudbytte!$A$2:$B$18,2,FALSE)*[1]Energiindhold!$C$10,0)*J253*IFERROR(VLOOKUP(A253,Biogasanlæg!$F$3:$G$8,2,FALSE),1)</f>
        <v>0</v>
      </c>
      <c r="T253" s="188">
        <f t="shared" si="64"/>
        <v>0</v>
      </c>
      <c r="U253" s="186">
        <f>O253*IFERROR(VLOOKUP(A253,[1]Tørstofindhold!A$2:B$24,2,FALSE),0)</f>
        <v>0</v>
      </c>
      <c r="V253" s="187">
        <f>IF(D253=År1,P253,SUM(O253,P253))*IFERROR(VLOOKUP(A253,[1]Tørstofindhold!A$2:B$24,2,FALSE),0)</f>
        <v>0</v>
      </c>
      <c r="W253" s="187">
        <f>J253*IFERROR(VLOOKUP(A253,[1]Tørstofindhold!A$2:B$24,2,FALSE),0)</f>
        <v>0</v>
      </c>
      <c r="X253" s="188">
        <f t="shared" si="65"/>
        <v>0</v>
      </c>
      <c r="Y253" s="168">
        <f t="shared" si="60"/>
        <v>0</v>
      </c>
      <c r="Z253" s="103">
        <f t="shared" si="61"/>
        <v>1</v>
      </c>
    </row>
    <row r="254" spans="1:26" x14ac:dyDescent="0.25">
      <c r="A254" s="189" t="str">
        <f t="shared" si="72"/>
        <v>Frugt</v>
      </c>
      <c r="B254" s="189" t="str">
        <f t="shared" si="73"/>
        <v/>
      </c>
      <c r="C254" s="189">
        <f>IF(COUNTIFS('Resultater - Danmark'!$D$3:$D$504,'Resultat-Produktion &amp; forbrug'!A254,'Resultater - Danmark'!$A$3:$A$504,"Til energi")+COUNTIFS('Resultater - Danmark'!$D$3:$D$504,'Resultat-Produktion &amp; forbrug'!A254,'Resultater - Danmark'!$A$3:$A$504,"Biogasanlæg")&gt;0,1,0)</f>
        <v>0</v>
      </c>
      <c r="D254" s="189">
        <f t="shared" si="74"/>
        <v>2050</v>
      </c>
      <c r="E254" s="187" t="s">
        <v>24</v>
      </c>
      <c r="F254" s="190">
        <f>IF(E254="Vestdanmark",SUMIFS(IF(D254=År1,'Resultater - Vestdanmark'!H$3:H$504,IF(D254=År2,'Resultater - Vestdanmark'!I$3:I$504,'Resultater - Vestdanmark'!J$3:J$504)),'Resultater - Vestdanmark'!$F$3:$F$504,$A254,IF(D254=År1,'Resultater - Vestdanmark'!H$3:H$504,IF(D254=År2,'Resultater - Vestdanmark'!I$3:I$504,'Resultater - Vestdanmark'!J$3:J$504)),"&gt;0"),SUMIFS(IF(D254=År1,'Resultater - Østdanmark'!H$3:H$504,IF(D254=År2,'Resultater - Østdanmark'!I$3:I$504,'Resultater - Østdanmark'!J$3:J$504)),'Resultater - Østdanmark'!$F$3:$F$504,$A254,IF(D254=År1,'Resultater - Østdanmark'!H$3:H$504,IF(D254=År2,'Resultater - Østdanmark'!I$3:I$504,'Resultater - Østdanmark'!J$3:J$504)),"&gt;0"))</f>
        <v>17356.133122278541</v>
      </c>
      <c r="G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forbrug'!G$2,'Forbrug af biomasse'!$B$2:$B$425,$E254)</f>
        <v>0</v>
      </c>
      <c r="H254" s="187">
        <f>IF(E254="Vestdanmark",-IF(A254="Halm",SUMIFS(IF(D254=År1,'Resultater - Vestdanmark'!H$3:H$504,IF(D254=År2,'Resultater - Vestdanmark'!I$3:I$504,'Resultater - Vestdanmark'!J$3:J$504)),'Resultater - Vestdanmark'!$F$3:$F$504,$A254,'Resultater - Vestdanmark'!H$3:H$504,"&lt;0"),0),-IF(A254="Halm",SUMIFS(IF(D254=År1,'Resultater - Østdanmark'!H$3:H$504,IF(D254=År2,'Resultater - Østdanmark'!I$3:I$504,'Resultater - Østdanmark'!J$3:J$504)),'Resultater - Østdanmark'!$F$3:$F$504,$A254,'Resultater - Østdanmark'!H$3:H$504,"&lt;0"),0))</f>
        <v>0</v>
      </c>
      <c r="I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forbrug'!I$2,'Forbrug af biomasse'!$B$2:$B$425,$E254)</f>
        <v>233795.01599247381</v>
      </c>
      <c r="J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forbrug'!J$2,'Forbrug af biomasse'!$B$2:$B$425,$E254)</f>
        <v>0</v>
      </c>
      <c r="K254" s="190">
        <f>SUMIFS('Forbrug af biomasse'!$E$2:$E$425,'Forbrug af biomasse'!$C$2:$C$425,'Resultat-Produktion &amp; forbrug'!$A254,'Forbrug af biomasse'!$D$2:$D$425,'Resultat-Produktion &amp; forbrug'!$D254,'Forbrug af biomasse'!$A$2:$A$425,'Resultat-Produktion &amp; forbrug'!K$2,'Forbrug af biomasse'!$B$2:$B$425,$E254)</f>
        <v>0</v>
      </c>
      <c r="L254" s="190">
        <f>IF(A254&lt;&gt;"Biogas",SUMIFS('Forbrug af biomasse'!$E$2:$E$425,'Forbrug af biomasse'!$C$2:$C$425,'Resultat-Produktion &amp; forbrug'!$A254,'Forbrug af biomasse'!$D$2:$D$425,'Resultat-Produktion &amp; forbrug'!$D254,'Forbrug af biomasse'!$A$2:$A$425,'Resultat-Produktion &amp; forbrug'!L$2,'Forbrug af biomasse'!$B$2:$B$425,$E254),F254)</f>
        <v>0</v>
      </c>
      <c r="M254" s="154">
        <f>SUMIFS('Forbrug af biomasse'!E:E,'Forbrug af biomasse'!C:C,'Resultat-Produktion &amp; forbrug'!$A254,'Forbrug af biomasse'!D:D,'Resultat-Produktion &amp; forbrug'!$D254,'Forbrug af biomasse'!G:G,1,'Forbrug af biomasse'!B:B,$E254)</f>
        <v>0</v>
      </c>
      <c r="N254" s="199">
        <f t="shared" si="62"/>
        <v>-216438.88287019526</v>
      </c>
      <c r="O254" s="190">
        <f t="shared" si="59"/>
        <v>0</v>
      </c>
      <c r="P254" s="200">
        <f t="shared" si="63"/>
        <v>0</v>
      </c>
      <c r="Q254" s="187">
        <f>IFERROR(VLOOKUP(A254,[1]Energiindhold!$A$2:$C$11,3,FALSE),IFERROR(VLOOKUP(A254,[1]Biogasudbytte!$A$2:$B$18,2,FALSE)*[1]Energiindhold!$C$10,0))*O254</f>
        <v>0</v>
      </c>
      <c r="R254" s="187">
        <f>IF(A254&lt;&gt;"Biogas",IFERROR(VLOOKUP(A254,[1]Biogasudbytte!$A$2:$B$18,2,FALSE)*[1]Energiindhold!$C$10,0)*J254*IFERROR(VLOOKUP(A254,Biogasanlæg!$F$3:$G$8,2,FALSE),1)+IFERROR(VLOOKUP(A254,[1]Energiindhold!$A$2:$C$11,3,FALSE),0)*L254+IF(D254&lt;&gt;År1,Q254,0),0)</f>
        <v>0</v>
      </c>
      <c r="S254" s="187">
        <f>IFERROR(VLOOKUP(A254,[1]Biogasudbytte!$A$2:$B$18,2,FALSE)*[1]Energiindhold!$C$10,0)*J254*IFERROR(VLOOKUP(A254,Biogasanlæg!$F$3:$G$8,2,FALSE),1)</f>
        <v>0</v>
      </c>
      <c r="T254" s="188">
        <f t="shared" si="64"/>
        <v>0</v>
      </c>
      <c r="U254" s="186">
        <f>O254*IFERROR(VLOOKUP(A254,[1]Tørstofindhold!A$2:B$24,2,FALSE),0)</f>
        <v>0</v>
      </c>
      <c r="V254" s="187">
        <f>IF(D254=År1,P254,SUM(O254,P254))*IFERROR(VLOOKUP(A254,[1]Tørstofindhold!A$2:B$24,2,FALSE),0)</f>
        <v>0</v>
      </c>
      <c r="W254" s="187">
        <f>J254*IFERROR(VLOOKUP(A254,[1]Tørstofindhold!A$2:B$24,2,FALSE),0)</f>
        <v>0</v>
      </c>
      <c r="X254" s="188">
        <f t="shared" si="65"/>
        <v>0</v>
      </c>
      <c r="Y254" s="168">
        <f t="shared" si="60"/>
        <v>1</v>
      </c>
      <c r="Z254" s="103">
        <f t="shared" si="61"/>
        <v>0</v>
      </c>
    </row>
    <row r="255" spans="1:26" x14ac:dyDescent="0.25">
      <c r="A255" s="189" t="str">
        <f t="shared" si="72"/>
        <v>Glycerin</v>
      </c>
      <c r="B255" s="189" t="str">
        <f t="shared" si="73"/>
        <v>Glycerin</v>
      </c>
      <c r="C255" s="189">
        <f>IF(COUNTIFS('Resultater - Danmark'!$D$3:$D$504,'Resultat-Produktion &amp; forbrug'!A255,'Resultater - Danmark'!$A$3:$A$504,"Til energi")+COUNTIFS('Resultater - Danmark'!$D$3:$D$504,'Resultat-Produktion &amp; forbrug'!A255,'Resultater - Danmark'!$A$3:$A$504,"Biogasanlæg")&gt;0,1,0)</f>
        <v>1</v>
      </c>
      <c r="D255" s="189">
        <f t="shared" si="74"/>
        <v>2050</v>
      </c>
      <c r="E255" s="187" t="s">
        <v>24</v>
      </c>
      <c r="F255" s="190">
        <f>IF(E255="Vestdanmark",SUMIFS(IF(D255=År1,'Resultater - Vestdanmark'!H$3:H$504,IF(D255=År2,'Resultater - Vestdanmark'!I$3:I$504,'Resultater - Vestdanmark'!J$3:J$504)),'Resultater - Vestdanmark'!$F$3:$F$504,$A255,IF(D255=År1,'Resultater - Vestdanmark'!H$3:H$504,IF(D255=År2,'Resultater - Vestdanmark'!I$3:I$504,'Resultater - Vestdanmark'!J$3:J$504)),"&gt;0"),SUMIFS(IF(D255=År1,'Resultater - Østdanmark'!H$3:H$504,IF(D255=År2,'Resultater - Østdanmark'!I$3:I$504,'Resultater - Østdanmark'!J$3:J$504)),'Resultater - Østdanmark'!$F$3:$F$504,$A255,IF(D255=År1,'Resultater - Østdanmark'!H$3:H$504,IF(D255=År2,'Resultater - Østdanmark'!I$3:I$504,'Resultater - Østdanmark'!J$3:J$504)),"&gt;0"))</f>
        <v>0</v>
      </c>
      <c r="G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forbrug'!G$2,'Forbrug af biomasse'!$B$2:$B$425,$E255)</f>
        <v>0</v>
      </c>
      <c r="H255" s="187">
        <f>IF(E255="Vestdanmark",-IF(A255="Halm",SUMIFS(IF(D255=År1,'Resultater - Vestdanmark'!H$3:H$504,IF(D255=År2,'Resultater - Vestdanmark'!I$3:I$504,'Resultater - Vestdanmark'!J$3:J$504)),'Resultater - Vestdanmark'!$F$3:$F$504,$A255,'Resultater - Vestdanmark'!H$3:H$504,"&lt;0"),0),-IF(A255="Halm",SUMIFS(IF(D255=År1,'Resultater - Østdanmark'!H$3:H$504,IF(D255=År2,'Resultater - Østdanmark'!I$3:I$504,'Resultater - Østdanmark'!J$3:J$504)),'Resultater - Østdanmark'!$F$3:$F$504,$A255,'Resultater - Østdanmark'!H$3:H$504,"&lt;0"),0))</f>
        <v>0</v>
      </c>
      <c r="I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forbrug'!I$2,'Forbrug af biomasse'!$B$2:$B$425,$E255)</f>
        <v>0</v>
      </c>
      <c r="J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forbrug'!J$2,'Forbrug af biomasse'!$B$2:$B$425,$E255)</f>
        <v>28548.400000000001</v>
      </c>
      <c r="K255" s="190">
        <f>SUMIFS('Forbrug af biomasse'!$E$2:$E$425,'Forbrug af biomasse'!$C$2:$C$425,'Resultat-Produktion &amp; forbrug'!$A255,'Forbrug af biomasse'!$D$2:$D$425,'Resultat-Produktion &amp; forbrug'!$D255,'Forbrug af biomasse'!$A$2:$A$425,'Resultat-Produktion &amp; forbrug'!K$2,'Forbrug af biomasse'!$B$2:$B$425,$E255)</f>
        <v>0</v>
      </c>
      <c r="L255" s="190">
        <f>IF(A255&lt;&gt;"Biogas",SUMIFS('Forbrug af biomasse'!$E$2:$E$425,'Forbrug af biomasse'!$C$2:$C$425,'Resultat-Produktion &amp; forbrug'!$A255,'Forbrug af biomasse'!$D$2:$D$425,'Resultat-Produktion &amp; forbrug'!$D255,'Forbrug af biomasse'!$A$2:$A$425,'Resultat-Produktion &amp; forbrug'!L$2,'Forbrug af biomasse'!$B$2:$B$425,$E255),F255)</f>
        <v>0</v>
      </c>
      <c r="M255" s="154">
        <f>SUMIFS('Forbrug af biomasse'!E:E,'Forbrug af biomasse'!C:C,'Resultat-Produktion &amp; forbrug'!$A255,'Forbrug af biomasse'!D:D,'Resultat-Produktion &amp; forbrug'!$D255,'Forbrug af biomasse'!G:G,1,'Forbrug af biomasse'!B:B,$E255)</f>
        <v>0</v>
      </c>
      <c r="N255" s="199">
        <f t="shared" si="62"/>
        <v>-28548.400000000001</v>
      </c>
      <c r="O255" s="190">
        <f t="shared" si="59"/>
        <v>0</v>
      </c>
      <c r="P255" s="200">
        <f t="shared" si="63"/>
        <v>28548.400000000001</v>
      </c>
      <c r="Q255" s="187">
        <f>IFERROR(VLOOKUP(A255,[1]Energiindhold!$A$2:$C$11,3,FALSE),IFERROR(VLOOKUP(A255,[1]Biogasudbytte!$A$2:$B$18,2,FALSE)*[1]Energiindhold!$C$10,0))*O255</f>
        <v>0</v>
      </c>
      <c r="R255" s="187">
        <f>IF(A255&lt;&gt;"Biogas",IFERROR(VLOOKUP(A255,[1]Biogasudbytte!$A$2:$B$18,2,FALSE)*[1]Energiindhold!$C$10,0)*J255*IFERROR(VLOOKUP(A255,Biogasanlæg!$F$3:$G$8,2,FALSE),1)+IFERROR(VLOOKUP(A255,[1]Energiindhold!$A$2:$C$11,3,FALSE),0)*L255+IF(D255&lt;&gt;År1,Q255,0),0)</f>
        <v>0.43389639740160008</v>
      </c>
      <c r="S255" s="187">
        <f>IFERROR(VLOOKUP(A255,[1]Biogasudbytte!$A$2:$B$18,2,FALSE)*[1]Energiindhold!$C$10,0)*J255*IFERROR(VLOOKUP(A255,Biogasanlæg!$F$3:$G$8,2,FALSE),1)</f>
        <v>0.43389639740160008</v>
      </c>
      <c r="T255" s="188">
        <f t="shared" si="64"/>
        <v>0</v>
      </c>
      <c r="U255" s="186">
        <f>O255*IFERROR(VLOOKUP(A255,[1]Tørstofindhold!A$2:B$24,2,FALSE),0)</f>
        <v>0</v>
      </c>
      <c r="V255" s="187">
        <f>IF(D255=År1,P255,SUM(O255,P255))*IFERROR(VLOOKUP(A255,[1]Tørstofindhold!A$2:B$24,2,FALSE),0)</f>
        <v>25693.56</v>
      </c>
      <c r="W255" s="187">
        <f>J255*IFERROR(VLOOKUP(A255,[1]Tørstofindhold!A$2:B$24,2,FALSE),0)</f>
        <v>25693.56</v>
      </c>
      <c r="X255" s="188">
        <f t="shared" si="65"/>
        <v>0</v>
      </c>
      <c r="Y255" s="168">
        <f t="shared" si="60"/>
        <v>1</v>
      </c>
      <c r="Z255" s="103">
        <f t="shared" si="61"/>
        <v>0</v>
      </c>
    </row>
    <row r="256" spans="1:26" x14ac:dyDescent="0.25">
      <c r="A256" s="189" t="str">
        <f t="shared" si="72"/>
        <v>Græs</v>
      </c>
      <c r="B256" s="189" t="str">
        <f t="shared" si="73"/>
        <v>Græs og urter</v>
      </c>
      <c r="C256" s="189">
        <f>IF(COUNTIFS('Resultater - Danmark'!$D$3:$D$504,'Resultat-Produktion &amp; forbrug'!A256,'Resultater - Danmark'!$A$3:$A$504,"Til energi")+COUNTIFS('Resultater - Danmark'!$D$3:$D$504,'Resultat-Produktion &amp; forbrug'!A256,'Resultater - Danmark'!$A$3:$A$504,"Biogasanlæg")&gt;0,1,0)</f>
        <v>1</v>
      </c>
      <c r="D256" s="189">
        <f t="shared" si="74"/>
        <v>2050</v>
      </c>
      <c r="E256" s="187" t="s">
        <v>24</v>
      </c>
      <c r="F256" s="190">
        <f>IF(E256="Vestdanmark",SUMIFS(IF(D256=År1,'Resultater - Vestdanmark'!H$3:H$504,IF(D256=År2,'Resultater - Vestdanmark'!I$3:I$504,'Resultater - Vestdanmark'!J$3:J$504)),'Resultater - Vestdanmark'!$F$3:$F$504,$A256,IF(D256=År1,'Resultater - Vestdanmark'!H$3:H$504,IF(D256=År2,'Resultater - Vestdanmark'!I$3:I$504,'Resultater - Vestdanmark'!J$3:J$504)),"&gt;0"),SUMIFS(IF(D256=År1,'Resultater - Østdanmark'!H$3:H$504,IF(D256=År2,'Resultater - Østdanmark'!I$3:I$504,'Resultater - Østdanmark'!J$3:J$504)),'Resultater - Østdanmark'!$F$3:$F$504,$A256,IF(D256=År1,'Resultater - Østdanmark'!H$3:H$504,IF(D256=År2,'Resultater - Østdanmark'!I$3:I$504,'Resultater - Østdanmark'!J$3:J$504)),"&gt;0"))</f>
        <v>2383188.3585043661</v>
      </c>
      <c r="G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forbrug'!G$2,'Forbrug af biomasse'!$B$2:$B$425,$E256)</f>
        <v>1802481.6912140576</v>
      </c>
      <c r="H256" s="187">
        <f>IF(E256="Vestdanmark",-IF(A256="Halm",SUMIFS(IF(D256=År1,'Resultater - Vestdanmark'!H$3:H$504,IF(D256=År2,'Resultater - Vestdanmark'!I$3:I$504,'Resultater - Vestdanmark'!J$3:J$504)),'Resultater - Vestdanmark'!$F$3:$F$504,$A256,'Resultater - Vestdanmark'!H$3:H$504,"&lt;0"),0),-IF(A256="Halm",SUMIFS(IF(D256=År1,'Resultater - Østdanmark'!H$3:H$504,IF(D256=År2,'Resultater - Østdanmark'!I$3:I$504,'Resultater - Østdanmark'!J$3:J$504)),'Resultater - Østdanmark'!$F$3:$F$504,$A256,'Resultater - Østdanmark'!H$3:H$504,"&lt;0"),0))</f>
        <v>0</v>
      </c>
      <c r="I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forbrug'!I$2,'Forbrug af biomasse'!$B$2:$B$425,$E256)</f>
        <v>0</v>
      </c>
      <c r="J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forbrug'!J$2,'Forbrug af biomasse'!$B$2:$B$425,$E256)</f>
        <v>10433.230256670677</v>
      </c>
      <c r="K256" s="190">
        <f>SUMIFS('Forbrug af biomasse'!$E$2:$E$425,'Forbrug af biomasse'!$C$2:$C$425,'Resultat-Produktion &amp; forbrug'!$A256,'Forbrug af biomasse'!$D$2:$D$425,'Resultat-Produktion &amp; forbrug'!$D256,'Forbrug af biomasse'!$A$2:$A$425,'Resultat-Produktion &amp; forbrug'!K$2,'Forbrug af biomasse'!$B$2:$B$425,$E256)</f>
        <v>0</v>
      </c>
      <c r="L256" s="190">
        <f>IF(A256&lt;&gt;"Biogas",SUMIFS('Forbrug af biomasse'!$E$2:$E$425,'Forbrug af biomasse'!$C$2:$C$425,'Resultat-Produktion &amp; forbrug'!$A256,'Forbrug af biomasse'!$D$2:$D$425,'Resultat-Produktion &amp; forbrug'!$D256,'Forbrug af biomasse'!$A$2:$A$425,'Resultat-Produktion &amp; forbrug'!L$2,'Forbrug af biomasse'!$B$2:$B$425,$E256),F256)</f>
        <v>0</v>
      </c>
      <c r="M256" s="154">
        <f>SUMIFS('Forbrug af biomasse'!E:E,'Forbrug af biomasse'!C:C,'Resultat-Produktion &amp; forbrug'!$A256,'Forbrug af biomasse'!D:D,'Resultat-Produktion &amp; forbrug'!$D256,'Forbrug af biomasse'!G:G,1,'Forbrug af biomasse'!B:B,$E256)</f>
        <v>0</v>
      </c>
      <c r="N256" s="199">
        <f t="shared" si="62"/>
        <v>570273.43703363789</v>
      </c>
      <c r="O256" s="190">
        <f t="shared" si="59"/>
        <v>570273.43703363789</v>
      </c>
      <c r="P256" s="200">
        <f t="shared" si="63"/>
        <v>10433.230256670677</v>
      </c>
      <c r="Q256" s="187">
        <f>IFERROR(VLOOKUP(A256,[1]Energiindhold!$A$2:$C$11,3,FALSE),IFERROR(VLOOKUP(A256,[1]Biogasudbytte!$A$2:$B$18,2,FALSE)*[1]Energiindhold!$C$10,0))*O256</f>
        <v>1.0492318399622647</v>
      </c>
      <c r="R256" s="187">
        <f>IF(A256&lt;&gt;"Biogas",IFERROR(VLOOKUP(A256,[1]Biogasudbytte!$A$2:$B$18,2,FALSE)*[1]Energiindhold!$C$10,0)*J256*IFERROR(VLOOKUP(A256,Biogasanlæg!$F$3:$G$8,2,FALSE),1)+IFERROR(VLOOKUP(A256,[1]Energiindhold!$A$2:$C$11,3,FALSE),0)*L256+IF(D256&lt;&gt;År1,Q256,0),0)</f>
        <v>1.0684276794807566</v>
      </c>
      <c r="S256" s="187">
        <f>IFERROR(VLOOKUP(A256,[1]Biogasudbytte!$A$2:$B$18,2,FALSE)*[1]Energiindhold!$C$10,0)*J256*IFERROR(VLOOKUP(A256,Biogasanlæg!$F$3:$G$8,2,FALSE),1)</f>
        <v>1.9195839518491964E-2</v>
      </c>
      <c r="T256" s="188">
        <f t="shared" si="64"/>
        <v>1.0492318399622647</v>
      </c>
      <c r="U256" s="186">
        <f>O256*IFERROR(VLOOKUP(A256,[1]Tørstofindhold!A$2:B$24,2,FALSE),0)</f>
        <v>159676.56236941862</v>
      </c>
      <c r="V256" s="187">
        <f>IF(D256=År1,P256,SUM(O256,P256))*IFERROR(VLOOKUP(A256,[1]Tørstofindhold!A$2:B$24,2,FALSE),0)</f>
        <v>162597.86684128639</v>
      </c>
      <c r="W256" s="187">
        <f>J256*IFERROR(VLOOKUP(A256,[1]Tørstofindhold!A$2:B$24,2,FALSE),0)</f>
        <v>2921.3044718677897</v>
      </c>
      <c r="X256" s="188">
        <f t="shared" si="65"/>
        <v>159676.56236941859</v>
      </c>
      <c r="Y256" s="168">
        <f t="shared" si="60"/>
        <v>0</v>
      </c>
      <c r="Z256" s="103">
        <f t="shared" si="61"/>
        <v>1</v>
      </c>
    </row>
    <row r="257" spans="1:26" x14ac:dyDescent="0.25">
      <c r="A257" s="189" t="str">
        <f t="shared" si="72"/>
        <v>Græsprotein</v>
      </c>
      <c r="B257" s="189" t="str">
        <f t="shared" si="73"/>
        <v/>
      </c>
      <c r="C257" s="189">
        <f>IF(COUNTIFS('Resultater - Danmark'!$D$3:$D$504,'Resultat-Produktion &amp; forbrug'!A257,'Resultater - Danmark'!$A$3:$A$504,"Til energi")+COUNTIFS('Resultater - Danmark'!$D$3:$D$504,'Resultat-Produktion &amp; forbrug'!A257,'Resultater - Danmark'!$A$3:$A$504,"Biogasanlæg")&gt;0,1,0)</f>
        <v>0</v>
      </c>
      <c r="D257" s="189">
        <f t="shared" si="74"/>
        <v>2050</v>
      </c>
      <c r="E257" s="187" t="s">
        <v>24</v>
      </c>
      <c r="F257" s="190">
        <f>IF(E257="Vestdanmark",SUMIFS(IF(D257=År1,'Resultater - Vestdanmark'!H$3:H$504,IF(D257=År2,'Resultater - Vestdanmark'!I$3:I$504,'Resultater - Vestdanmark'!J$3:J$504)),'Resultater - Vestdanmark'!$F$3:$F$504,$A257,IF(D257=År1,'Resultater - Vestdanmark'!H$3:H$504,IF(D257=År2,'Resultater - Vestdanmark'!I$3:I$504,'Resultater - Vestdanmark'!J$3:J$504)),"&gt;0"),SUMIFS(IF(D257=År1,'Resultater - Østdanmark'!H$3:H$504,IF(D257=År2,'Resultater - Østdanmark'!I$3:I$504,'Resultater - Østdanmark'!J$3:J$504)),'Resultater - Østdanmark'!$F$3:$F$504,$A257,IF(D257=År1,'Resultater - Østdanmark'!H$3:H$504,IF(D257=År2,'Resultater - Østdanmark'!I$3:I$504,'Resultater - Østdanmark'!J$3:J$504)),"&gt;0"))</f>
        <v>0</v>
      </c>
      <c r="G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forbrug'!G$2,'Forbrug af biomasse'!$B$2:$B$425,$E257)</f>
        <v>0</v>
      </c>
      <c r="H257" s="187">
        <f>IF(E257="Vestdanmark",-IF(A257="Halm",SUMIFS(IF(D257=År1,'Resultater - Vestdanmark'!H$3:H$504,IF(D257=År2,'Resultater - Vestdanmark'!I$3:I$504,'Resultater - Vestdanmark'!J$3:J$504)),'Resultater - Vestdanmark'!$F$3:$F$504,$A257,'Resultater - Vestdanmark'!H$3:H$504,"&lt;0"),0),-IF(A257="Halm",SUMIFS(IF(D257=År1,'Resultater - Østdanmark'!H$3:H$504,IF(D257=År2,'Resultater - Østdanmark'!I$3:I$504,'Resultater - Østdanmark'!J$3:J$504)),'Resultater - Østdanmark'!$F$3:$F$504,$A257,'Resultater - Østdanmark'!H$3:H$504,"&lt;0"),0))</f>
        <v>0</v>
      </c>
      <c r="I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forbrug'!I$2,'Forbrug af biomasse'!$B$2:$B$425,$E257)</f>
        <v>0</v>
      </c>
      <c r="J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forbrug'!J$2,'Forbrug af biomasse'!$B$2:$B$425,$E257)</f>
        <v>0</v>
      </c>
      <c r="K257" s="190">
        <f>SUMIFS('Forbrug af biomasse'!$E$2:$E$425,'Forbrug af biomasse'!$C$2:$C$425,'Resultat-Produktion &amp; forbrug'!$A257,'Forbrug af biomasse'!$D$2:$D$425,'Resultat-Produktion &amp; forbrug'!$D257,'Forbrug af biomasse'!$A$2:$A$425,'Resultat-Produktion &amp; forbrug'!K$2,'Forbrug af biomasse'!$B$2:$B$425,$E257)</f>
        <v>0</v>
      </c>
      <c r="L257" s="190">
        <f>IF(A257&lt;&gt;"Biogas",SUMIFS('Forbrug af biomasse'!$E$2:$E$425,'Forbrug af biomasse'!$C$2:$C$425,'Resultat-Produktion &amp; forbrug'!$A257,'Forbrug af biomasse'!$D$2:$D$425,'Resultat-Produktion &amp; forbrug'!$D257,'Forbrug af biomasse'!$A$2:$A$425,'Resultat-Produktion &amp; forbrug'!L$2,'Forbrug af biomasse'!$B$2:$B$425,$E257),F257)</f>
        <v>0</v>
      </c>
      <c r="M257" s="154">
        <f>SUMIFS('Forbrug af biomasse'!E:E,'Forbrug af biomasse'!C:C,'Resultat-Produktion &amp; forbrug'!$A257,'Forbrug af biomasse'!D:D,'Resultat-Produktion &amp; forbrug'!$D257,'Forbrug af biomasse'!G:G,1,'Forbrug af biomasse'!B:B,$E257)</f>
        <v>0</v>
      </c>
      <c r="N257" s="199">
        <f t="shared" si="62"/>
        <v>0</v>
      </c>
      <c r="O257" s="190">
        <f t="shared" si="59"/>
        <v>0</v>
      </c>
      <c r="P257" s="200">
        <f t="shared" si="63"/>
        <v>0</v>
      </c>
      <c r="Q257" s="187">
        <f>IFERROR(VLOOKUP(A257,[1]Energiindhold!$A$2:$C$11,3,FALSE),IFERROR(VLOOKUP(A257,[1]Biogasudbytte!$A$2:$B$18,2,FALSE)*[1]Energiindhold!$C$10,0))*O257</f>
        <v>0</v>
      </c>
      <c r="R257" s="187">
        <f>IF(A257&lt;&gt;"Biogas",IFERROR(VLOOKUP(A257,[1]Biogasudbytte!$A$2:$B$18,2,FALSE)*[1]Energiindhold!$C$10,0)*J257*IFERROR(VLOOKUP(A257,Biogasanlæg!$F$3:$G$8,2,FALSE),1)+IFERROR(VLOOKUP(A257,[1]Energiindhold!$A$2:$C$11,3,FALSE),0)*L257+IF(D257&lt;&gt;År1,Q257,0),0)</f>
        <v>0</v>
      </c>
      <c r="S257" s="187">
        <f>IFERROR(VLOOKUP(A257,[1]Biogasudbytte!$A$2:$B$18,2,FALSE)*[1]Energiindhold!$C$10,0)*J257*IFERROR(VLOOKUP(A257,Biogasanlæg!$F$3:$G$8,2,FALSE),1)</f>
        <v>0</v>
      </c>
      <c r="T257" s="188">
        <f t="shared" si="64"/>
        <v>0</v>
      </c>
      <c r="U257" s="186">
        <f>O257*IFERROR(VLOOKUP(A257,[1]Tørstofindhold!A$2:B$24,2,FALSE),0)</f>
        <v>0</v>
      </c>
      <c r="V257" s="187">
        <f>IF(D257=År1,P257,SUM(O257,P257))*IFERROR(VLOOKUP(A257,[1]Tørstofindhold!A$2:B$24,2,FALSE),0)</f>
        <v>0</v>
      </c>
      <c r="W257" s="187">
        <f>J257*IFERROR(VLOOKUP(A257,[1]Tørstofindhold!A$2:B$24,2,FALSE),0)</f>
        <v>0</v>
      </c>
      <c r="X257" s="188">
        <f t="shared" si="65"/>
        <v>0</v>
      </c>
      <c r="Y257" s="168">
        <f t="shared" si="60"/>
        <v>0</v>
      </c>
      <c r="Z257" s="103">
        <f t="shared" si="61"/>
        <v>0</v>
      </c>
    </row>
    <row r="258" spans="1:26" x14ac:dyDescent="0.25">
      <c r="A258" s="189" t="str">
        <f t="shared" si="72"/>
        <v>Grøntsager</v>
      </c>
      <c r="B258" s="189" t="str">
        <f t="shared" si="73"/>
        <v/>
      </c>
      <c r="C258" s="189">
        <f>IF(COUNTIFS('Resultater - Danmark'!$D$3:$D$504,'Resultat-Produktion &amp; forbrug'!A258,'Resultater - Danmark'!$A$3:$A$504,"Til energi")+COUNTIFS('Resultater - Danmark'!$D$3:$D$504,'Resultat-Produktion &amp; forbrug'!A258,'Resultater - Danmark'!$A$3:$A$504,"Biogasanlæg")&gt;0,1,0)</f>
        <v>0</v>
      </c>
      <c r="D258" s="189">
        <f t="shared" si="74"/>
        <v>2050</v>
      </c>
      <c r="E258" s="187" t="s">
        <v>24</v>
      </c>
      <c r="F258" s="190">
        <f>IF(E258="Vestdanmark",SUMIFS(IF(D258=År1,'Resultater - Vestdanmark'!H$3:H$504,IF(D258=År2,'Resultater - Vestdanmark'!I$3:I$504,'Resultater - Vestdanmark'!J$3:J$504)),'Resultater - Vestdanmark'!$F$3:$F$504,$A258,IF(D258=År1,'Resultater - Vestdanmark'!H$3:H$504,IF(D258=År2,'Resultater - Vestdanmark'!I$3:I$504,'Resultater - Vestdanmark'!J$3:J$504)),"&gt;0"),SUMIFS(IF(D258=År1,'Resultater - Østdanmark'!H$3:H$504,IF(D258=År2,'Resultater - Østdanmark'!I$3:I$504,'Resultater - Østdanmark'!J$3:J$504)),'Resultater - Østdanmark'!$F$3:$F$504,$A258,IF(D258=År1,'Resultater - Østdanmark'!H$3:H$504,IF(D258=År2,'Resultater - Østdanmark'!I$3:I$504,'Resultater - Østdanmark'!J$3:J$504)),"&gt;0"))</f>
        <v>103505.43836904144</v>
      </c>
      <c r="G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forbrug'!G$2,'Forbrug af biomasse'!$B$2:$B$425,$E258)</f>
        <v>0</v>
      </c>
      <c r="H258" s="187">
        <f>IF(E258="Vestdanmark",-IF(A258="Halm",SUMIFS(IF(D258=År1,'Resultater - Vestdanmark'!H$3:H$504,IF(D258=År2,'Resultater - Vestdanmark'!I$3:I$504,'Resultater - Vestdanmark'!J$3:J$504)),'Resultater - Vestdanmark'!$F$3:$F$504,$A258,'Resultater - Vestdanmark'!H$3:H$504,"&lt;0"),0),-IF(A258="Halm",SUMIFS(IF(D258=År1,'Resultater - Østdanmark'!H$3:H$504,IF(D258=År2,'Resultater - Østdanmark'!I$3:I$504,'Resultater - Østdanmark'!J$3:J$504)),'Resultater - Østdanmark'!$F$3:$F$504,$A258,'Resultater - Østdanmark'!H$3:H$504,"&lt;0"),0))</f>
        <v>0</v>
      </c>
      <c r="I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forbrug'!I$2,'Forbrug af biomasse'!$B$2:$B$425,$E258)</f>
        <v>244869.51675001203</v>
      </c>
      <c r="J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forbrug'!J$2,'Forbrug af biomasse'!$B$2:$B$425,$E258)</f>
        <v>0</v>
      </c>
      <c r="K258" s="190">
        <f>SUMIFS('Forbrug af biomasse'!$E$2:$E$425,'Forbrug af biomasse'!$C$2:$C$425,'Resultat-Produktion &amp; forbrug'!$A258,'Forbrug af biomasse'!$D$2:$D$425,'Resultat-Produktion &amp; forbrug'!$D258,'Forbrug af biomasse'!$A$2:$A$425,'Resultat-Produktion &amp; forbrug'!K$2,'Forbrug af biomasse'!$B$2:$B$425,$E258)</f>
        <v>0</v>
      </c>
      <c r="L258" s="190">
        <f>IF(A258&lt;&gt;"Biogas",SUMIFS('Forbrug af biomasse'!$E$2:$E$425,'Forbrug af biomasse'!$C$2:$C$425,'Resultat-Produktion &amp; forbrug'!$A258,'Forbrug af biomasse'!$D$2:$D$425,'Resultat-Produktion &amp; forbrug'!$D258,'Forbrug af biomasse'!$A$2:$A$425,'Resultat-Produktion &amp; forbrug'!L$2,'Forbrug af biomasse'!$B$2:$B$425,$E258),F258)</f>
        <v>0</v>
      </c>
      <c r="M258" s="154">
        <f>SUMIFS('Forbrug af biomasse'!E:E,'Forbrug af biomasse'!C:C,'Resultat-Produktion &amp; forbrug'!$A258,'Forbrug af biomasse'!D:D,'Resultat-Produktion &amp; forbrug'!$D258,'Forbrug af biomasse'!G:G,1,'Forbrug af biomasse'!B:B,$E258)</f>
        <v>0</v>
      </c>
      <c r="N258" s="199">
        <f t="shared" si="62"/>
        <v>-141364.07838097058</v>
      </c>
      <c r="O258" s="190">
        <f t="shared" si="59"/>
        <v>0</v>
      </c>
      <c r="P258" s="200">
        <f t="shared" si="63"/>
        <v>0</v>
      </c>
      <c r="Q258" s="187">
        <f>IFERROR(VLOOKUP(A258,[1]Energiindhold!$A$2:$C$11,3,FALSE),IFERROR(VLOOKUP(A258,[1]Biogasudbytte!$A$2:$B$18,2,FALSE)*[1]Energiindhold!$C$10,0))*O258</f>
        <v>0</v>
      </c>
      <c r="R258" s="187">
        <f>IF(A258&lt;&gt;"Biogas",IFERROR(VLOOKUP(A258,[1]Biogasudbytte!$A$2:$B$18,2,FALSE)*[1]Energiindhold!$C$10,0)*J258*IFERROR(VLOOKUP(A258,Biogasanlæg!$F$3:$G$8,2,FALSE),1)+IFERROR(VLOOKUP(A258,[1]Energiindhold!$A$2:$C$11,3,FALSE),0)*L258+IF(D258&lt;&gt;År1,Q258,0),0)</f>
        <v>0</v>
      </c>
      <c r="S258" s="187">
        <f>IFERROR(VLOOKUP(A258,[1]Biogasudbytte!$A$2:$B$18,2,FALSE)*[1]Energiindhold!$C$10,0)*J258*IFERROR(VLOOKUP(A258,Biogasanlæg!$F$3:$G$8,2,FALSE),1)</f>
        <v>0</v>
      </c>
      <c r="T258" s="188">
        <f t="shared" si="64"/>
        <v>0</v>
      </c>
      <c r="U258" s="186">
        <f>O258*IFERROR(VLOOKUP(A258,[1]Tørstofindhold!A$2:B$24,2,FALSE),0)</f>
        <v>0</v>
      </c>
      <c r="V258" s="187">
        <f>IF(D258=År1,P258,SUM(O258,P258))*IFERROR(VLOOKUP(A258,[1]Tørstofindhold!A$2:B$24,2,FALSE),0)</f>
        <v>0</v>
      </c>
      <c r="W258" s="187">
        <f>J258*IFERROR(VLOOKUP(A258,[1]Tørstofindhold!A$2:B$24,2,FALSE),0)</f>
        <v>0</v>
      </c>
      <c r="X258" s="188">
        <f t="shared" si="65"/>
        <v>0</v>
      </c>
      <c r="Y258" s="168">
        <f t="shared" si="60"/>
        <v>1</v>
      </c>
      <c r="Z258" s="103">
        <f t="shared" si="61"/>
        <v>0</v>
      </c>
    </row>
    <row r="259" spans="1:26" x14ac:dyDescent="0.25">
      <c r="A259" s="189" t="str">
        <f t="shared" si="72"/>
        <v>Halm</v>
      </c>
      <c r="B259" s="189" t="str">
        <f t="shared" si="73"/>
        <v>Halm og strå</v>
      </c>
      <c r="C259" s="189">
        <f>IF(COUNTIFS('Resultater - Danmark'!$D$3:$D$504,'Resultat-Produktion &amp; forbrug'!A259,'Resultater - Danmark'!$A$3:$A$504,"Til energi")+COUNTIFS('Resultater - Danmark'!$D$3:$D$504,'Resultat-Produktion &amp; forbrug'!A259,'Resultater - Danmark'!$A$3:$A$504,"Biogasanlæg")&gt;0,1,0)</f>
        <v>1</v>
      </c>
      <c r="D259" s="189">
        <f t="shared" si="74"/>
        <v>2050</v>
      </c>
      <c r="E259" s="187" t="s">
        <v>24</v>
      </c>
      <c r="F259" s="190">
        <f>IF(E259="Vestdanmark",SUMIFS(IF(D259=År1,'Resultater - Vestdanmark'!H$3:H$504,IF(D259=År2,'Resultater - Vestdanmark'!I$3:I$504,'Resultater - Vestdanmark'!J$3:J$504)),'Resultater - Vestdanmark'!$F$3:$F$504,$A259,IF(D259=År1,'Resultater - Vestdanmark'!H$3:H$504,IF(D259=År2,'Resultater - Vestdanmark'!I$3:I$504,'Resultater - Vestdanmark'!J$3:J$504)),"&gt;0"),SUMIFS(IF(D259=År1,'Resultater - Østdanmark'!H$3:H$504,IF(D259=År2,'Resultater - Østdanmark'!I$3:I$504,'Resultater - Østdanmark'!J$3:J$504)),'Resultater - Østdanmark'!$F$3:$F$504,$A259,IF(D259=År1,'Resultater - Østdanmark'!H$3:H$504,IF(D259=År2,'Resultater - Østdanmark'!I$3:I$504,'Resultater - Østdanmark'!J$3:J$504)),"&gt;0"))</f>
        <v>912256.65771204641</v>
      </c>
      <c r="G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forbrug'!G$2,'Forbrug af biomasse'!$B$2:$B$425,$E259)</f>
        <v>113867.33764129507</v>
      </c>
      <c r="H259" s="187">
        <f>IF(E259="Vestdanmark",-IF(A259="Halm",SUMIFS(IF(D259=År1,'Resultater - Vestdanmark'!H$3:H$504,IF(D259=År2,'Resultater - Vestdanmark'!I$3:I$504,'Resultater - Vestdanmark'!J$3:J$504)),'Resultater - Vestdanmark'!$F$3:$F$504,$A259,'Resultater - Vestdanmark'!H$3:H$504,"&lt;0"),0),-IF(A259="Halm",SUMIFS(IF(D259=År1,'Resultater - Østdanmark'!H$3:H$504,IF(D259=År2,'Resultater - Østdanmark'!I$3:I$504,'Resultater - Østdanmark'!J$3:J$504)),'Resultater - Østdanmark'!$F$3:$F$504,$A259,'Resultater - Østdanmark'!H$3:H$504,"&lt;0"),0))</f>
        <v>123674.90928891925</v>
      </c>
      <c r="I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forbrug'!I$2,'Forbrug af biomasse'!$B$2:$B$425,$E259)</f>
        <v>0</v>
      </c>
      <c r="J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forbrug'!J$2,'Forbrug af biomasse'!$B$2:$B$425,$E259)</f>
        <v>24142.713423880243</v>
      </c>
      <c r="K259" s="190">
        <f>SUMIFS('Forbrug af biomasse'!$E$2:$E$425,'Forbrug af biomasse'!$C$2:$C$425,'Resultat-Produktion &amp; forbrug'!$A259,'Forbrug af biomasse'!$D$2:$D$425,'Resultat-Produktion &amp; forbrug'!$D259,'Forbrug af biomasse'!$A$2:$A$425,'Resultat-Produktion &amp; forbrug'!K$2,'Forbrug af biomasse'!$B$2:$B$425,$E259)</f>
        <v>0</v>
      </c>
      <c r="L259" s="190">
        <f>IF(A259&lt;&gt;"Biogas",SUMIFS('Forbrug af biomasse'!$E$2:$E$425,'Forbrug af biomasse'!$C$2:$C$425,'Resultat-Produktion &amp; forbrug'!$A259,'Forbrug af biomasse'!$D$2:$D$425,'Resultat-Produktion &amp; forbrug'!$D259,'Forbrug af biomasse'!$A$2:$A$425,'Resultat-Produktion &amp; forbrug'!L$2,'Forbrug af biomasse'!$B$2:$B$425,$E259),F259)</f>
        <v>650571.69735795178</v>
      </c>
      <c r="M259" s="154">
        <f>SUMIFS('Forbrug af biomasse'!E:E,'Forbrug af biomasse'!C:C,'Resultat-Produktion &amp; forbrug'!$A259,'Forbrug af biomasse'!D:D,'Resultat-Produktion &amp; forbrug'!$D259,'Forbrug af biomasse'!G:G,1,'Forbrug af biomasse'!B:B,$E259)</f>
        <v>0</v>
      </c>
      <c r="N259" s="199">
        <f t="shared" si="62"/>
        <v>0</v>
      </c>
      <c r="O259" s="190">
        <f t="shared" ref="O259:O274" si="75">IF(C259=1,IF(N259+IF(SUMIFS($N$3:$N$290,$A$3:$A$290,A259,$D$3:$D$290,D259,$E$3:$E$290,"&lt;&gt;"&amp;E259)&lt;0,SUMIFS($N$3:$N$290,$A$3:$A$290,A259,$D$3:$D$290,D259,$E$3:$E$290,"&lt;&gt;"&amp;E259),0)&gt;0,N259+IF(SUMIFS($N$3:$N$290,$A$3:$A$290,A259,$D$3:$D$290,D259,$E$3:$E$290,"&lt;&gt;"&amp;E259)&lt;0,SUMIFS($N$3:$N$290,$A$3:$A$290,A259,$D$3:$D$290,D259,$E$3:$E$290,"&lt;&gt;"&amp;E259),0),0),0)</f>
        <v>0</v>
      </c>
      <c r="P259" s="200">
        <f t="shared" si="63"/>
        <v>674714.41078183206</v>
      </c>
      <c r="Q259" s="187">
        <f>IFERROR(VLOOKUP(A259,[1]Energiindhold!$A$2:$C$11,3,FALSE),IFERROR(VLOOKUP(A259,[1]Biogasudbytte!$A$2:$B$18,2,FALSE)*[1]Energiindhold!$C$10,0))*O259</f>
        <v>0</v>
      </c>
      <c r="R259" s="187">
        <f>IF(A259&lt;&gt;"Biogas",IFERROR(VLOOKUP(A259,[1]Biogasudbytte!$A$2:$B$18,2,FALSE)*[1]Energiindhold!$C$10,0)*J259*IFERROR(VLOOKUP(A259,Biogasanlæg!$F$3:$G$8,2,FALSE),1)+IFERROR(VLOOKUP(A259,[1]Energiindhold!$A$2:$C$11,3,FALSE),0)*L259+IF(D259&lt;&gt;År1,Q259,0),0)</f>
        <v>6.8633788535676397</v>
      </c>
      <c r="S259" s="187">
        <f>IFERROR(VLOOKUP(A259,[1]Biogasudbytte!$A$2:$B$18,2,FALSE)*[1]Energiindhold!$C$10,0)*J259*IFERROR(VLOOKUP(A259,Biogasanlæg!$F$3:$G$8,2,FALSE),1)</f>
        <v>0.13919577995391849</v>
      </c>
      <c r="T259" s="188">
        <f t="shared" si="64"/>
        <v>6.7241830736137214</v>
      </c>
      <c r="U259" s="186">
        <f>O259*IFERROR(VLOOKUP(A259,[1]Tørstofindhold!A$2:B$24,2,FALSE),0)</f>
        <v>0</v>
      </c>
      <c r="V259" s="187">
        <f>IF(D259=År1,P259,SUM(O259,P259))*IFERROR(VLOOKUP(A259,[1]Tørstofindhold!A$2:B$24,2,FALSE),0)</f>
        <v>573507.2491645572</v>
      </c>
      <c r="W259" s="187">
        <f>J259*IFERROR(VLOOKUP(A259,[1]Tørstofindhold!A$2:B$24,2,FALSE),0)</f>
        <v>20521.306410298206</v>
      </c>
      <c r="X259" s="188">
        <f t="shared" si="65"/>
        <v>552985.94275425898</v>
      </c>
      <c r="Y259" s="168">
        <f t="shared" ref="Y259:Y274" si="76">IF(SUMIFS($N$3:$N$290,$A$3:$A$290,A259,$D$3:$D$290,D259)&lt;0,1,0)</f>
        <v>0</v>
      </c>
      <c r="Z259" s="103">
        <f t="shared" ref="Z259:Z274" si="77">IF(SUMIFS($N$3:$N$290,$A$3:$A$290,A259,$D$3:$D$290,D259)&gt;0,1,0)</f>
        <v>0</v>
      </c>
    </row>
    <row r="260" spans="1:26" x14ac:dyDescent="0.25">
      <c r="A260" s="189" t="str">
        <f t="shared" si="72"/>
        <v>Have/parkaffald</v>
      </c>
      <c r="B260" s="189" t="str">
        <f t="shared" si="73"/>
        <v>Bionedbrydeligt affald</v>
      </c>
      <c r="C260" s="189">
        <f>IF(COUNTIFS('Resultater - Danmark'!$D$3:$D$504,'Resultat-Produktion &amp; forbrug'!A260,'Resultater - Danmark'!$A$3:$A$504,"Til energi")+COUNTIFS('Resultater - Danmark'!$D$3:$D$504,'Resultat-Produktion &amp; forbrug'!A260,'Resultater - Danmark'!$A$3:$A$504,"Biogasanlæg")&gt;0,1,0)</f>
        <v>1</v>
      </c>
      <c r="D260" s="189">
        <f t="shared" si="74"/>
        <v>2050</v>
      </c>
      <c r="E260" s="187" t="s">
        <v>24</v>
      </c>
      <c r="F260" s="190">
        <f>IF(E260="Vestdanmark",SUMIFS(IF(D260=År1,'Resultater - Vestdanmark'!H$3:H$504,IF(D260=År2,'Resultater - Vestdanmark'!I$3:I$504,'Resultater - Vestdanmark'!J$3:J$504)),'Resultater - Vestdanmark'!$F$3:$F$504,$A260,IF(D260=År1,'Resultater - Vestdanmark'!H$3:H$504,IF(D260=År2,'Resultater - Vestdanmark'!I$3:I$504,'Resultater - Vestdanmark'!J$3:J$504)),"&gt;0"),SUMIFS(IF(D260=År1,'Resultater - Østdanmark'!H$3:H$504,IF(D260=År2,'Resultater - Østdanmark'!I$3:I$504,'Resultater - Østdanmark'!J$3:J$504)),'Resultater - Østdanmark'!$F$3:$F$504,$A260,IF(D260=År1,'Resultater - Østdanmark'!H$3:H$504,IF(D260=År2,'Resultater - Østdanmark'!I$3:I$504,'Resultater - Østdanmark'!J$3:J$504)),"&gt;0"))</f>
        <v>457927.02496060182</v>
      </c>
      <c r="G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forbrug'!G$2,'Forbrug af biomasse'!$B$2:$B$425,$E260)</f>
        <v>0</v>
      </c>
      <c r="H260" s="187">
        <f>IF(E260="Vestdanmark",-IF(A260="Halm",SUMIFS(IF(D260=År1,'Resultater - Vestdanmark'!H$3:H$504,IF(D260=År2,'Resultater - Vestdanmark'!I$3:I$504,'Resultater - Vestdanmark'!J$3:J$504)),'Resultater - Vestdanmark'!$F$3:$F$504,$A260,'Resultater - Vestdanmark'!H$3:H$504,"&lt;0"),0),-IF(A260="Halm",SUMIFS(IF(D260=År1,'Resultater - Østdanmark'!H$3:H$504,IF(D260=År2,'Resultater - Østdanmark'!I$3:I$504,'Resultater - Østdanmark'!J$3:J$504)),'Resultater - Østdanmark'!$F$3:$F$504,$A260,'Resultater - Østdanmark'!H$3:H$504,"&lt;0"),0))</f>
        <v>0</v>
      </c>
      <c r="I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forbrug'!I$2,'Forbrug af biomasse'!$B$2:$B$425,$E260)</f>
        <v>0</v>
      </c>
      <c r="J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forbrug'!J$2,'Forbrug af biomasse'!$B$2:$B$425,$E260)</f>
        <v>36.343081867307831</v>
      </c>
      <c r="K260" s="190">
        <f>SUMIFS('Forbrug af biomasse'!$E$2:$E$425,'Forbrug af biomasse'!$C$2:$C$425,'Resultat-Produktion &amp; forbrug'!$A260,'Forbrug af biomasse'!$D$2:$D$425,'Resultat-Produktion &amp; forbrug'!$D260,'Forbrug af biomasse'!$A$2:$A$425,'Resultat-Produktion &amp; forbrug'!K$2,'Forbrug af biomasse'!$B$2:$B$425,$E260)</f>
        <v>0</v>
      </c>
      <c r="L260" s="190">
        <f>IF(A260&lt;&gt;"Biogas",SUMIFS('Forbrug af biomasse'!$E$2:$E$425,'Forbrug af biomasse'!$C$2:$C$425,'Resultat-Produktion &amp; forbrug'!$A260,'Forbrug af biomasse'!$D$2:$D$425,'Resultat-Produktion &amp; forbrug'!$D260,'Forbrug af biomasse'!$A$2:$A$425,'Resultat-Produktion &amp; forbrug'!L$2,'Forbrug af biomasse'!$B$2:$B$425,$E260),F260)</f>
        <v>457890.6818787345</v>
      </c>
      <c r="M260" s="154">
        <f>SUMIFS('Forbrug af biomasse'!E:E,'Forbrug af biomasse'!C:C,'Resultat-Produktion &amp; forbrug'!$A260,'Forbrug af biomasse'!D:D,'Resultat-Produktion &amp; forbrug'!$D260,'Forbrug af biomasse'!G:G,1,'Forbrug af biomasse'!B:B,$E260)</f>
        <v>0</v>
      </c>
      <c r="N260" s="199">
        <f t="shared" si="62"/>
        <v>0</v>
      </c>
      <c r="O260" s="190">
        <f t="shared" si="75"/>
        <v>0</v>
      </c>
      <c r="P260" s="200">
        <f t="shared" si="63"/>
        <v>457927.02496060182</v>
      </c>
      <c r="Q260" s="187">
        <f>IFERROR(VLOOKUP(A260,[1]Energiindhold!$A$2:$C$11,3,FALSE),IFERROR(VLOOKUP(A260,[1]Biogasudbytte!$A$2:$B$18,2,FALSE)*[1]Energiindhold!$C$10,0))*O260</f>
        <v>0</v>
      </c>
      <c r="R260" s="187">
        <f>IF(A260&lt;&gt;"Biogas",IFERROR(VLOOKUP(A260,[1]Biogasudbytte!$A$2:$B$18,2,FALSE)*[1]Energiindhold!$C$10,0)*J260*IFERROR(VLOOKUP(A260,Biogasanlæg!$F$3:$G$8,2,FALSE),1)+IFERROR(VLOOKUP(A260,[1]Energiindhold!$A$2:$C$11,3,FALSE),0)*L260+IF(D260&lt;&gt;År1,Q260,0),0)</f>
        <v>8.1744271403578974</v>
      </c>
      <c r="S260" s="187">
        <f>IFERROR(VLOOKUP(A260,[1]Biogasudbytte!$A$2:$B$18,2,FALSE)*[1]Energiindhold!$C$10,0)*J260*IFERROR(VLOOKUP(A260,Biogasanlæg!$F$3:$G$8,2,FALSE),1)</f>
        <v>6.1713097026419407E-5</v>
      </c>
      <c r="T260" s="188">
        <f t="shared" si="64"/>
        <v>8.1743654272608701</v>
      </c>
      <c r="U260" s="186">
        <f>O260*IFERROR(VLOOKUP(A260,[1]Tørstofindhold!A$2:B$24,2,FALSE),0)</f>
        <v>0</v>
      </c>
      <c r="V260" s="187">
        <f>IF(D260=År1,P260,SUM(O260,P260))*IFERROR(VLOOKUP(A260,[1]Tørstofindhold!A$2:B$24,2,FALSE),0)</f>
        <v>137378.10748818054</v>
      </c>
      <c r="W260" s="187">
        <f>J260*IFERROR(VLOOKUP(A260,[1]Tørstofindhold!A$2:B$24,2,FALSE),0)</f>
        <v>10.902924560192348</v>
      </c>
      <c r="X260" s="188">
        <f t="shared" si="65"/>
        <v>137367.20456362035</v>
      </c>
      <c r="Y260" s="168">
        <f t="shared" si="76"/>
        <v>0</v>
      </c>
      <c r="Z260" s="103">
        <f t="shared" si="77"/>
        <v>0</v>
      </c>
    </row>
    <row r="261" spans="1:26" x14ac:dyDescent="0.25">
      <c r="A261" s="189" t="str">
        <f t="shared" si="72"/>
        <v>Import af foder</v>
      </c>
      <c r="B261" s="189" t="str">
        <f t="shared" si="73"/>
        <v/>
      </c>
      <c r="C261" s="189">
        <f>IF(COUNTIFS('Resultater - Danmark'!$D$3:$D$504,'Resultat-Produktion &amp; forbrug'!A261,'Resultater - Danmark'!$A$3:$A$504,"Til energi")+COUNTIFS('Resultater - Danmark'!$D$3:$D$504,'Resultat-Produktion &amp; forbrug'!A261,'Resultater - Danmark'!$A$3:$A$504,"Biogasanlæg")&gt;0,1,0)</f>
        <v>0</v>
      </c>
      <c r="D261" s="189">
        <f t="shared" si="74"/>
        <v>2050</v>
      </c>
      <c r="E261" s="187" t="s">
        <v>24</v>
      </c>
      <c r="F261" s="190">
        <f>IF(E261="Vestdanmark",SUMIFS(IF(D261=År1,'Resultater - Vestdanmark'!H$3:H$504,IF(D261=År2,'Resultater - Vestdanmark'!I$3:I$504,'Resultater - Vestdanmark'!J$3:J$504)),'Resultater - Vestdanmark'!$F$3:$F$504,$A261,IF(D261=År1,'Resultater - Vestdanmark'!H$3:H$504,IF(D261=År2,'Resultater - Vestdanmark'!I$3:I$504,'Resultater - Vestdanmark'!J$3:J$504)),"&gt;0"),SUMIFS(IF(D261=År1,'Resultater - Østdanmark'!H$3:H$504,IF(D261=År2,'Resultater - Østdanmark'!I$3:I$504,'Resultater - Østdanmark'!J$3:J$504)),'Resultater - Østdanmark'!$F$3:$F$504,$A261,IF(D261=År1,'Resultater - Østdanmark'!H$3:H$504,IF(D261=År2,'Resultater - Østdanmark'!I$3:I$504,'Resultater - Østdanmark'!J$3:J$504)),"&gt;0"))</f>
        <v>0</v>
      </c>
      <c r="G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forbrug'!G$2,'Forbrug af biomasse'!$B$2:$B$425,$E261)</f>
        <v>711176.0717109855</v>
      </c>
      <c r="H261" s="187">
        <f>IF(E261="Vestdanmark",-IF(A261="Halm",SUMIFS(IF(D261=År1,'Resultater - Vestdanmark'!H$3:H$504,IF(D261=År2,'Resultater - Vestdanmark'!I$3:I$504,'Resultater - Vestdanmark'!J$3:J$504)),'Resultater - Vestdanmark'!$F$3:$F$504,$A261,'Resultater - Vestdanmark'!H$3:H$504,"&lt;0"),0),-IF(A261="Halm",SUMIFS(IF(D261=År1,'Resultater - Østdanmark'!H$3:H$504,IF(D261=År2,'Resultater - Østdanmark'!I$3:I$504,'Resultater - Østdanmark'!J$3:J$504)),'Resultater - Østdanmark'!$F$3:$F$504,$A261,'Resultater - Østdanmark'!H$3:H$504,"&lt;0"),0))</f>
        <v>0</v>
      </c>
      <c r="I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forbrug'!I$2,'Forbrug af biomasse'!$B$2:$B$425,$E261)</f>
        <v>0</v>
      </c>
      <c r="J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forbrug'!J$2,'Forbrug af biomasse'!$B$2:$B$425,$E261)</f>
        <v>0</v>
      </c>
      <c r="K261" s="190">
        <f>SUMIFS('Forbrug af biomasse'!$E$2:$E$425,'Forbrug af biomasse'!$C$2:$C$425,'Resultat-Produktion &amp; forbrug'!$A261,'Forbrug af biomasse'!$D$2:$D$425,'Resultat-Produktion &amp; forbrug'!$D261,'Forbrug af biomasse'!$A$2:$A$425,'Resultat-Produktion &amp; forbrug'!K$2,'Forbrug af biomasse'!$B$2:$B$425,$E261)</f>
        <v>0</v>
      </c>
      <c r="L261" s="190">
        <f>IF(A261&lt;&gt;"Biogas",SUMIFS('Forbrug af biomasse'!$E$2:$E$425,'Forbrug af biomasse'!$C$2:$C$425,'Resultat-Produktion &amp; forbrug'!$A261,'Forbrug af biomasse'!$D$2:$D$425,'Resultat-Produktion &amp; forbrug'!$D261,'Forbrug af biomasse'!$A$2:$A$425,'Resultat-Produktion &amp; forbrug'!L$2,'Forbrug af biomasse'!$B$2:$B$425,$E261),F261)</f>
        <v>0</v>
      </c>
      <c r="M261" s="154">
        <f>SUMIFS('Forbrug af biomasse'!E:E,'Forbrug af biomasse'!C:C,'Resultat-Produktion &amp; forbrug'!$A261,'Forbrug af biomasse'!D:D,'Resultat-Produktion &amp; forbrug'!$D261,'Forbrug af biomasse'!G:G,1,'Forbrug af biomasse'!B:B,$E261)</f>
        <v>0</v>
      </c>
      <c r="N261" s="199">
        <f t="shared" si="62"/>
        <v>-711176.0717109855</v>
      </c>
      <c r="O261" s="190">
        <f t="shared" si="75"/>
        <v>0</v>
      </c>
      <c r="P261" s="200">
        <f t="shared" si="63"/>
        <v>0</v>
      </c>
      <c r="Q261" s="187">
        <f>IFERROR(VLOOKUP(A261,[1]Energiindhold!$A$2:$C$11,3,FALSE),IFERROR(VLOOKUP(A261,[1]Biogasudbytte!$A$2:$B$18,2,FALSE)*[1]Energiindhold!$C$10,0))*O261</f>
        <v>0</v>
      </c>
      <c r="R261" s="187">
        <f>IF(A261&lt;&gt;"Biogas",IFERROR(VLOOKUP(A261,[1]Biogasudbytte!$A$2:$B$18,2,FALSE)*[1]Energiindhold!$C$10,0)*J261*IFERROR(VLOOKUP(A261,Biogasanlæg!$F$3:$G$8,2,FALSE),1)+IFERROR(VLOOKUP(A261,[1]Energiindhold!$A$2:$C$11,3,FALSE),0)*L261+IF(D261&lt;&gt;År1,Q261,0),0)</f>
        <v>0</v>
      </c>
      <c r="S261" s="187">
        <f>IFERROR(VLOOKUP(A261,[1]Biogasudbytte!$A$2:$B$18,2,FALSE)*[1]Energiindhold!$C$10,0)*J261*IFERROR(VLOOKUP(A261,Biogasanlæg!$F$3:$G$8,2,FALSE),1)</f>
        <v>0</v>
      </c>
      <c r="T261" s="188">
        <f t="shared" si="64"/>
        <v>0</v>
      </c>
      <c r="U261" s="186">
        <f>O261*IFERROR(VLOOKUP(A261,[1]Tørstofindhold!A$2:B$24,2,FALSE),0)</f>
        <v>0</v>
      </c>
      <c r="V261" s="187">
        <f>IF(D261=År1,P261,SUM(O261,P261))*IFERROR(VLOOKUP(A261,[1]Tørstofindhold!A$2:B$24,2,FALSE),0)</f>
        <v>0</v>
      </c>
      <c r="W261" s="187">
        <f>J261*IFERROR(VLOOKUP(A261,[1]Tørstofindhold!A$2:B$24,2,FALSE),0)</f>
        <v>0</v>
      </c>
      <c r="X261" s="188">
        <f t="shared" si="65"/>
        <v>0</v>
      </c>
      <c r="Y261" s="168">
        <f t="shared" si="76"/>
        <v>1</v>
      </c>
      <c r="Z261" s="103">
        <f t="shared" si="77"/>
        <v>0</v>
      </c>
    </row>
    <row r="262" spans="1:26" x14ac:dyDescent="0.25">
      <c r="A262" s="189" t="str">
        <f t="shared" si="72"/>
        <v>Industriaffald</v>
      </c>
      <c r="B262" s="189" t="str">
        <f t="shared" si="73"/>
        <v>Bionedbrydeligt affald</v>
      </c>
      <c r="C262" s="189">
        <f>IF(COUNTIFS('Resultater - Danmark'!$D$3:$D$504,'Resultat-Produktion &amp; forbrug'!A262,'Resultater - Danmark'!$A$3:$A$504,"Til energi")+COUNTIFS('Resultater - Danmark'!$D$3:$D$504,'Resultat-Produktion &amp; forbrug'!A262,'Resultater - Danmark'!$A$3:$A$504,"Biogasanlæg")&gt;0,1,0)</f>
        <v>1</v>
      </c>
      <c r="D262" s="189">
        <f t="shared" si="74"/>
        <v>2050</v>
      </c>
      <c r="E262" s="187" t="s">
        <v>24</v>
      </c>
      <c r="F262" s="190">
        <f>IF(E262="Vestdanmark",SUMIFS(IF(D262=År1,'Resultater - Vestdanmark'!H$3:H$504,IF(D262=År2,'Resultater - Vestdanmark'!I$3:I$504,'Resultater - Vestdanmark'!J$3:J$504)),'Resultater - Vestdanmark'!$F$3:$F$504,$A262,IF(D262=År1,'Resultater - Vestdanmark'!H$3:H$504,IF(D262=År2,'Resultater - Vestdanmark'!I$3:I$504,'Resultater - Vestdanmark'!J$3:J$504)),"&gt;0"),SUMIFS(IF(D262=År1,'Resultater - Østdanmark'!H$3:H$504,IF(D262=År2,'Resultater - Østdanmark'!I$3:I$504,'Resultater - Østdanmark'!J$3:J$504)),'Resultater - Østdanmark'!$F$3:$F$504,$A262,IF(D262=År1,'Resultater - Østdanmark'!H$3:H$504,IF(D262=År2,'Resultater - Østdanmark'!I$3:I$504,'Resultater - Østdanmark'!J$3:J$504)),"&gt;0"))</f>
        <v>210918.57690717495</v>
      </c>
      <c r="G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forbrug'!G$2,'Forbrug af biomasse'!$B$2:$B$425,$E262)</f>
        <v>0</v>
      </c>
      <c r="H262" s="187">
        <f>IF(E262="Vestdanmark",-IF(A262="Halm",SUMIFS(IF(D262=År1,'Resultater - Vestdanmark'!H$3:H$504,IF(D262=År2,'Resultater - Vestdanmark'!I$3:I$504,'Resultater - Vestdanmark'!J$3:J$504)),'Resultater - Vestdanmark'!$F$3:$F$504,$A262,'Resultater - Vestdanmark'!H$3:H$504,"&lt;0"),0),-IF(A262="Halm",SUMIFS(IF(D262=År1,'Resultater - Østdanmark'!H$3:H$504,IF(D262=År2,'Resultater - Østdanmark'!I$3:I$504,'Resultater - Østdanmark'!J$3:J$504)),'Resultater - Østdanmark'!$F$3:$F$504,$A262,'Resultater - Østdanmark'!H$3:H$504,"&lt;0"),0))</f>
        <v>0</v>
      </c>
      <c r="I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forbrug'!I$2,'Forbrug af biomasse'!$B$2:$B$425,$E262)</f>
        <v>0</v>
      </c>
      <c r="J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forbrug'!J$2,'Forbrug af biomasse'!$B$2:$B$425,$E262)</f>
        <v>191431.38976525888</v>
      </c>
      <c r="K262" s="190">
        <f>SUMIFS('Forbrug af biomasse'!$E$2:$E$425,'Forbrug af biomasse'!$C$2:$C$425,'Resultat-Produktion &amp; forbrug'!$A262,'Forbrug af biomasse'!$D$2:$D$425,'Resultat-Produktion &amp; forbrug'!$D262,'Forbrug af biomasse'!$A$2:$A$425,'Resultat-Produktion &amp; forbrug'!K$2,'Forbrug af biomasse'!$B$2:$B$425,$E262)</f>
        <v>0</v>
      </c>
      <c r="L262" s="190">
        <f>IF(A262&lt;&gt;"Biogas",SUMIFS('Forbrug af biomasse'!$E$2:$E$425,'Forbrug af biomasse'!$C$2:$C$425,'Resultat-Produktion &amp; forbrug'!$A262,'Forbrug af biomasse'!$D$2:$D$425,'Resultat-Produktion &amp; forbrug'!$D262,'Forbrug af biomasse'!$A$2:$A$425,'Resultat-Produktion &amp; forbrug'!L$2,'Forbrug af biomasse'!$B$2:$B$425,$E262),F262)</f>
        <v>0</v>
      </c>
      <c r="M262" s="154">
        <f>SUMIFS('Forbrug af biomasse'!E:E,'Forbrug af biomasse'!C:C,'Resultat-Produktion &amp; forbrug'!$A262,'Forbrug af biomasse'!D:D,'Resultat-Produktion &amp; forbrug'!$D262,'Forbrug af biomasse'!G:G,1,'Forbrug af biomasse'!B:B,$E262)</f>
        <v>0</v>
      </c>
      <c r="N262" s="199">
        <f t="shared" si="62"/>
        <v>19487.187141916074</v>
      </c>
      <c r="O262" s="190">
        <f t="shared" si="75"/>
        <v>19487.187141916074</v>
      </c>
      <c r="P262" s="200">
        <f t="shared" si="63"/>
        <v>191431.38976525888</v>
      </c>
      <c r="Q262" s="187">
        <f>IFERROR(VLOOKUP(A262,[1]Energiindhold!$A$2:$C$11,3,FALSE),IFERROR(VLOOKUP(A262,[1]Biogasudbytte!$A$2:$B$18,2,FALSE)*[1]Energiindhold!$C$10,0))*O262</f>
        <v>8.4440515220250811E-2</v>
      </c>
      <c r="R262" s="187">
        <f>IF(A262&lt;&gt;"Biogas",IFERROR(VLOOKUP(A262,[1]Biogasudbytte!$A$2:$B$18,2,FALSE)*[1]Energiindhold!$C$10,0)*J262*IFERROR(VLOOKUP(A262,Biogasanlæg!$F$3:$G$8,2,FALSE),1)+IFERROR(VLOOKUP(A262,[1]Energiindhold!$A$2:$C$11,3,FALSE),0)*L262+IF(D262&lt;&gt;År1,Q262,0),0)</f>
        <v>0.78951304846375669</v>
      </c>
      <c r="S262" s="187">
        <f>IFERROR(VLOOKUP(A262,[1]Biogasudbytte!$A$2:$B$18,2,FALSE)*[1]Energiindhold!$C$10,0)*J262*IFERROR(VLOOKUP(A262,Biogasanlæg!$F$3:$G$8,2,FALSE),1)</f>
        <v>0.70507253324350583</v>
      </c>
      <c r="T262" s="188">
        <f t="shared" si="64"/>
        <v>8.4440515220250867E-2</v>
      </c>
      <c r="U262" s="186">
        <f>O262*IFERROR(VLOOKUP(A262,[1]Tørstofindhold!A$2:B$24,2,FALSE),0)</f>
        <v>8184.6185996047507</v>
      </c>
      <c r="V262" s="187">
        <f>IF(D262=År1,P262,SUM(O262,P262))*IFERROR(VLOOKUP(A262,[1]Tørstofindhold!A$2:B$24,2,FALSE),0)</f>
        <v>88585.802301013478</v>
      </c>
      <c r="W262" s="187">
        <f>J262*IFERROR(VLOOKUP(A262,[1]Tørstofindhold!A$2:B$24,2,FALSE),0)</f>
        <v>80401.183701408721</v>
      </c>
      <c r="X262" s="188">
        <f t="shared" si="65"/>
        <v>8184.618599604757</v>
      </c>
      <c r="Y262" s="168">
        <f t="shared" si="76"/>
        <v>0</v>
      </c>
      <c r="Z262" s="103">
        <f t="shared" si="77"/>
        <v>1</v>
      </c>
    </row>
    <row r="263" spans="1:26" x14ac:dyDescent="0.25">
      <c r="A263" s="189" t="str">
        <f t="shared" si="72"/>
        <v>Juletræer</v>
      </c>
      <c r="B263" s="189" t="str">
        <f t="shared" si="73"/>
        <v/>
      </c>
      <c r="C263" s="189">
        <f>IF(COUNTIFS('Resultater - Danmark'!$D$3:$D$504,'Resultat-Produktion &amp; forbrug'!A263,'Resultater - Danmark'!$A$3:$A$504,"Til energi")+COUNTIFS('Resultater - Danmark'!$D$3:$D$504,'Resultat-Produktion &amp; forbrug'!A263,'Resultater - Danmark'!$A$3:$A$504,"Biogasanlæg")&gt;0,1,0)</f>
        <v>0</v>
      </c>
      <c r="D263" s="189">
        <f t="shared" si="74"/>
        <v>2050</v>
      </c>
      <c r="E263" s="187" t="s">
        <v>24</v>
      </c>
      <c r="F263" s="190">
        <f>IF(E263="Vestdanmark",SUMIFS(IF(D263=År1,'Resultater - Vestdanmark'!H$3:H$504,IF(D263=År2,'Resultater - Vestdanmark'!I$3:I$504,'Resultater - Vestdanmark'!J$3:J$504)),'Resultater - Vestdanmark'!$F$3:$F$504,$A263,IF(D263=År1,'Resultater - Vestdanmark'!H$3:H$504,IF(D263=År2,'Resultater - Vestdanmark'!I$3:I$504,'Resultater - Vestdanmark'!J$3:J$504)),"&gt;0"),SUMIFS(IF(D263=År1,'Resultater - Østdanmark'!H$3:H$504,IF(D263=År2,'Resultater - Østdanmark'!I$3:I$504,'Resultater - Østdanmark'!J$3:J$504)),'Resultater - Østdanmark'!$F$3:$F$504,$A263,IF(D263=År1,'Resultater - Østdanmark'!H$3:H$504,IF(D263=År2,'Resultater - Østdanmark'!I$3:I$504,'Resultater - Østdanmark'!J$3:J$504)),"&gt;0"))</f>
        <v>160170.5644002886</v>
      </c>
      <c r="G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forbrug'!G$2,'Forbrug af biomasse'!$B$2:$B$425,$E263)</f>
        <v>0</v>
      </c>
      <c r="H263" s="187">
        <f>IF(E263="Vestdanmark",-IF(A263="Halm",SUMIFS(IF(D263=År1,'Resultater - Vestdanmark'!H$3:H$504,IF(D263=År2,'Resultater - Vestdanmark'!I$3:I$504,'Resultater - Vestdanmark'!J$3:J$504)),'Resultater - Vestdanmark'!$F$3:$F$504,$A263,'Resultater - Vestdanmark'!H$3:H$504,"&lt;0"),0),-IF(A263="Halm",SUMIFS(IF(D263=År1,'Resultater - Østdanmark'!H$3:H$504,IF(D263=År2,'Resultater - Østdanmark'!I$3:I$504,'Resultater - Østdanmark'!J$3:J$504)),'Resultater - Østdanmark'!$F$3:$F$504,$A263,'Resultater - Østdanmark'!H$3:H$504,"&lt;0"),0))</f>
        <v>0</v>
      </c>
      <c r="I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forbrug'!I$2,'Forbrug af biomasse'!$B$2:$B$425,$E263)</f>
        <v>0</v>
      </c>
      <c r="J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forbrug'!J$2,'Forbrug af biomasse'!$B$2:$B$425,$E263)</f>
        <v>0</v>
      </c>
      <c r="K263" s="190">
        <f>SUMIFS('Forbrug af biomasse'!$E$2:$E$425,'Forbrug af biomasse'!$C$2:$C$425,'Resultat-Produktion &amp; forbrug'!$A263,'Forbrug af biomasse'!$D$2:$D$425,'Resultat-Produktion &amp; forbrug'!$D263,'Forbrug af biomasse'!$A$2:$A$425,'Resultat-Produktion &amp; forbrug'!K$2,'Forbrug af biomasse'!$B$2:$B$425,$E263)</f>
        <v>0</v>
      </c>
      <c r="L263" s="190">
        <f>IF(A263&lt;&gt;"Biogas",SUMIFS('Forbrug af biomasse'!$E$2:$E$425,'Forbrug af biomasse'!$C$2:$C$425,'Resultat-Produktion &amp; forbrug'!$A263,'Forbrug af biomasse'!$D$2:$D$425,'Resultat-Produktion &amp; forbrug'!$D263,'Forbrug af biomasse'!$A$2:$A$425,'Resultat-Produktion &amp; forbrug'!L$2,'Forbrug af biomasse'!$B$2:$B$425,$E263),F263)</f>
        <v>0</v>
      </c>
      <c r="M263" s="154">
        <f>SUMIFS('Forbrug af biomasse'!E:E,'Forbrug af biomasse'!C:C,'Resultat-Produktion &amp; forbrug'!$A263,'Forbrug af biomasse'!D:D,'Resultat-Produktion &amp; forbrug'!$D263,'Forbrug af biomasse'!G:G,1,'Forbrug af biomasse'!B:B,$E263)</f>
        <v>0</v>
      </c>
      <c r="N263" s="199">
        <f t="shared" si="62"/>
        <v>160170.5644002886</v>
      </c>
      <c r="O263" s="190">
        <f t="shared" si="75"/>
        <v>0</v>
      </c>
      <c r="P263" s="200">
        <f t="shared" si="63"/>
        <v>0</v>
      </c>
      <c r="Q263" s="187">
        <f>IFERROR(VLOOKUP(A263,[1]Energiindhold!$A$2:$C$11,3,FALSE),IFERROR(VLOOKUP(A263,[1]Biogasudbytte!$A$2:$B$18,2,FALSE)*[1]Energiindhold!$C$10,0))*O263</f>
        <v>0</v>
      </c>
      <c r="R263" s="187">
        <f>IF(A263&lt;&gt;"Biogas",IFERROR(VLOOKUP(A263,[1]Biogasudbytte!$A$2:$B$18,2,FALSE)*[1]Energiindhold!$C$10,0)*J263*IFERROR(VLOOKUP(A263,Biogasanlæg!$F$3:$G$8,2,FALSE),1)+IFERROR(VLOOKUP(A263,[1]Energiindhold!$A$2:$C$11,3,FALSE),0)*L263+IF(D263&lt;&gt;År1,Q263,0),0)</f>
        <v>0</v>
      </c>
      <c r="S263" s="187">
        <f>IFERROR(VLOOKUP(A263,[1]Biogasudbytte!$A$2:$B$18,2,FALSE)*[1]Energiindhold!$C$10,0)*J263*IFERROR(VLOOKUP(A263,Biogasanlæg!$F$3:$G$8,2,FALSE),1)</f>
        <v>0</v>
      </c>
      <c r="T263" s="188">
        <f t="shared" si="64"/>
        <v>0</v>
      </c>
      <c r="U263" s="186">
        <f>O263*IFERROR(VLOOKUP(A263,[1]Tørstofindhold!A$2:B$24,2,FALSE),0)</f>
        <v>0</v>
      </c>
      <c r="V263" s="187">
        <f>IF(D263=År1,P263,SUM(O263,P263))*IFERROR(VLOOKUP(A263,[1]Tørstofindhold!A$2:B$24,2,FALSE),0)</f>
        <v>0</v>
      </c>
      <c r="W263" s="187">
        <f>J263*IFERROR(VLOOKUP(A263,[1]Tørstofindhold!A$2:B$24,2,FALSE),0)</f>
        <v>0</v>
      </c>
      <c r="X263" s="188">
        <f t="shared" si="65"/>
        <v>0</v>
      </c>
      <c r="Y263" s="168">
        <f t="shared" si="76"/>
        <v>0</v>
      </c>
      <c r="Z263" s="103">
        <f t="shared" si="77"/>
        <v>1</v>
      </c>
    </row>
    <row r="264" spans="1:26" x14ac:dyDescent="0.25">
      <c r="A264" s="189" t="str">
        <f t="shared" si="72"/>
        <v>Kartofler</v>
      </c>
      <c r="B264" s="189" t="str">
        <f t="shared" si="73"/>
        <v/>
      </c>
      <c r="C264" s="189">
        <f>IF(COUNTIFS('Resultater - Danmark'!$D$3:$D$504,'Resultat-Produktion &amp; forbrug'!A264,'Resultater - Danmark'!$A$3:$A$504,"Til energi")+COUNTIFS('Resultater - Danmark'!$D$3:$D$504,'Resultat-Produktion &amp; forbrug'!A264,'Resultater - Danmark'!$A$3:$A$504,"Biogasanlæg")&gt;0,1,0)</f>
        <v>0</v>
      </c>
      <c r="D264" s="189">
        <f t="shared" si="74"/>
        <v>2050</v>
      </c>
      <c r="E264" s="187" t="s">
        <v>24</v>
      </c>
      <c r="F264" s="190">
        <f>IF(E264="Vestdanmark",SUMIFS(IF(D264=År1,'Resultater - Vestdanmark'!H$3:H$504,IF(D264=År2,'Resultater - Vestdanmark'!I$3:I$504,'Resultater - Vestdanmark'!J$3:J$504)),'Resultater - Vestdanmark'!$F$3:$F$504,$A264,IF(D264=År1,'Resultater - Vestdanmark'!H$3:H$504,IF(D264=År2,'Resultater - Vestdanmark'!I$3:I$504,'Resultater - Vestdanmark'!J$3:J$504)),"&gt;0"),SUMIFS(IF(D264=År1,'Resultater - Østdanmark'!H$3:H$504,IF(D264=År2,'Resultater - Østdanmark'!I$3:I$504,'Resultater - Østdanmark'!J$3:J$504)),'Resultater - Østdanmark'!$F$3:$F$504,$A264,IF(D264=År1,'Resultater - Østdanmark'!H$3:H$504,IF(D264=År2,'Resultater - Østdanmark'!I$3:I$504,'Resultater - Østdanmark'!J$3:J$504)),"&gt;0"))</f>
        <v>128113.19770884549</v>
      </c>
      <c r="G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forbrug'!G$2,'Forbrug af biomasse'!$B$2:$B$425,$E264)</f>
        <v>0</v>
      </c>
      <c r="H264" s="187">
        <f>IF(E264="Vestdanmark",-IF(A264="Halm",SUMIFS(IF(D264=År1,'Resultater - Vestdanmark'!H$3:H$504,IF(D264=År2,'Resultater - Vestdanmark'!I$3:I$504,'Resultater - Vestdanmark'!J$3:J$504)),'Resultater - Vestdanmark'!$F$3:$F$504,$A264,'Resultater - Vestdanmark'!H$3:H$504,"&lt;0"),0),-IF(A264="Halm",SUMIFS(IF(D264=År1,'Resultater - Østdanmark'!H$3:H$504,IF(D264=År2,'Resultater - Østdanmark'!I$3:I$504,'Resultater - Østdanmark'!J$3:J$504)),'Resultater - Østdanmark'!$F$3:$F$504,$A264,'Resultater - Østdanmark'!H$3:H$504,"&lt;0"),0))</f>
        <v>0</v>
      </c>
      <c r="I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forbrug'!I$2,'Forbrug af biomasse'!$B$2:$B$425,$E264)</f>
        <v>111975.50765955324</v>
      </c>
      <c r="J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forbrug'!J$2,'Forbrug af biomasse'!$B$2:$B$425,$E264)</f>
        <v>0</v>
      </c>
      <c r="K264" s="190">
        <f>SUMIFS('Forbrug af biomasse'!$E$2:$E$425,'Forbrug af biomasse'!$C$2:$C$425,'Resultat-Produktion &amp; forbrug'!$A264,'Forbrug af biomasse'!$D$2:$D$425,'Resultat-Produktion &amp; forbrug'!$D264,'Forbrug af biomasse'!$A$2:$A$425,'Resultat-Produktion &amp; forbrug'!K$2,'Forbrug af biomasse'!$B$2:$B$425,$E264)</f>
        <v>0</v>
      </c>
      <c r="L264" s="190">
        <f>IF(A264&lt;&gt;"Biogas",SUMIFS('Forbrug af biomasse'!$E$2:$E$425,'Forbrug af biomasse'!$C$2:$C$425,'Resultat-Produktion &amp; forbrug'!$A264,'Forbrug af biomasse'!$D$2:$D$425,'Resultat-Produktion &amp; forbrug'!$D264,'Forbrug af biomasse'!$A$2:$A$425,'Resultat-Produktion &amp; forbrug'!L$2,'Forbrug af biomasse'!$B$2:$B$425,$E264),F264)</f>
        <v>0</v>
      </c>
      <c r="M264" s="154">
        <f>SUMIFS('Forbrug af biomasse'!E:E,'Forbrug af biomasse'!C:C,'Resultat-Produktion &amp; forbrug'!$A264,'Forbrug af biomasse'!D:D,'Resultat-Produktion &amp; forbrug'!$D264,'Forbrug af biomasse'!G:G,1,'Forbrug af biomasse'!B:B,$E264)</f>
        <v>0</v>
      </c>
      <c r="N264" s="199">
        <f t="shared" si="62"/>
        <v>16137.690049292243</v>
      </c>
      <c r="O264" s="190">
        <f t="shared" si="75"/>
        <v>0</v>
      </c>
      <c r="P264" s="200">
        <f t="shared" si="63"/>
        <v>0</v>
      </c>
      <c r="Q264" s="187">
        <f>IFERROR(VLOOKUP(A264,[1]Energiindhold!$A$2:$C$11,3,FALSE),IFERROR(VLOOKUP(A264,[1]Biogasudbytte!$A$2:$B$18,2,FALSE)*[1]Energiindhold!$C$10,0))*O264</f>
        <v>0</v>
      </c>
      <c r="R264" s="187">
        <f>IF(A264&lt;&gt;"Biogas",IFERROR(VLOOKUP(A264,[1]Biogasudbytte!$A$2:$B$18,2,FALSE)*[1]Energiindhold!$C$10,0)*J264*IFERROR(VLOOKUP(A264,Biogasanlæg!$F$3:$G$8,2,FALSE),1)+IFERROR(VLOOKUP(A264,[1]Energiindhold!$A$2:$C$11,3,FALSE),0)*L264+IF(D264&lt;&gt;År1,Q264,0),0)</f>
        <v>0</v>
      </c>
      <c r="S264" s="187">
        <f>IFERROR(VLOOKUP(A264,[1]Biogasudbytte!$A$2:$B$18,2,FALSE)*[1]Energiindhold!$C$10,0)*J264*IFERROR(VLOOKUP(A264,Biogasanlæg!$F$3:$G$8,2,FALSE),1)</f>
        <v>0</v>
      </c>
      <c r="T264" s="188">
        <f t="shared" si="64"/>
        <v>0</v>
      </c>
      <c r="U264" s="186">
        <f>O264*IFERROR(VLOOKUP(A264,[1]Tørstofindhold!A$2:B$24,2,FALSE),0)</f>
        <v>0</v>
      </c>
      <c r="V264" s="187">
        <f>IF(D264=År1,P264,SUM(O264,P264))*IFERROR(VLOOKUP(A264,[1]Tørstofindhold!A$2:B$24,2,FALSE),0)</f>
        <v>0</v>
      </c>
      <c r="W264" s="187">
        <f>J264*IFERROR(VLOOKUP(A264,[1]Tørstofindhold!A$2:B$24,2,FALSE),0)</f>
        <v>0</v>
      </c>
      <c r="X264" s="188">
        <f t="shared" si="65"/>
        <v>0</v>
      </c>
      <c r="Y264" s="168">
        <f t="shared" si="76"/>
        <v>0</v>
      </c>
      <c r="Z264" s="103">
        <f t="shared" si="77"/>
        <v>1</v>
      </c>
    </row>
    <row r="265" spans="1:26" x14ac:dyDescent="0.25">
      <c r="A265" s="189" t="str">
        <f t="shared" si="72"/>
        <v>Korn</v>
      </c>
      <c r="B265" s="189" t="str">
        <f t="shared" si="73"/>
        <v>Halm og strå</v>
      </c>
      <c r="C265" s="189">
        <f>IF(COUNTIFS('Resultater - Danmark'!$D$3:$D$504,'Resultat-Produktion &amp; forbrug'!A265,'Resultater - Danmark'!$A$3:$A$504,"Til energi")+COUNTIFS('Resultater - Danmark'!$D$3:$D$504,'Resultat-Produktion &amp; forbrug'!A265,'Resultater - Danmark'!$A$3:$A$504,"Biogasanlæg")&gt;0,1,0)</f>
        <v>1</v>
      </c>
      <c r="D265" s="189">
        <f t="shared" si="74"/>
        <v>2050</v>
      </c>
      <c r="E265" s="187" t="s">
        <v>24</v>
      </c>
      <c r="F265" s="190">
        <f>IF(E265="Vestdanmark",SUMIFS(IF(D265=År1,'Resultater - Vestdanmark'!H$3:H$504,IF(D265=År2,'Resultater - Vestdanmark'!I$3:I$504,'Resultater - Vestdanmark'!J$3:J$504)),'Resultater - Vestdanmark'!$F$3:$F$504,$A265,IF(D265=År1,'Resultater - Vestdanmark'!H$3:H$504,IF(D265=År2,'Resultater - Vestdanmark'!I$3:I$504,'Resultater - Vestdanmark'!J$3:J$504)),"&gt;0"),SUMIFS(IF(D265=År1,'Resultater - Østdanmark'!H$3:H$504,IF(D265=År2,'Resultater - Østdanmark'!I$3:I$504,'Resultater - Østdanmark'!J$3:J$504)),'Resultater - Østdanmark'!$F$3:$F$504,$A265,IF(D265=År1,'Resultater - Østdanmark'!H$3:H$504,IF(D265=År2,'Resultater - Østdanmark'!I$3:I$504,'Resultater - Østdanmark'!J$3:J$504)),"&gt;0"))</f>
        <v>2513308.7441212214</v>
      </c>
      <c r="G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forbrug'!G$2,'Forbrug af biomasse'!$B$2:$B$425,$E265)</f>
        <v>865945.92924660421</v>
      </c>
      <c r="H265" s="187">
        <f>IF(E265="Vestdanmark",-IF(A265="Halm",SUMIFS(IF(D265=År1,'Resultater - Vestdanmark'!H$3:H$504,IF(D265=År2,'Resultater - Vestdanmark'!I$3:I$504,'Resultater - Vestdanmark'!J$3:J$504)),'Resultater - Vestdanmark'!$F$3:$F$504,$A265,'Resultater - Vestdanmark'!H$3:H$504,"&lt;0"),0),-IF(A265="Halm",SUMIFS(IF(D265=År1,'Resultater - Østdanmark'!H$3:H$504,IF(D265=År2,'Resultater - Østdanmark'!I$3:I$504,'Resultater - Østdanmark'!J$3:J$504)),'Resultater - Østdanmark'!$F$3:$F$504,$A265,'Resultater - Østdanmark'!H$3:H$504,"&lt;0"),0))</f>
        <v>0</v>
      </c>
      <c r="I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forbrug'!I$2,'Forbrug af biomasse'!$B$2:$B$425,$E265)</f>
        <v>268249.01834925939</v>
      </c>
      <c r="J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forbrug'!J$2,'Forbrug af biomasse'!$B$2:$B$425,$E265)</f>
        <v>953.04759084937086</v>
      </c>
      <c r="K265" s="190">
        <f>SUMIFS('Forbrug af biomasse'!$E$2:$E$425,'Forbrug af biomasse'!$C$2:$C$425,'Resultat-Produktion &amp; forbrug'!$A265,'Forbrug af biomasse'!$D$2:$D$425,'Resultat-Produktion &amp; forbrug'!$D265,'Forbrug af biomasse'!$A$2:$A$425,'Resultat-Produktion &amp; forbrug'!K$2,'Forbrug af biomasse'!$B$2:$B$425,$E265)</f>
        <v>0</v>
      </c>
      <c r="L265" s="190">
        <f>IF(A265&lt;&gt;"Biogas",SUMIFS('Forbrug af biomasse'!$E$2:$E$425,'Forbrug af biomasse'!$C$2:$C$425,'Resultat-Produktion &amp; forbrug'!$A265,'Forbrug af biomasse'!$D$2:$D$425,'Resultat-Produktion &amp; forbrug'!$D265,'Forbrug af biomasse'!$A$2:$A$425,'Resultat-Produktion &amp; forbrug'!L$2,'Forbrug af biomasse'!$B$2:$B$425,$E265),F265)</f>
        <v>0</v>
      </c>
      <c r="M265" s="154">
        <f>SUMIFS('Forbrug af biomasse'!E:E,'Forbrug af biomasse'!C:C,'Resultat-Produktion &amp; forbrug'!$A265,'Forbrug af biomasse'!D:D,'Resultat-Produktion &amp; forbrug'!$D265,'Forbrug af biomasse'!G:G,1,'Forbrug af biomasse'!B:B,$E265)</f>
        <v>0</v>
      </c>
      <c r="N265" s="199">
        <f t="shared" si="62"/>
        <v>1378160.7489345083</v>
      </c>
      <c r="O265" s="190">
        <f t="shared" si="75"/>
        <v>1378160.7489345083</v>
      </c>
      <c r="P265" s="200">
        <f t="shared" si="63"/>
        <v>953.04759084937086</v>
      </c>
      <c r="Q265" s="187">
        <f>IFERROR(VLOOKUP(A265,[1]Energiindhold!$A$2:$C$11,3,FALSE),IFERROR(VLOOKUP(A265,[1]Biogasudbytte!$A$2:$B$18,2,FALSE)*[1]Energiindhold!$C$10,0))*O265</f>
        <v>4.7200076225958405</v>
      </c>
      <c r="R265" s="187">
        <f>IF(A265&lt;&gt;"Biogas",IFERROR(VLOOKUP(A265,[1]Biogasudbytte!$A$2:$B$18,2,FALSE)*[1]Energiindhold!$C$10,0)*J265*IFERROR(VLOOKUP(A265,Biogasanlæg!$F$3:$G$8,2,FALSE),1)+IFERROR(VLOOKUP(A265,[1]Energiindhold!$A$2:$C$11,3,FALSE),0)*L265+IF(D265&lt;&gt;År1,Q265,0),0)</f>
        <v>4.7232716771678369</v>
      </c>
      <c r="S265" s="187">
        <f>IFERROR(VLOOKUP(A265,[1]Biogasudbytte!$A$2:$B$18,2,FALSE)*[1]Energiindhold!$C$10,0)*J265*IFERROR(VLOOKUP(A265,Biogasanlæg!$F$3:$G$8,2,FALSE),1)</f>
        <v>3.2640545719963771E-3</v>
      </c>
      <c r="T265" s="188">
        <f t="shared" si="64"/>
        <v>4.7200076225958405</v>
      </c>
      <c r="U265" s="186">
        <f>O265*IFERROR(VLOOKUP(A265,[1]Tørstofindhold!A$2:B$24,2,FALSE),0)</f>
        <v>427229.83216969756</v>
      </c>
      <c r="V265" s="187">
        <f>IF(D265=År1,P265,SUM(O265,P265))*IFERROR(VLOOKUP(A265,[1]Tørstofindhold!A$2:B$24,2,FALSE),0)</f>
        <v>427525.27692286088</v>
      </c>
      <c r="W265" s="187">
        <f>J265*IFERROR(VLOOKUP(A265,[1]Tørstofindhold!A$2:B$24,2,FALSE),0)</f>
        <v>295.44475316330494</v>
      </c>
      <c r="X265" s="188">
        <f t="shared" si="65"/>
        <v>427229.83216969756</v>
      </c>
      <c r="Y265" s="168">
        <f t="shared" si="76"/>
        <v>0</v>
      </c>
      <c r="Z265" s="103">
        <f t="shared" si="77"/>
        <v>1</v>
      </c>
    </row>
    <row r="266" spans="1:26" x14ac:dyDescent="0.25">
      <c r="A266" s="189" t="str">
        <f t="shared" si="72"/>
        <v>Kunstgødning</v>
      </c>
      <c r="B266" s="189" t="str">
        <f t="shared" si="73"/>
        <v/>
      </c>
      <c r="C266" s="189">
        <f>IF(COUNTIFS('Resultater - Danmark'!$D$3:$D$504,'Resultat-Produktion &amp; forbrug'!A266,'Resultater - Danmark'!$A$3:$A$504,"Til energi")+COUNTIFS('Resultater - Danmark'!$D$3:$D$504,'Resultat-Produktion &amp; forbrug'!A266,'Resultater - Danmark'!$A$3:$A$504,"Biogasanlæg")&gt;0,1,0)</f>
        <v>0</v>
      </c>
      <c r="D266" s="189">
        <f t="shared" si="74"/>
        <v>2050</v>
      </c>
      <c r="E266" s="187" t="s">
        <v>24</v>
      </c>
      <c r="F266" s="190">
        <f>IF(E266="Vestdanmark",SUMIFS(IF(D266=År1,'Resultater - Vestdanmark'!H$3:H$504,IF(D266=År2,'Resultater - Vestdanmark'!I$3:I$504,'Resultater - Vestdanmark'!J$3:J$504)),'Resultater - Vestdanmark'!$F$3:$F$504,$A266,IF(D266=År1,'Resultater - Vestdanmark'!H$3:H$504,IF(D266=År2,'Resultater - Vestdanmark'!I$3:I$504,'Resultater - Vestdanmark'!J$3:J$504)),"&gt;0"),SUMIFS(IF(D266=År1,'Resultater - Østdanmark'!H$3:H$504,IF(D266=År2,'Resultater - Østdanmark'!I$3:I$504,'Resultater - Østdanmark'!J$3:J$504)),'Resultater - Østdanmark'!$F$3:$F$504,$A266,IF(D266=År1,'Resultater - Østdanmark'!H$3:H$504,IF(D266=År2,'Resultater - Østdanmark'!I$3:I$504,'Resultater - Østdanmark'!J$3:J$504)),"&gt;0"))</f>
        <v>0</v>
      </c>
      <c r="G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forbrug'!G$2,'Forbrug af biomasse'!$B$2:$B$425,$E266)</f>
        <v>0</v>
      </c>
      <c r="H266" s="187">
        <f>IF(E266="Vestdanmark",-IF(A266="Halm",SUMIFS(IF(D266=År1,'Resultater - Vestdanmark'!H$3:H$504,IF(D266=År2,'Resultater - Vestdanmark'!I$3:I$504,'Resultater - Vestdanmark'!J$3:J$504)),'Resultater - Vestdanmark'!$F$3:$F$504,$A266,'Resultater - Vestdanmark'!H$3:H$504,"&lt;0"),0),-IF(A266="Halm",SUMIFS(IF(D266=År1,'Resultater - Østdanmark'!H$3:H$504,IF(D266=År2,'Resultater - Østdanmark'!I$3:I$504,'Resultater - Østdanmark'!J$3:J$504)),'Resultater - Østdanmark'!$F$3:$F$504,$A266,'Resultater - Østdanmark'!H$3:H$504,"&lt;0"),0))</f>
        <v>0</v>
      </c>
      <c r="I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forbrug'!I$2,'Forbrug af biomasse'!$B$2:$B$425,$E266)</f>
        <v>0</v>
      </c>
      <c r="J266" s="190">
        <f>SUMIFS('Forbrug af biomasse'!$E$2:$E$425,'Forbrug af biomasse'!$C$2:$C$425,'Resultat-Produktion &amp; forbrug'!$A266,'Forbrug af biomasse'!$D$2:$D$425,'Resultat-Produktion &amp; forbrug'!$D266,'Forbrug af biomasse'!$A$2:$A$425,'Resultat-Produktion &amp; forbrug'!J$2,'Forbrug af biomasse'!$B$2:$B$425,$E266)</f>
        <v>0</v>
      </c>
      <c r="K266" s="190">
        <f ca="1">SUMIFS('Forbrug af biomasse'!$E$2:$E$425,'Forbrug af biomasse'!$C$2:$C$425,'Resultat-Produktion &amp; forbrug'!$A266,'Forbrug af biomasse'!$D$2:$D$425,'Resultat-Produktion &amp; forbrug'!$D266,'Forbrug af biomasse'!$A$2:$A$425,'Resultat-Produktion &amp; forbrug'!K$2,'Forbrug af biomasse'!$B$2:$B$425,$E266)</f>
        <v>327492.78950962157</v>
      </c>
      <c r="L266" s="190">
        <f>IF(A266&lt;&gt;"Biogas",SUMIFS('Forbrug af biomasse'!$E$2:$E$425,'Forbrug af biomasse'!$C$2:$C$425,'Resultat-Produktion &amp; forbrug'!$A266,'Forbrug af biomasse'!$D$2:$D$425,'Resultat-Produktion &amp; forbrug'!$D266,'Forbrug af biomasse'!$A$2:$A$425,'Resultat-Produktion &amp; forbrug'!L$2,'Forbrug af biomasse'!$B$2:$B$425,$E266),F266)</f>
        <v>0</v>
      </c>
      <c r="M266" s="154">
        <f>SUMIFS('Forbrug af biomasse'!E:E,'Forbrug af biomasse'!C:C,'Resultat-Produktion &amp; forbrug'!$A266,'Forbrug af biomasse'!D:D,'Resultat-Produktion &amp; forbrug'!$D266,'Forbrug af biomasse'!G:G,1,'Forbrug af biomasse'!B:B,$E266)</f>
        <v>0</v>
      </c>
      <c r="N266" s="199">
        <f t="shared" ca="1" si="62"/>
        <v>-327492.78950962157</v>
      </c>
      <c r="O266" s="190">
        <f t="shared" si="75"/>
        <v>0</v>
      </c>
      <c r="P266" s="200">
        <f t="shared" si="63"/>
        <v>0</v>
      </c>
      <c r="Q266" s="187">
        <f>IFERROR(VLOOKUP(A266,[1]Energiindhold!$A$2:$C$11,3,FALSE),IFERROR(VLOOKUP(A266,[1]Biogasudbytte!$A$2:$B$18,2,FALSE)*[1]Energiindhold!$C$10,0))*O266</f>
        <v>0</v>
      </c>
      <c r="R266" s="187">
        <f>IF(A266&lt;&gt;"Biogas",IFERROR(VLOOKUP(A266,[1]Biogasudbytte!$A$2:$B$18,2,FALSE)*[1]Energiindhold!$C$10,0)*J266*IFERROR(VLOOKUP(A266,Biogasanlæg!$F$3:$G$8,2,FALSE),1)+IFERROR(VLOOKUP(A266,[1]Energiindhold!$A$2:$C$11,3,FALSE),0)*L266+IF(D266&lt;&gt;År1,Q266,0),0)</f>
        <v>0</v>
      </c>
      <c r="S266" s="187">
        <f>IFERROR(VLOOKUP(A266,[1]Biogasudbytte!$A$2:$B$18,2,FALSE)*[1]Energiindhold!$C$10,0)*J266*IFERROR(VLOOKUP(A266,Biogasanlæg!$F$3:$G$8,2,FALSE),1)</f>
        <v>0</v>
      </c>
      <c r="T266" s="188">
        <f t="shared" si="64"/>
        <v>0</v>
      </c>
      <c r="U266" s="186">
        <f>O266*IFERROR(VLOOKUP(A266,[1]Tørstofindhold!A$2:B$24,2,FALSE),0)</f>
        <v>0</v>
      </c>
      <c r="V266" s="187">
        <f>IF(D266=År1,P266,SUM(O266,P266))*IFERROR(VLOOKUP(A266,[1]Tørstofindhold!A$2:B$24,2,FALSE),0)</f>
        <v>0</v>
      </c>
      <c r="W266" s="187">
        <f>J266*IFERROR(VLOOKUP(A266,[1]Tørstofindhold!A$2:B$24,2,FALSE),0)</f>
        <v>0</v>
      </c>
      <c r="X266" s="188">
        <f t="shared" si="65"/>
        <v>0</v>
      </c>
      <c r="Y266" s="168">
        <f t="shared" ca="1" si="76"/>
        <v>1</v>
      </c>
      <c r="Z266" s="103">
        <f t="shared" ca="1" si="77"/>
        <v>0</v>
      </c>
    </row>
    <row r="267" spans="1:26" x14ac:dyDescent="0.25">
      <c r="A267" s="189" t="str">
        <f t="shared" si="72"/>
        <v>Kvæggylle</v>
      </c>
      <c r="B267" s="189" t="str">
        <f t="shared" si="73"/>
        <v>Husdyrgødning</v>
      </c>
      <c r="C267" s="189">
        <f>IF(COUNTIFS('Resultater - Danmark'!$D$3:$D$504,'Resultat-Produktion &amp; forbrug'!A267,'Resultater - Danmark'!$A$3:$A$504,"Til energi")+COUNTIFS('Resultater - Danmark'!$D$3:$D$504,'Resultat-Produktion &amp; forbrug'!A267,'Resultater - Danmark'!$A$3:$A$504,"Biogasanlæg")&gt;0,1,0)</f>
        <v>1</v>
      </c>
      <c r="D267" s="189">
        <f t="shared" si="74"/>
        <v>2050</v>
      </c>
      <c r="E267" s="187" t="s">
        <v>24</v>
      </c>
      <c r="F267" s="190">
        <f>IF(E267="Vestdanmark",SUMIFS(IF(D267=År1,'Resultater - Vestdanmark'!H$3:H$504,IF(D267=År2,'Resultater - Vestdanmark'!I$3:I$504,'Resultater - Vestdanmark'!J$3:J$504)),'Resultater - Vestdanmark'!$F$3:$F$504,$A267,IF(D267=År1,'Resultater - Vestdanmark'!H$3:H$504,IF(D267=År2,'Resultater - Vestdanmark'!I$3:I$504,'Resultater - Vestdanmark'!J$3:J$504)),"&gt;0"),SUMIFS(IF(D267=År1,'Resultater - Østdanmark'!H$3:H$504,IF(D267=År2,'Resultater - Østdanmark'!I$3:I$504,'Resultater - Østdanmark'!J$3:J$504)),'Resultater - Østdanmark'!$F$3:$F$504,$A267,IF(D267=År1,'Resultater - Østdanmark'!H$3:H$504,IF(D267=År2,'Resultater - Østdanmark'!I$3:I$504,'Resultater - Østdanmark'!J$3:J$504)),"&gt;0"))</f>
        <v>1086187.6880789888</v>
      </c>
      <c r="G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forbrug'!G$2,'Forbrug af biomasse'!$B$2:$B$425,$E267)</f>
        <v>0</v>
      </c>
      <c r="H267" s="187">
        <f>IF(E267="Vestdanmark",-IF(A267="Halm",SUMIFS(IF(D267=År1,'Resultater - Vestdanmark'!H$3:H$504,IF(D267=År2,'Resultater - Vestdanmark'!I$3:I$504,'Resultater - Vestdanmark'!J$3:J$504)),'Resultater - Vestdanmark'!$F$3:$F$504,$A267,'Resultater - Vestdanmark'!H$3:H$504,"&lt;0"),0),-IF(A267="Halm",SUMIFS(IF(D267=År1,'Resultater - Østdanmark'!H$3:H$504,IF(D267=År2,'Resultater - Østdanmark'!I$3:I$504,'Resultater - Østdanmark'!J$3:J$504)),'Resultater - Østdanmark'!$F$3:$F$504,$A267,'Resultater - Østdanmark'!H$3:H$504,"&lt;0"),0))</f>
        <v>0</v>
      </c>
      <c r="I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forbrug'!I$2,'Forbrug af biomasse'!$B$2:$B$425,$E267)</f>
        <v>0</v>
      </c>
      <c r="J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forbrug'!J$2,'Forbrug af biomasse'!$B$2:$B$425,$E267)</f>
        <v>825502.64294003148</v>
      </c>
      <c r="K267" s="190">
        <f>SUMIFS('Forbrug af biomasse'!$E$2:$E$425,'Forbrug af biomasse'!$C$2:$C$425,'Resultat-Produktion &amp; forbrug'!$A267,'Forbrug af biomasse'!$D$2:$D$425,'Resultat-Produktion &amp; forbrug'!$D267,'Forbrug af biomasse'!$A$2:$A$425,'Resultat-Produktion &amp; forbrug'!K$2,'Forbrug af biomasse'!$B$2:$B$425,$E267)</f>
        <v>260685.0451389573</v>
      </c>
      <c r="L267" s="190">
        <f>IF(A267&lt;&gt;"Biogas",SUMIFS('Forbrug af biomasse'!$E$2:$E$425,'Forbrug af biomasse'!$C$2:$C$425,'Resultat-Produktion &amp; forbrug'!$A267,'Forbrug af biomasse'!$D$2:$D$425,'Resultat-Produktion &amp; forbrug'!$D267,'Forbrug af biomasse'!$A$2:$A$425,'Resultat-Produktion &amp; forbrug'!L$2,'Forbrug af biomasse'!$B$2:$B$425,$E267),F267)</f>
        <v>0</v>
      </c>
      <c r="M267" s="154">
        <f>SUMIFS('Forbrug af biomasse'!E:E,'Forbrug af biomasse'!C:C,'Resultat-Produktion &amp; forbrug'!$A267,'Forbrug af biomasse'!D:D,'Resultat-Produktion &amp; forbrug'!$D267,'Forbrug af biomasse'!G:G,1,'Forbrug af biomasse'!B:B,$E267)</f>
        <v>0</v>
      </c>
      <c r="N267" s="199">
        <f t="shared" si="62"/>
        <v>0</v>
      </c>
      <c r="O267" s="190">
        <f t="shared" si="75"/>
        <v>0</v>
      </c>
      <c r="P267" s="200">
        <f t="shared" si="63"/>
        <v>825502.64294003148</v>
      </c>
      <c r="Q267" s="187">
        <f>IFERROR(VLOOKUP(A267,[1]Energiindhold!$A$2:$C$11,3,FALSE),IFERROR(VLOOKUP(A267,[1]Biogasudbytte!$A$2:$B$18,2,FALSE)*[1]Energiindhold!$C$10,0))*O267</f>
        <v>0</v>
      </c>
      <c r="R267" s="187">
        <f>IF(A267&lt;&gt;"Biogas",IFERROR(VLOOKUP(A267,[1]Biogasudbytte!$A$2:$B$18,2,FALSE)*[1]Energiindhold!$C$10,0)*J267*IFERROR(VLOOKUP(A267,Biogasanlæg!$F$3:$G$8,2,FALSE),1)+IFERROR(VLOOKUP(A267,[1]Energiindhold!$A$2:$C$11,3,FALSE),0)*L267+IF(D267&lt;&gt;År1,Q267,0),0)</f>
        <v>0.4178611828298146</v>
      </c>
      <c r="S267" s="187">
        <f>IFERROR(VLOOKUP(A267,[1]Biogasudbytte!$A$2:$B$18,2,FALSE)*[1]Energiindhold!$C$10,0)*J267*IFERROR(VLOOKUP(A267,Biogasanlæg!$F$3:$G$8,2,FALSE),1)</f>
        <v>0.4178611828298146</v>
      </c>
      <c r="T267" s="188">
        <f t="shared" si="64"/>
        <v>0</v>
      </c>
      <c r="U267" s="186">
        <f>O267*IFERROR(VLOOKUP(A267,[1]Tørstofindhold!A$2:B$24,2,FALSE),0)</f>
        <v>0</v>
      </c>
      <c r="V267" s="187">
        <f>IF(D267=År1,P267,SUM(O267,P267))*IFERROR(VLOOKUP(A267,[1]Tørstofindhold!A$2:B$24,2,FALSE),0)</f>
        <v>62738.200863442391</v>
      </c>
      <c r="W267" s="187">
        <f>J267*IFERROR(VLOOKUP(A267,[1]Tørstofindhold!A$2:B$24,2,FALSE),0)</f>
        <v>62738.200863442391</v>
      </c>
      <c r="X267" s="188">
        <f t="shared" si="65"/>
        <v>0</v>
      </c>
      <c r="Y267" s="168">
        <f t="shared" si="76"/>
        <v>0</v>
      </c>
      <c r="Z267" s="103">
        <f t="shared" si="77"/>
        <v>0</v>
      </c>
    </row>
    <row r="268" spans="1:26" x14ac:dyDescent="0.25">
      <c r="A268" s="189" t="str">
        <f t="shared" si="72"/>
        <v>Mælk til foder</v>
      </c>
      <c r="B268" s="189" t="str">
        <f t="shared" si="73"/>
        <v/>
      </c>
      <c r="C268" s="189">
        <f>IF(COUNTIFS('Resultater - Danmark'!$D$3:$D$504,'Resultat-Produktion &amp; forbrug'!A268,'Resultater - Danmark'!$A$3:$A$504,"Til energi")+COUNTIFS('Resultater - Danmark'!$D$3:$D$504,'Resultat-Produktion &amp; forbrug'!A268,'Resultater - Danmark'!$A$3:$A$504,"Biogasanlæg")&gt;0,1,0)</f>
        <v>0</v>
      </c>
      <c r="D268" s="189">
        <f t="shared" si="74"/>
        <v>2050</v>
      </c>
      <c r="E268" s="187" t="s">
        <v>24</v>
      </c>
      <c r="F268" s="190">
        <f>IF(E268="Vestdanmark",SUMIFS(IF(D268=År1,'Resultater - Vestdanmark'!H$3:H$504,IF(D268=År2,'Resultater - Vestdanmark'!I$3:I$504,'Resultater - Vestdanmark'!J$3:J$504)),'Resultater - Vestdanmark'!$F$3:$F$504,$A268,IF(D268=År1,'Resultater - Vestdanmark'!H$3:H$504,IF(D268=År2,'Resultater - Vestdanmark'!I$3:I$504,'Resultater - Vestdanmark'!J$3:J$504)),"&gt;0"),SUMIFS(IF(D268=År1,'Resultater - Østdanmark'!H$3:H$504,IF(D268=År2,'Resultater - Østdanmark'!I$3:I$504,'Resultater - Østdanmark'!J$3:J$504)),'Resultater - Østdanmark'!$F$3:$F$504,$A268,IF(D268=År1,'Resultater - Østdanmark'!H$3:H$504,IF(D268=År2,'Resultater - Østdanmark'!I$3:I$504,'Resultater - Østdanmark'!J$3:J$504)),"&gt;0"))</f>
        <v>135684.56083605965</v>
      </c>
      <c r="G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forbrug'!G$2,'Forbrug af biomasse'!$B$2:$B$425,$E268)</f>
        <v>223248.59245547073</v>
      </c>
      <c r="H268" s="187">
        <f>IF(E268="Vestdanmark",-IF(A268="Halm",SUMIFS(IF(D268=År1,'Resultater - Vestdanmark'!H$3:H$504,IF(D268=År2,'Resultater - Vestdanmark'!I$3:I$504,'Resultater - Vestdanmark'!J$3:J$504)),'Resultater - Vestdanmark'!$F$3:$F$504,$A268,'Resultater - Vestdanmark'!H$3:H$504,"&lt;0"),0),-IF(A268="Halm",SUMIFS(IF(D268=År1,'Resultater - Østdanmark'!H$3:H$504,IF(D268=År2,'Resultater - Østdanmark'!I$3:I$504,'Resultater - Østdanmark'!J$3:J$504)),'Resultater - Østdanmark'!$F$3:$F$504,$A268,'Resultater - Østdanmark'!H$3:H$504,"&lt;0"),0))</f>
        <v>0</v>
      </c>
      <c r="I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forbrug'!I$2,'Forbrug af biomasse'!$B$2:$B$425,$E268)</f>
        <v>0</v>
      </c>
      <c r="J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forbrug'!J$2,'Forbrug af biomasse'!$B$2:$B$425,$E268)</f>
        <v>0</v>
      </c>
      <c r="K268" s="190">
        <f>SUMIFS('Forbrug af biomasse'!$E$2:$E$425,'Forbrug af biomasse'!$C$2:$C$425,'Resultat-Produktion &amp; forbrug'!$A268,'Forbrug af biomasse'!$D$2:$D$425,'Resultat-Produktion &amp; forbrug'!$D268,'Forbrug af biomasse'!$A$2:$A$425,'Resultat-Produktion &amp; forbrug'!K$2,'Forbrug af biomasse'!$B$2:$B$425,$E268)</f>
        <v>0</v>
      </c>
      <c r="L268" s="190">
        <f>IF(A268&lt;&gt;"Biogas",SUMIFS('Forbrug af biomasse'!$E$2:$E$425,'Forbrug af biomasse'!$C$2:$C$425,'Resultat-Produktion &amp; forbrug'!$A268,'Forbrug af biomasse'!$D$2:$D$425,'Resultat-Produktion &amp; forbrug'!$D268,'Forbrug af biomasse'!$A$2:$A$425,'Resultat-Produktion &amp; forbrug'!L$2,'Forbrug af biomasse'!$B$2:$B$425,$E268),F268)</f>
        <v>0</v>
      </c>
      <c r="M268" s="154">
        <f>SUMIFS('Forbrug af biomasse'!E:E,'Forbrug af biomasse'!C:C,'Resultat-Produktion &amp; forbrug'!$A268,'Forbrug af biomasse'!D:D,'Resultat-Produktion &amp; forbrug'!$D268,'Forbrug af biomasse'!G:G,1,'Forbrug af biomasse'!B:B,$E268)</f>
        <v>0</v>
      </c>
      <c r="N268" s="199">
        <f t="shared" si="62"/>
        <v>-87564.031619411078</v>
      </c>
      <c r="O268" s="190">
        <f t="shared" si="75"/>
        <v>0</v>
      </c>
      <c r="P268" s="200">
        <f t="shared" si="63"/>
        <v>0</v>
      </c>
      <c r="Q268" s="187">
        <f>IFERROR(VLOOKUP(A268,[1]Energiindhold!$A$2:$C$11,3,FALSE),IFERROR(VLOOKUP(A268,[1]Biogasudbytte!$A$2:$B$18,2,FALSE)*[1]Energiindhold!$C$10,0))*O268</f>
        <v>0</v>
      </c>
      <c r="R268" s="187">
        <f>IF(A268&lt;&gt;"Biogas",IFERROR(VLOOKUP(A268,[1]Biogasudbytte!$A$2:$B$18,2,FALSE)*[1]Energiindhold!$C$10,0)*J268*IFERROR(VLOOKUP(A268,Biogasanlæg!$F$3:$G$8,2,FALSE),1)+IFERROR(VLOOKUP(A268,[1]Energiindhold!$A$2:$C$11,3,FALSE),0)*L268+IF(D268&lt;&gt;År1,Q268,0),0)</f>
        <v>0</v>
      </c>
      <c r="S268" s="187">
        <f>IFERROR(VLOOKUP(A268,[1]Biogasudbytte!$A$2:$B$18,2,FALSE)*[1]Energiindhold!$C$10,0)*J268*IFERROR(VLOOKUP(A268,Biogasanlæg!$F$3:$G$8,2,FALSE),1)</f>
        <v>0</v>
      </c>
      <c r="T268" s="188">
        <f t="shared" si="64"/>
        <v>0</v>
      </c>
      <c r="U268" s="186">
        <f>O268*IFERROR(VLOOKUP(A268,[1]Tørstofindhold!A$2:B$24,2,FALSE),0)</f>
        <v>0</v>
      </c>
      <c r="V268" s="187">
        <f>IF(D268=År1,P268,SUM(O268,P268))*IFERROR(VLOOKUP(A268,[1]Tørstofindhold!A$2:B$24,2,FALSE),0)</f>
        <v>0</v>
      </c>
      <c r="W268" s="187">
        <f>J268*IFERROR(VLOOKUP(A268,[1]Tørstofindhold!A$2:B$24,2,FALSE),0)</f>
        <v>0</v>
      </c>
      <c r="X268" s="188">
        <f t="shared" si="65"/>
        <v>0</v>
      </c>
      <c r="Y268" s="168">
        <f t="shared" si="76"/>
        <v>0</v>
      </c>
      <c r="Z268" s="103">
        <f t="shared" si="77"/>
        <v>1</v>
      </c>
    </row>
    <row r="269" spans="1:26" x14ac:dyDescent="0.25">
      <c r="A269" s="189" t="str">
        <f t="shared" si="72"/>
        <v>Majs</v>
      </c>
      <c r="B269" s="189" t="str">
        <f t="shared" si="73"/>
        <v>Græs og urter</v>
      </c>
      <c r="C269" s="189">
        <f>IF(COUNTIFS('Resultater - Danmark'!$D$3:$D$504,'Resultat-Produktion &amp; forbrug'!A269,'Resultater - Danmark'!$A$3:$A$504,"Til energi")+COUNTIFS('Resultater - Danmark'!$D$3:$D$504,'Resultat-Produktion &amp; forbrug'!A269,'Resultater - Danmark'!$A$3:$A$504,"Biogasanlæg")&gt;0,1,0)</f>
        <v>1</v>
      </c>
      <c r="D269" s="189">
        <f t="shared" si="74"/>
        <v>2050</v>
      </c>
      <c r="E269" s="187" t="s">
        <v>24</v>
      </c>
      <c r="F269" s="190">
        <f>IF(E269="Vestdanmark",SUMIFS(IF(D269=År1,'Resultater - Vestdanmark'!H$3:H$504,IF(D269=År2,'Resultater - Vestdanmark'!I$3:I$504,'Resultater - Vestdanmark'!J$3:J$504)),'Resultater - Vestdanmark'!$F$3:$F$504,$A269,IF(D269=År1,'Resultater - Vestdanmark'!H$3:H$504,IF(D269=År2,'Resultater - Vestdanmark'!I$3:I$504,'Resultater - Vestdanmark'!J$3:J$504)),"&gt;0"),SUMIFS(IF(D269=År1,'Resultater - Østdanmark'!H$3:H$504,IF(D269=År2,'Resultater - Østdanmark'!I$3:I$504,'Resultater - Østdanmark'!J$3:J$504)),'Resultater - Østdanmark'!$F$3:$F$504,$A269,IF(D269=År1,'Resultater - Østdanmark'!H$3:H$504,IF(D269=År2,'Resultater - Østdanmark'!I$3:I$504,'Resultater - Østdanmark'!J$3:J$504)),"&gt;0"))</f>
        <v>408888.66992592916</v>
      </c>
      <c r="G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forbrug'!G$2,'Forbrug af biomasse'!$B$2:$B$425,$E269)</f>
        <v>833223.91333114507</v>
      </c>
      <c r="H269" s="187">
        <f>IF(E269="Vestdanmark",-IF(A269="Halm",SUMIFS(IF(D269=År1,'Resultater - Vestdanmark'!H$3:H$504,IF(D269=År2,'Resultater - Vestdanmark'!I$3:I$504,'Resultater - Vestdanmark'!J$3:J$504)),'Resultater - Vestdanmark'!$F$3:$F$504,$A269,'Resultater - Vestdanmark'!H$3:H$504,"&lt;0"),0),-IF(A269="Halm",SUMIFS(IF(D269=År1,'Resultater - Østdanmark'!H$3:H$504,IF(D269=År2,'Resultater - Østdanmark'!I$3:I$504,'Resultater - Østdanmark'!J$3:J$504)),'Resultater - Østdanmark'!$F$3:$F$504,$A269,'Resultater - Østdanmark'!H$3:H$504,"&lt;0"),0))</f>
        <v>0</v>
      </c>
      <c r="I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forbrug'!I$2,'Forbrug af biomasse'!$B$2:$B$425,$E269)</f>
        <v>0</v>
      </c>
      <c r="J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forbrug'!J$2,'Forbrug af biomasse'!$B$2:$B$425,$E269)</f>
        <v>15364.519148894226</v>
      </c>
      <c r="K269" s="190">
        <f>SUMIFS('Forbrug af biomasse'!$E$2:$E$425,'Forbrug af biomasse'!$C$2:$C$425,'Resultat-Produktion &amp; forbrug'!$A269,'Forbrug af biomasse'!$D$2:$D$425,'Resultat-Produktion &amp; forbrug'!$D269,'Forbrug af biomasse'!$A$2:$A$425,'Resultat-Produktion &amp; forbrug'!K$2,'Forbrug af biomasse'!$B$2:$B$425,$E269)</f>
        <v>0</v>
      </c>
      <c r="L269" s="190">
        <f>IF(A269&lt;&gt;"Biogas",SUMIFS('Forbrug af biomasse'!$E$2:$E$425,'Forbrug af biomasse'!$C$2:$C$425,'Resultat-Produktion &amp; forbrug'!$A269,'Forbrug af biomasse'!$D$2:$D$425,'Resultat-Produktion &amp; forbrug'!$D269,'Forbrug af biomasse'!$A$2:$A$425,'Resultat-Produktion &amp; forbrug'!L$2,'Forbrug af biomasse'!$B$2:$B$425,$E269),F269)</f>
        <v>0</v>
      </c>
      <c r="M269" s="154">
        <f>SUMIFS('Forbrug af biomasse'!E:E,'Forbrug af biomasse'!C:C,'Resultat-Produktion &amp; forbrug'!$A269,'Forbrug af biomasse'!D:D,'Resultat-Produktion &amp; forbrug'!$D269,'Forbrug af biomasse'!G:G,1,'Forbrug af biomasse'!B:B,$E269)</f>
        <v>0</v>
      </c>
      <c r="N269" s="199">
        <f t="shared" si="62"/>
        <v>-439699.76255411014</v>
      </c>
      <c r="O269" s="190">
        <f t="shared" si="75"/>
        <v>0</v>
      </c>
      <c r="P269" s="200">
        <f t="shared" si="63"/>
        <v>15364.519148894226</v>
      </c>
      <c r="Q269" s="187">
        <f>IFERROR(VLOOKUP(A269,[1]Energiindhold!$A$2:$C$11,3,FALSE),IFERROR(VLOOKUP(A269,[1]Biogasudbytte!$A$2:$B$18,2,FALSE)*[1]Energiindhold!$C$10,0))*O269</f>
        <v>0</v>
      </c>
      <c r="R269" s="187">
        <f>IF(A269&lt;&gt;"Biogas",IFERROR(VLOOKUP(A269,[1]Biogasudbytte!$A$2:$B$18,2,FALSE)*[1]Energiindhold!$C$10,0)*J269*IFERROR(VLOOKUP(A269,Biogasanlæg!$F$3:$G$8,2,FALSE),1)+IFERROR(VLOOKUP(A269,[1]Energiindhold!$A$2:$C$11,3,FALSE),0)*L269+IF(D269&lt;&gt;År1,Q269,0),0)</f>
        <v>5.5158623744530275E-2</v>
      </c>
      <c r="S269" s="187">
        <f>IFERROR(VLOOKUP(A269,[1]Biogasudbytte!$A$2:$B$18,2,FALSE)*[1]Energiindhold!$C$10,0)*J269*IFERROR(VLOOKUP(A269,Biogasanlæg!$F$3:$G$8,2,FALSE),1)</f>
        <v>5.5158623744530275E-2</v>
      </c>
      <c r="T269" s="188">
        <f t="shared" si="64"/>
        <v>0</v>
      </c>
      <c r="U269" s="186">
        <f>O269*IFERROR(VLOOKUP(A269,[1]Tørstofindhold!A$2:B$24,2,FALSE),0)</f>
        <v>0</v>
      </c>
      <c r="V269" s="187">
        <f>IF(D269=År1,P269,SUM(O269,P269))*IFERROR(VLOOKUP(A269,[1]Tørstofindhold!A$2:B$24,2,FALSE),0)</f>
        <v>4609.3557446682671</v>
      </c>
      <c r="W269" s="187">
        <f>J269*IFERROR(VLOOKUP(A269,[1]Tørstofindhold!A$2:B$24,2,FALSE),0)</f>
        <v>4609.3557446682671</v>
      </c>
      <c r="X269" s="188">
        <f t="shared" si="65"/>
        <v>0</v>
      </c>
      <c r="Y269" s="168">
        <f t="shared" si="76"/>
        <v>0</v>
      </c>
      <c r="Z269" s="103">
        <f t="shared" si="77"/>
        <v>1</v>
      </c>
    </row>
    <row r="270" spans="1:26" x14ac:dyDescent="0.25">
      <c r="A270" s="189" t="str">
        <f t="shared" si="72"/>
        <v>Mejeriprodukter</v>
      </c>
      <c r="B270" s="189" t="str">
        <f t="shared" si="73"/>
        <v/>
      </c>
      <c r="C270" s="189">
        <f>IF(COUNTIFS('Resultater - Danmark'!$D$3:$D$504,'Resultat-Produktion &amp; forbrug'!A270,'Resultater - Danmark'!$A$3:$A$504,"Til energi")+COUNTIFS('Resultater - Danmark'!$D$3:$D$504,'Resultat-Produktion &amp; forbrug'!A270,'Resultater - Danmark'!$A$3:$A$504,"Biogasanlæg")&gt;0,1,0)</f>
        <v>0</v>
      </c>
      <c r="D270" s="189">
        <f t="shared" si="74"/>
        <v>2050</v>
      </c>
      <c r="E270" s="187" t="s">
        <v>24</v>
      </c>
      <c r="F270" s="190">
        <f>IF(E270="Vestdanmark",SUMIFS(IF(D270=År1,'Resultater - Vestdanmark'!H$3:H$504,IF(D270=År2,'Resultater - Vestdanmark'!I$3:I$504,'Resultater - Vestdanmark'!J$3:J$504)),'Resultater - Vestdanmark'!$F$3:$F$504,$A270,IF(D270=År1,'Resultater - Vestdanmark'!H$3:H$504,IF(D270=År2,'Resultater - Vestdanmark'!I$3:I$504,'Resultater - Vestdanmark'!J$3:J$504)),"&gt;0"),SUMIFS(IF(D270=År1,'Resultater - Østdanmark'!H$3:H$504,IF(D270=År2,'Resultater - Østdanmark'!I$3:I$504,'Resultater - Østdanmark'!J$3:J$504)),'Resultater - Østdanmark'!$F$3:$F$504,$A270,IF(D270=År1,'Resultater - Østdanmark'!H$3:H$504,IF(D270=År2,'Resultater - Østdanmark'!I$3:I$504,'Resultater - Østdanmark'!J$3:J$504)),"&gt;0"))</f>
        <v>261800.78357255683</v>
      </c>
      <c r="G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forbrug'!G$2,'Forbrug af biomasse'!$B$2:$B$425,$E270)</f>
        <v>0</v>
      </c>
      <c r="H270" s="187">
        <f>IF(E270="Vestdanmark",-IF(A270="Halm",SUMIFS(IF(D270=År1,'Resultater - Vestdanmark'!H$3:H$504,IF(D270=År2,'Resultater - Vestdanmark'!I$3:I$504,'Resultater - Vestdanmark'!J$3:J$504)),'Resultater - Vestdanmark'!$F$3:$F$504,$A270,'Resultater - Vestdanmark'!H$3:H$504,"&lt;0"),0),-IF(A270="Halm",SUMIFS(IF(D270=År1,'Resultater - Østdanmark'!H$3:H$504,IF(D270=År2,'Resultater - Østdanmark'!I$3:I$504,'Resultater - Østdanmark'!J$3:J$504)),'Resultater - Østdanmark'!$F$3:$F$504,$A270,'Resultater - Østdanmark'!H$3:H$504,"&lt;0"),0))</f>
        <v>0</v>
      </c>
      <c r="I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forbrug'!I$2,'Forbrug af biomasse'!$B$2:$B$425,$E270)</f>
        <v>428214.02929147833</v>
      </c>
      <c r="J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forbrug'!J$2,'Forbrug af biomasse'!$B$2:$B$425,$E270)</f>
        <v>0</v>
      </c>
      <c r="K270" s="190">
        <f>SUMIFS('Forbrug af biomasse'!$E$2:$E$425,'Forbrug af biomasse'!$C$2:$C$425,'Resultat-Produktion &amp; forbrug'!$A270,'Forbrug af biomasse'!$D$2:$D$425,'Resultat-Produktion &amp; forbrug'!$D270,'Forbrug af biomasse'!$A$2:$A$425,'Resultat-Produktion &amp; forbrug'!K$2,'Forbrug af biomasse'!$B$2:$B$425,$E270)</f>
        <v>0</v>
      </c>
      <c r="L270" s="190">
        <f>IF(A270&lt;&gt;"Biogas",SUMIFS('Forbrug af biomasse'!$E$2:$E$425,'Forbrug af biomasse'!$C$2:$C$425,'Resultat-Produktion &amp; forbrug'!$A270,'Forbrug af biomasse'!$D$2:$D$425,'Resultat-Produktion &amp; forbrug'!$D270,'Forbrug af biomasse'!$A$2:$A$425,'Resultat-Produktion &amp; forbrug'!L$2,'Forbrug af biomasse'!$B$2:$B$425,$E270),F270)</f>
        <v>0</v>
      </c>
      <c r="M270" s="154">
        <f>SUMIFS('Forbrug af biomasse'!E:E,'Forbrug af biomasse'!C:C,'Resultat-Produktion &amp; forbrug'!$A270,'Forbrug af biomasse'!D:D,'Resultat-Produktion &amp; forbrug'!$D270,'Forbrug af biomasse'!G:G,1,'Forbrug af biomasse'!B:B,$E270)</f>
        <v>0</v>
      </c>
      <c r="N270" s="199">
        <f t="shared" si="62"/>
        <v>-166413.24571892151</v>
      </c>
      <c r="O270" s="190">
        <f t="shared" si="75"/>
        <v>0</v>
      </c>
      <c r="P270" s="200">
        <f t="shared" si="63"/>
        <v>0</v>
      </c>
      <c r="Q270" s="187">
        <f>IFERROR(VLOOKUP(A270,[1]Energiindhold!$A$2:$C$11,3,FALSE),IFERROR(VLOOKUP(A270,[1]Biogasudbytte!$A$2:$B$18,2,FALSE)*[1]Energiindhold!$C$10,0))*O270</f>
        <v>0</v>
      </c>
      <c r="R270" s="187">
        <f>IF(A270&lt;&gt;"Biogas",IFERROR(VLOOKUP(A270,[1]Biogasudbytte!$A$2:$B$18,2,FALSE)*[1]Energiindhold!$C$10,0)*J270*IFERROR(VLOOKUP(A270,Biogasanlæg!$F$3:$G$8,2,FALSE),1)+IFERROR(VLOOKUP(A270,[1]Energiindhold!$A$2:$C$11,3,FALSE),0)*L270+IF(D270&lt;&gt;År1,Q270,0),0)</f>
        <v>0</v>
      </c>
      <c r="S270" s="187">
        <f>IFERROR(VLOOKUP(A270,[1]Biogasudbytte!$A$2:$B$18,2,FALSE)*[1]Energiindhold!$C$10,0)*J270*IFERROR(VLOOKUP(A270,Biogasanlæg!$F$3:$G$8,2,FALSE),1)</f>
        <v>0</v>
      </c>
      <c r="T270" s="188">
        <f t="shared" si="64"/>
        <v>0</v>
      </c>
      <c r="U270" s="186">
        <f>O270*IFERROR(VLOOKUP(A270,[1]Tørstofindhold!A$2:B$24,2,FALSE),0)</f>
        <v>0</v>
      </c>
      <c r="V270" s="187">
        <f>IF(D270=År1,P270,SUM(O270,P270))*IFERROR(VLOOKUP(A270,[1]Tørstofindhold!A$2:B$24,2,FALSE),0)</f>
        <v>0</v>
      </c>
      <c r="W270" s="187">
        <f>J270*IFERROR(VLOOKUP(A270,[1]Tørstofindhold!A$2:B$24,2,FALSE),0)</f>
        <v>0</v>
      </c>
      <c r="X270" s="188">
        <f t="shared" si="65"/>
        <v>0</v>
      </c>
      <c r="Y270" s="168">
        <f t="shared" si="76"/>
        <v>0</v>
      </c>
      <c r="Z270" s="103">
        <f t="shared" si="77"/>
        <v>1</v>
      </c>
    </row>
    <row r="271" spans="1:26" x14ac:dyDescent="0.25">
      <c r="A271" s="189" t="str">
        <f t="shared" si="72"/>
        <v>Muslinger</v>
      </c>
      <c r="B271" s="189" t="str">
        <f t="shared" si="73"/>
        <v>Havbiomasse</v>
      </c>
      <c r="C271" s="189">
        <f>IF(COUNTIFS('Resultater - Danmark'!$D$3:$D$504,'Resultat-Produktion &amp; forbrug'!A271,'Resultater - Danmark'!$A$3:$A$504,"Til energi")+COUNTIFS('Resultater - Danmark'!$D$3:$D$504,'Resultat-Produktion &amp; forbrug'!A271,'Resultater - Danmark'!$A$3:$A$504,"Biogasanlæg")&gt;0,1,0)</f>
        <v>1</v>
      </c>
      <c r="D271" s="189">
        <f t="shared" si="74"/>
        <v>2050</v>
      </c>
      <c r="E271" s="187" t="s">
        <v>24</v>
      </c>
      <c r="F271" s="190">
        <f>IF(E271="Vestdanmark",SUMIFS(IF(D271=År1,'Resultater - Vestdanmark'!H$3:H$504,IF(D271=År2,'Resultater - Vestdanmark'!I$3:I$504,'Resultater - Vestdanmark'!J$3:J$504)),'Resultater - Vestdanmark'!$F$3:$F$504,$A271,IF(D271=År1,'Resultater - Vestdanmark'!H$3:H$504,IF(D271=År2,'Resultater - Vestdanmark'!I$3:I$504,'Resultater - Vestdanmark'!J$3:J$504)),"&gt;0"),SUMIFS(IF(D271=År1,'Resultater - Østdanmark'!H$3:H$504,IF(D271=År2,'Resultater - Østdanmark'!I$3:I$504,'Resultater - Østdanmark'!J$3:J$504)),'Resultater - Østdanmark'!$F$3:$F$504,$A271,IF(D271=År1,'Resultater - Østdanmark'!H$3:H$504,IF(D271=År2,'Resultater - Østdanmark'!I$3:I$504,'Resultater - Østdanmark'!J$3:J$504)),"&gt;0"))</f>
        <v>69865.048763892031</v>
      </c>
      <c r="G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forbrug'!G$2,'Forbrug af biomasse'!$B$2:$B$425,$E271)</f>
        <v>0</v>
      </c>
      <c r="H271" s="187">
        <f>IF(E271="Vestdanmark",-IF(A271="Halm",SUMIFS(IF(D271=År1,'Resultater - Vestdanmark'!H$3:H$504,IF(D271=År2,'Resultater - Vestdanmark'!I$3:I$504,'Resultater - Vestdanmark'!J$3:J$504)),'Resultater - Vestdanmark'!$F$3:$F$504,$A271,'Resultater - Vestdanmark'!H$3:H$504,"&lt;0"),0),-IF(A271="Halm",SUMIFS(IF(D271=År1,'Resultater - Østdanmark'!H$3:H$504,IF(D271=År2,'Resultater - Østdanmark'!I$3:I$504,'Resultater - Østdanmark'!J$3:J$504)),'Resultater - Østdanmark'!$F$3:$F$504,$A271,'Resultater - Østdanmark'!H$3:H$504,"&lt;0"),0))</f>
        <v>0</v>
      </c>
      <c r="I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forbrug'!I$2,'Forbrug af biomasse'!$B$2:$B$425,$E271)</f>
        <v>0</v>
      </c>
      <c r="J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forbrug'!J$2,'Forbrug af biomasse'!$B$2:$B$425,$E271)</f>
        <v>0</v>
      </c>
      <c r="K271" s="190">
        <f>SUMIFS('Forbrug af biomasse'!$E$2:$E$425,'Forbrug af biomasse'!$C$2:$C$425,'Resultat-Produktion &amp; forbrug'!$A271,'Forbrug af biomasse'!$D$2:$D$425,'Resultat-Produktion &amp; forbrug'!$D271,'Forbrug af biomasse'!$A$2:$A$425,'Resultat-Produktion &amp; forbrug'!K$2,'Forbrug af biomasse'!$B$2:$B$425,$E271)</f>
        <v>0</v>
      </c>
      <c r="L271" s="190">
        <f>IF(A271&lt;&gt;"Biogas",SUMIFS('Forbrug af biomasse'!$E$2:$E$425,'Forbrug af biomasse'!$C$2:$C$425,'Resultat-Produktion &amp; forbrug'!$A271,'Forbrug af biomasse'!$D$2:$D$425,'Resultat-Produktion &amp; forbrug'!$D271,'Forbrug af biomasse'!$A$2:$A$425,'Resultat-Produktion &amp; forbrug'!L$2,'Forbrug af biomasse'!$B$2:$B$425,$E271),F271)</f>
        <v>0</v>
      </c>
      <c r="M271" s="154">
        <f>SUMIFS('Forbrug af biomasse'!E:E,'Forbrug af biomasse'!C:C,'Resultat-Produktion &amp; forbrug'!$A271,'Forbrug af biomasse'!D:D,'Resultat-Produktion &amp; forbrug'!$D271,'Forbrug af biomasse'!G:G,1,'Forbrug af biomasse'!B:B,$E271)</f>
        <v>0</v>
      </c>
      <c r="N271" s="199">
        <f t="shared" si="62"/>
        <v>69865.048763892031</v>
      </c>
      <c r="O271" s="190">
        <f t="shared" si="75"/>
        <v>69865.048763892031</v>
      </c>
      <c r="P271" s="200">
        <f t="shared" si="63"/>
        <v>0</v>
      </c>
      <c r="Q271" s="187">
        <f>IFERROR(VLOOKUP(A271,[1]Energiindhold!$A$2:$C$11,3,FALSE),IFERROR(VLOOKUP(A271,[1]Biogasudbytte!$A$2:$B$18,2,FALSE)*[1]Energiindhold!$C$10,0))*O271</f>
        <v>6.2703881265593106E-2</v>
      </c>
      <c r="R271" s="187">
        <f>IF(A271&lt;&gt;"Biogas",IFERROR(VLOOKUP(A271,[1]Biogasudbytte!$A$2:$B$18,2,FALSE)*[1]Energiindhold!$C$10,0)*J271*IFERROR(VLOOKUP(A271,Biogasanlæg!$F$3:$G$8,2,FALSE),1)+IFERROR(VLOOKUP(A271,[1]Energiindhold!$A$2:$C$11,3,FALSE),0)*L271+IF(D271&lt;&gt;År1,Q271,0),0)</f>
        <v>6.2703881265593106E-2</v>
      </c>
      <c r="S271" s="187">
        <f>IFERROR(VLOOKUP(A271,[1]Biogasudbytte!$A$2:$B$18,2,FALSE)*[1]Energiindhold!$C$10,0)*J271*IFERROR(VLOOKUP(A271,Biogasanlæg!$F$3:$G$8,2,FALSE),1)</f>
        <v>0</v>
      </c>
      <c r="T271" s="188">
        <f t="shared" si="64"/>
        <v>6.2703881265593106E-2</v>
      </c>
      <c r="U271" s="186">
        <f>O271*IFERROR(VLOOKUP(A271,[1]Tørstofindhold!A$2:B$24,2,FALSE),0)</f>
        <v>10479.757314583805</v>
      </c>
      <c r="V271" s="187">
        <f>IF(D271=År1,P271,SUM(O271,P271))*IFERROR(VLOOKUP(A271,[1]Tørstofindhold!A$2:B$24,2,FALSE),0)</f>
        <v>10479.757314583805</v>
      </c>
      <c r="W271" s="187">
        <f>J271*IFERROR(VLOOKUP(A271,[1]Tørstofindhold!A$2:B$24,2,FALSE),0)</f>
        <v>0</v>
      </c>
      <c r="X271" s="188">
        <f t="shared" si="65"/>
        <v>10479.757314583805</v>
      </c>
      <c r="Y271" s="168">
        <f t="shared" si="76"/>
        <v>0</v>
      </c>
      <c r="Z271" s="103">
        <f t="shared" si="77"/>
        <v>1</v>
      </c>
    </row>
    <row r="272" spans="1:26" x14ac:dyDescent="0.25">
      <c r="A272" s="189" t="str">
        <f t="shared" si="72"/>
        <v>Oksekød</v>
      </c>
      <c r="B272" s="189" t="str">
        <f t="shared" si="73"/>
        <v/>
      </c>
      <c r="C272" s="189">
        <f>IF(COUNTIFS('Resultater - Danmark'!$D$3:$D$504,'Resultat-Produktion &amp; forbrug'!A272,'Resultater - Danmark'!$A$3:$A$504,"Til energi")+COUNTIFS('Resultater - Danmark'!$D$3:$D$504,'Resultat-Produktion &amp; forbrug'!A272,'Resultater - Danmark'!$A$3:$A$504,"Biogasanlæg")&gt;0,1,0)</f>
        <v>0</v>
      </c>
      <c r="D272" s="189">
        <f t="shared" si="74"/>
        <v>2050</v>
      </c>
      <c r="E272" s="187" t="s">
        <v>24</v>
      </c>
      <c r="F272" s="190">
        <f>IF(E272="Vestdanmark",SUMIFS(IF(D272=År1,'Resultater - Vestdanmark'!H$3:H$504,IF(D272=År2,'Resultater - Vestdanmark'!I$3:I$504,'Resultater - Vestdanmark'!J$3:J$504)),'Resultater - Vestdanmark'!$F$3:$F$504,$A272,IF(D272=År1,'Resultater - Vestdanmark'!H$3:H$504,IF(D272=År2,'Resultater - Vestdanmark'!I$3:I$504,'Resultater - Vestdanmark'!J$3:J$504)),"&gt;0"),SUMIFS(IF(D272=År1,'Resultater - Østdanmark'!H$3:H$504,IF(D272=År2,'Resultater - Østdanmark'!I$3:I$504,'Resultater - Østdanmark'!J$3:J$504)),'Resultater - Østdanmark'!$F$3:$F$504,$A272,IF(D272=År1,'Resultater - Østdanmark'!H$3:H$504,IF(D272=År2,'Resultater - Østdanmark'!I$3:I$504,'Resultater - Østdanmark'!J$3:J$504)),"&gt;0"))</f>
        <v>8766.6762558976552</v>
      </c>
      <c r="G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forbrug'!G$2,'Forbrug af biomasse'!$B$2:$B$425,$E272)</f>
        <v>0</v>
      </c>
      <c r="H272" s="187">
        <f>IF(E272="Vestdanmark",-IF(A272="Halm",SUMIFS(IF(D272=År1,'Resultater - Vestdanmark'!H$3:H$504,IF(D272=År2,'Resultater - Vestdanmark'!I$3:I$504,'Resultater - Vestdanmark'!J$3:J$504)),'Resultater - Vestdanmark'!$F$3:$F$504,$A272,'Resultater - Vestdanmark'!H$3:H$504,"&lt;0"),0),-IF(A272="Halm",SUMIFS(IF(D272=År1,'Resultater - Østdanmark'!H$3:H$504,IF(D272=År2,'Resultater - Østdanmark'!I$3:I$504,'Resultater - Østdanmark'!J$3:J$504)),'Resultater - Østdanmark'!$F$3:$F$504,$A272,'Resultater - Østdanmark'!H$3:H$504,"&lt;0"),0))</f>
        <v>0</v>
      </c>
      <c r="I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forbrug'!I$2,'Forbrug af biomasse'!$B$2:$B$425,$E272)</f>
        <v>54412.71372203785</v>
      </c>
      <c r="J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forbrug'!J$2,'Forbrug af biomasse'!$B$2:$B$425,$E272)</f>
        <v>0</v>
      </c>
      <c r="K272" s="190">
        <f>SUMIFS('Forbrug af biomasse'!$E$2:$E$425,'Forbrug af biomasse'!$C$2:$C$425,'Resultat-Produktion &amp; forbrug'!$A272,'Forbrug af biomasse'!$D$2:$D$425,'Resultat-Produktion &amp; forbrug'!$D272,'Forbrug af biomasse'!$A$2:$A$425,'Resultat-Produktion &amp; forbrug'!K$2,'Forbrug af biomasse'!$B$2:$B$425,$E272)</f>
        <v>0</v>
      </c>
      <c r="L272" s="190">
        <f>IF(A272&lt;&gt;"Biogas",SUMIFS('Forbrug af biomasse'!$E$2:$E$425,'Forbrug af biomasse'!$C$2:$C$425,'Resultat-Produktion &amp; forbrug'!$A272,'Forbrug af biomasse'!$D$2:$D$425,'Resultat-Produktion &amp; forbrug'!$D272,'Forbrug af biomasse'!$A$2:$A$425,'Resultat-Produktion &amp; forbrug'!L$2,'Forbrug af biomasse'!$B$2:$B$425,$E272),F272)</f>
        <v>0</v>
      </c>
      <c r="M272" s="154">
        <f>SUMIFS('Forbrug af biomasse'!E:E,'Forbrug af biomasse'!C:C,'Resultat-Produktion &amp; forbrug'!$A272,'Forbrug af biomasse'!D:D,'Resultat-Produktion &amp; forbrug'!$D272,'Forbrug af biomasse'!G:G,1,'Forbrug af biomasse'!B:B,$E272)</f>
        <v>0</v>
      </c>
      <c r="N272" s="199">
        <f t="shared" si="62"/>
        <v>-45646.037466140195</v>
      </c>
      <c r="O272" s="190">
        <f t="shared" si="75"/>
        <v>0</v>
      </c>
      <c r="P272" s="200">
        <f t="shared" si="63"/>
        <v>0</v>
      </c>
      <c r="Q272" s="187">
        <f>IFERROR(VLOOKUP(A272,[1]Energiindhold!$A$2:$C$11,3,FALSE),IFERROR(VLOOKUP(A272,[1]Biogasudbytte!$A$2:$B$18,2,FALSE)*[1]Energiindhold!$C$10,0))*O272</f>
        <v>0</v>
      </c>
      <c r="R272" s="187">
        <f>IF(A272&lt;&gt;"Biogas",IFERROR(VLOOKUP(A272,[1]Biogasudbytte!$A$2:$B$18,2,FALSE)*[1]Energiindhold!$C$10,0)*J272*IFERROR(VLOOKUP(A272,Biogasanlæg!$F$3:$G$8,2,FALSE),1)+IFERROR(VLOOKUP(A272,[1]Energiindhold!$A$2:$C$11,3,FALSE),0)*L272+IF(D272&lt;&gt;År1,Q272,0),0)</f>
        <v>0</v>
      </c>
      <c r="S272" s="187">
        <f>IFERROR(VLOOKUP(A272,[1]Biogasudbytte!$A$2:$B$18,2,FALSE)*[1]Energiindhold!$C$10,0)*J272*IFERROR(VLOOKUP(A272,Biogasanlæg!$F$3:$G$8,2,FALSE),1)</f>
        <v>0</v>
      </c>
      <c r="T272" s="188">
        <f t="shared" si="64"/>
        <v>0</v>
      </c>
      <c r="U272" s="186">
        <f>O272*IFERROR(VLOOKUP(A272,[1]Tørstofindhold!A$2:B$24,2,FALSE),0)</f>
        <v>0</v>
      </c>
      <c r="V272" s="187">
        <f>IF(D272=År1,P272,SUM(O272,P272))*IFERROR(VLOOKUP(A272,[1]Tørstofindhold!A$2:B$24,2,FALSE),0)</f>
        <v>0</v>
      </c>
      <c r="W272" s="187">
        <f>J272*IFERROR(VLOOKUP(A272,[1]Tørstofindhold!A$2:B$24,2,FALSE),0)</f>
        <v>0</v>
      </c>
      <c r="X272" s="188">
        <f t="shared" si="65"/>
        <v>0</v>
      </c>
      <c r="Y272" s="168">
        <f t="shared" si="76"/>
        <v>0</v>
      </c>
      <c r="Z272" s="103">
        <f t="shared" si="77"/>
        <v>1</v>
      </c>
    </row>
    <row r="273" spans="1:26" x14ac:dyDescent="0.25">
      <c r="A273" s="189" t="str">
        <f t="shared" si="72"/>
        <v>Øvrige</v>
      </c>
      <c r="B273" s="189" t="str">
        <f t="shared" si="73"/>
        <v/>
      </c>
      <c r="C273" s="189">
        <f>IF(COUNTIFS('Resultater - Danmark'!$D$3:$D$504,'Resultat-Produktion &amp; forbrug'!A273,'Resultater - Danmark'!$A$3:$A$504,"Til energi")+COUNTIFS('Resultater - Danmark'!$D$3:$D$504,'Resultat-Produktion &amp; forbrug'!A273,'Resultater - Danmark'!$A$3:$A$504,"Biogasanlæg")&gt;0,1,0)</f>
        <v>0</v>
      </c>
      <c r="D273" s="189">
        <f t="shared" si="74"/>
        <v>2050</v>
      </c>
      <c r="E273" s="187" t="s">
        <v>24</v>
      </c>
      <c r="F273" s="190">
        <f>IF(E273="Vestdanmark",SUMIFS(IF(D273=År1,'Resultater - Vestdanmark'!H$3:H$504,IF(D273=År2,'Resultater - Vestdanmark'!I$3:I$504,'Resultater - Vestdanmark'!J$3:J$504)),'Resultater - Vestdanmark'!$F$3:$F$504,$A273,IF(D273=År1,'Resultater - Vestdanmark'!H$3:H$504,IF(D273=År2,'Resultater - Vestdanmark'!I$3:I$504,'Resultater - Vestdanmark'!J$3:J$504)),"&gt;0"),SUMIFS(IF(D273=År1,'Resultater - Østdanmark'!H$3:H$504,IF(D273=År2,'Resultater - Østdanmark'!I$3:I$504,'Resultater - Østdanmark'!J$3:J$504)),'Resultater - Østdanmark'!$F$3:$F$504,$A273,IF(D273=År1,'Resultater - Østdanmark'!H$3:H$504,IF(D273=År2,'Resultater - Østdanmark'!I$3:I$504,'Resultater - Østdanmark'!J$3:J$504)),"&gt;0"))</f>
        <v>434940.78739744844</v>
      </c>
      <c r="G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forbrug'!G$2,'Forbrug af biomasse'!$B$2:$B$425,$E273)</f>
        <v>0</v>
      </c>
      <c r="H273" s="187">
        <f>IF(E273="Vestdanmark",-IF(A273="Halm",SUMIFS(IF(D273=År1,'Resultater - Vestdanmark'!H$3:H$504,IF(D273=År2,'Resultater - Vestdanmark'!I$3:I$504,'Resultater - Vestdanmark'!J$3:J$504)),'Resultater - Vestdanmark'!$F$3:$F$504,$A273,'Resultater - Vestdanmark'!H$3:H$504,"&lt;0"),0),-IF(A273="Halm",SUMIFS(IF(D273=År1,'Resultater - Østdanmark'!H$3:H$504,IF(D273=År2,'Resultater - Østdanmark'!I$3:I$504,'Resultater - Østdanmark'!J$3:J$504)),'Resultater - Østdanmark'!$F$3:$F$504,$A273,'Resultater - Østdanmark'!H$3:H$504,"&lt;0"),0))</f>
        <v>0</v>
      </c>
      <c r="I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forbrug'!I$2,'Forbrug af biomasse'!$B$2:$B$425,$E273)</f>
        <v>0</v>
      </c>
      <c r="J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forbrug'!J$2,'Forbrug af biomasse'!$B$2:$B$425,$E273)</f>
        <v>0</v>
      </c>
      <c r="K273" s="190">
        <f>SUMIFS('Forbrug af biomasse'!$E$2:$E$425,'Forbrug af biomasse'!$C$2:$C$425,'Resultat-Produktion &amp; forbrug'!$A273,'Forbrug af biomasse'!$D$2:$D$425,'Resultat-Produktion &amp; forbrug'!$D273,'Forbrug af biomasse'!$A$2:$A$425,'Resultat-Produktion &amp; forbrug'!K$2,'Forbrug af biomasse'!$B$2:$B$425,$E273)</f>
        <v>0</v>
      </c>
      <c r="L273" s="190">
        <f>IF(A273&lt;&gt;"Biogas",SUMIFS('Forbrug af biomasse'!$E$2:$E$425,'Forbrug af biomasse'!$C$2:$C$425,'Resultat-Produktion &amp; forbrug'!$A273,'Forbrug af biomasse'!$D$2:$D$425,'Resultat-Produktion &amp; forbrug'!$D273,'Forbrug af biomasse'!$A$2:$A$425,'Resultat-Produktion &amp; forbrug'!L$2,'Forbrug af biomasse'!$B$2:$B$425,$E273),F273)</f>
        <v>0</v>
      </c>
      <c r="M273" s="154">
        <f>SUMIFS('Forbrug af biomasse'!E:E,'Forbrug af biomasse'!C:C,'Resultat-Produktion &amp; forbrug'!$A273,'Forbrug af biomasse'!D:D,'Resultat-Produktion &amp; forbrug'!$D273,'Forbrug af biomasse'!G:G,1,'Forbrug af biomasse'!B:B,$E273)</f>
        <v>0</v>
      </c>
      <c r="N273" s="199">
        <f t="shared" si="62"/>
        <v>434940.78739744844</v>
      </c>
      <c r="O273" s="190">
        <f t="shared" si="75"/>
        <v>0</v>
      </c>
      <c r="P273" s="200">
        <f t="shared" si="63"/>
        <v>0</v>
      </c>
      <c r="Q273" s="187">
        <f>IFERROR(VLOOKUP(A273,[1]Energiindhold!$A$2:$C$11,3,FALSE),IFERROR(VLOOKUP(A273,[1]Biogasudbytte!$A$2:$B$18,2,FALSE)*[1]Energiindhold!$C$10,0))*O273</f>
        <v>0</v>
      </c>
      <c r="R273" s="187">
        <f>IF(A273&lt;&gt;"Biogas",IFERROR(VLOOKUP(A273,[1]Biogasudbytte!$A$2:$B$18,2,FALSE)*[1]Energiindhold!$C$10,0)*J273*IFERROR(VLOOKUP(A273,Biogasanlæg!$F$3:$G$8,2,FALSE),1)+IFERROR(VLOOKUP(A273,[1]Energiindhold!$A$2:$C$11,3,FALSE),0)*L273+IF(D273&lt;&gt;År1,Q273,0),0)</f>
        <v>0</v>
      </c>
      <c r="S273" s="187">
        <f>IFERROR(VLOOKUP(A273,[1]Biogasudbytte!$A$2:$B$18,2,FALSE)*[1]Energiindhold!$C$10,0)*J273*IFERROR(VLOOKUP(A273,Biogasanlæg!$F$3:$G$8,2,FALSE),1)</f>
        <v>0</v>
      </c>
      <c r="T273" s="188">
        <f t="shared" si="64"/>
        <v>0</v>
      </c>
      <c r="U273" s="186">
        <f>O273*IFERROR(VLOOKUP(A273,[1]Tørstofindhold!A$2:B$24,2,FALSE),0)</f>
        <v>0</v>
      </c>
      <c r="V273" s="187">
        <f>IF(D273=År1,P273,SUM(O273,P273))*IFERROR(VLOOKUP(A273,[1]Tørstofindhold!A$2:B$24,2,FALSE),0)</f>
        <v>0</v>
      </c>
      <c r="W273" s="187">
        <f>J273*IFERROR(VLOOKUP(A273,[1]Tørstofindhold!A$2:B$24,2,FALSE),0)</f>
        <v>0</v>
      </c>
      <c r="X273" s="188">
        <f t="shared" si="65"/>
        <v>0</v>
      </c>
      <c r="Y273" s="168">
        <f t="shared" si="76"/>
        <v>0</v>
      </c>
      <c r="Z273" s="103">
        <f t="shared" si="77"/>
        <v>1</v>
      </c>
    </row>
    <row r="274" spans="1:26" x14ac:dyDescent="0.25">
      <c r="A274" s="189" t="str">
        <f t="shared" si="72"/>
        <v>Pil &amp; poppel</v>
      </c>
      <c r="B274" s="189" t="str">
        <f t="shared" si="73"/>
        <v>Vedmasse</v>
      </c>
      <c r="C274" s="189">
        <f>IF(COUNTIFS('Resultater - Danmark'!$D$3:$D$504,'Resultat-Produktion &amp; forbrug'!A274,'Resultater - Danmark'!$A$3:$A$504,"Til energi")+COUNTIFS('Resultater - Danmark'!$D$3:$D$504,'Resultat-Produktion &amp; forbrug'!A274,'Resultater - Danmark'!$A$3:$A$504,"Biogasanlæg")&gt;0,1,0)</f>
        <v>1</v>
      </c>
      <c r="D274" s="189">
        <f t="shared" si="74"/>
        <v>2050</v>
      </c>
      <c r="E274" s="187" t="s">
        <v>24</v>
      </c>
      <c r="F274" s="190">
        <f>IF(E274="Vestdanmark",SUMIFS(IF(D274=År1,'Resultater - Vestdanmark'!H$3:H$504,IF(D274=År2,'Resultater - Vestdanmark'!I$3:I$504,'Resultater - Vestdanmark'!J$3:J$504)),'Resultater - Vestdanmark'!$F$3:$F$504,$A274,IF(D274=År1,'Resultater - Vestdanmark'!H$3:H$504,IF(D274=År2,'Resultater - Vestdanmark'!I$3:I$504,'Resultater - Vestdanmark'!J$3:J$504)),"&gt;0"),SUMIFS(IF(D274=År1,'Resultater - Østdanmark'!H$3:H$504,IF(D274=År2,'Resultater - Østdanmark'!I$3:I$504,'Resultater - Østdanmark'!J$3:J$504)),'Resultater - Østdanmark'!$F$3:$F$504,$A274,IF(D274=År1,'Resultater - Østdanmark'!H$3:H$504,IF(D274=År2,'Resultater - Østdanmark'!I$3:I$504,'Resultater - Østdanmark'!J$3:J$504)),"&gt;0"))</f>
        <v>42440.412782955995</v>
      </c>
      <c r="G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forbrug'!G$2,'Forbrug af biomasse'!$B$2:$B$425,$E274)</f>
        <v>0</v>
      </c>
      <c r="H274" s="187">
        <f>IF(E274="Vestdanmark",-IF(A274="Halm",SUMIFS(IF(D274=År1,'Resultater - Vestdanmark'!H$3:H$504,IF(D274=År2,'Resultater - Vestdanmark'!I$3:I$504,'Resultater - Vestdanmark'!J$3:J$504)),'Resultater - Vestdanmark'!$F$3:$F$504,$A274,'Resultater - Vestdanmark'!H$3:H$504,"&lt;0"),0),-IF(A274="Halm",SUMIFS(IF(D274=År1,'Resultater - Østdanmark'!H$3:H$504,IF(D274=År2,'Resultater - Østdanmark'!I$3:I$504,'Resultater - Østdanmark'!J$3:J$504)),'Resultater - Østdanmark'!$F$3:$F$504,$A274,'Resultater - Østdanmark'!H$3:H$504,"&lt;0"),0))</f>
        <v>0</v>
      </c>
      <c r="I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forbrug'!I$2,'Forbrug af biomasse'!$B$2:$B$425,$E274)</f>
        <v>0</v>
      </c>
      <c r="J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forbrug'!J$2,'Forbrug af biomasse'!$B$2:$B$425,$E274)</f>
        <v>0</v>
      </c>
      <c r="K274" s="190">
        <f>SUMIFS('Forbrug af biomasse'!$E$2:$E$425,'Forbrug af biomasse'!$C$2:$C$425,'Resultat-Produktion &amp; forbrug'!$A274,'Forbrug af biomasse'!$D$2:$D$425,'Resultat-Produktion &amp; forbrug'!$D274,'Forbrug af biomasse'!$A$2:$A$425,'Resultat-Produktion &amp; forbrug'!K$2,'Forbrug af biomasse'!$B$2:$B$425,$E274)</f>
        <v>0</v>
      </c>
      <c r="L274" s="190">
        <f>IF(A274&lt;&gt;"Biogas",SUMIFS('Forbrug af biomasse'!$E$2:$E$425,'Forbrug af biomasse'!$C$2:$C$425,'Resultat-Produktion &amp; forbrug'!$A274,'Forbrug af biomasse'!$D$2:$D$425,'Resultat-Produktion &amp; forbrug'!$D274,'Forbrug af biomasse'!$A$2:$A$425,'Resultat-Produktion &amp; forbrug'!L$2,'Forbrug af biomasse'!$B$2:$B$425,$E274),F274)</f>
        <v>42440.412782955995</v>
      </c>
      <c r="M274" s="154">
        <f>SUMIFS('Forbrug af biomasse'!E:E,'Forbrug af biomasse'!C:C,'Resultat-Produktion &amp; forbrug'!$A274,'Forbrug af biomasse'!D:D,'Resultat-Produktion &amp; forbrug'!$D274,'Forbrug af biomasse'!G:G,1,'Forbrug af biomasse'!B:B,$E274)</f>
        <v>0</v>
      </c>
      <c r="N274" s="199">
        <f t="shared" si="62"/>
        <v>0</v>
      </c>
      <c r="O274" s="190">
        <f t="shared" si="75"/>
        <v>0</v>
      </c>
      <c r="P274" s="200">
        <f t="shared" si="63"/>
        <v>42440.412782955995</v>
      </c>
      <c r="Q274" s="187">
        <f>IFERROR(VLOOKUP(A274,[1]Energiindhold!$A$2:$C$11,3,FALSE),IFERROR(VLOOKUP(A274,[1]Biogasudbytte!$A$2:$B$18,2,FALSE)*[1]Energiindhold!$C$10,0))*O274</f>
        <v>0</v>
      </c>
      <c r="R274" s="187">
        <f>IF(A274&lt;&gt;"Biogas",IFERROR(VLOOKUP(A274,[1]Biogasudbytte!$A$2:$B$18,2,FALSE)*[1]Energiindhold!$C$10,0)*J274*IFERROR(VLOOKUP(A274,Biogasanlæg!$F$3:$G$8,2,FALSE),1)+IFERROR(VLOOKUP(A274,[1]Energiindhold!$A$2:$C$11,3,FALSE),0)*L274+IF(D274&lt;&gt;År1,Q274,0),0)</f>
        <v>0.78090359520639019</v>
      </c>
      <c r="S274" s="187">
        <f>IFERROR(VLOOKUP(A274,[1]Biogasudbytte!$A$2:$B$18,2,FALSE)*[1]Energiindhold!$C$10,0)*J274*IFERROR(VLOOKUP(A274,Biogasanlæg!$F$3:$G$8,2,FALSE),1)</f>
        <v>0</v>
      </c>
      <c r="T274" s="188">
        <f t="shared" si="64"/>
        <v>0.78090359520639019</v>
      </c>
      <c r="U274" s="186">
        <f>O274*IFERROR(VLOOKUP(A274,[1]Tørstofindhold!A$2:B$24,2,FALSE),0)</f>
        <v>0</v>
      </c>
      <c r="V274" s="187">
        <f>IF(D274=År1,P274,SUM(O274,P274))*IFERROR(VLOOKUP(A274,[1]Tørstofindhold!A$2:B$24,2,FALSE),0)</f>
        <v>17612.77130492674</v>
      </c>
      <c r="W274" s="187">
        <f>J274*IFERROR(VLOOKUP(A274,[1]Tørstofindhold!A$2:B$24,2,FALSE),0)</f>
        <v>0</v>
      </c>
      <c r="X274" s="188">
        <f t="shared" si="65"/>
        <v>17612.77130492674</v>
      </c>
      <c r="Y274" s="168">
        <f t="shared" si="76"/>
        <v>0</v>
      </c>
      <c r="Z274" s="103">
        <f t="shared" si="77"/>
        <v>0</v>
      </c>
    </row>
    <row r="275" spans="1:26" x14ac:dyDescent="0.25">
      <c r="A275" s="189" t="str">
        <f t="shared" ref="A275:A276" si="78">A227</f>
        <v>Pyrolysegas</v>
      </c>
      <c r="B275" s="189" t="str">
        <f t="shared" ref="B275:B276" si="79">IF(B227&lt;&gt;"",B227,"")</f>
        <v>Pyrolyseprodukter</v>
      </c>
      <c r="C275" s="189">
        <f>IF(COUNTIFS('Resultater - Danmark'!$D$3:$D$504,'Resultat-Produktion &amp; forbrug'!A275,'Resultater - Danmark'!$A$3:$A$504,"Til energi")+COUNTIFS('Resultater - Danmark'!$D$3:$D$504,'Resultat-Produktion &amp; forbrug'!A275,'Resultater - Danmark'!$A$3:$A$504,"Biogasanlæg")&gt;0,1,0)</f>
        <v>1</v>
      </c>
      <c r="D275" s="189">
        <f t="shared" si="74"/>
        <v>2050</v>
      </c>
      <c r="E275" s="187" t="s">
        <v>24</v>
      </c>
      <c r="F275" s="190">
        <f>IF(E275="Vestdanmark",SUMIFS(IF(D275=År1,'Resultater - Vestdanmark'!H$3:H$504,IF(D275=År2,'Resultater - Vestdanmark'!I$3:I$504,'Resultater - Vestdanmark'!J$3:J$504)),'Resultater - Vestdanmark'!$F$3:$F$504,$A275,IF(D275=År1,'Resultater - Vestdanmark'!H$3:H$504,IF(D275=År2,'Resultater - Vestdanmark'!I$3:I$504,'Resultater - Vestdanmark'!J$3:J$504)),"&gt;0"),SUMIFS(IF(D275=År1,'Resultater - Østdanmark'!H$3:H$504,IF(D275=År2,'Resultater - Østdanmark'!I$3:I$504,'Resultater - Østdanmark'!J$3:J$504)),'Resultater - Østdanmark'!$F$3:$F$504,$A275,IF(D275=År1,'Resultater - Østdanmark'!H$3:H$504,IF(D275=År2,'Resultater - Østdanmark'!I$3:I$504,'Resultater - Østdanmark'!J$3:J$504)),"&gt;0"))</f>
        <v>0</v>
      </c>
      <c r="G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forbrug'!G$2,'Forbrug af biomasse'!$B$2:$B$425,$E275)</f>
        <v>0</v>
      </c>
      <c r="H275" s="187">
        <f>IF(E275="Vestdanmark",-IF(A275="Halm",SUMIFS(IF(D275=År1,'Resultater - Vestdanmark'!H$3:H$504,IF(D275=År2,'Resultater - Vestdanmark'!I$3:I$504,'Resultater - Vestdanmark'!J$3:J$504)),'Resultater - Vestdanmark'!$F$3:$F$504,$A275,'Resultater - Vestdanmark'!H$3:H$504,"&lt;0"),0),-IF(A275="Halm",SUMIFS(IF(D275=År1,'Resultater - Østdanmark'!H$3:H$504,IF(D275=År2,'Resultater - Østdanmark'!I$3:I$504,'Resultater - Østdanmark'!J$3:J$504)),'Resultater - Østdanmark'!$F$3:$F$504,$A275,'Resultater - Østdanmark'!H$3:H$504,"&lt;0"),0))</f>
        <v>0</v>
      </c>
      <c r="I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forbrug'!I$2,'Forbrug af biomasse'!$B$2:$B$425,$E275)</f>
        <v>0</v>
      </c>
      <c r="J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forbrug'!J$2,'Forbrug af biomasse'!$B$2:$B$425,$E275)</f>
        <v>0</v>
      </c>
      <c r="K275" s="190">
        <f>SUMIFS('Forbrug af biomasse'!$E$2:$E$425,'Forbrug af biomasse'!$C$2:$C$425,'Resultat-Produktion &amp; forbrug'!$A275,'Forbrug af biomasse'!$D$2:$D$425,'Resultat-Produktion &amp; forbrug'!$D275,'Forbrug af biomasse'!$A$2:$A$425,'Resultat-Produktion &amp; forbrug'!K$2,'Forbrug af biomasse'!$B$2:$B$425,$E275)</f>
        <v>0</v>
      </c>
      <c r="L275" s="190">
        <f>IF(A275&lt;&gt;"Biogas",SUMIFS('Forbrug af biomasse'!$E$2:$E$425,'Forbrug af biomasse'!$C$2:$C$425,'Resultat-Produktion &amp; forbrug'!$A275,'Forbrug af biomasse'!$D$2:$D$425,'Resultat-Produktion &amp; forbrug'!$D275,'Forbrug af biomasse'!$A$2:$A$425,'Resultat-Produktion &amp; forbrug'!L$2,'Forbrug af biomasse'!$B$2:$B$425,$E275),F275)</f>
        <v>0</v>
      </c>
      <c r="M275" s="154">
        <f>SUMIFS('Forbrug af biomasse'!E:E,'Forbrug af biomasse'!C:C,'Resultat-Produktion &amp; forbrug'!$A275,'Forbrug af biomasse'!D:D,'Resultat-Produktion &amp; forbrug'!$D275,'Forbrug af biomasse'!G:G,1,'Forbrug af biomasse'!B:B,$E275)</f>
        <v>0</v>
      </c>
      <c r="N275" s="199">
        <f t="shared" ref="N275:N276" si="80">F275-SUM(G275:M275)</f>
        <v>0</v>
      </c>
      <c r="O275" s="190">
        <f t="shared" ref="O275:O276" si="81">IF(C275=1,IF(N275+IF(SUMIFS($N$3:$N$290,$A$3:$A$290,A275,$D$3:$D$290,D275,$E$3:$E$290,"&lt;&gt;"&amp;E275)&lt;0,SUMIFS($N$3:$N$290,$A$3:$A$290,A275,$D$3:$D$290,D275,$E$3:$E$290,"&lt;&gt;"&amp;E275),0)&gt;0,N275+IF(SUMIFS($N$3:$N$290,$A$3:$A$290,A275,$D$3:$D$290,D275,$E$3:$E$290,"&lt;&gt;"&amp;E275)&lt;0,SUMIFS($N$3:$N$290,$A$3:$A$290,A275,$D$3:$D$290,D275,$E$3:$E$290,"&lt;&gt;"&amp;E275),0),0),0)</f>
        <v>0</v>
      </c>
      <c r="P275" s="200">
        <f t="shared" ref="P275:P276" si="82">SUM(J275,L275)</f>
        <v>0</v>
      </c>
      <c r="Q275" s="187">
        <f>IFERROR(VLOOKUP(A275,[1]Energiindhold!$A$2:$C$11,3,FALSE),IFERROR(VLOOKUP(A275,[1]Biogasudbytte!$A$2:$B$18,2,FALSE)*[1]Energiindhold!$C$10,0))*O275</f>
        <v>0</v>
      </c>
      <c r="R275" s="187">
        <f>IF(A275&lt;&gt;"Biogas",IFERROR(VLOOKUP(A275,[1]Biogasudbytte!$A$2:$B$18,2,FALSE)*[1]Energiindhold!$C$10,0)*J275*IFERROR(VLOOKUP(A275,Biogasanlæg!$F$3:$G$8,2,FALSE),1)+IFERROR(VLOOKUP(A275,[1]Energiindhold!$A$2:$C$11,3,FALSE),0)*L275+IF(D275&lt;&gt;År1,Q275,0),0)</f>
        <v>0</v>
      </c>
      <c r="S275" s="187">
        <f>IFERROR(VLOOKUP(A275,[1]Biogasudbytte!$A$2:$B$18,2,FALSE)*[1]Energiindhold!$C$10,0)*J275*IFERROR(VLOOKUP(A275,Biogasanlæg!$F$3:$G$8,2,FALSE),1)</f>
        <v>0</v>
      </c>
      <c r="T275" s="188">
        <f t="shared" ref="T275:T276" si="83">R275-S275</f>
        <v>0</v>
      </c>
      <c r="U275" s="186">
        <f>O275*IFERROR(VLOOKUP(A275,[1]Tørstofindhold!A$2:B$24,2,FALSE),0)</f>
        <v>0</v>
      </c>
      <c r="V275" s="187">
        <f>IF(D275=År1,P275,SUM(O275,P275))*IFERROR(VLOOKUP(A275,[1]Tørstofindhold!A$2:B$24,2,FALSE),0)</f>
        <v>0</v>
      </c>
      <c r="W275" s="187">
        <f>J275*IFERROR(VLOOKUP(A275,[1]Tørstofindhold!A$2:B$24,2,FALSE),0)</f>
        <v>0</v>
      </c>
      <c r="X275" s="188">
        <f t="shared" ref="X275:X276" si="84">V275-W275</f>
        <v>0</v>
      </c>
      <c r="Y275" s="168">
        <f t="shared" ref="Y275:Y276" si="85">IF(SUMIFS($N$3:$N$290,$A$3:$A$290,A275,$D$3:$D$290,D275)&lt;0,1,0)</f>
        <v>0</v>
      </c>
      <c r="Z275" s="103">
        <f t="shared" ref="Z275:Z276" si="86">IF(SUMIFS($N$3:$N$290,$A$3:$A$290,A275,$D$3:$D$290,D275)&gt;0,1,0)</f>
        <v>0</v>
      </c>
    </row>
    <row r="276" spans="1:26" x14ac:dyDescent="0.25">
      <c r="A276" s="189" t="str">
        <f t="shared" si="78"/>
        <v>Pyrolyseolie</v>
      </c>
      <c r="B276" s="189" t="str">
        <f t="shared" si="79"/>
        <v>Pyrolyseprodukter</v>
      </c>
      <c r="C276" s="189">
        <f>IF(COUNTIFS('Resultater - Danmark'!$D$3:$D$504,'Resultat-Produktion &amp; forbrug'!A276,'Resultater - Danmark'!$A$3:$A$504,"Til energi")+COUNTIFS('Resultater - Danmark'!$D$3:$D$504,'Resultat-Produktion &amp; forbrug'!A276,'Resultater - Danmark'!$A$3:$A$504,"Biogasanlæg")&gt;0,1,0)</f>
        <v>1</v>
      </c>
      <c r="D276" s="189">
        <f t="shared" si="74"/>
        <v>2050</v>
      </c>
      <c r="E276" s="187" t="s">
        <v>24</v>
      </c>
      <c r="F276" s="190">
        <f>IF(E276="Vestdanmark",SUMIFS(IF(D276=År1,'Resultater - Vestdanmark'!H$3:H$504,IF(D276=År2,'Resultater - Vestdanmark'!I$3:I$504,'Resultater - Vestdanmark'!J$3:J$504)),'Resultater - Vestdanmark'!$F$3:$F$504,$A276,IF(D276=År1,'Resultater - Vestdanmark'!H$3:H$504,IF(D276=År2,'Resultater - Vestdanmark'!I$3:I$504,'Resultater - Vestdanmark'!J$3:J$504)),"&gt;0"),SUMIFS(IF(D276=År1,'Resultater - Østdanmark'!H$3:H$504,IF(D276=År2,'Resultater - Østdanmark'!I$3:I$504,'Resultater - Østdanmark'!J$3:J$504)),'Resultater - Østdanmark'!$F$3:$F$504,$A276,IF(D276=År1,'Resultater - Østdanmark'!H$3:H$504,IF(D276=År2,'Resultater - Østdanmark'!I$3:I$504,'Resultater - Østdanmark'!J$3:J$504)),"&gt;0"))</f>
        <v>0</v>
      </c>
      <c r="G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forbrug'!G$2,'Forbrug af biomasse'!$B$2:$B$425,$E276)</f>
        <v>0</v>
      </c>
      <c r="H276" s="187">
        <f>IF(E276="Vestdanmark",-IF(A276="Halm",SUMIFS(IF(D276=År1,'Resultater - Vestdanmark'!H$3:H$504,IF(D276=År2,'Resultater - Vestdanmark'!I$3:I$504,'Resultater - Vestdanmark'!J$3:J$504)),'Resultater - Vestdanmark'!$F$3:$F$504,$A276,'Resultater - Vestdanmark'!H$3:H$504,"&lt;0"),0),-IF(A276="Halm",SUMIFS(IF(D276=År1,'Resultater - Østdanmark'!H$3:H$504,IF(D276=År2,'Resultater - Østdanmark'!I$3:I$504,'Resultater - Østdanmark'!J$3:J$504)),'Resultater - Østdanmark'!$F$3:$F$504,$A276,'Resultater - Østdanmark'!H$3:H$504,"&lt;0"),0))</f>
        <v>0</v>
      </c>
      <c r="I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forbrug'!I$2,'Forbrug af biomasse'!$B$2:$B$425,$E276)</f>
        <v>0</v>
      </c>
      <c r="J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forbrug'!J$2,'Forbrug af biomasse'!$B$2:$B$425,$E276)</f>
        <v>0</v>
      </c>
      <c r="K276" s="190">
        <f>SUMIFS('Forbrug af biomasse'!$E$2:$E$425,'Forbrug af biomasse'!$C$2:$C$425,'Resultat-Produktion &amp; forbrug'!$A276,'Forbrug af biomasse'!$D$2:$D$425,'Resultat-Produktion &amp; forbrug'!$D276,'Forbrug af biomasse'!$A$2:$A$425,'Resultat-Produktion &amp; forbrug'!K$2,'Forbrug af biomasse'!$B$2:$B$425,$E276)</f>
        <v>0</v>
      </c>
      <c r="L276" s="190">
        <f>IF(A276&lt;&gt;"Biogas",SUMIFS('Forbrug af biomasse'!$E$2:$E$425,'Forbrug af biomasse'!$C$2:$C$425,'Resultat-Produktion &amp; forbrug'!$A276,'Forbrug af biomasse'!$D$2:$D$425,'Resultat-Produktion &amp; forbrug'!$D276,'Forbrug af biomasse'!$A$2:$A$425,'Resultat-Produktion &amp; forbrug'!L$2,'Forbrug af biomasse'!$B$2:$B$425,$E276),F276)</f>
        <v>0</v>
      </c>
      <c r="M276" s="154">
        <f>SUMIFS('Forbrug af biomasse'!E:E,'Forbrug af biomasse'!C:C,'Resultat-Produktion &amp; forbrug'!$A276,'Forbrug af biomasse'!D:D,'Resultat-Produktion &amp; forbrug'!$D276,'Forbrug af biomasse'!G:G,1,'Forbrug af biomasse'!B:B,$E276)</f>
        <v>0</v>
      </c>
      <c r="N276" s="199">
        <f t="shared" si="80"/>
        <v>0</v>
      </c>
      <c r="O276" s="190">
        <f t="shared" si="81"/>
        <v>0</v>
      </c>
      <c r="P276" s="200">
        <f t="shared" si="82"/>
        <v>0</v>
      </c>
      <c r="Q276" s="187">
        <f>IFERROR(VLOOKUP(A276,[1]Energiindhold!$A$2:$C$11,3,FALSE),IFERROR(VLOOKUP(A276,[1]Biogasudbytte!$A$2:$B$18,2,FALSE)*[1]Energiindhold!$C$10,0))*O276</f>
        <v>0</v>
      </c>
      <c r="R276" s="187">
        <f>IF(A276&lt;&gt;"Biogas",IFERROR(VLOOKUP(A276,[1]Biogasudbytte!$A$2:$B$18,2,FALSE)*[1]Energiindhold!$C$10,0)*J276*IFERROR(VLOOKUP(A276,Biogasanlæg!$F$3:$G$8,2,FALSE),1)+IFERROR(VLOOKUP(A276,[1]Energiindhold!$A$2:$C$11,3,FALSE),0)*L276+IF(D276&lt;&gt;År1,Q276,0),0)</f>
        <v>0</v>
      </c>
      <c r="S276" s="187">
        <f>IFERROR(VLOOKUP(A276,[1]Biogasudbytte!$A$2:$B$18,2,FALSE)*[1]Energiindhold!$C$10,0)*J276*IFERROR(VLOOKUP(A276,Biogasanlæg!$F$3:$G$8,2,FALSE),1)</f>
        <v>0</v>
      </c>
      <c r="T276" s="188">
        <f t="shared" si="83"/>
        <v>0</v>
      </c>
      <c r="U276" s="186">
        <f>O276*IFERROR(VLOOKUP(A276,[1]Tørstofindhold!A$2:B$24,2,FALSE),0)</f>
        <v>0</v>
      </c>
      <c r="V276" s="187">
        <f>IF(D276=År1,P276,SUM(O276,P276))*IFERROR(VLOOKUP(A276,[1]Tørstofindhold!A$2:B$24,2,FALSE),0)</f>
        <v>0</v>
      </c>
      <c r="W276" s="187">
        <f>J276*IFERROR(VLOOKUP(A276,[1]Tørstofindhold!A$2:B$24,2,FALSE),0)</f>
        <v>0</v>
      </c>
      <c r="X276" s="188">
        <f t="shared" si="84"/>
        <v>0</v>
      </c>
      <c r="Y276" s="168">
        <f t="shared" si="85"/>
        <v>0</v>
      </c>
      <c r="Z276" s="103">
        <f t="shared" si="86"/>
        <v>0</v>
      </c>
    </row>
    <row r="277" spans="1:26" x14ac:dyDescent="0.25">
      <c r="A277" s="189" t="str">
        <f t="shared" ref="A277:A290" si="87">A229</f>
        <v>Råmælk</v>
      </c>
      <c r="B277" s="189" t="str">
        <f t="shared" ref="B277:B290" si="88">IF(B229&lt;&gt;"",B229,"")</f>
        <v/>
      </c>
      <c r="C277" s="189">
        <f>IF(COUNTIFS('Resultater - Danmark'!$D$3:$D$504,'Resultat-Produktion &amp; forbrug'!A277,'Resultater - Danmark'!$A$3:$A$504,"Til energi")+COUNTIFS('Resultater - Danmark'!$D$3:$D$504,'Resultat-Produktion &amp; forbrug'!A277,'Resultater - Danmark'!$A$3:$A$504,"Biogasanlæg")&gt;0,1,0)</f>
        <v>0</v>
      </c>
      <c r="D277" s="189">
        <f t="shared" si="74"/>
        <v>2050</v>
      </c>
      <c r="E277" s="187" t="s">
        <v>24</v>
      </c>
      <c r="F277" s="190">
        <f>IF(E277="Vestdanmark",SUMIFS(IF(D277=År1,'Resultater - Vestdanmark'!H$3:H$504,IF(D277=År2,'Resultater - Vestdanmark'!I$3:I$504,'Resultater - Vestdanmark'!J$3:J$504)),'Resultater - Vestdanmark'!$F$3:$F$504,$A277,IF(D277=År1,'Resultater - Vestdanmark'!H$3:H$504,IF(D277=År2,'Resultater - Vestdanmark'!I$3:I$504,'Resultater - Vestdanmark'!J$3:J$504)),"&gt;0"),SUMIFS(IF(D277=År1,'Resultater - Østdanmark'!H$3:H$504,IF(D277=År2,'Resultater - Østdanmark'!I$3:I$504,'Resultater - Østdanmark'!J$3:J$504)),'Resultater - Østdanmark'!$F$3:$F$504,$A277,IF(D277=År1,'Resultater - Østdanmark'!H$3:H$504,IF(D277=År2,'Resultater - Østdanmark'!I$3:I$504,'Resultater - Østdanmark'!J$3:J$504)),"&gt;0"))</f>
        <v>407677.27631652972</v>
      </c>
      <c r="G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forbrug'!G$2,'Forbrug af biomasse'!$B$2:$B$425,$E277)</f>
        <v>0</v>
      </c>
      <c r="H277" s="187">
        <f>IF(E277="Vestdanmark",-IF(A277="Halm",SUMIFS(IF(D277=År1,'Resultater - Vestdanmark'!H$3:H$504,IF(D277=År2,'Resultater - Vestdanmark'!I$3:I$504,'Resultater - Vestdanmark'!J$3:J$504)),'Resultater - Vestdanmark'!$F$3:$F$504,$A277,'Resultater - Vestdanmark'!H$3:H$504,"&lt;0"),0),-IF(A277="Halm",SUMIFS(IF(D277=År1,'Resultater - Østdanmark'!H$3:H$504,IF(D277=År2,'Resultater - Østdanmark'!I$3:I$504,'Resultater - Østdanmark'!J$3:J$504)),'Resultater - Østdanmark'!$F$3:$F$504,$A277,'Resultater - Østdanmark'!H$3:H$504,"&lt;0"),0))</f>
        <v>0</v>
      </c>
      <c r="I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forbrug'!I$2,'Forbrug af biomasse'!$B$2:$B$425,$E277)</f>
        <v>0</v>
      </c>
      <c r="J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forbrug'!J$2,'Forbrug af biomasse'!$B$2:$B$425,$E277)</f>
        <v>0</v>
      </c>
      <c r="K277" s="190">
        <f>SUMIFS('Forbrug af biomasse'!$E$2:$E$425,'Forbrug af biomasse'!$C$2:$C$425,'Resultat-Produktion &amp; forbrug'!$A277,'Forbrug af biomasse'!$D$2:$D$425,'Resultat-Produktion &amp; forbrug'!$D277,'Forbrug af biomasse'!$A$2:$A$425,'Resultat-Produktion &amp; forbrug'!K$2,'Forbrug af biomasse'!$B$2:$B$425,$E277)</f>
        <v>0</v>
      </c>
      <c r="L277" s="190">
        <f>IF(A277&lt;&gt;"Biogas",SUMIFS('Forbrug af biomasse'!$E$2:$E$425,'Forbrug af biomasse'!$C$2:$C$425,'Resultat-Produktion &amp; forbrug'!$A277,'Forbrug af biomasse'!$D$2:$D$425,'Resultat-Produktion &amp; forbrug'!$D277,'Forbrug af biomasse'!$A$2:$A$425,'Resultat-Produktion &amp; forbrug'!L$2,'Forbrug af biomasse'!$B$2:$B$425,$E277),F277)</f>
        <v>0</v>
      </c>
      <c r="M277" s="154">
        <f>SUMIFS('Forbrug af biomasse'!E:E,'Forbrug af biomasse'!C:C,'Resultat-Produktion &amp; forbrug'!$A277,'Forbrug af biomasse'!D:D,'Resultat-Produktion &amp; forbrug'!$D277,'Forbrug af biomasse'!G:G,1,'Forbrug af biomasse'!B:B,$E277)</f>
        <v>0</v>
      </c>
      <c r="N277" s="199">
        <f t="shared" si="62"/>
        <v>407677.27631652972</v>
      </c>
      <c r="O277" s="190">
        <f t="shared" ref="O277:O290" si="89">IF(C277=1,IF(N277+IF(SUMIFS($N$3:$N$290,$A$3:$A$290,A277,$D$3:$D$290,D277,$E$3:$E$290,"&lt;&gt;"&amp;E277)&lt;0,SUMIFS($N$3:$N$290,$A$3:$A$290,A277,$D$3:$D$290,D277,$E$3:$E$290,"&lt;&gt;"&amp;E277),0)&gt;0,N277+IF(SUMIFS($N$3:$N$290,$A$3:$A$290,A277,$D$3:$D$290,D277,$E$3:$E$290,"&lt;&gt;"&amp;E277)&lt;0,SUMIFS($N$3:$N$290,$A$3:$A$290,A277,$D$3:$D$290,D277,$E$3:$E$290,"&lt;&gt;"&amp;E277),0),0),0)</f>
        <v>0</v>
      </c>
      <c r="P277" s="200">
        <f t="shared" si="63"/>
        <v>0</v>
      </c>
      <c r="Q277" s="187">
        <f>IFERROR(VLOOKUP(A277,[1]Energiindhold!$A$2:$C$11,3,FALSE),IFERROR(VLOOKUP(A277,[1]Biogasudbytte!$A$2:$B$18,2,FALSE)*[1]Energiindhold!$C$10,0))*O277</f>
        <v>0</v>
      </c>
      <c r="R277" s="187">
        <f>IF(A277&lt;&gt;"Biogas",IFERROR(VLOOKUP(A277,[1]Biogasudbytte!$A$2:$B$18,2,FALSE)*[1]Energiindhold!$C$10,0)*J277*IFERROR(VLOOKUP(A277,Biogasanlæg!$F$3:$G$8,2,FALSE),1)+IFERROR(VLOOKUP(A277,[1]Energiindhold!$A$2:$C$11,3,FALSE),0)*L277+IF(D277&lt;&gt;År1,Q277,0),0)</f>
        <v>0</v>
      </c>
      <c r="S277" s="187">
        <f>IFERROR(VLOOKUP(A277,[1]Biogasudbytte!$A$2:$B$18,2,FALSE)*[1]Energiindhold!$C$10,0)*J277*IFERROR(VLOOKUP(A277,Biogasanlæg!$F$3:$G$8,2,FALSE),1)</f>
        <v>0</v>
      </c>
      <c r="T277" s="188">
        <f t="shared" si="64"/>
        <v>0</v>
      </c>
      <c r="U277" s="186">
        <f>O277*IFERROR(VLOOKUP(A277,[1]Tørstofindhold!A$2:B$24,2,FALSE),0)</f>
        <v>0</v>
      </c>
      <c r="V277" s="187">
        <f>IF(D277=År1,P277,SUM(O277,P277))*IFERROR(VLOOKUP(A277,[1]Tørstofindhold!A$2:B$24,2,FALSE),0)</f>
        <v>0</v>
      </c>
      <c r="W277" s="187">
        <f>J277*IFERROR(VLOOKUP(A277,[1]Tørstofindhold!A$2:B$24,2,FALSE),0)</f>
        <v>0</v>
      </c>
      <c r="X277" s="188">
        <f t="shared" si="65"/>
        <v>0</v>
      </c>
      <c r="Y277" s="168">
        <f t="shared" ref="Y277:Y290" si="90">IF(SUMIFS($N$3:$N$290,$A$3:$A$290,A277,$D$3:$D$290,D277)&lt;0,1,0)</f>
        <v>0</v>
      </c>
      <c r="Z277" s="103">
        <f t="shared" ref="Z277:Z290" si="91">IF(SUMIFS($N$3:$N$290,$A$3:$A$290,A277,$D$3:$D$290,D277)&gt;0,1,0)</f>
        <v>1</v>
      </c>
    </row>
    <row r="278" spans="1:26" x14ac:dyDescent="0.25">
      <c r="A278" s="189" t="str">
        <f t="shared" si="87"/>
        <v>Raps</v>
      </c>
      <c r="B278" s="189" t="str">
        <f t="shared" si="88"/>
        <v/>
      </c>
      <c r="C278" s="189">
        <f>IF(COUNTIFS('Resultater - Danmark'!$D$3:$D$504,'Resultat-Produktion &amp; forbrug'!A278,'Resultater - Danmark'!$A$3:$A$504,"Til energi")+COUNTIFS('Resultater - Danmark'!$D$3:$D$504,'Resultat-Produktion &amp; forbrug'!A278,'Resultater - Danmark'!$A$3:$A$504,"Biogasanlæg")&gt;0,1,0)</f>
        <v>0</v>
      </c>
      <c r="D278" s="189">
        <f t="shared" si="74"/>
        <v>2050</v>
      </c>
      <c r="E278" s="187" t="s">
        <v>24</v>
      </c>
      <c r="F278" s="190">
        <f>IF(E278="Vestdanmark",SUMIFS(IF(D278=År1,'Resultater - Vestdanmark'!H$3:H$504,IF(D278=År2,'Resultater - Vestdanmark'!I$3:I$504,'Resultater - Vestdanmark'!J$3:J$504)),'Resultater - Vestdanmark'!$F$3:$F$504,$A278,IF(D278=År1,'Resultater - Vestdanmark'!H$3:H$504,IF(D278=År2,'Resultater - Vestdanmark'!I$3:I$504,'Resultater - Vestdanmark'!J$3:J$504)),"&gt;0"),SUMIFS(IF(D278=År1,'Resultater - Østdanmark'!H$3:H$504,IF(D278=År2,'Resultater - Østdanmark'!I$3:I$504,'Resultater - Østdanmark'!J$3:J$504)),'Resultater - Østdanmark'!$F$3:$F$504,$A278,IF(D278=År1,'Resultater - Østdanmark'!H$3:H$504,IF(D278=År2,'Resultater - Østdanmark'!I$3:I$504,'Resultater - Østdanmark'!J$3:J$504)),"&gt;0"))</f>
        <v>211655.83028103792</v>
      </c>
      <c r="G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forbrug'!G$2,'Forbrug af biomasse'!$B$2:$B$425,$E278)</f>
        <v>0</v>
      </c>
      <c r="H278" s="187">
        <f>IF(E278="Vestdanmark",-IF(A278="Halm",SUMIFS(IF(D278=År1,'Resultater - Vestdanmark'!H$3:H$504,IF(D278=År2,'Resultater - Vestdanmark'!I$3:I$504,'Resultater - Vestdanmark'!J$3:J$504)),'Resultater - Vestdanmark'!$F$3:$F$504,$A278,'Resultater - Vestdanmark'!H$3:H$504,"&lt;0"),0),-IF(A278="Halm",SUMIFS(IF(D278=År1,'Resultater - Østdanmark'!H$3:H$504,IF(D278=År2,'Resultater - Østdanmark'!I$3:I$504,'Resultater - Østdanmark'!J$3:J$504)),'Resultater - Østdanmark'!$F$3:$F$504,$A278,'Resultater - Østdanmark'!H$3:H$504,"&lt;0"),0))</f>
        <v>0</v>
      </c>
      <c r="I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forbrug'!I$2,'Forbrug af biomasse'!$B$2:$B$425,$E278)</f>
        <v>0</v>
      </c>
      <c r="J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forbrug'!J$2,'Forbrug af biomasse'!$B$2:$B$425,$E278)</f>
        <v>0</v>
      </c>
      <c r="K278" s="190">
        <f>SUMIFS('Forbrug af biomasse'!$E$2:$E$425,'Forbrug af biomasse'!$C$2:$C$425,'Resultat-Produktion &amp; forbrug'!$A278,'Forbrug af biomasse'!$D$2:$D$425,'Resultat-Produktion &amp; forbrug'!$D278,'Forbrug af biomasse'!$A$2:$A$425,'Resultat-Produktion &amp; forbrug'!K$2,'Forbrug af biomasse'!$B$2:$B$425,$E278)</f>
        <v>0</v>
      </c>
      <c r="L278" s="190">
        <f>IF(A278&lt;&gt;"Biogas",SUMIFS('Forbrug af biomasse'!$E$2:$E$425,'Forbrug af biomasse'!$C$2:$C$425,'Resultat-Produktion &amp; forbrug'!$A278,'Forbrug af biomasse'!$D$2:$D$425,'Resultat-Produktion &amp; forbrug'!$D278,'Forbrug af biomasse'!$A$2:$A$425,'Resultat-Produktion &amp; forbrug'!L$2,'Forbrug af biomasse'!$B$2:$B$425,$E278),F278)</f>
        <v>0</v>
      </c>
      <c r="M278" s="154">
        <f>SUMIFS('Forbrug af biomasse'!E:E,'Forbrug af biomasse'!C:C,'Resultat-Produktion &amp; forbrug'!$A278,'Forbrug af biomasse'!D:D,'Resultat-Produktion &amp; forbrug'!$D278,'Forbrug af biomasse'!G:G,1,'Forbrug af biomasse'!B:B,$E278)</f>
        <v>211655.83028103792</v>
      </c>
      <c r="N278" s="199">
        <f t="shared" si="62"/>
        <v>0</v>
      </c>
      <c r="O278" s="190">
        <f t="shared" si="89"/>
        <v>0</v>
      </c>
      <c r="P278" s="200">
        <f t="shared" si="63"/>
        <v>0</v>
      </c>
      <c r="Q278" s="187">
        <f>IFERROR(VLOOKUP(A278,[1]Energiindhold!$A$2:$C$11,3,FALSE),IFERROR(VLOOKUP(A278,[1]Biogasudbytte!$A$2:$B$18,2,FALSE)*[1]Energiindhold!$C$10,0))*O278</f>
        <v>0</v>
      </c>
      <c r="R278" s="187">
        <f>IF(A278&lt;&gt;"Biogas",IFERROR(VLOOKUP(A278,[1]Biogasudbytte!$A$2:$B$18,2,FALSE)*[1]Energiindhold!$C$10,0)*J278*IFERROR(VLOOKUP(A278,Biogasanlæg!$F$3:$G$8,2,FALSE),1)+IFERROR(VLOOKUP(A278,[1]Energiindhold!$A$2:$C$11,3,FALSE),0)*L278+IF(D278&lt;&gt;År1,Q278,0),0)</f>
        <v>0</v>
      </c>
      <c r="S278" s="187">
        <f>IFERROR(VLOOKUP(A278,[1]Biogasudbytte!$A$2:$B$18,2,FALSE)*[1]Energiindhold!$C$10,0)*J278*IFERROR(VLOOKUP(A278,Biogasanlæg!$F$3:$G$8,2,FALSE),1)</f>
        <v>0</v>
      </c>
      <c r="T278" s="188">
        <f t="shared" si="64"/>
        <v>0</v>
      </c>
      <c r="U278" s="186">
        <f>O278*IFERROR(VLOOKUP(A278,[1]Tørstofindhold!A$2:B$24,2,FALSE),0)</f>
        <v>0</v>
      </c>
      <c r="V278" s="187">
        <f>IF(D278=År1,P278,SUM(O278,P278))*IFERROR(VLOOKUP(A278,[1]Tørstofindhold!A$2:B$24,2,FALSE),0)</f>
        <v>0</v>
      </c>
      <c r="W278" s="187">
        <f>J278*IFERROR(VLOOKUP(A278,[1]Tørstofindhold!A$2:B$24,2,FALSE),0)</f>
        <v>0</v>
      </c>
      <c r="X278" s="188">
        <f t="shared" si="65"/>
        <v>0</v>
      </c>
      <c r="Y278" s="168">
        <f t="shared" si="90"/>
        <v>0</v>
      </c>
      <c r="Z278" s="103">
        <f t="shared" si="91"/>
        <v>0</v>
      </c>
    </row>
    <row r="279" spans="1:26" x14ac:dyDescent="0.25">
      <c r="A279" s="189" t="str">
        <f t="shared" si="87"/>
        <v>Rapskage</v>
      </c>
      <c r="B279" s="189" t="str">
        <f t="shared" si="88"/>
        <v/>
      </c>
      <c r="C279" s="189">
        <f>IF(COUNTIFS('Resultater - Danmark'!$D$3:$D$504,'Resultat-Produktion &amp; forbrug'!A279,'Resultater - Danmark'!$A$3:$A$504,"Til energi")+COUNTIFS('Resultater - Danmark'!$D$3:$D$504,'Resultat-Produktion &amp; forbrug'!A279,'Resultater - Danmark'!$A$3:$A$504,"Biogasanlæg")&gt;0,1,0)</f>
        <v>0</v>
      </c>
      <c r="D279" s="189">
        <f t="shared" si="74"/>
        <v>2050</v>
      </c>
      <c r="E279" s="187" t="s">
        <v>24</v>
      </c>
      <c r="F279" s="190">
        <f>IF(E279="Vestdanmark",SUMIFS(IF(D279=År1,'Resultater - Vestdanmark'!H$3:H$504,IF(D279=År2,'Resultater - Vestdanmark'!I$3:I$504,'Resultater - Vestdanmark'!J$3:J$504)),'Resultater - Vestdanmark'!$F$3:$F$504,$A279,IF(D279=År1,'Resultater - Vestdanmark'!H$3:H$504,IF(D279=År2,'Resultater - Vestdanmark'!I$3:I$504,'Resultater - Vestdanmark'!J$3:J$504)),"&gt;0"),SUMIFS(IF(D279=År1,'Resultater - Østdanmark'!H$3:H$504,IF(D279=År2,'Resultater - Østdanmark'!I$3:I$504,'Resultater - Østdanmark'!J$3:J$504)),'Resultater - Østdanmark'!$F$3:$F$504,$A279,IF(D279=År1,'Resultater - Østdanmark'!H$3:H$504,IF(D279=År2,'Resultater - Østdanmark'!I$3:I$504,'Resultater - Østdanmark'!J$3:J$504)),"&gt;0"))</f>
        <v>105827.91514051896</v>
      </c>
      <c r="G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forbrug'!G$2,'Forbrug af biomasse'!$B$2:$B$425,$E279)</f>
        <v>31534.523402398052</v>
      </c>
      <c r="H279" s="187">
        <f>IF(E279="Vestdanmark",-IF(A279="Halm",SUMIFS(IF(D279=År1,'Resultater - Vestdanmark'!H$3:H$504,IF(D279=År2,'Resultater - Vestdanmark'!I$3:I$504,'Resultater - Vestdanmark'!J$3:J$504)),'Resultater - Vestdanmark'!$F$3:$F$504,$A279,'Resultater - Vestdanmark'!H$3:H$504,"&lt;0"),0),-IF(A279="Halm",SUMIFS(IF(D279=År1,'Resultater - Østdanmark'!H$3:H$504,IF(D279=År2,'Resultater - Østdanmark'!I$3:I$504,'Resultater - Østdanmark'!J$3:J$504)),'Resultater - Østdanmark'!$F$3:$F$504,$A279,'Resultater - Østdanmark'!H$3:H$504,"&lt;0"),0))</f>
        <v>0</v>
      </c>
      <c r="I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forbrug'!I$2,'Forbrug af biomasse'!$B$2:$B$425,$E279)</f>
        <v>0</v>
      </c>
      <c r="J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forbrug'!J$2,'Forbrug af biomasse'!$B$2:$B$425,$E279)</f>
        <v>0</v>
      </c>
      <c r="K279" s="190">
        <f>SUMIFS('Forbrug af biomasse'!$E$2:$E$425,'Forbrug af biomasse'!$C$2:$C$425,'Resultat-Produktion &amp; forbrug'!$A279,'Forbrug af biomasse'!$D$2:$D$425,'Resultat-Produktion &amp; forbrug'!$D279,'Forbrug af biomasse'!$A$2:$A$425,'Resultat-Produktion &amp; forbrug'!K$2,'Forbrug af biomasse'!$B$2:$B$425,$E279)</f>
        <v>0</v>
      </c>
      <c r="L279" s="190">
        <f>IF(A279&lt;&gt;"Biogas",SUMIFS('Forbrug af biomasse'!$E$2:$E$425,'Forbrug af biomasse'!$C$2:$C$425,'Resultat-Produktion &amp; forbrug'!$A279,'Forbrug af biomasse'!$D$2:$D$425,'Resultat-Produktion &amp; forbrug'!$D279,'Forbrug af biomasse'!$A$2:$A$425,'Resultat-Produktion &amp; forbrug'!L$2,'Forbrug af biomasse'!$B$2:$B$425,$E279),F279)</f>
        <v>0</v>
      </c>
      <c r="M279" s="154">
        <f>SUMIFS('Forbrug af biomasse'!E:E,'Forbrug af biomasse'!C:C,'Resultat-Produktion &amp; forbrug'!$A279,'Forbrug af biomasse'!D:D,'Resultat-Produktion &amp; forbrug'!$D279,'Forbrug af biomasse'!G:G,1,'Forbrug af biomasse'!B:B,$E279)</f>
        <v>0</v>
      </c>
      <c r="N279" s="199">
        <f t="shared" si="62"/>
        <v>74293.391738120903</v>
      </c>
      <c r="O279" s="190">
        <f t="shared" si="89"/>
        <v>0</v>
      </c>
      <c r="P279" s="200">
        <f t="shared" si="63"/>
        <v>0</v>
      </c>
      <c r="Q279" s="187">
        <f>IFERROR(VLOOKUP(A279,[1]Energiindhold!$A$2:$C$11,3,FALSE),IFERROR(VLOOKUP(A279,[1]Biogasudbytte!$A$2:$B$18,2,FALSE)*[1]Energiindhold!$C$10,0))*O279</f>
        <v>0</v>
      </c>
      <c r="R279" s="187">
        <f>IF(A279&lt;&gt;"Biogas",IFERROR(VLOOKUP(A279,[1]Biogasudbytte!$A$2:$B$18,2,FALSE)*[1]Energiindhold!$C$10,0)*J279*IFERROR(VLOOKUP(A279,Biogasanlæg!$F$3:$G$8,2,FALSE),1)+IFERROR(VLOOKUP(A279,[1]Energiindhold!$A$2:$C$11,3,FALSE),0)*L279+IF(D279&lt;&gt;År1,Q279,0),0)</f>
        <v>0</v>
      </c>
      <c r="S279" s="187">
        <f>IFERROR(VLOOKUP(A279,[1]Biogasudbytte!$A$2:$B$18,2,FALSE)*[1]Energiindhold!$C$10,0)*J279*IFERROR(VLOOKUP(A279,Biogasanlæg!$F$3:$G$8,2,FALSE),1)</f>
        <v>0</v>
      </c>
      <c r="T279" s="188">
        <f t="shared" si="64"/>
        <v>0</v>
      </c>
      <c r="U279" s="186">
        <f>O279*IFERROR(VLOOKUP(A279,[1]Tørstofindhold!A$2:B$24,2,FALSE),0)</f>
        <v>0</v>
      </c>
      <c r="V279" s="187">
        <f>IF(D279=År1,P279,SUM(O279,P279))*IFERROR(VLOOKUP(A279,[1]Tørstofindhold!A$2:B$24,2,FALSE),0)</f>
        <v>0</v>
      </c>
      <c r="W279" s="187">
        <f>J279*IFERROR(VLOOKUP(A279,[1]Tørstofindhold!A$2:B$24,2,FALSE),0)</f>
        <v>0</v>
      </c>
      <c r="X279" s="188">
        <f t="shared" si="65"/>
        <v>0</v>
      </c>
      <c r="Y279" s="168">
        <f t="shared" si="90"/>
        <v>0</v>
      </c>
      <c r="Z279" s="103">
        <f t="shared" si="91"/>
        <v>1</v>
      </c>
    </row>
    <row r="280" spans="1:26" x14ac:dyDescent="0.25">
      <c r="A280" s="189" t="str">
        <f t="shared" si="87"/>
        <v>Rapsolie</v>
      </c>
      <c r="B280" s="189" t="str">
        <f t="shared" si="88"/>
        <v>Rapsolie</v>
      </c>
      <c r="C280" s="189">
        <f>IF(COUNTIFS('Resultater - Danmark'!$D$3:$D$504,'Resultat-Produktion &amp; forbrug'!A280,'Resultater - Danmark'!$A$3:$A$504,"Til energi")+COUNTIFS('Resultater - Danmark'!$D$3:$D$504,'Resultat-Produktion &amp; forbrug'!A280,'Resultater - Danmark'!$A$3:$A$504,"Biogasanlæg")&gt;0,1,0)</f>
        <v>1</v>
      </c>
      <c r="D280" s="189">
        <f t="shared" si="74"/>
        <v>2050</v>
      </c>
      <c r="E280" s="187" t="s">
        <v>24</v>
      </c>
      <c r="F280" s="190">
        <f>IF(E280="Vestdanmark",SUMIFS(IF(D280=År1,'Resultater - Vestdanmark'!H$3:H$504,IF(D280=År2,'Resultater - Vestdanmark'!I$3:I$504,'Resultater - Vestdanmark'!J$3:J$504)),'Resultater - Vestdanmark'!$F$3:$F$504,$A280,IF(D280=År1,'Resultater - Vestdanmark'!H$3:H$504,IF(D280=År2,'Resultater - Vestdanmark'!I$3:I$504,'Resultater - Vestdanmark'!J$3:J$504)),"&gt;0"),SUMIFS(IF(D280=År1,'Resultater - Østdanmark'!H$3:H$504,IF(D280=År2,'Resultater - Østdanmark'!I$3:I$504,'Resultater - Østdanmark'!J$3:J$504)),'Resultater - Østdanmark'!$F$3:$F$504,$A280,IF(D280=År1,'Resultater - Østdanmark'!H$3:H$504,IF(D280=År2,'Resultater - Østdanmark'!I$3:I$504,'Resultater - Østdanmark'!J$3:J$504)),"&gt;0"))</f>
        <v>67729.865689932136</v>
      </c>
      <c r="G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forbrug'!G$2,'Forbrug af biomasse'!$B$2:$B$425,$E280)</f>
        <v>0</v>
      </c>
      <c r="H280" s="187">
        <f>IF(E280="Vestdanmark",-IF(A280="Halm",SUMIFS(IF(D280=År1,'Resultater - Vestdanmark'!H$3:H$504,IF(D280=År2,'Resultater - Vestdanmark'!I$3:I$504,'Resultater - Vestdanmark'!J$3:J$504)),'Resultater - Vestdanmark'!$F$3:$F$504,$A280,'Resultater - Vestdanmark'!H$3:H$504,"&lt;0"),0),-IF(A280="Halm",SUMIFS(IF(D280=År1,'Resultater - Østdanmark'!H$3:H$504,IF(D280=År2,'Resultater - Østdanmark'!I$3:I$504,'Resultater - Østdanmark'!J$3:J$504)),'Resultater - Østdanmark'!$F$3:$F$504,$A280,'Resultater - Østdanmark'!H$3:H$504,"&lt;0"),0))</f>
        <v>0</v>
      </c>
      <c r="I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forbrug'!I$2,'Forbrug af biomasse'!$B$2:$B$425,$E280)</f>
        <v>0</v>
      </c>
      <c r="J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forbrug'!J$2,'Forbrug af biomasse'!$B$2:$B$425,$E280)</f>
        <v>0</v>
      </c>
      <c r="K280" s="190">
        <f>SUMIFS('Forbrug af biomasse'!$E$2:$E$425,'Forbrug af biomasse'!$C$2:$C$425,'Resultat-Produktion &amp; forbrug'!$A280,'Forbrug af biomasse'!$D$2:$D$425,'Resultat-Produktion &amp; forbrug'!$D280,'Forbrug af biomasse'!$A$2:$A$425,'Resultat-Produktion &amp; forbrug'!K$2,'Forbrug af biomasse'!$B$2:$B$425,$E280)</f>
        <v>0</v>
      </c>
      <c r="L280" s="190">
        <f>IF(A280&lt;&gt;"Biogas",SUMIFS('Forbrug af biomasse'!$E$2:$E$425,'Forbrug af biomasse'!$C$2:$C$425,'Resultat-Produktion &amp; forbrug'!$A280,'Forbrug af biomasse'!$D$2:$D$425,'Resultat-Produktion &amp; forbrug'!$D280,'Forbrug af biomasse'!$A$2:$A$425,'Resultat-Produktion &amp; forbrug'!L$2,'Forbrug af biomasse'!$B$2:$B$425,$E280),F280)</f>
        <v>67729.865689932136</v>
      </c>
      <c r="M280" s="154">
        <f>SUMIFS('Forbrug af biomasse'!E:E,'Forbrug af biomasse'!C:C,'Resultat-Produktion &amp; forbrug'!$A280,'Forbrug af biomasse'!D:D,'Resultat-Produktion &amp; forbrug'!$D280,'Forbrug af biomasse'!G:G,1,'Forbrug af biomasse'!B:B,$E280)</f>
        <v>0</v>
      </c>
      <c r="N280" s="199">
        <f t="shared" si="62"/>
        <v>0</v>
      </c>
      <c r="O280" s="190">
        <f t="shared" si="89"/>
        <v>0</v>
      </c>
      <c r="P280" s="200">
        <f t="shared" si="63"/>
        <v>67729.865689932136</v>
      </c>
      <c r="Q280" s="187">
        <f>IFERROR(VLOOKUP(A280,[1]Energiindhold!$A$2:$C$11,3,FALSE),IFERROR(VLOOKUP(A280,[1]Biogasudbytte!$A$2:$B$18,2,FALSE)*[1]Energiindhold!$C$10,0))*O280</f>
        <v>0</v>
      </c>
      <c r="R280" s="187">
        <f>IF(A280&lt;&gt;"Biogas",IFERROR(VLOOKUP(A280,[1]Biogasudbytte!$A$2:$B$18,2,FALSE)*[1]Energiindhold!$C$10,0)*J280*IFERROR(VLOOKUP(A280,Biogasanlæg!$F$3:$G$8,2,FALSE),1)+IFERROR(VLOOKUP(A280,[1]Energiindhold!$A$2:$C$11,3,FALSE),0)*L280+IF(D280&lt;&gt;År1,Q280,0),0)</f>
        <v>2.3705452991476244</v>
      </c>
      <c r="S280" s="187">
        <f>IFERROR(VLOOKUP(A280,[1]Biogasudbytte!$A$2:$B$18,2,FALSE)*[1]Energiindhold!$C$10,0)*J280*IFERROR(VLOOKUP(A280,Biogasanlæg!$F$3:$G$8,2,FALSE),1)</f>
        <v>0</v>
      </c>
      <c r="T280" s="188">
        <f t="shared" si="64"/>
        <v>2.3705452991476244</v>
      </c>
      <c r="U280" s="186">
        <f>O280*IFERROR(VLOOKUP(A280,[1]Tørstofindhold!A$2:B$24,2,FALSE),0)</f>
        <v>0</v>
      </c>
      <c r="V280" s="187">
        <f>IF(D280=År1,P280,SUM(O280,P280))*IFERROR(VLOOKUP(A280,[1]Tørstofindhold!A$2:B$24,2,FALSE),0)</f>
        <v>0</v>
      </c>
      <c r="W280" s="187">
        <f>J280*IFERROR(VLOOKUP(A280,[1]Tørstofindhold!A$2:B$24,2,FALSE),0)</f>
        <v>0</v>
      </c>
      <c r="X280" s="188">
        <f t="shared" si="65"/>
        <v>0</v>
      </c>
      <c r="Y280" s="168">
        <f t="shared" si="90"/>
        <v>0</v>
      </c>
      <c r="Z280" s="103">
        <f t="shared" si="91"/>
        <v>0</v>
      </c>
    </row>
    <row r="281" spans="1:26" x14ac:dyDescent="0.25">
      <c r="A281" s="189" t="str">
        <f t="shared" si="87"/>
        <v>Roer</v>
      </c>
      <c r="B281" s="189" t="str">
        <f t="shared" si="88"/>
        <v>Græs og urter</v>
      </c>
      <c r="C281" s="189">
        <f>IF(COUNTIFS('Resultater - Danmark'!$D$3:$D$504,'Resultat-Produktion &amp; forbrug'!A281,'Resultater - Danmark'!$A$3:$A$504,"Til energi")+COUNTIFS('Resultater - Danmark'!$D$3:$D$504,'Resultat-Produktion &amp; forbrug'!A281,'Resultater - Danmark'!$A$3:$A$504,"Biogasanlæg")&gt;0,1,0)</f>
        <v>1</v>
      </c>
      <c r="D281" s="189">
        <f t="shared" si="74"/>
        <v>2050</v>
      </c>
      <c r="E281" s="187" t="s">
        <v>24</v>
      </c>
      <c r="F281" s="190">
        <f>IF(E281="Vestdanmark",SUMIFS(IF(D281=År1,'Resultater - Vestdanmark'!H$3:H$504,IF(D281=År2,'Resultater - Vestdanmark'!I$3:I$504,'Resultater - Vestdanmark'!J$3:J$504)),'Resultater - Vestdanmark'!$F$3:$F$504,$A281,IF(D281=År1,'Resultater - Vestdanmark'!H$3:H$504,IF(D281=År2,'Resultater - Vestdanmark'!I$3:I$504,'Resultater - Vestdanmark'!J$3:J$504)),"&gt;0"),SUMIFS(IF(D281=År1,'Resultater - Østdanmark'!H$3:H$504,IF(D281=År2,'Resultater - Østdanmark'!I$3:I$504,'Resultater - Østdanmark'!J$3:J$504)),'Resultater - Østdanmark'!$F$3:$F$504,$A281,IF(D281=År1,'Resultater - Østdanmark'!H$3:H$504,IF(D281=År2,'Resultater - Østdanmark'!I$3:I$504,'Resultater - Østdanmark'!J$3:J$504)),"&gt;0"))</f>
        <v>2460019.4054890401</v>
      </c>
      <c r="G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forbrug'!G$2,'Forbrug af biomasse'!$B$2:$B$425,$E281)</f>
        <v>123895.05219603253</v>
      </c>
      <c r="H281" s="187">
        <f>IF(E281="Vestdanmark",-IF(A281="Halm",SUMIFS(IF(D281=År1,'Resultater - Vestdanmark'!H$3:H$504,IF(D281=År2,'Resultater - Vestdanmark'!I$3:I$504,'Resultater - Vestdanmark'!J$3:J$504)),'Resultater - Vestdanmark'!$F$3:$F$504,$A281,'Resultater - Vestdanmark'!H$3:H$504,"&lt;0"),0),-IF(A281="Halm",SUMIFS(IF(D281=År1,'Resultater - Østdanmark'!H$3:H$504,IF(D281=År2,'Resultater - Østdanmark'!I$3:I$504,'Resultater - Østdanmark'!J$3:J$504)),'Resultater - Østdanmark'!$F$3:$F$504,$A281,'Resultater - Østdanmark'!H$3:H$504,"&lt;0"),0))</f>
        <v>0</v>
      </c>
      <c r="I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forbrug'!I$2,'Forbrug af biomasse'!$B$2:$B$425,$E281)</f>
        <v>0</v>
      </c>
      <c r="J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forbrug'!J$2,'Forbrug af biomasse'!$B$2:$B$425,$E281)</f>
        <v>24552.18089354931</v>
      </c>
      <c r="K281" s="190">
        <f>SUMIFS('Forbrug af biomasse'!$E$2:$E$425,'Forbrug af biomasse'!$C$2:$C$425,'Resultat-Produktion &amp; forbrug'!$A281,'Forbrug af biomasse'!$D$2:$D$425,'Resultat-Produktion &amp; forbrug'!$D281,'Forbrug af biomasse'!$A$2:$A$425,'Resultat-Produktion &amp; forbrug'!K$2,'Forbrug af biomasse'!$B$2:$B$425,$E281)</f>
        <v>0</v>
      </c>
      <c r="L281" s="190">
        <f>IF(A281&lt;&gt;"Biogas",SUMIFS('Forbrug af biomasse'!$E$2:$E$425,'Forbrug af biomasse'!$C$2:$C$425,'Resultat-Produktion &amp; forbrug'!$A281,'Forbrug af biomasse'!$D$2:$D$425,'Resultat-Produktion &amp; forbrug'!$D281,'Forbrug af biomasse'!$A$2:$A$425,'Resultat-Produktion &amp; forbrug'!L$2,'Forbrug af biomasse'!$B$2:$B$425,$E281),F281)</f>
        <v>0</v>
      </c>
      <c r="M281" s="154">
        <f>SUMIFS('Forbrug af biomasse'!E:E,'Forbrug af biomasse'!C:C,'Resultat-Produktion &amp; forbrug'!$A281,'Forbrug af biomasse'!D:D,'Resultat-Produktion &amp; forbrug'!$D281,'Forbrug af biomasse'!G:G,1,'Forbrug af biomasse'!B:B,$E281)</f>
        <v>0</v>
      </c>
      <c r="N281" s="199">
        <f t="shared" si="62"/>
        <v>2311572.1723994585</v>
      </c>
      <c r="O281" s="190">
        <f t="shared" si="89"/>
        <v>1708160.4963920589</v>
      </c>
      <c r="P281" s="200">
        <f t="shared" si="63"/>
        <v>24552.18089354931</v>
      </c>
      <c r="Q281" s="187">
        <f>IFERROR(VLOOKUP(A281,[1]Energiindhold!$A$2:$C$11,3,FALSE),IFERROR(VLOOKUP(A281,[1]Biogasudbytte!$A$2:$B$18,2,FALSE)*[1]Energiindhold!$C$10,0))*O281</f>
        <v>4.6360159136279036</v>
      </c>
      <c r="R281" s="187">
        <f>IF(A281&lt;&gt;"Biogas",IFERROR(VLOOKUP(A281,[1]Biogasudbytte!$A$2:$B$18,2,FALSE)*[1]Energiindhold!$C$10,0)*J281*IFERROR(VLOOKUP(A281,Biogasanlæg!$F$3:$G$8,2,FALSE),1)+IFERROR(VLOOKUP(A281,[1]Energiindhold!$A$2:$C$11,3,FALSE),0)*L281+IF(D281&lt;&gt;År1,Q281,0),0)</f>
        <v>4.7026515146602321</v>
      </c>
      <c r="S281" s="187">
        <f>IFERROR(VLOOKUP(A281,[1]Biogasudbytte!$A$2:$B$18,2,FALSE)*[1]Energiindhold!$C$10,0)*J281*IFERROR(VLOOKUP(A281,Biogasanlæg!$F$3:$G$8,2,FALSE),1)</f>
        <v>6.6635601032328573E-2</v>
      </c>
      <c r="T281" s="188">
        <f t="shared" si="64"/>
        <v>4.6360159136279036</v>
      </c>
      <c r="U281" s="186">
        <f>O281*IFERROR(VLOOKUP(A281,[1]Tørstofindhold!A$2:B$24,2,FALSE),0)</f>
        <v>341632.09927841183</v>
      </c>
      <c r="V281" s="187">
        <f>IF(D281=År1,P281,SUM(O281,P281))*IFERROR(VLOOKUP(A281,[1]Tørstofindhold!A$2:B$24,2,FALSE),0)</f>
        <v>346542.53545712167</v>
      </c>
      <c r="W281" s="187">
        <f>J281*IFERROR(VLOOKUP(A281,[1]Tørstofindhold!A$2:B$24,2,FALSE),0)</f>
        <v>4910.4361787098624</v>
      </c>
      <c r="X281" s="188">
        <f t="shared" si="65"/>
        <v>341632.09927841183</v>
      </c>
      <c r="Y281" s="168">
        <f t="shared" si="90"/>
        <v>0</v>
      </c>
      <c r="Z281" s="103">
        <f t="shared" si="91"/>
        <v>1</v>
      </c>
    </row>
    <row r="282" spans="1:26" x14ac:dyDescent="0.25">
      <c r="A282" s="189" t="str">
        <f t="shared" si="87"/>
        <v>Slagteriaffald til andet</v>
      </c>
      <c r="B282" s="189" t="str">
        <f t="shared" si="88"/>
        <v/>
      </c>
      <c r="C282" s="189">
        <f>IF(COUNTIFS('Resultater - Danmark'!$D$3:$D$504,'Resultat-Produktion &amp; forbrug'!A282,'Resultater - Danmark'!$A$3:$A$504,"Til energi")+COUNTIFS('Resultater - Danmark'!$D$3:$D$504,'Resultat-Produktion &amp; forbrug'!A282,'Resultater - Danmark'!$A$3:$A$504,"Biogasanlæg")&gt;0,1,0)</f>
        <v>0</v>
      </c>
      <c r="D282" s="189">
        <f t="shared" ref="D282:D290" si="92">År3</f>
        <v>2050</v>
      </c>
      <c r="E282" s="187" t="s">
        <v>24</v>
      </c>
      <c r="F282" s="190">
        <f>IF(E282="Vestdanmark",SUMIFS(IF(D282=År1,'Resultater - Vestdanmark'!H$3:H$504,IF(D282=År2,'Resultater - Vestdanmark'!I$3:I$504,'Resultater - Vestdanmark'!J$3:J$504)),'Resultater - Vestdanmark'!$F$3:$F$504,$A282,IF(D282=År1,'Resultater - Vestdanmark'!H$3:H$504,IF(D282=År2,'Resultater - Vestdanmark'!I$3:I$504,'Resultater - Vestdanmark'!J$3:J$504)),"&gt;0"),SUMIFS(IF(D282=År1,'Resultater - Østdanmark'!H$3:H$504,IF(D282=År2,'Resultater - Østdanmark'!I$3:I$504,'Resultater - Østdanmark'!J$3:J$504)),'Resultater - Østdanmark'!$F$3:$F$504,$A282,IF(D282=År1,'Resultater - Østdanmark'!H$3:H$504,IF(D282=År2,'Resultater - Østdanmark'!I$3:I$504,'Resultater - Østdanmark'!J$3:J$504)),"&gt;0"))</f>
        <v>26273.975378565505</v>
      </c>
      <c r="G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forbrug'!G$2,'Forbrug af biomasse'!$B$2:$B$425,$E282)</f>
        <v>0</v>
      </c>
      <c r="H282" s="187">
        <f>IF(E282="Vestdanmark",-IF(A282="Halm",SUMIFS(IF(D282=År1,'Resultater - Vestdanmark'!H$3:H$504,IF(D282=År2,'Resultater - Vestdanmark'!I$3:I$504,'Resultater - Vestdanmark'!J$3:J$504)),'Resultater - Vestdanmark'!$F$3:$F$504,$A282,'Resultater - Vestdanmark'!H$3:H$504,"&lt;0"),0),-IF(A282="Halm",SUMIFS(IF(D282=År1,'Resultater - Østdanmark'!H$3:H$504,IF(D282=År2,'Resultater - Østdanmark'!I$3:I$504,'Resultater - Østdanmark'!J$3:J$504)),'Resultater - Østdanmark'!$F$3:$F$504,$A282,'Resultater - Østdanmark'!H$3:H$504,"&lt;0"),0))</f>
        <v>0</v>
      </c>
      <c r="I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forbrug'!I$2,'Forbrug af biomasse'!$B$2:$B$425,$E282)</f>
        <v>0</v>
      </c>
      <c r="J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forbrug'!J$2,'Forbrug af biomasse'!$B$2:$B$425,$E282)</f>
        <v>0</v>
      </c>
      <c r="K282" s="190">
        <f>SUMIFS('Forbrug af biomasse'!$E$2:$E$425,'Forbrug af biomasse'!$C$2:$C$425,'Resultat-Produktion &amp; forbrug'!$A282,'Forbrug af biomasse'!$D$2:$D$425,'Resultat-Produktion &amp; forbrug'!$D282,'Forbrug af biomasse'!$A$2:$A$425,'Resultat-Produktion &amp; forbrug'!K$2,'Forbrug af biomasse'!$B$2:$B$425,$E282)</f>
        <v>0</v>
      </c>
      <c r="L282" s="190">
        <f>IF(A282&lt;&gt;"Biogas",SUMIFS('Forbrug af biomasse'!$E$2:$E$425,'Forbrug af biomasse'!$C$2:$C$425,'Resultat-Produktion &amp; forbrug'!$A282,'Forbrug af biomasse'!$D$2:$D$425,'Resultat-Produktion &amp; forbrug'!$D282,'Forbrug af biomasse'!$A$2:$A$425,'Resultat-Produktion &amp; forbrug'!L$2,'Forbrug af biomasse'!$B$2:$B$425,$E282),F282)</f>
        <v>0</v>
      </c>
      <c r="M282" s="154">
        <f>SUMIFS('Forbrug af biomasse'!E:E,'Forbrug af biomasse'!C:C,'Resultat-Produktion &amp; forbrug'!$A282,'Forbrug af biomasse'!D:D,'Resultat-Produktion &amp; forbrug'!$D282,'Forbrug af biomasse'!G:G,1,'Forbrug af biomasse'!B:B,$E282)</f>
        <v>0</v>
      </c>
      <c r="N282" s="199">
        <f t="shared" ref="N282:N290" si="93">F282-SUM(G282:M282)</f>
        <v>26273.975378565505</v>
      </c>
      <c r="O282" s="190">
        <f t="shared" si="89"/>
        <v>0</v>
      </c>
      <c r="P282" s="200">
        <f t="shared" ref="P282:P290" si="94">SUM(J282,L282)</f>
        <v>0</v>
      </c>
      <c r="Q282" s="187">
        <f>IFERROR(VLOOKUP(A282,[1]Energiindhold!$A$2:$C$11,3,FALSE),IFERROR(VLOOKUP(A282,[1]Biogasudbytte!$A$2:$B$18,2,FALSE)*[1]Energiindhold!$C$10,0))*O282</f>
        <v>0</v>
      </c>
      <c r="R282" s="187">
        <f>IF(A282&lt;&gt;"Biogas",IFERROR(VLOOKUP(A282,[1]Biogasudbytte!$A$2:$B$18,2,FALSE)*[1]Energiindhold!$C$10,0)*J282*IFERROR(VLOOKUP(A282,Biogasanlæg!$F$3:$G$8,2,FALSE),1)+IFERROR(VLOOKUP(A282,[1]Energiindhold!$A$2:$C$11,3,FALSE),0)*L282+IF(D282&lt;&gt;År1,Q282,0),0)</f>
        <v>0</v>
      </c>
      <c r="S282" s="187">
        <f>IFERROR(VLOOKUP(A282,[1]Biogasudbytte!$A$2:$B$18,2,FALSE)*[1]Energiindhold!$C$10,0)*J282*IFERROR(VLOOKUP(A282,Biogasanlæg!$F$3:$G$8,2,FALSE),1)</f>
        <v>0</v>
      </c>
      <c r="T282" s="188">
        <f t="shared" ref="T282:T290" si="95">R282-S282</f>
        <v>0</v>
      </c>
      <c r="U282" s="186">
        <f>O282*IFERROR(VLOOKUP(A282,[1]Tørstofindhold!A$2:B$24,2,FALSE),0)</f>
        <v>0</v>
      </c>
      <c r="V282" s="187">
        <f>IF(D282=År1,P282,SUM(O282,P282))*IFERROR(VLOOKUP(A282,[1]Tørstofindhold!A$2:B$24,2,FALSE),0)</f>
        <v>0</v>
      </c>
      <c r="W282" s="187">
        <f>J282*IFERROR(VLOOKUP(A282,[1]Tørstofindhold!A$2:B$24,2,FALSE),0)</f>
        <v>0</v>
      </c>
      <c r="X282" s="188">
        <f t="shared" ref="X282:X290" si="96">V282-W282</f>
        <v>0</v>
      </c>
      <c r="Y282" s="168">
        <f t="shared" si="90"/>
        <v>0</v>
      </c>
      <c r="Z282" s="103">
        <f t="shared" si="91"/>
        <v>1</v>
      </c>
    </row>
    <row r="283" spans="1:26" x14ac:dyDescent="0.25">
      <c r="A283" s="189" t="str">
        <f t="shared" si="87"/>
        <v>Slagteriaffald til foder</v>
      </c>
      <c r="B283" s="189" t="str">
        <f t="shared" si="88"/>
        <v/>
      </c>
      <c r="C283" s="189">
        <f>IF(COUNTIFS('Resultater - Danmark'!$D$3:$D$504,'Resultat-Produktion &amp; forbrug'!A283,'Resultater - Danmark'!$A$3:$A$504,"Til energi")+COUNTIFS('Resultater - Danmark'!$D$3:$D$504,'Resultat-Produktion &amp; forbrug'!A283,'Resultater - Danmark'!$A$3:$A$504,"Biogasanlæg")&gt;0,1,0)</f>
        <v>0</v>
      </c>
      <c r="D283" s="189">
        <f t="shared" si="92"/>
        <v>2050</v>
      </c>
      <c r="E283" s="187" t="s">
        <v>24</v>
      </c>
      <c r="F283" s="190">
        <f>IF(E283="Vestdanmark",SUMIFS(IF(D283=År1,'Resultater - Vestdanmark'!H$3:H$504,IF(D283=År2,'Resultater - Vestdanmark'!I$3:I$504,'Resultater - Vestdanmark'!J$3:J$504)),'Resultater - Vestdanmark'!$F$3:$F$504,$A283,IF(D283=År1,'Resultater - Vestdanmark'!H$3:H$504,IF(D283=År2,'Resultater - Vestdanmark'!I$3:I$504,'Resultater - Vestdanmark'!J$3:J$504)),"&gt;0"),SUMIFS(IF(D283=År1,'Resultater - Østdanmark'!H$3:H$504,IF(D283=År2,'Resultater - Østdanmark'!I$3:I$504,'Resultater - Østdanmark'!J$3:J$504)),'Resultater - Østdanmark'!$F$3:$F$504,$A283,IF(D283=År1,'Resultater - Østdanmark'!H$3:H$504,IF(D283=År2,'Resultater - Østdanmark'!I$3:I$504,'Resultater - Østdanmark'!J$3:J$504)),"&gt;0"))</f>
        <v>21342.928539613244</v>
      </c>
      <c r="G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forbrug'!G$2,'Forbrug af biomasse'!$B$2:$B$425,$E283)</f>
        <v>5805.5189527427383</v>
      </c>
      <c r="H283" s="187">
        <f>IF(E283="Vestdanmark",-IF(A283="Halm",SUMIFS(IF(D283=År1,'Resultater - Vestdanmark'!H$3:H$504,IF(D283=År2,'Resultater - Vestdanmark'!I$3:I$504,'Resultater - Vestdanmark'!J$3:J$504)),'Resultater - Vestdanmark'!$F$3:$F$504,$A283,'Resultater - Vestdanmark'!H$3:H$504,"&lt;0"),0),-IF(A283="Halm",SUMIFS(IF(D283=År1,'Resultater - Østdanmark'!H$3:H$504,IF(D283=År2,'Resultater - Østdanmark'!I$3:I$504,'Resultater - Østdanmark'!J$3:J$504)),'Resultater - Østdanmark'!$F$3:$F$504,$A283,'Resultater - Østdanmark'!H$3:H$504,"&lt;0"),0))</f>
        <v>0</v>
      </c>
      <c r="I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forbrug'!I$2,'Forbrug af biomasse'!$B$2:$B$425,$E283)</f>
        <v>0</v>
      </c>
      <c r="J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forbrug'!J$2,'Forbrug af biomasse'!$B$2:$B$425,$E283)</f>
        <v>0</v>
      </c>
      <c r="K283" s="190">
        <f>SUMIFS('Forbrug af biomasse'!$E$2:$E$425,'Forbrug af biomasse'!$C$2:$C$425,'Resultat-Produktion &amp; forbrug'!$A283,'Forbrug af biomasse'!$D$2:$D$425,'Resultat-Produktion &amp; forbrug'!$D283,'Forbrug af biomasse'!$A$2:$A$425,'Resultat-Produktion &amp; forbrug'!K$2,'Forbrug af biomasse'!$B$2:$B$425,$E283)</f>
        <v>0</v>
      </c>
      <c r="L283" s="190">
        <f>IF(A283&lt;&gt;"Biogas",SUMIFS('Forbrug af biomasse'!$E$2:$E$425,'Forbrug af biomasse'!$C$2:$C$425,'Resultat-Produktion &amp; forbrug'!$A283,'Forbrug af biomasse'!$D$2:$D$425,'Resultat-Produktion &amp; forbrug'!$D283,'Forbrug af biomasse'!$A$2:$A$425,'Resultat-Produktion &amp; forbrug'!L$2,'Forbrug af biomasse'!$B$2:$B$425,$E283),F283)</f>
        <v>0</v>
      </c>
      <c r="M283" s="154">
        <f>SUMIFS('Forbrug af biomasse'!E:E,'Forbrug af biomasse'!C:C,'Resultat-Produktion &amp; forbrug'!$A283,'Forbrug af biomasse'!D:D,'Resultat-Produktion &amp; forbrug'!$D283,'Forbrug af biomasse'!G:G,1,'Forbrug af biomasse'!B:B,$E283)</f>
        <v>0</v>
      </c>
      <c r="N283" s="199">
        <f t="shared" si="93"/>
        <v>15537.409586870504</v>
      </c>
      <c r="O283" s="190">
        <f t="shared" si="89"/>
        <v>0</v>
      </c>
      <c r="P283" s="200">
        <f t="shared" si="94"/>
        <v>0</v>
      </c>
      <c r="Q283" s="187">
        <f>IFERROR(VLOOKUP(A283,[1]Energiindhold!$A$2:$C$11,3,FALSE),IFERROR(VLOOKUP(A283,[1]Biogasudbytte!$A$2:$B$18,2,FALSE)*[1]Energiindhold!$C$10,0))*O283</f>
        <v>0</v>
      </c>
      <c r="R283" s="187">
        <f>IF(A283&lt;&gt;"Biogas",IFERROR(VLOOKUP(A283,[1]Biogasudbytte!$A$2:$B$18,2,FALSE)*[1]Energiindhold!$C$10,0)*J283*IFERROR(VLOOKUP(A283,Biogasanlæg!$F$3:$G$8,2,FALSE),1)+IFERROR(VLOOKUP(A283,[1]Energiindhold!$A$2:$C$11,3,FALSE),0)*L283+IF(D283&lt;&gt;År1,Q283,0),0)</f>
        <v>0</v>
      </c>
      <c r="S283" s="187">
        <f>IFERROR(VLOOKUP(A283,[1]Biogasudbytte!$A$2:$B$18,2,FALSE)*[1]Energiindhold!$C$10,0)*J283*IFERROR(VLOOKUP(A283,Biogasanlæg!$F$3:$G$8,2,FALSE),1)</f>
        <v>0</v>
      </c>
      <c r="T283" s="188">
        <f t="shared" si="95"/>
        <v>0</v>
      </c>
      <c r="U283" s="186">
        <f>O283*IFERROR(VLOOKUP(A283,[1]Tørstofindhold!A$2:B$24,2,FALSE),0)</f>
        <v>0</v>
      </c>
      <c r="V283" s="187">
        <f>IF(D283=År1,P283,SUM(O283,P283))*IFERROR(VLOOKUP(A283,[1]Tørstofindhold!A$2:B$24,2,FALSE),0)</f>
        <v>0</v>
      </c>
      <c r="W283" s="187">
        <f>J283*IFERROR(VLOOKUP(A283,[1]Tørstofindhold!A$2:B$24,2,FALSE),0)</f>
        <v>0</v>
      </c>
      <c r="X283" s="188">
        <f t="shared" si="96"/>
        <v>0</v>
      </c>
      <c r="Y283" s="168">
        <f t="shared" si="90"/>
        <v>0</v>
      </c>
      <c r="Z283" s="103">
        <f t="shared" si="91"/>
        <v>1</v>
      </c>
    </row>
    <row r="284" spans="1:26" x14ac:dyDescent="0.25">
      <c r="A284" s="189" t="str">
        <f t="shared" si="87"/>
        <v>Spildevandsslam</v>
      </c>
      <c r="B284" s="189" t="str">
        <f t="shared" si="88"/>
        <v>Bionedbrydeligt affald</v>
      </c>
      <c r="C284" s="189">
        <f>IF(COUNTIFS('Resultater - Danmark'!$D$3:$D$504,'Resultat-Produktion &amp; forbrug'!A284,'Resultater - Danmark'!$A$3:$A$504,"Til energi")+COUNTIFS('Resultater - Danmark'!$D$3:$D$504,'Resultat-Produktion &amp; forbrug'!A284,'Resultater - Danmark'!$A$3:$A$504,"Biogasanlæg")&gt;0,1,0)</f>
        <v>1</v>
      </c>
      <c r="D284" s="189">
        <f t="shared" si="92"/>
        <v>2050</v>
      </c>
      <c r="E284" s="187" t="s">
        <v>24</v>
      </c>
      <c r="F284" s="190">
        <f>IF(E284="Vestdanmark",SUMIFS(IF(D284=År1,'Resultater - Vestdanmark'!H$3:H$504,IF(D284=År2,'Resultater - Vestdanmark'!I$3:I$504,'Resultater - Vestdanmark'!J$3:J$504)),'Resultater - Vestdanmark'!$F$3:$F$504,$A284,IF(D284=År1,'Resultater - Vestdanmark'!H$3:H$504,IF(D284=År2,'Resultater - Vestdanmark'!I$3:I$504,'Resultater - Vestdanmark'!J$3:J$504)),"&gt;0"),SUMIFS(IF(D284=År1,'Resultater - Østdanmark'!H$3:H$504,IF(D284=År2,'Resultater - Østdanmark'!I$3:I$504,'Resultater - Østdanmark'!J$3:J$504)),'Resultater - Østdanmark'!$F$3:$F$504,$A284,IF(D284=År1,'Resultater - Østdanmark'!H$3:H$504,IF(D284=År2,'Resultater - Østdanmark'!I$3:I$504,'Resultater - Østdanmark'!J$3:J$504)),"&gt;0"))</f>
        <v>3501980.1471558851</v>
      </c>
      <c r="G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forbrug'!G$2,'Forbrug af biomasse'!$B$2:$B$425,$E284)</f>
        <v>0</v>
      </c>
      <c r="H284" s="187">
        <f>IF(E284="Vestdanmark",-IF(A284="Halm",SUMIFS(IF(D284=År1,'Resultater - Vestdanmark'!H$3:H$504,IF(D284=År2,'Resultater - Vestdanmark'!I$3:I$504,'Resultater - Vestdanmark'!J$3:J$504)),'Resultater - Vestdanmark'!$F$3:$F$504,$A284,'Resultater - Vestdanmark'!H$3:H$504,"&lt;0"),0),-IF(A284="Halm",SUMIFS(IF(D284=År1,'Resultater - Østdanmark'!H$3:H$504,IF(D284=År2,'Resultater - Østdanmark'!I$3:I$504,'Resultater - Østdanmark'!J$3:J$504)),'Resultater - Østdanmark'!$F$3:$F$504,$A284,'Resultater - Østdanmark'!H$3:H$504,"&lt;0"),0))</f>
        <v>0</v>
      </c>
      <c r="I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forbrug'!I$2,'Forbrug af biomasse'!$B$2:$B$425,$E284)</f>
        <v>0</v>
      </c>
      <c r="J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forbrug'!J$2,'Forbrug af biomasse'!$B$2:$B$425,$E284)</f>
        <v>1328121.9228895183</v>
      </c>
      <c r="K284" s="190">
        <f>SUMIFS('Forbrug af biomasse'!$E$2:$E$425,'Forbrug af biomasse'!$C$2:$C$425,'Resultat-Produktion &amp; forbrug'!$A284,'Forbrug af biomasse'!$D$2:$D$425,'Resultat-Produktion &amp; forbrug'!$D284,'Forbrug af biomasse'!$A$2:$A$425,'Resultat-Produktion &amp; forbrug'!K$2,'Forbrug af biomasse'!$B$2:$B$425,$E284)</f>
        <v>0</v>
      </c>
      <c r="L284" s="190">
        <f>IF(A284&lt;&gt;"Biogas",SUMIFS('Forbrug af biomasse'!$E$2:$E$425,'Forbrug af biomasse'!$C$2:$C$425,'Resultat-Produktion &amp; forbrug'!$A284,'Forbrug af biomasse'!$D$2:$D$425,'Resultat-Produktion &amp; forbrug'!$D284,'Forbrug af biomasse'!$A$2:$A$425,'Resultat-Produktion &amp; forbrug'!L$2,'Forbrug af biomasse'!$B$2:$B$425,$E284),F284)</f>
        <v>0</v>
      </c>
      <c r="M284" s="154">
        <f>SUMIFS('Forbrug af biomasse'!E:E,'Forbrug af biomasse'!C:C,'Resultat-Produktion &amp; forbrug'!$A284,'Forbrug af biomasse'!D:D,'Resultat-Produktion &amp; forbrug'!$D284,'Forbrug af biomasse'!G:G,1,'Forbrug af biomasse'!B:B,$E284)</f>
        <v>0</v>
      </c>
      <c r="N284" s="199">
        <f t="shared" si="93"/>
        <v>2173858.224266367</v>
      </c>
      <c r="O284" s="190">
        <f t="shared" si="89"/>
        <v>2173858.224266367</v>
      </c>
      <c r="P284" s="200">
        <f t="shared" si="94"/>
        <v>1328121.9228895183</v>
      </c>
      <c r="Q284" s="187">
        <f>IFERROR(VLOOKUP(A284,[1]Energiindhold!$A$2:$C$11,3,FALSE),IFERROR(VLOOKUP(A284,[1]Biogasudbytte!$A$2:$B$18,2,FALSE)*[1]Energiindhold!$C$10,0))*O284</f>
        <v>1.0847769924911599</v>
      </c>
      <c r="R284" s="187">
        <f>IF(A284&lt;&gt;"Biogas",IFERROR(VLOOKUP(A284,[1]Biogasudbytte!$A$2:$B$18,2,FALSE)*[1]Energiindhold!$C$10,0)*J284*IFERROR(VLOOKUP(A284,Biogasanlæg!$F$3:$G$8,2,FALSE),1)+IFERROR(VLOOKUP(A284,[1]Energiindhold!$A$2:$C$11,3,FALSE),0)*L284+IF(D284&lt;&gt;År1,Q284,0),0)</f>
        <v>1.7475231132322584</v>
      </c>
      <c r="S284" s="187">
        <f>IFERROR(VLOOKUP(A284,[1]Biogasudbytte!$A$2:$B$18,2,FALSE)*[1]Energiindhold!$C$10,0)*J284*IFERROR(VLOOKUP(A284,Biogasanlæg!$F$3:$G$8,2,FALSE),1)</f>
        <v>0.66274612074109862</v>
      </c>
      <c r="T284" s="188">
        <f t="shared" si="95"/>
        <v>1.0847769924911597</v>
      </c>
      <c r="U284" s="186">
        <f>O284*IFERROR(VLOOKUP(A284,[1]Tørstofindhold!A$2:B$24,2,FALSE),0)</f>
        <v>130431.49345598201</v>
      </c>
      <c r="V284" s="187">
        <f>IF(D284=År1,P284,SUM(O284,P284))*IFERROR(VLOOKUP(A284,[1]Tørstofindhold!A$2:B$24,2,FALSE),0)</f>
        <v>210118.80882935313</v>
      </c>
      <c r="W284" s="187">
        <f>J284*IFERROR(VLOOKUP(A284,[1]Tørstofindhold!A$2:B$24,2,FALSE),0)</f>
        <v>79687.315373371093</v>
      </c>
      <c r="X284" s="188">
        <f t="shared" si="96"/>
        <v>130431.49345598204</v>
      </c>
      <c r="Y284" s="168">
        <f t="shared" si="90"/>
        <v>0</v>
      </c>
      <c r="Z284" s="103">
        <f t="shared" si="91"/>
        <v>1</v>
      </c>
    </row>
    <row r="285" spans="1:26" x14ac:dyDescent="0.25">
      <c r="A285" s="189" t="str">
        <f t="shared" si="87"/>
        <v>Svinegylle</v>
      </c>
      <c r="B285" s="189" t="str">
        <f t="shared" si="88"/>
        <v>Husdyrgødning</v>
      </c>
      <c r="C285" s="189">
        <f>IF(COUNTIFS('Resultater - Danmark'!$D$3:$D$504,'Resultat-Produktion &amp; forbrug'!A285,'Resultater - Danmark'!$A$3:$A$504,"Til energi")+COUNTIFS('Resultater - Danmark'!$D$3:$D$504,'Resultat-Produktion &amp; forbrug'!A285,'Resultater - Danmark'!$A$3:$A$504,"Biogasanlæg")&gt;0,1,0)</f>
        <v>1</v>
      </c>
      <c r="D285" s="189">
        <f t="shared" si="92"/>
        <v>2050</v>
      </c>
      <c r="E285" s="187" t="s">
        <v>24</v>
      </c>
      <c r="F285" s="190">
        <f>IF(E285="Vestdanmark",SUMIFS(IF(D285=År1,'Resultater - Vestdanmark'!H$3:H$504,IF(D285=År2,'Resultater - Vestdanmark'!I$3:I$504,'Resultater - Vestdanmark'!J$3:J$504)),'Resultater - Vestdanmark'!$F$3:$F$504,$A285,IF(D285=År1,'Resultater - Vestdanmark'!H$3:H$504,IF(D285=År2,'Resultater - Vestdanmark'!I$3:I$504,'Resultater - Vestdanmark'!J$3:J$504)),"&gt;0"),SUMIFS(IF(D285=År1,'Resultater - Østdanmark'!H$3:H$504,IF(D285=År2,'Resultater - Østdanmark'!I$3:I$504,'Resultater - Østdanmark'!J$3:J$504)),'Resultater - Østdanmark'!$F$3:$F$504,$A285,IF(D285=År1,'Resultater - Østdanmark'!H$3:H$504,IF(D285=År2,'Resultater - Østdanmark'!I$3:I$504,'Resultater - Østdanmark'!J$3:J$504)),"&gt;0"))</f>
        <v>2509436.929964724</v>
      </c>
      <c r="G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forbrug'!G$2,'Forbrug af biomasse'!$B$2:$B$425,$E285)</f>
        <v>0</v>
      </c>
      <c r="H285" s="187">
        <f>IF(E285="Vestdanmark",-IF(A285="Halm",SUMIFS(IF(D285=År1,'Resultater - Vestdanmark'!H$3:H$504,IF(D285=År2,'Resultater - Vestdanmark'!I$3:I$504,'Resultater - Vestdanmark'!J$3:J$504)),'Resultater - Vestdanmark'!$F$3:$F$504,$A285,'Resultater - Vestdanmark'!H$3:H$504,"&lt;0"),0),-IF(A285="Halm",SUMIFS(IF(D285=År1,'Resultater - Østdanmark'!H$3:H$504,IF(D285=År2,'Resultater - Østdanmark'!I$3:I$504,'Resultater - Østdanmark'!J$3:J$504)),'Resultater - Østdanmark'!$F$3:$F$504,$A285,'Resultater - Østdanmark'!H$3:H$504,"&lt;0"),0))</f>
        <v>0</v>
      </c>
      <c r="I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forbrug'!I$2,'Forbrug af biomasse'!$B$2:$B$425,$E285)</f>
        <v>0</v>
      </c>
      <c r="J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forbrug'!J$2,'Forbrug af biomasse'!$B$2:$B$425,$E285)</f>
        <v>1330001.5728813037</v>
      </c>
      <c r="K285" s="190">
        <f>SUMIFS('Forbrug af biomasse'!$E$2:$E$425,'Forbrug af biomasse'!$C$2:$C$425,'Resultat-Produktion &amp; forbrug'!$A285,'Forbrug af biomasse'!$D$2:$D$425,'Resultat-Produktion &amp; forbrug'!$D285,'Forbrug af biomasse'!$A$2:$A$425,'Resultat-Produktion &amp; forbrug'!K$2,'Forbrug af biomasse'!$B$2:$B$425,$E285)</f>
        <v>1179435.3570834203</v>
      </c>
      <c r="L285" s="190">
        <f>IF(A285&lt;&gt;"Biogas",SUMIFS('Forbrug af biomasse'!$E$2:$E$425,'Forbrug af biomasse'!$C$2:$C$425,'Resultat-Produktion &amp; forbrug'!$A285,'Forbrug af biomasse'!$D$2:$D$425,'Resultat-Produktion &amp; forbrug'!$D285,'Forbrug af biomasse'!$A$2:$A$425,'Resultat-Produktion &amp; forbrug'!L$2,'Forbrug af biomasse'!$B$2:$B$425,$E285),F285)</f>
        <v>0</v>
      </c>
      <c r="M285" s="154">
        <f>SUMIFS('Forbrug af biomasse'!E:E,'Forbrug af biomasse'!C:C,'Resultat-Produktion &amp; forbrug'!$A285,'Forbrug af biomasse'!D:D,'Resultat-Produktion &amp; forbrug'!$D285,'Forbrug af biomasse'!G:G,1,'Forbrug af biomasse'!B:B,$E285)</f>
        <v>0</v>
      </c>
      <c r="N285" s="199">
        <f t="shared" si="93"/>
        <v>0</v>
      </c>
      <c r="O285" s="190">
        <f t="shared" si="89"/>
        <v>0</v>
      </c>
      <c r="P285" s="200">
        <f t="shared" si="94"/>
        <v>1330001.5728813037</v>
      </c>
      <c r="Q285" s="187">
        <f>IFERROR(VLOOKUP(A285,[1]Energiindhold!$A$2:$C$11,3,FALSE),IFERROR(VLOOKUP(A285,[1]Biogasudbytte!$A$2:$B$18,2,FALSE)*[1]Energiindhold!$C$10,0))*O285</f>
        <v>0</v>
      </c>
      <c r="R285" s="187">
        <f>IF(A285&lt;&gt;"Biogas",IFERROR(VLOOKUP(A285,[1]Biogasudbytte!$A$2:$B$18,2,FALSE)*[1]Energiindhold!$C$10,0)*J285*IFERROR(VLOOKUP(A285,Biogasanlæg!$F$3:$G$8,2,FALSE),1)+IFERROR(VLOOKUP(A285,[1]Energiindhold!$A$2:$C$11,3,FALSE),0)*L285+IF(D285&lt;&gt;År1,Q285,0),0)</f>
        <v>0.57296467759726577</v>
      </c>
      <c r="S285" s="187">
        <f>IFERROR(VLOOKUP(A285,[1]Biogasudbytte!$A$2:$B$18,2,FALSE)*[1]Energiindhold!$C$10,0)*J285*IFERROR(VLOOKUP(A285,Biogasanlæg!$F$3:$G$8,2,FALSE),1)</f>
        <v>0.57296467759726577</v>
      </c>
      <c r="T285" s="188">
        <f t="shared" si="95"/>
        <v>0</v>
      </c>
      <c r="U285" s="186">
        <f>O285*IFERROR(VLOOKUP(A285,[1]Tørstofindhold!A$2:B$24,2,FALSE),0)</f>
        <v>0</v>
      </c>
      <c r="V285" s="187">
        <f>IF(D285=År1,P285,SUM(O285,P285))*IFERROR(VLOOKUP(A285,[1]Tørstofindhold!A$2:B$24,2,FALSE),0)</f>
        <v>66500.078644065186</v>
      </c>
      <c r="W285" s="187">
        <f>J285*IFERROR(VLOOKUP(A285,[1]Tørstofindhold!A$2:B$24,2,FALSE),0)</f>
        <v>66500.078644065186</v>
      </c>
      <c r="X285" s="188">
        <f t="shared" si="96"/>
        <v>0</v>
      </c>
      <c r="Y285" s="168">
        <f t="shared" si="90"/>
        <v>0</v>
      </c>
      <c r="Z285" s="103">
        <f t="shared" si="91"/>
        <v>0</v>
      </c>
    </row>
    <row r="286" spans="1:26" x14ac:dyDescent="0.25">
      <c r="A286" s="189" t="str">
        <f t="shared" si="87"/>
        <v>Svinekød</v>
      </c>
      <c r="B286" s="189" t="str">
        <f t="shared" si="88"/>
        <v/>
      </c>
      <c r="C286" s="189">
        <f>IF(COUNTIFS('Resultater - Danmark'!$D$3:$D$504,'Resultat-Produktion &amp; forbrug'!A286,'Resultater - Danmark'!$A$3:$A$504,"Til energi")+COUNTIFS('Resultater - Danmark'!$D$3:$D$504,'Resultat-Produktion &amp; forbrug'!A286,'Resultater - Danmark'!$A$3:$A$504,"Biogasanlæg")&gt;0,1,0)</f>
        <v>0</v>
      </c>
      <c r="D286" s="189">
        <f t="shared" si="92"/>
        <v>2050</v>
      </c>
      <c r="E286" s="187" t="s">
        <v>24</v>
      </c>
      <c r="F286" s="190">
        <f>IF(E286="Vestdanmark",SUMIFS(IF(D286=År1,'Resultater - Vestdanmark'!H$3:H$504,IF(D286=År2,'Resultater - Vestdanmark'!I$3:I$504,'Resultater - Vestdanmark'!J$3:J$504)),'Resultater - Vestdanmark'!$F$3:$F$504,$A286,IF(D286=År1,'Resultater - Vestdanmark'!H$3:H$504,IF(D286=År2,'Resultater - Vestdanmark'!I$3:I$504,'Resultater - Vestdanmark'!J$3:J$504)),"&gt;0"),SUMIFS(IF(D286=År1,'Resultater - Østdanmark'!H$3:H$504,IF(D286=År2,'Resultater - Østdanmark'!I$3:I$504,'Resultater - Østdanmark'!J$3:J$504)),'Resultater - Østdanmark'!$F$3:$F$504,$A286,IF(D286=År1,'Resultater - Østdanmark'!H$3:H$504,IF(D286=År2,'Resultater - Østdanmark'!I$3:I$504,'Resultater - Østdanmark'!J$3:J$504)),"&gt;0"))</f>
        <v>233020.79470926209</v>
      </c>
      <c r="G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forbrug'!G$2,'Forbrug af biomasse'!$B$2:$B$425,$E286)</f>
        <v>0</v>
      </c>
      <c r="H286" s="187">
        <f>IF(E286="Vestdanmark",-IF(A286="Halm",SUMIFS(IF(D286=År1,'Resultater - Vestdanmark'!H$3:H$504,IF(D286=År2,'Resultater - Vestdanmark'!I$3:I$504,'Resultater - Vestdanmark'!J$3:J$504)),'Resultater - Vestdanmark'!$F$3:$F$504,$A286,'Resultater - Vestdanmark'!H$3:H$504,"&lt;0"),0),-IF(A286="Halm",SUMIFS(IF(D286=År1,'Resultater - Østdanmark'!H$3:H$504,IF(D286=År2,'Resultater - Østdanmark'!I$3:I$504,'Resultater - Østdanmark'!J$3:J$504)),'Resultater - Østdanmark'!$F$3:$F$504,$A286,'Resultater - Østdanmark'!H$3:H$504,"&lt;0"),0))</f>
        <v>0</v>
      </c>
      <c r="I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forbrug'!I$2,'Forbrug af biomasse'!$B$2:$B$425,$E286)</f>
        <v>110474.29755686472</v>
      </c>
      <c r="J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forbrug'!J$2,'Forbrug af biomasse'!$B$2:$B$425,$E286)</f>
        <v>0</v>
      </c>
      <c r="K286" s="190">
        <f>SUMIFS('Forbrug af biomasse'!$E$2:$E$425,'Forbrug af biomasse'!$C$2:$C$425,'Resultat-Produktion &amp; forbrug'!$A286,'Forbrug af biomasse'!$D$2:$D$425,'Resultat-Produktion &amp; forbrug'!$D286,'Forbrug af biomasse'!$A$2:$A$425,'Resultat-Produktion &amp; forbrug'!K$2,'Forbrug af biomasse'!$B$2:$B$425,$E286)</f>
        <v>0</v>
      </c>
      <c r="L286" s="190">
        <f>IF(A286&lt;&gt;"Biogas",SUMIFS('Forbrug af biomasse'!$E$2:$E$425,'Forbrug af biomasse'!$C$2:$C$425,'Resultat-Produktion &amp; forbrug'!$A286,'Forbrug af biomasse'!$D$2:$D$425,'Resultat-Produktion &amp; forbrug'!$D286,'Forbrug af biomasse'!$A$2:$A$425,'Resultat-Produktion &amp; forbrug'!L$2,'Forbrug af biomasse'!$B$2:$B$425,$E286),F286)</f>
        <v>0</v>
      </c>
      <c r="M286" s="154">
        <f>SUMIFS('Forbrug af biomasse'!E:E,'Forbrug af biomasse'!C:C,'Resultat-Produktion &amp; forbrug'!$A286,'Forbrug af biomasse'!D:D,'Resultat-Produktion &amp; forbrug'!$D286,'Forbrug af biomasse'!G:G,1,'Forbrug af biomasse'!B:B,$E286)</f>
        <v>0</v>
      </c>
      <c r="N286" s="199">
        <f t="shared" si="93"/>
        <v>122546.49715239737</v>
      </c>
      <c r="O286" s="190">
        <f t="shared" si="89"/>
        <v>0</v>
      </c>
      <c r="P286" s="200">
        <f t="shared" si="94"/>
        <v>0</v>
      </c>
      <c r="Q286" s="187">
        <f>IFERROR(VLOOKUP(A286,[1]Energiindhold!$A$2:$C$11,3,FALSE),IFERROR(VLOOKUP(A286,[1]Biogasudbytte!$A$2:$B$18,2,FALSE)*[1]Energiindhold!$C$10,0))*O286</f>
        <v>0</v>
      </c>
      <c r="R286" s="187">
        <f>IF(A286&lt;&gt;"Biogas",IFERROR(VLOOKUP(A286,[1]Biogasudbytte!$A$2:$B$18,2,FALSE)*[1]Energiindhold!$C$10,0)*J286*IFERROR(VLOOKUP(A286,Biogasanlæg!$F$3:$G$8,2,FALSE),1)+IFERROR(VLOOKUP(A286,[1]Energiindhold!$A$2:$C$11,3,FALSE),0)*L286+IF(D286&lt;&gt;År1,Q286,0),0)</f>
        <v>0</v>
      </c>
      <c r="S286" s="187">
        <f>IFERROR(VLOOKUP(A286,[1]Biogasudbytte!$A$2:$B$18,2,FALSE)*[1]Energiindhold!$C$10,0)*J286*IFERROR(VLOOKUP(A286,Biogasanlæg!$F$3:$G$8,2,FALSE),1)</f>
        <v>0</v>
      </c>
      <c r="T286" s="188">
        <f t="shared" si="95"/>
        <v>0</v>
      </c>
      <c r="U286" s="186">
        <f>O286*IFERROR(VLOOKUP(A286,[1]Tørstofindhold!A$2:B$24,2,FALSE),0)</f>
        <v>0</v>
      </c>
      <c r="V286" s="187">
        <f>IF(D286=År1,P286,SUM(O286,P286))*IFERROR(VLOOKUP(A286,[1]Tørstofindhold!A$2:B$24,2,FALSE),0)</f>
        <v>0</v>
      </c>
      <c r="W286" s="187">
        <f>J286*IFERROR(VLOOKUP(A286,[1]Tørstofindhold!A$2:B$24,2,FALSE),0)</f>
        <v>0</v>
      </c>
      <c r="X286" s="188">
        <f t="shared" si="96"/>
        <v>0</v>
      </c>
      <c r="Y286" s="168">
        <f t="shared" si="90"/>
        <v>0</v>
      </c>
      <c r="Z286" s="103">
        <f t="shared" si="91"/>
        <v>1</v>
      </c>
    </row>
    <row r="287" spans="1:26" x14ac:dyDescent="0.25">
      <c r="A287" s="189" t="str">
        <f t="shared" si="87"/>
        <v>Tang</v>
      </c>
      <c r="B287" s="189" t="str">
        <f t="shared" si="88"/>
        <v>Havbiomasse</v>
      </c>
      <c r="C287" s="189">
        <f>IF(COUNTIFS('Resultater - Danmark'!$D$3:$D$504,'Resultat-Produktion &amp; forbrug'!A287,'Resultater - Danmark'!$A$3:$A$504,"Til energi")+COUNTIFS('Resultater - Danmark'!$D$3:$D$504,'Resultat-Produktion &amp; forbrug'!A287,'Resultater - Danmark'!$A$3:$A$504,"Biogasanlæg")&gt;0,1,0)</f>
        <v>1</v>
      </c>
      <c r="D287" s="189">
        <f t="shared" si="92"/>
        <v>2050</v>
      </c>
      <c r="E287" s="187" t="s">
        <v>24</v>
      </c>
      <c r="F287" s="190">
        <f>IF(E287="Vestdanmark",SUMIFS(IF(D287=År1,'Resultater - Vestdanmark'!H$3:H$504,IF(D287=År2,'Resultater - Vestdanmark'!I$3:I$504,'Resultater - Vestdanmark'!J$3:J$504)),'Resultater - Vestdanmark'!$F$3:$F$504,$A287,IF(D287=År1,'Resultater - Vestdanmark'!H$3:H$504,IF(D287=År2,'Resultater - Vestdanmark'!I$3:I$504,'Resultater - Vestdanmark'!J$3:J$504)),"&gt;0"),SUMIFS(IF(D287=År1,'Resultater - Østdanmark'!H$3:H$504,IF(D287=År2,'Resultater - Østdanmark'!I$3:I$504,'Resultater - Østdanmark'!J$3:J$504)),'Resultater - Østdanmark'!$F$3:$F$504,$A287,IF(D287=År1,'Resultater - Østdanmark'!H$3:H$504,IF(D287=År2,'Resultater - Østdanmark'!I$3:I$504,'Resultater - Østdanmark'!J$3:J$504)),"&gt;0"))</f>
        <v>36000</v>
      </c>
      <c r="G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forbrug'!G$2,'Forbrug af biomasse'!$B$2:$B$425,$E287)</f>
        <v>0</v>
      </c>
      <c r="H287" s="187">
        <f>IF(E287="Vestdanmark",-IF(A287="Halm",SUMIFS(IF(D287=År1,'Resultater - Vestdanmark'!H$3:H$504,IF(D287=År2,'Resultater - Vestdanmark'!I$3:I$504,'Resultater - Vestdanmark'!J$3:J$504)),'Resultater - Vestdanmark'!$F$3:$F$504,$A287,'Resultater - Vestdanmark'!H$3:H$504,"&lt;0"),0),-IF(A287="Halm",SUMIFS(IF(D287=År1,'Resultater - Østdanmark'!H$3:H$504,IF(D287=År2,'Resultater - Østdanmark'!I$3:I$504,'Resultater - Østdanmark'!J$3:J$504)),'Resultater - Østdanmark'!$F$3:$F$504,$A287,'Resultater - Østdanmark'!H$3:H$504,"&lt;0"),0))</f>
        <v>0</v>
      </c>
      <c r="I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forbrug'!I$2,'Forbrug af biomasse'!$B$2:$B$425,$E287)</f>
        <v>0</v>
      </c>
      <c r="J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forbrug'!J$2,'Forbrug af biomasse'!$B$2:$B$425,$E287)</f>
        <v>0</v>
      </c>
      <c r="K287" s="190">
        <f>SUMIFS('Forbrug af biomasse'!$E$2:$E$425,'Forbrug af biomasse'!$C$2:$C$425,'Resultat-Produktion &amp; forbrug'!$A287,'Forbrug af biomasse'!$D$2:$D$425,'Resultat-Produktion &amp; forbrug'!$D287,'Forbrug af biomasse'!$A$2:$A$425,'Resultat-Produktion &amp; forbrug'!K$2,'Forbrug af biomasse'!$B$2:$B$425,$E287)</f>
        <v>0</v>
      </c>
      <c r="L287" s="190">
        <f>IF(A287&lt;&gt;"Biogas",SUMIFS('Forbrug af biomasse'!$E$2:$E$425,'Forbrug af biomasse'!$C$2:$C$425,'Resultat-Produktion &amp; forbrug'!$A287,'Forbrug af biomasse'!$D$2:$D$425,'Resultat-Produktion &amp; forbrug'!$D287,'Forbrug af biomasse'!$A$2:$A$425,'Resultat-Produktion &amp; forbrug'!L$2,'Forbrug af biomasse'!$B$2:$B$425,$E287),F287)</f>
        <v>0</v>
      </c>
      <c r="M287" s="154">
        <f>SUMIFS('Forbrug af biomasse'!E:E,'Forbrug af biomasse'!C:C,'Resultat-Produktion &amp; forbrug'!$A287,'Forbrug af biomasse'!D:D,'Resultat-Produktion &amp; forbrug'!$D287,'Forbrug af biomasse'!G:G,1,'Forbrug af biomasse'!B:B,$E287)</f>
        <v>0</v>
      </c>
      <c r="N287" s="199">
        <f t="shared" si="93"/>
        <v>36000</v>
      </c>
      <c r="O287" s="190">
        <f t="shared" si="89"/>
        <v>36000</v>
      </c>
      <c r="P287" s="200">
        <f t="shared" si="94"/>
        <v>0</v>
      </c>
      <c r="Q287" s="187">
        <f>IFERROR(VLOOKUP(A287,[1]Energiindhold!$A$2:$C$11,3,FALSE),IFERROR(VLOOKUP(A287,[1]Biogasudbytte!$A$2:$B$18,2,FALSE)*[1]Energiindhold!$C$10,0))*O287</f>
        <v>3.2310000000000005E-2</v>
      </c>
      <c r="R287" s="187">
        <f>IF(A287&lt;&gt;"Biogas",IFERROR(VLOOKUP(A287,[1]Biogasudbytte!$A$2:$B$18,2,FALSE)*[1]Energiindhold!$C$10,0)*J287*IFERROR(VLOOKUP(A287,Biogasanlæg!$F$3:$G$8,2,FALSE),1)+IFERROR(VLOOKUP(A287,[1]Energiindhold!$A$2:$C$11,3,FALSE),0)*L287+IF(D287&lt;&gt;År1,Q287,0),0)</f>
        <v>3.2310000000000005E-2</v>
      </c>
      <c r="S287" s="187">
        <f>IFERROR(VLOOKUP(A287,[1]Biogasudbytte!$A$2:$B$18,2,FALSE)*[1]Energiindhold!$C$10,0)*J287*IFERROR(VLOOKUP(A287,Biogasanlæg!$F$3:$G$8,2,FALSE),1)</f>
        <v>0</v>
      </c>
      <c r="T287" s="188">
        <f t="shared" si="95"/>
        <v>3.2310000000000005E-2</v>
      </c>
      <c r="U287" s="186">
        <f>O287*IFERROR(VLOOKUP(A287,[1]Tørstofindhold!A$2:B$24,2,FALSE),0)</f>
        <v>5400</v>
      </c>
      <c r="V287" s="187">
        <f>IF(D287=År1,P287,SUM(O287,P287))*IFERROR(VLOOKUP(A287,[1]Tørstofindhold!A$2:B$24,2,FALSE),0)</f>
        <v>5400</v>
      </c>
      <c r="W287" s="187">
        <f>J287*IFERROR(VLOOKUP(A287,[1]Tørstofindhold!A$2:B$24,2,FALSE),0)</f>
        <v>0</v>
      </c>
      <c r="X287" s="188">
        <f t="shared" si="96"/>
        <v>5400</v>
      </c>
      <c r="Y287" s="168">
        <f t="shared" si="90"/>
        <v>0</v>
      </c>
      <c r="Z287" s="103">
        <f t="shared" si="91"/>
        <v>1</v>
      </c>
    </row>
    <row r="288" spans="1:26" x14ac:dyDescent="0.25">
      <c r="A288" s="189" t="str">
        <f t="shared" si="87"/>
        <v>Total til biogas</v>
      </c>
      <c r="B288" s="189" t="str">
        <f t="shared" si="88"/>
        <v/>
      </c>
      <c r="C288" s="189">
        <f>IF(COUNTIFS('Resultater - Danmark'!$D$3:$D$504,'Resultat-Produktion &amp; forbrug'!A288,'Resultater - Danmark'!$A$3:$A$504,"Til energi")+COUNTIFS('Resultater - Danmark'!$D$3:$D$504,'Resultat-Produktion &amp; forbrug'!A288,'Resultater - Danmark'!$A$3:$A$504,"Biogasanlæg")&gt;0,1,0)</f>
        <v>1</v>
      </c>
      <c r="D288" s="189">
        <f t="shared" si="92"/>
        <v>2050</v>
      </c>
      <c r="E288" s="187" t="s">
        <v>24</v>
      </c>
      <c r="F288" s="190">
        <f>IF(E288="Vestdanmark",SUMIFS(IF(D288=År1,'Resultater - Vestdanmark'!H$3:H$504,IF(D288=År2,'Resultater - Vestdanmark'!I$3:I$504,'Resultater - Vestdanmark'!J$3:J$504)),'Resultater - Vestdanmark'!$F$3:$F$504,$A288,IF(D288=År1,'Resultater - Vestdanmark'!H$3:H$504,IF(D288=År2,'Resultater - Vestdanmark'!I$3:I$504,'Resultater - Vestdanmark'!J$3:J$504)),"&gt;0"),SUMIFS(IF(D288=År1,'Resultater - Østdanmark'!H$3:H$504,IF(D288=År2,'Resultater - Østdanmark'!I$3:I$504,'Resultater - Østdanmark'!J$3:J$504)),'Resultater - Østdanmark'!$F$3:$F$504,$A288,IF(D288=År1,'Resultater - Østdanmark'!H$3:H$504,IF(D288=År2,'Resultater - Østdanmark'!I$3:I$504,'Resultater - Østdanmark'!J$3:J$504)),"&gt;0"))</f>
        <v>0</v>
      </c>
      <c r="G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forbrug'!G$2,'Forbrug af biomasse'!$B$2:$B$425,$E288)</f>
        <v>0</v>
      </c>
      <c r="H288" s="187">
        <f>IF(E288="Vestdanmark",-IF(A288="Halm",SUMIFS(IF(D288=År1,'Resultater - Vestdanmark'!H$3:H$504,IF(D288=År2,'Resultater - Vestdanmark'!I$3:I$504,'Resultater - Vestdanmark'!J$3:J$504)),'Resultater - Vestdanmark'!$F$3:$F$504,$A288,'Resultater - Vestdanmark'!H$3:H$504,"&lt;0"),0),-IF(A288="Halm",SUMIFS(IF(D288=År1,'Resultater - Østdanmark'!H$3:H$504,IF(D288=År2,'Resultater - Østdanmark'!I$3:I$504,'Resultater - Østdanmark'!J$3:J$504)),'Resultater - Østdanmark'!$F$3:$F$504,$A288,'Resultater - Østdanmark'!H$3:H$504,"&lt;0"),0))</f>
        <v>0</v>
      </c>
      <c r="I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forbrug'!I$2,'Forbrug af biomasse'!$B$2:$B$425,$E288)</f>
        <v>0</v>
      </c>
      <c r="J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forbrug'!J$2,'Forbrug af biomasse'!$B$2:$B$425,$E288)</f>
        <v>0</v>
      </c>
      <c r="K288" s="190">
        <f>SUMIFS('Forbrug af biomasse'!$E$2:$E$425,'Forbrug af biomasse'!$C$2:$C$425,'Resultat-Produktion &amp; forbrug'!$A288,'Forbrug af biomasse'!$D$2:$D$425,'Resultat-Produktion &amp; forbrug'!$D288,'Forbrug af biomasse'!$A$2:$A$425,'Resultat-Produktion &amp; forbrug'!K$2,'Forbrug af biomasse'!$B$2:$B$425,$E288)</f>
        <v>0</v>
      </c>
      <c r="L288" s="190">
        <f>IF(A288&lt;&gt;"Biogas",SUMIFS('Forbrug af biomasse'!$E$2:$E$425,'Forbrug af biomasse'!$C$2:$C$425,'Resultat-Produktion &amp; forbrug'!$A288,'Forbrug af biomasse'!$D$2:$D$425,'Resultat-Produktion &amp; forbrug'!$D288,'Forbrug af biomasse'!$A$2:$A$425,'Resultat-Produktion &amp; forbrug'!L$2,'Forbrug af biomasse'!$B$2:$B$425,$E288),F288)</f>
        <v>0</v>
      </c>
      <c r="M288" s="154">
        <f>SUMIFS('Forbrug af biomasse'!E:E,'Forbrug af biomasse'!C:C,'Resultat-Produktion &amp; forbrug'!$A288,'Forbrug af biomasse'!D:D,'Resultat-Produktion &amp; forbrug'!$D288,'Forbrug af biomasse'!G:G,1,'Forbrug af biomasse'!B:B,$E288)</f>
        <v>0</v>
      </c>
      <c r="N288" s="199">
        <f t="shared" si="93"/>
        <v>0</v>
      </c>
      <c r="O288" s="190">
        <f t="shared" si="89"/>
        <v>0</v>
      </c>
      <c r="P288" s="200">
        <f t="shared" si="94"/>
        <v>0</v>
      </c>
      <c r="Q288" s="187">
        <f>IFERROR(VLOOKUP(A288,[1]Energiindhold!$A$2:$C$11,3,FALSE),IFERROR(VLOOKUP(A288,[1]Biogasudbytte!$A$2:$B$18,2,FALSE)*[1]Energiindhold!$C$10,0))*O288</f>
        <v>0</v>
      </c>
      <c r="R288" s="187">
        <f>IF(A288&lt;&gt;"Biogas",IFERROR(VLOOKUP(A288,[1]Biogasudbytte!$A$2:$B$18,2,FALSE)*[1]Energiindhold!$C$10,0)*J288*IFERROR(VLOOKUP(A288,Biogasanlæg!$F$3:$G$8,2,FALSE),1)+IFERROR(VLOOKUP(A288,[1]Energiindhold!$A$2:$C$11,3,FALSE),0)*L288+IF(D288&lt;&gt;År1,Q288,0),0)</f>
        <v>0</v>
      </c>
      <c r="S288" s="187">
        <f>IFERROR(VLOOKUP(A288,[1]Biogasudbytte!$A$2:$B$18,2,FALSE)*[1]Energiindhold!$C$10,0)*J288*IFERROR(VLOOKUP(A288,Biogasanlæg!$F$3:$G$8,2,FALSE),1)</f>
        <v>0</v>
      </c>
      <c r="T288" s="188">
        <f t="shared" si="95"/>
        <v>0</v>
      </c>
      <c r="U288" s="186">
        <f>O288*IFERROR(VLOOKUP(A288,[1]Tørstofindhold!A$2:B$24,2,FALSE),0)</f>
        <v>0</v>
      </c>
      <c r="V288" s="187">
        <f>IF(D288=År1,P288,SUM(O288,P288))*IFERROR(VLOOKUP(A288,[1]Tørstofindhold!A$2:B$24,2,FALSE),0)</f>
        <v>0</v>
      </c>
      <c r="W288" s="187">
        <f>J288*IFERROR(VLOOKUP(A288,[1]Tørstofindhold!A$2:B$24,2,FALSE),0)</f>
        <v>0</v>
      </c>
      <c r="X288" s="188">
        <f t="shared" si="96"/>
        <v>0</v>
      </c>
      <c r="Y288" s="168">
        <f t="shared" si="90"/>
        <v>0</v>
      </c>
      <c r="Z288" s="103">
        <f t="shared" si="91"/>
        <v>0</v>
      </c>
    </row>
    <row r="289" spans="1:26" x14ac:dyDescent="0.25">
      <c r="A289" s="189" t="str">
        <f t="shared" si="87"/>
        <v>Træ til energi</v>
      </c>
      <c r="B289" s="189" t="str">
        <f t="shared" si="88"/>
        <v>Vedmasse</v>
      </c>
      <c r="C289" s="189">
        <f>IF(COUNTIFS('Resultater - Danmark'!$D$3:$D$504,'Resultat-Produktion &amp; forbrug'!A289,'Resultater - Danmark'!$A$3:$A$504,"Til energi")+COUNTIFS('Resultater - Danmark'!$D$3:$D$504,'Resultat-Produktion &amp; forbrug'!A289,'Resultater - Danmark'!$A$3:$A$504,"Biogasanlæg")&gt;0,1,0)</f>
        <v>1</v>
      </c>
      <c r="D289" s="189">
        <f t="shared" si="92"/>
        <v>2050</v>
      </c>
      <c r="E289" s="187" t="s">
        <v>24</v>
      </c>
      <c r="F289" s="190">
        <f ca="1">IF(E289="Vestdanmark",SUMIFS(IF(D289=År1,'Resultater - Vestdanmark'!H$3:H$504,IF(D289=År2,'Resultater - Vestdanmark'!I$3:I$504,'Resultater - Vestdanmark'!J$3:J$504)),'Resultater - Vestdanmark'!$F$3:$F$504,$A289,IF(D289=År1,'Resultater - Vestdanmark'!H$3:H$504,IF(D289=År2,'Resultater - Vestdanmark'!I$3:I$504,'Resultater - Vestdanmark'!J$3:J$504)),"&gt;0"),SUMIFS(IF(D289=År1,'Resultater - Østdanmark'!H$3:H$504,IF(D289=År2,'Resultater - Østdanmark'!I$3:I$504,'Resultater - Østdanmark'!J$3:J$504)),'Resultater - Østdanmark'!$F$3:$F$504,$A289,IF(D289=År1,'Resultater - Østdanmark'!H$3:H$504,IF(D289=År2,'Resultater - Østdanmark'!I$3:I$504,'Resultater - Østdanmark'!J$3:J$504)),"&gt;0"))</f>
        <v>585276.82167847839</v>
      </c>
      <c r="G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forbrug'!G$2,'Forbrug af biomasse'!$B$2:$B$425,$E289)</f>
        <v>0</v>
      </c>
      <c r="H289" s="187">
        <f>IF(E289="Vestdanmark",-IF(A289="Halm",SUMIFS(IF(D289=År1,'Resultater - Vestdanmark'!H$3:H$504,IF(D289=År2,'Resultater - Vestdanmark'!I$3:I$504,'Resultater - Vestdanmark'!J$3:J$504)),'Resultater - Vestdanmark'!$F$3:$F$504,$A289,'Resultater - Vestdanmark'!H$3:H$504,"&lt;0"),0),-IF(A289="Halm",SUMIFS(IF(D289=År1,'Resultater - Østdanmark'!H$3:H$504,IF(D289=År2,'Resultater - Østdanmark'!I$3:I$504,'Resultater - Østdanmark'!J$3:J$504)),'Resultater - Østdanmark'!$F$3:$F$504,$A289,'Resultater - Østdanmark'!H$3:H$504,"&lt;0"),0))</f>
        <v>0</v>
      </c>
      <c r="I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forbrug'!I$2,'Forbrug af biomasse'!$B$2:$B$425,$E289)</f>
        <v>0</v>
      </c>
      <c r="J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forbrug'!J$2,'Forbrug af biomasse'!$B$2:$B$425,$E289)</f>
        <v>0</v>
      </c>
      <c r="K289" s="190">
        <f>SUMIFS('Forbrug af biomasse'!$E$2:$E$425,'Forbrug af biomasse'!$C$2:$C$425,'Resultat-Produktion &amp; forbrug'!$A289,'Forbrug af biomasse'!$D$2:$D$425,'Resultat-Produktion &amp; forbrug'!$D289,'Forbrug af biomasse'!$A$2:$A$425,'Resultat-Produktion &amp; forbrug'!K$2,'Forbrug af biomasse'!$B$2:$B$425,$E289)</f>
        <v>0</v>
      </c>
      <c r="L289" s="190">
        <f ca="1">IF(A289&lt;&gt;"Biogas",SUMIFS('Forbrug af biomasse'!$E$2:$E$425,'Forbrug af biomasse'!$C$2:$C$425,'Resultat-Produktion &amp; forbrug'!$A289,'Forbrug af biomasse'!$D$2:$D$425,'Resultat-Produktion &amp; forbrug'!$D289,'Forbrug af biomasse'!$A$2:$A$425,'Resultat-Produktion &amp; forbrug'!L$2,'Forbrug af biomasse'!$B$2:$B$425,$E289),F289)</f>
        <v>585276.82167847839</v>
      </c>
      <c r="M289" s="154">
        <f>SUMIFS('Forbrug af biomasse'!E:E,'Forbrug af biomasse'!C:C,'Resultat-Produktion &amp; forbrug'!$A289,'Forbrug af biomasse'!D:D,'Resultat-Produktion &amp; forbrug'!$D289,'Forbrug af biomasse'!G:G,1,'Forbrug af biomasse'!B:B,$E289)</f>
        <v>0</v>
      </c>
      <c r="N289" s="199">
        <f t="shared" ca="1" si="93"/>
        <v>0</v>
      </c>
      <c r="O289" s="190">
        <f t="shared" ca="1" si="89"/>
        <v>0</v>
      </c>
      <c r="P289" s="200">
        <f t="shared" ca="1" si="94"/>
        <v>585276.82167847839</v>
      </c>
      <c r="Q289" s="187">
        <f ca="1">IFERROR(VLOOKUP(A289,[1]Energiindhold!$A$2:$C$11,3,FALSE),IFERROR(VLOOKUP(A289,[1]Biogasudbytte!$A$2:$B$18,2,FALSE)*[1]Energiindhold!$C$10,0))*O289</f>
        <v>0</v>
      </c>
      <c r="R289" s="187">
        <f ca="1">IF(A289&lt;&gt;"Biogas",IFERROR(VLOOKUP(A289,[1]Biogasudbytte!$A$2:$B$18,2,FALSE)*[1]Energiindhold!$C$10,0)*J289*IFERROR(VLOOKUP(A289,Biogasanlæg!$F$3:$G$8,2,FALSE),1)+IFERROR(VLOOKUP(A289,[1]Energiindhold!$A$2:$C$11,3,FALSE),0)*L289+IF(D289&lt;&gt;År1,Q289,0),0)</f>
        <v>8.4827499410238172</v>
      </c>
      <c r="S289" s="187">
        <f>IFERROR(VLOOKUP(A289,[1]Biogasudbytte!$A$2:$B$18,2,FALSE)*[1]Energiindhold!$C$10,0)*J289*IFERROR(VLOOKUP(A289,Biogasanlæg!$F$3:$G$8,2,FALSE),1)</f>
        <v>0</v>
      </c>
      <c r="T289" s="188">
        <f t="shared" ca="1" si="95"/>
        <v>8.4827499410238172</v>
      </c>
      <c r="U289" s="186">
        <f ca="1">O289*IFERROR(VLOOKUP(A289,[1]Tørstofindhold!A$2:B$24,2,FALSE),0)</f>
        <v>0</v>
      </c>
      <c r="V289" s="187">
        <f ca="1">IF(D289=År1,P289,SUM(O289,P289))*IFERROR(VLOOKUP(A289,[1]Tørstofindhold!A$2:B$24,2,FALSE),0)</f>
        <v>289468.16138848074</v>
      </c>
      <c r="W289" s="187">
        <f>J289*IFERROR(VLOOKUP(A289,[1]Tørstofindhold!A$2:B$24,2,FALSE),0)</f>
        <v>0</v>
      </c>
      <c r="X289" s="188">
        <f t="shared" ca="1" si="96"/>
        <v>289468.16138848074</v>
      </c>
      <c r="Y289" s="168">
        <f t="shared" ca="1" si="90"/>
        <v>0</v>
      </c>
      <c r="Z289" s="103">
        <f t="shared" ca="1" si="91"/>
        <v>0</v>
      </c>
    </row>
    <row r="290" spans="1:26" ht="15.75" thickBot="1" x14ac:dyDescent="0.3">
      <c r="A290" s="189" t="str">
        <f t="shared" si="87"/>
        <v>Træmaterialer</v>
      </c>
      <c r="B290" s="189" t="str">
        <f t="shared" si="88"/>
        <v/>
      </c>
      <c r="C290" s="189">
        <f>IF(COUNTIFS('Resultater - Danmark'!$D$3:$D$504,'Resultat-Produktion &amp; forbrug'!A290,'Resultater - Danmark'!$A$3:$A$504,"Til energi")+COUNTIFS('Resultater - Danmark'!$D$3:$D$504,'Resultat-Produktion &amp; forbrug'!A290,'Resultater - Danmark'!$A$3:$A$504,"Biogasanlæg")&gt;0,1,0)</f>
        <v>0</v>
      </c>
      <c r="D290" s="189">
        <f t="shared" si="92"/>
        <v>2050</v>
      </c>
      <c r="E290" s="187" t="s">
        <v>24</v>
      </c>
      <c r="F290" s="190">
        <f ca="1">IF(E290="Vestdanmark",SUMIFS(IF(D290=År1,'Resultater - Vestdanmark'!H$3:H$504,IF(D290=År2,'Resultater - Vestdanmark'!I$3:I$504,'Resultater - Vestdanmark'!J$3:J$504)),'Resultater - Vestdanmark'!$F$3:$F$504,$A290,IF(D290=År1,'Resultater - Vestdanmark'!H$3:H$504,IF(D290=År2,'Resultater - Vestdanmark'!I$3:I$504,'Resultater - Vestdanmark'!J$3:J$504)),"&gt;0"),SUMIFS(IF(D290=År1,'Resultater - Østdanmark'!H$3:H$504,IF(D290=År2,'Resultater - Østdanmark'!I$3:I$504,'Resultater - Østdanmark'!J$3:J$504)),'Resultater - Østdanmark'!$F$3:$F$504,$A290,IF(D290=År1,'Resultater - Østdanmark'!H$3:H$504,IF(D290=År2,'Resultater - Østdanmark'!I$3:I$504,'Resultater - Østdanmark'!J$3:J$504)),"&gt;0"))</f>
        <v>161253.53800096706</v>
      </c>
      <c r="G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forbrug'!G$2,'Forbrug af biomasse'!$B$2:$B$425,$E290)</f>
        <v>0</v>
      </c>
      <c r="H290" s="187">
        <f>IF(E290="Vestdanmark",-IF(A290="Halm",SUMIFS(IF(D290=År1,'Resultater - Vestdanmark'!H$3:H$504,IF(D290=År2,'Resultater - Vestdanmark'!I$3:I$504,'Resultater - Vestdanmark'!J$3:J$504)),'Resultater - Vestdanmark'!$F$3:$F$504,$A290,'Resultater - Vestdanmark'!H$3:H$504,"&lt;0"),0),-IF(A290="Halm",SUMIFS(IF(D290=År1,'Resultater - Østdanmark'!H$3:H$504,IF(D290=År2,'Resultater - Østdanmark'!I$3:I$504,'Resultater - Østdanmark'!J$3:J$504)),'Resultater - Østdanmark'!$F$3:$F$504,$A290,'Resultater - Østdanmark'!H$3:H$504,"&lt;0"),0))</f>
        <v>0</v>
      </c>
      <c r="I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forbrug'!I$2,'Forbrug af biomasse'!$B$2:$B$425,$E290)</f>
        <v>0</v>
      </c>
      <c r="J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forbrug'!J$2,'Forbrug af biomasse'!$B$2:$B$425,$E290)</f>
        <v>0</v>
      </c>
      <c r="K290" s="190">
        <f>SUMIFS('Forbrug af biomasse'!$E$2:$E$425,'Forbrug af biomasse'!$C$2:$C$425,'Resultat-Produktion &amp; forbrug'!$A290,'Forbrug af biomasse'!$D$2:$D$425,'Resultat-Produktion &amp; forbrug'!$D290,'Forbrug af biomasse'!$A$2:$A$425,'Resultat-Produktion &amp; forbrug'!K$2,'Forbrug af biomasse'!$B$2:$B$425,$E290)</f>
        <v>0</v>
      </c>
      <c r="L290" s="190">
        <f>IF(A290&lt;&gt;"Biogas",SUMIFS('Forbrug af biomasse'!$E$2:$E$425,'Forbrug af biomasse'!$C$2:$C$425,'Resultat-Produktion &amp; forbrug'!$A290,'Forbrug af biomasse'!$D$2:$D$425,'Resultat-Produktion &amp; forbrug'!$D290,'Forbrug af biomasse'!$A$2:$A$425,'Resultat-Produktion &amp; forbrug'!L$2,'Forbrug af biomasse'!$B$2:$B$425,$E290),F290)</f>
        <v>0</v>
      </c>
      <c r="M290" s="154">
        <f ca="1">SUMIFS('Forbrug af biomasse'!E:E,'Forbrug af biomasse'!C:C,'Resultat-Produktion &amp; forbrug'!$A290,'Forbrug af biomasse'!D:D,'Resultat-Produktion &amp; forbrug'!$D290,'Forbrug af biomasse'!G:G,1,'Forbrug af biomasse'!B:B,$E290)</f>
        <v>161253.53800096706</v>
      </c>
      <c r="N290" s="201">
        <f t="shared" ca="1" si="93"/>
        <v>0</v>
      </c>
      <c r="O290" s="202">
        <f t="shared" si="89"/>
        <v>0</v>
      </c>
      <c r="P290" s="203">
        <f t="shared" si="94"/>
        <v>0</v>
      </c>
      <c r="Q290" s="192">
        <f>IFERROR(VLOOKUP(A290,[1]Energiindhold!$A$2:$C$11,3,FALSE),IFERROR(VLOOKUP(A290,[1]Biogasudbytte!$A$2:$B$18,2,FALSE)*[1]Energiindhold!$C$10,0))*O290</f>
        <v>0</v>
      </c>
      <c r="R290" s="192">
        <f>IF(A290&lt;&gt;"Biogas",IFERROR(VLOOKUP(A290,[1]Biogasudbytte!$A$2:$B$18,2,FALSE)*[1]Energiindhold!$C$10,0)*J290*IFERROR(VLOOKUP(A290,Biogasanlæg!$F$3:$G$8,2,FALSE),1)+IFERROR(VLOOKUP(A290,[1]Energiindhold!$A$2:$C$11,3,FALSE),0)*L290+IF(D290&lt;&gt;År1,Q290,0),0)</f>
        <v>0</v>
      </c>
      <c r="S290" s="192">
        <f>IFERROR(VLOOKUP(A290,[1]Biogasudbytte!$A$2:$B$18,2,FALSE)*[1]Energiindhold!$C$10,0)*J290*IFERROR(VLOOKUP(A290,Biogasanlæg!$F$3:$G$8,2,FALSE),1)</f>
        <v>0</v>
      </c>
      <c r="T290" s="193">
        <f t="shared" si="95"/>
        <v>0</v>
      </c>
      <c r="U290" s="191">
        <f>O290*IFERROR(VLOOKUP(A290,[1]Tørstofindhold!A$2:B$24,2,FALSE),0)</f>
        <v>0</v>
      </c>
      <c r="V290" s="192">
        <f>IF(D290=År1,P290,SUM(O290,P290))*IFERROR(VLOOKUP(A290,[1]Tørstofindhold!A$2:B$24,2,FALSE),0)</f>
        <v>0</v>
      </c>
      <c r="W290" s="192">
        <f>J290*IFERROR(VLOOKUP(A290,[1]Tørstofindhold!A$2:B$24,2,FALSE),0)</f>
        <v>0</v>
      </c>
      <c r="X290" s="193">
        <f t="shared" si="96"/>
        <v>0</v>
      </c>
      <c r="Y290" s="168">
        <f t="shared" ca="1" si="90"/>
        <v>0</v>
      </c>
      <c r="Z290" s="103">
        <f t="shared" ca="1" si="91"/>
        <v>0</v>
      </c>
    </row>
  </sheetData>
  <autoFilter ref="A2:Z290" xr:uid="{E8FEB0F6-BC35-420D-A381-2F9B028DCC93}"/>
  <mergeCells count="5">
    <mergeCell ref="Q1:T1"/>
    <mergeCell ref="U1:X1"/>
    <mergeCell ref="A1:C1"/>
    <mergeCell ref="F1:M1"/>
    <mergeCell ref="N1:P1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4D5E2B-C286-4DB6-83B9-128AA7052141}">
  <sheetPr codeName="Sheet11">
    <tabColor theme="2" tint="-9.9978637043366805E-2"/>
  </sheetPr>
  <dimension ref="A1:Z54"/>
  <sheetViews>
    <sheetView workbookViewId="0">
      <selection activeCell="E12" sqref="A12:U61"/>
    </sheetView>
  </sheetViews>
  <sheetFormatPr defaultColWidth="8.85546875" defaultRowHeight="15" x14ac:dyDescent="0.25"/>
  <cols>
    <col min="1" max="16384" width="8.85546875" style="1"/>
  </cols>
  <sheetData>
    <row r="1" spans="1:26" ht="15.75" thickBot="1" x14ac:dyDescent="0.3"/>
    <row r="2" spans="1:26" ht="21.75" thickBot="1" x14ac:dyDescent="0.4">
      <c r="A2" s="448" t="s">
        <v>23</v>
      </c>
      <c r="B2" s="449"/>
      <c r="C2" s="449"/>
      <c r="D2" s="449"/>
      <c r="E2" s="449"/>
      <c r="F2" s="449"/>
      <c r="G2" s="449"/>
      <c r="H2" s="449"/>
      <c r="I2" s="449"/>
      <c r="J2" s="449"/>
      <c r="K2" s="449"/>
      <c r="L2" s="449"/>
      <c r="M2" s="449"/>
      <c r="N2" s="449"/>
      <c r="O2" s="449"/>
      <c r="P2" s="449"/>
      <c r="Q2" s="449"/>
      <c r="R2" s="449"/>
      <c r="S2" s="449"/>
      <c r="T2" s="449"/>
      <c r="U2" s="450"/>
      <c r="W2" s="32"/>
      <c r="X2" s="29">
        <f>År1</f>
        <v>2019</v>
      </c>
      <c r="Y2" s="25">
        <f>År2</f>
        <v>2030</v>
      </c>
      <c r="Z2" s="30">
        <f>År3</f>
        <v>2050</v>
      </c>
    </row>
    <row r="3" spans="1:26" x14ac:dyDescent="0.25">
      <c r="A3" s="61"/>
      <c r="B3" s="62"/>
      <c r="C3" s="444" t="s">
        <v>7</v>
      </c>
      <c r="D3" s="445"/>
      <c r="E3" s="445"/>
      <c r="F3" s="445"/>
      <c r="G3" s="445"/>
      <c r="H3" s="445"/>
      <c r="I3" s="445"/>
      <c r="J3" s="445"/>
      <c r="K3" s="446"/>
      <c r="L3" s="444" t="s">
        <v>8</v>
      </c>
      <c r="M3" s="445"/>
      <c r="N3" s="445"/>
      <c r="O3" s="445"/>
      <c r="P3" s="445"/>
      <c r="Q3" s="445"/>
      <c r="R3" s="445"/>
      <c r="S3" s="445"/>
      <c r="T3" s="446"/>
      <c r="U3" s="71"/>
      <c r="W3" s="31" t="s">
        <v>275</v>
      </c>
      <c r="X3" s="35">
        <f>C24+C51</f>
        <v>11808068</v>
      </c>
      <c r="Y3" s="11">
        <f>D24+D51</f>
        <v>13630231.620137766</v>
      </c>
      <c r="Z3" s="23">
        <f>E24+E51</f>
        <v>13099114.768305516</v>
      </c>
    </row>
    <row r="4" spans="1:26" ht="15.75" thickBot="1" x14ac:dyDescent="0.3">
      <c r="A4" s="61"/>
      <c r="B4" s="63"/>
      <c r="C4" s="169">
        <f>År1</f>
        <v>2019</v>
      </c>
      <c r="D4" s="169">
        <f>År1</f>
        <v>2019</v>
      </c>
      <c r="E4" s="169">
        <f>År1</f>
        <v>2019</v>
      </c>
      <c r="F4" s="170">
        <f>År2</f>
        <v>2030</v>
      </c>
      <c r="G4" s="170">
        <f>År2</f>
        <v>2030</v>
      </c>
      <c r="H4" s="170">
        <f>År2</f>
        <v>2030</v>
      </c>
      <c r="I4" s="170">
        <f>År3</f>
        <v>2050</v>
      </c>
      <c r="J4" s="170">
        <f>År3</f>
        <v>2050</v>
      </c>
      <c r="K4" s="170">
        <f>År3</f>
        <v>2050</v>
      </c>
      <c r="L4" s="169">
        <f>År1</f>
        <v>2019</v>
      </c>
      <c r="M4" s="169">
        <f>År1</f>
        <v>2019</v>
      </c>
      <c r="N4" s="169">
        <f>År1</f>
        <v>2019</v>
      </c>
      <c r="O4" s="170">
        <f>År2</f>
        <v>2030</v>
      </c>
      <c r="P4" s="170">
        <f>År2</f>
        <v>2030</v>
      </c>
      <c r="Q4" s="170">
        <f>År2</f>
        <v>2030</v>
      </c>
      <c r="R4" s="170">
        <f>År3</f>
        <v>2050</v>
      </c>
      <c r="S4" s="170">
        <f>År3</f>
        <v>2050</v>
      </c>
      <c r="T4" s="170">
        <f>År3</f>
        <v>2050</v>
      </c>
      <c r="U4" s="71"/>
      <c r="W4" s="31" t="s">
        <v>276</v>
      </c>
      <c r="X4" s="35">
        <f t="shared" ref="X4:Z5" si="0">C25+C52</f>
        <v>1267084</v>
      </c>
      <c r="Y4" s="11">
        <f t="shared" si="0"/>
        <v>1463535.0663842489</v>
      </c>
      <c r="Z4" s="23">
        <f t="shared" si="0"/>
        <v>1392305.7560659221</v>
      </c>
    </row>
    <row r="5" spans="1:26" ht="15.75" thickBot="1" x14ac:dyDescent="0.3">
      <c r="A5" s="61"/>
      <c r="B5" s="40" t="s">
        <v>29</v>
      </c>
      <c r="C5" s="29" t="str">
        <f>Jordbund1</f>
        <v>JB1-10</v>
      </c>
      <c r="D5" s="25" t="str">
        <f>Organ6</f>
        <v>OC6</v>
      </c>
      <c r="E5" s="25" t="str">
        <f>Organ12</f>
        <v>OC12</v>
      </c>
      <c r="F5" s="25" t="str">
        <f>Jordbund1</f>
        <v>JB1-10</v>
      </c>
      <c r="G5" s="25" t="str">
        <f>Organ6</f>
        <v>OC6</v>
      </c>
      <c r="H5" s="25" t="str">
        <f>Organ12</f>
        <v>OC12</v>
      </c>
      <c r="I5" s="25" t="str">
        <f>Jordbund1</f>
        <v>JB1-10</v>
      </c>
      <c r="J5" s="25" t="str">
        <f>Organ6</f>
        <v>OC6</v>
      </c>
      <c r="K5" s="30" t="str">
        <f>Organ12</f>
        <v>OC12</v>
      </c>
      <c r="L5" s="29" t="str">
        <f>Jordbund1</f>
        <v>JB1-10</v>
      </c>
      <c r="M5" s="25" t="str">
        <f>Organ6</f>
        <v>OC6</v>
      </c>
      <c r="N5" s="25" t="str">
        <f>Organ12</f>
        <v>OC12</v>
      </c>
      <c r="O5" s="25" t="str">
        <f>Jordbund1</f>
        <v>JB1-10</v>
      </c>
      <c r="P5" s="25" t="str">
        <f>Organ6</f>
        <v>OC6</v>
      </c>
      <c r="Q5" s="25" t="str">
        <f>Organ12</f>
        <v>OC12</v>
      </c>
      <c r="R5" s="25" t="str">
        <f>Jordbund1</f>
        <v>JB1-10</v>
      </c>
      <c r="S5" s="25" t="str">
        <f>Organ6</f>
        <v>OC6</v>
      </c>
      <c r="T5" s="30" t="str">
        <f>Organ12</f>
        <v>OC12</v>
      </c>
      <c r="U5" s="71"/>
      <c r="W5" s="46" t="s">
        <v>277</v>
      </c>
      <c r="X5" s="48">
        <f t="shared" si="0"/>
        <v>19782594</v>
      </c>
      <c r="Y5" s="16">
        <f t="shared" si="0"/>
        <v>22886516.421233561</v>
      </c>
      <c r="Z5" s="24">
        <f t="shared" si="0"/>
        <v>21804840.113497604</v>
      </c>
    </row>
    <row r="6" spans="1:26" x14ac:dyDescent="0.25">
      <c r="A6" s="61"/>
      <c r="B6" s="41" t="str">
        <f>[1]Afgrødefordeling!C2</f>
        <v>Korn</v>
      </c>
      <c r="C6" s="35">
        <f>VLOOKUP($B6,'[1]Afgrødefordeling - jordtype'!$F$4:$I$17,MATCH(C$5,'[1]Afgrødefordeling - jordtype'!$F$3:$I$3,0),FALSE)*(1-Landbrug!$C$5)*Arealanvendelse!J$26</f>
        <v>856024.05830682674</v>
      </c>
      <c r="D6" s="35">
        <f>VLOOKUP($B6,'[1]Afgrødefordeling - jordtype'!$F$4:$I$17,MATCH(D$5,'[1]Afgrødefordeling - jordtype'!$F$3:$I$3,0),FALSE)*(1-Landbrug!$C$5)*Arealanvendelse!K$26</f>
        <v>22635.91835790575</v>
      </c>
      <c r="E6" s="35">
        <f>VLOOKUP($B6,'[1]Afgrødefordeling - jordtype'!$F$4:$I$17,MATCH(E$5,'[1]Afgrødefordeling - jordtype'!$F$3:$I$3,0),FALSE)*(1-Landbrug!$C$5)*Arealanvendelse!L$26</f>
        <v>11442.363018493961</v>
      </c>
      <c r="F6" s="11">
        <f>IF(Landbrug!$D$47&gt;0,SUMIF(Landbrug!$B$32:$B$45,$B6,IF($F$4=År2,Landbrug!$D$32:$D$45,Landbrug!$E$32:$E$45)),'[1]Afgrødefordeling - jordtype'!$G4)*(1-Landbrug!$D$5)*Arealanvendelse!M$26</f>
        <v>826963.57771767024</v>
      </c>
      <c r="G6" s="11">
        <f>IF($B6&lt;&gt;"Permanent græs",(1-VLOOKUP('Landbrugsareal - resultat'!G$5,Landbrug!$B$22:$E$23,MATCH('Landbrugsareal - resultat'!G$4,Landbrug!$B$21:$E$21,0),FALSE))*(VLOOKUP($B6,'[1]Afgrødefordeling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20435.609145451021</v>
      </c>
      <c r="H6" s="11">
        <f>IF($B6&lt;&gt;"Permanent græs",(1-VLOOKUP('Landbrugsareal - resultat'!H$5,Landbrug!$B$22:$E$23,MATCH('Landbrugsareal - resultat'!H$4,Landbrug!$B$21:$E$21,0),FALSE))*(VLOOKUP($B6,'[1]Afgrødefordeling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10092.973017126162</v>
      </c>
      <c r="I6" s="11">
        <f>IF(Landbrug!$E$47&gt;0,SUMIF(Landbrug!$B$32:$B$45,$B6,IF($I$4=År2,Landbrug!$D$32:$D$45,Landbrug!$E$32:$E$45)),'[1]Afgrødefordeling - jordtype'!$G4)*(1-Landbrug!$E$5)*Arealanvendelse!P$26</f>
        <v>774548.48763626383</v>
      </c>
      <c r="J6" s="11">
        <f>IF($B6&lt;&gt;"Permanent græs",(1-VLOOKUP(J$5,Landbrug!$B$22:$E$23,MATCH(J$4,Landbrug!$B$21:$E$21,0),FALSE))*(VLOOKUP($B6,'[1]Afgrødefordeling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19490.609878609357</v>
      </c>
      <c r="K6" s="11">
        <f>IF($B6&lt;&gt;"Permanent græs",(1-VLOOKUP(K$5,Landbrug!$B$22:$E$23,MATCH(K$4,Landbrug!$B$21:$E$21,0),FALSE))*(VLOOKUP($B6,'[1]Afgrødefordeling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9626.2459411896907</v>
      </c>
      <c r="L6" s="35">
        <f>VLOOKUP($B6,'[1]Afgrødefordeling - jordtype'!$F$4:$I$17,MATCH(C$5,'[1]Afgrødefordeling - jordtype'!$F$3:$I$3,0),FALSE)*(Landbrug!$C$5)*Arealanvendelse!J$26</f>
        <v>109452.53235846422</v>
      </c>
      <c r="M6" s="35">
        <f>VLOOKUP($B6,'[1]Afgrødefordeling - jordtype'!$F$4:$I$17,MATCH(D$5,'[1]Afgrødefordeling - jordtype'!$F$3:$I$3,0),FALSE)*(Landbrug!$C$5)*Arealanvendelse!K$26</f>
        <v>2894.2627984460178</v>
      </c>
      <c r="N6" s="35">
        <f>VLOOKUP($B6,'[1]Afgrødefordeling - jordtype'!$F$4:$I$17,MATCH(E$5,'[1]Afgrødefordeling - jordtype'!$F$3:$I$3,0),FALSE)*(Landbrug!$C$5)*Arealanvendelse!L$26</f>
        <v>1463.0378625294493</v>
      </c>
      <c r="O6" s="11">
        <f>IF(Landbrug!$D$47&gt;0,SUMIF(Landbrug!$B$32:$B$45,$B6,IF($O$4=År2,Landbrug!$D$32:$D$45,Landbrug!$E$32:$E$45)),'[1]Afgrødefordeling - jordtype'!$G4)*(Landbrug!$D$5)*Arealanvendelse!M$26</f>
        <v>129063.67975940519</v>
      </c>
      <c r="P6" s="11">
        <f>IF($B6&lt;&gt;"Permanent græs",(1-VLOOKUP('Landbrugsareal - resultat'!P$5,Landbrug!$B$22:$E$23,MATCH('Landbrugsareal - resultat'!P$4,Landbrug!$B$21:$E$21,0),FALSE))*(VLOOKUP($B6,'[1]Afgrødefordeling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3189.372525590622</v>
      </c>
      <c r="Q6" s="11">
        <f>IF($B6&lt;&gt;"Permanent græs",(1-VLOOKUP('Landbrugsareal - resultat'!Q$5,Landbrug!$B$22:$E$23,MATCH('Landbrugsareal - resultat'!Q$4,Landbrug!$B$21:$E$21,0),FALSE))*(VLOOKUP($B6,'[1]Afgrødefordeling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1575.203881285586</v>
      </c>
      <c r="R6" s="11">
        <f>IF(Landbrug!$E$47&gt;0,SUMIF(Landbrug!$B$32:$B$45,$B6,IF($R$4=År2,Landbrug!$D$32:$D$45,Landbrug!$E$32:$E$45)),'[1]Afgrødefordeling - jordtype'!$G4)*(Landbrug!$E$5)*Arealanvendelse!P$26</f>
        <v>164298.16404405597</v>
      </c>
      <c r="S6" s="11">
        <f>IF($B6&lt;&gt;"Permanent græs",(1-VLOOKUP(S$5,Landbrug!$B$22:$E$23,MATCH(S$4,Landbrug!$B$21:$E$21,0),FALSE))*(VLOOKUP($B6,'[1]Afgrødefordeling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4134.3717924322873</v>
      </c>
      <c r="T6" s="11">
        <f>IF($B6&lt;&gt;"Permanent græs",(1-VLOOKUP(T$5,Landbrug!$B$22:$E$23,MATCH(T$4,Landbrug!$B$21:$E$21,0),FALSE))*(VLOOKUP($B6,'[1]Afgrødefordeling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2041.9309572220554</v>
      </c>
      <c r="U6" s="94"/>
      <c r="W6" s="31" t="s">
        <v>278</v>
      </c>
      <c r="X6" s="34">
        <f t="shared" ref="X6:Z8" si="1">F24+F51</f>
        <v>490924</v>
      </c>
      <c r="Y6" s="11">
        <f t="shared" si="1"/>
        <v>817248.97986223281</v>
      </c>
      <c r="Z6" s="23">
        <f t="shared" si="1"/>
        <v>1348365.8316944833</v>
      </c>
    </row>
    <row r="7" spans="1:26" x14ac:dyDescent="0.25">
      <c r="A7" s="61"/>
      <c r="B7" s="41" t="str">
        <f>[1]Afgrødefordeling!C3</f>
        <v>Bælgsæd</v>
      </c>
      <c r="C7" s="35">
        <f>VLOOKUP($B7,'[1]Afgrødefordeling - jordtype'!$F$4:$I$17,MATCH(C$5,'[1]Afgrødefordeling - jordtype'!$F$3:$I$3,0),FALSE)*(1-Landbrug!$C$5)*Arealanvendelse!J$26</f>
        <v>59143.999319161092</v>
      </c>
      <c r="D7" s="35">
        <f>VLOOKUP($B7,'[1]Afgrødefordeling - jordtype'!$F$4:$I$17,MATCH(D$5,'[1]Afgrødefordeling - jordtype'!$F$3:$I$3,0),FALSE)*(1-Landbrug!$C$5)*Arealanvendelse!K$26</f>
        <v>1940.4460603454415</v>
      </c>
      <c r="E7" s="35">
        <f>VLOOKUP($B7,'[1]Afgrødefordeling - jordtype'!$F$4:$I$17,MATCH(E$5,'[1]Afgrødefordeling - jordtype'!$F$3:$I$3,0),FALSE)*(1-Landbrug!$C$5)*Arealanvendelse!L$26</f>
        <v>658.84236387306271</v>
      </c>
      <c r="F7" s="11">
        <f>IF(Landbrug!$D$47&gt;0,SUMIF(Landbrug!$B$32:$B$45,$B7,IF($F$4=År2,Landbrug!$D$32:$D$45,Landbrug!$E$32:$E$45)),'[1]Afgrødefordeling - jordtype'!$G5)*(1-Landbrug!$D$5)*Arealanvendelse!M$26</f>
        <v>57136.166679995331</v>
      </c>
      <c r="G7" s="11">
        <f>IF($B7&lt;&gt;"Permanent græs",(1-VLOOKUP('Landbrugsareal - resultat'!G$5,Landbrug!$B$22:$E$23,MATCH('Landbrugsareal - resultat'!G$4,Landbrug!$B$21:$E$21,0),FALSE))*(VLOOKUP($B7,'[1]Afgrødefordeling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1751.8263067599466</v>
      </c>
      <c r="H7" s="11">
        <f>IF($B7&lt;&gt;"Permanent græs",(1-VLOOKUP('Landbrugsareal - resultat'!H$5,Landbrug!$B$22:$E$23,MATCH('Landbrugsareal - resultat'!H$4,Landbrug!$B$21:$E$21,0),FALSE))*(VLOOKUP($B7,'[1]Afgrødefordeling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581.14553701562829</v>
      </c>
      <c r="I7" s="11">
        <f>IF(Landbrug!$E$47&gt;0,SUMIF(Landbrug!$B$32:$B$45,$B7,IF($I$4=År2,Landbrug!$D$32:$D$45,Landbrug!$E$32:$E$45)),'[1]Afgrødefordeling - jordtype'!$G5)*(1-Landbrug!$E$5)*Arealanvendelse!P$26</f>
        <v>53514.728681838846</v>
      </c>
      <c r="J7" s="11">
        <f>IF($B7&lt;&gt;"Permanent græs",(1-VLOOKUP(J$5,Landbrug!$B$22:$E$23,MATCH(J$4,Landbrug!$B$21:$E$21,0),FALSE))*(VLOOKUP($B7,'[1]Afgrødefordeling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1670.8169977768277</v>
      </c>
      <c r="K7" s="11">
        <f>IF($B7&lt;&gt;"Permanent græs",(1-VLOOKUP(K$5,Landbrug!$B$22:$E$23,MATCH(K$4,Landbrug!$B$21:$E$21,0),FALSE))*(VLOOKUP($B7,'[1]Afgrødefordeling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554.27175495710208</v>
      </c>
      <c r="L7" s="35">
        <f>VLOOKUP($B7,'[1]Afgrødefordeling - jordtype'!$F$4:$I$17,MATCH(C$5,'[1]Afgrødefordeling - jordtype'!$F$3:$I$3,0),FALSE)*(Landbrug!$C$5)*Arealanvendelse!J$26</f>
        <v>7562.2413137472431</v>
      </c>
      <c r="M7" s="35">
        <f>VLOOKUP($B7,'[1]Afgrødefordeling - jordtype'!$F$4:$I$17,MATCH(D$5,'[1]Afgrødefordeling - jordtype'!$F$3:$I$3,0),FALSE)*(Landbrug!$C$5)*Arealanvendelse!K$26</f>
        <v>248.10837166177816</v>
      </c>
      <c r="N7" s="35">
        <f>VLOOKUP($B7,'[1]Afgrødefordeling - jordtype'!$F$4:$I$17,MATCH(E$5,'[1]Afgrødefordeling - jordtype'!$F$3:$I$3,0),FALSE)*(Landbrug!$C$5)*Arealanvendelse!L$26</f>
        <v>84.240582319120037</v>
      </c>
      <c r="O7" s="11">
        <f>IF(Landbrug!$D$47&gt;0,SUMIF(Landbrug!$B$32:$B$45,$B7,IF($O$4=År2,Landbrug!$D$32:$D$45,Landbrug!$E$32:$E$45)),'[1]Afgrødefordeling - jordtype'!$G5)*(Landbrug!$D$5)*Arealanvendelse!M$26</f>
        <v>8917.2052043923359</v>
      </c>
      <c r="P7" s="11">
        <f>IF($B7&lt;&gt;"Permanent græs",(1-VLOOKUP('Landbrugsareal - resultat'!P$5,Landbrug!$B$22:$E$23,MATCH('Landbrugsareal - resultat'!P$4,Landbrug!$B$21:$E$21,0),FALSE))*(VLOOKUP($B7,'[1]Afgrødefordeling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273.4064178180264</v>
      </c>
      <c r="Q7" s="11">
        <f>IF($B7&lt;&gt;"Permanent græs",(1-VLOOKUP('Landbrugsareal - resultat'!Q$5,Landbrug!$B$22:$E$23,MATCH('Landbrugsareal - resultat'!Q$4,Landbrug!$B$21:$E$21,0),FALSE))*(VLOOKUP($B7,'[1]Afgrødefordeling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90.699014447525812</v>
      </c>
      <c r="R7" s="11">
        <f>IF(Landbrug!$E$47&gt;0,SUMIF(Landbrug!$B$32:$B$45,$B7,IF($R$4=År2,Landbrug!$D$32:$D$45,Landbrug!$E$32:$E$45)),'[1]Afgrødefordeling - jordtype'!$G5)*(Landbrug!$E$5)*Arealanvendelse!P$26</f>
        <v>11351.609114329452</v>
      </c>
      <c r="S7" s="11">
        <f>IF($B7&lt;&gt;"Permanent græs",(1-VLOOKUP(S$5,Landbrug!$B$22:$E$23,MATCH(S$4,Landbrug!$B$21:$E$21,0),FALSE))*(VLOOKUP($B7,'[1]Afgrødefordeling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354.41572680114524</v>
      </c>
      <c r="T7" s="11">
        <f>IF($B7&lt;&gt;"Permanent græs",(1-VLOOKUP(T$5,Landbrug!$B$22:$E$23,MATCH(T$4,Landbrug!$B$21:$E$21,0),FALSE))*(VLOOKUP($B7,'[1]Afgrødefordeling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117.57279650605196</v>
      </c>
      <c r="U7" s="94"/>
      <c r="W7" s="31" t="s">
        <v>279</v>
      </c>
      <c r="X7" s="34">
        <f t="shared" si="1"/>
        <v>224348</v>
      </c>
      <c r="Y7" s="11">
        <f t="shared" si="1"/>
        <v>306389.73361575109</v>
      </c>
      <c r="Z7" s="23">
        <f t="shared" si="1"/>
        <v>377619.04393407796</v>
      </c>
    </row>
    <row r="8" spans="1:26" ht="15.75" thickBot="1" x14ac:dyDescent="0.3">
      <c r="A8" s="61"/>
      <c r="B8" s="41" t="str">
        <f>[1]Afgrødefordeling!C4</f>
        <v>Raps</v>
      </c>
      <c r="C8" s="35">
        <f>VLOOKUP($B8,'[1]Afgrødefordeling - jordtype'!$F$4:$I$17,MATCH(C$5,'[1]Afgrødefordeling - jordtype'!$F$3:$I$3,0),FALSE)*(1-Landbrug!$C$5)*Arealanvendelse!J$26</f>
        <v>99458.982869280968</v>
      </c>
      <c r="D8" s="35">
        <f>VLOOKUP($B8,'[1]Afgrødefordeling - jordtype'!$F$4:$I$17,MATCH(D$5,'[1]Afgrødefordeling - jordtype'!$F$3:$I$3,0),FALSE)*(1-Landbrug!$C$5)*Arealanvendelse!K$26</f>
        <v>2077.7966510372653</v>
      </c>
      <c r="E8" s="35">
        <f>VLOOKUP($B8,'[1]Afgrødefordeling - jordtype'!$F$4:$I$17,MATCH(E$5,'[1]Afgrødefordeling - jordtype'!$F$3:$I$3,0),FALSE)*(1-Landbrug!$C$5)*Arealanvendelse!L$26</f>
        <v>853.17102732786998</v>
      </c>
      <c r="F8" s="11">
        <f>IF(Landbrug!$D$47&gt;0,SUMIF(Landbrug!$B$32:$B$45,$B8,IF($F$4=År2,Landbrug!$D$32:$D$45,Landbrug!$E$32:$E$45)),'[1]Afgrødefordeling - jordtype'!$G6)*(1-Landbrug!$D$5)*Arealanvendelse!M$26</f>
        <v>96082.528886425716</v>
      </c>
      <c r="G8" s="11">
        <f>IF($B8&lt;&gt;"Permanent græs",(1-VLOOKUP('Landbrugsareal - resultat'!G$5,Landbrug!$B$22:$E$23,MATCH('Landbrugsareal - resultat'!G$4,Landbrug!$B$21:$E$21,0),FALSE))*(VLOOKUP($B8,'[1]Afgrødefordeling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1875.8258257056677</v>
      </c>
      <c r="H8" s="11">
        <f>IF($B8&lt;&gt;"Permanent græs",(1-VLOOKUP('Landbrugsareal - resultat'!H$5,Landbrug!$B$22:$E$23,MATCH('Landbrugsareal - resultat'!H$4,Landbrug!$B$21:$E$21,0),FALSE))*(VLOOKUP($B8,'[1]Afgrødefordeling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752.55715483735639</v>
      </c>
      <c r="I8" s="11">
        <f>IF(Landbrug!$E$47&gt;0,SUMIF(Landbrug!$B$32:$B$45,$B8,IF($I$4=År2,Landbrug!$D$32:$D$45,Landbrug!$E$32:$E$45)),'[1]Afgrødefordeling - jordtype'!$G6)*(1-Landbrug!$E$5)*Arealanvendelse!P$26</f>
        <v>89992.569736434336</v>
      </c>
      <c r="J8" s="11">
        <f>IF($B8&lt;&gt;"Permanent græs",(1-VLOOKUP(J$5,Landbrug!$B$22:$E$23,MATCH(J$4,Landbrug!$B$21:$E$21,0),FALSE))*(VLOOKUP($B8,'[1]Afgrødefordeling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1789.0824349215904</v>
      </c>
      <c r="K8" s="11">
        <f>IF($B8&lt;&gt;"Permanent græs",(1-VLOOKUP(K$5,Landbrug!$B$22:$E$23,MATCH(K$4,Landbrug!$B$21:$E$21,0),FALSE))*(VLOOKUP($B8,'[1]Afgrødefordeling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717.75682397782543</v>
      </c>
      <c r="L8" s="35">
        <f>VLOOKUP($B8,'[1]Afgrødefordeling - jordtype'!$F$4:$I$17,MATCH(C$5,'[1]Afgrødefordeling - jordtype'!$F$3:$I$3,0),FALSE)*(Landbrug!$C$5)*Arealanvendelse!J$26</f>
        <v>12716.97615879156</v>
      </c>
      <c r="M8" s="35">
        <f>VLOOKUP($B8,'[1]Afgrødefordeling - jordtype'!$F$4:$I$17,MATCH(D$5,'[1]Afgrødefordeling - jordtype'!$F$3:$I$3,0),FALSE)*(Landbrug!$C$5)*Arealanvendelse!K$26</f>
        <v>265.67022617540744</v>
      </c>
      <c r="N8" s="35">
        <f>VLOOKUP($B8,'[1]Afgrødefordeling - jordtype'!$F$4:$I$17,MATCH(E$5,'[1]Afgrødefordeling - jordtype'!$F$3:$I$3,0),FALSE)*(Landbrug!$C$5)*Arealanvendelse!L$26</f>
        <v>109.08773949719625</v>
      </c>
      <c r="O8" s="11">
        <f>IF(Landbrug!$D$47&gt;0,SUMIF(Landbrug!$B$32:$B$45,$B8,IF($O$4=År2,Landbrug!$D$32:$D$45,Landbrug!$E$32:$E$45)),'[1]Afgrødefordeling - jordtype'!$G6)*(Landbrug!$D$5)*Arealanvendelse!M$26</f>
        <v>14995.539190367022</v>
      </c>
      <c r="P8" s="11">
        <f>IF($B8&lt;&gt;"Permanent græs",(1-VLOOKUP('Landbrugsareal - resultat'!P$5,Landbrug!$B$22:$E$23,MATCH('Landbrugsareal - resultat'!P$4,Landbrug!$B$21:$E$21,0),FALSE))*(VLOOKUP($B8,'[1]Afgrødefordeling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292.75894389626029</v>
      </c>
      <c r="Q8" s="11">
        <f>IF($B8&lt;&gt;"Permanent græs",(1-VLOOKUP('Landbrugsareal - resultat'!Q$5,Landbrug!$B$22:$E$23,MATCH('Landbrugsareal - resultat'!Q$4,Landbrug!$B$21:$E$21,0),FALSE))*(VLOOKUP($B8,'[1]Afgrødefordeling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117.4511166509169</v>
      </c>
      <c r="R8" s="11">
        <f>IF(Landbrug!$E$47&gt;0,SUMIF(Landbrug!$B$32:$B$45,$B8,IF($R$4=År2,Landbrug!$D$32:$D$45,Landbrug!$E$32:$E$45)),'[1]Afgrødefordeling - jordtype'!$G6)*(Landbrug!$E$5)*Arealanvendelse!P$26</f>
        <v>19089.332974395165</v>
      </c>
      <c r="S8" s="11">
        <f>IF($B8&lt;&gt;"Permanent græs",(1-VLOOKUP(S$5,Landbrug!$B$22:$E$23,MATCH(S$4,Landbrug!$B$21:$E$21,0),FALSE))*(VLOOKUP($B8,'[1]Afgrødefordeling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379.50233468033741</v>
      </c>
      <c r="T8" s="11">
        <f>IF($B8&lt;&gt;"Permanent græs",(1-VLOOKUP(T$5,Landbrug!$B$22:$E$23,MATCH(T$4,Landbrug!$B$21:$E$21,0),FALSE))*(VLOOKUP($B8,'[1]Afgrødefordeling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152.2514475104478</v>
      </c>
      <c r="U8" s="94"/>
      <c r="W8" s="46" t="s">
        <v>280</v>
      </c>
      <c r="X8" s="47">
        <f t="shared" si="1"/>
        <v>3277287</v>
      </c>
      <c r="Y8" s="16">
        <f t="shared" si="1"/>
        <v>4428231.3787664389</v>
      </c>
      <c r="Z8" s="24">
        <f t="shared" si="1"/>
        <v>5509907.6865023999</v>
      </c>
    </row>
    <row r="9" spans="1:26" x14ac:dyDescent="0.25">
      <c r="A9" s="61"/>
      <c r="B9" s="41" t="str">
        <f>[1]Afgrødefordeling!C5</f>
        <v>Græs</v>
      </c>
      <c r="C9" s="35">
        <f>VLOOKUP($B9,'[1]Afgrødefordeling - jordtype'!$F$4:$I$17,MATCH(C$5,'[1]Afgrødefordeling - jordtype'!$F$3:$I$3,0),FALSE)*(1-Landbrug!$C$5)*Arealanvendelse!J$26</f>
        <v>189636.9989648702</v>
      </c>
      <c r="D9" s="35">
        <f>VLOOKUP($B9,'[1]Afgrødefordeling - jordtype'!$F$4:$I$17,MATCH(D$5,'[1]Afgrødefordeling - jordtype'!$F$3:$I$3,0),FALSE)*(1-Landbrug!$C$5)*Arealanvendelse!K$26</f>
        <v>19174.640913496198</v>
      </c>
      <c r="E9" s="35">
        <f>VLOOKUP($B9,'[1]Afgrødefordeling - jordtype'!$F$4:$I$17,MATCH(E$5,'[1]Afgrødefordeling - jordtype'!$F$3:$I$3,0),FALSE)*(1-Landbrug!$C$5)*Arealanvendelse!L$26</f>
        <v>19676.81711863153</v>
      </c>
      <c r="F9" s="11">
        <f>IF(Landbrug!$D$47&gt;0,SUMIF(Landbrug!$B$32:$B$45,$B9,IF($F$4=År2,Landbrug!$D$32:$D$45,Landbrug!$E$32:$E$45)),'[1]Afgrødefordeling - jordtype'!$G7)*(1-Landbrug!$D$5)*Arealanvendelse!M$26</f>
        <v>183199.16316583334</v>
      </c>
      <c r="G9" s="11">
        <f>IF($B9&lt;&gt;"Permanent græs",(1-VLOOKUP('Landbrugsareal - resultat'!G$5,Landbrug!$B$22:$E$23,MATCH('Landbrugsareal - resultat'!G$4,Landbrug!$B$21:$E$21,0),FALSE))*(VLOOKUP($B9,'[1]Afgrødefordeling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17310.782845959839</v>
      </c>
      <c r="H9" s="11">
        <f>IF($B9&lt;&gt;"Permanent græs",(1-VLOOKUP('Landbrugsareal - resultat'!H$5,Landbrug!$B$22:$E$23,MATCH('Landbrugsareal - resultat'!H$4,Landbrug!$B$21:$E$21,0),FALSE))*(VLOOKUP($B9,'[1]Afgrødefordeling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17356.343608421324</v>
      </c>
      <c r="I9" s="11">
        <f>IF(Landbrug!$E$47&gt;0,SUMIF(Landbrug!$B$32:$B$45,$B9,IF($I$4=År2,Landbrug!$D$32:$D$45,Landbrug!$E$32:$E$45)),'[1]Afgrødefordeling - jordtype'!$G7)*(1-Landbrug!$E$5)*Arealanvendelse!P$26</f>
        <v>171587.52645182351</v>
      </c>
      <c r="J9" s="11">
        <f>IF($B9&lt;&gt;"Permanent græs",(1-VLOOKUP(J$5,Landbrug!$B$22:$E$23,MATCH(J$4,Landbrug!$B$21:$E$21,0),FALSE))*(VLOOKUP($B9,'[1]Afgrødefordeling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16510.284217244931</v>
      </c>
      <c r="K9" s="11">
        <f>IF($B9&lt;&gt;"Permanent græs",(1-VLOOKUP(K$5,Landbrug!$B$22:$E$23,MATCH(K$4,Landbrug!$B$21:$E$21,0),FALSE))*(VLOOKUP($B9,'[1]Afgrødefordeling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16553.738123638836</v>
      </c>
      <c r="L9" s="35">
        <f>VLOOKUP($B9,'[1]Afgrødefordeling - jordtype'!$F$4:$I$17,MATCH(C$5,'[1]Afgrødefordeling - jordtype'!$F$3:$I$3,0),FALSE)*(Landbrug!$C$5)*Arealanvendelse!J$26</f>
        <v>24247.273851881382</v>
      </c>
      <c r="M9" s="35">
        <f>VLOOKUP($B9,'[1]Afgrødefordeling - jordtype'!$F$4:$I$17,MATCH(D$5,'[1]Afgrødefordeling - jordtype'!$F$3:$I$3,0),FALSE)*(Landbrug!$C$5)*Arealanvendelse!K$26</f>
        <v>2451.6986230474936</v>
      </c>
      <c r="N9" s="35">
        <f>VLOOKUP($B9,'[1]Afgrødefordeling - jordtype'!$F$4:$I$17,MATCH(E$5,'[1]Afgrødefordeling - jordtype'!$F$3:$I$3,0),FALSE)*(Landbrug!$C$5)*Arealanvendelse!L$26</f>
        <v>2515.9076330733833</v>
      </c>
      <c r="O9" s="11">
        <f>IF(Landbrug!$D$47&gt;0,SUMIF(Landbrug!$B$32:$B$45,$B9,IF($O$4=År2,Landbrug!$D$32:$D$45,Landbrug!$E$32:$E$45)),'[1]Afgrødefordeling - jordtype'!$G7)*(Landbrug!$D$5)*Arealanvendelse!M$26</f>
        <v>28591.77691027457</v>
      </c>
      <c r="P9" s="11">
        <f>IF($B9&lt;&gt;"Permanent græs",(1-VLOOKUP('Landbrugsareal - resultat'!P$5,Landbrug!$B$22:$E$23,MATCH('Landbrugsareal - resultat'!P$4,Landbrug!$B$21:$E$21,0),FALSE))*(VLOOKUP($B9,'[1]Afgrødefordeling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2701.6828719128071</v>
      </c>
      <c r="Q9" s="11">
        <f>IF($B9&lt;&gt;"Permanent græs",(1-VLOOKUP('Landbrugsareal - resultat'!Q$5,Landbrug!$B$22:$E$23,MATCH('Landbrugsareal - resultat'!Q$4,Landbrug!$B$21:$E$21,0),FALSE))*(VLOOKUP($B9,'[1]Afgrødefordeling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2708.7935111409006</v>
      </c>
      <c r="R9" s="11">
        <f>IF(Landbrug!$E$47&gt;0,SUMIF(Landbrug!$B$32:$B$45,$B9,IF($R$4=År2,Landbrug!$D$32:$D$45,Landbrug!$E$32:$E$45)),'[1]Afgrødefordeling - jordtype'!$G7)*(Landbrug!$E$5)*Arealanvendelse!P$26</f>
        <v>36397.35409584135</v>
      </c>
      <c r="S9" s="11">
        <f>IF($B9&lt;&gt;"Permanent græs",(1-VLOOKUP(S$5,Landbrug!$B$22:$E$23,MATCH(S$4,Landbrug!$B$21:$E$21,0),FALSE))*(VLOOKUP($B9,'[1]Afgrødefordeling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3502.1815006277125</v>
      </c>
      <c r="T9" s="11">
        <f>IF($B9&lt;&gt;"Permanent græs",(1-VLOOKUP(T$5,Landbrug!$B$22:$E$23,MATCH(T$4,Landbrug!$B$21:$E$21,0),FALSE))*(VLOOKUP($B9,'[1]Afgrødefordeling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3511.3989959233891</v>
      </c>
      <c r="U9" s="94"/>
    </row>
    <row r="10" spans="1:26" x14ac:dyDescent="0.25">
      <c r="A10" s="61"/>
      <c r="B10" s="41" t="str">
        <f>[1]Afgrødefordeling!C6</f>
        <v>Grøntsager</v>
      </c>
      <c r="C10" s="35">
        <f>VLOOKUP($B10,'[1]Afgrødefordeling - jordtype'!$F$4:$I$17,MATCH(C$5,'[1]Afgrødefordeling - jordtype'!$F$3:$I$3,0),FALSE)*(1-Landbrug!$C$5)*Arealanvendelse!J$26</f>
        <v>7338.5205805106789</v>
      </c>
      <c r="D10" s="35">
        <f>VLOOKUP($B10,'[1]Afgrødefordeling - jordtype'!$F$4:$I$17,MATCH(D$5,'[1]Afgrødefordeling - jordtype'!$F$3:$I$3,0),FALSE)*(1-Landbrug!$C$5)*Arealanvendelse!K$26</f>
        <v>89.680516787297492</v>
      </c>
      <c r="E10" s="35">
        <f>VLOOKUP($B10,'[1]Afgrødefordeling - jordtype'!$F$4:$I$17,MATCH(E$5,'[1]Afgrødefordeling - jordtype'!$F$3:$I$3,0),FALSE)*(1-Landbrug!$C$5)*Arealanvendelse!L$26</f>
        <v>22.870610645607062</v>
      </c>
      <c r="F10" s="11">
        <f>IF(Landbrug!$D$47&gt;0,SUMIF(Landbrug!$B$32:$B$45,$B10,IF($F$4=År2,Landbrug!$D$32:$D$45,Landbrug!$E$32:$E$45)),'[1]Afgrødefordeling - jordtype'!$G8)*(1-Landbrug!$D$5)*Arealanvendelse!M$26</f>
        <v>7089.3909762506346</v>
      </c>
      <c r="G10" s="11">
        <f>IF($B10&lt;&gt;"Permanent græs",(1-VLOOKUP('Landbrugsareal - resultat'!G$5,Landbrug!$B$22:$E$23,MATCH('Landbrugsareal - resultat'!G$4,Landbrug!$B$21:$E$21,0),FALSE))*(VLOOKUP($B10,'[1]Afgrødefordeling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80.963182498279139</v>
      </c>
      <c r="H10" s="11">
        <f>IF($B10&lt;&gt;"Permanent græs",(1-VLOOKUP('Landbrugsareal - resultat'!H$5,Landbrug!$B$22:$E$23,MATCH('Landbrugsareal - resultat'!H$4,Landbrug!$B$21:$E$21,0),FALSE))*(VLOOKUP($B10,'[1]Afgrødefordeling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20.173495261269249</v>
      </c>
      <c r="I10" s="11">
        <f>IF(Landbrug!$E$47&gt;0,SUMIF(Landbrug!$B$32:$B$45,$B10,IF($I$4=År2,Landbrug!$D$32:$D$45,Landbrug!$E$32:$E$45)),'[1]Afgrødefordeling - jordtype'!$G8)*(1-Landbrug!$E$5)*Arealanvendelse!P$26</f>
        <v>6640.0470430292489</v>
      </c>
      <c r="J10" s="11">
        <f>IF($B10&lt;&gt;"Permanent græs",(1-VLOOKUP(J$5,Landbrug!$B$22:$E$23,MATCH(J$4,Landbrug!$B$21:$E$21,0),FALSE))*(VLOOKUP($B10,'[1]Afgrødefordeling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77.219220301826923</v>
      </c>
      <c r="K10" s="11">
        <f>IF($B10&lt;&gt;"Permanent græs",(1-VLOOKUP(K$5,Landbrug!$B$22:$E$23,MATCH(K$4,Landbrug!$B$21:$E$21,0),FALSE))*(VLOOKUP($B10,'[1]Afgrødefordeling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19.24061686768454</v>
      </c>
      <c r="L10" s="35">
        <f>VLOOKUP($B10,'[1]Afgrødefordeling - jordtype'!$F$4:$I$17,MATCH(C$5,'[1]Afgrødefordeling - jordtype'!$F$3:$I$3,0),FALSE)*(Landbrug!$C$5)*Arealanvendelse!J$26</f>
        <v>938.31435402683587</v>
      </c>
      <c r="M10" s="35">
        <f>VLOOKUP($B10,'[1]Afgrødefordeling - jordtype'!$F$4:$I$17,MATCH(D$5,'[1]Afgrødefordeling - jordtype'!$F$3:$I$3,0),FALSE)*(Landbrug!$C$5)*Arealanvendelse!K$26</f>
        <v>11.466686678176497</v>
      </c>
      <c r="N10" s="35">
        <f>VLOOKUP($B10,'[1]Afgrødefordeling - jordtype'!$F$4:$I$17,MATCH(E$5,'[1]Afgrødefordeling - jordtype'!$F$3:$I$3,0),FALSE)*(Landbrug!$C$5)*Arealanvendelse!L$26</f>
        <v>2.9242709097422335</v>
      </c>
      <c r="O10" s="11">
        <f>IF(Landbrug!$D$47&gt;0,SUMIF(Landbrug!$B$32:$B$45,$B10,IF($O$4=År2,Landbrug!$D$32:$D$45,Landbrug!$E$32:$E$45)),'[1]Afgrødefordeling - jordtype'!$G8)*(Landbrug!$D$5)*Arealanvendelse!M$26</f>
        <v>1106.4367419581918</v>
      </c>
      <c r="P10" s="11">
        <f>IF($B10&lt;&gt;"Permanent græs",(1-VLOOKUP('Landbrugsareal - resultat'!P$5,Landbrug!$B$22:$E$23,MATCH('Landbrugsareal - resultat'!P$4,Landbrug!$B$21:$E$21,0),FALSE))*(VLOOKUP($B10,'[1]Afgrødefordeling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12.635872413026226</v>
      </c>
      <c r="Q10" s="11">
        <f>IF($B10&lt;&gt;"Permanent græs",(1-VLOOKUP('Landbrugsareal - resultat'!Q$5,Landbrug!$B$22:$E$23,MATCH('Landbrugsareal - resultat'!Q$4,Landbrug!$B$21:$E$21,0),FALSE))*(VLOOKUP($B10,'[1]Afgrødefordeling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3.14846457834838</v>
      </c>
      <c r="R10" s="11">
        <f>IF(Landbrug!$E$47&gt;0,SUMIF(Landbrug!$B$32:$B$45,$B10,IF($R$4=År2,Landbrug!$D$32:$D$45,Landbrug!$E$32:$E$45)),'[1]Afgrødefordeling - jordtype'!$G8)*(Landbrug!$E$5)*Arealanvendelse!P$26</f>
        <v>1408.4948273092346</v>
      </c>
      <c r="S10" s="11">
        <f>IF($B10&lt;&gt;"Permanent græs",(1-VLOOKUP(S$5,Landbrug!$B$22:$E$23,MATCH(S$4,Landbrug!$B$21:$E$21,0),FALSE))*(VLOOKUP($B10,'[1]Afgrødefordeling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16.37983460947844</v>
      </c>
      <c r="T10" s="11">
        <f>IF($B10&lt;&gt;"Permanent græs",(1-VLOOKUP(T$5,Landbrug!$B$22:$E$23,MATCH(T$4,Landbrug!$B$21:$E$21,0),FALSE))*(VLOOKUP($B10,'[1]Afgrødefordeling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4.0813429719330845</v>
      </c>
      <c r="U10" s="94"/>
    </row>
    <row r="11" spans="1:26" x14ac:dyDescent="0.25">
      <c r="A11" s="61"/>
      <c r="B11" s="41" t="str">
        <f>[1]Afgrødefordeling!C7</f>
        <v>Kartofler</v>
      </c>
      <c r="C11" s="35">
        <f>VLOOKUP($B11,'[1]Afgrødefordeling - jordtype'!$F$4:$I$17,MATCH(C$5,'[1]Afgrødefordeling - jordtype'!$F$3:$I$3,0),FALSE)*(1-Landbrug!$C$5)*Arealanvendelse!J$26</f>
        <v>43716.498839298802</v>
      </c>
      <c r="D11" s="35">
        <f>VLOOKUP($B11,'[1]Afgrødefordeling - jordtype'!$F$4:$I$17,MATCH(D$5,'[1]Afgrødefordeling - jordtype'!$F$3:$I$3,0),FALSE)*(1-Landbrug!$C$5)*Arealanvendelse!K$26</f>
        <v>1415.8229166406438</v>
      </c>
      <c r="E11" s="35">
        <f>VLOOKUP($B11,'[1]Afgrødefordeling - jordtype'!$F$4:$I$17,MATCH(E$5,'[1]Afgrødefordeling - jordtype'!$F$3:$I$3,0),FALSE)*(1-Landbrug!$C$5)*Arealanvendelse!L$26</f>
        <v>1210.548128147522</v>
      </c>
      <c r="F11" s="11">
        <f>IF(Landbrug!$D$47&gt;0,SUMIF(Landbrug!$B$32:$B$45,$B11,IF($F$4=År2,Landbrug!$D$32:$D$45,Landbrug!$E$32:$E$45)),'[1]Afgrødefordeling - jordtype'!$G9)*(1-Landbrug!$D$5)*Arealanvendelse!M$26</f>
        <v>42232.402155780161</v>
      </c>
      <c r="G11" s="11">
        <f>IF($B11&lt;&gt;"Permanent græs",(1-VLOOKUP('Landbrugsareal - resultat'!G$5,Landbrug!$B$22:$E$23,MATCH('Landbrugsareal - resultat'!G$4,Landbrug!$B$21:$E$21,0),FALSE))*(VLOOKUP($B11,'[1]Afgrødefordeling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1278.1988027243244</v>
      </c>
      <c r="H11" s="11">
        <f>IF($B11&lt;&gt;"Permanent græs",(1-VLOOKUP('Landbrugsareal - resultat'!H$5,Landbrug!$B$22:$E$23,MATCH('Landbrugsareal - resultat'!H$4,Landbrug!$B$21:$E$21,0),FALSE))*(VLOOKUP($B11,'[1]Afgrødefordeling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1067.7890199408878</v>
      </c>
      <c r="I11" s="11">
        <f>IF(Landbrug!$E$47&gt;0,SUMIF(Landbrug!$B$32:$B$45,$B11,IF($I$4=År2,Landbrug!$D$32:$D$45,Landbrug!$E$32:$E$45)),'[1]Afgrødefordeling - jordtype'!$G9)*(1-Landbrug!$E$5)*Arealanvendelse!P$26</f>
        <v>39555.603294264722</v>
      </c>
      <c r="J11" s="11">
        <f>IF($B11&lt;&gt;"Permanent græs",(1-VLOOKUP(J$5,Landbrug!$B$22:$E$23,MATCH(J$4,Landbrug!$B$21:$E$21,0),FALSE))*(VLOOKUP($B11,'[1]Afgrødefordeling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1219.0913436388062</v>
      </c>
      <c r="K11" s="11">
        <f>IF($B11&lt;&gt;"Permanent græs",(1-VLOOKUP(K$5,Landbrug!$B$22:$E$23,MATCH(K$4,Landbrug!$B$21:$E$21,0),FALSE))*(VLOOKUP($B11,'[1]Afgrødefordeling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1018.4114930072051</v>
      </c>
      <c r="L11" s="35">
        <f>VLOOKUP($B11,'[1]Afgrødefordeling - jordtype'!$F$4:$I$17,MATCH(C$5,'[1]Afgrødefordeling - jordtype'!$F$3:$I$3,0),FALSE)*(Landbrug!$C$5)*Arealanvendelse!J$26</f>
        <v>5589.6577407781906</v>
      </c>
      <c r="M11" s="35">
        <f>VLOOKUP($B11,'[1]Afgrødefordeling - jordtype'!$F$4:$I$17,MATCH(D$5,'[1]Afgrødefordeling - jordtype'!$F$3:$I$3,0),FALSE)*(Landbrug!$C$5)*Arealanvendelse!K$26</f>
        <v>181.02926207936162</v>
      </c>
      <c r="N11" s="35">
        <f>VLOOKUP($B11,'[1]Afgrødefordeling - jordtype'!$F$4:$I$17,MATCH(E$5,'[1]Afgrødefordeling - jordtype'!$F$3:$I$3,0),FALSE)*(Landbrug!$C$5)*Arealanvendelse!L$26</f>
        <v>154.7825167783468</v>
      </c>
      <c r="O11" s="11">
        <f>IF(Landbrug!$D$47&gt;0,SUMIF(Landbrug!$B$32:$B$45,$B11,IF($O$4=År2,Landbrug!$D$32:$D$45,Landbrug!$E$32:$E$45)),'[1]Afgrødefordeling - jordtype'!$G9)*(Landbrug!$D$5)*Arealanvendelse!M$26</f>
        <v>6591.1841514801417</v>
      </c>
      <c r="P11" s="11">
        <f>IF($B11&lt;&gt;"Permanent græs",(1-VLOOKUP('Landbrugsareal - resultat'!P$5,Landbrug!$B$22:$E$23,MATCH('Landbrugsareal - resultat'!P$4,Landbrug!$B$21:$E$21,0),FALSE))*(VLOOKUP($B11,'[1]Afgrødefordeling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199.48767441362287</v>
      </c>
      <c r="Q11" s="11">
        <f>IF($B11&lt;&gt;"Permanent græs",(1-VLOOKUP('Landbrugsareal - resultat'!Q$5,Landbrug!$B$22:$E$23,MATCH('Landbrugsareal - resultat'!Q$4,Landbrug!$B$21:$E$21,0),FALSE))*(VLOOKUP($B11,'[1]Afgrødefordeling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166.64915340117903</v>
      </c>
      <c r="R11" s="11">
        <f>IF(Landbrug!$E$47&gt;0,SUMIF(Landbrug!$B$32:$B$45,$B11,IF($R$4=År2,Landbrug!$D$32:$D$45,Landbrug!$E$32:$E$45)),'[1]Afgrødefordeling - jordtype'!$G9)*(Landbrug!$E$5)*Arealanvendelse!P$26</f>
        <v>8390.5825169652435</v>
      </c>
      <c r="S11" s="11">
        <f>IF($B11&lt;&gt;"Permanent græs",(1-VLOOKUP(S$5,Landbrug!$B$22:$E$23,MATCH(S$4,Landbrug!$B$21:$E$21,0),FALSE))*(VLOOKUP($B11,'[1]Afgrødefordeling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258.59513349914073</v>
      </c>
      <c r="T11" s="11">
        <f>IF($B11&lt;&gt;"Permanent græs",(1-VLOOKUP(T$5,Landbrug!$B$22:$E$23,MATCH(T$4,Landbrug!$B$21:$E$21,0),FALSE))*(VLOOKUP($B11,'[1]Afgrødefordeling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216.02668033486168</v>
      </c>
      <c r="U11" s="94"/>
    </row>
    <row r="12" spans="1:26" x14ac:dyDescent="0.25">
      <c r="A12" s="61"/>
      <c r="B12" s="41" t="str">
        <f>[1]Afgrødefordeling!C8</f>
        <v>Roer</v>
      </c>
      <c r="C12" s="35">
        <f>VLOOKUP($B12,'[1]Afgrødefordeling - jordtype'!$F$4:$I$17,MATCH(C$5,'[1]Afgrødefordeling - jordtype'!$F$3:$I$3,0),FALSE)*(1-Landbrug!$C$5)*Arealanvendelse!J$26</f>
        <v>4267.6414750315462</v>
      </c>
      <c r="D12" s="35">
        <f>VLOOKUP($B12,'[1]Afgrødefordeling - jordtype'!$F$4:$I$17,MATCH(D$5,'[1]Afgrødefordeling - jordtype'!$F$3:$I$3,0),FALSE)*(1-Landbrug!$C$5)*Arealanvendelse!K$26</f>
        <v>37.144566460621057</v>
      </c>
      <c r="E12" s="35">
        <f>VLOOKUP($B12,'[1]Afgrødefordeling - jordtype'!$F$4:$I$17,MATCH(E$5,'[1]Afgrødefordeling - jordtype'!$F$3:$I$3,0),FALSE)*(1-Landbrug!$C$5)*Arealanvendelse!L$26</f>
        <v>13.090943352111134</v>
      </c>
      <c r="F12" s="11">
        <f>IF(Landbrug!$D$47&gt;0,SUMIF(Landbrug!$B$32:$B$45,$B12,IF($F$4=År2,Landbrug!$D$32:$D$45,Landbrug!$E$32:$E$45)),'[1]Afgrødefordeling - jordtype'!$G10)*(1-Landbrug!$D$5)*Arealanvendelse!M$26</f>
        <v>4122.7627055119856</v>
      </c>
      <c r="G12" s="11">
        <f>IF($B12&lt;&gt;"Permanent græs",(1-VLOOKUP('Landbrugsareal - resultat'!G$5,Landbrug!$B$22:$E$23,MATCH('Landbrugsareal - resultat'!G$4,Landbrug!$B$21:$E$21,0),FALSE))*(VLOOKUP($B12,'[1]Afgrødefordeling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33.533953872093285</v>
      </c>
      <c r="H12" s="11">
        <f>IF($B12&lt;&gt;"Permanent græs",(1-VLOOKUP('Landbrugsareal - resultat'!H$5,Landbrug!$B$22:$E$23,MATCH('Landbrugsareal - resultat'!H$4,Landbrug!$B$21:$E$21,0),FALSE))*(VLOOKUP($B12,'[1]Afgrødefordeling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11.547137405799177</v>
      </c>
      <c r="I12" s="11">
        <f>IF(Landbrug!$E$47&gt;0,SUMIF(Landbrug!$B$32:$B$45,$B12,IF($I$4=År2,Landbrug!$D$32:$D$45,Landbrug!$E$32:$E$45)),'[1]Afgrødefordeling - jordtype'!$G10)*(1-Landbrug!$E$5)*Arealanvendelse!P$26</f>
        <v>3861.4513437830055</v>
      </c>
      <c r="J12" s="11">
        <f>IF($B12&lt;&gt;"Permanent græs",(1-VLOOKUP(J$5,Landbrug!$B$22:$E$23,MATCH(J$4,Landbrug!$B$21:$E$21,0),FALSE))*(VLOOKUP($B12,'[1]Afgrødefordeling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31.983250802863537</v>
      </c>
      <c r="K12" s="11">
        <f>IF($B12&lt;&gt;"Permanent græs",(1-VLOOKUP(K$5,Landbrug!$B$22:$E$23,MATCH(K$4,Landbrug!$B$21:$E$21,0),FALSE))*(VLOOKUP($B12,'[1]Afgrødefordeling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11.013165733854706</v>
      </c>
      <c r="L12" s="35">
        <f>VLOOKUP($B12,'[1]Afgrødefordeling - jordtype'!$F$4:$I$17,MATCH(C$5,'[1]Afgrødefordeling - jordtype'!$F$3:$I$3,0),FALSE)*(Landbrug!$C$5)*Arealanvendelse!J$26</f>
        <v>545.66710141783074</v>
      </c>
      <c r="M12" s="35">
        <f>VLOOKUP($B12,'[1]Afgrødefordeling - jordtype'!$F$4:$I$17,MATCH(D$5,'[1]Afgrødefordeling - jordtype'!$F$3:$I$3,0),FALSE)*(Landbrug!$C$5)*Arealanvendelse!K$26</f>
        <v>4.7493605150697995</v>
      </c>
      <c r="N12" s="35">
        <f>VLOOKUP($B12,'[1]Afgrødefordeling - jordtype'!$F$4:$I$17,MATCH(E$5,'[1]Afgrødefordeling - jordtype'!$F$3:$I$3,0),FALSE)*(Landbrug!$C$5)*Arealanvendelse!L$26</f>
        <v>1.6738278404042131</v>
      </c>
      <c r="O12" s="11">
        <f>IF(Landbrug!$D$47&gt;0,SUMIF(Landbrug!$B$32:$B$45,$B12,IF($O$4=År2,Landbrug!$D$32:$D$45,Landbrug!$E$32:$E$45)),'[1]Afgrødefordeling - jordtype'!$G10)*(Landbrug!$D$5)*Arealanvendelse!M$26</f>
        <v>643.43695403944287</v>
      </c>
      <c r="P12" s="11">
        <f>IF($B12&lt;&gt;"Permanent græs",(1-VLOOKUP('Landbrugsareal - resultat'!P$5,Landbrug!$B$22:$E$23,MATCH('Landbrugsareal - resultat'!P$4,Landbrug!$B$21:$E$21,0),FALSE))*(VLOOKUP($B12,'[1]Afgrødefordeling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5.2336228586503974</v>
      </c>
      <c r="Q12" s="11">
        <f>IF($B12&lt;&gt;"Permanent græs",(1-VLOOKUP('Landbrugsareal - resultat'!Q$5,Landbrug!$B$22:$E$23,MATCH('Landbrugsareal - resultat'!Q$4,Landbrug!$B$21:$E$21,0),FALSE))*(VLOOKUP($B12,'[1]Afgrødefordeling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1.8021543928125885</v>
      </c>
      <c r="R12" s="11">
        <f>IF(Landbrug!$E$47&gt;0,SUMIF(Landbrug!$B$32:$B$45,$B12,IF($R$4=År2,Landbrug!$D$32:$D$45,Landbrug!$E$32:$E$45)),'[1]Afgrødefordeling - jordtype'!$G10)*(Landbrug!$E$5)*Arealanvendelse!P$26</f>
        <v>819.09573959033446</v>
      </c>
      <c r="S12" s="11">
        <f>IF($B12&lt;&gt;"Permanent græs",(1-VLOOKUP(S$5,Landbrug!$B$22:$E$23,MATCH(S$4,Landbrug!$B$21:$E$21,0),FALSE))*(VLOOKUP($B12,'[1]Afgrødefordeling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6.7843259278801451</v>
      </c>
      <c r="T12" s="11">
        <f>IF($B12&lt;&gt;"Permanent græs",(1-VLOOKUP(T$5,Landbrug!$B$22:$E$23,MATCH(T$4,Landbrug!$B$21:$E$21,0),FALSE))*(VLOOKUP($B12,'[1]Afgrødefordeling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2.336126064757059</v>
      </c>
      <c r="U12" s="94"/>
    </row>
    <row r="13" spans="1:26" x14ac:dyDescent="0.25">
      <c r="A13" s="61"/>
      <c r="B13" s="41" t="str">
        <f>[1]Afgrødefordeling!C9</f>
        <v>Majs</v>
      </c>
      <c r="C13" s="35">
        <f>VLOOKUP($B13,'[1]Afgrødefordeling - jordtype'!$F$4:$I$17,MATCH(C$5,'[1]Afgrødefordeling - jordtype'!$F$3:$I$3,0),FALSE)*(1-Landbrug!$C$5)*Arealanvendelse!J$26</f>
        <v>146143.69836902106</v>
      </c>
      <c r="D13" s="35">
        <f>VLOOKUP($B13,'[1]Afgrødefordeling - jordtype'!$F$4:$I$17,MATCH(D$5,'[1]Afgrødefordeling - jordtype'!$F$3:$I$3,0),FALSE)*(1-Landbrug!$C$5)*Arealanvendelse!K$26</f>
        <v>4794.8053396620016</v>
      </c>
      <c r="E13" s="35">
        <f>VLOOKUP($B13,'[1]Afgrødefordeling - jordtype'!$F$4:$I$17,MATCH(E$5,'[1]Afgrødefordeling - jordtype'!$F$3:$I$3,0),FALSE)*(1-Landbrug!$C$5)*Arealanvendelse!L$26</f>
        <v>1627.9869607567055</v>
      </c>
      <c r="F13" s="11">
        <f>IF(Landbrug!$D$47&gt;0,SUMIF(Landbrug!$B$32:$B$45,$B13,IF($F$4=År2,Landbrug!$D$32:$D$45,Landbrug!$E$32:$E$45)),'[1]Afgrødefordeling - jordtype'!$G11)*(1-Landbrug!$D$5)*Arealanvendelse!M$26</f>
        <v>141182.38207368137</v>
      </c>
      <c r="G13" s="11">
        <f>IF($B13&lt;&gt;"Permanent græs",(1-VLOOKUP('Landbrugsareal - resultat'!G$5,Landbrug!$B$22:$E$23,MATCH('Landbrugsareal - resultat'!G$4,Landbrug!$B$21:$E$21,0),FALSE))*(VLOOKUP($B13,'[1]Afgrødefordeling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4328.7295130057018</v>
      </c>
      <c r="H13" s="11">
        <f>IF($B13&lt;&gt;"Permanent græs",(1-VLOOKUP('Landbrugsareal - resultat'!H$5,Landbrug!$B$22:$E$23,MATCH('Landbrugsareal - resultat'!H$4,Landbrug!$B$21:$E$21,0),FALSE))*(VLOOKUP($B13,'[1]Afgrødefordeling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1435.9995781110367</v>
      </c>
      <c r="I13" s="11">
        <f>IF(Landbrug!$E$47&gt;0,SUMIF(Landbrug!$B$32:$B$45,$B13,IF($I$4=År2,Landbrug!$D$32:$D$45,Landbrug!$E$32:$E$45)),'[1]Afgrødefordeling - jordtype'!$G11)*(1-Landbrug!$E$5)*Arealanvendelse!P$26</f>
        <v>132233.87760057871</v>
      </c>
      <c r="J13" s="11">
        <f>IF($B13&lt;&gt;"Permanent græs",(1-VLOOKUP(J$5,Landbrug!$B$22:$E$23,MATCH(J$4,Landbrug!$B$21:$E$21,0),FALSE))*(VLOOKUP($B13,'[1]Afgrødefordeling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4128.5570499765372</v>
      </c>
      <c r="K13" s="11">
        <f>IF($B13&lt;&gt;"Permanent græs",(1-VLOOKUP(K$5,Landbrug!$B$22:$E$23,MATCH(K$4,Landbrug!$B$21:$E$21,0),FALSE))*(VLOOKUP($B13,'[1]Afgrødefordeling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1369.5949733428961</v>
      </c>
      <c r="L13" s="35">
        <f>VLOOKUP($B13,'[1]Afgrødefordeling - jordtype'!$F$4:$I$17,MATCH(C$5,'[1]Afgrødefordeling - jordtype'!$F$3:$I$3,0),FALSE)*(Landbrug!$C$5)*Arealanvendelse!J$26</f>
        <v>18686.154576496141</v>
      </c>
      <c r="M13" s="35">
        <f>VLOOKUP($B13,'[1]Afgrødefordeling - jordtype'!$F$4:$I$17,MATCH(D$5,'[1]Afgrødefordeling - jordtype'!$F$3:$I$3,0),FALSE)*(Landbrug!$C$5)*Arealanvendelse!K$26</f>
        <v>613.07107142517441</v>
      </c>
      <c r="N13" s="35">
        <f>VLOOKUP($B13,'[1]Afgrødefordeling - jordtype'!$F$4:$I$17,MATCH(E$5,'[1]Afgrødefordeling - jordtype'!$F$3:$I$3,0),FALSE)*(Landbrug!$C$5)*Arealanvendelse!L$26</f>
        <v>208.15687803661353</v>
      </c>
      <c r="O13" s="11">
        <f>IF(Landbrug!$D$47&gt;0,SUMIF(Landbrug!$B$32:$B$45,$B13,IF($O$4=År2,Landbrug!$D$32:$D$45,Landbrug!$E$32:$E$45)),'[1]Afgrødefordeling - jordtype'!$G11)*(Landbrug!$D$5)*Arealanvendelse!M$26</f>
        <v>22034.244601094775</v>
      </c>
      <c r="P13" s="11">
        <f>IF($B13&lt;&gt;"Permanent græs",(1-VLOOKUP('Landbrugsareal - resultat'!P$5,Landbrug!$B$22:$E$23,MATCH('Landbrugsareal - resultat'!P$4,Landbrug!$B$21:$E$21,0),FALSE))*(VLOOKUP($B13,'[1]Afgrødefordeling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675.58206272343341</v>
      </c>
      <c r="Q13" s="11">
        <f>IF($B13&lt;&gt;"Permanent græs",(1-VLOOKUP('Landbrugsareal - resultat'!Q$5,Landbrug!$B$22:$E$23,MATCH('Landbrugsareal - resultat'!Q$4,Landbrug!$B$21:$E$21,0),FALSE))*(VLOOKUP($B13,'[1]Afgrødefordeling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224.11554109247393</v>
      </c>
      <c r="R13" s="11">
        <f>IF(Landbrug!$E$47&gt;0,SUMIF(Landbrug!$B$32:$B$45,$B13,IF($R$4=År2,Landbrug!$D$32:$D$45,Landbrug!$E$32:$E$45)),'[1]Afgrødefordeling - jordtype'!$G11)*(Landbrug!$E$5)*Arealanvendelse!P$26</f>
        <v>28049.610400122754</v>
      </c>
      <c r="S13" s="11">
        <f>IF($B13&lt;&gt;"Permanent græs",(1-VLOOKUP(S$5,Landbrug!$B$22:$E$23,MATCH(S$4,Landbrug!$B$21:$E$21,0),FALSE))*(VLOOKUP($B13,'[1]Afgrødefordeling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875.75452575259862</v>
      </c>
      <c r="T13" s="11">
        <f>IF($B13&lt;&gt;"Permanent græs",(1-VLOOKUP(T$5,Landbrug!$B$22:$E$23,MATCH(T$4,Landbrug!$B$21:$E$21,0),FALSE))*(VLOOKUP($B13,'[1]Afgrødefordeling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290.52014586061432</v>
      </c>
      <c r="U13" s="94"/>
    </row>
    <row r="14" spans="1:26" x14ac:dyDescent="0.25">
      <c r="A14" s="61"/>
      <c r="B14" s="41" t="str">
        <f>[1]Afgrødefordeling!C10</f>
        <v>Frugt</v>
      </c>
      <c r="C14" s="35">
        <f>VLOOKUP($B14,'[1]Afgrødefordeling - jordtype'!$F$4:$I$17,MATCH(C$5,'[1]Afgrødefordeling - jordtype'!$F$3:$I$3,0),FALSE)*(1-Landbrug!$C$5)*Arealanvendelse!J$26</f>
        <v>2685.4308255346846</v>
      </c>
      <c r="D14" s="35">
        <f>VLOOKUP($B14,'[1]Afgrødefordeling - jordtype'!$F$4:$I$17,MATCH(D$5,'[1]Afgrødefordeling - jordtype'!$F$3:$I$3,0),FALSE)*(1-Landbrug!$C$5)*Arealanvendelse!K$26</f>
        <v>81.683630839432524</v>
      </c>
      <c r="E14" s="35">
        <f>VLOOKUP($B14,'[1]Afgrødefordeling - jordtype'!$F$4:$I$17,MATCH(E$5,'[1]Afgrødefordeling - jordtype'!$F$3:$I$3,0),FALSE)*(1-Landbrug!$C$5)*Arealanvendelse!L$26</f>
        <v>46.653159168791504</v>
      </c>
      <c r="F14" s="11">
        <f>IF(Landbrug!$D$47&gt;0,SUMIF(Landbrug!$B$32:$B$45,$B14,IF($F$4=År2,Landbrug!$D$32:$D$45,Landbrug!$E$32:$E$45)),'[1]Afgrødefordeling - jordtype'!$G12)*(1-Landbrug!$D$5)*Arealanvendelse!M$26</f>
        <v>2594.265268186527</v>
      </c>
      <c r="G14" s="11">
        <f>IF($B14&lt;&gt;"Permanent græs",(1-VLOOKUP('Landbrugsareal - resultat'!G$5,Landbrug!$B$22:$E$23,MATCH('Landbrugsareal - resultat'!G$4,Landbrug!$B$21:$E$21,0),FALSE))*(VLOOKUP($B14,'[1]Afgrødefordeling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73.74362846793683</v>
      </c>
      <c r="H14" s="11">
        <f>IF($B14&lt;&gt;"Permanent græs",(1-VLOOKUP('Landbrugsareal - resultat'!H$5,Landbrug!$B$22:$E$23,MATCH('Landbrugsareal - resultat'!H$4,Landbrug!$B$21:$E$21,0),FALSE))*(VLOOKUP($B14,'[1]Afgrødefordeling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41.15138419339192</v>
      </c>
      <c r="I14" s="11">
        <f>IF(Landbrug!$E$47&gt;0,SUMIF(Landbrug!$B$32:$B$45,$B14,IF($I$4=År2,Landbrug!$D$32:$D$45,Landbrug!$E$32:$E$45)),'[1]Afgrødefordeling - jordtype'!$G12)*(1-Landbrug!$E$5)*Arealanvendelse!P$26</f>
        <v>2429.8340267256312</v>
      </c>
      <c r="J14" s="11">
        <f>IF($B14&lt;&gt;"Permanent græs",(1-VLOOKUP(J$5,Landbrug!$B$22:$E$23,MATCH(J$4,Landbrug!$B$21:$E$21,0),FALSE))*(VLOOKUP($B14,'[1]Afgrødefordeling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70.333518480980217</v>
      </c>
      <c r="K14" s="11">
        <f>IF($B14&lt;&gt;"Permanent græs",(1-VLOOKUP(K$5,Landbrug!$B$22:$E$23,MATCH(K$4,Landbrug!$B$21:$E$21,0),FALSE))*(VLOOKUP($B14,'[1]Afgrødefordeling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39.248430011038536</v>
      </c>
      <c r="L14" s="35">
        <f>VLOOKUP($B14,'[1]Afgrødefordeling - jordtype'!$F$4:$I$17,MATCH(C$5,'[1]Afgrødefordeling - jordtype'!$F$3:$I$3,0),FALSE)*(Landbrug!$C$5)*Arealanvendelse!J$26</f>
        <v>343.36325185722677</v>
      </c>
      <c r="M14" s="35">
        <f>VLOOKUP($B14,'[1]Afgrødefordeling - jordtype'!$F$4:$I$17,MATCH(D$5,'[1]Afgrødefordeling - jordtype'!$F$3:$I$3,0),FALSE)*(Landbrug!$C$5)*Arealanvendelse!K$26</f>
        <v>10.444192731327741</v>
      </c>
      <c r="N14" s="35">
        <f>VLOOKUP($B14,'[1]Afgrødefordeling - jordtype'!$F$4:$I$17,MATCH(E$5,'[1]Afgrødefordeling - jordtype'!$F$3:$I$3,0),FALSE)*(Landbrug!$C$5)*Arealanvendelse!L$26</f>
        <v>5.9651435774442545</v>
      </c>
      <c r="O14" s="11">
        <f>IF(Landbrug!$D$47&gt;0,SUMIF(Landbrug!$B$32:$B$45,$B14,IF($O$4=År2,Landbrug!$D$32:$D$45,Landbrug!$E$32:$E$45)),'[1]Afgrødefordeling - jordtype'!$G12)*(Landbrug!$D$5)*Arealanvendelse!M$26</f>
        <v>404.88533087304182</v>
      </c>
      <c r="P14" s="11">
        <f>IF($B14&lt;&gt;"Permanent græs",(1-VLOOKUP('Landbrugsareal - resultat'!P$5,Landbrug!$B$22:$E$23,MATCH('Landbrugsareal - resultat'!P$4,Landbrug!$B$21:$E$21,0),FALSE))*(VLOOKUP($B14,'[1]Afgrødefordeling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11.509121205978582</v>
      </c>
      <c r="Q14" s="11">
        <f>IF($B14&lt;&gt;"Permanent græs",(1-VLOOKUP('Landbrugsareal - resultat'!Q$5,Landbrug!$B$22:$E$23,MATCH('Landbrugsareal - resultat'!Q$4,Landbrug!$B$21:$E$21,0),FALSE))*(VLOOKUP($B14,'[1]Afgrødefordeling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6.4224703654426705</v>
      </c>
      <c r="R14" s="11">
        <f>IF(Landbrug!$E$47&gt;0,SUMIF(Landbrug!$B$32:$B$45,$B14,IF($R$4=År2,Landbrug!$D$32:$D$45,Landbrug!$E$32:$E$45)),'[1]Afgrødefordeling - jordtype'!$G12)*(Landbrug!$E$5)*Arealanvendelse!P$26</f>
        <v>515.41933900240667</v>
      </c>
      <c r="S14" s="11">
        <f>IF($B14&lt;&gt;"Permanent græs",(1-VLOOKUP(S$5,Landbrug!$B$22:$E$23,MATCH(S$4,Landbrug!$B$21:$E$21,0),FALSE))*(VLOOKUP($B14,'[1]Afgrødefordeling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14.919231192935195</v>
      </c>
      <c r="T14" s="11">
        <f>IF($B14&lt;&gt;"Permanent græs",(1-VLOOKUP(T$5,Landbrug!$B$22:$E$23,MATCH(T$4,Landbrug!$B$21:$E$21,0),FALSE))*(VLOOKUP($B14,'[1]Afgrødefordeling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8.325424547796052</v>
      </c>
      <c r="U14" s="94"/>
    </row>
    <row r="15" spans="1:26" x14ac:dyDescent="0.25">
      <c r="A15" s="61"/>
      <c r="B15" s="41" t="str">
        <f>[1]Afgrødefordeling!C11</f>
        <v>Øvrige</v>
      </c>
      <c r="C15" s="35">
        <f>VLOOKUP($B15,'[1]Afgrødefordeling - jordtype'!$F$4:$I$17,MATCH(C$5,'[1]Afgrødefordeling - jordtype'!$F$3:$I$3,0),FALSE)*(1-Landbrug!$C$5)*Arealanvendelse!J$26</f>
        <v>47494.264779726094</v>
      </c>
      <c r="D15" s="35">
        <f>VLOOKUP($B15,'[1]Afgrødefordeling - jordtype'!$F$4:$I$17,MATCH(D$5,'[1]Afgrødefordeling - jordtype'!$F$3:$I$3,0),FALSE)*(1-Landbrug!$C$5)*Arealanvendelse!K$26</f>
        <v>1444.648640496996</v>
      </c>
      <c r="E15" s="35">
        <f>VLOOKUP($B15,'[1]Afgrødefordeling - jordtype'!$F$4:$I$17,MATCH(E$5,'[1]Afgrødefordeling - jordtype'!$F$3:$I$3,0),FALSE)*(1-Landbrug!$C$5)*Arealanvendelse!L$26</f>
        <v>825.10317275892578</v>
      </c>
      <c r="F15" s="11">
        <f>IF(Landbrug!$D$47&gt;0,SUMIF(Landbrug!$B$32:$B$45,$B15,IF($F$4=År2,Landbrug!$D$32:$D$45,Landbrug!$E$32:$E$45)),'[1]Afgrødefordeling - jordtype'!$G13)*(1-Landbrug!$D$5)*Arealanvendelse!M$26</f>
        <v>45881.919721974475</v>
      </c>
      <c r="G15" s="11">
        <f>IF($B15&lt;&gt;"Permanent græs",(1-VLOOKUP('Landbrugsareal - resultat'!G$5,Landbrug!$B$22:$E$23,MATCH('Landbrugsareal - resultat'!G$4,Landbrug!$B$21:$E$21,0),FALSE))*(VLOOKUP($B15,'[1]Afgrødefordeling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1304.2225414898148</v>
      </c>
      <c r="H15" s="11">
        <f>IF($B15&lt;&gt;"Permanent græs",(1-VLOOKUP('Landbrugsareal - resultat'!H$5,Landbrug!$B$22:$E$23,MATCH('Landbrugsareal - resultat'!H$4,Landbrug!$B$21:$E$21,0),FALSE))*(VLOOKUP($B15,'[1]Afgrødefordeling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727.79932305426189</v>
      </c>
      <c r="I15" s="11">
        <f>IF(Landbrug!$E$47&gt;0,SUMIF(Landbrug!$B$32:$B$45,$B15,IF($I$4=År2,Landbrug!$D$32:$D$45,Landbrug!$E$32:$E$45)),'[1]Afgrødefordeling - jordtype'!$G13)*(1-Landbrug!$E$5)*Arealanvendelse!P$26</f>
        <v>42973.804999470703</v>
      </c>
      <c r="J15" s="11">
        <f>IF($B15&lt;&gt;"Permanent græs",(1-VLOOKUP(J$5,Landbrug!$B$22:$E$23,MATCH(J$4,Landbrug!$B$21:$E$21,0),FALSE))*(VLOOKUP($B15,'[1]Afgrødefordeling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1243.9116725191875</v>
      </c>
      <c r="K15" s="11">
        <f>IF($B15&lt;&gt;"Permanent græs",(1-VLOOKUP(K$5,Landbrug!$B$22:$E$23,MATCH(K$4,Landbrug!$B$21:$E$21,0),FALSE))*(VLOOKUP($B15,'[1]Afgrødefordeling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694.14386302863124</v>
      </c>
      <c r="L15" s="35">
        <f>VLOOKUP($B15,'[1]Afgrødefordeling - jordtype'!$F$4:$I$17,MATCH(C$5,'[1]Afgrødefordeling - jordtype'!$F$3:$I$3,0),FALSE)*(Landbrug!$C$5)*Arealanvendelse!J$26</f>
        <v>6072.6886145309409</v>
      </c>
      <c r="M15" s="35">
        <f>VLOOKUP($B15,'[1]Afgrødefordeling - jordtype'!$F$4:$I$17,MATCH(D$5,'[1]Afgrødefordeling - jordtype'!$F$3:$I$3,0),FALSE)*(Landbrug!$C$5)*Arealanvendelse!K$26</f>
        <v>184.71496278196111</v>
      </c>
      <c r="N15" s="35">
        <f>VLOOKUP($B15,'[1]Afgrødefordeling - jordtype'!$F$4:$I$17,MATCH(E$5,'[1]Afgrødefordeling - jordtype'!$F$3:$I$3,0),FALSE)*(Landbrug!$C$5)*Arealanvendelse!L$26</f>
        <v>105.49894110931392</v>
      </c>
      <c r="O15" s="11">
        <f>IF(Landbrug!$D$47&gt;0,SUMIF(Landbrug!$B$32:$B$45,$B15,IF($O$4=År2,Landbrug!$D$32:$D$45,Landbrug!$E$32:$E$45)),'[1]Afgrødefordeling - jordtype'!$G13)*(Landbrug!$D$5)*Arealanvendelse!M$26</f>
        <v>7160.7620375335891</v>
      </c>
      <c r="P15" s="11">
        <f>IF($B15&lt;&gt;"Permanent græs",(1-VLOOKUP('Landbrugsareal - resultat'!P$5,Landbrug!$B$22:$E$23,MATCH('Landbrugsareal - resultat'!P$4,Landbrug!$B$21:$E$21,0),FALSE))*(VLOOKUP($B15,'[1]Afgrødefordeling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203.54918277586708</v>
      </c>
      <c r="Q15" s="11">
        <f>IF($B15&lt;&gt;"Permanent græs",(1-VLOOKUP('Landbrugsareal - resultat'!Q$5,Landbrug!$B$22:$E$23,MATCH('Landbrugsareal - resultat'!Q$4,Landbrug!$B$21:$E$21,0),FALSE))*(VLOOKUP($B15,'[1]Afgrødefordeling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113.58717758650332</v>
      </c>
      <c r="R15" s="11">
        <f>IF(Landbrug!$E$47&gt;0,SUMIF(Landbrug!$B$32:$B$45,$B15,IF($R$4=År2,Landbrug!$D$32:$D$45,Landbrug!$E$32:$E$45)),'[1]Afgrødefordeling - jordtype'!$G13)*(Landbrug!$E$5)*Arealanvendelse!P$26</f>
        <v>9115.6556059483319</v>
      </c>
      <c r="S15" s="11">
        <f>IF($B15&lt;&gt;"Permanent græs",(1-VLOOKUP(S$5,Landbrug!$B$22:$E$23,MATCH(S$4,Landbrug!$B$21:$E$21,0),FALSE))*(VLOOKUP($B15,'[1]Afgrødefordeling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263.86005174649438</v>
      </c>
      <c r="T15" s="11">
        <f>IF($B15&lt;&gt;"Permanent græs",(1-VLOOKUP(T$5,Landbrug!$B$22:$E$23,MATCH(T$4,Landbrug!$B$21:$E$21,0),FALSE))*(VLOOKUP($B15,'[1]Afgrødefordeling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147.2426376121339</v>
      </c>
      <c r="U15" s="94"/>
    </row>
    <row r="16" spans="1:26" x14ac:dyDescent="0.25">
      <c r="A16" s="61"/>
      <c r="B16" s="41" t="str">
        <f>[1]Afgrødefordeling!C12</f>
        <v>Frø</v>
      </c>
      <c r="C16" s="35">
        <f>VLOOKUP($B16,'[1]Afgrødefordeling - jordtype'!$F$4:$I$17,MATCH(C$5,'[1]Afgrødefordeling - jordtype'!$F$3:$I$3,0),FALSE)*(1-Landbrug!$C$5)*Arealanvendelse!J$26</f>
        <v>49959.789539022684</v>
      </c>
      <c r="D16" s="35">
        <f>VLOOKUP($B16,'[1]Afgrødefordeling - jordtype'!$F$4:$I$17,MATCH(D$5,'[1]Afgrødefordeling - jordtype'!$F$3:$I$3,0),FALSE)*(1-Landbrug!$C$5)*Arealanvendelse!K$26</f>
        <v>3565.8188704270801</v>
      </c>
      <c r="E16" s="35">
        <f>VLOOKUP($B16,'[1]Afgrødefordeling - jordtype'!$F$4:$I$17,MATCH(E$5,'[1]Afgrødefordeling - jordtype'!$F$3:$I$3,0),FALSE)*(1-Landbrug!$C$5)*Arealanvendelse!L$26</f>
        <v>2625.2024337684684</v>
      </c>
      <c r="F16" s="11">
        <f>IF(Landbrug!$D$47&gt;0,SUMIF(Landbrug!$B$32:$B$45,$B16,IF($F$4=År2,Landbrug!$D$32:$D$45,Landbrug!$E$32:$E$45)),'[1]Afgrødefordeling - jordtype'!$G14)*(1-Landbrug!$D$5)*Arealanvendelse!M$26</f>
        <v>48263.74434023608</v>
      </c>
      <c r="G16" s="11">
        <f>IF($B16&lt;&gt;"Permanent græs",(1-VLOOKUP('Landbrugsareal - resultat'!G$5,Landbrug!$B$22:$E$23,MATCH('Landbrugsareal - resultat'!G$4,Landbrug!$B$21:$E$21,0),FALSE))*(VLOOKUP($B16,'[1]Afgrødefordeling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3219.2058465377545</v>
      </c>
      <c r="H16" s="11">
        <f>IF($B16&lt;&gt;"Permanent græs",(1-VLOOKUP('Landbrugsareal - resultat'!H$5,Landbrug!$B$22:$E$23,MATCH('Landbrugsareal - resultat'!H$4,Landbrug!$B$21:$E$21,0),FALSE))*(VLOOKUP($B16,'[1]Afgrødefordeling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2315.6141162183199</v>
      </c>
      <c r="I16" s="11">
        <f>IF(Landbrug!$E$47&gt;0,SUMIF(Landbrug!$B$32:$B$45,$B16,IF($I$4=År2,Landbrug!$D$32:$D$45,Landbrug!$E$32:$E$45)),'[1]Afgrødefordeling - jordtype'!$G14)*(1-Landbrug!$E$5)*Arealanvendelse!P$26</f>
        <v>45204.663414034621</v>
      </c>
      <c r="J16" s="11">
        <f>IF($B16&lt;&gt;"Permanent græs",(1-VLOOKUP(J$5,Landbrug!$B$22:$E$23,MATCH(J$4,Landbrug!$B$21:$E$21,0),FALSE))*(VLOOKUP($B16,'[1]Afgrødefordeling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3070.3408362932341</v>
      </c>
      <c r="K16" s="11">
        <f>IF($B16&lt;&gt;"Permanent græs",(1-VLOOKUP(K$5,Landbrug!$B$22:$E$23,MATCH(K$4,Landbrug!$B$21:$E$21,0),FALSE))*(VLOOKUP($B16,'[1]Afgrødefordeling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2208.533694659091</v>
      </c>
      <c r="L16" s="35">
        <f>VLOOKUP($B16,'[1]Afgrødefordeling - jordtype'!$F$4:$I$17,MATCH(C$5,'[1]Afgrødefordeling - jordtype'!$F$3:$I$3,0),FALSE)*(Landbrug!$C$5)*Arealanvendelse!J$26</f>
        <v>6387.934343758774</v>
      </c>
      <c r="M16" s="35">
        <f>VLOOKUP($B16,'[1]Afgrødefordeling - jordtype'!$F$4:$I$17,MATCH(D$5,'[1]Afgrødefordeling - jordtype'!$F$3:$I$3,0),FALSE)*(Landbrug!$C$5)*Arealanvendelse!K$26</f>
        <v>455.9310004345117</v>
      </c>
      <c r="N16" s="35">
        <f>VLOOKUP($B16,'[1]Afgrødefordeling - jordtype'!$F$4:$I$17,MATCH(E$5,'[1]Afgrødefordeling - jordtype'!$F$3:$I$3,0),FALSE)*(Landbrug!$C$5)*Arealanvendelse!L$26</f>
        <v>335.66235848312112</v>
      </c>
      <c r="O16" s="11">
        <f>IF(Landbrug!$D$47&gt;0,SUMIF(Landbrug!$B$32:$B$45,$B16,IF($O$4=År2,Landbrug!$D$32:$D$45,Landbrug!$E$32:$E$45)),'[1]Afgrødefordeling - jordtype'!$G14)*(Landbrug!$D$5)*Arealanvendelse!M$26</f>
        <v>7532.4918912507173</v>
      </c>
      <c r="P16" s="11">
        <f>IF($B16&lt;&gt;"Permanent græs",(1-VLOOKUP('Landbrugsareal - resultat'!P$5,Landbrug!$B$22:$E$23,MATCH('Landbrugsareal - resultat'!P$4,Landbrug!$B$21:$E$21,0),FALSE))*(VLOOKUP($B16,'[1]Afgrødefordeling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502.41940957525651</v>
      </c>
      <c r="Q16" s="11">
        <f>IF($B16&lt;&gt;"Permanent græs",(1-VLOOKUP('Landbrugsareal - resultat'!Q$5,Landbrug!$B$22:$E$23,MATCH('Landbrugsareal - resultat'!Q$4,Landbrug!$B$21:$E$21,0),FALSE))*(VLOOKUP($B16,'[1]Afgrødefordeling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361.39642276239675</v>
      </c>
      <c r="R16" s="11">
        <f>IF(Landbrug!$E$47&gt;0,SUMIF(Landbrug!$B$32:$B$45,$B16,IF($R$4=År2,Landbrug!$D$32:$D$45,Landbrug!$E$32:$E$45)),'[1]Afgrødefordeling - jordtype'!$G14)*(Landbrug!$E$5)*Arealanvendelse!P$26</f>
        <v>9588.867996916435</v>
      </c>
      <c r="S16" s="11">
        <f>IF($B16&lt;&gt;"Permanent græs",(1-VLOOKUP(S$5,Landbrug!$B$22:$E$23,MATCH(S$4,Landbrug!$B$21:$E$21,0),FALSE))*(VLOOKUP($B16,'[1]Afgrødefordeling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651.28441981977687</v>
      </c>
      <c r="T16" s="11">
        <f>IF($B16&lt;&gt;"Permanent græs",(1-VLOOKUP(T$5,Landbrug!$B$22:$E$23,MATCH(T$4,Landbrug!$B$21:$E$21,0),FALSE))*(VLOOKUP($B16,'[1]Afgrødefordeling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468.47684432162538</v>
      </c>
      <c r="U16" s="94"/>
    </row>
    <row r="17" spans="1:21" x14ac:dyDescent="0.25">
      <c r="A17" s="61"/>
      <c r="B17" s="42" t="str">
        <f>[1]Afgrødefordeling!C13</f>
        <v>Juletræer</v>
      </c>
      <c r="C17" s="35">
        <f>VLOOKUP($B17,'[1]Afgrødefordeling - jordtype'!$F$4:$I$17,MATCH(C$5,'[1]Afgrødefordeling - jordtype'!$F$3:$I$3,0),FALSE)*(1-Landbrug!$C$5)*Arealanvendelse!J$26</f>
        <v>13468.89657573873</v>
      </c>
      <c r="D17" s="35">
        <f>VLOOKUP($B17,'[1]Afgrødefordeling - jordtype'!$F$4:$I$17,MATCH(D$5,'[1]Afgrødefordeling - jordtype'!$F$3:$I$3,0),FALSE)*(1-Landbrug!$C$5)*Arealanvendelse!K$26</f>
        <v>409.68784794078073</v>
      </c>
      <c r="E17" s="35">
        <f>VLOOKUP($B17,'[1]Afgrødefordeling - jordtype'!$F$4:$I$17,MATCH(E$5,'[1]Afgrødefordeling - jordtype'!$F$3:$I$3,0),FALSE)*(1-Landbrug!$C$5)*Arealanvendelse!L$26</f>
        <v>233.9909744838869</v>
      </c>
      <c r="F17" s="11">
        <f>IF(Landbrug!$D$47&gt;0,SUMIF(Landbrug!$B$32:$B$45,$B17,IF($F$4=År2,Landbrug!$D$32:$D$45,Landbrug!$E$32:$E$45)),'[1]Afgrødefordeling - jordtype'!$G15)*(1-Landbrug!$D$5)*Arealanvendelse!M$26</f>
        <v>13011.65170779564</v>
      </c>
      <c r="G17" s="11">
        <f>IF($B17&lt;&gt;"Permanent græs",(1-VLOOKUP('Landbrugsareal - resultat'!G$5,Landbrug!$B$22:$E$23,MATCH('Landbrugsareal - resultat'!G$4,Landbrug!$B$21:$E$21,0),FALSE))*(VLOOKUP($B17,'[1]Afgrødefordeling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369.86441635732047</v>
      </c>
      <c r="H17" s="11">
        <f>IF($B17&lt;&gt;"Permanent græs",(1-VLOOKUP('Landbrugsareal - resultat'!H$5,Landbrug!$B$22:$E$23,MATCH('Landbrugsareal - resultat'!H$4,Landbrug!$B$21:$E$21,0),FALSE))*(VLOOKUP($B17,'[1]Afgrødefordeling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206.39657978861854</v>
      </c>
      <c r="I17" s="11">
        <f>IF(Landbrug!$E$47&gt;0,SUMIF(Landbrug!$B$32:$B$45,$B17,IF($I$4=År2,Landbrug!$D$32:$D$45,Landbrug!$E$32:$E$45)),'[1]Afgrødefordeling - jordtype'!$G15)*(1-Landbrug!$E$5)*Arealanvendelse!P$26</f>
        <v>12186.939574458089</v>
      </c>
      <c r="J17" s="11">
        <f>IF($B17&lt;&gt;"Permanent græs",(1-VLOOKUP(J$5,Landbrug!$B$22:$E$23,MATCH(J$4,Landbrug!$B$21:$E$21,0),FALSE))*(VLOOKUP($B17,'[1]Afgrødefordeling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352.76085953154842</v>
      </c>
      <c r="K17" s="11">
        <f>IF($B17&lt;&gt;"Permanent græs",(1-VLOOKUP(K$5,Landbrug!$B$22:$E$23,MATCH(K$4,Landbrug!$B$21:$E$21,0),FALSE))*(VLOOKUP($B17,'[1]Afgrødefordeling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196.85222927816218</v>
      </c>
      <c r="L17" s="35">
        <f>VLOOKUP($B17,'[1]Afgrødefordeling - jordtype'!$F$4:$I$17,MATCH(C$5,'[1]Afgrødefordeling - jordtype'!$F$3:$I$3,0),FALSE)*(Landbrug!$C$5)*Arealanvendelse!J$26</f>
        <v>1722.1535119056764</v>
      </c>
      <c r="M17" s="35">
        <f>VLOOKUP($B17,'[1]Afgrødefordeling - jordtype'!$F$4:$I$17,MATCH(D$5,'[1]Afgrødefordeling - jordtype'!$F$3:$I$3,0),FALSE)*(Landbrug!$C$5)*Arealanvendelse!K$26</f>
        <v>52.383308621374375</v>
      </c>
      <c r="N17" s="35">
        <f>VLOOKUP($B17,'[1]Afgrødefordeling - jordtype'!$F$4:$I$17,MATCH(E$5,'[1]Afgrødefordeling - jordtype'!$F$3:$I$3,0),FALSE)*(Landbrug!$C$5)*Arealanvendelse!L$26</f>
        <v>29.918440326248902</v>
      </c>
      <c r="O17" s="11">
        <f>IF(Landbrug!$D$47&gt;0,SUMIF(Landbrug!$B$32:$B$45,$B17,IF($O$4=År2,Landbrug!$D$32:$D$45,Landbrug!$E$32:$E$45)),'[1]Afgrødefordeling - jordtype'!$G15)*(Landbrug!$D$5)*Arealanvendelse!M$26</f>
        <v>2030.7202087311116</v>
      </c>
      <c r="P17" s="11">
        <f>IF($B17&lt;&gt;"Permanent græs",(1-VLOOKUP('Landbrugsareal - resultat'!P$5,Landbrug!$B$22:$E$23,MATCH('Landbrugsareal - resultat'!P$4,Landbrug!$B$21:$E$21,0),FALSE))*(VLOOKUP($B17,'[1]Afgrødefordeling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57.724504286980661</v>
      </c>
      <c r="Q17" s="11">
        <f>IF($B17&lt;&gt;"Permanent græs",(1-VLOOKUP('Landbrugsareal - resultat'!Q$5,Landbrug!$B$22:$E$23,MATCH('Landbrugsareal - resultat'!Q$4,Landbrug!$B$21:$E$21,0),FALSE))*(VLOOKUP($B17,'[1]Afgrødefordeling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32.212182972790174</v>
      </c>
      <c r="R17" s="11">
        <f>IF(Landbrug!$E$47&gt;0,SUMIF(Landbrug!$B$32:$B$45,$B17,IF($R$4=År2,Landbrug!$D$32:$D$45,Landbrug!$E$32:$E$45)),'[1]Afgrødefordeling - jordtype'!$G15)*(Landbrug!$E$5)*Arealanvendelse!P$26</f>
        <v>2585.1083945820187</v>
      </c>
      <c r="S17" s="11">
        <f>IF($B17&lt;&gt;"Permanent græs",(1-VLOOKUP(S$5,Landbrug!$B$22:$E$23,MATCH(S$4,Landbrug!$B$21:$E$21,0),FALSE))*(VLOOKUP($B17,'[1]Afgrødefordeling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74.828061112752692</v>
      </c>
      <c r="T17" s="11">
        <f>IF($B17&lt;&gt;"Permanent græs",(1-VLOOKUP(T$5,Landbrug!$B$22:$E$23,MATCH(T$4,Landbrug!$B$21:$E$21,0),FALSE))*(VLOOKUP($B17,'[1]Afgrødefordeling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41.756533483246521</v>
      </c>
      <c r="U17" s="94"/>
    </row>
    <row r="18" spans="1:21" x14ac:dyDescent="0.25">
      <c r="A18" s="61"/>
      <c r="B18" s="42" t="str">
        <f>[1]Afgrødefordeling!C14</f>
        <v>Pil &amp; poppel</v>
      </c>
      <c r="C18" s="35">
        <f>VLOOKUP($B18,'[1]Afgrødefordeling - jordtype'!$F$4:$I$17,MATCH(C$5,'[1]Afgrødefordeling - jordtype'!$F$3:$I$3,0),FALSE)*(1-Landbrug!$C$5)*Arealanvendelse!J$26</f>
        <v>4954.292308391774</v>
      </c>
      <c r="D18" s="35">
        <f>VLOOKUP($B18,'[1]Afgrødefordeling - jordtype'!$F$4:$I$17,MATCH(D$5,'[1]Afgrødefordeling - jordtype'!$F$3:$I$3,0),FALSE)*(1-Landbrug!$C$5)*Arealanvendelse!K$26</f>
        <v>672.85851532837171</v>
      </c>
      <c r="E18" s="35">
        <f>VLOOKUP($B18,'[1]Afgrødefordeling - jordtype'!$F$4:$I$17,MATCH(E$5,'[1]Afgrødefordeling - jordtype'!$F$3:$I$3,0),FALSE)*(1-Landbrug!$C$5)*Arealanvendelse!L$26</f>
        <v>552.34127487506601</v>
      </c>
      <c r="F18" s="11">
        <f>IF(Landbrug!$D$47&gt;0,SUMIF(Landbrug!$B$32:$B$45,$B18,IF($F$4=År2,Landbrug!$D$32:$D$45,Landbrug!$E$32:$E$45)),'[1]Afgrødefordeling - jordtype'!$G16)*(1-Landbrug!$D$5)*Arealanvendelse!M$26</f>
        <v>4786.1029753188222</v>
      </c>
      <c r="G18" s="11">
        <f>IF($B18&lt;&gt;"Permanent græs",(1-VLOOKUP('Landbrugsareal - resultat'!G$5,Landbrug!$B$22:$E$23,MATCH('Landbrugsareal - resultat'!G$4,Landbrug!$B$21:$E$21,0),FALSE))*(VLOOKUP($B18,'[1]Afgrødefordeling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607.45375610690382</v>
      </c>
      <c r="H18" s="11">
        <f>IF($B18&lt;&gt;"Permanent græs",(1-VLOOKUP('Landbrugsareal - resultat'!H$5,Landbrug!$B$22:$E$23,MATCH('Landbrugsareal - resultat'!H$4,Landbrug!$B$21:$E$21,0),FALSE))*(VLOOKUP($B18,'[1]Afgrødefordeling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487.2040481978043</v>
      </c>
      <c r="I18" s="11">
        <f>IF(Landbrug!$E$47&gt;0,SUMIF(Landbrug!$B$32:$B$45,$B18,IF($I$4=År2,Landbrug!$D$32:$D$45,Landbrug!$E$32:$E$45)),'[1]Afgrødefordeling - jordtype'!$G16)*(1-Landbrug!$E$5)*Arealanvendelse!P$26</f>
        <v>4482.7473918932728</v>
      </c>
      <c r="J18" s="11">
        <f>IF($B18&lt;&gt;"Permanent græs",(1-VLOOKUP(J$5,Landbrug!$B$22:$E$23,MATCH(J$4,Landbrug!$B$21:$E$21,0),FALSE))*(VLOOKUP($B18,'[1]Afgrødefordeling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579.36340900369441</v>
      </c>
      <c r="K18" s="11">
        <f>IF($B18&lt;&gt;"Permanent græs",(1-VLOOKUP(K$5,Landbrug!$B$22:$E$23,MATCH(K$4,Landbrug!$B$21:$E$21,0),FALSE))*(VLOOKUP($B18,'[1]Afgrødefordeling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464.67438122911972</v>
      </c>
      <c r="L18" s="35">
        <f>VLOOKUP($B18,'[1]Afgrødefordeling - jordtype'!$F$4:$I$17,MATCH(C$5,'[1]Afgrødefordeling - jordtype'!$F$3:$I$3,0),FALSE)*(Landbrug!$C$5)*Arealanvendelse!J$26</f>
        <v>633.46331675549425</v>
      </c>
      <c r="M18" s="35">
        <f>VLOOKUP($B18,'[1]Afgrødefordeling - jordtype'!$F$4:$I$17,MATCH(D$5,'[1]Afgrødefordeling - jordtype'!$F$3:$I$3,0),FALSE)*(Landbrug!$C$5)*Arealanvendelse!K$26</f>
        <v>86.032708668626768</v>
      </c>
      <c r="N18" s="35">
        <f>VLOOKUP($B18,'[1]Afgrødefordeling - jordtype'!$F$4:$I$17,MATCH(E$5,'[1]Afgrødefordeling - jordtype'!$F$3:$I$3,0),FALSE)*(Landbrug!$C$5)*Arealanvendelse!L$26</f>
        <v>70.623191806963732</v>
      </c>
      <c r="O18" s="11">
        <f>IF(Landbrug!$D$47&gt;0,SUMIF(Landbrug!$B$32:$B$45,$B18,IF($O$4=År2,Landbrug!$D$32:$D$45,Landbrug!$E$32:$E$45)),'[1]Afgrødefordeling - jordtype'!$G16)*(Landbrug!$D$5)*Arealanvendelse!M$26</f>
        <v>746.96404817114581</v>
      </c>
      <c r="P18" s="11">
        <f>IF($B18&lt;&gt;"Permanent græs",(1-VLOOKUP('Landbrugsareal - resultat'!P$5,Landbrug!$B$22:$E$23,MATCH('Landbrugsareal - resultat'!P$4,Landbrug!$B$21:$E$21,0),FALSE))*(VLOOKUP($B18,'[1]Afgrødefordeling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94.804921473331831</v>
      </c>
      <c r="Q18" s="11">
        <f>IF($B18&lt;&gt;"Permanent græs",(1-VLOOKUP('Landbrugsareal - resultat'!Q$5,Landbrug!$B$22:$E$23,MATCH('Landbrugsareal - resultat'!Q$4,Landbrug!$B$21:$E$21,0),FALSE))*(VLOOKUP($B18,'[1]Afgrødefordeling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76.037626019310508</v>
      </c>
      <c r="R18" s="11">
        <f>IF(Landbrug!$E$47&gt;0,SUMIF(Landbrug!$B$32:$B$45,$B18,IF($R$4=År2,Landbrug!$D$32:$D$45,Landbrug!$E$32:$E$45)),'[1]Afgrødefordeling - jordtype'!$G16)*(Landbrug!$E$5)*Arealanvendelse!P$26</f>
        <v>950.88581040160352</v>
      </c>
      <c r="S18" s="11">
        <f>IF($B18&lt;&gt;"Permanent græs",(1-VLOOKUP(S$5,Landbrug!$B$22:$E$23,MATCH(S$4,Landbrug!$B$21:$E$21,0),FALSE))*(VLOOKUP($B18,'[1]Afgrødefordeling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122.89526857654124</v>
      </c>
      <c r="T18" s="11">
        <f>IF($B18&lt;&gt;"Permanent græs",(1-VLOOKUP(T$5,Landbrug!$B$22:$E$23,MATCH(T$4,Landbrug!$B$21:$E$21,0),FALSE))*(VLOOKUP($B18,'[1]Afgrødefordeling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98.567292987995089</v>
      </c>
      <c r="U18" s="94"/>
    </row>
    <row r="19" spans="1:21" x14ac:dyDescent="0.25">
      <c r="A19" s="61"/>
      <c r="B19" s="42" t="str">
        <f>[1]Afgrødefordeling!C15</f>
        <v>Permanent græs</v>
      </c>
      <c r="C19" s="35">
        <f>VLOOKUP($B19,'[1]Afgrødefordeling - jordtype'!$F$4:$I$17,MATCH(C$5,'[1]Afgrødefordeling - jordtype'!$F$3:$I$3,0),FALSE)*(1-Landbrug!$C$5)*Arealanvendelse!J$26</f>
        <v>119415.94261463804</v>
      </c>
      <c r="D19" s="35">
        <f>VLOOKUP($B19,'[1]Afgrødefordeling - jordtype'!$F$4:$I$17,MATCH(D$5,'[1]Afgrødefordeling - jordtype'!$F$3:$I$3,0),FALSE)*(1-Landbrug!$C$5)*Arealanvendelse!K$26</f>
        <v>19018.389680733297</v>
      </c>
      <c r="E19" s="35">
        <f>VLOOKUP($B19,'[1]Afgrødefordeling - jordtype'!$F$4:$I$17,MATCH(E$5,'[1]Afgrødefordeling - jordtype'!$F$3:$I$3,0),FALSE)*(1-Landbrug!$C$5)*Arealanvendelse!L$26</f>
        <v>20428.487949592105</v>
      </c>
      <c r="F19" s="11">
        <f>IF(Landbrug!$D$47&gt;0,SUMIF(Landbrug!$B$32:$B$45,$B19,IF($F$4=År2,Landbrug!$D$32:$D$45,Landbrug!$E$32:$E$45)),'[1]Afgrødefordeling - jordtype'!$G17)*(1-Landbrug!$D$5)*Arealanvendelse!M$26</f>
        <v>115361.98566247879</v>
      </c>
      <c r="G19" s="11">
        <f>IF($B19&lt;&gt;"Permanent græs",(1-VLOOKUP('Landbrugsareal - resultat'!G$5,Landbrug!$B$22:$E$23,MATCH('Landbrugsareal - resultat'!G$4,Landbrug!$B$21:$E$21,0),FALSE))*(VLOOKUP($B19,'[1]Afgrødefordeling - jordtype'!$F$4:$I$17,MATCH(G$5,'[1]Afgrødefordeling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resultat'!G$4,Landbrug!$B$21:$E$21,0),FALSE))*(1-Landbrug!$D$5)*Arealanvendelse!N$26</f>
        <v>17169.719909137468</v>
      </c>
      <c r="H19" s="11">
        <f>IF($B19&lt;&gt;"Permanent græs",(1-VLOOKUP('Landbrugsareal - resultat'!H$5,Landbrug!$B$22:$E$23,MATCH('Landbrugsareal - resultat'!H$4,Landbrug!$B$21:$E$21,0),FALSE))*(VLOOKUP($B19,'[1]Afgrødefordeling - jordtype'!$F$4:$I$17,MATCH(H$5,'[1]Afgrødefordeling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resultat'!H$4,Landbrug!$B$21:$E$21,0),FALSE))*(1-Landbrug!$D$5)*Arealanvendelse!O$26</f>
        <v>18019.370415242949</v>
      </c>
      <c r="I19" s="11">
        <f>IF(Landbrug!$E$47&gt;0,SUMIF(Landbrug!$B$32:$B$45,$B19,IF($I$4=År2,Landbrug!$D$32:$D$45,Landbrug!$E$32:$E$45)),'[1]Afgrødefordeling - jordtype'!$G17)*(1-Landbrug!$E$5)*Arealanvendelse!P$26</f>
        <v>108050.04468539612</v>
      </c>
      <c r="J19" s="11">
        <f>IF($B19&lt;&gt;"Permanent græs",(1-VLOOKUP(J$5,Landbrug!$B$22:$E$23,MATCH(J$4,Landbrug!$B$21:$E$21,0),FALSE))*(VLOOKUP($B19,'[1]Afgrødefordeling - jordtype'!$F$4:$I$17,MATCH(J$5,'[1]Afgrødefordeling - jordtype'!$F$3:$I$3,0),FALSE))/(1-VLOOKUP($B$19,'[1]Afgrødefordeling - jordtype'!$F$4:$I$17,MATCH(J$5,'[1]Afgrødefordeling - jordtype'!$F$3:$I$3,0),FALSE)),VLOOKUP(J$5,Landbrug!$B$22:$E$23,MATCH(J$4,Landbrug!$B$21:$E$21,0),FALSE))*(1-Landbrug!$E$5)*Arealanvendelse!Q$26</f>
        <v>16375.744422009724</v>
      </c>
      <c r="K19" s="11">
        <f>IF($B19&lt;&gt;"Permanent græs",(1-VLOOKUP(K$5,Landbrug!$B$22:$E$23,MATCH(K$4,Landbrug!$B$21:$E$21,0),FALSE))*(VLOOKUP($B19,'[1]Afgrødefordeling - jordtype'!$F$4:$I$17,MATCH(K$5,'[1]Afgrødefordeling - jordtype'!$F$3:$I$3,0),FALSE))/(1-VLOOKUP($B$19,'[1]Afgrødefordeling - jordtype'!$F$4:$I$17,MATCH(K$5,'[1]Afgrødefordeling - jordtype'!$F$3:$I$3,0),FALSE)),VLOOKUP(K$5,Landbrug!$B$22:$E$23,MATCH(K$4,Landbrug!$B$21:$E$21,0),FALSE))*(1-Landbrug!$E$5)*Arealanvendelse!R$26</f>
        <v>17186.104731301079</v>
      </c>
      <c r="L19" s="35">
        <f>VLOOKUP($B19,'[1]Afgrødefordeling - jordtype'!$F$4:$I$17,MATCH(C$5,'[1]Afgrødefordeling - jordtype'!$F$3:$I$3,0),FALSE)*(Landbrug!$C$5)*Arealanvendelse!J$26</f>
        <v>15268.703252333511</v>
      </c>
      <c r="M19" s="35">
        <f>VLOOKUP($B19,'[1]Afgrødefordeling - jordtype'!$F$4:$I$17,MATCH(D$5,'[1]Afgrødefordeling - jordtype'!$F$3:$I$3,0),FALSE)*(Landbrug!$C$5)*Arealanvendelse!K$26</f>
        <v>2431.7201038177204</v>
      </c>
      <c r="N19" s="35">
        <f>VLOOKUP($B19,'[1]Afgrødefordeling - jordtype'!$F$4:$I$17,MATCH(E$5,'[1]Afgrødefordeling - jordtype'!$F$3:$I$3,0),FALSE)*(Landbrug!$C$5)*Arealanvendelse!L$26</f>
        <v>2612.0174037629554</v>
      </c>
      <c r="O19" s="11">
        <f>IF(Landbrug!$D$47&gt;0,SUMIF(Landbrug!$B$32:$B$45,$B19,IF($O$4=År2,Landbrug!$D$32:$D$45,Landbrug!$E$32:$E$45)),'[1]Afgrødefordeling - jordtype'!$G17)*(Landbrug!$D$5)*Arealanvendelse!M$26</f>
        <v>18004.47175079149</v>
      </c>
      <c r="P19" s="11">
        <f>IF($B19&lt;&gt;"Permanent græs",(1-VLOOKUP('Landbrugsareal - resultat'!P$5,Landbrug!$B$22:$E$23,MATCH('Landbrugsareal - resultat'!P$4,Landbrug!$B$21:$E$21,0),FALSE))*(VLOOKUP($B19,'[1]Afgrødefordeling - jordtype'!$F$4:$I$17,MATCH(P$5,'[1]Afgrødefordeling - jordtype'!$F$3:$I$3,0),FALSE))/(1-VLOOKUP($B$19,'[1]Afgrødefordeling - jordtype'!$F$4:$I$17,MATCH(G$5,'[1]Afgrødefordeling - jordtype'!$F$3:$I$3,0),FALSE)),VLOOKUP('Landbrugsareal - resultat'!G$5,Landbrug!$B$22:$E$23,MATCH('Landbrugsareal - resultat'!P$4,Landbrug!$B$21:$E$21,0),FALSE))*(Landbrug!$D$5)*Arealanvendelse!N$26</f>
        <v>2679.6672690561372</v>
      </c>
      <c r="Q19" s="11">
        <f>IF($B19&lt;&gt;"Permanent græs",(1-VLOOKUP('Landbrugsareal - resultat'!Q$5,Landbrug!$B$22:$E$23,MATCH('Landbrugsareal - resultat'!Q$4,Landbrug!$B$21:$E$21,0),FALSE))*(VLOOKUP($B19,'[1]Afgrødefordeling - jordtype'!$F$4:$I$17,MATCH(Q$5,'[1]Afgrødefordeling - jordtype'!$F$3:$I$3,0),FALSE))/(1-VLOOKUP($B$19,'[1]Afgrødefordeling - jordtype'!$F$4:$I$17,MATCH(H$5,'[1]Afgrødefordeling - jordtype'!$F$3:$I$3,0),FALSE)),VLOOKUP('Landbrugsareal - resultat'!H$5,Landbrug!$B$22:$E$23,MATCH('Landbrugsareal - resultat'!Q$4,Landbrug!$B$21:$E$21,0),FALSE))*(Landbrug!$D$5)*Arealanvendelse!O$26</f>
        <v>2812.271683303813</v>
      </c>
      <c r="R19" s="11">
        <f>IF(Landbrug!$E$47&gt;0,SUMIF(Landbrug!$B$32:$B$45,$B19,IF($R$4=År2,Landbrug!$D$32:$D$45,Landbrug!$E$32:$E$45)),'[1]Afgrødefordeling - jordtype'!$G17)*(Landbrug!$E$5)*Arealanvendelse!P$26</f>
        <v>22919.706448417357</v>
      </c>
      <c r="S19" s="11">
        <f>IF($B19&lt;&gt;"Permanent græs",(1-VLOOKUP(S$5,Landbrug!$B$22:$E$23,MATCH(S$4,Landbrug!$B$21:$E$21,0),FALSE))*(VLOOKUP($B19,'[1]Afgrødefordeling - jordtype'!$F$4:$I$17,MATCH(S$5,'[1]Afgrødefordeling - jordtype'!$F$3:$I$3,0),FALSE))/(1-VLOOKUP($B$19,'[1]Afgrødefordeling - jordtype'!$F$4:$I$17,MATCH(S$5,'[1]Afgrødefordeling - jordtype'!$F$3:$I$3,0),FALSE)),VLOOKUP(S$5,Landbrug!$B$22:$E$23,MATCH(S$4,Landbrug!$B$21:$E$21,0),FALSE))*(Landbrug!$E$5)*Arealanvendelse!Q$26</f>
        <v>3473.6427561838809</v>
      </c>
      <c r="T19" s="11">
        <f>IF($B19&lt;&gt;"Permanent græs",(1-VLOOKUP(T$5,Landbrug!$B$22:$E$23,MATCH(T$4,Landbrug!$B$21:$E$21,0),FALSE))*(VLOOKUP($B19,'[1]Afgrødefordeling - jordtype'!$F$4:$I$17,MATCH(T$5,'[1]Afgrødefordeling - jordtype'!$F$3:$I$3,0),FALSE))/(1-VLOOKUP($B$19,'[1]Afgrødefordeling - jordtype'!$F$4:$I$17,MATCH(T$5,'[1]Afgrødefordeling - jordtype'!$F$3:$I$3,0),FALSE)),VLOOKUP(T$5,Landbrug!$B$22:$E$23,MATCH(T$4,Landbrug!$B$21:$E$21,0),FALSE))*(Landbrug!$E$5)*Arealanvendelse!R$26</f>
        <v>3645.5373672456835</v>
      </c>
      <c r="U19" s="94"/>
    </row>
    <row r="20" spans="1:21" ht="15.75" thickBot="1" x14ac:dyDescent="0.3">
      <c r="A20" s="61"/>
      <c r="B20" s="43" t="s">
        <v>30</v>
      </c>
      <c r="C20" s="36">
        <f t="shared" ref="C20:T20" si="2">SUM(C6:C19)</f>
        <v>1643709.0153670528</v>
      </c>
      <c r="D20" s="37">
        <f t="shared" si="2"/>
        <v>77359.342508101181</v>
      </c>
      <c r="E20" s="37">
        <f t="shared" si="2"/>
        <v>60217.469135875617</v>
      </c>
      <c r="F20" s="38">
        <f t="shared" si="2"/>
        <v>1587908.0440371393</v>
      </c>
      <c r="G20" s="38">
        <f t="shared" si="2"/>
        <v>69839.679674074068</v>
      </c>
      <c r="H20" s="38">
        <f t="shared" si="2"/>
        <v>53116.064414814813</v>
      </c>
      <c r="I20" s="38">
        <f t="shared" si="2"/>
        <v>1487262.3258799945</v>
      </c>
      <c r="J20" s="38">
        <f t="shared" si="2"/>
        <v>66610.099111111107</v>
      </c>
      <c r="K20" s="39">
        <f t="shared" si="2"/>
        <v>50659.830222222219</v>
      </c>
      <c r="L20" s="36">
        <f t="shared" si="2"/>
        <v>210167.12374674503</v>
      </c>
      <c r="M20" s="37">
        <f t="shared" si="2"/>
        <v>9891.2826770840002</v>
      </c>
      <c r="N20" s="37">
        <f t="shared" si="2"/>
        <v>7699.4967900503034</v>
      </c>
      <c r="O20" s="38">
        <f t="shared" si="2"/>
        <v>247823.79878036276</v>
      </c>
      <c r="P20" s="38">
        <f t="shared" si="2"/>
        <v>10899.8344</v>
      </c>
      <c r="Q20" s="38">
        <f t="shared" si="2"/>
        <v>8289.7903999999999</v>
      </c>
      <c r="R20" s="38">
        <f t="shared" si="2"/>
        <v>315479.88730787759</v>
      </c>
      <c r="S20" s="38">
        <f t="shared" si="2"/>
        <v>14129.414962962959</v>
      </c>
      <c r="T20" s="39">
        <f t="shared" si="2"/>
        <v>10746.02459259259</v>
      </c>
      <c r="U20" s="94"/>
    </row>
    <row r="21" spans="1:21" ht="15.75" thickBot="1" x14ac:dyDescent="0.3">
      <c r="A21" s="61"/>
      <c r="B21" s="68"/>
      <c r="C21" s="69"/>
      <c r="D21" s="69"/>
      <c r="E21" s="69"/>
      <c r="F21" s="69"/>
      <c r="G21" s="69"/>
      <c r="H21" s="69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1"/>
    </row>
    <row r="22" spans="1:21" x14ac:dyDescent="0.25">
      <c r="A22" s="61"/>
      <c r="B22" s="45"/>
      <c r="C22" s="444" t="s">
        <v>7</v>
      </c>
      <c r="D22" s="445"/>
      <c r="E22" s="446"/>
      <c r="F22" s="447" t="s">
        <v>8</v>
      </c>
      <c r="G22" s="445"/>
      <c r="H22" s="446"/>
      <c r="I22" s="72"/>
      <c r="J22" s="69"/>
      <c r="K22" s="69"/>
      <c r="L22" s="69"/>
      <c r="M22" s="69"/>
      <c r="N22" s="69"/>
      <c r="O22" s="69"/>
      <c r="P22" s="69"/>
      <c r="Q22" s="69"/>
      <c r="R22" s="69"/>
      <c r="S22" s="69"/>
      <c r="T22" s="69"/>
      <c r="U22" s="71"/>
    </row>
    <row r="23" spans="1:21" x14ac:dyDescent="0.25">
      <c r="A23" s="61"/>
      <c r="B23" s="32" t="s">
        <v>26</v>
      </c>
      <c r="C23" s="29">
        <f>År1</f>
        <v>2019</v>
      </c>
      <c r="D23" s="25">
        <f>År2</f>
        <v>2030</v>
      </c>
      <c r="E23" s="30">
        <f>År3</f>
        <v>2050</v>
      </c>
      <c r="F23" s="33">
        <f>År1</f>
        <v>2019</v>
      </c>
      <c r="G23" s="25">
        <f>År2</f>
        <v>2030</v>
      </c>
      <c r="H23" s="30">
        <f>År3</f>
        <v>2050</v>
      </c>
      <c r="I23" s="69"/>
      <c r="J23" s="69"/>
      <c r="K23" s="69"/>
      <c r="L23" s="69"/>
      <c r="M23" s="69"/>
      <c r="N23" s="69"/>
      <c r="O23" s="69"/>
      <c r="P23" s="69"/>
      <c r="Q23" s="69"/>
      <c r="R23" s="69"/>
      <c r="S23" s="69"/>
      <c r="T23" s="69"/>
      <c r="U23" s="71"/>
    </row>
    <row r="24" spans="1:21" x14ac:dyDescent="0.25">
      <c r="A24" s="61"/>
      <c r="B24" s="31" t="s">
        <v>22</v>
      </c>
      <c r="C24" s="35">
        <f>SUM([1]Dyrehold!$E24:$E26)-F24</f>
        <v>10266966</v>
      </c>
      <c r="D24" s="11">
        <f>($F24+$C24)*Landbrug!D11*(1-Landbrug!D6)</f>
        <v>12097501.629685199</v>
      </c>
      <c r="E24" s="23">
        <f>($F24+$C24)*Landbrug!E11*(1-Landbrug!E6)</f>
        <v>11581864.3656852</v>
      </c>
      <c r="F24" s="34">
        <f>SUM([1]Dyrehold!E58:G61)</f>
        <v>475477</v>
      </c>
      <c r="G24" s="11">
        <f>($F24+$C24)*Landbrug!D11*Landbrug!D6</f>
        <v>793429.97031479969</v>
      </c>
      <c r="H24" s="23">
        <f>($F24+$C24)*Landbrug!E11*Landbrug!E6</f>
        <v>1309067.2343147993</v>
      </c>
      <c r="I24" s="73"/>
      <c r="J24" s="69"/>
      <c r="K24" s="69"/>
      <c r="L24" s="93"/>
      <c r="M24" s="69"/>
      <c r="N24" s="69"/>
      <c r="O24" s="69"/>
      <c r="P24" s="69"/>
      <c r="Q24" s="69"/>
      <c r="R24" s="69"/>
      <c r="S24" s="69"/>
      <c r="T24" s="69"/>
      <c r="U24" s="71"/>
    </row>
    <row r="25" spans="1:21" x14ac:dyDescent="0.25">
      <c r="A25" s="61"/>
      <c r="B25" s="31" t="s">
        <v>3</v>
      </c>
      <c r="C25" s="35">
        <f>SUM([1]Dyrehold!$D24:$D26)-F25</f>
        <v>1184629</v>
      </c>
      <c r="D25" s="11">
        <f>($F25+$C25)*Landbrug!D12*(1-Landbrug!D7)</f>
        <v>1383454.9238496127</v>
      </c>
      <c r="E25" s="23">
        <f>($F25+$C25)*Landbrug!E12*(1-Landbrug!E7)</f>
        <v>1316616.6518496128</v>
      </c>
      <c r="F25" s="34">
        <f>SUM([1]Dyrehold!E36:G51)</f>
        <v>207835</v>
      </c>
      <c r="G25" s="11">
        <f>($F25+$C25)*Landbrug!D12*Landbrug!D7</f>
        <v>287501.87615038722</v>
      </c>
      <c r="H25" s="23">
        <f>($F25+$C25)*Landbrug!E12*Landbrug!E7</f>
        <v>354340.14815038722</v>
      </c>
      <c r="I25" s="73"/>
      <c r="J25" s="69"/>
      <c r="K25" s="69"/>
      <c r="L25" s="69"/>
      <c r="M25" s="69"/>
      <c r="N25" s="69"/>
      <c r="O25" s="69"/>
      <c r="P25" s="69"/>
      <c r="Q25" s="69"/>
      <c r="R25" s="69"/>
      <c r="S25" s="69"/>
      <c r="T25" s="69"/>
      <c r="U25" s="71"/>
    </row>
    <row r="26" spans="1:21" ht="15.75" thickBot="1" x14ac:dyDescent="0.3">
      <c r="A26" s="61"/>
      <c r="B26" s="46" t="s">
        <v>4</v>
      </c>
      <c r="C26" s="48">
        <f>SUM([1]Dyrehold!$F24:$F26)-F26</f>
        <v>18212034</v>
      </c>
      <c r="D26" s="16">
        <f>($F26+$C26)*Landbrug!D13*(1-Landbrug!D8)</f>
        <v>21348681.831473798</v>
      </c>
      <c r="E26" s="24">
        <f>($F26+$C26)*Landbrug!E13*(1-Landbrug!E8)</f>
        <v>20327513.7994738</v>
      </c>
      <c r="F26" s="47">
        <f>SUM([1]Dyrehold!E65:G78)</f>
        <v>3062300</v>
      </c>
      <c r="G26" s="16">
        <f>($F26+$C26)*Landbrug!D13*Landbrug!D8</f>
        <v>4180518.9685262032</v>
      </c>
      <c r="H26" s="24">
        <f>($F26+$C26)*Landbrug!E13*Landbrug!E8</f>
        <v>5201687.0005262028</v>
      </c>
      <c r="I26" s="73"/>
      <c r="J26" s="69"/>
      <c r="K26" s="69"/>
      <c r="L26" s="69"/>
      <c r="M26" s="69"/>
      <c r="N26" s="69"/>
      <c r="O26" s="69"/>
      <c r="P26" s="69"/>
      <c r="Q26" s="69"/>
      <c r="R26" s="69"/>
      <c r="S26" s="69"/>
      <c r="T26" s="69"/>
      <c r="U26" s="71"/>
    </row>
    <row r="27" spans="1:21" ht="15.75" thickBot="1" x14ac:dyDescent="0.3">
      <c r="A27" s="64"/>
      <c r="B27" s="65"/>
      <c r="C27" s="66"/>
      <c r="D27" s="66"/>
      <c r="E27" s="66"/>
      <c r="F27" s="66"/>
      <c r="G27" s="66"/>
      <c r="H27" s="66"/>
      <c r="I27" s="66"/>
      <c r="J27" s="66"/>
      <c r="K27" s="66"/>
      <c r="L27" s="66"/>
      <c r="M27" s="66"/>
      <c r="N27" s="66"/>
      <c r="O27" s="66"/>
      <c r="P27" s="66"/>
      <c r="Q27" s="66"/>
      <c r="R27" s="66"/>
      <c r="S27" s="66"/>
      <c r="T27" s="66"/>
      <c r="U27" s="67"/>
    </row>
    <row r="28" spans="1:21" ht="15.75" thickBot="1" x14ac:dyDescent="0.3">
      <c r="B28" s="6"/>
      <c r="F28" s="85"/>
      <c r="G28" s="85"/>
      <c r="H28" s="85"/>
      <c r="I28" s="12"/>
    </row>
    <row r="29" spans="1:21" ht="21.75" thickBot="1" x14ac:dyDescent="0.4">
      <c r="A29" s="451" t="s">
        <v>24</v>
      </c>
      <c r="B29" s="452"/>
      <c r="C29" s="452"/>
      <c r="D29" s="452"/>
      <c r="E29" s="452"/>
      <c r="F29" s="452"/>
      <c r="G29" s="452"/>
      <c r="H29" s="452"/>
      <c r="I29" s="452"/>
      <c r="J29" s="452"/>
      <c r="K29" s="452"/>
      <c r="L29" s="452"/>
      <c r="M29" s="452"/>
      <c r="N29" s="452"/>
      <c r="O29" s="452"/>
      <c r="P29" s="452"/>
      <c r="Q29" s="452"/>
      <c r="R29" s="452"/>
      <c r="S29" s="452"/>
      <c r="T29" s="452"/>
      <c r="U29" s="453"/>
    </row>
    <row r="30" spans="1:21" x14ac:dyDescent="0.25">
      <c r="A30" s="56"/>
      <c r="B30" s="53"/>
      <c r="C30" s="454" t="s">
        <v>7</v>
      </c>
      <c r="D30" s="455"/>
      <c r="E30" s="455"/>
      <c r="F30" s="455"/>
      <c r="G30" s="455"/>
      <c r="H30" s="455"/>
      <c r="I30" s="455"/>
      <c r="J30" s="455"/>
      <c r="K30" s="456"/>
      <c r="L30" s="454" t="s">
        <v>8</v>
      </c>
      <c r="M30" s="455"/>
      <c r="N30" s="455"/>
      <c r="O30" s="455"/>
      <c r="P30" s="455"/>
      <c r="Q30" s="455"/>
      <c r="R30" s="455"/>
      <c r="S30" s="455"/>
      <c r="T30" s="456"/>
      <c r="U30" s="53"/>
    </row>
    <row r="31" spans="1:21" ht="15.75" thickBot="1" x14ac:dyDescent="0.3">
      <c r="A31" s="56"/>
      <c r="B31" s="55"/>
      <c r="C31" s="169">
        <f>År1</f>
        <v>2019</v>
      </c>
      <c r="D31" s="169">
        <f>År1</f>
        <v>2019</v>
      </c>
      <c r="E31" s="169">
        <f>År1</f>
        <v>2019</v>
      </c>
      <c r="F31" s="170">
        <f>År2</f>
        <v>2030</v>
      </c>
      <c r="G31" s="170">
        <f>År2</f>
        <v>2030</v>
      </c>
      <c r="H31" s="170">
        <f>År2</f>
        <v>2030</v>
      </c>
      <c r="I31" s="170">
        <f>År3</f>
        <v>2050</v>
      </c>
      <c r="J31" s="170">
        <f>År3</f>
        <v>2050</v>
      </c>
      <c r="K31" s="170">
        <f>År3</f>
        <v>2050</v>
      </c>
      <c r="L31" s="169">
        <f>År1</f>
        <v>2019</v>
      </c>
      <c r="M31" s="169">
        <f>År1</f>
        <v>2019</v>
      </c>
      <c r="N31" s="169">
        <f>År1</f>
        <v>2019</v>
      </c>
      <c r="O31" s="170">
        <f>År2</f>
        <v>2030</v>
      </c>
      <c r="P31" s="170">
        <f>År2</f>
        <v>2030</v>
      </c>
      <c r="Q31" s="170">
        <f>År2</f>
        <v>2030</v>
      </c>
      <c r="R31" s="170">
        <f>År3</f>
        <v>2050</v>
      </c>
      <c r="S31" s="170">
        <f>År3</f>
        <v>2050</v>
      </c>
      <c r="T31" s="170">
        <f>År3</f>
        <v>2050</v>
      </c>
      <c r="U31" s="53"/>
    </row>
    <row r="32" spans="1:21" x14ac:dyDescent="0.25">
      <c r="A32" s="56"/>
      <c r="B32" s="60" t="s">
        <v>29</v>
      </c>
      <c r="C32" s="29" t="str">
        <f>Jordbund1</f>
        <v>JB1-10</v>
      </c>
      <c r="D32" s="25" t="str">
        <f>Organ6</f>
        <v>OC6</v>
      </c>
      <c r="E32" s="25" t="str">
        <f>Organ12</f>
        <v>OC12</v>
      </c>
      <c r="F32" s="25" t="str">
        <f>Jordbund1</f>
        <v>JB1-10</v>
      </c>
      <c r="G32" s="25" t="str">
        <f>Organ6</f>
        <v>OC6</v>
      </c>
      <c r="H32" s="25" t="str">
        <f>Organ12</f>
        <v>OC12</v>
      </c>
      <c r="I32" s="25" t="str">
        <f>Jordbund1</f>
        <v>JB1-10</v>
      </c>
      <c r="J32" s="25" t="str">
        <f>Organ6</f>
        <v>OC6</v>
      </c>
      <c r="K32" s="30" t="str">
        <f>Organ12</f>
        <v>OC12</v>
      </c>
      <c r="L32" s="29" t="str">
        <f>Jordbund1</f>
        <v>JB1-10</v>
      </c>
      <c r="M32" s="25" t="str">
        <f>Organ6</f>
        <v>OC6</v>
      </c>
      <c r="N32" s="25" t="str">
        <f>Organ12</f>
        <v>OC12</v>
      </c>
      <c r="O32" s="25" t="str">
        <f>Jordbund1</f>
        <v>JB1-10</v>
      </c>
      <c r="P32" s="25" t="str">
        <f>Organ6</f>
        <v>OC6</v>
      </c>
      <c r="Q32" s="25" t="str">
        <f>Organ12</f>
        <v>OC12</v>
      </c>
      <c r="R32" s="25" t="str">
        <f>Jordbund1</f>
        <v>JB1-10</v>
      </c>
      <c r="S32" s="25" t="str">
        <f>Organ6</f>
        <v>OC6</v>
      </c>
      <c r="T32" s="30" t="str">
        <f>Organ12</f>
        <v>OC12</v>
      </c>
      <c r="U32" s="53"/>
    </row>
    <row r="33" spans="1:21" x14ac:dyDescent="0.25">
      <c r="A33" s="56"/>
      <c r="B33" s="41" t="str">
        <f>[1]Afgrødefordeling!C2</f>
        <v>Korn</v>
      </c>
      <c r="C33" s="35">
        <f>VLOOKUP($B33,'[1]Afgrødefordeling - jordtype'!$O$4:$R$17,MATCH(C$5,'[1]Afgrødefordeling - jordtype'!$O$3:$R$3,0),FALSE)*(1-Landbrug!$C$5)*Arealanvendelse!J$36</f>
        <v>289324.40705334052</v>
      </c>
      <c r="D33" s="35">
        <f>VLOOKUP($B33,'[1]Afgrødefordeling - jordtype'!$O$4:$R$17,MATCH(D$5,'[1]Afgrødefordeling - jordtype'!$O$3:$R$3,0),FALSE)*(1-Landbrug!$C$5)*Arealanvendelse!K$36</f>
        <v>4501.5258539517936</v>
      </c>
      <c r="E33" s="35">
        <f>VLOOKUP($B33,'[1]Afgrødefordeling - jordtype'!$O$4:$R$17,MATCH(E$5,'[1]Afgrødefordeling - jordtype'!$O$3:$R$3,0),FALSE)*(1-Landbrug!$C$5)*Arealanvendelse!L$36</f>
        <v>2405.3656764330426</v>
      </c>
      <c r="F33" s="11">
        <f>IF(Landbrug!$D$47&gt;0,SUMIF(Landbrug!$B$32:$B$45,$B33,IF($F$31=År2,Landbrug!$D$32:$D$45,Landbrug!$E$32:$E$45)),'[1]Afgrødefordeling - jordtype'!$P4)*(1-Landbrug!$D$5)*Arealanvendelse!M$36</f>
        <v>280840.49563485396</v>
      </c>
      <c r="G33" s="11">
        <f>IF($B33&lt;&gt;"Permanent græs",(1-VLOOKUP('Landbrugsareal - resultat'!G$5,Landbrug!$B$22:$E$23,MATCH('Landbrugsareal - resultat'!G$4,Landbrug!$B$21:$E$21,0),FALSE))*(VLOOKUP($B33,'[1]Afgrødefordeling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4071.7505277200084</v>
      </c>
      <c r="H33" s="11">
        <f>IF($B33&lt;&gt;"Permanent græs",(1-VLOOKUP('Landbrugsareal - resultat'!H$5,Landbrug!$B$22:$E$23,MATCH('Landbrugsareal - resultat'!H$4,Landbrug!$B$21:$E$21,0),FALSE))*(VLOOKUP($B33,'[1]Afgrødefordeling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2192.9450163594229</v>
      </c>
      <c r="I33" s="11">
        <f>IF(Landbrug!$E$47&gt;0,SUMIF(Landbrug!$B$32:$B$45,$B33,IF($I$31=År2,Landbrug!$D$32:$D$45,Landbrug!$E$32:$E$45)),'[1]Afgrødefordeling - jordtype'!$P4)*(1-Landbrug!$E$5)*Arealanvendelse!P$36</f>
        <v>265383.49594764173</v>
      </c>
      <c r="J33" s="11">
        <f>IF($B33&lt;&gt;"Permanent græs",(1-VLOOKUP(J$5,Landbrug!$B$22:$E$23,MATCH(J$4,Landbrug!$B$21:$E$21,0),FALSE))*(VLOOKUP($B33,'[1]Afgrødefordeling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3883.4614859757307</v>
      </c>
      <c r="K33" s="11">
        <f>IF($B33&lt;&gt;"Permanent græs",(1-VLOOKUP(K$5,Landbrug!$B$22:$E$23,MATCH(K$4,Landbrug!$B$21:$E$21,0),FALSE))*(VLOOKUP($B33,'[1]Afgrødefordeling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2091.5371543312413</v>
      </c>
      <c r="L33" s="35">
        <f>VLOOKUP($B33,'[1]Afgrødefordeling - jordtype'!$O$4:$R$17,MATCH(C$5,'[1]Afgrødefordeling - jordtype'!$O$3:$R$3,0),FALSE)*(Landbrug!$C$5)*Arealanvendelse!J$36</f>
        <v>36993.456805099093</v>
      </c>
      <c r="M33" s="35">
        <f>VLOOKUP($B33,'[1]Afgrødefordeling - jordtype'!$O$4:$R$17,MATCH(D$5,'[1]Afgrødefordeling - jordtype'!$O$3:$R$3,0),FALSE)*(Landbrug!$C$5)*Arealanvendelse!K$36</f>
        <v>575.57191227389683</v>
      </c>
      <c r="N33" s="35">
        <f>VLOOKUP($B33,'[1]Afgrødefordeling - jordtype'!$O$4:$R$17,MATCH(E$5,'[1]Afgrødefordeling - jordtype'!$O$3:$R$3,0),FALSE)*(Landbrug!$C$5)*Arealanvendelse!L$36</f>
        <v>307.55369779497607</v>
      </c>
      <c r="O33" s="11">
        <f>IF(Landbrug!$D$47&gt;0,SUMIF(Landbrug!$B$32:$B$45,$B33,IF($O$31=År2,Landbrug!$D$32:$D$45,Landbrug!$E$32:$E$45)),'[1]Afgrødefordeling - jordtype'!$P4)*(Landbrug!$D$5)*Arealanvendelse!M$36</f>
        <v>43830.597584630392</v>
      </c>
      <c r="P33" s="11">
        <f>IF($B33&lt;&gt;"Permanent græs",(1-VLOOKUP('Landbrugsareal - resultat'!P$5,Landbrug!$B$22:$E$23,MATCH('Landbrugsareal - resultat'!P$4,Landbrug!$B$21:$E$21,0),FALSE))*(VLOOKUP($B33,'[1]Afgrødefordeling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635.47551588693773</v>
      </c>
      <c r="Q33" s="11">
        <f>IF($B33&lt;&gt;"Permanent græs",(1-VLOOKUP('Landbrugsareal - resultat'!Q$5,Landbrug!$B$22:$E$23,MATCH('Landbrugsareal - resultat'!Q$4,Landbrug!$B$21:$E$21,0),FALSE))*(VLOOKUP($B33,'[1]Afgrødefordeling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342.25153434511225</v>
      </c>
      <c r="R33" s="11">
        <f>IF(Landbrug!$E$47&gt;0,SUMIF(Landbrug!$B$32:$B$45,$B33,IF($R$31=År2,Landbrug!$D$32:$D$45,Landbrug!$E$32:$E$45)),'[1]Afgrødefordeling - jordtype'!$P4)*(Landbrug!$E$5)*Arealanvendelse!P$36</f>
        <v>56293.468837378547</v>
      </c>
      <c r="S33" s="11">
        <f>IF($B33&lt;&gt;"Permanent græs",(1-VLOOKUP(S$5,Landbrug!$B$22:$E$23,MATCH(S$4,Landbrug!$B$21:$E$21,0),FALSE))*(VLOOKUP($B33,'[1]Afgrødefordeling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823.76455763121555</v>
      </c>
      <c r="T33" s="11">
        <f>IF($B33&lt;&gt;"Permanent græs",(1-VLOOKUP(T$5,Landbrug!$B$22:$E$23,MATCH(T$4,Landbrug!$B$21:$E$21,0),FALSE))*(VLOOKUP($B33,'[1]Afgrødefordeling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443.65939637329359</v>
      </c>
      <c r="U33" s="53"/>
    </row>
    <row r="34" spans="1:21" x14ac:dyDescent="0.25">
      <c r="A34" s="56"/>
      <c r="B34" s="41" t="str">
        <f>[1]Afgrødefordeling!C3</f>
        <v>Bælgsæd</v>
      </c>
      <c r="C34" s="35">
        <f>VLOOKUP($B34,'[1]Afgrødefordeling - jordtype'!$O$4:$R$17,MATCH(C$5,'[1]Afgrødefordeling - jordtype'!$O$3:$R$3,0),FALSE)*(1-Landbrug!$C$5)*Arealanvendelse!J$36</f>
        <v>6305.778237432175</v>
      </c>
      <c r="D34" s="35">
        <f>VLOOKUP($B34,'[1]Afgrødefordeling - jordtype'!$O$4:$R$17,MATCH(D$5,'[1]Afgrødefordeling - jordtype'!$O$3:$R$3,0),FALSE)*(1-Landbrug!$C$5)*Arealanvendelse!K$36</f>
        <v>121.72845469783576</v>
      </c>
      <c r="E34" s="35">
        <f>VLOOKUP($B34,'[1]Afgrødefordeling - jordtype'!$O$4:$R$17,MATCH(E$5,'[1]Afgrødefordeling - jordtype'!$O$3:$R$3,0),FALSE)*(1-Landbrug!$C$5)*Arealanvendelse!L$36</f>
        <v>43.689372610861462</v>
      </c>
      <c r="F34" s="11">
        <f>IF(Landbrug!$D$47&gt;0,SUMIF(Landbrug!$B$32:$B$45,$B34,IF($F$31=År2,Landbrug!$D$32:$D$45,Landbrug!$E$32:$E$45)),'[1]Afgrødefordeling - jordtype'!$P5)*(1-Landbrug!$D$5)*Arealanvendelse!M$36</f>
        <v>6120.8727725395029</v>
      </c>
      <c r="G34" s="11">
        <f>IF($B34&lt;&gt;"Permanent græs",(1-VLOOKUP('Landbrugsareal - resultat'!G$5,Landbrug!$B$22:$E$23,MATCH('Landbrugsareal - resultat'!G$4,Landbrug!$B$21:$E$21,0),FALSE))*(VLOOKUP($B34,'[1]Afgrødefordeling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110.10664288850748</v>
      </c>
      <c r="H34" s="11">
        <f>IF($B34&lt;&gt;"Permanent græs",(1-VLOOKUP('Landbrugsareal - resultat'!H$5,Landbrug!$B$22:$E$23,MATCH('Landbrugsareal - resultat'!H$4,Landbrug!$B$21:$E$21,0),FALSE))*(VLOOKUP($B34,'[1]Afgrødefordeling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39.831112946175573</v>
      </c>
      <c r="I34" s="11">
        <f>IF(Landbrug!$E$47&gt;0,SUMIF(Landbrug!$B$32:$B$45,$B34,IF($I$31=År2,Landbrug!$D$32:$D$45,Landbrug!$E$32:$E$45)),'[1]Afgrødefordeling - jordtype'!$P5)*(1-Landbrug!$E$5)*Arealanvendelse!P$36</f>
        <v>5783.9899867548611</v>
      </c>
      <c r="J34" s="11">
        <f>IF($B34&lt;&gt;"Permanent græs",(1-VLOOKUP(J$5,Landbrug!$B$22:$E$23,MATCH(J$4,Landbrug!$B$21:$E$21,0),FALSE))*(VLOOKUP($B34,'[1]Afgrødefordeling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105.01500622314298</v>
      </c>
      <c r="K34" s="11">
        <f>IF($B34&lt;&gt;"Permanent græs",(1-VLOOKUP(K$5,Landbrug!$B$22:$E$23,MATCH(K$4,Landbrug!$B$21:$E$21,0),FALSE))*(VLOOKUP($B34,'[1]Afgrødefordeling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37.989211769473805</v>
      </c>
      <c r="L34" s="35">
        <f>VLOOKUP($B34,'[1]Afgrødefordeling - jordtype'!$O$4:$R$17,MATCH(C$5,'[1]Afgrødefordeling - jordtype'!$O$3:$R$3,0),FALSE)*(Landbrug!$C$5)*Arealanvendelse!J$36</f>
        <v>806.26635417583145</v>
      </c>
      <c r="M34" s="35">
        <f>VLOOKUP($B34,'[1]Afgrødefordeling - jordtype'!$O$4:$R$17,MATCH(D$5,'[1]Afgrødefordeling - jordtype'!$O$3:$R$3,0),FALSE)*(Landbrug!$C$5)*Arealanvendelse!K$36</f>
        <v>15.564384549090725</v>
      </c>
      <c r="N34" s="35">
        <f>VLOOKUP($B34,'[1]Afgrødefordeling - jordtype'!$O$4:$R$17,MATCH(E$5,'[1]Afgrødefordeling - jordtype'!$O$3:$R$3,0),FALSE)*(Landbrug!$C$5)*Arealanvendelse!L$36</f>
        <v>5.5861893401333846</v>
      </c>
      <c r="O34" s="11">
        <f>IF(Landbrug!$D$47&gt;0,SUMIF(Landbrug!$B$32:$B$45,$B34,IF($O$31=År2,Landbrug!$D$32:$D$45,Landbrug!$E$32:$E$45)),'[1]Afgrødefordeling - jordtype'!$P5)*(Landbrug!$D$5)*Arealanvendelse!M$36</f>
        <v>955.28072172581835</v>
      </c>
      <c r="P34" s="11">
        <f>IF($B34&lt;&gt;"Permanent græs",(1-VLOOKUP('Landbrugsareal - resultat'!P$5,Landbrug!$B$22:$E$23,MATCH('Landbrugsareal - resultat'!P$4,Landbrug!$B$21:$E$21,0),FALSE))*(VLOOKUP($B34,'[1]Afgrødefordeling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17.184273745605214</v>
      </c>
      <c r="Q34" s="11">
        <f>IF($B34&lt;&gt;"Permanent græs",(1-VLOOKUP('Landbrugsareal - resultat'!Q$5,Landbrug!$B$22:$E$23,MATCH('Landbrugsareal - resultat'!Q$4,Landbrug!$B$21:$E$21,0),FALSE))*(VLOOKUP($B34,'[1]Afgrødefordeling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6.2164164713684418</v>
      </c>
      <c r="R34" s="11">
        <f>IF(Landbrug!$E$47&gt;0,SUMIF(Landbrug!$B$32:$B$45,$B34,IF($R$31=År2,Landbrug!$D$32:$D$45,Landbrug!$E$32:$E$45)),'[1]Afgrødefordeling - jordtype'!$P5)*(Landbrug!$E$5)*Arealanvendelse!P$36</f>
        <v>1226.9069668873949</v>
      </c>
      <c r="S34" s="11">
        <f>IF($B34&lt;&gt;"Permanent græs",(1-VLOOKUP(S$5,Landbrug!$B$22:$E$23,MATCH(S$4,Landbrug!$B$21:$E$21,0),FALSE))*(VLOOKUP($B34,'[1]Afgrødefordeling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22.275910410969718</v>
      </c>
      <c r="T34" s="11">
        <f>IF($B34&lt;&gt;"Permanent græs",(1-VLOOKUP(T$5,Landbrug!$B$22:$E$23,MATCH(T$4,Landbrug!$B$21:$E$21,0),FALSE))*(VLOOKUP($B34,'[1]Afgrødefordeling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8.0583176480702008</v>
      </c>
      <c r="U34" s="53"/>
    </row>
    <row r="35" spans="1:21" x14ac:dyDescent="0.25">
      <c r="A35" s="56"/>
      <c r="B35" s="41" t="str">
        <f>[1]Afgrødefordeling!C4</f>
        <v>Raps</v>
      </c>
      <c r="C35" s="35">
        <f>VLOOKUP($B35,'[1]Afgrødefordeling - jordtype'!$O$4:$R$17,MATCH(C$5,'[1]Afgrødefordeling - jordtype'!$O$3:$R$3,0),FALSE)*(1-Landbrug!$C$5)*Arealanvendelse!J$36</f>
        <v>40000.111452135221</v>
      </c>
      <c r="D35" s="35">
        <f>VLOOKUP($B35,'[1]Afgrødefordeling - jordtype'!$O$4:$R$17,MATCH(D$5,'[1]Afgrødefordeling - jordtype'!$O$3:$R$3,0),FALSE)*(1-Landbrug!$C$5)*Arealanvendelse!K$36</f>
        <v>491.68024413286827</v>
      </c>
      <c r="E35" s="35">
        <f>VLOOKUP($B35,'[1]Afgrødefordeling - jordtype'!$O$4:$R$17,MATCH(E$5,'[1]Afgrødefordeling - jordtype'!$O$3:$R$3,0),FALSE)*(1-Landbrug!$C$5)*Arealanvendelse!L$36</f>
        <v>213.41236227092585</v>
      </c>
      <c r="F35" s="11">
        <f>IF(Landbrug!$D$47&gt;0,SUMIF(Landbrug!$B$32:$B$45,$B35,IF($F$31=År2,Landbrug!$D$32:$D$45,Landbrug!$E$32:$E$45)),'[1]Afgrødefordeling - jordtype'!$P6)*(1-Landbrug!$D$5)*Arealanvendelse!M$36</f>
        <v>38827.181018281633</v>
      </c>
      <c r="G35" s="11">
        <f>IF($B35&lt;&gt;"Permanent græs",(1-VLOOKUP('Landbrugsareal - resultat'!G$5,Landbrug!$B$22:$E$23,MATCH('Landbrugsareal - resultat'!G$4,Landbrug!$B$21:$E$21,0),FALSE))*(VLOOKUP($B35,'[1]Afgrødefordeling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444.73793075296811</v>
      </c>
      <c r="H35" s="11">
        <f>IF($B35&lt;&gt;"Permanent græs",(1-VLOOKUP('Landbrugsareal - resultat'!H$5,Landbrug!$B$22:$E$23,MATCH('Landbrugsareal - resultat'!H$4,Landbrug!$B$21:$E$21,0),FALSE))*(VLOOKUP($B35,'[1]Afgrødefordeling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194.56566660813334</v>
      </c>
      <c r="I35" s="11">
        <f>IF(Landbrug!$E$47&gt;0,SUMIF(Landbrug!$B$32:$B$45,$B35,IF($I$31=År2,Landbrug!$D$32:$D$45,Landbrug!$E$32:$E$45)),'[1]Afgrødefordeling - jordtype'!$P6)*(1-Landbrug!$E$5)*Arealanvendelse!P$36</f>
        <v>36690.196736516154</v>
      </c>
      <c r="J35" s="11">
        <f>IF($B35&lt;&gt;"Permanent græs",(1-VLOOKUP(J$5,Landbrug!$B$22:$E$23,MATCH(J$4,Landbrug!$B$21:$E$21,0),FALSE))*(VLOOKUP($B35,'[1]Afgrødefordeling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424.17201487999847</v>
      </c>
      <c r="K35" s="11">
        <f>IF($B35&lt;&gt;"Permanent græs",(1-VLOOKUP(K$5,Landbrug!$B$22:$E$23,MATCH(K$4,Landbrug!$B$21:$E$21,0),FALSE))*(VLOOKUP($B35,'[1]Afgrødefordeling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185.5684103487977</v>
      </c>
      <c r="L35" s="35">
        <f>VLOOKUP($B35,'[1]Afgrødefordeling - jordtype'!$O$4:$R$17,MATCH(C$5,'[1]Afgrødefordeling - jordtype'!$O$3:$R$3,0),FALSE)*(Landbrug!$C$5)*Arealanvendelse!J$36</f>
        <v>5114.4748217902852</v>
      </c>
      <c r="M35" s="35">
        <f>VLOOKUP($B35,'[1]Afgrødefordeling - jordtype'!$O$4:$R$17,MATCH(D$5,'[1]Afgrødefordeling - jordtype'!$O$3:$R$3,0),FALSE)*(Landbrug!$C$5)*Arealanvendelse!K$36</f>
        <v>62.866980558250944</v>
      </c>
      <c r="N35" s="35">
        <f>VLOOKUP($B35,'[1]Afgrødefordeling - jordtype'!$O$4:$R$17,MATCH(E$5,'[1]Afgrødefordeling - jordtype'!$O$3:$R$3,0),FALSE)*(Landbrug!$C$5)*Arealanvendelse!L$36</f>
        <v>27.28722780684085</v>
      </c>
      <c r="O35" s="11">
        <f>IF(Landbrug!$D$47&gt;0,SUMIF(Landbrug!$B$32:$B$45,$B35,IF($O$31=År2,Landbrug!$D$32:$D$45,Landbrug!$E$32:$E$45)),'[1]Afgrødefordeling - jordtype'!$P6)*(Landbrug!$D$5)*Arealanvendelse!M$36</f>
        <v>6059.733453720256</v>
      </c>
      <c r="P35" s="11">
        <f>IF($B35&lt;&gt;"Permanent græs",(1-VLOOKUP('Landbrugsareal - resultat'!P$5,Landbrug!$B$22:$E$23,MATCH('Landbrugsareal - resultat'!P$4,Landbrug!$B$21:$E$21,0),FALSE))*(VLOOKUP($B35,'[1]Afgrødefordeling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69.409966071272493</v>
      </c>
      <c r="Q35" s="11">
        <f>IF($B35&lt;&gt;"Permanent græs",(1-VLOOKUP('Landbrugsareal - resultat'!Q$5,Landbrug!$B$22:$E$23,MATCH('Landbrugsareal - resultat'!Q$4,Landbrug!$B$21:$E$21,0),FALSE))*(VLOOKUP($B35,'[1]Afgrødefordeling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30.365739875257809</v>
      </c>
      <c r="R35" s="11">
        <f>IF(Landbrug!$E$47&gt;0,SUMIF(Landbrug!$B$32:$B$45,$B35,IF($R$31=År2,Landbrug!$D$32:$D$45,Landbrug!$E$32:$E$45)),'[1]Afgrødefordeling - jordtype'!$P6)*(Landbrug!$E$5)*Arealanvendelse!P$36</f>
        <v>7782.7690047155465</v>
      </c>
      <c r="S35" s="11">
        <f>IF($B35&lt;&gt;"Permanent græs",(1-VLOOKUP(S$5,Landbrug!$B$22:$E$23,MATCH(S$4,Landbrug!$B$21:$E$21,0),FALSE))*(VLOOKUP($B35,'[1]Afgrødefordeling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89.97588194424209</v>
      </c>
      <c r="T35" s="11">
        <f>IF($B35&lt;&gt;"Permanent græs",(1-VLOOKUP(T$5,Landbrug!$B$22:$E$23,MATCH(T$4,Landbrug!$B$21:$E$21,0),FALSE))*(VLOOKUP($B35,'[1]Afgrødefordeling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39.362996134593452</v>
      </c>
      <c r="U35" s="53"/>
    </row>
    <row r="36" spans="1:21" x14ac:dyDescent="0.25">
      <c r="A36" s="56"/>
      <c r="B36" s="41" t="str">
        <f>[1]Afgrødefordeling!C5</f>
        <v>Græs</v>
      </c>
      <c r="C36" s="35">
        <f>VLOOKUP($B36,'[1]Afgrødefordeling - jordtype'!$O$4:$R$17,MATCH(C$5,'[1]Afgrødefordeling - jordtype'!$O$3:$R$3,0),FALSE)*(1-Landbrug!$C$5)*Arealanvendelse!J$36</f>
        <v>24301.063764662133</v>
      </c>
      <c r="D36" s="35">
        <f>VLOOKUP($B36,'[1]Afgrødefordeling - jordtype'!$O$4:$R$17,MATCH(D$5,'[1]Afgrødefordeling - jordtype'!$O$3:$R$3,0),FALSE)*(1-Landbrug!$C$5)*Arealanvendelse!K$36</f>
        <v>1445.7459335058077</v>
      </c>
      <c r="E36" s="35">
        <f>VLOOKUP($B36,'[1]Afgrødefordeling - jordtype'!$O$4:$R$17,MATCH(E$5,'[1]Afgrødefordeling - jordtype'!$O$3:$R$3,0),FALSE)*(1-Landbrug!$C$5)*Arealanvendelse!L$36</f>
        <v>1568.2790703534299</v>
      </c>
      <c r="F36" s="11">
        <f>IF(Landbrug!$D$47&gt;0,SUMIF(Landbrug!$B$32:$B$45,$B36,IF($F$31=År2,Landbrug!$D$32:$D$45,Landbrug!$E$32:$E$45)),'[1]Afgrødefordeling - jordtype'!$P7)*(1-Landbrug!$D$5)*Arealanvendelse!M$36</f>
        <v>23588.479318523863</v>
      </c>
      <c r="G36" s="11">
        <f>IF($B36&lt;&gt;"Permanent græs",(1-VLOOKUP('Landbrugsareal - resultat'!G$5,Landbrug!$B$22:$E$23,MATCH('Landbrugsareal - resultat'!G$4,Landbrug!$B$21:$E$21,0),FALSE))*(VLOOKUP($B36,'[1]Afgrødefordeling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1307.7158631741513</v>
      </c>
      <c r="H36" s="11">
        <f>IF($B36&lt;&gt;"Permanent græs",(1-VLOOKUP('Landbrugsareal - resultat'!H$5,Landbrug!$B$22:$E$23,MATCH('Landbrugsareal - resultat'!H$4,Landbrug!$B$21:$E$21,0),FALSE))*(VLOOKUP($B36,'[1]Afgrødefordeling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1429.782508866725</v>
      </c>
      <c r="I36" s="11">
        <f>IF(Landbrug!$E$47&gt;0,SUMIF(Landbrug!$B$32:$B$45,$B36,IF($I$31=År2,Landbrug!$D$32:$D$45,Landbrug!$E$32:$E$45)),'[1]Afgrødefordeling - jordtype'!$P7)*(1-Landbrug!$E$5)*Arealanvendelse!P$36</f>
        <v>22290.208153519605</v>
      </c>
      <c r="J36" s="11">
        <f>IF($B36&lt;&gt;"Permanent græs",(1-VLOOKUP(J$5,Landbrug!$B$22:$E$23,MATCH(J$4,Landbrug!$B$21:$E$21,0),FALSE))*(VLOOKUP($B36,'[1]Afgrødefordeling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1247.2434533163869</v>
      </c>
      <c r="K36" s="11">
        <f>IF($B36&lt;&gt;"Permanent græs",(1-VLOOKUP(K$5,Landbrug!$B$22:$E$23,MATCH(K$4,Landbrug!$B$21:$E$21,0),FALSE))*(VLOOKUP($B36,'[1]Afgrødefordeling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1363.6653986301135</v>
      </c>
      <c r="L36" s="35">
        <f>VLOOKUP($B36,'[1]Afgrødefordeling - jordtype'!$O$4:$R$17,MATCH(C$5,'[1]Afgrødefordeling - jordtype'!$O$3:$R$3,0),FALSE)*(Landbrug!$C$5)*Arealanvendelse!J$36</f>
        <v>3107.1708116565819</v>
      </c>
      <c r="M36" s="35">
        <f>VLOOKUP($B36,'[1]Afgrødefordeling - jordtype'!$O$4:$R$17,MATCH(D$5,'[1]Afgrødefordeling - jordtype'!$O$3:$R$3,0),FALSE)*(Landbrug!$C$5)*Arealanvendelse!K$36</f>
        <v>184.85526432768077</v>
      </c>
      <c r="N36" s="35">
        <f>VLOOKUP($B36,'[1]Afgrødefordeling - jordtype'!$O$4:$R$17,MATCH(E$5,'[1]Afgrødefordeling - jordtype'!$O$3:$R$3,0),FALSE)*(Landbrug!$C$5)*Arealanvendelse!L$36</f>
        <v>200.5225367549603</v>
      </c>
      <c r="O36" s="11">
        <f>IF(Landbrug!$D$47&gt;0,SUMIF(Landbrug!$B$32:$B$45,$B36,IF($O$31=År2,Landbrug!$D$32:$D$45,Landbrug!$E$32:$E$45)),'[1]Afgrødefordeling - jordtype'!$P7)*(Landbrug!$D$5)*Arealanvendelse!M$36</f>
        <v>3681.4389687869621</v>
      </c>
      <c r="P36" s="11">
        <f>IF($B36&lt;&gt;"Permanent græs",(1-VLOOKUP('Landbrugsareal - resultat'!P$5,Landbrug!$B$22:$E$23,MATCH('Landbrugsareal - resultat'!P$4,Landbrug!$B$21:$E$21,0),FALSE))*(VLOOKUP($B36,'[1]Afgrødefordeling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204.09438326995422</v>
      </c>
      <c r="Q36" s="11">
        <f>IF($B36&lt;&gt;"Permanent græs",(1-VLOOKUP('Landbrugsareal - resultat'!Q$5,Landbrug!$B$22:$E$23,MATCH('Landbrugsareal - resultat'!Q$4,Landbrug!$B$21:$E$21,0),FALSE))*(VLOOKUP($B36,'[1]Afgrødefordeling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223.14524704856404</v>
      </c>
      <c r="R36" s="11">
        <f>IF(Landbrug!$E$47&gt;0,SUMIF(Landbrug!$B$32:$B$45,$B36,IF($R$31=År2,Landbrug!$D$32:$D$45,Landbrug!$E$32:$E$45)),'[1]Afgrødefordeling - jordtype'!$P7)*(Landbrug!$E$5)*Arealanvendelse!P$36</f>
        <v>4728.2259719587037</v>
      </c>
      <c r="S36" s="11">
        <f>IF($B36&lt;&gt;"Permanent græs",(1-VLOOKUP(S$5,Landbrug!$B$22:$E$23,MATCH(S$4,Landbrug!$B$21:$E$21,0),FALSE))*(VLOOKUP($B36,'[1]Afgrødefordeling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264.56679312771843</v>
      </c>
      <c r="T36" s="11">
        <f>IF($B36&lt;&gt;"Permanent græs",(1-VLOOKUP(T$5,Landbrug!$B$22:$E$23,MATCH(T$4,Landbrug!$B$21:$E$21,0),FALSE))*(VLOOKUP($B36,'[1]Afgrødefordeling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289.2623572851756</v>
      </c>
      <c r="U36" s="53"/>
    </row>
    <row r="37" spans="1:21" x14ac:dyDescent="0.25">
      <c r="A37" s="56"/>
      <c r="B37" s="41" t="str">
        <f>[1]Afgrødefordeling!C6</f>
        <v>Grøntsager</v>
      </c>
      <c r="C37" s="35">
        <f>VLOOKUP($B37,'[1]Afgrødefordeling - jordtype'!$O$4:$R$17,MATCH(C$5,'[1]Afgrødefordeling - jordtype'!$O$3:$R$3,0),FALSE)*(1-Landbrug!$C$5)*Arealanvendelse!J$36</f>
        <v>3807.9830483618994</v>
      </c>
      <c r="D37" s="35">
        <f>VLOOKUP($B37,'[1]Afgrødefordeling - jordtype'!$O$4:$R$17,MATCH(D$5,'[1]Afgrødefordeling - jordtype'!$O$3:$R$3,0),FALSE)*(1-Landbrug!$C$5)*Arealanvendelse!K$36</f>
        <v>27.380862281417578</v>
      </c>
      <c r="E37" s="35">
        <f>VLOOKUP($B37,'[1]Afgrødefordeling - jordtype'!$O$4:$R$17,MATCH(E$5,'[1]Afgrødefordeling - jordtype'!$O$3:$R$3,0),FALSE)*(1-Landbrug!$C$5)*Arealanvendelse!L$36</f>
        <v>7.3812605655971391</v>
      </c>
      <c r="F37" s="11">
        <f>IF(Landbrug!$D$47&gt;0,SUMIF(Landbrug!$B$32:$B$45,$B37,IF($F$31=År2,Landbrug!$D$32:$D$45,Landbrug!$E$32:$E$45)),'[1]Afgrødefordeling - jordtype'!$P8)*(1-Landbrug!$D$5)*Arealanvendelse!M$36</f>
        <v>3696.3208792610235</v>
      </c>
      <c r="G37" s="11">
        <f>IF($B37&lt;&gt;"Permanent græs",(1-VLOOKUP('Landbrugsareal - resultat'!G$5,Landbrug!$B$22:$E$23,MATCH('Landbrugsareal - resultat'!G$4,Landbrug!$B$21:$E$21,0),FALSE))*(VLOOKUP($B37,'[1]Afgrødefordeling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24.766722231733471</v>
      </c>
      <c r="H37" s="11">
        <f>IF($B37&lt;&gt;"Permanent græs",(1-VLOOKUP('Landbrugsareal - resultat'!H$5,Landbrug!$B$22:$E$23,MATCH('Landbrugsareal - resultat'!H$4,Landbrug!$B$21:$E$21,0),FALSE))*(VLOOKUP($B37,'[1]Afgrødefordeling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6.7294128000446527</v>
      </c>
      <c r="I37" s="11">
        <f>IF(Landbrug!$E$47&gt;0,SUMIF(Landbrug!$B$32:$B$45,$B37,IF($I$31=År2,Landbrug!$D$32:$D$45,Landbrug!$E$32:$E$45)),'[1]Afgrødefordeling - jordtype'!$P8)*(1-Landbrug!$E$5)*Arealanvendelse!P$36</f>
        <v>3492.8814481155277</v>
      </c>
      <c r="J37" s="11">
        <f>IF($B37&lt;&gt;"Permanent græs",(1-VLOOKUP(J$5,Landbrug!$B$22:$E$23,MATCH(J$4,Landbrug!$B$21:$E$21,0),FALSE))*(VLOOKUP($B37,'[1]Afgrødefordeling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23.621440278820938</v>
      </c>
      <c r="K37" s="11">
        <f>IF($B37&lt;&gt;"Permanent græs",(1-VLOOKUP(K$5,Landbrug!$B$22:$E$23,MATCH(K$4,Landbrug!$B$21:$E$21,0),FALSE))*(VLOOKUP($B37,'[1]Afgrødefordeling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6.4182260809674432</v>
      </c>
      <c r="L37" s="35">
        <f>VLOOKUP($B37,'[1]Afgrødefordeling - jordtype'!$O$4:$R$17,MATCH(C$5,'[1]Afgrødefordeling - jordtype'!$O$3:$R$3,0),FALSE)*(Landbrug!$C$5)*Arealanvendelse!J$36</f>
        <v>486.89447893054626</v>
      </c>
      <c r="M37" s="35">
        <f>VLOOKUP($B37,'[1]Afgrødefordeling - jordtype'!$O$4:$R$17,MATCH(D$5,'[1]Afgrødefordeling - jordtype'!$O$3:$R$3,0),FALSE)*(Landbrug!$C$5)*Arealanvendelse!K$36</f>
        <v>3.5009585136978965</v>
      </c>
      <c r="N37" s="35">
        <f>VLOOKUP($B37,'[1]Afgrødefordeling - jordtype'!$O$4:$R$17,MATCH(E$5,'[1]Afgrødefordeling - jordtype'!$O$3:$R$3,0),FALSE)*(Landbrug!$C$5)*Arealanvendelse!L$36</f>
        <v>0.94377915324045725</v>
      </c>
      <c r="O37" s="11">
        <f>IF(Landbrug!$D$47&gt;0,SUMIF(Landbrug!$B$32:$B$45,$B37,IF($O$31=År2,Landbrug!$D$32:$D$45,Landbrug!$E$32:$E$45)),'[1]Afgrødefordeling - jordtype'!$P8)*(Landbrug!$D$5)*Arealanvendelse!M$36</f>
        <v>576.88244936443721</v>
      </c>
      <c r="P37" s="11">
        <f>IF($B37&lt;&gt;"Permanent græs",(1-VLOOKUP('Landbrugsareal - resultat'!P$5,Landbrug!$B$22:$E$23,MATCH('Landbrugsareal - resultat'!P$4,Landbrug!$B$21:$E$21,0),FALSE))*(VLOOKUP($B37,'[1]Afgrødefordeling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3.86532659107979</v>
      </c>
      <c r="Q37" s="11">
        <f>IF($B37&lt;&gt;"Permanent græs",(1-VLOOKUP('Landbrugsareal - resultat'!Q$5,Landbrug!$B$22:$E$23,MATCH('Landbrugsareal - resultat'!Q$4,Landbrug!$B$21:$E$21,0),FALSE))*(VLOOKUP($B37,'[1]Afgrødefordeling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1.0502551768855817</v>
      </c>
      <c r="R37" s="11">
        <f>IF(Landbrug!$E$47&gt;0,SUMIF(Landbrug!$B$32:$B$45,$B37,IF($R$31=År2,Landbrug!$D$32:$D$45,Landbrug!$E$32:$E$45)),'[1]Afgrødefordeling - jordtype'!$P8)*(Landbrug!$E$5)*Arealanvendelse!P$36</f>
        <v>740.91424656996037</v>
      </c>
      <c r="S37" s="11">
        <f>IF($B37&lt;&gt;"Permanent græs",(1-VLOOKUP(S$5,Landbrug!$B$22:$E$23,MATCH(S$4,Landbrug!$B$21:$E$21,0),FALSE))*(VLOOKUP($B37,'[1]Afgrødefordeling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5.01060854399232</v>
      </c>
      <c r="T37" s="11">
        <f>IF($B37&lt;&gt;"Permanent græs",(1-VLOOKUP(T$5,Landbrug!$B$22:$E$23,MATCH(T$4,Landbrug!$B$21:$E$21,0),FALSE))*(VLOOKUP($B37,'[1]Afgrødefordeling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1.361441895962791</v>
      </c>
      <c r="U37" s="53"/>
    </row>
    <row r="38" spans="1:21" x14ac:dyDescent="0.25">
      <c r="A38" s="56"/>
      <c r="B38" s="41" t="str">
        <f>[1]Afgrødefordeling!C7</f>
        <v>Kartofler</v>
      </c>
      <c r="C38" s="35">
        <f>VLOOKUP($B38,'[1]Afgrødefordeling - jordtype'!$O$4:$R$17,MATCH(C$5,'[1]Afgrødefordeling - jordtype'!$O$3:$R$3,0),FALSE)*(1-Landbrug!$C$5)*Arealanvendelse!J$36</f>
        <v>2442.8304745575424</v>
      </c>
      <c r="D38" s="35">
        <f>VLOOKUP($B38,'[1]Afgrødefordeling - jordtype'!$O$4:$R$17,MATCH(D$5,'[1]Afgrødefordeling - jordtype'!$O$3:$R$3,0),FALSE)*(1-Landbrug!$C$5)*Arealanvendelse!K$36</f>
        <v>46.549971840812717</v>
      </c>
      <c r="E38" s="35">
        <f>VLOOKUP($B38,'[1]Afgrødefordeling - jordtype'!$O$4:$R$17,MATCH(E$5,'[1]Afgrødefordeling - jordtype'!$O$3:$R$3,0),FALSE)*(1-Landbrug!$C$5)*Arealanvendelse!L$36</f>
        <v>42.07230469683256</v>
      </c>
      <c r="F38" s="11">
        <f>IF(Landbrug!$D$47&gt;0,SUMIF(Landbrug!$B$32:$B$45,$B38,IF($F$31=År2,Landbrug!$D$32:$D$45,Landbrug!$E$32:$E$45)),'[1]Afgrødefordeling - jordtype'!$P9)*(1-Landbrug!$D$5)*Arealanvendelse!M$36</f>
        <v>2371.1989189359497</v>
      </c>
      <c r="G38" s="11">
        <f>IF($B38&lt;&gt;"Permanent græs",(1-VLOOKUP('Landbrugsareal - resultat'!G$5,Landbrug!$B$22:$E$23,MATCH('Landbrugsareal - resultat'!G$4,Landbrug!$B$21:$E$21,0),FALSE))*(VLOOKUP($B38,'[1]Afgrødefordeling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42.105694503961956</v>
      </c>
      <c r="H38" s="11">
        <f>IF($B38&lt;&gt;"Permanent græs",(1-VLOOKUP('Landbrugsareal - resultat'!H$5,Landbrug!$B$22:$E$23,MATCH('Landbrugsareal - resultat'!H$4,Landbrug!$B$21:$E$21,0),FALSE))*(VLOOKUP($B38,'[1]Afgrødefordeling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38.356850193560312</v>
      </c>
      <c r="I38" s="11">
        <f>IF(Landbrug!$E$47&gt;0,SUMIF(Landbrug!$B$32:$B$45,$B38,IF($I$31=År2,Landbrug!$D$32:$D$45,Landbrug!$E$32:$E$45)),'[1]Afgrødefordeling - jordtype'!$P9)*(1-Landbrug!$E$5)*Arealanvendelse!P$36</f>
        <v>2240.6920243890713</v>
      </c>
      <c r="J38" s="11">
        <f>IF($B38&lt;&gt;"Permanent græs",(1-VLOOKUP(J$5,Landbrug!$B$22:$E$23,MATCH(J$4,Landbrug!$B$21:$E$21,0),FALSE))*(VLOOKUP($B38,'[1]Afgrødefordeling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40.158610365050421</v>
      </c>
      <c r="K38" s="11">
        <f>IF($B38&lt;&gt;"Permanent græs",(1-VLOOKUP(K$5,Landbrug!$B$22:$E$23,MATCH(K$4,Landbrug!$B$21:$E$21,0),FALSE))*(VLOOKUP($B38,'[1]Afgrødefordeling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36.583123016979485</v>
      </c>
      <c r="L38" s="35">
        <f>VLOOKUP($B38,'[1]Afgrødefordeling - jordtype'!$O$4:$R$17,MATCH(C$5,'[1]Afgrødefordeling - jordtype'!$O$3:$R$3,0),FALSE)*(Landbrug!$C$5)*Arealanvendelse!J$36</f>
        <v>312.34400361551104</v>
      </c>
      <c r="M38" s="35">
        <f>VLOOKUP($B38,'[1]Afgrødefordeling - jordtype'!$O$4:$R$17,MATCH(D$5,'[1]Afgrødefordeling - jordtype'!$O$3:$R$3,0),FALSE)*(Landbrug!$C$5)*Arealanvendelse!K$36</f>
        <v>5.9519498894339895</v>
      </c>
      <c r="N38" s="35">
        <f>VLOOKUP($B38,'[1]Afgrødefordeling - jordtype'!$O$4:$R$17,MATCH(E$5,'[1]Afgrødefordeling - jordtype'!$O$3:$R$3,0),FALSE)*(Landbrug!$C$5)*Arealanvendelse!L$36</f>
        <v>5.3794285879459229</v>
      </c>
      <c r="O38" s="11">
        <f>IF(Landbrug!$D$47&gt;0,SUMIF(Landbrug!$B$32:$B$45,$B38,IF($O$31=År2,Landbrug!$D$32:$D$45,Landbrug!$E$32:$E$45)),'[1]Afgrødefordeling - jordtype'!$P9)*(Landbrug!$D$5)*Arealanvendelse!M$36</f>
        <v>370.07150757959914</v>
      </c>
      <c r="P38" s="11">
        <f>IF($B38&lt;&gt;"Permanent græs",(1-VLOOKUP('Landbrugsareal - resultat'!P$5,Landbrug!$B$22:$E$23,MATCH('Landbrugsareal - resultat'!P$4,Landbrug!$B$21:$E$21,0),FALSE))*(VLOOKUP($B38,'[1]Afgrødefordeling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6.5714089688264332</v>
      </c>
      <c r="Q38" s="11">
        <f>IF($B38&lt;&gt;"Permanent græs",(1-VLOOKUP('Landbrugsareal - resultat'!Q$5,Landbrug!$B$22:$E$23,MATCH('Landbrugsareal - resultat'!Q$4,Landbrug!$B$21:$E$21,0),FALSE))*(VLOOKUP($B38,'[1]Afgrødefordeling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5.9863292209602808</v>
      </c>
      <c r="R38" s="11">
        <f>IF(Landbrug!$E$47&gt;0,SUMIF(Landbrug!$B$32:$B$45,$B38,IF($R$31=År2,Landbrug!$D$32:$D$45,Landbrug!$E$32:$E$45)),'[1]Afgrødefordeling - jordtype'!$P9)*(Landbrug!$E$5)*Arealanvendelse!P$36</f>
        <v>475.29830820374241</v>
      </c>
      <c r="S38" s="11">
        <f>IF($B38&lt;&gt;"Permanent græs",(1-VLOOKUP(S$5,Landbrug!$B$22:$E$23,MATCH(S$4,Landbrug!$B$21:$E$21,0),FALSE))*(VLOOKUP($B38,'[1]Afgrødefordeling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8.5184931077379673</v>
      </c>
      <c r="T38" s="11">
        <f>IF($B38&lt;&gt;"Permanent græs",(1-VLOOKUP(T$5,Landbrug!$B$22:$E$23,MATCH(T$4,Landbrug!$B$21:$E$21,0),FALSE))*(VLOOKUP($B38,'[1]Afgrødefordeling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7.7600563975411037</v>
      </c>
      <c r="U38" s="53"/>
    </row>
    <row r="39" spans="1:21" x14ac:dyDescent="0.25">
      <c r="A39" s="56"/>
      <c r="B39" s="41" t="str">
        <f>[1]Afgrødefordeling!C8</f>
        <v>Roer</v>
      </c>
      <c r="C39" s="35">
        <f>VLOOKUP($B39,'[1]Afgrødefordeling - jordtype'!$O$4:$R$17,MATCH(C$5,'[1]Afgrødefordeling - jordtype'!$O$3:$R$3,0),FALSE)*(1-Landbrug!$C$5)*Arealanvendelse!J$36</f>
        <v>25394.708101233733</v>
      </c>
      <c r="D39" s="35">
        <f>VLOOKUP($B39,'[1]Afgrødefordeling - jordtype'!$O$4:$R$17,MATCH(D$5,'[1]Afgrødefordeling - jordtype'!$O$3:$R$3,0),FALSE)*(1-Landbrug!$C$5)*Arealanvendelse!K$36</f>
        <v>130.05082769586514</v>
      </c>
      <c r="E39" s="35">
        <f>VLOOKUP($B39,'[1]Afgrødefordeling - jordtype'!$O$4:$R$17,MATCH(E$5,'[1]Afgrødefordeling - jordtype'!$O$3:$R$3,0),FALSE)*(1-Landbrug!$C$5)*Arealanvendelse!L$36</f>
        <v>48.449860161125741</v>
      </c>
      <c r="F39" s="11">
        <f>IF(Landbrug!$D$47&gt;0,SUMIF(Landbrug!$B$32:$B$45,$B39,IF($F$31=År2,Landbrug!$D$32:$D$45,Landbrug!$E$32:$E$45)),'[1]Afgrødefordeling - jordtype'!$P10)*(1-Landbrug!$D$5)*Arealanvendelse!M$36</f>
        <v>24650.054526295378</v>
      </c>
      <c r="G39" s="11">
        <f>IF($B39&lt;&gt;"Permanent græs",(1-VLOOKUP('Landbrugsareal - resultat'!G$5,Landbrug!$B$22:$E$23,MATCH('Landbrugsareal - resultat'!G$4,Landbrug!$B$21:$E$21,0),FALSE))*(VLOOKUP($B39,'[1]Afgrødefordeling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117.634451846188</v>
      </c>
      <c r="H39" s="11">
        <f>IF($B39&lt;&gt;"Permanent græs",(1-VLOOKUP('Landbrugsareal - resultat'!H$5,Landbrug!$B$22:$E$23,MATCH('Landbrugsareal - resultat'!H$4,Landbrug!$B$21:$E$21,0),FALSE))*(VLOOKUP($B39,'[1]Afgrødefordeling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44.171196265346403</v>
      </c>
      <c r="I39" s="11">
        <f>IF(Landbrug!$E$47&gt;0,SUMIF(Landbrug!$B$32:$B$45,$B39,IF($I$31=År2,Landbrug!$D$32:$D$45,Landbrug!$E$32:$E$45)),'[1]Afgrødefordeling - jordtype'!$P10)*(1-Landbrug!$E$5)*Arealanvendelse!P$36</f>
        <v>23293.356005160073</v>
      </c>
      <c r="J39" s="11">
        <f>IF($B39&lt;&gt;"Permanent græs",(1-VLOOKUP(J$5,Landbrug!$B$22:$E$23,MATCH(J$4,Landbrug!$B$21:$E$21,0),FALSE))*(VLOOKUP($B39,'[1]Afgrødefordeling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112.19470840821398</v>
      </c>
      <c r="K39" s="11">
        <f>IF($B39&lt;&gt;"Permanent græs",(1-VLOOKUP(K$5,Landbrug!$B$22:$E$23,MATCH(K$4,Landbrug!$B$21:$E$21,0),FALSE))*(VLOOKUP($B39,'[1]Afgrødefordeling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42.128597594116513</v>
      </c>
      <c r="L39" s="35">
        <f>VLOOKUP($B39,'[1]Afgrødefordeling - jordtype'!$O$4:$R$17,MATCH(C$5,'[1]Afgrødefordeling - jordtype'!$O$3:$R$3,0),FALSE)*(Landbrug!$C$5)*Arealanvendelse!J$36</f>
        <v>3247.0058326185153</v>
      </c>
      <c r="M39" s="35">
        <f>VLOOKUP($B39,'[1]Afgrødefordeling - jordtype'!$O$4:$R$17,MATCH(D$5,'[1]Afgrødefordeling - jordtype'!$O$3:$R$3,0),FALSE)*(Landbrug!$C$5)*Arealanvendelse!K$36</f>
        <v>16.628495763053266</v>
      </c>
      <c r="N39" s="35">
        <f>VLOOKUP($B39,'[1]Afgrødefordeling - jordtype'!$O$4:$R$17,MATCH(E$5,'[1]Afgrødefordeling - jordtype'!$O$3:$R$3,0),FALSE)*(Landbrug!$C$5)*Arealanvendelse!L$36</f>
        <v>6.1948724870392953</v>
      </c>
      <c r="O39" s="11">
        <f>IF(Landbrug!$D$47&gt;0,SUMIF(Landbrug!$B$32:$B$45,$B39,IF($O$31=År2,Landbrug!$D$32:$D$45,Landbrug!$E$32:$E$45)),'[1]Afgrødefordeling - jordtype'!$P10)*(Landbrug!$D$5)*Arealanvendelse!M$36</f>
        <v>3847.1183364738454</v>
      </c>
      <c r="P39" s="11">
        <f>IF($B39&lt;&gt;"Permanent græs",(1-VLOOKUP('Landbrugsareal - resultat'!P$5,Landbrug!$B$22:$E$23,MATCH('Landbrugsareal - resultat'!P$4,Landbrug!$B$21:$E$21,0),FALSE))*(VLOOKUP($B39,'[1]Afgrødefordeling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18.35913410316229</v>
      </c>
      <c r="Q39" s="11">
        <f>IF($B39&lt;&gt;"Permanent græs",(1-VLOOKUP('Landbrugsareal - resultat'!Q$5,Landbrug!$B$22:$E$23,MATCH('Landbrugsareal - resultat'!Q$4,Landbrug!$B$21:$E$21,0),FALSE))*(VLOOKUP($B39,'[1]Afgrødefordeling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6.8937705154008846</v>
      </c>
      <c r="R39" s="11">
        <f>IF(Landbrug!$E$47&gt;0,SUMIF(Landbrug!$B$32:$B$45,$B39,IF($R$31=År2,Landbrug!$D$32:$D$45,Landbrug!$E$32:$E$45)),'[1]Afgrødefordeling - jordtype'!$P10)*(Landbrug!$E$5)*Arealanvendelse!P$36</f>
        <v>4941.0149101854695</v>
      </c>
      <c r="S39" s="11">
        <f>IF($B39&lt;&gt;"Permanent græs",(1-VLOOKUP(S$5,Landbrug!$B$22:$E$23,MATCH(S$4,Landbrug!$B$21:$E$21,0),FALSE))*(VLOOKUP($B39,'[1]Afgrødefordeling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23.798877541136303</v>
      </c>
      <c r="T39" s="11">
        <f>IF($B39&lt;&gt;"Permanent græs",(1-VLOOKUP(T$5,Landbrug!$B$22:$E$23,MATCH(T$4,Landbrug!$B$21:$E$21,0),FALSE))*(VLOOKUP($B39,'[1]Afgrødefordeling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8.9363691866307757</v>
      </c>
      <c r="U39" s="53"/>
    </row>
    <row r="40" spans="1:21" x14ac:dyDescent="0.25">
      <c r="A40" s="56"/>
      <c r="B40" s="41" t="str">
        <f>[1]Afgrødefordeling!C9</f>
        <v>Majs</v>
      </c>
      <c r="C40" s="35">
        <f>VLOOKUP($B40,'[1]Afgrødefordeling - jordtype'!$O$4:$R$17,MATCH(C$5,'[1]Afgrødefordeling - jordtype'!$O$3:$R$3,0),FALSE)*(1-Landbrug!$C$5)*Arealanvendelse!J$36</f>
        <v>7182.5684723440072</v>
      </c>
      <c r="D40" s="35">
        <f>VLOOKUP($B40,'[1]Afgrødefordeling - jordtype'!$O$4:$R$17,MATCH(D$5,'[1]Afgrødefordeling - jordtype'!$O$3:$R$3,0),FALSE)*(1-Landbrug!$C$5)*Arealanvendelse!K$36</f>
        <v>138.65425138323147</v>
      </c>
      <c r="E40" s="35">
        <f>VLOOKUP($B40,'[1]Afgrødefordeling - jordtype'!$O$4:$R$17,MATCH(E$5,'[1]Afgrødefordeling - jordtype'!$O$3:$R$3,0),FALSE)*(1-Landbrug!$C$5)*Arealanvendelse!L$36</f>
        <v>49.764184288702324</v>
      </c>
      <c r="F40" s="11">
        <f>IF(Landbrug!$D$47&gt;0,SUMIF(Landbrug!$B$32:$B$45,$B40,IF($F$31=År2,Landbrug!$D$32:$D$45,Landbrug!$E$32:$E$45)),'[1]Afgrødefordeling - jordtype'!$P11)*(1-Landbrug!$D$5)*Arealanvendelse!M$36</f>
        <v>6971.9527303221239</v>
      </c>
      <c r="G40" s="11">
        <f>IF($B40&lt;&gt;"Permanent græs",(1-VLOOKUP('Landbrugsareal - resultat'!G$5,Landbrug!$B$22:$E$23,MATCH('Landbrugsareal - resultat'!G$4,Landbrug!$B$21:$E$21,0),FALSE))*(VLOOKUP($B40,'[1]Afgrødefordeling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125.41647866904403</v>
      </c>
      <c r="H40" s="11">
        <f>IF($B40&lt;&gt;"Permanent græs",(1-VLOOKUP('Landbrugsareal - resultat'!H$5,Landbrug!$B$22:$E$23,MATCH('Landbrugsareal - resultat'!H$4,Landbrug!$B$21:$E$21,0),FALSE))*(VLOOKUP($B40,'[1]Afgrødefordeling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45.369450889867416</v>
      </c>
      <c r="I40" s="11">
        <f>IF(Landbrug!$E$47&gt;0,SUMIF(Landbrug!$B$32:$B$45,$B40,IF($I$31=År2,Landbrug!$D$32:$D$45,Landbrug!$E$32:$E$45)),'[1]Afgrødefordeling - jordtype'!$P11)*(1-Landbrug!$E$5)*Arealanvendelse!P$36</f>
        <v>6588.2279012933241</v>
      </c>
      <c r="J40" s="11">
        <f>IF($B40&lt;&gt;"Permanent græs",(1-VLOOKUP(J$5,Landbrug!$B$22:$E$23,MATCH(J$4,Landbrug!$B$21:$E$21,0),FALSE))*(VLOOKUP($B40,'[1]Afgrødefordeling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119.61687271903044</v>
      </c>
      <c r="K40" s="11">
        <f>IF($B40&lt;&gt;"Permanent græs",(1-VLOOKUP(K$5,Landbrug!$B$22:$E$23,MATCH(K$4,Landbrug!$B$21:$E$21,0),FALSE))*(VLOOKUP($B40,'[1]Afgrødefordeling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43.271441600162568</v>
      </c>
      <c r="L40" s="35">
        <f>VLOOKUP($B40,'[1]Afgrødefordeling - jordtype'!$O$4:$R$17,MATCH(C$5,'[1]Afgrødefordeling - jordtype'!$O$3:$R$3,0),FALSE)*(Landbrug!$C$5)*Arealanvendelse!J$36</f>
        <v>918.37408132089615</v>
      </c>
      <c r="M40" s="35">
        <f>VLOOKUP($B40,'[1]Afgrødefordeling - jordtype'!$O$4:$R$17,MATCH(D$5,'[1]Afgrødefordeling - jordtype'!$O$3:$R$3,0),FALSE)*(Landbrug!$C$5)*Arealanvendelse!K$36</f>
        <v>17.728542543744936</v>
      </c>
      <c r="N40" s="35">
        <f>VLOOKUP($B40,'[1]Afgrødefordeling - jordtype'!$O$4:$R$17,MATCH(E$5,'[1]Afgrødefordeling - jordtype'!$O$3:$R$3,0),FALSE)*(Landbrug!$C$5)*Arealanvendelse!L$36</f>
        <v>6.3629239602509546</v>
      </c>
      <c r="O40" s="11">
        <f>IF(Landbrug!$D$47&gt;0,SUMIF(Landbrug!$B$32:$B$45,$B40,IF($O$31=År2,Landbrug!$D$32:$D$45,Landbrug!$E$32:$E$45)),'[1]Afgrødefordeling - jordtype'!$P11)*(Landbrug!$D$5)*Arealanvendelse!M$36</f>
        <v>1088.1082295878459</v>
      </c>
      <c r="P40" s="11">
        <f>IF($B40&lt;&gt;"Permanent græs",(1-VLOOKUP('Landbrugsareal - resultat'!P$5,Landbrug!$B$22:$E$23,MATCH('Landbrugsareal - resultat'!P$4,Landbrug!$B$21:$E$21,0),FALSE))*(VLOOKUP($B40,'[1]Afgrødefordeling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19.573670081295891</v>
      </c>
      <c r="Q40" s="11">
        <f>IF($B40&lt;&gt;"Permanent græs",(1-VLOOKUP('Landbrugsareal - resultat'!Q$5,Landbrug!$B$22:$E$23,MATCH('Landbrugsareal - resultat'!Q$4,Landbrug!$B$21:$E$21,0),FALSE))*(VLOOKUP($B40,'[1]Afgrødefordeling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7.080781352753875</v>
      </c>
      <c r="R40" s="11">
        <f>IF(Landbrug!$E$47&gt;0,SUMIF(Landbrug!$B$32:$B$45,$B40,IF($R$31=År2,Landbrug!$D$32:$D$45,Landbrug!$E$32:$E$45)),'[1]Afgrødefordeling - jordtype'!$P11)*(Landbrug!$E$5)*Arealanvendelse!P$36</f>
        <v>1397.5028881531293</v>
      </c>
      <c r="S40" s="11">
        <f>IF($B40&lt;&gt;"Permanent græs",(1-VLOOKUP(S$5,Landbrug!$B$22:$E$23,MATCH(S$4,Landbrug!$B$21:$E$21,0),FALSE))*(VLOOKUP($B40,'[1]Afgrødefordeling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25.373276031309484</v>
      </c>
      <c r="T40" s="11">
        <f>IF($B40&lt;&gt;"Permanent græs",(1-VLOOKUP(T$5,Landbrug!$B$22:$E$23,MATCH(T$4,Landbrug!$B$21:$E$21,0),FALSE))*(VLOOKUP($B40,'[1]Afgrødefordeling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9.1787906424587256</v>
      </c>
      <c r="U40" s="53"/>
    </row>
    <row r="41" spans="1:21" x14ac:dyDescent="0.25">
      <c r="A41" s="56"/>
      <c r="B41" s="41" t="str">
        <f>[1]Afgrødefordeling!C10</f>
        <v>Frugt</v>
      </c>
      <c r="C41" s="35">
        <f>VLOOKUP($B41,'[1]Afgrødefordeling - jordtype'!$O$4:$R$17,MATCH(C$5,'[1]Afgrødefordeling - jordtype'!$O$3:$R$3,0),FALSE)*(1-Landbrug!$C$5)*Arealanvendelse!J$36</f>
        <v>1671.2488811855812</v>
      </c>
      <c r="D41" s="35">
        <f>VLOOKUP($B41,'[1]Afgrødefordeling - jordtype'!$O$4:$R$17,MATCH(D$5,'[1]Afgrødefordeling - jordtype'!$O$3:$R$3,0),FALSE)*(1-Landbrug!$C$5)*Arealanvendelse!K$36</f>
        <v>29.910572274561464</v>
      </c>
      <c r="E41" s="35">
        <f>VLOOKUP($B41,'[1]Afgrødefordeling - jordtype'!$O$4:$R$17,MATCH(E$5,'[1]Afgrødefordeling - jordtype'!$O$3:$R$3,0),FALSE)*(1-Landbrug!$C$5)*Arealanvendelse!L$36</f>
        <v>18.058201878591998</v>
      </c>
      <c r="F41" s="11">
        <f>IF(Landbrug!$D$47&gt;0,SUMIF(Landbrug!$B$32:$B$45,$B41,IF($F$31=År2,Landbrug!$D$32:$D$45,Landbrug!$E$32:$E$45)),'[1]Afgrødefordeling - jordtype'!$P12)*(1-Landbrug!$D$5)*Arealanvendelse!M$36</f>
        <v>1622.2425508499273</v>
      </c>
      <c r="G41" s="11">
        <f>IF($B41&lt;&gt;"Permanent græs",(1-VLOOKUP('Landbrugsareal - resultat'!G$5,Landbrug!$B$22:$E$23,MATCH('Landbrugsareal - resultat'!G$4,Landbrug!$B$21:$E$21,0),FALSE))*(VLOOKUP($B41,'[1]Afgrødefordeling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27.054912577351441</v>
      </c>
      <c r="H41" s="11">
        <f>IF($B41&lt;&gt;"Permanent græs",(1-VLOOKUP('Landbrugsareal - resultat'!H$5,Landbrug!$B$22:$E$23,MATCH('Landbrugsareal - resultat'!H$4,Landbrug!$B$21:$E$21,0),FALSE))*(VLOOKUP($B41,'[1]Afgrødefordeling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16.463460920750791</v>
      </c>
      <c r="I41" s="11">
        <f>IF(Landbrug!$E$47&gt;0,SUMIF(Landbrug!$B$32:$B$45,$B41,IF($I$31=År2,Landbrug!$D$32:$D$45,Landbrug!$E$32:$E$45)),'[1]Afgrødefordeling - jordtype'!$P12)*(1-Landbrug!$E$5)*Arealanvendelse!P$36</f>
        <v>1532.9569848763078</v>
      </c>
      <c r="J41" s="11">
        <f>IF($B41&lt;&gt;"Permanent græs",(1-VLOOKUP(J$5,Landbrug!$B$22:$E$23,MATCH(J$4,Landbrug!$B$21:$E$21,0),FALSE))*(VLOOKUP($B41,'[1]Afgrødefordeling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25.803818354121319</v>
      </c>
      <c r="K41" s="11">
        <f>IF($B41&lt;&gt;"Permanent græs",(1-VLOOKUP(K$5,Landbrug!$B$22:$E$23,MATCH(K$4,Landbrug!$B$21:$E$21,0),FALSE))*(VLOOKUP($B41,'[1]Afgrødefordeling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15.702144808808558</v>
      </c>
      <c r="L41" s="35">
        <f>VLOOKUP($B41,'[1]Afgrødefordeling - jordtype'!$O$4:$R$17,MATCH(C$5,'[1]Afgrødefordeling - jordtype'!$O$3:$R$3,0),FALSE)*(Landbrug!$C$5)*Arealanvendelse!J$36</f>
        <v>213.68841269347433</v>
      </c>
      <c r="M41" s="35">
        <f>VLOOKUP($B41,'[1]Afgrødefordeling - jordtype'!$O$4:$R$17,MATCH(D$5,'[1]Afgrødefordeling - jordtype'!$O$3:$R$3,0),FALSE)*(Landbrug!$C$5)*Arealanvendelse!K$36</f>
        <v>3.8244110641201035</v>
      </c>
      <c r="N41" s="35">
        <f>VLOOKUP($B41,'[1]Afgrødefordeling - jordtype'!$O$4:$R$17,MATCH(E$5,'[1]Afgrødefordeling - jordtype'!$O$3:$R$3,0),FALSE)*(Landbrug!$C$5)*Arealanvendelse!L$36</f>
        <v>2.308949037439112</v>
      </c>
      <c r="O41" s="11">
        <f>IF(Landbrug!$D$47&gt;0,SUMIF(Landbrug!$B$32:$B$45,$B41,IF($O$31=År2,Landbrug!$D$32:$D$45,Landbrug!$E$32:$E$45)),'[1]Afgrødefordeling - jordtype'!$P12)*(Landbrug!$D$5)*Arealanvendelse!M$36</f>
        <v>253.1823634274453</v>
      </c>
      <c r="P41" s="11">
        <f>IF($B41&lt;&gt;"Permanent græs",(1-VLOOKUP('Landbrugsareal - resultat'!P$5,Landbrug!$B$22:$E$23,MATCH('Landbrugsareal - resultat'!P$4,Landbrug!$B$21:$E$21,0),FALSE))*(VLOOKUP($B41,'[1]Afgrødefordeling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4.2224430034016702</v>
      </c>
      <c r="Q41" s="11">
        <f>IF($B41&lt;&gt;"Permanent græs",(1-VLOOKUP('Landbrugsareal - resultat'!Q$5,Landbrug!$B$22:$E$23,MATCH('Landbrugsareal - resultat'!Q$4,Landbrug!$B$21:$E$21,0),FALSE))*(VLOOKUP($B41,'[1]Afgrødefordeling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2.569441877805037</v>
      </c>
      <c r="R41" s="11">
        <f>IF(Landbrug!$E$47&gt;0,SUMIF(Landbrug!$B$32:$B$45,$B41,IF($R$31=År2,Landbrug!$D$32:$D$45,Landbrug!$E$32:$E$45)),'[1]Afgrødefordeling - jordtype'!$P12)*(Landbrug!$E$5)*Arealanvendelse!P$36</f>
        <v>325.17269376164109</v>
      </c>
      <c r="S41" s="11">
        <f>IF($B41&lt;&gt;"Permanent græs",(1-VLOOKUP(S$5,Landbrug!$B$22:$E$23,MATCH(S$4,Landbrug!$B$21:$E$21,0),FALSE))*(VLOOKUP($B41,'[1]Afgrødefordeling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5.4735372266317945</v>
      </c>
      <c r="T41" s="11">
        <f>IF($B41&lt;&gt;"Permanent græs",(1-VLOOKUP(T$5,Landbrug!$B$22:$E$23,MATCH(T$4,Landbrug!$B$21:$E$21,0),FALSE))*(VLOOKUP($B41,'[1]Afgrødefordeling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3.3307579897472701</v>
      </c>
      <c r="U41" s="53"/>
    </row>
    <row r="42" spans="1:21" x14ac:dyDescent="0.25">
      <c r="A42" s="56"/>
      <c r="B42" s="41" t="str">
        <f>[1]Afgrødefordeling!C11</f>
        <v>Øvrige</v>
      </c>
      <c r="C42" s="35">
        <f>VLOOKUP($B42,'[1]Afgrødefordeling - jordtype'!$O$4:$R$17,MATCH(C$5,'[1]Afgrødefordeling - jordtype'!$O$3:$R$3,0),FALSE)*(1-Landbrug!$C$5)*Arealanvendelse!J$36</f>
        <v>11933.527586925724</v>
      </c>
      <c r="D42" s="35">
        <f>VLOOKUP($B42,'[1]Afgrødefordeling - jordtype'!$O$4:$R$17,MATCH(D$5,'[1]Afgrødefordeling - jordtype'!$O$3:$R$3,0),FALSE)*(1-Landbrug!$C$5)*Arealanvendelse!K$36</f>
        <v>213.57599301787013</v>
      </c>
      <c r="E42" s="35">
        <f>VLOOKUP($B42,'[1]Afgrødefordeling - jordtype'!$O$4:$R$17,MATCH(E$5,'[1]Afgrødefordeling - jordtype'!$O$3:$R$3,0),FALSE)*(1-Landbrug!$C$5)*Arealanvendelse!L$36</f>
        <v>128.94431985233555</v>
      </c>
      <c r="F42" s="11">
        <f>IF(Landbrug!$D$47&gt;0,SUMIF(Landbrug!$B$32:$B$45,$B42,IF($F$31=År2,Landbrug!$D$32:$D$45,Landbrug!$E$32:$E$45)),'[1]Afgrødefordeling - jordtype'!$P13)*(1-Landbrug!$D$5)*Arealanvendelse!M$36</f>
        <v>11583.598619685576</v>
      </c>
      <c r="G42" s="11">
        <f>IF($B42&lt;&gt;"Permanent græs",(1-VLOOKUP('Landbrugsareal - resultat'!G$5,Landbrug!$B$22:$E$23,MATCH('Landbrugsareal - resultat'!G$4,Landbrug!$B$21:$E$21,0),FALSE))*(VLOOKUP($B42,'[1]Afgrødefordeling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193.18519775142676</v>
      </c>
      <c r="H42" s="11">
        <f>IF($B42&lt;&gt;"Permanent græs",(1-VLOOKUP('Landbrugsareal - resultat'!H$5,Landbrug!$B$22:$E$23,MATCH('Landbrugsareal - resultat'!H$4,Landbrug!$B$21:$E$21,0),FALSE))*(VLOOKUP($B42,'[1]Afgrødefordeling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117.55709594532664</v>
      </c>
      <c r="I42" s="11">
        <f>IF(Landbrug!$E$47&gt;0,SUMIF(Landbrug!$B$32:$B$45,$B42,IF($I$31=År2,Landbrug!$D$32:$D$45,Landbrug!$E$32:$E$45)),'[1]Afgrødefordeling - jordtype'!$P13)*(1-Landbrug!$E$5)*Arealanvendelse!P$36</f>
        <v>10946.056374089812</v>
      </c>
      <c r="J42" s="11">
        <f>IF($B42&lt;&gt;"Permanent græs",(1-VLOOKUP(J$5,Landbrug!$B$22:$E$23,MATCH(J$4,Landbrug!$B$21:$E$21,0),FALSE))*(VLOOKUP($B42,'[1]Afgrødefordeling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184.2517782022278</v>
      </c>
      <c r="K42" s="11">
        <f>IF($B42&lt;&gt;"Permanent græs",(1-VLOOKUP(K$5,Landbrug!$B$22:$E$23,MATCH(K$4,Landbrug!$B$21:$E$21,0),FALSE))*(VLOOKUP($B42,'[1]Afgrødefordeling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112.12092965883754</v>
      </c>
      <c r="L42" s="35">
        <f>VLOOKUP($B42,'[1]Afgrødefordeling - jordtype'!$O$4:$R$17,MATCH(C$5,'[1]Afgrødefordeling - jordtype'!$O$3:$R$3,0),FALSE)*(Landbrug!$C$5)*Arealanvendelse!J$36</f>
        <v>1525.8389080116776</v>
      </c>
      <c r="M42" s="35">
        <f>VLOOKUP($B42,'[1]Afgrødefordeling - jordtype'!$O$4:$R$17,MATCH(D$5,'[1]Afgrødefordeling - jordtype'!$O$3:$R$3,0),FALSE)*(Landbrug!$C$5)*Arealanvendelse!K$36</f>
        <v>27.308149881928532</v>
      </c>
      <c r="N42" s="35">
        <f>VLOOKUP($B42,'[1]Afgrødefordeling - jordtype'!$O$4:$R$17,MATCH(E$5,'[1]Afgrødefordeling - jordtype'!$O$3:$R$3,0),FALSE)*(Landbrug!$C$5)*Arealanvendelse!L$36</f>
        <v>16.487015994612687</v>
      </c>
      <c r="O42" s="11">
        <f>IF(Landbrug!$D$47&gt;0,SUMIF(Landbrug!$B$32:$B$45,$B42,IF($O$31=År2,Landbrug!$D$32:$D$45,Landbrug!$E$32:$E$45)),'[1]Afgrødefordeling - jordtype'!$P13)*(Landbrug!$D$5)*Arealanvendelse!M$36</f>
        <v>1807.8448712804081</v>
      </c>
      <c r="P42" s="11">
        <f>IF($B42&lt;&gt;"Permanent græs",(1-VLOOKUP('Landbrugsareal - resultat'!P$5,Landbrug!$B$22:$E$23,MATCH('Landbrugsareal - resultat'!P$4,Landbrug!$B$21:$E$21,0),FALSE))*(VLOOKUP($B42,'[1]Afgrødefordeling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30.150290978546373</v>
      </c>
      <c r="Q42" s="11">
        <f>IF($B42&lt;&gt;"Permanent græs",(1-VLOOKUP('Landbrugsareal - resultat'!Q$5,Landbrug!$B$22:$E$23,MATCH('Landbrugsareal - resultat'!Q$4,Landbrug!$B$21:$E$21,0),FALSE))*(VLOOKUP($B42,'[1]Afgrødefordeling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18.347061216900691</v>
      </c>
      <c r="R42" s="11">
        <f>IF(Landbrug!$E$47&gt;0,SUMIF(Landbrug!$B$32:$B$45,$B42,IF($R$31=År2,Landbrug!$D$32:$D$45,Landbrug!$E$32:$E$45)),'[1]Afgrødefordeling - jordtype'!$P13)*(Landbrug!$E$5)*Arealanvendelse!P$36</f>
        <v>2321.8907460190512</v>
      </c>
      <c r="S42" s="11">
        <f>IF($B42&lt;&gt;"Permanent græs",(1-VLOOKUP(S$5,Landbrug!$B$22:$E$23,MATCH(S$4,Landbrug!$B$21:$E$21,0),FALSE))*(VLOOKUP($B42,'[1]Afgrødefordeling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39.083710527745296</v>
      </c>
      <c r="T42" s="11">
        <f>IF($B42&lt;&gt;"Permanent græs",(1-VLOOKUP(T$5,Landbrug!$B$22:$E$23,MATCH(T$4,Landbrug!$B$21:$E$21,0),FALSE))*(VLOOKUP($B42,'[1]Afgrødefordeling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23.783227503389778</v>
      </c>
      <c r="U42" s="53"/>
    </row>
    <row r="43" spans="1:21" x14ac:dyDescent="0.25">
      <c r="A43" s="56"/>
      <c r="B43" s="41" t="str">
        <f>[1]Afgrødefordeling!C12</f>
        <v>Frø</v>
      </c>
      <c r="C43" s="35">
        <f>VLOOKUP($B43,'[1]Afgrødefordeling - jordtype'!$O$4:$R$17,MATCH(C$5,'[1]Afgrødefordeling - jordtype'!$O$3:$R$3,0),FALSE)*(1-Landbrug!$C$5)*Arealanvendelse!J$36</f>
        <v>36921.98237863728</v>
      </c>
      <c r="D43" s="35">
        <f>VLOOKUP($B43,'[1]Afgrødefordeling - jordtype'!$O$4:$R$17,MATCH(D$5,'[1]Afgrødefordeling - jordtype'!$O$3:$R$3,0),FALSE)*(1-Landbrug!$C$5)*Arealanvendelse!K$36</f>
        <v>1550.5515811624623</v>
      </c>
      <c r="E43" s="35">
        <f>VLOOKUP($B43,'[1]Afgrødefordeling - jordtype'!$O$4:$R$17,MATCH(E$5,'[1]Afgrødefordeling - jordtype'!$O$3:$R$3,0),FALSE)*(1-Landbrug!$C$5)*Arealanvendelse!L$36</f>
        <v>1206.6838353800997</v>
      </c>
      <c r="F43" s="11">
        <f>IF(Landbrug!$D$47&gt;0,SUMIF(Landbrug!$B$32:$B$45,$B43,IF($F$31=År2,Landbrug!$D$32:$D$45,Landbrug!$E$32:$E$45)),'[1]Afgrødefordeling - jordtype'!$P14)*(1-Landbrug!$D$5)*Arealanvendelse!M$36</f>
        <v>35839.312475031358</v>
      </c>
      <c r="G43" s="11">
        <f>IF($B43&lt;&gt;"Permanent græs",(1-VLOOKUP('Landbrugsareal - resultat'!G$5,Landbrug!$B$22:$E$23,MATCH('Landbrugsareal - resultat'!G$4,Landbrug!$B$21:$E$21,0),FALSE))*(VLOOKUP($B43,'[1]Afgrødefordeling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1402.515374495272</v>
      </c>
      <c r="H43" s="11">
        <f>IF($B43&lt;&gt;"Permanent græs",(1-VLOOKUP('Landbrugsareal - resultat'!H$5,Landbrug!$B$22:$E$23,MATCH('Landbrugsareal - resultat'!H$4,Landbrug!$B$21:$E$21,0),FALSE))*(VLOOKUP($B43,'[1]Afgrødefordeling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1100.1201725977674</v>
      </c>
      <c r="I43" s="11">
        <f>IF(Landbrug!$E$47&gt;0,SUMIF(Landbrug!$B$32:$B$45,$B43,IF($I$31=År2,Landbrug!$D$32:$D$45,Landbrug!$E$32:$E$45)),'[1]Afgrødefordeling - jordtype'!$P14)*(1-Landbrug!$E$5)*Arealanvendelse!P$36</f>
        <v>33866.775571248349</v>
      </c>
      <c r="J43" s="11">
        <f>IF($B43&lt;&gt;"Permanent græs",(1-VLOOKUP(J$5,Landbrug!$B$22:$E$23,MATCH(J$4,Landbrug!$B$21:$E$21,0),FALSE))*(VLOOKUP($B43,'[1]Afgrødefordeling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1337.6591722064732</v>
      </c>
      <c r="K43" s="11">
        <f>IF($B43&lt;&gt;"Permanent græs",(1-VLOOKUP(K$5,Landbrug!$B$22:$E$23,MATCH(K$4,Landbrug!$B$21:$E$21,0),FALSE))*(VLOOKUP($B43,'[1]Afgrødefordeling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1049.2475634602984</v>
      </c>
      <c r="L43" s="35">
        <f>VLOOKUP($B43,'[1]Afgrødefordeling - jordtype'!$O$4:$R$17,MATCH(C$5,'[1]Afgrødefordeling - jordtype'!$O$3:$R$3,0),FALSE)*(Landbrug!$C$5)*Arealanvendelse!J$36</f>
        <v>4720.9005772918872</v>
      </c>
      <c r="M43" s="35">
        <f>VLOOKUP($B43,'[1]Afgrødefordeling - jordtype'!$O$4:$R$17,MATCH(D$5,'[1]Afgrødefordeling - jordtype'!$O$3:$R$3,0),FALSE)*(Landbrug!$C$5)*Arealanvendelse!K$36</f>
        <v>198.25587314255372</v>
      </c>
      <c r="N43" s="35">
        <f>VLOOKUP($B43,'[1]Afgrødefordeling - jordtype'!$O$4:$R$17,MATCH(E$5,'[1]Afgrødefordeling - jordtype'!$O$3:$R$3,0),FALSE)*(Landbrug!$C$5)*Arealanvendelse!L$36</f>
        <v>154.28842245346829</v>
      </c>
      <c r="O43" s="11">
        <f>IF(Landbrug!$D$47&gt;0,SUMIF(Landbrug!$B$32:$B$45,$B43,IF($O$31=År2,Landbrug!$D$32:$D$45,Landbrug!$E$32:$E$45)),'[1]Afgrødefordeling - jordtype'!$P14)*(Landbrug!$D$5)*Arealanvendelse!M$36</f>
        <v>5593.4187099759929</v>
      </c>
      <c r="P43" s="11">
        <f>IF($B43&lt;&gt;"Permanent græs",(1-VLOOKUP('Landbrugsareal - resultat'!P$5,Landbrug!$B$22:$E$23,MATCH('Landbrugsareal - resultat'!P$4,Landbrug!$B$21:$E$21,0),FALSE))*(VLOOKUP($B43,'[1]Afgrødefordeling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218.88968272469563</v>
      </c>
      <c r="Q43" s="11">
        <f>IF($B43&lt;&gt;"Permanent græs",(1-VLOOKUP('Landbrugsareal - resultat'!Q$5,Landbrug!$B$22:$E$23,MATCH('Landbrugsareal - resultat'!Q$4,Landbrug!$B$21:$E$21,0),FALSE))*(VLOOKUP($B43,'[1]Afgrødefordeling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171.6950558389579</v>
      </c>
      <c r="R43" s="11">
        <f>IF(Landbrug!$E$47&gt;0,SUMIF(Landbrug!$B$32:$B$45,$B43,IF($R$31=År2,Landbrug!$D$32:$D$45,Landbrug!$E$32:$E$45)),'[1]Afgrødefordeling - jordtype'!$P14)*(Landbrug!$E$5)*Arealanvendelse!P$36</f>
        <v>7183.8614848102561</v>
      </c>
      <c r="S43" s="11">
        <f>IF($B43&lt;&gt;"Permanent græs",(1-VLOOKUP(S$5,Landbrug!$B$22:$E$23,MATCH(S$4,Landbrug!$B$21:$E$21,0),FALSE))*(VLOOKUP($B43,'[1]Afgrødefordeling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283.74588501349433</v>
      </c>
      <c r="T43" s="11">
        <f>IF($B43&lt;&gt;"Permanent græs",(1-VLOOKUP(T$5,Landbrug!$B$22:$E$23,MATCH(T$4,Landbrug!$B$21:$E$21,0),FALSE))*(VLOOKUP($B43,'[1]Afgrødefordeling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222.56766497642693</v>
      </c>
      <c r="U43" s="53"/>
    </row>
    <row r="44" spans="1:21" x14ac:dyDescent="0.25">
      <c r="A44" s="56"/>
      <c r="B44" s="42" t="str">
        <f>[1]Afgrødefordeling!C13</f>
        <v>Juletræer</v>
      </c>
      <c r="C44" s="35">
        <f>VLOOKUP($B44,'[1]Afgrødefordeling - jordtype'!$O$4:$R$17,MATCH(C$5,'[1]Afgrødefordeling - jordtype'!$O$3:$R$3,0),FALSE)*(1-Landbrug!$C$5)*Arealanvendelse!J$36</f>
        <v>2618.8374863482281</v>
      </c>
      <c r="D44" s="35">
        <f>VLOOKUP($B44,'[1]Afgrødefordeling - jordtype'!$O$4:$R$17,MATCH(D$5,'[1]Afgrødefordeling - jordtype'!$O$3:$R$3,0),FALSE)*(1-Landbrug!$C$5)*Arealanvendelse!K$36</f>
        <v>46.869696544048971</v>
      </c>
      <c r="E44" s="35">
        <f>VLOOKUP($B44,'[1]Afgrødefordeling - jordtype'!$O$4:$R$17,MATCH(E$5,'[1]Afgrødefordeling - jordtype'!$O$3:$R$3,0),FALSE)*(1-Landbrug!$C$5)*Arealanvendelse!L$36</f>
        <v>28.297099581094237</v>
      </c>
      <c r="F44" s="11">
        <f>IF(Landbrug!$D$47&gt;0,SUMIF(Landbrug!$B$32:$B$45,$B44,IF($F$31=År2,Landbrug!$D$32:$D$45,Landbrug!$E$32:$E$45)),'[1]Afgrødefordeling - jordtype'!$P15)*(1-Landbrug!$D$5)*Arealanvendelse!M$36</f>
        <v>2542.0448455894616</v>
      </c>
      <c r="G44" s="11">
        <f>IF($B44&lt;&gt;"Permanent græs",(1-VLOOKUP('Landbrugsareal - resultat'!G$5,Landbrug!$B$22:$E$23,MATCH('Landbrugsareal - resultat'!G$4,Landbrug!$B$21:$E$21,0),FALSE))*(VLOOKUP($B44,'[1]Afgrødefordeling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42.39489404904166</v>
      </c>
      <c r="H44" s="11">
        <f>IF($B44&lt;&gt;"Permanent græs",(1-VLOOKUP('Landbrugsareal - resultat'!H$5,Landbrug!$B$22:$E$23,MATCH('Landbrugsareal - resultat'!H$4,Landbrug!$B$21:$E$21,0),FALSE))*(VLOOKUP($B44,'[1]Afgrødefordeling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25.798149575247876</v>
      </c>
      <c r="I44" s="11">
        <f>IF(Landbrug!$E$47&gt;0,SUMIF(Landbrug!$B$32:$B$45,$B44,IF($I$31=År2,Landbrug!$D$32:$D$45,Landbrug!$E$32:$E$45)),'[1]Afgrødefordeling - jordtype'!$P15)*(1-Landbrug!$E$5)*Arealanvendelse!P$36</f>
        <v>2402.1348718004842</v>
      </c>
      <c r="J44" s="11">
        <f>IF($B44&lt;&gt;"Permanent græs",(1-VLOOKUP(J$5,Landbrug!$B$22:$E$23,MATCH(J$4,Landbrug!$B$21:$E$21,0),FALSE))*(VLOOKUP($B44,'[1]Afgrødefordeling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40.434436520762276</v>
      </c>
      <c r="K44" s="11">
        <f>IF($B44&lt;&gt;"Permanent græs",(1-VLOOKUP(K$5,Landbrug!$B$22:$E$23,MATCH(K$4,Landbrug!$B$21:$E$21,0),FALSE))*(VLOOKUP($B44,'[1]Afgrødefordeling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24.605171560207509</v>
      </c>
      <c r="L44" s="35">
        <f>VLOOKUP($B44,'[1]Afgrødefordeling - jordtype'!$O$4:$R$17,MATCH(C$5,'[1]Afgrødefordeling - jordtype'!$O$3:$R$3,0),FALSE)*(Landbrug!$C$5)*Arealanvendelse!J$36</f>
        <v>334.84852666763254</v>
      </c>
      <c r="M44" s="35">
        <f>VLOOKUP($B44,'[1]Afgrødefordeling - jordtype'!$O$4:$R$17,MATCH(D$5,'[1]Afgrødefordeling - jordtype'!$O$3:$R$3,0),FALSE)*(Landbrug!$C$5)*Arealanvendelse!K$36</f>
        <v>5.9928303741437112</v>
      </c>
      <c r="N44" s="35">
        <f>VLOOKUP($B44,'[1]Afgrødefordeling - jordtype'!$O$4:$R$17,MATCH(E$5,'[1]Afgrødefordeling - jordtype'!$O$3:$R$3,0),FALSE)*(Landbrug!$C$5)*Arealanvendelse!L$36</f>
        <v>3.6181100022778421</v>
      </c>
      <c r="O44" s="11">
        <f>IF(Landbrug!$D$47&gt;0,SUMIF(Landbrug!$B$32:$B$45,$B44,IF($O$31=År2,Landbrug!$D$32:$D$45,Landbrug!$E$32:$E$45)),'[1]Afgrødefordeling - jordtype'!$P15)*(Landbrug!$D$5)*Arealanvendelse!M$36</f>
        <v>396.73532272205472</v>
      </c>
      <c r="P44" s="11">
        <f>IF($B44&lt;&gt;"Permanent græs",(1-VLOOKUP('Landbrugsareal - resultat'!P$5,Landbrug!$B$22:$E$23,MATCH('Landbrugsareal - resultat'!P$4,Landbrug!$B$21:$E$21,0),FALSE))*(VLOOKUP($B44,'[1]Afgrødefordeling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6.6165441579429185</v>
      </c>
      <c r="Q44" s="11">
        <f>IF($B44&lt;&gt;"Permanent græs",(1-VLOOKUP('Landbrugsareal - resultat'!Q$5,Landbrug!$B$22:$E$23,MATCH('Landbrugsareal - resultat'!Q$4,Landbrug!$B$21:$E$21,0),FALSE))*(VLOOKUP($B44,'[1]Afgrødefordeling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4.0263008007612289</v>
      </c>
      <c r="R44" s="11">
        <f>IF(Landbrug!$E$47&gt;0,SUMIF(Landbrug!$B$32:$B$45,$B44,IF($R$31=År2,Landbrug!$D$32:$D$45,Landbrug!$E$32:$E$45)),'[1]Afgrødefordeling - jordtype'!$P15)*(Landbrug!$E$5)*Arealanvendelse!P$36</f>
        <v>509.54376068495122</v>
      </c>
      <c r="S44" s="11">
        <f>IF($B44&lt;&gt;"Permanent græs",(1-VLOOKUP(S$5,Landbrug!$B$22:$E$23,MATCH(S$4,Landbrug!$B$21:$E$21,0),FALSE))*(VLOOKUP($B44,'[1]Afgrødefordeling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8.5770016862223013</v>
      </c>
      <c r="T44" s="11">
        <f>IF($B44&lt;&gt;"Permanent græs",(1-VLOOKUP(T$5,Landbrug!$B$22:$E$23,MATCH(T$4,Landbrug!$B$21:$E$21,0),FALSE))*(VLOOKUP($B44,'[1]Afgrødefordeling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5.2192788158015926</v>
      </c>
      <c r="U44" s="53"/>
    </row>
    <row r="45" spans="1:21" x14ac:dyDescent="0.25">
      <c r="A45" s="56"/>
      <c r="B45" s="42" t="str">
        <f>[1]Afgrødefordeling!C14</f>
        <v>Pil &amp; poppel</v>
      </c>
      <c r="C45" s="35">
        <f>VLOOKUP($B45,'[1]Afgrødefordeling - jordtype'!$O$4:$R$17,MATCH(C$5,'[1]Afgrødefordeling - jordtype'!$O$3:$R$3,0),FALSE)*(1-Landbrug!$C$5)*Arealanvendelse!J$36</f>
        <v>1244.8278589023382</v>
      </c>
      <c r="D45" s="35">
        <f>VLOOKUP($B45,'[1]Afgrødefordeling - jordtype'!$O$4:$R$17,MATCH(D$5,'[1]Afgrødefordeling - jordtype'!$O$3:$R$3,0),FALSE)*(1-Landbrug!$C$5)*Arealanvendelse!K$36</f>
        <v>99.475001424808809</v>
      </c>
      <c r="E45" s="35">
        <f>VLOOKUP($B45,'[1]Afgrødefordeling - jordtype'!$O$4:$R$17,MATCH(E$5,'[1]Afgrødefordeling - jordtype'!$O$3:$R$3,0),FALSE)*(1-Landbrug!$C$5)*Arealanvendelse!L$36</f>
        <v>86.318017390470459</v>
      </c>
      <c r="F45" s="11">
        <f>IF(Landbrug!$D$47&gt;0,SUMIF(Landbrug!$B$32:$B$45,$B45,IF($F$31=År2,Landbrug!$D$32:$D$45,Landbrug!$E$32:$E$45)),'[1]Afgrødefordeling - jordtype'!$P16)*(1-Landbrug!$D$5)*Arealanvendelse!M$36</f>
        <v>1208.3255485934653</v>
      </c>
      <c r="G45" s="11">
        <f>IF($B45&lt;&gt;"Permanent græs",(1-VLOOKUP('Landbrugsareal - resultat'!G$5,Landbrug!$B$22:$E$23,MATCH('Landbrugsareal - resultat'!G$4,Landbrug!$B$21:$E$21,0),FALSE))*(VLOOKUP($B45,'[1]Afgrødefordeling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89.977799236861017</v>
      </c>
      <c r="H45" s="11">
        <f>IF($B45&lt;&gt;"Permanent græs",(1-VLOOKUP('Landbrugsareal - resultat'!H$5,Landbrug!$B$22:$E$23,MATCH('Landbrugsareal - resultat'!H$4,Landbrug!$B$21:$E$21,0),FALSE))*(VLOOKUP($B45,'[1]Afgrødefordeling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78.695172178211379</v>
      </c>
      <c r="I45" s="11">
        <f>IF(Landbrug!$E$47&gt;0,SUMIF(Landbrug!$B$32:$B$45,$B45,IF($I$31=År2,Landbrug!$D$32:$D$45,Landbrug!$E$32:$E$45)),'[1]Afgrødefordeling - jordtype'!$P16)*(1-Landbrug!$E$5)*Arealanvendelse!P$36</f>
        <v>1141.8212946950407</v>
      </c>
      <c r="J45" s="11">
        <f>IF($B45&lt;&gt;"Permanent græs",(1-VLOOKUP(J$5,Landbrug!$B$22:$E$23,MATCH(J$4,Landbrug!$B$21:$E$21,0),FALSE))*(VLOOKUP($B45,'[1]Afgrødefordeling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85.816976150763395</v>
      </c>
      <c r="K45" s="11">
        <f>IF($B45&lt;&gt;"Permanent græs",(1-VLOOKUP(K$5,Landbrug!$B$22:$E$23,MATCH(K$4,Landbrug!$B$21:$E$21,0),FALSE))*(VLOOKUP($B45,'[1]Afgrødefordeling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75.056089071704491</v>
      </c>
      <c r="L45" s="35">
        <f>VLOOKUP($B45,'[1]Afgrødefordeling - jordtype'!$O$4:$R$17,MATCH(C$5,'[1]Afgrødefordeling - jordtype'!$O$3:$R$3,0),FALSE)*(Landbrug!$C$5)*Arealanvendelse!J$36</f>
        <v>159.16557506189815</v>
      </c>
      <c r="M45" s="35">
        <f>VLOOKUP($B45,'[1]Afgrødefordeling - jordtype'!$O$4:$R$17,MATCH(D$5,'[1]Afgrødefordeling - jordtype'!$O$3:$R$3,0),FALSE)*(Landbrug!$C$5)*Arealanvendelse!K$36</f>
        <v>12.71902431555799</v>
      </c>
      <c r="N45" s="35">
        <f>VLOOKUP($B45,'[1]Afgrødefordeling - jordtype'!$O$4:$R$17,MATCH(E$5,'[1]Afgrødefordeling - jordtype'!$O$3:$R$3,0),FALSE)*(Landbrug!$C$5)*Arealanvendelse!L$36</f>
        <v>11.036752413519869</v>
      </c>
      <c r="O45" s="11">
        <f>IF(Landbrug!$D$47&gt;0,SUMIF(Landbrug!$B$32:$B$45,$B45,IF($O$31=År2,Landbrug!$D$32:$D$45,Landbrug!$E$32:$E$45)),'[1]Afgrødefordeling - jordtype'!$P16)*(Landbrug!$D$5)*Arealanvendelse!M$36</f>
        <v>188.58260006950039</v>
      </c>
      <c r="P45" s="11">
        <f>IF($B45&lt;&gt;"Permanent græs",(1-VLOOKUP('Landbrugsareal - resultat'!P$5,Landbrug!$B$22:$E$23,MATCH('Landbrugsareal - resultat'!P$4,Landbrug!$B$21:$E$21,0),FALSE))*(VLOOKUP($B45,'[1]Afgrødefordeling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14.042777915579466</v>
      </c>
      <c r="Q45" s="11">
        <f>IF($B45&lt;&gt;"Permanent græs",(1-VLOOKUP('Landbrugsareal - resultat'!Q$5,Landbrug!$B$22:$E$23,MATCH('Landbrugsareal - resultat'!Q$4,Landbrug!$B$21:$E$21,0),FALSE))*(VLOOKUP($B45,'[1]Afgrødefordeling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12.281905484460736</v>
      </c>
      <c r="R45" s="11">
        <f>IF(Landbrug!$E$47&gt;0,SUMIF(Landbrug!$B$32:$B$45,$B45,IF($R$31=År2,Landbrug!$D$32:$D$45,Landbrug!$E$32:$E$45)),'[1]Afgrødefordeling - jordtype'!$P16)*(Landbrug!$E$5)*Arealanvendelse!P$36</f>
        <v>242.20451705652377</v>
      </c>
      <c r="S45" s="11">
        <f>IF($B45&lt;&gt;"Permanent græs",(1-VLOOKUP(S$5,Landbrug!$B$22:$E$23,MATCH(S$4,Landbrug!$B$21:$E$21,0),FALSE))*(VLOOKUP($B45,'[1]Afgrødefordeling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18.203601001677082</v>
      </c>
      <c r="T45" s="11">
        <f>IF($B45&lt;&gt;"Permanent græs",(1-VLOOKUP(T$5,Landbrug!$B$22:$E$23,MATCH(T$4,Landbrug!$B$21:$E$21,0),FALSE))*(VLOOKUP($B45,'[1]Afgrødefordeling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15.920988590967621</v>
      </c>
      <c r="U45" s="53"/>
    </row>
    <row r="46" spans="1:21" x14ac:dyDescent="0.25">
      <c r="A46" s="56"/>
      <c r="B46" s="42" t="str">
        <f>[1]Afgrødefordeling!C15</f>
        <v>Permanent græs</v>
      </c>
      <c r="C46" s="35">
        <f>VLOOKUP($B46,'[1]Afgrødefordeling - jordtype'!$O$4:$R$17,MATCH(C$5,'[1]Afgrødefordeling - jordtype'!$O$3:$R$3,0),FALSE)*(1-Landbrug!$C$5)*Arealanvendelse!J$36</f>
        <v>31005.186770121774</v>
      </c>
      <c r="D46" s="35">
        <f>VLOOKUP($B46,'[1]Afgrødefordeling - jordtype'!$O$4:$R$17,MATCH(D$5,'[1]Afgrødefordeling - jordtype'!$O$3:$R$3,0),FALSE)*(1-Landbrug!$C$5)*Arealanvendelse!K$36</f>
        <v>2905.4159151668305</v>
      </c>
      <c r="E46" s="35">
        <f>VLOOKUP($B46,'[1]Afgrødefordeling - jordtype'!$O$4:$R$17,MATCH(E$5,'[1]Afgrødefordeling - jordtype'!$O$3:$R$3,0),FALSE)*(1-Landbrug!$C$5)*Arealanvendelse!L$36</f>
        <v>3298.9410097807986</v>
      </c>
      <c r="F46" s="11">
        <f>IF(Landbrug!$D$47&gt;0,SUMIF(Landbrug!$B$32:$B$45,$B46,IF($F$31=År2,Landbrug!$D$32:$D$45,Landbrug!$E$32:$E$45)),'[1]Afgrødefordeling - jordtype'!$P17)*(1-Landbrug!$D$5)*Arealanvendelse!M$36</f>
        <v>30096.016124097267</v>
      </c>
      <c r="G46" s="11">
        <f>IF($B46&lt;&gt;"Permanent græs",(1-VLOOKUP('Landbrugsareal - resultat'!G$5,Landbrug!$B$22:$E$23,MATCH('Landbrugsareal - resultat'!G$4,Landbrug!$B$21:$E$21,0),FALSE))*(VLOOKUP($B46,'[1]Afgrødefordeling - jordtype'!$O$4:$R$17,MATCH(G$5,'[1]Afgrødefordeling - jordtype'!$O$3:$R$3,0),FALSE))/(1-VLOOKUP($B$19,'[1]Afgrødefordeling - jordtype'!$O$4:$R$17,MATCH(G$5,'[1]Afgrødefordeling - jordtype'!$O$3:$R$3,0),FALSE)),VLOOKUP('Landbrugsareal - resultat'!G$5,Landbrug!$B$22:$E$23,MATCH('Landbrugsareal - resultat'!G$4,Landbrug!$B$21:$E$21,0),FALSE))*(1-Landbrug!$D$5)*Arealanvendelse!N$36</f>
        <v>2607.6878360294108</v>
      </c>
      <c r="H46" s="11">
        <f>IF($B46&lt;&gt;"Permanent græs",(1-VLOOKUP('Landbrugsareal - resultat'!H$5,Landbrug!$B$22:$E$23,MATCH('Landbrugsareal - resultat'!H$4,Landbrug!$B$21:$E$21,0),FALSE))*(VLOOKUP($B46,'[1]Afgrødefordeling - jordtype'!$O$4:$R$17,MATCH(H$5,'[1]Afgrødefordeling - jordtype'!$O$3:$R$3,0),FALSE))/(1-VLOOKUP($B$19,'[1]Afgrødefordeling - jordtype'!$O$4:$R$17,MATCH(H$5,'[1]Afgrødefordeling - jordtype'!$O$3:$R$3,0),FALSE)),VLOOKUP('Landbrugsareal - resultat'!H$5,Landbrug!$B$22:$E$23,MATCH('Landbrugsareal - resultat'!H$4,Landbrug!$B$21:$E$21,0),FALSE))*(1-Landbrug!$D$5)*Arealanvendelse!O$36</f>
        <v>2736.7303190386051</v>
      </c>
      <c r="I46" s="11">
        <f>IF(Landbrug!$E$47&gt;0,SUMIF(Landbrug!$B$32:$B$45,$B46,IF($I$31=År2,Landbrug!$D$32:$D$45,Landbrug!$E$32:$E$45)),'[1]Afgrødefordeling - jordtype'!$P17)*(1-Landbrug!$E$5)*Arealanvendelse!P$36</f>
        <v>28439.580819904713</v>
      </c>
      <c r="J46" s="11">
        <f>IF($B46&lt;&gt;"Permanent græs",(1-VLOOKUP(J$5,Landbrug!$B$22:$E$23,MATCH(J$4,Landbrug!$B$21:$E$21,0),FALSE))*(VLOOKUP($B46,'[1]Afgrødefordeling - jordtype'!$O$4:$R$17,MATCH(J$5,'[1]Afgrødefordeling - jordtype'!$O$3:$R$3,0),FALSE))/(1-VLOOKUP($B$19,'[1]Afgrødefordeling - jordtype'!$O$4:$R$17,MATCH(J$5,'[1]Afgrødefordeling - jordtype'!$O$3:$R$3,0),FALSE)),VLOOKUP(J$5,Landbrug!$B$22:$E$23,MATCH(J$4,Landbrug!$B$21:$E$21,0),FALSE))*(1-Landbrug!$E$5)*Arealanvendelse!Q$36</f>
        <v>2487.1011152881665</v>
      </c>
      <c r="K46" s="11">
        <f>IF($B46&lt;&gt;"Permanent græs",(1-VLOOKUP(K$5,Landbrug!$B$22:$E$23,MATCH(K$4,Landbrug!$B$21:$E$21,0),FALSE))*(VLOOKUP($B46,'[1]Afgrødefordeling - jordtype'!$O$4:$R$17,MATCH(K$5,'[1]Afgrødefordeling - jordtype'!$O$3:$R$3,0),FALSE))/(1-VLOOKUP($B$19,'[1]Afgrødefordeling - jordtype'!$O$4:$R$17,MATCH(K$5,'[1]Afgrødefordeling - jordtype'!$O$3:$R$3,0),FALSE)),VLOOKUP(K$5,Landbrug!$B$22:$E$23,MATCH(K$4,Landbrug!$B$21:$E$21,0),FALSE))*(1-Landbrug!$E$5)*Arealanvendelse!R$36</f>
        <v>2610.1763158460685</v>
      </c>
      <c r="L46" s="35">
        <f>VLOOKUP($B46,'[1]Afgrødefordeling - jordtype'!$O$4:$R$17,MATCH(C$5,'[1]Afgrødefordeling - jordtype'!$O$3:$R$3,0),FALSE)*(Landbrug!$C$5)*Arealanvendelse!J$36</f>
        <v>3964.3701310794295</v>
      </c>
      <c r="M46" s="35">
        <f>VLOOKUP($B46,'[1]Afgrødefordeling - jordtype'!$O$4:$R$17,MATCH(D$5,'[1]Afgrødefordeling - jordtype'!$O$3:$R$3,0),FALSE)*(Landbrug!$C$5)*Arealanvendelse!K$36</f>
        <v>371.49087853744766</v>
      </c>
      <c r="N46" s="35">
        <f>VLOOKUP($B46,'[1]Afgrødefordeling - jordtype'!$O$4:$R$17,MATCH(E$5,'[1]Afgrødefordeling - jordtype'!$O$3:$R$3,0),FALSE)*(Landbrug!$C$5)*Arealanvendelse!L$36</f>
        <v>421.80759304346049</v>
      </c>
      <c r="O46" s="11">
        <f>IF(Landbrug!$D$47&gt;0,SUMIF(Landbrug!$B$32:$B$45,$B46,IF($O$31=År2,Landbrug!$D$32:$D$45,Landbrug!$E$32:$E$45)),'[1]Afgrødefordeling - jordtype'!$P17)*(Landbrug!$D$5)*Arealanvendelse!M$36</f>
        <v>4697.0661002926372</v>
      </c>
      <c r="P46" s="11">
        <f>IF($B46&lt;&gt;"Permanent græs",(1-VLOOKUP('Landbrugsareal - resultat'!P$5,Landbrug!$B$22:$E$23,MATCH('Landbrugsareal - resultat'!P$4,Landbrug!$B$21:$E$21,0),FALSE))*(VLOOKUP($B46,'[1]Afgrødefordeling - jordtype'!$O$4:$R$17,MATCH(P$5,'[1]Afgrødefordeling - jordtype'!$O$3:$R$3,0),FALSE))/(1-VLOOKUP($B$19,'[1]Afgrødefordeling - jordtype'!$O$4:$R$17,MATCH(P$5,'[1]Afgrødefordeling - jordtype'!$O$3:$R$3,0),FALSE)),VLOOKUP('Landbrugsareal - resultat'!P$5,Landbrug!$B$22:$E$23,MATCH('Landbrugsareal - resultat'!P$4,Landbrug!$B$21:$E$21,0),FALSE))*(Landbrug!$D$5)*Arealanvendelse!N$36</f>
        <v>406.98018250170003</v>
      </c>
      <c r="Q46" s="11">
        <f>IF($B46&lt;&gt;"Permanent græs",(1-VLOOKUP('Landbrugsareal - resultat'!Q$5,Landbrug!$B$22:$E$23,MATCH('Landbrugsareal - resultat'!Q$4,Landbrug!$B$21:$E$21,0),FALSE))*(VLOOKUP($B46,'[1]Afgrødefordeling - jordtype'!$O$4:$R$17,MATCH(Q$5,'[1]Afgrødefordeling - jordtype'!$O$3:$R$3,0),FALSE))/(1-VLOOKUP($B$19,'[1]Afgrødefordeling - jordtype'!$O$4:$R$17,MATCH(Q$5,'[1]Afgrødefordeling - jordtype'!$O$3:$R$3,0),FALSE)),VLOOKUP('Landbrugsareal - resultat'!Q$5,Landbrug!$B$22:$E$23,MATCH('Landbrugsareal - resultat'!Q$4,Landbrug!$B$21:$E$21,0),FALSE))*(Landbrug!$D$5)*Arealanvendelse!O$36</f>
        <v>427.11976077481125</v>
      </c>
      <c r="R46" s="11">
        <f>IF(Landbrug!$E$47&gt;0,SUMIF(Landbrug!$B$32:$B$45,$B46,IF($R$31=År2,Landbrug!$D$32:$D$45,Landbrug!$E$32:$E$45)),'[1]Afgrødefordeling - jordtype'!$P17)*(Landbrug!$E$5)*Arealanvendelse!P$36</f>
        <v>6032.6383557373629</v>
      </c>
      <c r="S46" s="11">
        <f>IF($B46&lt;&gt;"Permanent græs",(1-VLOOKUP(S$5,Landbrug!$B$22:$E$23,MATCH(S$4,Landbrug!$B$21:$E$21,0),FALSE))*(VLOOKUP($B46,'[1]Afgrødefordeling - jordtype'!$O$4:$R$17,MATCH(S$5,'[1]Afgrødefordeling - jordtype'!$O$3:$R$3,0),FALSE))/(1-VLOOKUP($B$19,'[1]Afgrødefordeling - jordtype'!$O$4:$R$17,MATCH(S$5,'[1]Afgrødefordeling - jordtype'!$O$3:$R$3,0),FALSE)),VLOOKUP(S$5,Landbrug!$B$22:$E$23,MATCH(S$4,Landbrug!$B$21:$E$21,0),FALSE))*(Landbrug!$E$5)*Arealanvendelse!Q$36</f>
        <v>527.56690324294436</v>
      </c>
      <c r="T46" s="11">
        <f>IF($B46&lt;&gt;"Permanent græs",(1-VLOOKUP(T$5,Landbrug!$B$22:$E$23,MATCH(T$4,Landbrug!$B$21:$E$21,0),FALSE))*(VLOOKUP($B46,'[1]Afgrødefordeling - jordtype'!$O$4:$R$17,MATCH(T$5,'[1]Afgrødefordeling - jordtype'!$O$3:$R$3,0),FALSE))/(1-VLOOKUP($B$19,'[1]Afgrødefordeling - jordtype'!$O$4:$R$17,MATCH(T$5,'[1]Afgrødefordeling - jordtype'!$O$3:$R$3,0),FALSE)),VLOOKUP(T$5,Landbrug!$B$22:$E$23,MATCH(T$4,Landbrug!$B$21:$E$21,0),FALSE))*(Landbrug!$E$5)*Arealanvendelse!R$36</f>
        <v>553.6737639673479</v>
      </c>
      <c r="U46" s="53"/>
    </row>
    <row r="47" spans="1:21" ht="15.75" thickBot="1" x14ac:dyDescent="0.3">
      <c r="A47" s="56"/>
      <c r="B47" s="44" t="s">
        <v>30</v>
      </c>
      <c r="C47" s="36">
        <f t="shared" ref="C47:T47" si="3">SUM(C33:C46)</f>
        <v>484155.06156618823</v>
      </c>
      <c r="D47" s="37">
        <f t="shared" si="3"/>
        <v>11749.115159080215</v>
      </c>
      <c r="E47" s="37">
        <f t="shared" si="3"/>
        <v>9145.6565752439074</v>
      </c>
      <c r="F47" s="38">
        <f t="shared" si="3"/>
        <v>469958.09596286045</v>
      </c>
      <c r="G47" s="38">
        <f t="shared" si="3"/>
        <v>10607.050325925928</v>
      </c>
      <c r="H47" s="38">
        <f t="shared" si="3"/>
        <v>8067.1155851851854</v>
      </c>
      <c r="I47" s="38">
        <f t="shared" si="3"/>
        <v>444092.37412000488</v>
      </c>
      <c r="J47" s="38">
        <f t="shared" si="3"/>
        <v>10116.550888888891</v>
      </c>
      <c r="K47" s="39">
        <f t="shared" si="3"/>
        <v>7694.0697777777787</v>
      </c>
      <c r="L47" s="36">
        <f t="shared" si="3"/>
        <v>61904.799320013248</v>
      </c>
      <c r="M47" s="37">
        <f t="shared" si="3"/>
        <v>1502.2596557346014</v>
      </c>
      <c r="N47" s="37">
        <f t="shared" si="3"/>
        <v>1169.3774988301655</v>
      </c>
      <c r="O47" s="38">
        <f t="shared" si="3"/>
        <v>73346.06121963718</v>
      </c>
      <c r="P47" s="38">
        <f t="shared" si="3"/>
        <v>1655.4356000000002</v>
      </c>
      <c r="Q47" s="38">
        <f t="shared" si="3"/>
        <v>1259.0296000000001</v>
      </c>
      <c r="R47" s="38">
        <f t="shared" si="3"/>
        <v>94201.412692122292</v>
      </c>
      <c r="S47" s="38">
        <f t="shared" si="3"/>
        <v>2145.9350370370366</v>
      </c>
      <c r="T47" s="39">
        <f t="shared" si="3"/>
        <v>1632.0754074074075</v>
      </c>
      <c r="U47" s="53"/>
    </row>
    <row r="48" spans="1:21" ht="15.75" thickBot="1" x14ac:dyDescent="0.3">
      <c r="A48" s="56"/>
      <c r="B48" s="59"/>
      <c r="C48" s="52"/>
      <c r="D48" s="52"/>
      <c r="E48" s="52"/>
      <c r="F48" s="52"/>
      <c r="G48" s="52"/>
      <c r="H48" s="52"/>
      <c r="I48" s="58"/>
      <c r="J48" s="58"/>
      <c r="K48" s="58"/>
      <c r="L48" s="58"/>
      <c r="M48" s="58"/>
      <c r="N48" s="58"/>
      <c r="O48" s="58"/>
      <c r="P48" s="58"/>
      <c r="Q48" s="58"/>
      <c r="R48" s="58"/>
      <c r="S48" s="58"/>
      <c r="T48" s="58"/>
      <c r="U48" s="53"/>
    </row>
    <row r="49" spans="1:21" x14ac:dyDescent="0.25">
      <c r="A49" s="56"/>
      <c r="B49" s="49"/>
      <c r="C49" s="444" t="s">
        <v>7</v>
      </c>
      <c r="D49" s="445"/>
      <c r="E49" s="446"/>
      <c r="F49" s="447" t="s">
        <v>8</v>
      </c>
      <c r="G49" s="445"/>
      <c r="H49" s="446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2"/>
      <c r="T49" s="52"/>
      <c r="U49" s="53"/>
    </row>
    <row r="50" spans="1:21" x14ac:dyDescent="0.25">
      <c r="A50" s="56"/>
      <c r="B50" s="32" t="s">
        <v>26</v>
      </c>
      <c r="C50" s="29">
        <f>År1</f>
        <v>2019</v>
      </c>
      <c r="D50" s="25">
        <f>År2</f>
        <v>2030</v>
      </c>
      <c r="E50" s="30">
        <f>År3</f>
        <v>2050</v>
      </c>
      <c r="F50" s="33">
        <f>År1</f>
        <v>2019</v>
      </c>
      <c r="G50" s="25">
        <f>År2</f>
        <v>2030</v>
      </c>
      <c r="H50" s="30">
        <f>År3</f>
        <v>2050</v>
      </c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2"/>
      <c r="T50" s="52"/>
      <c r="U50" s="53"/>
    </row>
    <row r="51" spans="1:21" x14ac:dyDescent="0.25">
      <c r="A51" s="56"/>
      <c r="B51" s="31" t="s">
        <v>22</v>
      </c>
      <c r="C51" s="35">
        <f>SUM([1]Dyrehold!$E$22:$E$23)-F51</f>
        <v>1541102</v>
      </c>
      <c r="D51" s="11">
        <f>SUM([1]Dyrehold!$E$22:$E$23)-G51</f>
        <v>1532729.9904525669</v>
      </c>
      <c r="E51" s="23">
        <f>SUM([1]Dyrehold!$E$22:$E$23)-H51</f>
        <v>1517250.402620316</v>
      </c>
      <c r="F51" s="50">
        <f>SUM([1]Dyrehold!C58:D61)</f>
        <v>15447</v>
      </c>
      <c r="G51" s="11">
        <f>$F51/Landbrug!$C6*Landbrug!D6</f>
        <v>23819.009547433063</v>
      </c>
      <c r="H51" s="23">
        <f>$F51/Landbrug!$C6*Landbrug!E6</f>
        <v>39298.597379684077</v>
      </c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2"/>
      <c r="T51" s="52"/>
      <c r="U51" s="53"/>
    </row>
    <row r="52" spans="1:21" x14ac:dyDescent="0.25">
      <c r="A52" s="56"/>
      <c r="B52" s="31" t="s">
        <v>3</v>
      </c>
      <c r="C52" s="35">
        <f>SUM([1]Dyrehold!$D$22:$D$23)-F52</f>
        <v>82455</v>
      </c>
      <c r="D52" s="11">
        <f>SUM([1]Dyrehold!$D$22:$D$23)-G52</f>
        <v>80080.142534636136</v>
      </c>
      <c r="E52" s="23">
        <f>SUM([1]Dyrehold!$D$22:$D$23)-H52</f>
        <v>75689.10421630925</v>
      </c>
      <c r="F52" s="50">
        <f>SUM([1]Dyrehold!C36:D51)</f>
        <v>16513</v>
      </c>
      <c r="G52" s="11">
        <f>$F52/Landbrug!$C7*Landbrug!D7</f>
        <v>18887.857465363868</v>
      </c>
      <c r="H52" s="23">
        <f>$F52/Landbrug!$C7*Landbrug!E7</f>
        <v>23278.89578369075</v>
      </c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2"/>
      <c r="T52" s="52"/>
      <c r="U52" s="53"/>
    </row>
    <row r="53" spans="1:21" ht="15.75" thickBot="1" x14ac:dyDescent="0.3">
      <c r="A53" s="56"/>
      <c r="B53" s="46" t="s">
        <v>4</v>
      </c>
      <c r="C53" s="48">
        <f>SUM([1]Dyrehold!$F$22:$F$23)-F53</f>
        <v>1570560</v>
      </c>
      <c r="D53" s="16">
        <f>SUM([1]Dyrehold!$F$22:$F$23)-G53</f>
        <v>1537834.5897597643</v>
      </c>
      <c r="E53" s="24">
        <f>SUM([1]Dyrehold!$F$22:$F$23)-H53</f>
        <v>1477326.3140238035</v>
      </c>
      <c r="F53" s="51">
        <f>SUM([1]Dyrehold!C65:D78)</f>
        <v>214987</v>
      </c>
      <c r="G53" s="16">
        <f>$F53/Landbrug!$C8*Landbrug!D8</f>
        <v>247712.41024023574</v>
      </c>
      <c r="H53" s="24">
        <f>$F53/Landbrug!$C8*Landbrug!E8</f>
        <v>308220.6859761966</v>
      </c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2"/>
      <c r="T53" s="52"/>
      <c r="U53" s="53"/>
    </row>
    <row r="54" spans="1:21" ht="15.75" thickBot="1" x14ac:dyDescent="0.3">
      <c r="A54" s="57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5"/>
    </row>
  </sheetData>
  <mergeCells count="10">
    <mergeCell ref="A2:U2"/>
    <mergeCell ref="A29:U29"/>
    <mergeCell ref="L3:T3"/>
    <mergeCell ref="C30:K30"/>
    <mergeCell ref="L30:T30"/>
    <mergeCell ref="C49:E49"/>
    <mergeCell ref="F49:H49"/>
    <mergeCell ref="C3:K3"/>
    <mergeCell ref="C22:E22"/>
    <mergeCell ref="F22:H22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92245-9477-4B7B-B323-27D7FCEBA3A8}">
  <sheetPr codeName="Sheet20">
    <tabColor theme="2" tint="-9.9978637043366805E-2"/>
  </sheetPr>
  <dimension ref="A2"/>
  <sheetViews>
    <sheetView workbookViewId="0">
      <selection activeCell="E5" sqref="E5"/>
    </sheetView>
  </sheetViews>
  <sheetFormatPr defaultColWidth="9.140625" defaultRowHeight="15" x14ac:dyDescent="0.25"/>
  <cols>
    <col min="1" max="16384" width="9.140625" style="1"/>
  </cols>
  <sheetData>
    <row r="2" spans="1:1" x14ac:dyDescent="0.25">
      <c r="A2" s="6" t="s">
        <v>245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E338C2-7F2F-4043-87A4-1E8BAC9AF0A1}">
  <sheetPr codeName="Sheet5">
    <tabColor theme="8" tint="0.79998168889431442"/>
  </sheetPr>
  <dimension ref="A3:AK33"/>
  <sheetViews>
    <sheetView topLeftCell="A2" workbookViewId="0">
      <selection activeCell="Q40" sqref="Q40"/>
    </sheetView>
  </sheetViews>
  <sheetFormatPr defaultRowHeight="15" x14ac:dyDescent="0.25"/>
  <cols>
    <col min="1" max="1" width="21.28515625" bestFit="1" customWidth="1"/>
    <col min="2" max="2" width="16.28515625" bestFit="1" customWidth="1"/>
    <col min="3" max="3" width="9.140625" bestFit="1" customWidth="1"/>
    <col min="4" max="4" width="9" bestFit="1" customWidth="1"/>
    <col min="5" max="5" width="11.5703125" bestFit="1" customWidth="1"/>
    <col min="6" max="6" width="4.42578125" bestFit="1" customWidth="1"/>
    <col min="7" max="7" width="12.140625" bestFit="1" customWidth="1"/>
    <col min="8" max="8" width="11.140625" bestFit="1" customWidth="1"/>
    <col min="9" max="9" width="5.5703125" bestFit="1" customWidth="1"/>
    <col min="10" max="10" width="8.42578125" bestFit="1" customWidth="1"/>
    <col min="11" max="11" width="5.7109375" bestFit="1" customWidth="1"/>
    <col min="12" max="12" width="10.85546875" bestFit="1" customWidth="1"/>
    <col min="13" max="13" width="5.5703125" bestFit="1" customWidth="1"/>
    <col min="14" max="14" width="15.42578125" bestFit="1" customWidth="1"/>
    <col min="15" max="15" width="14.5703125" bestFit="1" customWidth="1"/>
    <col min="16" max="16" width="13.140625" bestFit="1" customWidth="1"/>
    <col min="17" max="17" width="8.85546875" bestFit="1" customWidth="1"/>
    <col min="18" max="18" width="5.140625" bestFit="1" customWidth="1"/>
    <col min="19" max="19" width="10.140625" bestFit="1" customWidth="1"/>
    <col min="20" max="20" width="13.85546875" bestFit="1" customWidth="1"/>
    <col min="21" max="21" width="5.28515625" bestFit="1" customWidth="1"/>
    <col min="22" max="22" width="16" bestFit="1" customWidth="1"/>
    <col min="23" max="23" width="8.7109375" bestFit="1" customWidth="1"/>
    <col min="24" max="25" width="5.140625" bestFit="1" customWidth="1"/>
    <col min="26" max="26" width="20.7109375" bestFit="1" customWidth="1"/>
    <col min="27" max="27" width="16" bestFit="1" customWidth="1"/>
    <col min="28" max="28" width="10.140625" bestFit="1" customWidth="1"/>
    <col min="29" max="29" width="9.140625" bestFit="1" customWidth="1"/>
    <col min="30" max="30" width="12" bestFit="1" customWidth="1"/>
    <col min="31" max="31" width="12.85546875" bestFit="1" customWidth="1"/>
    <col min="32" max="32" width="9.28515625" bestFit="1" customWidth="1"/>
    <col min="33" max="33" width="8.5703125" bestFit="1" customWidth="1"/>
    <col min="34" max="34" width="11" bestFit="1" customWidth="1"/>
    <col min="35" max="35" width="13.28515625" bestFit="1" customWidth="1"/>
    <col min="36" max="36" width="13.85546875" bestFit="1" customWidth="1"/>
    <col min="37" max="38" width="11.28515625" bestFit="1" customWidth="1"/>
    <col min="39" max="39" width="11.7109375" bestFit="1" customWidth="1"/>
    <col min="40" max="40" width="12" bestFit="1" customWidth="1"/>
    <col min="41" max="41" width="16" bestFit="1" customWidth="1"/>
    <col min="42" max="42" width="12" bestFit="1" customWidth="1"/>
    <col min="43" max="43" width="13.42578125" bestFit="1" customWidth="1"/>
    <col min="44" max="44" width="12" bestFit="1" customWidth="1"/>
    <col min="45" max="45" width="15" bestFit="1" customWidth="1"/>
    <col min="46" max="46" width="12" bestFit="1" customWidth="1"/>
  </cols>
  <sheetData>
    <row r="3" spans="1:37" x14ac:dyDescent="0.25">
      <c r="A3" s="77" t="s">
        <v>174</v>
      </c>
      <c r="B3" s="77" t="s">
        <v>62</v>
      </c>
    </row>
    <row r="4" spans="1:37" x14ac:dyDescent="0.25">
      <c r="A4" s="77" t="s">
        <v>60</v>
      </c>
      <c r="B4" s="168" t="s">
        <v>15</v>
      </c>
      <c r="C4" s="168" t="s">
        <v>49</v>
      </c>
      <c r="D4" s="168" t="s">
        <v>102</v>
      </c>
      <c r="E4" s="168" t="s">
        <v>101</v>
      </c>
      <c r="F4" s="168" t="s">
        <v>19</v>
      </c>
      <c r="G4" s="168" t="s">
        <v>137</v>
      </c>
      <c r="H4" s="168" t="s">
        <v>96</v>
      </c>
      <c r="I4" s="168" t="s">
        <v>54</v>
      </c>
      <c r="J4" s="168" t="s">
        <v>158</v>
      </c>
      <c r="K4" s="168" t="s">
        <v>51</v>
      </c>
      <c r="L4" s="168" t="s">
        <v>6</v>
      </c>
      <c r="M4" s="168" t="s">
        <v>67</v>
      </c>
      <c r="N4" s="168" t="s">
        <v>162</v>
      </c>
      <c r="O4" s="168" t="s">
        <v>159</v>
      </c>
      <c r="P4" s="168" t="s">
        <v>103</v>
      </c>
      <c r="Q4" s="168" t="s">
        <v>12</v>
      </c>
      <c r="R4" s="168" t="s">
        <v>48</v>
      </c>
      <c r="S4" s="168" t="s">
        <v>136</v>
      </c>
      <c r="T4" s="168" t="s">
        <v>108</v>
      </c>
      <c r="U4" s="168" t="s">
        <v>53</v>
      </c>
      <c r="V4" s="168" t="s">
        <v>116</v>
      </c>
      <c r="W4" s="168" t="s">
        <v>14</v>
      </c>
      <c r="X4" s="168" t="s">
        <v>50</v>
      </c>
      <c r="Y4" s="168" t="s">
        <v>52</v>
      </c>
      <c r="Z4" s="168" t="s">
        <v>107</v>
      </c>
      <c r="AA4" s="168" t="s">
        <v>140</v>
      </c>
      <c r="AB4" s="168" t="s">
        <v>135</v>
      </c>
      <c r="AC4" s="168" t="s">
        <v>13</v>
      </c>
      <c r="AD4" s="168" t="s">
        <v>95</v>
      </c>
      <c r="AE4" s="168" t="s">
        <v>119</v>
      </c>
      <c r="AF4" s="168" t="s">
        <v>238</v>
      </c>
      <c r="AG4" s="168" t="s">
        <v>231</v>
      </c>
      <c r="AH4" s="168" t="s">
        <v>110</v>
      </c>
      <c r="AI4" s="168" t="s">
        <v>115</v>
      </c>
      <c r="AJ4" s="168" t="s">
        <v>118</v>
      </c>
      <c r="AK4" s="168" t="s">
        <v>61</v>
      </c>
    </row>
    <row r="5" spans="1:37" x14ac:dyDescent="0.25">
      <c r="A5" s="78" t="s">
        <v>109</v>
      </c>
      <c r="B5" s="237"/>
      <c r="C5" s="237"/>
      <c r="D5" s="237">
        <v>1462906</v>
      </c>
      <c r="E5" s="237">
        <v>4456697.0576533619</v>
      </c>
      <c r="F5" s="237"/>
      <c r="G5" s="237">
        <v>15470.434908329586</v>
      </c>
      <c r="H5" s="237"/>
      <c r="I5" s="237"/>
      <c r="J5" s="237">
        <v>428226</v>
      </c>
      <c r="K5" s="237">
        <v>257031</v>
      </c>
      <c r="L5" s="237"/>
      <c r="M5" s="237">
        <v>227802</v>
      </c>
      <c r="N5" s="237">
        <v>234</v>
      </c>
      <c r="O5" s="237"/>
      <c r="P5" s="237">
        <v>2444653.9999999995</v>
      </c>
      <c r="Q5" s="237"/>
      <c r="R5" s="237">
        <v>11358</v>
      </c>
      <c r="S5" s="237">
        <v>29476235.766141955</v>
      </c>
      <c r="T5" s="237"/>
      <c r="U5" s="237">
        <v>990078</v>
      </c>
      <c r="V5" s="237"/>
      <c r="W5" s="237"/>
      <c r="X5" s="237"/>
      <c r="Y5" s="237">
        <v>85935</v>
      </c>
      <c r="Z5" s="237"/>
      <c r="AA5" s="237">
        <v>8354441.8810100975</v>
      </c>
      <c r="AB5" s="237">
        <v>24400617.067250848</v>
      </c>
      <c r="AC5" s="237"/>
      <c r="AD5" s="237"/>
      <c r="AE5" s="237"/>
      <c r="AF5" s="237"/>
      <c r="AG5" s="237"/>
      <c r="AH5" s="237"/>
      <c r="AI5" s="237"/>
      <c r="AJ5" s="237"/>
      <c r="AK5" s="237">
        <v>72611686.206964582</v>
      </c>
    </row>
    <row r="6" spans="1:37" x14ac:dyDescent="0.25">
      <c r="A6" s="79">
        <v>2019</v>
      </c>
      <c r="B6" s="237"/>
      <c r="C6" s="237"/>
      <c r="D6" s="237">
        <v>729134</v>
      </c>
      <c r="E6" s="237">
        <v>757087.00000000012</v>
      </c>
      <c r="F6" s="237"/>
      <c r="G6" s="237">
        <v>4441.5</v>
      </c>
      <c r="H6" s="237"/>
      <c r="I6" s="237"/>
      <c r="J6" s="237">
        <v>142742</v>
      </c>
      <c r="K6" s="237">
        <v>85676.999999999985</v>
      </c>
      <c r="L6" s="237"/>
      <c r="M6" s="237">
        <v>75934</v>
      </c>
      <c r="N6" s="237">
        <v>78</v>
      </c>
      <c r="O6" s="237"/>
      <c r="P6" s="237">
        <v>995654</v>
      </c>
      <c r="Q6" s="237"/>
      <c r="R6" s="237">
        <v>3785.9999999999991</v>
      </c>
      <c r="S6" s="237">
        <v>4353509.666666667</v>
      </c>
      <c r="T6" s="237"/>
      <c r="U6" s="237">
        <v>330026</v>
      </c>
      <c r="V6" s="237"/>
      <c r="W6" s="237"/>
      <c r="X6" s="237"/>
      <c r="Y6" s="237">
        <v>28645.000000000004</v>
      </c>
      <c r="Z6" s="237"/>
      <c r="AA6" s="237">
        <v>2668834</v>
      </c>
      <c r="AB6" s="237">
        <v>2914869.3333333335</v>
      </c>
      <c r="AC6" s="237"/>
      <c r="AD6" s="237"/>
      <c r="AE6" s="237"/>
      <c r="AF6" s="237"/>
      <c r="AG6" s="237"/>
      <c r="AH6" s="237"/>
      <c r="AI6" s="237"/>
      <c r="AJ6" s="237"/>
      <c r="AK6" s="237">
        <v>13090417.500000002</v>
      </c>
    </row>
    <row r="7" spans="1:37" x14ac:dyDescent="0.25">
      <c r="A7" s="79">
        <v>2030</v>
      </c>
      <c r="B7" s="237"/>
      <c r="C7" s="237"/>
      <c r="D7" s="237">
        <v>363995</v>
      </c>
      <c r="E7" s="237">
        <v>1806588.5568306167</v>
      </c>
      <c r="F7" s="237"/>
      <c r="G7" s="237">
        <v>5425.756836419002</v>
      </c>
      <c r="H7" s="237"/>
      <c r="I7" s="237"/>
      <c r="J7" s="237">
        <v>142742</v>
      </c>
      <c r="K7" s="237">
        <v>85677.000000000029</v>
      </c>
      <c r="L7" s="237"/>
      <c r="M7" s="237">
        <v>75934</v>
      </c>
      <c r="N7" s="237">
        <v>78</v>
      </c>
      <c r="O7" s="237"/>
      <c r="P7" s="237">
        <v>725967.99999999977</v>
      </c>
      <c r="Q7" s="237"/>
      <c r="R7" s="237">
        <v>3786.0000000000009</v>
      </c>
      <c r="S7" s="237">
        <v>12682532.726209817</v>
      </c>
      <c r="T7" s="237"/>
      <c r="U7" s="237">
        <v>330026</v>
      </c>
      <c r="V7" s="237"/>
      <c r="W7" s="237"/>
      <c r="X7" s="237"/>
      <c r="Y7" s="237">
        <v>28644.999999999996</v>
      </c>
      <c r="Z7" s="237"/>
      <c r="AA7" s="237">
        <v>2785221.7345641684</v>
      </c>
      <c r="AB7" s="237">
        <v>10976808.596855612</v>
      </c>
      <c r="AC7" s="237"/>
      <c r="AD7" s="237"/>
      <c r="AE7" s="237"/>
      <c r="AF7" s="237"/>
      <c r="AG7" s="237"/>
      <c r="AH7" s="237"/>
      <c r="AI7" s="237"/>
      <c r="AJ7" s="237"/>
      <c r="AK7" s="237">
        <v>30013428.371296629</v>
      </c>
    </row>
    <row r="8" spans="1:37" x14ac:dyDescent="0.25">
      <c r="A8" s="79">
        <v>2050</v>
      </c>
      <c r="B8" s="237"/>
      <c r="C8" s="237"/>
      <c r="D8" s="237">
        <v>369777</v>
      </c>
      <c r="E8" s="237">
        <v>1893021.5008227448</v>
      </c>
      <c r="F8" s="237"/>
      <c r="G8" s="237">
        <v>5603.1780719105855</v>
      </c>
      <c r="H8" s="237"/>
      <c r="I8" s="237"/>
      <c r="J8" s="237">
        <v>142742</v>
      </c>
      <c r="K8" s="237">
        <v>85676.999999999985</v>
      </c>
      <c r="L8" s="237"/>
      <c r="M8" s="237">
        <v>75934.000000000015</v>
      </c>
      <c r="N8" s="237">
        <v>78</v>
      </c>
      <c r="O8" s="237"/>
      <c r="P8" s="237">
        <v>723031.99999999988</v>
      </c>
      <c r="Q8" s="237"/>
      <c r="R8" s="237">
        <v>3786</v>
      </c>
      <c r="S8" s="237">
        <v>12440193.373265471</v>
      </c>
      <c r="T8" s="237"/>
      <c r="U8" s="237">
        <v>330026</v>
      </c>
      <c r="V8" s="237"/>
      <c r="W8" s="237"/>
      <c r="X8" s="237"/>
      <c r="Y8" s="237">
        <v>28645.000000000007</v>
      </c>
      <c r="Z8" s="237"/>
      <c r="AA8" s="237">
        <v>2900386.1464459291</v>
      </c>
      <c r="AB8" s="237">
        <v>10508939.137061903</v>
      </c>
      <c r="AC8" s="237"/>
      <c r="AD8" s="237"/>
      <c r="AE8" s="237"/>
      <c r="AF8" s="237"/>
      <c r="AG8" s="237"/>
      <c r="AH8" s="237"/>
      <c r="AI8" s="237"/>
      <c r="AJ8" s="237"/>
      <c r="AK8" s="237">
        <v>29507840.33566796</v>
      </c>
    </row>
    <row r="9" spans="1:37" x14ac:dyDescent="0.25">
      <c r="A9" s="78" t="s">
        <v>112</v>
      </c>
      <c r="B9" s="237"/>
      <c r="C9" s="237">
        <v>246211.3135783691</v>
      </c>
      <c r="D9" s="237"/>
      <c r="E9" s="237"/>
      <c r="F9" s="237"/>
      <c r="G9" s="237"/>
      <c r="H9" s="237"/>
      <c r="I9" s="237"/>
      <c r="J9" s="237"/>
      <c r="K9" s="237">
        <v>46715177.14991805</v>
      </c>
      <c r="L9" s="237"/>
      <c r="M9" s="237">
        <v>2951116.1613629516</v>
      </c>
      <c r="N9" s="237"/>
      <c r="O9" s="237">
        <v>18431652.502602909</v>
      </c>
      <c r="P9" s="237"/>
      <c r="Q9" s="237">
        <v>0</v>
      </c>
      <c r="R9" s="237">
        <v>22442845.152983833</v>
      </c>
      <c r="S9" s="237"/>
      <c r="T9" s="237">
        <v>5785965.8690916728</v>
      </c>
      <c r="U9" s="237">
        <v>21594783.96176945</v>
      </c>
      <c r="V9" s="237"/>
      <c r="W9" s="237"/>
      <c r="X9" s="237"/>
      <c r="Y9" s="237">
        <v>3211005.8812512299</v>
      </c>
      <c r="Z9" s="237">
        <v>150462.46940900333</v>
      </c>
      <c r="AA9" s="237"/>
      <c r="AB9" s="237"/>
      <c r="AC9" s="237"/>
      <c r="AD9" s="237"/>
      <c r="AE9" s="237"/>
      <c r="AF9" s="237">
        <v>817284.77701708628</v>
      </c>
      <c r="AG9" s="237"/>
      <c r="AH9" s="237"/>
      <c r="AI9" s="237"/>
      <c r="AJ9" s="237"/>
      <c r="AK9" s="237">
        <v>122346505.23898456</v>
      </c>
    </row>
    <row r="10" spans="1:37" x14ac:dyDescent="0.25">
      <c r="A10" s="79">
        <v>2019</v>
      </c>
      <c r="B10" s="237"/>
      <c r="C10" s="237">
        <v>72415.092228932088</v>
      </c>
      <c r="D10" s="237"/>
      <c r="E10" s="237"/>
      <c r="F10" s="237"/>
      <c r="G10" s="237"/>
      <c r="H10" s="237"/>
      <c r="I10" s="237"/>
      <c r="J10" s="237"/>
      <c r="K10" s="237">
        <v>13739757.985270014</v>
      </c>
      <c r="L10" s="237"/>
      <c r="M10" s="237">
        <v>867975.34157733875</v>
      </c>
      <c r="N10" s="237"/>
      <c r="O10" s="237">
        <v>5421074.2654714445</v>
      </c>
      <c r="P10" s="237"/>
      <c r="Q10" s="237">
        <v>0</v>
      </c>
      <c r="R10" s="237">
        <v>6600836.8097011279</v>
      </c>
      <c r="S10" s="237"/>
      <c r="T10" s="237">
        <v>1701754.6673799041</v>
      </c>
      <c r="U10" s="237">
        <v>6351407.0475792512</v>
      </c>
      <c r="V10" s="237"/>
      <c r="W10" s="237"/>
      <c r="X10" s="237"/>
      <c r="Y10" s="237">
        <v>944413.49448565592</v>
      </c>
      <c r="Z10" s="237">
        <v>44253.667473236274</v>
      </c>
      <c r="AA10" s="237"/>
      <c r="AB10" s="237"/>
      <c r="AC10" s="237"/>
      <c r="AD10" s="237"/>
      <c r="AE10" s="237"/>
      <c r="AF10" s="237">
        <v>240377.87559326066</v>
      </c>
      <c r="AG10" s="237"/>
      <c r="AH10" s="237"/>
      <c r="AI10" s="237"/>
      <c r="AJ10" s="237"/>
      <c r="AK10" s="237">
        <v>35984266.24676016</v>
      </c>
    </row>
    <row r="11" spans="1:37" x14ac:dyDescent="0.25">
      <c r="A11" s="79">
        <v>2030</v>
      </c>
      <c r="B11" s="237"/>
      <c r="C11" s="237">
        <v>86898.110674718482</v>
      </c>
      <c r="D11" s="237"/>
      <c r="E11" s="237"/>
      <c r="F11" s="237"/>
      <c r="G11" s="237"/>
      <c r="H11" s="237"/>
      <c r="I11" s="237"/>
      <c r="J11" s="237"/>
      <c r="K11" s="237">
        <v>16487709.582324015</v>
      </c>
      <c r="L11" s="237"/>
      <c r="M11" s="237">
        <v>1041570.4098928064</v>
      </c>
      <c r="N11" s="237"/>
      <c r="O11" s="237">
        <v>6505289.1185657317</v>
      </c>
      <c r="P11" s="237"/>
      <c r="Q11" s="237">
        <v>0</v>
      </c>
      <c r="R11" s="237">
        <v>7921004.1716413517</v>
      </c>
      <c r="S11" s="237"/>
      <c r="T11" s="237">
        <v>2042105.6008558844</v>
      </c>
      <c r="U11" s="237">
        <v>7621688.4570950996</v>
      </c>
      <c r="V11" s="237"/>
      <c r="W11" s="237"/>
      <c r="X11" s="237"/>
      <c r="Y11" s="237">
        <v>1133296.1933827871</v>
      </c>
      <c r="Z11" s="237">
        <v>53104.400967883521</v>
      </c>
      <c r="AA11" s="237"/>
      <c r="AB11" s="237"/>
      <c r="AC11" s="237"/>
      <c r="AD11" s="237"/>
      <c r="AE11" s="237"/>
      <c r="AF11" s="237">
        <v>288453.45071191277</v>
      </c>
      <c r="AG11" s="237"/>
      <c r="AH11" s="237"/>
      <c r="AI11" s="237"/>
      <c r="AJ11" s="237"/>
      <c r="AK11" s="237">
        <v>43181119.49611219</v>
      </c>
    </row>
    <row r="12" spans="1:37" x14ac:dyDescent="0.25">
      <c r="A12" s="79">
        <v>2050</v>
      </c>
      <c r="B12" s="237"/>
      <c r="C12" s="237">
        <v>86898.110674718497</v>
      </c>
      <c r="D12" s="237"/>
      <c r="E12" s="237"/>
      <c r="F12" s="237"/>
      <c r="G12" s="237"/>
      <c r="H12" s="237"/>
      <c r="I12" s="237"/>
      <c r="J12" s="237"/>
      <c r="K12" s="237">
        <v>16487709.582324017</v>
      </c>
      <c r="L12" s="237"/>
      <c r="M12" s="237">
        <v>1041570.4098928064</v>
      </c>
      <c r="N12" s="237"/>
      <c r="O12" s="237">
        <v>6505289.1185657317</v>
      </c>
      <c r="P12" s="237"/>
      <c r="Q12" s="237">
        <v>0</v>
      </c>
      <c r="R12" s="237">
        <v>7921004.1716413526</v>
      </c>
      <c r="S12" s="237"/>
      <c r="T12" s="237">
        <v>2042105.6008558844</v>
      </c>
      <c r="U12" s="237">
        <v>7621688.4570951005</v>
      </c>
      <c r="V12" s="237"/>
      <c r="W12" s="237"/>
      <c r="X12" s="237"/>
      <c r="Y12" s="237">
        <v>1133296.1933827871</v>
      </c>
      <c r="Z12" s="237">
        <v>53104.400967883521</v>
      </c>
      <c r="AA12" s="237"/>
      <c r="AB12" s="237"/>
      <c r="AC12" s="237"/>
      <c r="AD12" s="237"/>
      <c r="AE12" s="237"/>
      <c r="AF12" s="237">
        <v>288453.45071191277</v>
      </c>
      <c r="AG12" s="237"/>
      <c r="AH12" s="237"/>
      <c r="AI12" s="237"/>
      <c r="AJ12" s="237"/>
      <c r="AK12" s="237">
        <v>43181119.49611219</v>
      </c>
    </row>
    <row r="13" spans="1:37" x14ac:dyDescent="0.25">
      <c r="A13" s="78" t="s">
        <v>127</v>
      </c>
      <c r="B13" s="237">
        <v>182574.19618217932</v>
      </c>
      <c r="C13" s="237">
        <v>0</v>
      </c>
      <c r="D13" s="237"/>
      <c r="E13" s="237"/>
      <c r="F13" s="237">
        <v>281468.55244752642</v>
      </c>
      <c r="G13" s="237"/>
      <c r="H13" s="237">
        <v>197788.71253069426</v>
      </c>
      <c r="I13" s="237">
        <v>1445379.0531089196</v>
      </c>
      <c r="J13" s="237"/>
      <c r="K13" s="237"/>
      <c r="L13" s="237">
        <v>1513844.376677237</v>
      </c>
      <c r="M13" s="237"/>
      <c r="N13" s="237"/>
      <c r="O13" s="237"/>
      <c r="P13" s="237"/>
      <c r="Q13" s="237">
        <v>692260.49385742994</v>
      </c>
      <c r="R13" s="237">
        <v>1658382.281988129</v>
      </c>
      <c r="S13" s="237"/>
      <c r="T13" s="237"/>
      <c r="U13" s="237"/>
      <c r="V13" s="237">
        <v>2647325.8446415998</v>
      </c>
      <c r="W13" s="237">
        <v>336392.95646566537</v>
      </c>
      <c r="X13" s="237"/>
      <c r="Y13" s="237"/>
      <c r="Z13" s="237"/>
      <c r="AA13" s="237"/>
      <c r="AB13" s="237"/>
      <c r="AC13" s="237">
        <v>682979.63888483576</v>
      </c>
      <c r="AD13" s="237"/>
      <c r="AE13" s="237"/>
      <c r="AF13" s="237"/>
      <c r="AG13" s="237"/>
      <c r="AH13" s="237"/>
      <c r="AI13" s="237"/>
      <c r="AJ13" s="237"/>
      <c r="AK13" s="237">
        <v>9638396.1067842171</v>
      </c>
    </row>
    <row r="14" spans="1:37" x14ac:dyDescent="0.25">
      <c r="A14" s="79">
        <v>2019</v>
      </c>
      <c r="B14" s="237">
        <v>58403.100598004137</v>
      </c>
      <c r="C14" s="237">
        <v>0</v>
      </c>
      <c r="D14" s="237"/>
      <c r="E14" s="237"/>
      <c r="F14" s="237">
        <v>90038.113421923044</v>
      </c>
      <c r="G14" s="237"/>
      <c r="H14" s="237">
        <v>63270.025647837821</v>
      </c>
      <c r="I14" s="237">
        <v>462357.87973419944</v>
      </c>
      <c r="J14" s="237"/>
      <c r="K14" s="237"/>
      <c r="L14" s="237">
        <v>484259.042458451</v>
      </c>
      <c r="M14" s="237"/>
      <c r="N14" s="237"/>
      <c r="O14" s="237"/>
      <c r="P14" s="237"/>
      <c r="Q14" s="237">
        <v>221445.08976743236</v>
      </c>
      <c r="R14" s="237">
        <v>530494.83043187088</v>
      </c>
      <c r="S14" s="237"/>
      <c r="T14" s="237"/>
      <c r="U14" s="237"/>
      <c r="V14" s="237">
        <v>846844.95867106004</v>
      </c>
      <c r="W14" s="237">
        <v>107607.71285182264</v>
      </c>
      <c r="X14" s="237"/>
      <c r="Y14" s="237"/>
      <c r="Z14" s="237"/>
      <c r="AA14" s="237"/>
      <c r="AB14" s="237"/>
      <c r="AC14" s="237">
        <v>218476.26548703379</v>
      </c>
      <c r="AD14" s="237"/>
      <c r="AE14" s="237"/>
      <c r="AF14" s="237"/>
      <c r="AG14" s="237"/>
      <c r="AH14" s="237"/>
      <c r="AI14" s="237"/>
      <c r="AJ14" s="237"/>
      <c r="AK14" s="237">
        <v>3083197.0190696353</v>
      </c>
    </row>
    <row r="15" spans="1:37" x14ac:dyDescent="0.25">
      <c r="A15" s="79">
        <v>2030</v>
      </c>
      <c r="B15" s="237">
        <v>60789.12467762841</v>
      </c>
      <c r="C15" s="237">
        <v>0</v>
      </c>
      <c r="D15" s="237"/>
      <c r="E15" s="237"/>
      <c r="F15" s="237">
        <v>93716.56721134379</v>
      </c>
      <c r="G15" s="237"/>
      <c r="H15" s="237">
        <v>65854.885067430776</v>
      </c>
      <c r="I15" s="237">
        <v>481247.23703122488</v>
      </c>
      <c r="J15" s="237"/>
      <c r="K15" s="237"/>
      <c r="L15" s="237">
        <v>504043.1587853356</v>
      </c>
      <c r="M15" s="237"/>
      <c r="N15" s="237"/>
      <c r="O15" s="237"/>
      <c r="P15" s="237"/>
      <c r="Q15" s="237">
        <v>230492.09773600774</v>
      </c>
      <c r="R15" s="237">
        <v>552167.88248845807</v>
      </c>
      <c r="S15" s="237"/>
      <c r="T15" s="237"/>
      <c r="U15" s="237"/>
      <c r="V15" s="237">
        <v>881442.3078256119</v>
      </c>
      <c r="W15" s="237">
        <v>112003.96221853035</v>
      </c>
      <c r="X15" s="237"/>
      <c r="Y15" s="237"/>
      <c r="Z15" s="237"/>
      <c r="AA15" s="237"/>
      <c r="AB15" s="237"/>
      <c r="AC15" s="237">
        <v>227401.98389822827</v>
      </c>
      <c r="AD15" s="237"/>
      <c r="AE15" s="237"/>
      <c r="AF15" s="237"/>
      <c r="AG15" s="237"/>
      <c r="AH15" s="237"/>
      <c r="AI15" s="237"/>
      <c r="AJ15" s="237"/>
      <c r="AK15" s="237">
        <v>3209159.2069397997</v>
      </c>
    </row>
    <row r="16" spans="1:37" x14ac:dyDescent="0.25">
      <c r="A16" s="79">
        <v>2050</v>
      </c>
      <c r="B16" s="237">
        <v>63381.970906546776</v>
      </c>
      <c r="C16" s="237">
        <v>0</v>
      </c>
      <c r="D16" s="237"/>
      <c r="E16" s="237"/>
      <c r="F16" s="237">
        <v>97713.871814259604</v>
      </c>
      <c r="G16" s="237"/>
      <c r="H16" s="237">
        <v>68663.801815425672</v>
      </c>
      <c r="I16" s="237">
        <v>501773.93634349527</v>
      </c>
      <c r="J16" s="237"/>
      <c r="K16" s="237"/>
      <c r="L16" s="237">
        <v>525542.17543345026</v>
      </c>
      <c r="M16" s="237"/>
      <c r="N16" s="237"/>
      <c r="O16" s="237"/>
      <c r="P16" s="237"/>
      <c r="Q16" s="237">
        <v>240323.30635398987</v>
      </c>
      <c r="R16" s="237">
        <v>575719.56906779984</v>
      </c>
      <c r="S16" s="237"/>
      <c r="T16" s="237"/>
      <c r="U16" s="237"/>
      <c r="V16" s="237">
        <v>919038.57814492821</v>
      </c>
      <c r="W16" s="237">
        <v>116781.28139531243</v>
      </c>
      <c r="X16" s="237"/>
      <c r="Y16" s="237"/>
      <c r="Z16" s="237"/>
      <c r="AA16" s="237"/>
      <c r="AB16" s="237"/>
      <c r="AC16" s="237">
        <v>237101.38949957371</v>
      </c>
      <c r="AD16" s="237"/>
      <c r="AE16" s="237"/>
      <c r="AF16" s="237"/>
      <c r="AG16" s="237"/>
      <c r="AH16" s="237"/>
      <c r="AI16" s="237"/>
      <c r="AJ16" s="237"/>
      <c r="AK16" s="237">
        <v>3346039.8807747816</v>
      </c>
    </row>
    <row r="17" spans="1:37" x14ac:dyDescent="0.25">
      <c r="A17" s="78" t="s">
        <v>120</v>
      </c>
      <c r="B17" s="237"/>
      <c r="C17" s="237"/>
      <c r="D17" s="237">
        <v>0</v>
      </c>
      <c r="E17" s="237"/>
      <c r="F17" s="237"/>
      <c r="G17" s="237"/>
      <c r="H17" s="237"/>
      <c r="I17" s="237"/>
      <c r="J17" s="237"/>
      <c r="K17" s="237"/>
      <c r="L17" s="237"/>
      <c r="M17" s="237">
        <v>4718411.2755084336</v>
      </c>
      <c r="N17" s="237">
        <v>2948193</v>
      </c>
      <c r="O17" s="237"/>
      <c r="P17" s="237"/>
      <c r="Q17" s="237"/>
      <c r="R17" s="237"/>
      <c r="S17" s="237"/>
      <c r="T17" s="237"/>
      <c r="U17" s="237"/>
      <c r="V17" s="237"/>
      <c r="W17" s="237"/>
      <c r="X17" s="237"/>
      <c r="Y17" s="237"/>
      <c r="Z17" s="237"/>
      <c r="AA17" s="237"/>
      <c r="AB17" s="237"/>
      <c r="AC17" s="237"/>
      <c r="AD17" s="237">
        <v>652261.37250543782</v>
      </c>
      <c r="AE17" s="237">
        <v>8445344.7369239964</v>
      </c>
      <c r="AF17" s="237"/>
      <c r="AG17" s="237">
        <v>577039.41724414949</v>
      </c>
      <c r="AH17" s="237"/>
      <c r="AI17" s="237"/>
      <c r="AJ17" s="237"/>
      <c r="AK17" s="237">
        <v>17341249.802182019</v>
      </c>
    </row>
    <row r="18" spans="1:37" x14ac:dyDescent="0.25">
      <c r="A18" s="79">
        <v>2019</v>
      </c>
      <c r="B18" s="237"/>
      <c r="C18" s="237"/>
      <c r="D18" s="237">
        <v>0</v>
      </c>
      <c r="E18" s="237"/>
      <c r="F18" s="237"/>
      <c r="G18" s="237"/>
      <c r="H18" s="237"/>
      <c r="I18" s="237"/>
      <c r="J18" s="237"/>
      <c r="K18" s="237"/>
      <c r="L18" s="237"/>
      <c r="M18" s="237">
        <v>1893765.2125355615</v>
      </c>
      <c r="N18" s="237">
        <v>982731</v>
      </c>
      <c r="O18" s="237"/>
      <c r="P18" s="237"/>
      <c r="Q18" s="237"/>
      <c r="R18" s="237"/>
      <c r="S18" s="237"/>
      <c r="T18" s="237"/>
      <c r="U18" s="237"/>
      <c r="V18" s="237"/>
      <c r="W18" s="237"/>
      <c r="X18" s="237"/>
      <c r="Y18" s="237"/>
      <c r="Z18" s="237"/>
      <c r="AA18" s="237"/>
      <c r="AB18" s="237"/>
      <c r="AC18" s="237"/>
      <c r="AD18" s="237">
        <v>209782.38739500003</v>
      </c>
      <c r="AE18" s="237">
        <v>3010238.4923246857</v>
      </c>
      <c r="AF18" s="237"/>
      <c r="AG18" s="237">
        <v>112887.06079513082</v>
      </c>
      <c r="AH18" s="237"/>
      <c r="AI18" s="237"/>
      <c r="AJ18" s="237"/>
      <c r="AK18" s="237">
        <v>6209404.1530503789</v>
      </c>
    </row>
    <row r="19" spans="1:37" x14ac:dyDescent="0.25">
      <c r="A19" s="79">
        <v>2030</v>
      </c>
      <c r="B19" s="237"/>
      <c r="C19" s="237"/>
      <c r="D19" s="237">
        <v>0</v>
      </c>
      <c r="E19" s="237"/>
      <c r="F19" s="237"/>
      <c r="G19" s="237"/>
      <c r="H19" s="237"/>
      <c r="I19" s="237"/>
      <c r="J19" s="237"/>
      <c r="K19" s="237"/>
      <c r="L19" s="237"/>
      <c r="M19" s="237">
        <v>1462839.8903218857</v>
      </c>
      <c r="N19" s="237">
        <v>982731</v>
      </c>
      <c r="O19" s="237"/>
      <c r="P19" s="237"/>
      <c r="Q19" s="237"/>
      <c r="R19" s="237"/>
      <c r="S19" s="237"/>
      <c r="T19" s="237"/>
      <c r="U19" s="237"/>
      <c r="V19" s="237"/>
      <c r="W19" s="237"/>
      <c r="X19" s="237"/>
      <c r="Y19" s="237"/>
      <c r="Z19" s="237"/>
      <c r="AA19" s="237"/>
      <c r="AB19" s="237"/>
      <c r="AC19" s="237"/>
      <c r="AD19" s="237">
        <v>216936.14364827855</v>
      </c>
      <c r="AE19" s="237">
        <v>2848752.9835421797</v>
      </c>
      <c r="AF19" s="237"/>
      <c r="AG19" s="237">
        <v>227903.51886082417</v>
      </c>
      <c r="AH19" s="237"/>
      <c r="AI19" s="237"/>
      <c r="AJ19" s="237"/>
      <c r="AK19" s="237">
        <v>5739163.5363731682</v>
      </c>
    </row>
    <row r="20" spans="1:37" x14ac:dyDescent="0.25">
      <c r="A20" s="79">
        <v>2050</v>
      </c>
      <c r="B20" s="237"/>
      <c r="C20" s="237"/>
      <c r="D20" s="237">
        <v>0</v>
      </c>
      <c r="E20" s="237"/>
      <c r="F20" s="237"/>
      <c r="G20" s="237"/>
      <c r="H20" s="237"/>
      <c r="I20" s="237"/>
      <c r="J20" s="237"/>
      <c r="K20" s="237"/>
      <c r="L20" s="237"/>
      <c r="M20" s="237">
        <v>1361806.1726509859</v>
      </c>
      <c r="N20" s="237">
        <v>982731</v>
      </c>
      <c r="O20" s="237"/>
      <c r="P20" s="237"/>
      <c r="Q20" s="237"/>
      <c r="R20" s="237"/>
      <c r="S20" s="237"/>
      <c r="T20" s="237"/>
      <c r="U20" s="237"/>
      <c r="V20" s="237"/>
      <c r="W20" s="237"/>
      <c r="X20" s="237"/>
      <c r="Y20" s="237"/>
      <c r="Z20" s="237"/>
      <c r="AA20" s="237"/>
      <c r="AB20" s="237"/>
      <c r="AC20" s="237"/>
      <c r="AD20" s="237">
        <v>225542.84146215921</v>
      </c>
      <c r="AE20" s="237">
        <v>2586353.261057131</v>
      </c>
      <c r="AF20" s="237"/>
      <c r="AG20" s="237">
        <v>236248.83758819452</v>
      </c>
      <c r="AH20" s="237"/>
      <c r="AI20" s="237"/>
      <c r="AJ20" s="237"/>
      <c r="AK20" s="237">
        <v>5392682.1127584707</v>
      </c>
    </row>
    <row r="21" spans="1:37" x14ac:dyDescent="0.25">
      <c r="A21" s="78" t="s">
        <v>164</v>
      </c>
      <c r="B21" s="237"/>
      <c r="C21" s="237"/>
      <c r="D21" s="237">
        <v>0</v>
      </c>
      <c r="E21" s="237"/>
      <c r="F21" s="237"/>
      <c r="G21" s="237"/>
      <c r="H21" s="237"/>
      <c r="I21" s="237"/>
      <c r="J21" s="237"/>
      <c r="K21" s="237"/>
      <c r="L21" s="237"/>
      <c r="M21" s="237">
        <v>0</v>
      </c>
      <c r="N21" s="237">
        <v>0</v>
      </c>
      <c r="O21" s="237"/>
      <c r="P21" s="237"/>
      <c r="Q21" s="237"/>
      <c r="R21" s="237"/>
      <c r="S21" s="237"/>
      <c r="T21" s="237"/>
      <c r="U21" s="237"/>
      <c r="V21" s="237"/>
      <c r="W21" s="237"/>
      <c r="X21" s="237"/>
      <c r="Y21" s="237"/>
      <c r="Z21" s="237"/>
      <c r="AA21" s="237"/>
      <c r="AB21" s="237"/>
      <c r="AC21" s="237"/>
      <c r="AD21" s="237">
        <v>0</v>
      </c>
      <c r="AE21" s="237"/>
      <c r="AF21" s="237"/>
      <c r="AG21" s="237">
        <v>104203.4407339669</v>
      </c>
      <c r="AH21" s="237"/>
      <c r="AI21" s="237"/>
      <c r="AJ21" s="237">
        <v>2323859.5027345954</v>
      </c>
      <c r="AK21" s="237">
        <v>2428062.9434685623</v>
      </c>
    </row>
    <row r="22" spans="1:37" x14ac:dyDescent="0.25">
      <c r="A22" s="79">
        <v>2019</v>
      </c>
      <c r="B22" s="237"/>
      <c r="C22" s="237"/>
      <c r="D22" s="237">
        <v>0</v>
      </c>
      <c r="E22" s="237"/>
      <c r="F22" s="237"/>
      <c r="G22" s="237"/>
      <c r="H22" s="237"/>
      <c r="I22" s="237"/>
      <c r="J22" s="237"/>
      <c r="K22" s="237"/>
      <c r="L22" s="237"/>
      <c r="M22" s="237">
        <v>0</v>
      </c>
      <c r="N22" s="237">
        <v>0</v>
      </c>
      <c r="O22" s="237"/>
      <c r="P22" s="237"/>
      <c r="Q22" s="237"/>
      <c r="R22" s="237"/>
      <c r="S22" s="237"/>
      <c r="T22" s="237"/>
      <c r="U22" s="237"/>
      <c r="V22" s="237"/>
      <c r="W22" s="237"/>
      <c r="X22" s="237"/>
      <c r="Y22" s="237"/>
      <c r="Z22" s="237"/>
      <c r="AA22" s="237"/>
      <c r="AB22" s="237"/>
      <c r="AC22" s="237"/>
      <c r="AD22" s="237">
        <v>0</v>
      </c>
      <c r="AE22" s="237"/>
      <c r="AF22" s="237"/>
      <c r="AG22" s="237">
        <v>104203.4407339669</v>
      </c>
      <c r="AH22" s="237"/>
      <c r="AI22" s="237"/>
      <c r="AJ22" s="237">
        <v>827693.20492220437</v>
      </c>
      <c r="AK22" s="237">
        <v>931896.64565617125</v>
      </c>
    </row>
    <row r="23" spans="1:37" x14ac:dyDescent="0.25">
      <c r="A23" s="79">
        <v>2030</v>
      </c>
      <c r="B23" s="237"/>
      <c r="C23" s="237"/>
      <c r="D23" s="237">
        <v>0</v>
      </c>
      <c r="E23" s="237"/>
      <c r="F23" s="237"/>
      <c r="G23" s="237"/>
      <c r="H23" s="237"/>
      <c r="I23" s="237"/>
      <c r="J23" s="237"/>
      <c r="K23" s="237"/>
      <c r="L23" s="237"/>
      <c r="M23" s="237">
        <v>0</v>
      </c>
      <c r="N23" s="237">
        <v>0</v>
      </c>
      <c r="O23" s="237"/>
      <c r="P23" s="237"/>
      <c r="Q23" s="237"/>
      <c r="R23" s="237"/>
      <c r="S23" s="237"/>
      <c r="T23" s="237"/>
      <c r="U23" s="237"/>
      <c r="V23" s="237"/>
      <c r="W23" s="237"/>
      <c r="X23" s="237"/>
      <c r="Y23" s="237"/>
      <c r="Z23" s="237"/>
      <c r="AA23" s="237"/>
      <c r="AB23" s="237"/>
      <c r="AC23" s="237"/>
      <c r="AD23" s="237">
        <v>0</v>
      </c>
      <c r="AE23" s="237"/>
      <c r="AF23" s="237"/>
      <c r="AG23" s="237">
        <v>0</v>
      </c>
      <c r="AH23" s="237"/>
      <c r="AI23" s="237"/>
      <c r="AJ23" s="237">
        <v>783291.25515859458</v>
      </c>
      <c r="AK23" s="237">
        <v>783291.25515859458</v>
      </c>
    </row>
    <row r="24" spans="1:37" x14ac:dyDescent="0.25">
      <c r="A24" s="79">
        <v>2050</v>
      </c>
      <c r="B24" s="237"/>
      <c r="C24" s="237"/>
      <c r="D24" s="237">
        <v>0</v>
      </c>
      <c r="E24" s="237"/>
      <c r="F24" s="237"/>
      <c r="G24" s="237"/>
      <c r="H24" s="237"/>
      <c r="I24" s="237"/>
      <c r="J24" s="237"/>
      <c r="K24" s="237"/>
      <c r="L24" s="237"/>
      <c r="M24" s="237">
        <v>0</v>
      </c>
      <c r="N24" s="237">
        <v>0</v>
      </c>
      <c r="O24" s="237"/>
      <c r="P24" s="237"/>
      <c r="Q24" s="237"/>
      <c r="R24" s="237"/>
      <c r="S24" s="237"/>
      <c r="T24" s="237"/>
      <c r="U24" s="237"/>
      <c r="V24" s="237"/>
      <c r="W24" s="237"/>
      <c r="X24" s="237"/>
      <c r="Y24" s="237"/>
      <c r="Z24" s="237"/>
      <c r="AA24" s="237"/>
      <c r="AB24" s="237"/>
      <c r="AC24" s="237"/>
      <c r="AD24" s="237">
        <v>0</v>
      </c>
      <c r="AE24" s="237"/>
      <c r="AF24" s="237"/>
      <c r="AG24" s="237">
        <v>0</v>
      </c>
      <c r="AH24" s="237"/>
      <c r="AI24" s="237"/>
      <c r="AJ24" s="237">
        <v>712875.04265379638</v>
      </c>
      <c r="AK24" s="237">
        <v>712875.04265379638</v>
      </c>
    </row>
    <row r="25" spans="1:37" x14ac:dyDescent="0.25">
      <c r="A25" s="78" t="s">
        <v>114</v>
      </c>
      <c r="B25" s="237"/>
      <c r="C25" s="237"/>
      <c r="D25" s="237"/>
      <c r="E25" s="237">
        <v>2224331.6575402012</v>
      </c>
      <c r="F25" s="237"/>
      <c r="G25" s="237">
        <v>15470.434908329586</v>
      </c>
      <c r="H25" s="237"/>
      <c r="I25" s="237"/>
      <c r="J25" s="237"/>
      <c r="K25" s="237"/>
      <c r="L25" s="237"/>
      <c r="M25" s="237"/>
      <c r="N25" s="237"/>
      <c r="O25" s="237"/>
      <c r="P25" s="237"/>
      <c r="Q25" s="237"/>
      <c r="R25" s="237"/>
      <c r="S25" s="237">
        <v>17629982.785799213</v>
      </c>
      <c r="T25" s="237"/>
      <c r="U25" s="237"/>
      <c r="V25" s="237"/>
      <c r="W25" s="237"/>
      <c r="X25" s="237"/>
      <c r="Y25" s="237"/>
      <c r="Z25" s="237"/>
      <c r="AA25" s="237"/>
      <c r="AB25" s="237">
        <v>33795529.60051804</v>
      </c>
      <c r="AC25" s="237"/>
      <c r="AD25" s="237"/>
      <c r="AE25" s="237"/>
      <c r="AF25" s="237"/>
      <c r="AG25" s="237"/>
      <c r="AH25" s="237">
        <v>57572972.136355564</v>
      </c>
      <c r="AI25" s="237">
        <v>2253607.4203827991</v>
      </c>
      <c r="AJ25" s="237"/>
      <c r="AK25" s="237">
        <v>113491894.03550416</v>
      </c>
    </row>
    <row r="26" spans="1:37" x14ac:dyDescent="0.25">
      <c r="A26" s="79">
        <v>2019</v>
      </c>
      <c r="B26" s="237"/>
      <c r="C26" s="237"/>
      <c r="D26" s="237"/>
      <c r="E26" s="237">
        <v>823764.99285714305</v>
      </c>
      <c r="F26" s="237"/>
      <c r="G26" s="237">
        <v>4441.5</v>
      </c>
      <c r="H26" s="237"/>
      <c r="I26" s="237"/>
      <c r="J26" s="237"/>
      <c r="K26" s="237"/>
      <c r="L26" s="237"/>
      <c r="M26" s="237"/>
      <c r="N26" s="237"/>
      <c r="O26" s="237"/>
      <c r="P26" s="237"/>
      <c r="Q26" s="237"/>
      <c r="R26" s="237"/>
      <c r="S26" s="237">
        <v>9696490.333333334</v>
      </c>
      <c r="T26" s="237"/>
      <c r="U26" s="237"/>
      <c r="V26" s="237"/>
      <c r="W26" s="237"/>
      <c r="X26" s="237"/>
      <c r="Y26" s="237"/>
      <c r="Z26" s="237"/>
      <c r="AA26" s="237"/>
      <c r="AB26" s="237">
        <v>14742130.666666664</v>
      </c>
      <c r="AC26" s="237"/>
      <c r="AD26" s="237"/>
      <c r="AE26" s="237"/>
      <c r="AF26" s="237"/>
      <c r="AG26" s="237"/>
      <c r="AH26" s="237">
        <v>8803491.7355084848</v>
      </c>
      <c r="AI26" s="237">
        <v>944815.08868008247</v>
      </c>
      <c r="AJ26" s="237"/>
      <c r="AK26" s="237">
        <v>35015134.317045711</v>
      </c>
    </row>
    <row r="27" spans="1:37" x14ac:dyDescent="0.25">
      <c r="A27" s="79">
        <v>2030</v>
      </c>
      <c r="B27" s="237"/>
      <c r="C27" s="237"/>
      <c r="D27" s="237"/>
      <c r="E27" s="237">
        <v>683922.81080016203</v>
      </c>
      <c r="F27" s="237"/>
      <c r="G27" s="237">
        <v>5425.756836419002</v>
      </c>
      <c r="H27" s="237"/>
      <c r="I27" s="237"/>
      <c r="J27" s="237"/>
      <c r="K27" s="237"/>
      <c r="L27" s="237"/>
      <c r="M27" s="237"/>
      <c r="N27" s="237"/>
      <c r="O27" s="237"/>
      <c r="P27" s="237"/>
      <c r="Q27" s="237"/>
      <c r="R27" s="237"/>
      <c r="S27" s="237">
        <v>4005010.3345925738</v>
      </c>
      <c r="T27" s="237"/>
      <c r="U27" s="237"/>
      <c r="V27" s="237"/>
      <c r="W27" s="237"/>
      <c r="X27" s="237"/>
      <c r="Y27" s="237"/>
      <c r="Z27" s="237"/>
      <c r="AA27" s="237"/>
      <c r="AB27" s="237">
        <v>9734151.0198530871</v>
      </c>
      <c r="AC27" s="237"/>
      <c r="AD27" s="237"/>
      <c r="AE27" s="237"/>
      <c r="AF27" s="237"/>
      <c r="AG27" s="237"/>
      <c r="AH27" s="237">
        <v>24685936.556263804</v>
      </c>
      <c r="AI27" s="237">
        <v>667092.98344465159</v>
      </c>
      <c r="AJ27" s="237"/>
      <c r="AK27" s="237">
        <v>39781539.461790703</v>
      </c>
    </row>
    <row r="28" spans="1:37" x14ac:dyDescent="0.25">
      <c r="A28" s="79">
        <v>2050</v>
      </c>
      <c r="B28" s="237"/>
      <c r="C28" s="237"/>
      <c r="D28" s="237"/>
      <c r="E28" s="237">
        <v>716643.85388289625</v>
      </c>
      <c r="F28" s="237"/>
      <c r="G28" s="237">
        <v>5603.1780719105855</v>
      </c>
      <c r="H28" s="237"/>
      <c r="I28" s="237"/>
      <c r="J28" s="237"/>
      <c r="K28" s="237"/>
      <c r="L28" s="237"/>
      <c r="M28" s="237"/>
      <c r="N28" s="237"/>
      <c r="O28" s="237"/>
      <c r="P28" s="237"/>
      <c r="Q28" s="237"/>
      <c r="R28" s="237"/>
      <c r="S28" s="237">
        <v>3928482.1178733069</v>
      </c>
      <c r="T28" s="237"/>
      <c r="U28" s="237"/>
      <c r="V28" s="237"/>
      <c r="W28" s="237"/>
      <c r="X28" s="237"/>
      <c r="Y28" s="237"/>
      <c r="Z28" s="237"/>
      <c r="AA28" s="237"/>
      <c r="AB28" s="237">
        <v>9319247.9139982909</v>
      </c>
      <c r="AC28" s="237"/>
      <c r="AD28" s="237"/>
      <c r="AE28" s="237"/>
      <c r="AF28" s="237"/>
      <c r="AG28" s="237"/>
      <c r="AH28" s="237">
        <v>24083543.844583277</v>
      </c>
      <c r="AI28" s="237">
        <v>641699.34825806518</v>
      </c>
      <c r="AJ28" s="237"/>
      <c r="AK28" s="237">
        <v>38695220.256667748</v>
      </c>
    </row>
    <row r="29" spans="1:37" x14ac:dyDescent="0.25">
      <c r="A29" s="78" t="s">
        <v>237</v>
      </c>
      <c r="B29" s="237"/>
      <c r="C29" s="237"/>
      <c r="D29" s="237"/>
      <c r="E29" s="237"/>
      <c r="F29" s="237"/>
      <c r="G29" s="237"/>
      <c r="H29" s="237"/>
      <c r="I29" s="237"/>
      <c r="J29" s="237"/>
      <c r="K29" s="237"/>
      <c r="L29" s="237"/>
      <c r="M29" s="237"/>
      <c r="N29" s="237"/>
      <c r="O29" s="237"/>
      <c r="P29" s="237"/>
      <c r="Q29" s="237"/>
      <c r="R29" s="237"/>
      <c r="S29" s="237"/>
      <c r="T29" s="237"/>
      <c r="U29" s="237"/>
      <c r="V29" s="237"/>
      <c r="W29" s="237"/>
      <c r="X29" s="237">
        <v>2128883.9311816138</v>
      </c>
      <c r="Y29" s="237"/>
      <c r="Z29" s="237"/>
      <c r="AA29" s="237"/>
      <c r="AB29" s="237"/>
      <c r="AC29" s="237"/>
      <c r="AD29" s="237"/>
      <c r="AE29" s="237"/>
      <c r="AF29" s="237"/>
      <c r="AG29" s="237"/>
      <c r="AH29" s="237"/>
      <c r="AI29" s="237"/>
      <c r="AJ29" s="237"/>
      <c r="AK29" s="237">
        <v>2128883.9311816138</v>
      </c>
    </row>
    <row r="30" spans="1:37" x14ac:dyDescent="0.25">
      <c r="A30" s="79">
        <v>2019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  <c r="O30" s="237"/>
      <c r="P30" s="237"/>
      <c r="Q30" s="237"/>
      <c r="R30" s="237"/>
      <c r="S30" s="237"/>
      <c r="T30" s="237"/>
      <c r="U30" s="237"/>
      <c r="V30" s="237"/>
      <c r="W30" s="237"/>
      <c r="X30" s="237">
        <v>678407.81727843033</v>
      </c>
      <c r="Y30" s="237"/>
      <c r="Z30" s="237"/>
      <c r="AA30" s="237"/>
      <c r="AB30" s="237"/>
      <c r="AC30" s="237"/>
      <c r="AD30" s="237"/>
      <c r="AE30" s="237"/>
      <c r="AF30" s="237"/>
      <c r="AG30" s="237"/>
      <c r="AH30" s="237"/>
      <c r="AI30" s="237"/>
      <c r="AJ30" s="237"/>
      <c r="AK30" s="237">
        <v>678407.81727843033</v>
      </c>
    </row>
    <row r="31" spans="1:37" x14ac:dyDescent="0.25">
      <c r="A31" s="79">
        <v>2030</v>
      </c>
      <c r="B31" s="237"/>
      <c r="C31" s="237"/>
      <c r="D31" s="237"/>
      <c r="E31" s="237"/>
      <c r="F31" s="237"/>
      <c r="G31" s="237"/>
      <c r="H31" s="237"/>
      <c r="I31" s="237"/>
      <c r="J31" s="237"/>
      <c r="K31" s="237"/>
      <c r="L31" s="237"/>
      <c r="M31" s="237"/>
      <c r="N31" s="237"/>
      <c r="O31" s="237"/>
      <c r="P31" s="237"/>
      <c r="Q31" s="237"/>
      <c r="R31" s="237"/>
      <c r="S31" s="237"/>
      <c r="T31" s="237"/>
      <c r="U31" s="237"/>
      <c r="V31" s="237"/>
      <c r="W31" s="237"/>
      <c r="X31" s="237">
        <v>712198.49644007557</v>
      </c>
      <c r="Y31" s="237"/>
      <c r="Z31" s="237"/>
      <c r="AA31" s="237"/>
      <c r="AB31" s="237"/>
      <c r="AC31" s="237"/>
      <c r="AD31" s="237"/>
      <c r="AE31" s="237"/>
      <c r="AF31" s="237"/>
      <c r="AG31" s="237"/>
      <c r="AH31" s="237"/>
      <c r="AI31" s="237"/>
      <c r="AJ31" s="237"/>
      <c r="AK31" s="237">
        <v>712198.49644007557</v>
      </c>
    </row>
    <row r="32" spans="1:37" x14ac:dyDescent="0.25">
      <c r="A32" s="79">
        <v>2050</v>
      </c>
      <c r="B32" s="237"/>
      <c r="C32" s="237"/>
      <c r="D32" s="237"/>
      <c r="E32" s="237"/>
      <c r="F32" s="237"/>
      <c r="G32" s="237"/>
      <c r="H32" s="237"/>
      <c r="I32" s="237"/>
      <c r="J32" s="237"/>
      <c r="K32" s="237"/>
      <c r="L32" s="237"/>
      <c r="M32" s="237"/>
      <c r="N32" s="237"/>
      <c r="O32" s="237"/>
      <c r="P32" s="237"/>
      <c r="Q32" s="237"/>
      <c r="R32" s="237"/>
      <c r="S32" s="237"/>
      <c r="T32" s="237"/>
      <c r="U32" s="237"/>
      <c r="V32" s="237"/>
      <c r="W32" s="237"/>
      <c r="X32" s="237">
        <v>738277.61746310792</v>
      </c>
      <c r="Y32" s="237"/>
      <c r="Z32" s="237"/>
      <c r="AA32" s="237"/>
      <c r="AB32" s="237"/>
      <c r="AC32" s="237"/>
      <c r="AD32" s="237"/>
      <c r="AE32" s="237"/>
      <c r="AF32" s="237"/>
      <c r="AG32" s="237"/>
      <c r="AH32" s="237"/>
      <c r="AI32" s="237"/>
      <c r="AJ32" s="237"/>
      <c r="AK32" s="237">
        <v>738277.61746310792</v>
      </c>
    </row>
    <row r="33" spans="1:37" x14ac:dyDescent="0.25">
      <c r="A33" s="78" t="s">
        <v>61</v>
      </c>
      <c r="B33" s="237">
        <v>182574.19618217932</v>
      </c>
      <c r="C33" s="237">
        <v>246211.3135783691</v>
      </c>
      <c r="D33" s="237">
        <v>1462906</v>
      </c>
      <c r="E33" s="237">
        <v>6681028.7151935641</v>
      </c>
      <c r="F33" s="237">
        <v>281468.55244752642</v>
      </c>
      <c r="G33" s="237">
        <v>30940.869816659171</v>
      </c>
      <c r="H33" s="237">
        <v>197788.71253069426</v>
      </c>
      <c r="I33" s="237">
        <v>1445379.0531089196</v>
      </c>
      <c r="J33" s="237">
        <v>428226</v>
      </c>
      <c r="K33" s="237">
        <v>46972208.14991805</v>
      </c>
      <c r="L33" s="237">
        <v>1513844.376677237</v>
      </c>
      <c r="M33" s="237">
        <v>7897329.4368713852</v>
      </c>
      <c r="N33" s="237">
        <v>2948427</v>
      </c>
      <c r="O33" s="237">
        <v>18431652.502602909</v>
      </c>
      <c r="P33" s="237">
        <v>2444653.9999999995</v>
      </c>
      <c r="Q33" s="237">
        <v>692260.49385742994</v>
      </c>
      <c r="R33" s="237">
        <v>24112585.434971962</v>
      </c>
      <c r="S33" s="237">
        <v>47106218.551941164</v>
      </c>
      <c r="T33" s="237">
        <v>5785965.8690916728</v>
      </c>
      <c r="U33" s="237">
        <v>22584861.96176945</v>
      </c>
      <c r="V33" s="237">
        <v>2647325.8446415998</v>
      </c>
      <c r="W33" s="237">
        <v>336392.95646566537</v>
      </c>
      <c r="X33" s="237">
        <v>2128883.9311816138</v>
      </c>
      <c r="Y33" s="237">
        <v>3296940.8812512299</v>
      </c>
      <c r="Z33" s="237">
        <v>150462.46940900333</v>
      </c>
      <c r="AA33" s="237">
        <v>8354441.8810100975</v>
      </c>
      <c r="AB33" s="237">
        <v>58196146.667768888</v>
      </c>
      <c r="AC33" s="237">
        <v>682979.63888483576</v>
      </c>
      <c r="AD33" s="237">
        <v>652261.37250543782</v>
      </c>
      <c r="AE33" s="237">
        <v>8445344.7369239964</v>
      </c>
      <c r="AF33" s="237">
        <v>817284.77701708628</v>
      </c>
      <c r="AG33" s="237">
        <v>681242.85797811637</v>
      </c>
      <c r="AH33" s="237">
        <v>57572972.136355564</v>
      </c>
      <c r="AI33" s="237">
        <v>2253607.4203827991</v>
      </c>
      <c r="AJ33" s="237">
        <v>2323859.5027345954</v>
      </c>
      <c r="AK33" s="237">
        <v>339986678.26506972</v>
      </c>
    </row>
  </sheetData>
  <pageMargins left="0.7" right="0.7" top="0.75" bottom="0.75" header="0.3" footer="0.3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20B3D-C3B8-43D6-85D0-79668C65AC28}">
  <sheetPr codeName="Sheet34">
    <tabColor theme="8" tint="0.79998168889431442"/>
  </sheetPr>
  <dimension ref="A2:K32"/>
  <sheetViews>
    <sheetView zoomScale="90" zoomScaleNormal="90" workbookViewId="0">
      <selection activeCell="B6" sqref="B6:I8"/>
    </sheetView>
  </sheetViews>
  <sheetFormatPr defaultRowHeight="15" x14ac:dyDescent="0.25"/>
  <cols>
    <col min="1" max="1" width="22.42578125" bestFit="1" customWidth="1"/>
    <col min="2" max="2" width="16.28515625" bestFit="1" customWidth="1"/>
    <col min="3" max="3" width="10.85546875" bestFit="1" customWidth="1"/>
    <col min="4" max="4" width="13.140625" bestFit="1" customWidth="1"/>
    <col min="5" max="5" width="13.28515625" bestFit="1" customWidth="1"/>
    <col min="6" max="6" width="8.42578125" bestFit="1" customWidth="1"/>
    <col min="7" max="7" width="8.85546875" bestFit="1" customWidth="1"/>
    <col min="8" max="8" width="14.5703125" bestFit="1" customWidth="1"/>
    <col min="9" max="11" width="11.28515625" bestFit="1" customWidth="1"/>
    <col min="12" max="12" width="7.7109375" bestFit="1" customWidth="1"/>
    <col min="13" max="13" width="8.42578125" bestFit="1" customWidth="1"/>
    <col min="14" max="14" width="8.85546875" bestFit="1" customWidth="1"/>
    <col min="15" max="15" width="14.5703125" bestFit="1" customWidth="1"/>
    <col min="16" max="16" width="9.28515625" bestFit="1" customWidth="1"/>
    <col min="17" max="17" width="11.28515625" bestFit="1" customWidth="1"/>
    <col min="18" max="18" width="16" bestFit="1" customWidth="1"/>
    <col min="19" max="19" width="10" bestFit="1" customWidth="1"/>
    <col min="20" max="20" width="8.7109375" bestFit="1" customWidth="1"/>
    <col min="21" max="21" width="12" bestFit="1" customWidth="1"/>
    <col min="22" max="22" width="8.140625" bestFit="1" customWidth="1"/>
    <col min="23" max="23" width="5.140625" bestFit="1" customWidth="1"/>
    <col min="24" max="24" width="5.28515625" bestFit="1" customWidth="1"/>
    <col min="25" max="25" width="21" bestFit="1" customWidth="1"/>
    <col min="26" max="26" width="20.7109375" bestFit="1" customWidth="1"/>
    <col min="27" max="27" width="9.140625" bestFit="1" customWidth="1"/>
    <col min="28" max="28" width="5.140625" bestFit="1" customWidth="1"/>
    <col min="29" max="29" width="12.85546875" bestFit="1" customWidth="1"/>
    <col min="30" max="30" width="13.85546875" bestFit="1" customWidth="1"/>
    <col min="31" max="32" width="10.140625" bestFit="1" customWidth="1"/>
    <col min="33" max="33" width="12.140625" bestFit="1" customWidth="1"/>
    <col min="34" max="34" width="8.42578125" bestFit="1" customWidth="1"/>
    <col min="35" max="35" width="15.42578125" bestFit="1" customWidth="1"/>
    <col min="36" max="36" width="16" bestFit="1" customWidth="1"/>
    <col min="37" max="37" width="8.85546875" bestFit="1" customWidth="1"/>
    <col min="38" max="38" width="12.5703125" bestFit="1" customWidth="1"/>
    <col min="39" max="39" width="5.7109375" bestFit="1" customWidth="1"/>
    <col min="40" max="40" width="12.28515625" bestFit="1" customWidth="1"/>
    <col min="41" max="41" width="14.5703125" bestFit="1" customWidth="1"/>
    <col min="42" max="42" width="9.5703125" bestFit="1" customWidth="1"/>
    <col min="43" max="43" width="6.85546875" bestFit="1" customWidth="1"/>
    <col min="44" max="44" width="14" bestFit="1" customWidth="1"/>
    <col min="45" max="45" width="6.7109375" bestFit="1" customWidth="1"/>
    <col min="46" max="46" width="9.28515625" bestFit="1" customWidth="1"/>
    <col min="47" max="47" width="8.5703125" bestFit="1" customWidth="1"/>
    <col min="48" max="48" width="11.28515625" bestFit="1" customWidth="1"/>
    <col min="49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2" spans="1:9" x14ac:dyDescent="0.25">
      <c r="A2" s="77" t="s">
        <v>281</v>
      </c>
      <c r="B2" s="78">
        <v>1</v>
      </c>
    </row>
    <row r="4" spans="1:9" x14ac:dyDescent="0.25">
      <c r="A4" s="77" t="s">
        <v>308</v>
      </c>
      <c r="B4" s="77" t="s">
        <v>62</v>
      </c>
    </row>
    <row r="5" spans="1:9" x14ac:dyDescent="0.25">
      <c r="A5" s="77" t="s">
        <v>60</v>
      </c>
      <c r="B5" s="168" t="s">
        <v>102</v>
      </c>
      <c r="C5" s="168" t="s">
        <v>6</v>
      </c>
      <c r="D5" s="168" t="s">
        <v>103</v>
      </c>
      <c r="E5" s="168" t="s">
        <v>115</v>
      </c>
      <c r="F5" s="168" t="s">
        <v>158</v>
      </c>
      <c r="G5" s="168" t="s">
        <v>54</v>
      </c>
      <c r="H5" s="168" t="s">
        <v>159</v>
      </c>
      <c r="I5" s="168" t="s">
        <v>61</v>
      </c>
    </row>
    <row r="6" spans="1:9" x14ac:dyDescent="0.25">
      <c r="A6" s="78">
        <v>2019</v>
      </c>
      <c r="B6" s="76">
        <v>370459.67448149773</v>
      </c>
      <c r="C6" s="76">
        <v>203649.62100550608</v>
      </c>
      <c r="D6" s="76">
        <v>282332.03034110228</v>
      </c>
      <c r="E6" s="76">
        <v>944815.08868008247</v>
      </c>
      <c r="F6" s="76">
        <v>142742</v>
      </c>
      <c r="G6" s="76">
        <v>420629.98984142789</v>
      </c>
      <c r="H6" s="76">
        <v>5421074.2654714445</v>
      </c>
      <c r="I6" s="76">
        <v>7785702.6698210612</v>
      </c>
    </row>
    <row r="7" spans="1:9" x14ac:dyDescent="0.25">
      <c r="A7" s="78">
        <v>2030</v>
      </c>
      <c r="B7" s="76">
        <v>2.825725611182861E-2</v>
      </c>
      <c r="C7" s="76">
        <v>210965.35838487741</v>
      </c>
      <c r="D7" s="76">
        <v>0</v>
      </c>
      <c r="E7" s="76">
        <v>667092.98344465159</v>
      </c>
      <c r="F7" s="76">
        <v>142742</v>
      </c>
      <c r="G7" s="76">
        <v>437443.77822737186</v>
      </c>
      <c r="H7" s="76">
        <v>6505289.1185657317</v>
      </c>
      <c r="I7" s="76">
        <v>7963533.2668798883</v>
      </c>
    </row>
    <row r="8" spans="1:9" x14ac:dyDescent="0.25">
      <c r="A8" s="78">
        <v>2050</v>
      </c>
      <c r="B8" s="76">
        <v>0.18489040050189942</v>
      </c>
      <c r="C8" s="76">
        <v>223376.70355809579</v>
      </c>
      <c r="D8" s="76">
        <v>0</v>
      </c>
      <c r="E8" s="76">
        <v>641699.34825806518</v>
      </c>
      <c r="F8" s="76">
        <v>142742</v>
      </c>
      <c r="G8" s="76">
        <v>456262.55953572609</v>
      </c>
      <c r="H8" s="76">
        <v>6505289.1185657317</v>
      </c>
      <c r="I8" s="76">
        <v>7969369.91480802</v>
      </c>
    </row>
    <row r="9" spans="1:9" x14ac:dyDescent="0.25">
      <c r="A9" s="78" t="s">
        <v>61</v>
      </c>
      <c r="B9" s="76">
        <v>370459.88762915425</v>
      </c>
      <c r="C9" s="76">
        <v>637991.68294847931</v>
      </c>
      <c r="D9" s="76">
        <v>282332.03034110228</v>
      </c>
      <c r="E9" s="76">
        <v>2253607.4203827991</v>
      </c>
      <c r="F9" s="76">
        <v>428226</v>
      </c>
      <c r="G9" s="76">
        <v>1314336.3276045257</v>
      </c>
      <c r="H9" s="76">
        <v>18431652.502602909</v>
      </c>
      <c r="I9" s="76">
        <v>23718605.851508968</v>
      </c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0515DE-4EE5-480B-98A6-71A3D12CF8E2}">
  <sheetPr codeName="Sheet35">
    <tabColor theme="8" tint="0.79998168889431442"/>
  </sheetPr>
  <dimension ref="A2:AV32"/>
  <sheetViews>
    <sheetView zoomScale="90" zoomScaleNormal="90" workbookViewId="0">
      <selection activeCell="H12" sqref="H12"/>
    </sheetView>
  </sheetViews>
  <sheetFormatPr defaultColWidth="9.140625" defaultRowHeight="15" x14ac:dyDescent="0.25"/>
  <cols>
    <col min="1" max="1" width="36" style="168" bestFit="1" customWidth="1"/>
    <col min="2" max="2" width="16.28515625" style="168" bestFit="1" customWidth="1"/>
    <col min="3" max="3" width="9.140625" style="168" bestFit="1" customWidth="1"/>
    <col min="4" max="4" width="11" style="168" bestFit="1" customWidth="1"/>
    <col min="5" max="5" width="11.5703125" style="168" bestFit="1" customWidth="1"/>
    <col min="6" max="6" width="11.140625" style="168" bestFit="1" customWidth="1"/>
    <col min="7" max="8" width="9.85546875" style="168" bestFit="1" customWidth="1"/>
    <col min="9" max="9" width="13.140625" style="168" bestFit="1" customWidth="1"/>
    <col min="10" max="11" width="9.85546875" style="168" bestFit="1" customWidth="1"/>
    <col min="12" max="12" width="13.85546875" style="168" bestFit="1" customWidth="1"/>
    <col min="13" max="13" width="9.85546875" style="168" bestFit="1" customWidth="1"/>
    <col min="14" max="14" width="16" style="168" bestFit="1" customWidth="1"/>
    <col min="15" max="15" width="10" style="168" bestFit="1" customWidth="1"/>
    <col min="16" max="16" width="8.7109375" style="168" bestFit="1" customWidth="1"/>
    <col min="17" max="17" width="11" style="168" bestFit="1" customWidth="1"/>
    <col min="18" max="18" width="9.85546875" style="168" bestFit="1" customWidth="1"/>
    <col min="19" max="19" width="21" style="168" bestFit="1" customWidth="1"/>
    <col min="20" max="20" width="20.7109375" style="168" bestFit="1" customWidth="1"/>
    <col min="21" max="21" width="9.85546875" style="168" bestFit="1" customWidth="1"/>
    <col min="22" max="22" width="8.28515625" style="168" bestFit="1" customWidth="1"/>
    <col min="23" max="23" width="16" style="168" bestFit="1" customWidth="1"/>
    <col min="24" max="25" width="9.85546875" style="168" bestFit="1" customWidth="1"/>
    <col min="26" max="26" width="9.28515625" style="168" bestFit="1" customWidth="1"/>
    <col min="27" max="30" width="12" style="168" bestFit="1" customWidth="1"/>
    <col min="31" max="32" width="10.140625" style="168" bestFit="1" customWidth="1"/>
    <col min="33" max="33" width="12.140625" style="168" bestFit="1" customWidth="1"/>
    <col min="34" max="34" width="8.85546875" style="168" bestFit="1" customWidth="1"/>
    <col min="35" max="35" width="15.42578125" style="168" bestFit="1" customWidth="1"/>
    <col min="36" max="36" width="16" style="168" bestFit="1" customWidth="1"/>
    <col min="37" max="37" width="8.85546875" style="168" bestFit="1" customWidth="1"/>
    <col min="38" max="38" width="12.5703125" style="168" bestFit="1" customWidth="1"/>
    <col min="39" max="39" width="10.42578125" style="168" bestFit="1" customWidth="1"/>
    <col min="40" max="40" width="12.28515625" style="168" bestFit="1" customWidth="1"/>
    <col min="41" max="41" width="14.5703125" style="168" bestFit="1" customWidth="1"/>
    <col min="42" max="43" width="9.85546875" style="168" bestFit="1" customWidth="1"/>
    <col min="44" max="44" width="14" style="168" bestFit="1" customWidth="1"/>
    <col min="45" max="45" width="6.7109375" style="168" bestFit="1" customWidth="1"/>
    <col min="46" max="46" width="9.28515625" style="168" bestFit="1" customWidth="1"/>
    <col min="47" max="47" width="8.5703125" style="168" bestFit="1" customWidth="1"/>
    <col min="48" max="48" width="12" style="168" bestFit="1" customWidth="1"/>
    <col min="49" max="49" width="12.28515625" style="168" bestFit="1" customWidth="1"/>
    <col min="50" max="50" width="13.28515625" style="168" bestFit="1" customWidth="1"/>
    <col min="51" max="51" width="13.42578125" style="168" bestFit="1" customWidth="1"/>
    <col min="52" max="52" width="20.85546875" style="168" bestFit="1" customWidth="1"/>
    <col min="53" max="54" width="12.28515625" style="168" bestFit="1" customWidth="1"/>
    <col min="55" max="55" width="13.28515625" style="168" bestFit="1" customWidth="1"/>
    <col min="56" max="59" width="12.28515625" style="168" bestFit="1" customWidth="1"/>
    <col min="60" max="60" width="13.28515625" style="168" bestFit="1" customWidth="1"/>
    <col min="61" max="61" width="13.42578125" style="168" bestFit="1" customWidth="1"/>
    <col min="62" max="62" width="20.85546875" style="168" bestFit="1" customWidth="1"/>
    <col min="63" max="64" width="12.28515625" style="168" bestFit="1" customWidth="1"/>
    <col min="65" max="65" width="13.28515625" style="168" bestFit="1" customWidth="1"/>
    <col min="66" max="66" width="13.42578125" style="168" bestFit="1" customWidth="1"/>
    <col min="67" max="67" width="20.85546875" style="168" bestFit="1" customWidth="1"/>
    <col min="68" max="69" width="11.28515625" style="168" bestFit="1" customWidth="1"/>
    <col min="70" max="70" width="13.28515625" style="168" bestFit="1" customWidth="1"/>
    <col min="71" max="71" width="13.42578125" style="168" bestFit="1" customWidth="1"/>
    <col min="72" max="72" width="12.28515625" style="168" bestFit="1" customWidth="1"/>
    <col min="73" max="73" width="16.85546875" style="168" bestFit="1" customWidth="1"/>
    <col min="74" max="74" width="12.28515625" style="168" bestFit="1" customWidth="1"/>
    <col min="75" max="75" width="13.28515625" style="168" bestFit="1" customWidth="1"/>
    <col min="76" max="76" width="13.42578125" style="168" bestFit="1" customWidth="1"/>
    <col min="77" max="77" width="12.28515625" style="168" bestFit="1" customWidth="1"/>
    <col min="78" max="78" width="16.85546875" style="168" bestFit="1" customWidth="1"/>
    <col min="79" max="79" width="12.28515625" style="168" bestFit="1" customWidth="1"/>
    <col min="80" max="80" width="13.28515625" style="168" bestFit="1" customWidth="1"/>
    <col min="81" max="81" width="13.42578125" style="168" bestFit="1" customWidth="1"/>
    <col min="82" max="82" width="12.28515625" style="168" bestFit="1" customWidth="1"/>
    <col min="83" max="83" width="15.85546875" style="168" bestFit="1" customWidth="1"/>
    <col min="84" max="84" width="12.28515625" style="168" bestFit="1" customWidth="1"/>
    <col min="85" max="85" width="13.28515625" style="168" bestFit="1" customWidth="1"/>
    <col min="86" max="89" width="11.7109375" style="168" bestFit="1" customWidth="1"/>
    <col min="90" max="90" width="14.28515625" style="168" bestFit="1" customWidth="1"/>
    <col min="91" max="91" width="13.42578125" style="168" bestFit="1" customWidth="1"/>
    <col min="92" max="92" width="20.85546875" style="168" bestFit="1" customWidth="1"/>
    <col min="93" max="94" width="11.7109375" style="168" bestFit="1" customWidth="1"/>
    <col min="95" max="95" width="14.28515625" style="168" bestFit="1" customWidth="1"/>
    <col min="96" max="96" width="13.42578125" style="168" bestFit="1" customWidth="1"/>
    <col min="97" max="97" width="20.85546875" style="168" bestFit="1" customWidth="1"/>
    <col min="98" max="99" width="12.28515625" style="168" bestFit="1" customWidth="1"/>
    <col min="100" max="100" width="14.28515625" style="168" bestFit="1" customWidth="1"/>
    <col min="101" max="101" width="12.28515625" style="168" bestFit="1" customWidth="1"/>
    <col min="102" max="103" width="13.28515625" style="168" bestFit="1" customWidth="1"/>
    <col min="104" max="104" width="13.42578125" style="168" bestFit="1" customWidth="1"/>
    <col min="105" max="105" width="20.85546875" style="168" bestFit="1" customWidth="1"/>
    <col min="106" max="107" width="12.28515625" style="168" bestFit="1" customWidth="1"/>
    <col min="108" max="109" width="13.28515625" style="168" bestFit="1" customWidth="1"/>
    <col min="110" max="113" width="11.7109375" style="168" bestFit="1" customWidth="1"/>
    <col min="114" max="115" width="13.28515625" style="168" bestFit="1" customWidth="1"/>
    <col min="116" max="116" width="13.42578125" style="168" bestFit="1" customWidth="1"/>
    <col min="117" max="117" width="20.85546875" style="168" bestFit="1" customWidth="1"/>
    <col min="118" max="120" width="11.7109375" style="168" bestFit="1" customWidth="1"/>
    <col min="121" max="121" width="13.28515625" style="168" bestFit="1" customWidth="1"/>
    <col min="122" max="122" width="13.42578125" style="168" bestFit="1" customWidth="1"/>
    <col min="123" max="123" width="12.28515625" style="168" bestFit="1" customWidth="1"/>
    <col min="124" max="124" width="15.85546875" style="168" bestFit="1" customWidth="1"/>
    <col min="125" max="125" width="12.28515625" style="168" bestFit="1" customWidth="1"/>
    <col min="126" max="127" width="13.28515625" style="168" bestFit="1" customWidth="1"/>
    <col min="128" max="128" width="13.42578125" style="168" bestFit="1" customWidth="1"/>
    <col min="129" max="129" width="20.85546875" style="168" bestFit="1" customWidth="1"/>
    <col min="130" max="131" width="11.28515625" style="168" bestFit="1" customWidth="1"/>
    <col min="132" max="133" width="13.28515625" style="168" bestFit="1" customWidth="1"/>
    <col min="134" max="134" width="13.42578125" style="168" bestFit="1" customWidth="1"/>
    <col min="135" max="135" width="20.85546875" style="168" bestFit="1" customWidth="1"/>
    <col min="136" max="137" width="12.28515625" style="168" bestFit="1" customWidth="1"/>
    <col min="138" max="139" width="13.28515625" style="168" bestFit="1" customWidth="1"/>
    <col min="140" max="143" width="12.28515625" style="168" bestFit="1" customWidth="1"/>
    <col min="144" max="145" width="13.28515625" style="168" bestFit="1" customWidth="1"/>
    <col min="146" max="146" width="13.42578125" style="168" bestFit="1" customWidth="1"/>
    <col min="147" max="147" width="12.28515625" style="168" bestFit="1" customWidth="1"/>
    <col min="148" max="148" width="16.85546875" style="168" bestFit="1" customWidth="1"/>
    <col min="149" max="149" width="12.28515625" style="168" bestFit="1" customWidth="1"/>
    <col min="150" max="151" width="13.28515625" style="168" bestFit="1" customWidth="1"/>
    <col min="152" max="152" width="13.42578125" style="168" bestFit="1" customWidth="1"/>
    <col min="153" max="153" width="12.28515625" style="168" bestFit="1" customWidth="1"/>
    <col min="154" max="154" width="16.85546875" style="168" bestFit="1" customWidth="1"/>
    <col min="155" max="155" width="12.28515625" style="168" bestFit="1" customWidth="1"/>
    <col min="156" max="157" width="13.28515625" style="168" bestFit="1" customWidth="1"/>
    <col min="158" max="158" width="13.42578125" style="168" bestFit="1" customWidth="1"/>
    <col min="159" max="159" width="20.85546875" style="168" bestFit="1" customWidth="1"/>
    <col min="160" max="161" width="12.28515625" style="168" bestFit="1" customWidth="1"/>
    <col min="162" max="163" width="14.28515625" style="168" bestFit="1" customWidth="1"/>
    <col min="164" max="164" width="13.42578125" style="168" bestFit="1" customWidth="1"/>
    <col min="165" max="165" width="20.85546875" style="168" bestFit="1" customWidth="1"/>
    <col min="166" max="167" width="11.7109375" style="168" bestFit="1" customWidth="1"/>
    <col min="168" max="169" width="14.28515625" style="168" bestFit="1" customWidth="1"/>
    <col min="170" max="173" width="11.7109375" style="168" bestFit="1" customWidth="1"/>
    <col min="174" max="175" width="14.28515625" style="168" bestFit="1" customWidth="1"/>
    <col min="176" max="176" width="12.28515625" style="168" bestFit="1" customWidth="1"/>
    <col min="177" max="16384" width="9.140625" style="168"/>
  </cols>
  <sheetData>
    <row r="2" spans="1:48" x14ac:dyDescent="0.25">
      <c r="A2" s="77" t="s">
        <v>303</v>
      </c>
      <c r="B2" s="78">
        <v>1</v>
      </c>
    </row>
    <row r="4" spans="1:48" x14ac:dyDescent="0.25">
      <c r="A4" s="77" t="s">
        <v>252</v>
      </c>
      <c r="B4" s="77" t="s">
        <v>62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</row>
    <row r="5" spans="1:48" x14ac:dyDescent="0.25">
      <c r="A5" s="77" t="s">
        <v>60</v>
      </c>
      <c r="B5" s="168" t="s">
        <v>15</v>
      </c>
      <c r="C5" s="168" t="s">
        <v>49</v>
      </c>
      <c r="D5" s="168" t="s">
        <v>110</v>
      </c>
      <c r="E5" s="168" t="s">
        <v>101</v>
      </c>
      <c r="F5" s="168" t="s">
        <v>96</v>
      </c>
      <c r="G5" s="168" t="s">
        <v>113</v>
      </c>
      <c r="H5" s="168" t="s">
        <v>51</v>
      </c>
      <c r="I5" s="168" t="s">
        <v>103</v>
      </c>
      <c r="J5" s="168" t="s">
        <v>12</v>
      </c>
      <c r="K5" s="168" t="s">
        <v>48</v>
      </c>
      <c r="L5" s="168" t="s">
        <v>108</v>
      </c>
      <c r="M5" s="168" t="s">
        <v>53</v>
      </c>
      <c r="N5" s="168" t="s">
        <v>116</v>
      </c>
      <c r="O5" s="168" t="s">
        <v>106</v>
      </c>
      <c r="P5" s="168" t="s">
        <v>14</v>
      </c>
      <c r="Q5" s="168" t="s">
        <v>117</v>
      </c>
      <c r="R5" s="168" t="s">
        <v>52</v>
      </c>
      <c r="S5" s="168" t="s">
        <v>121</v>
      </c>
      <c r="T5" s="168" t="s">
        <v>107</v>
      </c>
      <c r="U5" s="168" t="s">
        <v>13</v>
      </c>
      <c r="V5" s="168" t="s">
        <v>99</v>
      </c>
      <c r="W5" s="168" t="s">
        <v>140</v>
      </c>
      <c r="X5" s="168" t="s">
        <v>56</v>
      </c>
      <c r="Y5" s="168" t="s">
        <v>55</v>
      </c>
      <c r="Z5" s="168" t="s">
        <v>238</v>
      </c>
      <c r="AA5" s="168" t="s">
        <v>61</v>
      </c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</row>
    <row r="6" spans="1:48" x14ac:dyDescent="0.25">
      <c r="A6" s="78">
        <v>2019</v>
      </c>
      <c r="B6" s="98">
        <v>176596.89940199585</v>
      </c>
      <c r="C6" s="98">
        <v>212711.00975574681</v>
      </c>
      <c r="D6" s="98">
        <v>3230529.0722415121</v>
      </c>
      <c r="E6" s="98">
        <v>1352218.0071428574</v>
      </c>
      <c r="F6" s="98">
        <v>138275.28002889914</v>
      </c>
      <c r="G6" s="98">
        <v>1502558.0356082148</v>
      </c>
      <c r="H6" s="98">
        <v>4118003.7103001666</v>
      </c>
      <c r="I6" s="98"/>
      <c r="J6" s="98">
        <v>2040873.7508661344</v>
      </c>
      <c r="K6" s="98">
        <v>1974670.329311419</v>
      </c>
      <c r="L6" s="98">
        <v>51892.132620096323</v>
      </c>
      <c r="M6" s="98">
        <v>1266262.2462674922</v>
      </c>
      <c r="N6" s="98">
        <v>2536783.2413289398</v>
      </c>
      <c r="O6" s="98">
        <v>880.09999999999991</v>
      </c>
      <c r="P6" s="98">
        <v>8064.2063400965635</v>
      </c>
      <c r="Q6" s="98">
        <v>5269000</v>
      </c>
      <c r="R6" s="98">
        <v>1656364.6415009145</v>
      </c>
      <c r="S6" s="98">
        <v>217010.36743552322</v>
      </c>
      <c r="T6" s="98">
        <v>105946.31157195524</v>
      </c>
      <c r="U6" s="98">
        <v>1382651.4311789067</v>
      </c>
      <c r="V6" s="98">
        <v>76.5</v>
      </c>
      <c r="W6" s="98">
        <v>4368323.901678659</v>
      </c>
      <c r="X6" s="98">
        <v>911574.64248506655</v>
      </c>
      <c r="Y6" s="98">
        <v>2005102.1714007764</v>
      </c>
      <c r="Z6" s="98">
        <v>98826.033045954537</v>
      </c>
      <c r="AA6" s="98">
        <v>34625194.021511331</v>
      </c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</row>
    <row r="7" spans="1:48" x14ac:dyDescent="0.25">
      <c r="A7" s="78">
        <v>2030</v>
      </c>
      <c r="B7" s="98">
        <v>217293.39047131393</v>
      </c>
      <c r="C7" s="98">
        <v>211772.75782853554</v>
      </c>
      <c r="D7" s="98">
        <v>2905408.1454691943</v>
      </c>
      <c r="E7" s="98">
        <v>1122665.7460304548</v>
      </c>
      <c r="F7" s="98">
        <v>170392.63720029866</v>
      </c>
      <c r="G7" s="98">
        <v>1570157.2016349281</v>
      </c>
      <c r="H7" s="98">
        <v>2080969.6515073958</v>
      </c>
      <c r="I7" s="98">
        <v>74190.483462749107</v>
      </c>
      <c r="J7" s="98">
        <v>2134206.5118205468</v>
      </c>
      <c r="K7" s="98">
        <v>1103365.8104808955</v>
      </c>
      <c r="L7" s="98">
        <v>41339.678256422805</v>
      </c>
      <c r="M7" s="98">
        <v>420587.66554026748</v>
      </c>
      <c r="N7" s="98">
        <v>3138525.7949652532</v>
      </c>
      <c r="O7" s="98">
        <v>279460.19505556813</v>
      </c>
      <c r="P7" s="98">
        <v>24452.758415859222</v>
      </c>
      <c r="Q7" s="98">
        <v>6259911.1609263299</v>
      </c>
      <c r="R7" s="98">
        <v>1614896.5629563848</v>
      </c>
      <c r="S7" s="98">
        <v>256390.68053839679</v>
      </c>
      <c r="T7" s="98">
        <v>124476.10379382074</v>
      </c>
      <c r="U7" s="98">
        <v>1665817.7814738885</v>
      </c>
      <c r="V7" s="98">
        <v>120600</v>
      </c>
      <c r="W7" s="98">
        <v>4558826.316875292</v>
      </c>
      <c r="X7" s="98">
        <v>954977.96501922607</v>
      </c>
      <c r="Y7" s="98">
        <v>2101303.8465657956</v>
      </c>
      <c r="Z7" s="98">
        <v>67645.79750812499</v>
      </c>
      <c r="AA7" s="98">
        <v>33219634.643796943</v>
      </c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</row>
    <row r="8" spans="1:48" x14ac:dyDescent="0.25">
      <c r="A8" s="78">
        <v>2050</v>
      </c>
      <c r="B8" s="98">
        <v>207457.23539403747</v>
      </c>
      <c r="C8" s="98">
        <v>222389.489994237</v>
      </c>
      <c r="D8" s="98">
        <v>3043013.7759962841</v>
      </c>
      <c r="E8" s="98">
        <v>1176377.6469398488</v>
      </c>
      <c r="F8" s="98">
        <v>157216.83755586346</v>
      </c>
      <c r="G8" s="98">
        <v>1633518.8473632084</v>
      </c>
      <c r="H8" s="98">
        <v>3019148.2239866257</v>
      </c>
      <c r="I8" s="98">
        <v>73602.662086251483</v>
      </c>
      <c r="J8" s="98">
        <v>2208063.52547062</v>
      </c>
      <c r="K8" s="98">
        <v>1482422.5612646407</v>
      </c>
      <c r="L8" s="98">
        <v>2639.1240738517372</v>
      </c>
      <c r="M8" s="98">
        <v>813064.48232254898</v>
      </c>
      <c r="N8" s="98">
        <v>3026257.5402487507</v>
      </c>
      <c r="O8" s="98">
        <v>279460.19505556813</v>
      </c>
      <c r="P8" s="98">
        <v>15331.133745803432</v>
      </c>
      <c r="Q8" s="98">
        <v>6143631.6341778617</v>
      </c>
      <c r="R8" s="98">
        <v>1738095.5427716447</v>
      </c>
      <c r="S8" s="98">
        <v>248954.56944042741</v>
      </c>
      <c r="T8" s="98">
        <v>119558.82549268498</v>
      </c>
      <c r="U8" s="98">
        <v>1604100.4550699559</v>
      </c>
      <c r="V8" s="98">
        <v>120600</v>
      </c>
      <c r="W8" s="98">
        <v>4747326.4083181694</v>
      </c>
      <c r="X8" s="98">
        <v>989747.08638991043</v>
      </c>
      <c r="Y8" s="98">
        <v>2178741.0896790312</v>
      </c>
      <c r="Z8" s="98">
        <v>80685.358019641164</v>
      </c>
      <c r="AA8" s="98">
        <v>35331404.250857472</v>
      </c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</row>
    <row r="9" spans="1:48" x14ac:dyDescent="0.25">
      <c r="A9" s="78" t="s">
        <v>61</v>
      </c>
      <c r="B9" s="98">
        <v>601347.52526734723</v>
      </c>
      <c r="C9" s="98">
        <v>646873.25757851929</v>
      </c>
      <c r="D9" s="98">
        <v>9178950.99370699</v>
      </c>
      <c r="E9" s="98">
        <v>3651261.4001131607</v>
      </c>
      <c r="F9" s="98">
        <v>465884.75478506123</v>
      </c>
      <c r="G9" s="98">
        <v>4706234.0846063513</v>
      </c>
      <c r="H9" s="98">
        <v>9218121.5857941881</v>
      </c>
      <c r="I9" s="98">
        <v>147793.14554900059</v>
      </c>
      <c r="J9" s="98">
        <v>6383143.788157301</v>
      </c>
      <c r="K9" s="98">
        <v>4560458.7010569554</v>
      </c>
      <c r="L9" s="98">
        <v>95870.934950370865</v>
      </c>
      <c r="M9" s="98">
        <v>2499914.3941303086</v>
      </c>
      <c r="N9" s="98">
        <v>8701566.5765429437</v>
      </c>
      <c r="O9" s="98">
        <v>559800.49011113623</v>
      </c>
      <c r="P9" s="98">
        <v>47848.098501759217</v>
      </c>
      <c r="Q9" s="98">
        <v>17672542.795104191</v>
      </c>
      <c r="R9" s="98">
        <v>5009356.7472289437</v>
      </c>
      <c r="S9" s="98">
        <v>722355.61741434736</v>
      </c>
      <c r="T9" s="98">
        <v>349981.24085846095</v>
      </c>
      <c r="U9" s="98">
        <v>4652569.6677227505</v>
      </c>
      <c r="V9" s="98">
        <v>241276.5</v>
      </c>
      <c r="W9" s="98">
        <v>13674476.62687212</v>
      </c>
      <c r="X9" s="98">
        <v>2856299.6938942028</v>
      </c>
      <c r="Y9" s="98">
        <v>6285147.1076456029</v>
      </c>
      <c r="Z9" s="98">
        <v>247157.18857372069</v>
      </c>
      <c r="AA9" s="98">
        <v>103176232.91616574</v>
      </c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</row>
    <row r="10" spans="1:48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</row>
    <row r="11" spans="1:48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</row>
    <row r="12" spans="1:48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</row>
    <row r="13" spans="1:48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</row>
    <row r="14" spans="1:48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</row>
    <row r="15" spans="1:48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</row>
    <row r="16" spans="1:48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</row>
    <row r="32" spans="11:11" x14ac:dyDescent="0.25"/>
  </sheetData>
  <pageMargins left="0.7" right="0.7" top="0.75" bottom="0.75" header="0.3" footer="0.3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7C476A-BD1E-46EB-AF87-9CAC64BD1BC0}">
  <sheetPr codeName="Sheet33">
    <tabColor theme="8" tint="0.79998168889431442"/>
  </sheetPr>
  <dimension ref="A3:K14"/>
  <sheetViews>
    <sheetView workbookViewId="0">
      <selection activeCell="B5" sqref="B5:AG23"/>
    </sheetView>
  </sheetViews>
  <sheetFormatPr defaultRowHeight="15" x14ac:dyDescent="0.25"/>
  <cols>
    <col min="1" max="1" width="45.5703125" bestFit="1" customWidth="1"/>
    <col min="2" max="2" width="21.140625" bestFit="1" customWidth="1"/>
    <col min="3" max="3" width="8.42578125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7.7109375" bestFit="1" customWidth="1"/>
    <col min="9" max="9" width="8.5703125" bestFit="1" customWidth="1"/>
    <col min="10" max="10" width="10.140625" bestFit="1" customWidth="1"/>
    <col min="11" max="11" width="11.28515625" bestFit="1" customWidth="1"/>
    <col min="12" max="12" width="6.42578125" bestFit="1" customWidth="1"/>
    <col min="13" max="13" width="10.140625" bestFit="1" customWidth="1"/>
    <col min="14" max="14" width="13" bestFit="1" customWidth="1"/>
    <col min="15" max="15" width="11.7109375" bestFit="1" customWidth="1"/>
    <col min="16" max="16" width="19" bestFit="1" customWidth="1"/>
    <col min="17" max="17" width="11.42578125" bestFit="1" customWidth="1"/>
    <col min="18" max="18" width="34.42578125" bestFit="1" customWidth="1"/>
    <col min="19" max="19" width="29.28515625" bestFit="1" customWidth="1"/>
    <col min="20" max="21" width="11.7109375" bestFit="1" customWidth="1"/>
    <col min="22" max="22" width="8.42578125" bestFit="1" customWidth="1"/>
    <col min="23" max="23" width="7.85546875" bestFit="1" customWidth="1"/>
    <col min="24" max="24" width="10.7109375" bestFit="1" customWidth="1"/>
    <col min="25" max="25" width="11.85546875" bestFit="1" customWidth="1"/>
    <col min="26" max="26" width="11.7109375" bestFit="1" customWidth="1"/>
    <col min="27" max="27" width="12.140625" bestFit="1" customWidth="1"/>
    <col min="28" max="28" width="11.7109375" bestFit="1" customWidth="1"/>
    <col min="29" max="29" width="14.28515625" bestFit="1" customWidth="1"/>
    <col min="30" max="30" width="11.7109375" bestFit="1" customWidth="1"/>
    <col min="31" max="31" width="7.85546875" bestFit="1" customWidth="1"/>
    <col min="32" max="32" width="6" bestFit="1" customWidth="1"/>
    <col min="33" max="33" width="11.7109375" bestFit="1" customWidth="1"/>
    <col min="34" max="34" width="7.28515625" bestFit="1" customWidth="1"/>
    <col min="35" max="35" width="4.5703125" bestFit="1" customWidth="1"/>
    <col min="36" max="36" width="11.7109375" bestFit="1" customWidth="1"/>
    <col min="37" max="37" width="18.85546875" bestFit="1" customWidth="1"/>
    <col min="38" max="38" width="18.42578125" bestFit="1" customWidth="1"/>
    <col min="39" max="39" width="14.28515625" bestFit="1" customWidth="1"/>
    <col min="40" max="40" width="11.7109375" bestFit="1" customWidth="1"/>
    <col min="41" max="41" width="8.140625" bestFit="1" customWidth="1"/>
    <col min="42" max="42" width="4.5703125" bestFit="1" customWidth="1"/>
    <col min="43" max="43" width="12.5703125" bestFit="1" customWidth="1"/>
    <col min="44" max="44" width="11.7109375" bestFit="1" customWidth="1"/>
    <col min="45" max="45" width="12.28515625" bestFit="1" customWidth="1"/>
    <col min="46" max="46" width="8.42578125" bestFit="1" customWidth="1"/>
    <col min="47" max="48" width="11.7109375" bestFit="1" customWidth="1"/>
    <col min="49" max="49" width="11" bestFit="1" customWidth="1"/>
    <col min="50" max="50" width="12" bestFit="1" customWidth="1"/>
    <col min="51" max="51" width="12.140625" bestFit="1" customWidth="1"/>
    <col min="52" max="52" width="11.140625" bestFit="1" customWidth="1"/>
    <col min="53" max="53" width="3.85546875" bestFit="1" customWidth="1"/>
    <col min="54" max="55" width="12" bestFit="1" customWidth="1"/>
    <col min="56" max="56" width="10.85546875" bestFit="1" customWidth="1"/>
    <col min="57" max="57" width="12" bestFit="1" customWidth="1"/>
    <col min="58" max="58" width="15.42578125" bestFit="1" customWidth="1"/>
    <col min="59" max="59" width="13.140625" bestFit="1" customWidth="1"/>
    <col min="60" max="60" width="8.85546875" bestFit="1" customWidth="1"/>
    <col min="61" max="61" width="12" bestFit="1" customWidth="1"/>
    <col min="62" max="62" width="13.28515625" bestFit="1" customWidth="1"/>
    <col min="63" max="63" width="12" bestFit="1" customWidth="1"/>
    <col min="64" max="64" width="13.85546875" bestFit="1" customWidth="1"/>
    <col min="65" max="65" width="11" bestFit="1" customWidth="1"/>
    <col min="66" max="66" width="16" bestFit="1" customWidth="1"/>
    <col min="67" max="67" width="10" bestFit="1" customWidth="1"/>
    <col min="68" max="68" width="8.7109375" bestFit="1" customWidth="1"/>
    <col min="69" max="69" width="12" bestFit="1" customWidth="1"/>
    <col min="70" max="70" width="8.140625" bestFit="1" customWidth="1"/>
    <col min="71" max="72" width="12" bestFit="1" customWidth="1"/>
    <col min="73" max="73" width="21" bestFit="1" customWidth="1"/>
    <col min="74" max="74" width="20.7109375" bestFit="1" customWidth="1"/>
    <col min="75" max="75" width="16" bestFit="1" customWidth="1"/>
    <col min="76" max="76" width="12" bestFit="1" customWidth="1"/>
    <col min="78" max="78" width="5.140625" bestFit="1" customWidth="1"/>
    <col min="79" max="79" width="12.85546875" bestFit="1" customWidth="1"/>
    <col min="80" max="80" width="13.85546875" bestFit="1" customWidth="1"/>
    <col min="81" max="81" width="12" bestFit="1" customWidth="1"/>
    <col min="82" max="82" width="12.5703125" bestFit="1" customWidth="1"/>
    <col min="83" max="83" width="5.5703125" bestFit="1" customWidth="1"/>
    <col min="84" max="84" width="12.28515625" bestFit="1" customWidth="1"/>
    <col min="85" max="85" width="14.5703125" bestFit="1" customWidth="1"/>
    <col min="86" max="86" width="9.5703125" bestFit="1" customWidth="1"/>
    <col min="87" max="87" width="6.85546875" bestFit="1" customWidth="1"/>
    <col min="88" max="88" width="14" bestFit="1" customWidth="1"/>
    <col min="89" max="89" width="12" bestFit="1" customWidth="1"/>
    <col min="90" max="90" width="34.7109375" bestFit="1" customWidth="1"/>
    <col min="91" max="91" width="29.85546875" bestFit="1" customWidth="1"/>
  </cols>
  <sheetData>
    <row r="3" spans="1:11" x14ac:dyDescent="0.25">
      <c r="B3" s="77" t="s">
        <v>62</v>
      </c>
    </row>
    <row r="4" spans="1:11" x14ac:dyDescent="0.25">
      <c r="A4" s="77" t="s">
        <v>60</v>
      </c>
      <c r="B4" s="168" t="s">
        <v>230</v>
      </c>
      <c r="C4" s="168" t="s">
        <v>158</v>
      </c>
      <c r="D4" s="168" t="s">
        <v>224</v>
      </c>
      <c r="E4" s="168" t="s">
        <v>227</v>
      </c>
      <c r="F4" s="168" t="s">
        <v>226</v>
      </c>
      <c r="G4" s="168" t="s">
        <v>222</v>
      </c>
      <c r="H4" s="168" t="s">
        <v>315</v>
      </c>
      <c r="I4" s="168" t="s">
        <v>231</v>
      </c>
      <c r="J4" s="168" t="s">
        <v>225</v>
      </c>
      <c r="K4" s="168" t="s">
        <v>61</v>
      </c>
    </row>
    <row r="5" spans="1:11" x14ac:dyDescent="0.25">
      <c r="A5" s="78" t="s">
        <v>288</v>
      </c>
      <c r="B5" s="235"/>
      <c r="C5" s="235"/>
      <c r="D5" s="235"/>
      <c r="E5" s="235"/>
      <c r="F5" s="235"/>
      <c r="G5" s="235"/>
      <c r="H5" s="235"/>
      <c r="I5" s="235"/>
      <c r="J5" s="235"/>
      <c r="K5" s="235"/>
    </row>
    <row r="6" spans="1:11" x14ac:dyDescent="0.25">
      <c r="A6" s="79">
        <v>2019</v>
      </c>
      <c r="B6" s="235">
        <v>17.543930524502301</v>
      </c>
      <c r="C6" s="235">
        <v>0</v>
      </c>
      <c r="D6" s="235">
        <v>0</v>
      </c>
      <c r="E6" s="235">
        <v>19.573590488557194</v>
      </c>
      <c r="F6" s="235">
        <v>0</v>
      </c>
      <c r="G6" s="235">
        <v>0</v>
      </c>
      <c r="H6" s="235">
        <v>0</v>
      </c>
      <c r="I6" s="235">
        <v>3.951047127829578</v>
      </c>
      <c r="J6" s="235">
        <v>47.489094924341849</v>
      </c>
      <c r="K6" s="235">
        <v>88.557663065230912</v>
      </c>
    </row>
    <row r="7" spans="1:11" x14ac:dyDescent="0.25">
      <c r="A7" s="79">
        <v>2030</v>
      </c>
      <c r="B7" s="235">
        <v>20.140307454493183</v>
      </c>
      <c r="C7" s="235">
        <v>0</v>
      </c>
      <c r="D7" s="235">
        <v>9.7215276245828761</v>
      </c>
      <c r="E7" s="235">
        <v>18.898503241211166</v>
      </c>
      <c r="F7" s="235">
        <v>0.35905402506237244</v>
      </c>
      <c r="G7" s="235">
        <v>2.4182220169495992</v>
      </c>
      <c r="H7" s="235">
        <v>0</v>
      </c>
      <c r="I7" s="235">
        <v>7.9766231601288453</v>
      </c>
      <c r="J7" s="235">
        <v>45.280222691386172</v>
      </c>
      <c r="K7" s="235">
        <v>104.7944602138142</v>
      </c>
    </row>
    <row r="8" spans="1:11" x14ac:dyDescent="0.25">
      <c r="A8" s="79">
        <v>2050</v>
      </c>
      <c r="B8" s="235">
        <v>20.231823778682948</v>
      </c>
      <c r="C8" s="235">
        <v>0</v>
      </c>
      <c r="D8" s="235">
        <v>13.191017657049301</v>
      </c>
      <c r="E8" s="235">
        <v>19.152454605131187</v>
      </c>
      <c r="F8" s="235">
        <v>0.35905402506237249</v>
      </c>
      <c r="G8" s="235">
        <v>2.5339174515084348</v>
      </c>
      <c r="H8" s="235">
        <v>0</v>
      </c>
      <c r="I8" s="235">
        <v>8.2687093155868077</v>
      </c>
      <c r="J8" s="235">
        <v>41.635477473780199</v>
      </c>
      <c r="K8" s="235">
        <v>105.37245430680125</v>
      </c>
    </row>
    <row r="9" spans="1:11" x14ac:dyDescent="0.25">
      <c r="A9" s="78" t="s">
        <v>243</v>
      </c>
      <c r="B9" s="235"/>
      <c r="C9" s="235"/>
      <c r="D9" s="235"/>
      <c r="E9" s="235"/>
      <c r="F9" s="235"/>
      <c r="G9" s="235"/>
      <c r="H9" s="235"/>
      <c r="I9" s="235"/>
      <c r="J9" s="235"/>
      <c r="K9" s="235"/>
    </row>
    <row r="10" spans="1:11" x14ac:dyDescent="0.25">
      <c r="A10" s="79">
        <v>2019</v>
      </c>
      <c r="B10" s="235">
        <v>7.483154704207001</v>
      </c>
      <c r="C10" s="235">
        <v>2.1694819870080004</v>
      </c>
      <c r="D10" s="235">
        <v>1.4201719861750002</v>
      </c>
      <c r="E10" s="235">
        <v>0.45076703431999998</v>
      </c>
      <c r="F10" s="235">
        <v>0</v>
      </c>
      <c r="G10" s="235">
        <v>5.0922829580050024</v>
      </c>
      <c r="H10" s="235">
        <v>0</v>
      </c>
      <c r="I10" s="235">
        <v>0</v>
      </c>
      <c r="J10" s="235">
        <v>0</v>
      </c>
      <c r="K10" s="235">
        <v>16.615858669715003</v>
      </c>
    </row>
    <row r="11" spans="1:11" x14ac:dyDescent="0.25">
      <c r="A11" s="79">
        <v>2030</v>
      </c>
      <c r="B11" s="235">
        <v>5.3039408145388656</v>
      </c>
      <c r="C11" s="235">
        <v>2.1694819870080004</v>
      </c>
      <c r="D11" s="235">
        <v>1.4201719861750004</v>
      </c>
      <c r="E11" s="235">
        <v>0.45076703432000004</v>
      </c>
      <c r="F11" s="235">
        <v>0</v>
      </c>
      <c r="G11" s="235">
        <v>15.042523814801294</v>
      </c>
      <c r="H11" s="235">
        <v>0</v>
      </c>
      <c r="I11" s="235">
        <v>0</v>
      </c>
      <c r="J11" s="235">
        <v>0</v>
      </c>
      <c r="K11" s="235">
        <v>24.386885636843161</v>
      </c>
    </row>
    <row r="12" spans="1:11" x14ac:dyDescent="0.25">
      <c r="A12" s="79">
        <v>2050</v>
      </c>
      <c r="B12" s="235">
        <v>5.3702940021039831</v>
      </c>
      <c r="C12" s="235">
        <v>2.1694819870080004</v>
      </c>
      <c r="D12" s="235">
        <v>1.4201719861750002</v>
      </c>
      <c r="E12" s="235">
        <v>0.45076703432000015</v>
      </c>
      <c r="F12" s="235">
        <v>0</v>
      </c>
      <c r="G12" s="235">
        <v>14.90455589524715</v>
      </c>
      <c r="H12" s="235">
        <v>0</v>
      </c>
      <c r="I12" s="235">
        <v>0</v>
      </c>
      <c r="J12" s="235">
        <v>0</v>
      </c>
      <c r="K12" s="235">
        <v>24.315270904854131</v>
      </c>
    </row>
    <row r="13" spans="1:11" x14ac:dyDescent="0.25">
      <c r="A13" s="78" t="s">
        <v>289</v>
      </c>
      <c r="B13" s="235">
        <v>57.916061757678435</v>
      </c>
      <c r="C13" s="235">
        <v>0</v>
      </c>
      <c r="D13" s="235">
        <v>22.912545281632177</v>
      </c>
      <c r="E13" s="235">
        <v>57.624548334899544</v>
      </c>
      <c r="F13" s="235">
        <v>0.71810805012474499</v>
      </c>
      <c r="G13" s="235">
        <v>4.952139468458034</v>
      </c>
      <c r="H13" s="235">
        <v>0</v>
      </c>
      <c r="I13" s="235">
        <v>20.196379603545232</v>
      </c>
      <c r="J13" s="235">
        <v>134.40479508950824</v>
      </c>
      <c r="K13" s="235">
        <v>298.72457758584636</v>
      </c>
    </row>
    <row r="14" spans="1:11" x14ac:dyDescent="0.25">
      <c r="A14" s="78" t="s">
        <v>244</v>
      </c>
      <c r="B14" s="235">
        <v>18.157389520849851</v>
      </c>
      <c r="C14" s="235">
        <v>6.5084459610240017</v>
      </c>
      <c r="D14" s="235">
        <v>4.2605159585250005</v>
      </c>
      <c r="E14" s="235">
        <v>1.3523011029600001</v>
      </c>
      <c r="F14" s="235">
        <v>0</v>
      </c>
      <c r="G14" s="235">
        <v>35.039362668053442</v>
      </c>
      <c r="H14" s="235">
        <v>0</v>
      </c>
      <c r="I14" s="235">
        <v>0</v>
      </c>
      <c r="J14" s="235">
        <v>0</v>
      </c>
      <c r="K14" s="235">
        <v>65.318015211412302</v>
      </c>
    </row>
  </sheetData>
  <pageMargins left="0.7" right="0.7" top="0.75" bottom="0.75" header="0.3" footer="0.3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8ACCB5-589F-4A6A-985D-1BACF45D511A}">
  <sheetPr codeName="Sheet13">
    <tabColor theme="8" tint="0.79998168889431442"/>
  </sheetPr>
  <dimension ref="A1:I6"/>
  <sheetViews>
    <sheetView workbookViewId="0">
      <selection activeCell="B5" sqref="B5:AG23"/>
    </sheetView>
  </sheetViews>
  <sheetFormatPr defaultRowHeight="15" x14ac:dyDescent="0.25"/>
  <cols>
    <col min="1" max="1" width="32.85546875" bestFit="1" customWidth="1"/>
    <col min="2" max="2" width="21.140625" bestFit="1" customWidth="1"/>
    <col min="3" max="3" width="9" bestFit="1" customWidth="1"/>
    <col min="4" max="4" width="13.28515625" bestFit="1" customWidth="1"/>
    <col min="5" max="5" width="11.85546875" bestFit="1" customWidth="1"/>
    <col min="6" max="6" width="12.7109375" bestFit="1" customWidth="1"/>
    <col min="7" max="7" width="14.42578125" bestFit="1" customWidth="1"/>
    <col min="8" max="8" width="10.5703125" bestFit="1" customWidth="1"/>
    <col min="9" max="11" width="11.5703125" bestFit="1" customWidth="1"/>
    <col min="12" max="12" width="6.42578125" bestFit="1" customWidth="1"/>
    <col min="13" max="13" width="11" bestFit="1" customWidth="1"/>
    <col min="14" max="14" width="8.85546875" bestFit="1" customWidth="1"/>
    <col min="15" max="15" width="12" bestFit="1" customWidth="1"/>
    <col min="16" max="16" width="13.28515625" bestFit="1" customWidth="1"/>
    <col min="17" max="17" width="13.85546875" bestFit="1" customWidth="1"/>
    <col min="18" max="18" width="16" bestFit="1" customWidth="1"/>
    <col min="19" max="19" width="8.7109375" bestFit="1" customWidth="1"/>
    <col min="20" max="20" width="6.85546875" bestFit="1" customWidth="1"/>
    <col min="21" max="21" width="8.140625" bestFit="1" customWidth="1"/>
    <col min="22" max="22" width="5.140625" bestFit="1" customWidth="1"/>
    <col min="23" max="23" width="9.28515625" bestFit="1" customWidth="1"/>
    <col min="24" max="24" width="21" bestFit="1" customWidth="1"/>
    <col min="25" max="25" width="20.7109375" bestFit="1" customWidth="1"/>
    <col min="27" max="27" width="14" bestFit="1" customWidth="1"/>
    <col min="28" max="28" width="13.85546875" bestFit="1" customWidth="1"/>
    <col min="29" max="29" width="12" bestFit="1" customWidth="1"/>
    <col min="30" max="30" width="23" bestFit="1" customWidth="1"/>
    <col min="31" max="31" width="12" bestFit="1" customWidth="1"/>
    <col min="32" max="32" width="15.42578125" bestFit="1" customWidth="1"/>
    <col min="33" max="33" width="13.140625" bestFit="1" customWidth="1"/>
    <col min="34" max="34" width="16" bestFit="1" customWidth="1"/>
    <col min="35" max="35" width="26.28515625" bestFit="1" customWidth="1"/>
    <col min="36" max="36" width="10.28515625" bestFit="1" customWidth="1"/>
    <col min="37" max="37" width="13.42578125" bestFit="1" customWidth="1"/>
    <col min="38" max="38" width="15.140625" bestFit="1" customWidth="1"/>
    <col min="39" max="40" width="12" bestFit="1" customWidth="1"/>
    <col min="41" max="41" width="18.28515625" bestFit="1" customWidth="1"/>
    <col min="42" max="42" width="13.7109375" bestFit="1" customWidth="1"/>
    <col min="43" max="43" width="12" bestFit="1" customWidth="1"/>
    <col min="44" max="44" width="16.85546875" bestFit="1" customWidth="1"/>
    <col min="45" max="45" width="14.5703125" bestFit="1" customWidth="1"/>
    <col min="46" max="46" width="12" bestFit="1" customWidth="1"/>
    <col min="47" max="47" width="17.85546875" bestFit="1" customWidth="1"/>
    <col min="48" max="48" width="16.28515625" bestFit="1" customWidth="1"/>
    <col min="49" max="49" width="12.140625" bestFit="1" customWidth="1"/>
    <col min="50" max="51" width="12" bestFit="1" customWidth="1"/>
    <col min="52" max="52" width="19.42578125" bestFit="1" customWidth="1"/>
    <col min="53" max="53" width="12" bestFit="1" customWidth="1"/>
    <col min="54" max="54" width="13.5703125" bestFit="1" customWidth="1"/>
    <col min="55" max="55" width="12" bestFit="1" customWidth="1"/>
    <col min="56" max="56" width="12.85546875" bestFit="1" customWidth="1"/>
    <col min="57" max="57" width="15.140625" bestFit="1" customWidth="1"/>
    <col min="59" max="59" width="9.140625" bestFit="1" customWidth="1"/>
    <col min="60" max="60" width="6.7109375" bestFit="1" customWidth="1"/>
    <col min="61" max="61" width="11" bestFit="1" customWidth="1"/>
    <col min="62" max="62" width="12.5703125" bestFit="1" customWidth="1"/>
    <col min="63" max="63" width="11.140625" bestFit="1" customWidth="1"/>
    <col min="64" max="64" width="3.85546875" bestFit="1" customWidth="1"/>
    <col min="65" max="65" width="5.5703125" bestFit="1" customWidth="1"/>
    <col min="66" max="66" width="12.28515625" bestFit="1" customWidth="1"/>
    <col min="67" max="67" width="10.85546875" bestFit="1" customWidth="1"/>
    <col min="68" max="68" width="14.5703125" bestFit="1" customWidth="1"/>
    <col min="69" max="69" width="9.5703125" bestFit="1" customWidth="1"/>
    <col min="70" max="70" width="8.85546875" bestFit="1" customWidth="1"/>
    <col min="71" max="71" width="12" bestFit="1" customWidth="1"/>
    <col min="72" max="72" width="13.28515625" bestFit="1" customWidth="1"/>
    <col min="73" max="73" width="13.85546875" bestFit="1" customWidth="1"/>
    <col min="74" max="74" width="16" bestFit="1" customWidth="1"/>
    <col min="75" max="75" width="8.7109375" bestFit="1" customWidth="1"/>
    <col min="76" max="76" width="6.85546875" bestFit="1" customWidth="1"/>
    <col min="77" max="77" width="8.140625" bestFit="1" customWidth="1"/>
    <col min="78" max="78" width="5.140625" bestFit="1" customWidth="1"/>
    <col min="79" max="79" width="9.28515625" bestFit="1" customWidth="1"/>
    <col min="80" max="80" width="21" bestFit="1" customWidth="1"/>
    <col min="81" max="81" width="20.7109375" bestFit="1" customWidth="1"/>
    <col min="82" max="82" width="9.140625" bestFit="1" customWidth="1"/>
    <col min="83" max="83" width="14" bestFit="1" customWidth="1"/>
    <col min="84" max="84" width="13.85546875" bestFit="1" customWidth="1"/>
    <col min="85" max="85" width="12.140625" bestFit="1" customWidth="1"/>
    <col min="86" max="86" width="12" bestFit="1" customWidth="1"/>
  </cols>
  <sheetData>
    <row r="1" spans="1:9" x14ac:dyDescent="0.25">
      <c r="A1" s="77" t="s">
        <v>239</v>
      </c>
      <c r="B1" s="77" t="s">
        <v>62</v>
      </c>
    </row>
    <row r="2" spans="1:9" x14ac:dyDescent="0.25">
      <c r="A2" s="77" t="s">
        <v>60</v>
      </c>
      <c r="B2" s="168" t="s">
        <v>230</v>
      </c>
      <c r="C2" s="168" t="s">
        <v>158</v>
      </c>
      <c r="D2" s="168" t="s">
        <v>224</v>
      </c>
      <c r="E2" s="168" t="s">
        <v>227</v>
      </c>
      <c r="F2" s="168" t="s">
        <v>226</v>
      </c>
      <c r="G2" s="168" t="s">
        <v>222</v>
      </c>
      <c r="H2" s="168" t="s">
        <v>225</v>
      </c>
      <c r="I2" s="168" t="s">
        <v>61</v>
      </c>
    </row>
    <row r="3" spans="1:9" x14ac:dyDescent="0.25">
      <c r="A3" s="78">
        <v>2019</v>
      </c>
      <c r="B3" s="236">
        <v>1077304.94</v>
      </c>
      <c r="C3" s="236">
        <v>128467.8</v>
      </c>
      <c r="D3" s="236">
        <v>128726.35999999999</v>
      </c>
      <c r="E3" s="236">
        <v>1675417.9906552273</v>
      </c>
      <c r="F3" s="236">
        <v>0</v>
      </c>
      <c r="G3" s="236">
        <v>704016.11583333346</v>
      </c>
      <c r="H3" s="236">
        <v>1575873.4784311759</v>
      </c>
      <c r="I3" s="236">
        <v>5289806.6849197373</v>
      </c>
    </row>
    <row r="4" spans="1:9" x14ac:dyDescent="0.25">
      <c r="A4" s="78">
        <v>2030</v>
      </c>
      <c r="B4" s="236">
        <v>1173470.7461407222</v>
      </c>
      <c r="C4" s="236">
        <v>128467.8</v>
      </c>
      <c r="D4" s="236">
        <v>1160553.4746754284</v>
      </c>
      <c r="E4" s="236">
        <v>1651174.8680226803</v>
      </c>
      <c r="F4" s="236">
        <v>60009.02925833522</v>
      </c>
      <c r="G4" s="236">
        <v>2391831.0305737425</v>
      </c>
      <c r="H4" s="236">
        <v>1498974.2460576054</v>
      </c>
      <c r="I4" s="236">
        <v>8064481.1947285142</v>
      </c>
    </row>
    <row r="5" spans="1:9" x14ac:dyDescent="0.25">
      <c r="A5" s="78">
        <v>2050</v>
      </c>
      <c r="B5" s="236">
        <v>1191829.5713620714</v>
      </c>
      <c r="C5" s="236">
        <v>128467.8</v>
      </c>
      <c r="D5" s="236">
        <v>1565626.3159673489</v>
      </c>
      <c r="E5" s="236">
        <v>1682803.8007453769</v>
      </c>
      <c r="F5" s="236">
        <v>60009.02925833522</v>
      </c>
      <c r="G5" s="236">
        <v>2392074.3977685794</v>
      </c>
      <c r="H5" s="236">
        <v>1372767.4962379688</v>
      </c>
      <c r="I5" s="236">
        <v>8393578.4113396797</v>
      </c>
    </row>
    <row r="6" spans="1:9" x14ac:dyDescent="0.25">
      <c r="A6" s="78" t="s">
        <v>61</v>
      </c>
      <c r="B6" s="236">
        <v>3442605.2575027933</v>
      </c>
      <c r="C6" s="236">
        <v>385403.4</v>
      </c>
      <c r="D6" s="236">
        <v>2854906.1506427773</v>
      </c>
      <c r="E6" s="236">
        <v>5009396.6594232842</v>
      </c>
      <c r="F6" s="236">
        <v>120018.05851667044</v>
      </c>
      <c r="G6" s="236">
        <v>5487921.5441756556</v>
      </c>
      <c r="H6" s="236">
        <v>4447615.2207267499</v>
      </c>
      <c r="I6" s="236">
        <v>21747866.290987931</v>
      </c>
    </row>
  </sheetData>
  <pageMargins left="0.7" right="0.7" top="0.75" bottom="0.75" header="0.3" footer="0.3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6B0381-BA8F-4C8A-BC95-03CCE33310FB}">
  <sheetPr codeName="Sheet26">
    <tabColor theme="2" tint="-9.9978637043366805E-2"/>
  </sheetPr>
  <dimension ref="A1:J6"/>
  <sheetViews>
    <sheetView workbookViewId="0">
      <selection activeCell="B2" sqref="B2:I2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8.28515625" bestFit="1" customWidth="1"/>
    <col min="4" max="5" width="10.140625" bestFit="1" customWidth="1"/>
    <col min="6" max="6" width="9.85546875" bestFit="1" customWidth="1"/>
    <col min="7" max="7" width="12.140625" bestFit="1" customWidth="1"/>
    <col min="8" max="8" width="14.5703125" bestFit="1" customWidth="1"/>
    <col min="9" max="9" width="13.42578125" bestFit="1" customWidth="1"/>
    <col min="10" max="10" width="11.28515625" bestFit="1" customWidth="1"/>
    <col min="11" max="11" width="12" bestFit="1" customWidth="1"/>
    <col min="12" max="12" width="12.7109375" bestFit="1" customWidth="1"/>
    <col min="13" max="13" width="17.85546875" bestFit="1" customWidth="1"/>
    <col min="14" max="14" width="12" bestFit="1" customWidth="1"/>
  </cols>
  <sheetData>
    <row r="1" spans="1:10" x14ac:dyDescent="0.25">
      <c r="A1" s="77" t="s">
        <v>198</v>
      </c>
      <c r="B1" s="77" t="s">
        <v>62</v>
      </c>
    </row>
    <row r="2" spans="1:10" x14ac:dyDescent="0.25">
      <c r="A2" s="77" t="s">
        <v>60</v>
      </c>
      <c r="B2" s="168" t="s">
        <v>111</v>
      </c>
      <c r="C2" s="168" t="s">
        <v>200</v>
      </c>
      <c r="D2" s="168" t="s">
        <v>193</v>
      </c>
      <c r="E2" s="168" t="s">
        <v>194</v>
      </c>
      <c r="F2" s="168" t="s">
        <v>10</v>
      </c>
      <c r="G2" s="168" t="s">
        <v>261</v>
      </c>
      <c r="H2" s="168" t="s">
        <v>313</v>
      </c>
      <c r="I2" s="168" t="s">
        <v>335</v>
      </c>
      <c r="J2" s="168" t="s">
        <v>61</v>
      </c>
    </row>
    <row r="3" spans="1:10" x14ac:dyDescent="0.25">
      <c r="A3" s="78">
        <v>2019</v>
      </c>
      <c r="B3" s="98">
        <v>13911562.11827757</v>
      </c>
      <c r="C3" s="98">
        <v>-158.43719999999996</v>
      </c>
      <c r="D3" s="98">
        <v>5519261.9007367166</v>
      </c>
      <c r="E3" s="98">
        <v>9725466.1897341814</v>
      </c>
      <c r="F3" s="98">
        <v>-561900</v>
      </c>
      <c r="G3" s="98">
        <v>-165207.21089505972</v>
      </c>
      <c r="H3" s="98">
        <v>0</v>
      </c>
      <c r="I3" s="98">
        <v>-605900.32409827493</v>
      </c>
      <c r="J3" s="98">
        <v>27823124.236555129</v>
      </c>
    </row>
    <row r="4" spans="1:10" x14ac:dyDescent="0.25">
      <c r="A4" s="78">
        <v>2030</v>
      </c>
      <c r="B4" s="98">
        <v>14095541.098578379</v>
      </c>
      <c r="C4" s="98">
        <v>-50273.43159900204</v>
      </c>
      <c r="D4" s="98">
        <v>6608780.2582464404</v>
      </c>
      <c r="E4" s="98">
        <v>9296833.4976137169</v>
      </c>
      <c r="F4" s="98">
        <v>-673493.54240423942</v>
      </c>
      <c r="G4" s="98">
        <v>-512909.13665768696</v>
      </c>
      <c r="H4" s="98">
        <v>0</v>
      </c>
      <c r="I4" s="98">
        <v>-573396.54662085196</v>
      </c>
      <c r="J4" s="98">
        <v>28191082.197156753</v>
      </c>
    </row>
    <row r="5" spans="1:10" x14ac:dyDescent="0.25">
      <c r="A5" s="78">
        <v>2050</v>
      </c>
      <c r="B5" s="98">
        <v>13147269.125533711</v>
      </c>
      <c r="C5" s="98">
        <v>-50273.43159900204</v>
      </c>
      <c r="D5" s="98">
        <v>6582277.0918141343</v>
      </c>
      <c r="E5" s="98">
        <v>9211339.4377100542</v>
      </c>
      <c r="F5" s="98">
        <v>-1554610.6284261232</v>
      </c>
      <c r="G5" s="98">
        <v>-499823.11753171525</v>
      </c>
      <c r="H5" s="98">
        <v>0</v>
      </c>
      <c r="I5" s="98">
        <v>-541640.22643362987</v>
      </c>
      <c r="J5" s="98">
        <v>26294538.251067426</v>
      </c>
    </row>
    <row r="6" spans="1:10" x14ac:dyDescent="0.25">
      <c r="A6" s="78" t="s">
        <v>61</v>
      </c>
      <c r="B6" s="98">
        <v>41154372.342389658</v>
      </c>
      <c r="C6" s="98">
        <v>-100705.30039800408</v>
      </c>
      <c r="D6" s="98">
        <v>18710319.25079729</v>
      </c>
      <c r="E6" s="98">
        <v>28233639.125057951</v>
      </c>
      <c r="F6" s="98">
        <v>-2790004.1708303625</v>
      </c>
      <c r="G6" s="98">
        <v>-1177939.465084462</v>
      </c>
      <c r="H6" s="98">
        <v>0</v>
      </c>
      <c r="I6" s="98">
        <v>-1720937.0971527568</v>
      </c>
      <c r="J6" s="98">
        <v>82308744.684779316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2A2E73-71F1-4CDC-95B9-A794F0F34DC5}">
  <sheetPr codeName="Sheet27">
    <tabColor theme="2" tint="-9.9978637043366805E-2"/>
  </sheetPr>
  <dimension ref="A1:I61"/>
  <sheetViews>
    <sheetView workbookViewId="0">
      <selection activeCell="F4" sqref="F4"/>
    </sheetView>
  </sheetViews>
  <sheetFormatPr defaultRowHeight="15" x14ac:dyDescent="0.25"/>
  <cols>
    <col min="3" max="3" width="16.85546875" bestFit="1" customWidth="1"/>
    <col min="4" max="6" width="16.85546875" customWidth="1"/>
  </cols>
  <sheetData>
    <row r="1" spans="1:9" x14ac:dyDescent="0.25">
      <c r="A1" t="s">
        <v>64</v>
      </c>
      <c r="B1" t="s">
        <v>58</v>
      </c>
      <c r="C1" t="s">
        <v>30</v>
      </c>
      <c r="D1" t="s">
        <v>199</v>
      </c>
      <c r="E1" t="s">
        <v>201</v>
      </c>
    </row>
    <row r="2" spans="1:9" x14ac:dyDescent="0.25">
      <c r="A2" t="s">
        <v>23</v>
      </c>
      <c r="B2">
        <f t="shared" ref="B2:B11" si="0">År1</f>
        <v>2019</v>
      </c>
      <c r="C2" s="98">
        <f>SUMIF('Resultater - Vestdanmark'!$F$3:$F$509,'CO2-udledning'!$D$2,'Resultater - Vestdanmark'!H$3:H$509)</f>
        <v>11941424.383000549</v>
      </c>
      <c r="D2" s="98" t="s">
        <v>111</v>
      </c>
      <c r="E2" s="98" t="s">
        <v>111</v>
      </c>
    </row>
    <row r="3" spans="1:9" x14ac:dyDescent="0.25">
      <c r="A3" t="s">
        <v>23</v>
      </c>
      <c r="B3" s="168">
        <f t="shared" si="0"/>
        <v>2019</v>
      </c>
      <c r="C3" s="98">
        <f>SUMIFS('Resultater - Vestdanmark'!H$3:H$496,'Resultater - Vestdanmark'!$F$3:$F$496,'CO2-udledning'!$D$2,'Resultater - Vestdanmark'!$A$3:$A$496,'CO2-udledning'!$G3)+SUMIFS('Resultater - Vestdanmark'!H$3:H$496,'Resultater - Vestdanmark'!$F$3:$F$496,'CO2-udledning'!$D$2,'Resultater - Vestdanmark'!$A$3:$A$496,'CO2-udledning'!$H3)+SUMIFS('Resultater - Vestdanmark'!H$3:H$496,'Resultater - Vestdanmark'!$F$3:$F$496,'CO2-udledning'!$D$2,'Resultater - Vestdanmark'!$A$3:$A$496,'CO2-udledning'!$I3)</f>
        <v>5070835.3540045777</v>
      </c>
      <c r="D3" t="s">
        <v>69</v>
      </c>
      <c r="E3" t="s">
        <v>193</v>
      </c>
      <c r="G3" s="98" t="s">
        <v>167</v>
      </c>
      <c r="H3" s="98" t="s">
        <v>168</v>
      </c>
      <c r="I3" s="98" t="s">
        <v>169</v>
      </c>
    </row>
    <row r="4" spans="1:9" x14ac:dyDescent="0.25">
      <c r="A4" t="s">
        <v>23</v>
      </c>
      <c r="B4" s="168">
        <f t="shared" si="0"/>
        <v>2019</v>
      </c>
      <c r="C4" s="98">
        <f>SUMIFS('Resultater - Vestdanmark'!H$3:H$496,'Resultater - Vestdanmark'!$F$3:$F$496,'CO2-udledning'!$D$2,'Resultater - Vestdanmark'!$C$3:$C$496,'CO2-udledning'!$F4)+SUMIFS('Resultater - Vestdanmark'!H$3:H$496,'Resultater - Vestdanmark'!$F$3:$F$496,$D$2,'Resultater - Vestdanmark'!$A$3:$A$496,"Grøntsager I drivhus")</f>
        <v>4170153.6479513268</v>
      </c>
      <c r="D4" t="s">
        <v>69</v>
      </c>
      <c r="E4" t="s">
        <v>194</v>
      </c>
      <c r="F4" t="str">
        <f>Jordbund1</f>
        <v>JB1-10</v>
      </c>
    </row>
    <row r="5" spans="1:9" x14ac:dyDescent="0.25">
      <c r="A5" t="s">
        <v>23</v>
      </c>
      <c r="B5" s="168">
        <f t="shared" si="0"/>
        <v>2019</v>
      </c>
      <c r="C5" s="98">
        <f>SUMIFS('Resultater - Vestdanmark'!H$3:H$496,'Resultater - Vestdanmark'!$F$3:$F$496,'CO2-udledning'!$D$2,'Resultater - Vestdanmark'!$C$3:$C$496,'CO2-udledning'!$F5)</f>
        <v>1273957.4753938417</v>
      </c>
      <c r="D5" t="s">
        <v>69</v>
      </c>
      <c r="E5" t="s">
        <v>194</v>
      </c>
      <c r="F5" t="str">
        <f>Organ6</f>
        <v>OC6</v>
      </c>
    </row>
    <row r="6" spans="1:9" x14ac:dyDescent="0.25">
      <c r="A6" t="s">
        <v>23</v>
      </c>
      <c r="B6" s="168">
        <f t="shared" si="0"/>
        <v>2019</v>
      </c>
      <c r="C6" s="98">
        <f>SUMIFS('Resultater - Vestdanmark'!H$3:H$496,'Resultater - Vestdanmark'!$F$3:$F$496,'CO2-udledning'!$D$2,'Resultater - Vestdanmark'!$C$3:$C$496,'CO2-udledning'!$F6)</f>
        <v>2482763.8616224034</v>
      </c>
      <c r="D6" t="s">
        <v>69</v>
      </c>
      <c r="E6" t="s">
        <v>194</v>
      </c>
      <c r="F6" t="str">
        <f>Organ12</f>
        <v>OC12</v>
      </c>
    </row>
    <row r="7" spans="1:9" x14ac:dyDescent="0.25">
      <c r="A7" t="s">
        <v>23</v>
      </c>
      <c r="B7" s="168">
        <f t="shared" si="0"/>
        <v>2019</v>
      </c>
      <c r="C7" s="98">
        <f>SUMIFS('Resultater - Vestdanmark'!H$3:H$496,'Resultater - Vestdanmark'!$F$3:$F$496,'CO2-udledning'!$D$2,'Resultater - Vestdanmark'!$A$3:$A$496,'CO2-udledning'!$G7)+SUMIFS('Resultater - Vestdanmark'!H$3:H$496,'Resultater - Vestdanmark'!$F$3:$F$496,'CO2-udledning'!$D$2,'Resultater - Vestdanmark'!$A$3:$A$496,'CO2-udledning'!$H7)</f>
        <v>-158.24317477886137</v>
      </c>
      <c r="D7" t="s">
        <v>200</v>
      </c>
      <c r="E7" t="s">
        <v>200</v>
      </c>
      <c r="G7" t="s">
        <v>195</v>
      </c>
      <c r="H7" t="s">
        <v>196</v>
      </c>
    </row>
    <row r="8" spans="1:9" x14ac:dyDescent="0.25">
      <c r="A8" t="s">
        <v>23</v>
      </c>
      <c r="B8" s="168">
        <f t="shared" si="0"/>
        <v>2019</v>
      </c>
      <c r="C8" s="98">
        <f>SUMIFS('Resultater - Vestdanmark'!H$3:H$496,'Resultater - Vestdanmark'!$F$3:$F$496,'CO2-udledning'!$D$2,'Resultater - Vestdanmark'!$A$3:$A$496,'CO2-udledning'!$G8)</f>
        <v>-435064.52162306459</v>
      </c>
      <c r="D8" t="s">
        <v>10</v>
      </c>
      <c r="E8" t="s">
        <v>10</v>
      </c>
      <c r="G8" t="s">
        <v>197</v>
      </c>
    </row>
    <row r="9" spans="1:9" s="168" customFormat="1" x14ac:dyDescent="0.25">
      <c r="A9" s="168" t="s">
        <v>23</v>
      </c>
      <c r="B9" s="168">
        <f t="shared" si="0"/>
        <v>2019</v>
      </c>
      <c r="C9" s="98">
        <f>SUMIFS('Resultater - Vestdanmark'!H$3:H$496,'Resultater - Vestdanmark'!$F$3:$F$496,'CO2-udledning'!$D$2,'Resultater - Vestdanmark'!$A$3:$A$496,'CO2-udledning'!$G9)</f>
        <v>-469132.82551179174</v>
      </c>
      <c r="D9" s="168" t="s">
        <v>334</v>
      </c>
      <c r="E9" s="168" t="s">
        <v>335</v>
      </c>
      <c r="G9" s="168" t="s">
        <v>333</v>
      </c>
    </row>
    <row r="10" spans="1:9" s="168" customFormat="1" x14ac:dyDescent="0.25">
      <c r="A10" s="168" t="s">
        <v>23</v>
      </c>
      <c r="B10" s="168">
        <f t="shared" si="0"/>
        <v>2019</v>
      </c>
      <c r="C10" s="98">
        <f>SUMIFS('Resultater - Vestdanmark'!H$3:H$496,'Resultater - Vestdanmark'!$F$3:$F$496,'CO2-udledning'!$D$2,'Resultater - Vestdanmark'!$A$3:$A$496,'CO2-udledning'!$G10)</f>
        <v>-151930.36566196129</v>
      </c>
      <c r="D10" s="168" t="s">
        <v>261</v>
      </c>
      <c r="E10" s="168" t="s">
        <v>261</v>
      </c>
      <c r="G10" s="168" t="s">
        <v>261</v>
      </c>
    </row>
    <row r="11" spans="1:9" s="168" customFormat="1" x14ac:dyDescent="0.25">
      <c r="A11" s="168" t="s">
        <v>23</v>
      </c>
      <c r="B11" s="168">
        <f t="shared" si="0"/>
        <v>2019</v>
      </c>
      <c r="C11" s="98">
        <f>SUMIFS('Resultater - Vestdanmark'!H$3:H$496,'Resultater - Vestdanmark'!$F$3:$F$496,'CO2-udledning'!$D$2,'Resultater - Vestdanmark'!$A$3:$A$496,'CO2-udledning'!$G11)</f>
        <v>0</v>
      </c>
      <c r="D11" s="168" t="s">
        <v>313</v>
      </c>
      <c r="E11" s="168" t="s">
        <v>313</v>
      </c>
      <c r="G11" s="168" t="s">
        <v>313</v>
      </c>
    </row>
    <row r="12" spans="1:9" x14ac:dyDescent="0.25">
      <c r="A12" t="s">
        <v>23</v>
      </c>
      <c r="B12">
        <f t="shared" ref="B12:B21" si="1">År2</f>
        <v>2030</v>
      </c>
      <c r="C12" s="98">
        <f ca="1">SUMIF('Resultater - Vestdanmark'!$F$3:$F$509,'CO2-udledning'!$D$2,'Resultater - Vestdanmark'!I$3:I$509)</f>
        <v>12144036.092706127</v>
      </c>
      <c r="D12" s="98" t="str">
        <f>IF(D2&lt;&gt;"",D2,"")</f>
        <v>CO2 - atmosfære</v>
      </c>
      <c r="E12" s="98" t="str">
        <f>E2</f>
        <v>CO2 - atmosfære</v>
      </c>
      <c r="F12" s="98" t="str">
        <f t="shared" ref="F12:I12" si="2">IF(F2&lt;&gt;"",F2,"")</f>
        <v/>
      </c>
      <c r="G12" s="98" t="str">
        <f t="shared" si="2"/>
        <v/>
      </c>
      <c r="H12" s="98" t="str">
        <f t="shared" si="2"/>
        <v/>
      </c>
      <c r="I12" s="98" t="str">
        <f t="shared" si="2"/>
        <v/>
      </c>
    </row>
    <row r="13" spans="1:9" x14ac:dyDescent="0.25">
      <c r="A13" t="s">
        <v>23</v>
      </c>
      <c r="B13" s="168">
        <f t="shared" si="1"/>
        <v>2030</v>
      </c>
      <c r="C13" s="98">
        <f>SUMIFS('Resultater - Vestdanmark'!I$3:I$496,'Resultater - Vestdanmark'!$F$3:$F$496,'CO2-udledning'!$D$2,'Resultater - Vestdanmark'!$A$3:$A$496,'CO2-udledning'!$G3)+SUMIFS('Resultater - Vestdanmark'!I$3:I$496,'Resultater - Vestdanmark'!$F$3:$F$496,'CO2-udledning'!$D$2,'Resultater - Vestdanmark'!$A$3:$A$496,'CO2-udledning'!$H3)+SUMIFS('Resultater - Vestdanmark'!I$3:I$496,'Resultater - Vestdanmark'!$F$3:$F$496,'CO2-udledning'!$D$2,'Resultater - Vestdanmark'!$A$3:$A$496,'CO2-udledning'!$I3)</f>
        <v>6069868.2390794745</v>
      </c>
      <c r="D13" s="98" t="str">
        <f t="shared" ref="D13:I13" si="3">IF(D3&lt;&gt;"",D3,"")</f>
        <v>Landbrug</v>
      </c>
      <c r="E13" s="98" t="str">
        <f t="shared" ref="E13:E61" si="4">E3</f>
        <v>Husdyr</v>
      </c>
      <c r="F13" s="98" t="str">
        <f t="shared" si="3"/>
        <v/>
      </c>
      <c r="G13" s="98" t="str">
        <f t="shared" si="3"/>
        <v>Grisestald</v>
      </c>
      <c r="H13" s="98" t="str">
        <f t="shared" si="3"/>
        <v>Kostald</v>
      </c>
      <c r="I13" s="98" t="str">
        <f t="shared" si="3"/>
        <v>Fjerkræbrug</v>
      </c>
    </row>
    <row r="14" spans="1:9" x14ac:dyDescent="0.25">
      <c r="A14" t="s">
        <v>23</v>
      </c>
      <c r="B14" s="168">
        <f t="shared" si="1"/>
        <v>2030</v>
      </c>
      <c r="C14" s="98">
        <f>SUMIFS('Resultater - Vestdanmark'!I$3:I$496,'Resultater - Vestdanmark'!$F$3:$F$496,'CO2-udledning'!$D$2,'Resultater - Vestdanmark'!$C$3:$C$496,'CO2-udledning'!$F4)+SUMIFS('Resultater - Vestdanmark'!I$3:I$496,'Resultater - Vestdanmark'!$F$3:$F$496,$D$2,'Resultater - Vestdanmark'!$A$3:$A$496,"Grøntsager I drivhus")</f>
        <v>4129335.438761028</v>
      </c>
      <c r="D14" s="98" t="str">
        <f t="shared" ref="D14:I14" si="5">IF(D4&lt;&gt;"",D4,"")</f>
        <v>Landbrug</v>
      </c>
      <c r="E14" s="98" t="str">
        <f t="shared" si="4"/>
        <v>Marker</v>
      </c>
      <c r="F14" s="98" t="str">
        <f t="shared" si="5"/>
        <v>JB1-10</v>
      </c>
      <c r="G14" s="98" t="str">
        <f t="shared" si="5"/>
        <v/>
      </c>
      <c r="H14" s="98" t="str">
        <f t="shared" si="5"/>
        <v/>
      </c>
      <c r="I14" s="98" t="str">
        <f t="shared" si="5"/>
        <v/>
      </c>
    </row>
    <row r="15" spans="1:9" x14ac:dyDescent="0.25">
      <c r="A15" t="s">
        <v>23</v>
      </c>
      <c r="B15" s="168">
        <f t="shared" si="1"/>
        <v>2030</v>
      </c>
      <c r="C15" s="98">
        <f>SUMIFS('Resultater - Vestdanmark'!I$3:I$496,'Resultater - Vestdanmark'!$F$3:$F$496,'CO2-udledning'!$D$2,'Resultater - Vestdanmark'!$C$3:$C$496,'CO2-udledning'!$F5)</f>
        <v>1178887.9139378124</v>
      </c>
      <c r="D15" s="98" t="str">
        <f t="shared" ref="D15:I15" si="6">IF(D5&lt;&gt;"",D5,"")</f>
        <v>Landbrug</v>
      </c>
      <c r="E15" s="98" t="str">
        <f t="shared" si="4"/>
        <v>Marker</v>
      </c>
      <c r="F15" s="98" t="str">
        <f t="shared" si="6"/>
        <v>OC6</v>
      </c>
      <c r="G15" s="98" t="str">
        <f t="shared" si="6"/>
        <v/>
      </c>
      <c r="H15" s="98" t="str">
        <f t="shared" si="6"/>
        <v/>
      </c>
      <c r="I15" s="98" t="str">
        <f t="shared" si="6"/>
        <v/>
      </c>
    </row>
    <row r="16" spans="1:9" x14ac:dyDescent="0.25">
      <c r="A16" t="s">
        <v>23</v>
      </c>
      <c r="B16" s="168">
        <f t="shared" si="1"/>
        <v>2030</v>
      </c>
      <c r="C16" s="98">
        <f>SUMIFS('Resultater - Vestdanmark'!I$3:I$496,'Resultater - Vestdanmark'!$F$3:$F$496,'CO2-udledning'!$D$2,'Resultater - Vestdanmark'!$C$3:$C$496,'CO2-udledning'!$F6)</f>
        <v>2244744.5221939343</v>
      </c>
      <c r="D16" s="98" t="str">
        <f t="shared" ref="D16:I16" si="7">IF(D6&lt;&gt;"",D6,"")</f>
        <v>Landbrug</v>
      </c>
      <c r="E16" s="98" t="str">
        <f t="shared" si="4"/>
        <v>Marker</v>
      </c>
      <c r="F16" s="98" t="str">
        <f t="shared" si="7"/>
        <v>OC12</v>
      </c>
      <c r="G16" s="98" t="str">
        <f t="shared" si="7"/>
        <v/>
      </c>
      <c r="H16" s="98" t="str">
        <f t="shared" si="7"/>
        <v/>
      </c>
      <c r="I16" s="98" t="str">
        <f t="shared" si="7"/>
        <v/>
      </c>
    </row>
    <row r="17" spans="1:9" x14ac:dyDescent="0.25">
      <c r="A17" t="s">
        <v>23</v>
      </c>
      <c r="B17" s="168">
        <f t="shared" si="1"/>
        <v>2030</v>
      </c>
      <c r="C17" s="98">
        <f>SUMIFS('Resultater - Vestdanmark'!I$3:I$496,'Resultater - Vestdanmark'!$F$3:$F$496,'CO2-udledning'!$D$2,'Resultater - Vestdanmark'!$A$3:$A$496,'CO2-udledning'!$G7)+SUMIFS('Resultater - Vestdanmark'!I$3:I$496,'Resultater - Vestdanmark'!$F$3:$F$496,'CO2-udledning'!$D$2,'Resultater - Vestdanmark'!$A$3:$A$496,'CO2-udledning'!$H7)</f>
        <v>-37462.493699251529</v>
      </c>
      <c r="D17" s="98" t="str">
        <f t="shared" ref="D17:I17" si="8">IF(D7&lt;&gt;"",D7,"")</f>
        <v>Hav</v>
      </c>
      <c r="E17" s="98" t="str">
        <f t="shared" si="4"/>
        <v>Hav</v>
      </c>
      <c r="F17" s="98" t="str">
        <f t="shared" si="8"/>
        <v/>
      </c>
      <c r="G17" s="98" t="str">
        <f t="shared" si="8"/>
        <v>Muslingefarm</v>
      </c>
      <c r="H17" s="98" t="str">
        <f t="shared" si="8"/>
        <v>Tangfarm</v>
      </c>
      <c r="I17" s="98" t="str">
        <f t="shared" si="8"/>
        <v/>
      </c>
    </row>
    <row r="18" spans="1:9" x14ac:dyDescent="0.25">
      <c r="A18" t="s">
        <v>23</v>
      </c>
      <c r="B18" s="168">
        <f t="shared" si="1"/>
        <v>2030</v>
      </c>
      <c r="C18" s="98">
        <f ca="1">SUMIFS('Resultater - Vestdanmark'!I$3:I$496,'Resultater - Vestdanmark'!$F$3:$F$496,'CO2-udledning'!$D$2,'Resultater - Vestdanmark'!$A$3:$A$496,'CO2-udledning'!$G8)</f>
        <v>-526908.50323869486</v>
      </c>
      <c r="D18" s="98" t="str">
        <f t="shared" ref="D18:I18" si="9">IF(D8&lt;&gt;"",D8,"")</f>
        <v>Skov</v>
      </c>
      <c r="E18" s="98" t="str">
        <f t="shared" si="4"/>
        <v>Skov</v>
      </c>
      <c r="F18" s="98" t="str">
        <f t="shared" si="9"/>
        <v/>
      </c>
      <c r="G18" s="98" t="str">
        <f t="shared" si="9"/>
        <v>Skovproduktion</v>
      </c>
      <c r="H18" s="98" t="str">
        <f t="shared" si="9"/>
        <v/>
      </c>
      <c r="I18" s="98" t="str">
        <f t="shared" si="9"/>
        <v/>
      </c>
    </row>
    <row r="19" spans="1:9" s="168" customFormat="1" x14ac:dyDescent="0.25">
      <c r="A19" s="168" t="s">
        <v>23</v>
      </c>
      <c r="B19" s="168">
        <f t="shared" si="1"/>
        <v>2030</v>
      </c>
      <c r="C19" s="98">
        <f ca="1">SUMIFS('Resultater - Vestdanmark'!I$3:I$496,'Resultater - Vestdanmark'!$F$3:$F$496,'CO2-udledning'!$D$2,'Resultater - Vestdanmark'!$A$3:$A$496,'CO2-udledning'!$G9)</f>
        <v>-443965.99796390499</v>
      </c>
      <c r="D19" s="168" t="s">
        <v>334</v>
      </c>
      <c r="E19" s="98" t="str">
        <f t="shared" si="4"/>
        <v>Træprodukter</v>
      </c>
      <c r="G19" s="168" t="s">
        <v>333</v>
      </c>
      <c r="H19" s="98"/>
      <c r="I19" s="98"/>
    </row>
    <row r="20" spans="1:9" s="168" customFormat="1" x14ac:dyDescent="0.25">
      <c r="A20" s="168" t="s">
        <v>23</v>
      </c>
      <c r="B20" s="168">
        <f t="shared" si="1"/>
        <v>2030</v>
      </c>
      <c r="C20" s="98">
        <f>SUMIFS('Resultater - Vestdanmark'!I$3:I$496,'Resultater - Vestdanmark'!$F$3:$F$496,'CO2-udledning'!$D$2,'Resultater - Vestdanmark'!$A$3:$A$496,'CO2-udledning'!$G10)</f>
        <v>-470463.02636426751</v>
      </c>
      <c r="D20" s="98" t="str">
        <f t="shared" ref="D20:I20" si="10">IF(D10&lt;&gt;"",D10,"")</f>
        <v>Biogasanlæg</v>
      </c>
      <c r="E20" s="98" t="str">
        <f t="shared" si="4"/>
        <v>Biogasanlæg</v>
      </c>
      <c r="F20" s="98" t="str">
        <f t="shared" si="10"/>
        <v/>
      </c>
      <c r="G20" s="98" t="str">
        <f t="shared" si="10"/>
        <v>Biogasanlæg</v>
      </c>
      <c r="H20" s="98" t="str">
        <f t="shared" si="10"/>
        <v/>
      </c>
      <c r="I20" s="98" t="str">
        <f t="shared" si="10"/>
        <v/>
      </c>
    </row>
    <row r="21" spans="1:9" s="168" customFormat="1" x14ac:dyDescent="0.25">
      <c r="A21" s="168" t="s">
        <v>23</v>
      </c>
      <c r="B21" s="168">
        <f t="shared" si="1"/>
        <v>2030</v>
      </c>
      <c r="C21" s="98">
        <f>SUMIFS('Resultater - Vestdanmark'!I$3:I$496,'Resultater - Vestdanmark'!$F$3:$F$496,'CO2-udledning'!$D$2,'Resultater - Vestdanmark'!$A$3:$A$496,'CO2-udledning'!$G11)</f>
        <v>0</v>
      </c>
      <c r="D21" s="98" t="str">
        <f t="shared" ref="D21:I21" si="11">IF(D11&lt;&gt;"",D11,"")</f>
        <v>Pyrolyseproces</v>
      </c>
      <c r="E21" s="98" t="str">
        <f t="shared" si="4"/>
        <v>Pyrolyseproces</v>
      </c>
      <c r="F21" s="98" t="str">
        <f t="shared" si="11"/>
        <v/>
      </c>
      <c r="G21" s="98" t="str">
        <f t="shared" si="11"/>
        <v>Pyrolyseproces</v>
      </c>
      <c r="H21" s="98" t="str">
        <f t="shared" si="11"/>
        <v/>
      </c>
      <c r="I21" s="98" t="str">
        <f t="shared" si="11"/>
        <v/>
      </c>
    </row>
    <row r="22" spans="1:9" x14ac:dyDescent="0.25">
      <c r="A22" t="s">
        <v>23</v>
      </c>
      <c r="B22">
        <f t="shared" ref="B22:B31" si="12">År3</f>
        <v>2050</v>
      </c>
      <c r="C22" s="98">
        <f ca="1">SUMIF('Resultater - Vestdanmark'!$F$3:$F$509,'CO2-udledning'!$D$2,'Resultater - Vestdanmark'!J$3:J$509)</f>
        <v>11361659.86324651</v>
      </c>
      <c r="D22" s="98" t="str">
        <f t="shared" ref="D22:I22" si="13">IF(D12&lt;&gt;"",D12,"")</f>
        <v>CO2 - atmosfære</v>
      </c>
      <c r="E22" s="98" t="str">
        <f t="shared" si="4"/>
        <v>CO2 - atmosfære</v>
      </c>
      <c r="F22" s="98" t="str">
        <f t="shared" si="13"/>
        <v/>
      </c>
      <c r="G22" s="98" t="str">
        <f t="shared" si="13"/>
        <v/>
      </c>
      <c r="H22" s="98" t="str">
        <f t="shared" si="13"/>
        <v/>
      </c>
      <c r="I22" s="98" t="str">
        <f t="shared" si="13"/>
        <v/>
      </c>
    </row>
    <row r="23" spans="1:9" x14ac:dyDescent="0.25">
      <c r="A23" t="s">
        <v>23</v>
      </c>
      <c r="B23">
        <f t="shared" si="12"/>
        <v>2050</v>
      </c>
      <c r="C23" s="98">
        <f>SUMIFS('Resultater - Vestdanmark'!J$3:J$496,'Resultater - Vestdanmark'!$F$3:$F$496,'CO2-udledning'!$D$2,'Resultater - Vestdanmark'!$A$3:$A$496,'CO2-udledning'!$G3)+SUMIFS('Resultater - Vestdanmark'!J$3:J$496,'Resultater - Vestdanmark'!$F$3:$F$496,'CO2-udledning'!$D$2,'Resultater - Vestdanmark'!$A$3:$A$496,'CO2-udledning'!$H3)+SUMIFS('Resultater - Vestdanmark'!J$3:J$496,'Resultater - Vestdanmark'!$F$3:$F$496,'CO2-udledning'!$D$2,'Resultater - Vestdanmark'!$A$3:$A$496,'CO2-udledning'!$I3)</f>
        <v>6044724.7524874648</v>
      </c>
      <c r="D23" s="98" t="str">
        <f t="shared" ref="D23:I23" si="14">IF(D13&lt;&gt;"",D13,"")</f>
        <v>Landbrug</v>
      </c>
      <c r="E23" s="98" t="str">
        <f t="shared" si="4"/>
        <v>Husdyr</v>
      </c>
      <c r="F23" s="98" t="str">
        <f t="shared" si="14"/>
        <v/>
      </c>
      <c r="G23" s="98" t="str">
        <f t="shared" si="14"/>
        <v>Grisestald</v>
      </c>
      <c r="H23" s="98" t="str">
        <f t="shared" si="14"/>
        <v>Kostald</v>
      </c>
      <c r="I23" s="98" t="str">
        <f t="shared" si="14"/>
        <v>Fjerkræbrug</v>
      </c>
    </row>
    <row r="24" spans="1:9" x14ac:dyDescent="0.25">
      <c r="A24" t="s">
        <v>23</v>
      </c>
      <c r="B24">
        <f t="shared" si="12"/>
        <v>2050</v>
      </c>
      <c r="C24" s="98">
        <f>SUMIFS('Resultater - Vestdanmark'!J$3:J$496,'Resultater - Vestdanmark'!$F$3:$F$496,'CO2-udledning'!$D$2,'Resultater - Vestdanmark'!$C$3:$C$496,'CO2-udledning'!$F4)+SUMIFS('Resultater - Vestdanmark'!J$3:J$496,'Resultater - Vestdanmark'!$F$3:$F$496,$D$2,'Resultater - Vestdanmark'!$A$3:$A$496,"Grøntsager I drivhus")</f>
        <v>4055128.7983608572</v>
      </c>
      <c r="D24" s="98" t="str">
        <f t="shared" ref="D24:I24" si="15">IF(D14&lt;&gt;"",D14,"")</f>
        <v>Landbrug</v>
      </c>
      <c r="E24" s="98" t="str">
        <f t="shared" si="4"/>
        <v>Marker</v>
      </c>
      <c r="F24" s="98" t="str">
        <f t="shared" si="15"/>
        <v>JB1-10</v>
      </c>
      <c r="G24" s="98" t="str">
        <f t="shared" si="15"/>
        <v/>
      </c>
      <c r="H24" s="98" t="str">
        <f t="shared" si="15"/>
        <v/>
      </c>
      <c r="I24" s="98" t="str">
        <f t="shared" si="15"/>
        <v/>
      </c>
    </row>
    <row r="25" spans="1:9" x14ac:dyDescent="0.25">
      <c r="A25" t="s">
        <v>23</v>
      </c>
      <c r="B25">
        <f t="shared" si="12"/>
        <v>2050</v>
      </c>
      <c r="C25" s="98">
        <f>SUMIFS('Resultater - Vestdanmark'!J$3:J$496,'Resultater - Vestdanmark'!$F$3:$F$496,'CO2-udledning'!$D$2,'Resultater - Vestdanmark'!$C$3:$C$496,'CO2-udledning'!$F5)</f>
        <v>1178887.9139378127</v>
      </c>
      <c r="D25" s="98" t="str">
        <f t="shared" ref="D25:I25" si="16">IF(D15&lt;&gt;"",D15,"")</f>
        <v>Landbrug</v>
      </c>
      <c r="E25" s="98" t="str">
        <f t="shared" si="4"/>
        <v>Marker</v>
      </c>
      <c r="F25" s="98" t="str">
        <f t="shared" si="16"/>
        <v>OC6</v>
      </c>
      <c r="G25" s="98" t="str">
        <f t="shared" si="16"/>
        <v/>
      </c>
      <c r="H25" s="98" t="str">
        <f t="shared" si="16"/>
        <v/>
      </c>
      <c r="I25" s="98" t="str">
        <f t="shared" si="16"/>
        <v/>
      </c>
    </row>
    <row r="26" spans="1:9" x14ac:dyDescent="0.25">
      <c r="A26" t="s">
        <v>23</v>
      </c>
      <c r="B26">
        <f t="shared" si="12"/>
        <v>2050</v>
      </c>
      <c r="C26" s="98">
        <f>SUMIFS('Resultater - Vestdanmark'!J$3:J$496,'Resultater - Vestdanmark'!$F$3:$F$496,'CO2-udledning'!$D$2,'Resultater - Vestdanmark'!$C$3:$C$496,'CO2-udledning'!$F6)</f>
        <v>2244744.5221939343</v>
      </c>
      <c r="D26" s="98" t="str">
        <f t="shared" ref="D26:I26" si="17">IF(D16&lt;&gt;"",D16,"")</f>
        <v>Landbrug</v>
      </c>
      <c r="E26" s="98" t="str">
        <f t="shared" si="4"/>
        <v>Marker</v>
      </c>
      <c r="F26" s="98" t="str">
        <f t="shared" si="17"/>
        <v>OC12</v>
      </c>
      <c r="G26" s="98" t="str">
        <f t="shared" si="17"/>
        <v/>
      </c>
      <c r="H26" s="98" t="str">
        <f t="shared" si="17"/>
        <v/>
      </c>
      <c r="I26" s="98" t="str">
        <f t="shared" si="17"/>
        <v/>
      </c>
    </row>
    <row r="27" spans="1:9" x14ac:dyDescent="0.25">
      <c r="A27" t="s">
        <v>23</v>
      </c>
      <c r="B27">
        <f t="shared" si="12"/>
        <v>2050</v>
      </c>
      <c r="C27" s="98">
        <f>SUMIFS('Resultater - Vestdanmark'!J$3:J$496,'Resultater - Vestdanmark'!$F$3:$F$496,'CO2-udledning'!$D$2,'Resultater - Vestdanmark'!$A$3:$A$496,'CO2-udledning'!$G7)+SUMIFS('Resultater - Vestdanmark'!J$3:J$496,'Resultater - Vestdanmark'!$F$3:$F$496,'CO2-udledning'!$D$2,'Resultater - Vestdanmark'!$A$3:$A$496,'CO2-udledning'!$H7)</f>
        <v>-37462.493699251529</v>
      </c>
      <c r="D27" s="98" t="str">
        <f t="shared" ref="D27:I27" si="18">IF(D17&lt;&gt;"",D17,"")</f>
        <v>Hav</v>
      </c>
      <c r="E27" s="98" t="str">
        <f t="shared" si="4"/>
        <v>Hav</v>
      </c>
      <c r="F27" s="98" t="str">
        <f t="shared" si="18"/>
        <v/>
      </c>
      <c r="G27" s="98" t="str">
        <f t="shared" si="18"/>
        <v>Muslingefarm</v>
      </c>
      <c r="H27" s="98" t="str">
        <f t="shared" si="18"/>
        <v>Tangfarm</v>
      </c>
      <c r="I27" s="98" t="str">
        <f t="shared" si="18"/>
        <v/>
      </c>
    </row>
    <row r="28" spans="1:9" x14ac:dyDescent="0.25">
      <c r="A28" t="s">
        <v>23</v>
      </c>
      <c r="B28">
        <f t="shared" si="12"/>
        <v>2050</v>
      </c>
      <c r="C28" s="98">
        <f ca="1">SUMIFS('Resultater - Vestdanmark'!J$3:J$496,'Resultater - Vestdanmark'!$F$3:$F$496,'CO2-udledning'!$D$2,'Resultater - Vestdanmark'!$A$3:$A$496,'CO2-udledning'!$G8)</f>
        <v>-1245513.080947733</v>
      </c>
      <c r="D28" s="98" t="str">
        <f t="shared" ref="D28:I28" si="19">IF(D18&lt;&gt;"",D18,"")</f>
        <v>Skov</v>
      </c>
      <c r="E28" s="98" t="str">
        <f t="shared" si="4"/>
        <v>Skov</v>
      </c>
      <c r="F28" s="98" t="str">
        <f t="shared" si="19"/>
        <v/>
      </c>
      <c r="G28" s="98" t="str">
        <f t="shared" si="19"/>
        <v>Skovproduktion</v>
      </c>
      <c r="H28" s="98" t="str">
        <f t="shared" si="19"/>
        <v/>
      </c>
      <c r="I28" s="98" t="str">
        <f t="shared" si="19"/>
        <v/>
      </c>
    </row>
    <row r="29" spans="1:9" s="168" customFormat="1" x14ac:dyDescent="0.25">
      <c r="A29" s="168" t="s">
        <v>23</v>
      </c>
      <c r="B29" s="168">
        <f t="shared" si="12"/>
        <v>2050</v>
      </c>
      <c r="C29" s="98">
        <f ca="1">SUMIFS('Resultater - Vestdanmark'!J$3:J$496,'Resultater - Vestdanmark'!$F$3:$F$496,'CO2-udledning'!$D$2,'Resultater - Vestdanmark'!$A$3:$A$496,'CO2-udledning'!$G9)</f>
        <v>-420246.69324787147</v>
      </c>
      <c r="D29" s="168" t="s">
        <v>334</v>
      </c>
      <c r="E29" s="98" t="str">
        <f t="shared" si="4"/>
        <v>Træprodukter</v>
      </c>
      <c r="G29" s="168" t="s">
        <v>333</v>
      </c>
      <c r="H29" s="98"/>
      <c r="I29" s="98"/>
    </row>
    <row r="30" spans="1:9" s="168" customFormat="1" x14ac:dyDescent="0.25">
      <c r="A30" s="168" t="s">
        <v>23</v>
      </c>
      <c r="B30" s="168">
        <f t="shared" si="12"/>
        <v>2050</v>
      </c>
      <c r="C30" s="98">
        <f>SUMIFS('Resultater - Vestdanmark'!J$3:J$496,'Resultater - Vestdanmark'!$F$3:$F$496,'CO2-udledning'!$D$2,'Resultater - Vestdanmark'!$A$3:$A$496,'CO2-udledning'!$G10)</f>
        <v>-458603.85583869618</v>
      </c>
      <c r="D30" s="98" t="str">
        <f t="shared" ref="D30:I30" si="20">IF(D20&lt;&gt;"",D20,"")</f>
        <v>Biogasanlæg</v>
      </c>
      <c r="E30" s="98" t="str">
        <f t="shared" si="4"/>
        <v>Biogasanlæg</v>
      </c>
      <c r="F30" s="98" t="str">
        <f t="shared" si="20"/>
        <v/>
      </c>
      <c r="G30" s="98" t="str">
        <f t="shared" si="20"/>
        <v>Biogasanlæg</v>
      </c>
      <c r="H30" s="98" t="str">
        <f t="shared" si="20"/>
        <v/>
      </c>
      <c r="I30" s="98" t="str">
        <f t="shared" si="20"/>
        <v/>
      </c>
    </row>
    <row r="31" spans="1:9" s="168" customFormat="1" x14ac:dyDescent="0.25">
      <c r="A31" s="168" t="s">
        <v>23</v>
      </c>
      <c r="B31" s="168">
        <f t="shared" si="12"/>
        <v>2050</v>
      </c>
      <c r="C31" s="98">
        <f>SUMIFS('Resultater - Vestdanmark'!J$3:J$496,'Resultater - Vestdanmark'!$F$3:$F$496,'CO2-udledning'!$D$2,'Resultater - Vestdanmark'!$A$3:$A$496,'CO2-udledning'!$G11)</f>
        <v>0</v>
      </c>
      <c r="D31" s="98" t="str">
        <f t="shared" ref="D31:I31" si="21">IF(D21&lt;&gt;"",D21,"")</f>
        <v>Pyrolyseproces</v>
      </c>
      <c r="E31" s="98" t="str">
        <f t="shared" si="4"/>
        <v>Pyrolyseproces</v>
      </c>
      <c r="F31" s="98" t="str">
        <f t="shared" si="21"/>
        <v/>
      </c>
      <c r="G31" s="98" t="str">
        <f t="shared" si="21"/>
        <v>Pyrolyseproces</v>
      </c>
      <c r="H31" s="98" t="str">
        <f t="shared" si="21"/>
        <v/>
      </c>
      <c r="I31" s="98" t="str">
        <f t="shared" si="21"/>
        <v/>
      </c>
    </row>
    <row r="32" spans="1:9" x14ac:dyDescent="0.25">
      <c r="A32" t="s">
        <v>24</v>
      </c>
      <c r="B32" s="168">
        <f t="shared" ref="B32:B41" si="22">År1</f>
        <v>2019</v>
      </c>
      <c r="C32" s="98">
        <f ca="1">SUMIF('Resultater - Østdanmark'!$F$3:$F$509,'CO2-udledning'!$D$2,'Resultater - Østdanmark'!H$3:H$509)</f>
        <v>1968955.6357662694</v>
      </c>
      <c r="D32" s="98" t="str">
        <f t="shared" ref="D32:I32" si="23">IF(D22&lt;&gt;"",D22,"")</f>
        <v>CO2 - atmosfære</v>
      </c>
      <c r="E32" s="98" t="str">
        <f t="shared" si="4"/>
        <v>CO2 - atmosfære</v>
      </c>
      <c r="F32" s="98" t="str">
        <f t="shared" si="23"/>
        <v/>
      </c>
      <c r="G32" s="98" t="str">
        <f t="shared" si="23"/>
        <v/>
      </c>
      <c r="H32" s="98" t="str">
        <f t="shared" si="23"/>
        <v/>
      </c>
      <c r="I32" s="98" t="str">
        <f t="shared" si="23"/>
        <v/>
      </c>
    </row>
    <row r="33" spans="1:9" x14ac:dyDescent="0.25">
      <c r="A33" t="s">
        <v>24</v>
      </c>
      <c r="B33" s="168">
        <f t="shared" si="22"/>
        <v>2019</v>
      </c>
      <c r="C33" s="98">
        <f>SUMIFS('Resultater - Østdanmark'!H$3:H$496,'Resultater - Østdanmark'!$F$3:$F$496,'CO2-udledning'!$D$2,'Resultater - Østdanmark'!$A$3:$A$496,'CO2-udledning'!$G33)+SUMIFS('Resultater - Østdanmark'!H$3:H$496,'Resultater - Østdanmark'!$F$3:$F$496,'CO2-udledning'!$D$2,'Resultater - Østdanmark'!$A$3:$A$496,'CO2-udledning'!$H33)+SUMIFS('Resultater - Østdanmark'!H$3:H$496,'Resultater - Østdanmark'!$F$3:$F$496,'CO2-udledning'!$D$2,'Resultater - Østdanmark'!$A$3:$A$496,'CO2-udledning'!$I33)</f>
        <v>448426.54673213884</v>
      </c>
      <c r="D33" s="98" t="str">
        <f t="shared" ref="D33:I33" si="24">IF(D23&lt;&gt;"",D23,"")</f>
        <v>Landbrug</v>
      </c>
      <c r="E33" s="98" t="str">
        <f t="shared" si="4"/>
        <v>Husdyr</v>
      </c>
      <c r="F33" s="98" t="str">
        <f t="shared" si="24"/>
        <v/>
      </c>
      <c r="G33" s="98" t="str">
        <f t="shared" si="24"/>
        <v>Grisestald</v>
      </c>
      <c r="H33" s="98" t="str">
        <f t="shared" si="24"/>
        <v>Kostald</v>
      </c>
      <c r="I33" s="98" t="str">
        <f t="shared" si="24"/>
        <v>Fjerkræbrug</v>
      </c>
    </row>
    <row r="34" spans="1:9" x14ac:dyDescent="0.25">
      <c r="A34" t="s">
        <v>24</v>
      </c>
      <c r="B34" s="168">
        <f t="shared" si="22"/>
        <v>2019</v>
      </c>
      <c r="C34" s="76">
        <f>SUMIFS('Resultater - Østdanmark'!H$3:H$496,'Resultater - Østdanmark'!$F$3:$F$496,'CO2-udledning'!$D$2,'Resultater - Østdanmark'!$C$3:$C$496,'CO2-udledning'!$F4)+SUMIFS('Resultater - Østdanmark'!H$3:H$496,'Resultater - Østdanmark'!$F$3:$F$496,$D$2,'Resultater - Østdanmark'!$A$3:$A$496,"Grøntsager I drivhus")</f>
        <v>1230850.7571772484</v>
      </c>
      <c r="D34" s="98" t="str">
        <f t="shared" ref="D34:I34" si="25">IF(D24&lt;&gt;"",D24,"")</f>
        <v>Landbrug</v>
      </c>
      <c r="E34" s="98" t="str">
        <f t="shared" si="4"/>
        <v>Marker</v>
      </c>
      <c r="F34" s="98" t="str">
        <f t="shared" si="25"/>
        <v>JB1-10</v>
      </c>
      <c r="G34" s="98" t="str">
        <f t="shared" si="25"/>
        <v/>
      </c>
      <c r="H34" s="98" t="str">
        <f t="shared" si="25"/>
        <v/>
      </c>
      <c r="I34" s="98" t="str">
        <f t="shared" si="25"/>
        <v/>
      </c>
    </row>
    <row r="35" spans="1:9" x14ac:dyDescent="0.25">
      <c r="A35" t="s">
        <v>24</v>
      </c>
      <c r="B35" s="168">
        <f t="shared" si="22"/>
        <v>2019</v>
      </c>
      <c r="C35" s="76">
        <f>SUMIFS('Resultater - Østdanmark'!H$3:H$496,'Resultater - Østdanmark'!$F$3:$F$496,'CO2-udledning'!$D$2,'Resultater - Østdanmark'!$C$3:$C$496,'CO2-udledning'!$F5)</f>
        <v>193386.46389020365</v>
      </c>
      <c r="D35" s="98" t="str">
        <f t="shared" ref="D35:I35" si="26">IF(D25&lt;&gt;"",D25,"")</f>
        <v>Landbrug</v>
      </c>
      <c r="E35" s="98" t="str">
        <f t="shared" si="4"/>
        <v>Marker</v>
      </c>
      <c r="F35" s="98" t="str">
        <f t="shared" si="26"/>
        <v>OC6</v>
      </c>
      <c r="G35" s="98" t="str">
        <f t="shared" si="26"/>
        <v/>
      </c>
      <c r="H35" s="98" t="str">
        <f t="shared" si="26"/>
        <v/>
      </c>
      <c r="I35" s="98" t="str">
        <f t="shared" si="26"/>
        <v/>
      </c>
    </row>
    <row r="36" spans="1:9" x14ac:dyDescent="0.25">
      <c r="A36" t="s">
        <v>24</v>
      </c>
      <c r="B36" s="168">
        <f t="shared" si="22"/>
        <v>2019</v>
      </c>
      <c r="C36" s="76">
        <f>SUMIFS('Resultater - Østdanmark'!H$3:H$496,'Resultater - Østdanmark'!$F$3:$F$496,'CO2-udledning'!$D$2,'Resultater - Østdanmark'!$C$3:$C$496,'CO2-udledning'!$F6)</f>
        <v>374231.82041424053</v>
      </c>
      <c r="D36" s="98" t="str">
        <f t="shared" ref="D36:I36" si="27">IF(D26&lt;&gt;"",D26,"")</f>
        <v>Landbrug</v>
      </c>
      <c r="E36" s="98" t="str">
        <f t="shared" si="4"/>
        <v>Marker</v>
      </c>
      <c r="F36" s="98" t="str">
        <f t="shared" si="27"/>
        <v>OC12</v>
      </c>
      <c r="G36" s="98" t="str">
        <f t="shared" si="27"/>
        <v/>
      </c>
      <c r="H36" s="98" t="str">
        <f t="shared" si="27"/>
        <v/>
      </c>
      <c r="I36" s="98" t="str">
        <f t="shared" si="27"/>
        <v/>
      </c>
    </row>
    <row r="37" spans="1:9" x14ac:dyDescent="0.25">
      <c r="A37" t="s">
        <v>24</v>
      </c>
      <c r="B37" s="168">
        <f t="shared" si="22"/>
        <v>2019</v>
      </c>
      <c r="C37" s="98">
        <f>SUMIFS('Resultater - Østdanmark'!H$3:H$496,'Resultater - Østdanmark'!$F$3:$F$496,'CO2-udledning'!$D$2,'Resultater - Østdanmark'!$A$3:$A$496,'CO2-udledning'!$G37)+SUMIFS('Resultater - Østdanmark'!H$3:H$496,'Resultater - Østdanmark'!$F$3:$F$496,'CO2-udledning'!$D$2,'Resultater - Østdanmark'!$A$3:$A$496,'CO2-udledning'!$H37)</f>
        <v>-0.19402522113858015</v>
      </c>
      <c r="D37" s="98" t="str">
        <f t="shared" ref="D37:I37" si="28">IF(D27&lt;&gt;"",D27,"")</f>
        <v>Hav</v>
      </c>
      <c r="E37" s="98" t="str">
        <f t="shared" si="4"/>
        <v>Hav</v>
      </c>
      <c r="F37" s="98" t="str">
        <f t="shared" si="28"/>
        <v/>
      </c>
      <c r="G37" s="98" t="str">
        <f t="shared" si="28"/>
        <v>Muslingefarm</v>
      </c>
      <c r="H37" s="98" t="str">
        <f t="shared" si="28"/>
        <v>Tangfarm</v>
      </c>
      <c r="I37" s="98" t="str">
        <f t="shared" si="28"/>
        <v/>
      </c>
    </row>
    <row r="38" spans="1:9" x14ac:dyDescent="0.25">
      <c r="A38" t="s">
        <v>24</v>
      </c>
      <c r="B38" s="168">
        <f t="shared" si="22"/>
        <v>2019</v>
      </c>
      <c r="C38" s="98">
        <f ca="1">SUMIFS('Resultater - Østdanmark'!H$3:H$496,'Resultater - Østdanmark'!$F$3:$F$496,'CO2-udledning'!$D$2,'Resultater - Østdanmark'!$A$3:$A$496,'CO2-udledning'!$G38)</f>
        <v>-127345.4783769354</v>
      </c>
      <c r="D38" s="98" t="str">
        <f t="shared" ref="D38:I38" si="29">IF(D28&lt;&gt;"",D28,"")</f>
        <v>Skov</v>
      </c>
      <c r="E38" s="98" t="str">
        <f t="shared" si="4"/>
        <v>Skov</v>
      </c>
      <c r="F38" s="98" t="str">
        <f t="shared" si="29"/>
        <v/>
      </c>
      <c r="G38" s="98" t="str">
        <f t="shared" si="29"/>
        <v>Skovproduktion</v>
      </c>
      <c r="H38" s="98" t="str">
        <f t="shared" si="29"/>
        <v/>
      </c>
      <c r="I38" s="98" t="str">
        <f t="shared" si="29"/>
        <v/>
      </c>
    </row>
    <row r="39" spans="1:9" s="168" customFormat="1" x14ac:dyDescent="0.25">
      <c r="A39" s="168" t="s">
        <v>24</v>
      </c>
      <c r="B39" s="168">
        <f t="shared" si="22"/>
        <v>2019</v>
      </c>
      <c r="C39" s="98">
        <f ca="1">SUMIFS('Resultater - Østdanmark'!H$3:H$496,'Resultater - Østdanmark'!$F$3:$F$496,'CO2-udledning'!$D$2,'Resultater - Østdanmark'!$A$3:$A$496,'CO2-udledning'!$G39)</f>
        <v>-137317.43481230648</v>
      </c>
      <c r="D39" s="168" t="s">
        <v>334</v>
      </c>
      <c r="E39" s="98" t="str">
        <f t="shared" si="4"/>
        <v>Træprodukter</v>
      </c>
      <c r="G39" s="168" t="s">
        <v>333</v>
      </c>
      <c r="H39" s="98"/>
      <c r="I39" s="98"/>
    </row>
    <row r="40" spans="1:9" s="168" customFormat="1" x14ac:dyDescent="0.25">
      <c r="A40" s="168" t="s">
        <v>24</v>
      </c>
      <c r="B40" s="168">
        <f t="shared" si="22"/>
        <v>2019</v>
      </c>
      <c r="C40" s="98">
        <f>SUMIFS('Resultater - Østdanmark'!H$3:H$496,'Resultater - Østdanmark'!$F$3:$F$496,'CO2-udledning'!$D$2,'Resultater - Østdanmark'!$A$3:$A$496,'CO2-udledning'!$G40)</f>
        <v>-13276.84523309844</v>
      </c>
      <c r="D40" s="98" t="str">
        <f t="shared" ref="D40:I40" si="30">IF(D30&lt;&gt;"",D30,"")</f>
        <v>Biogasanlæg</v>
      </c>
      <c r="E40" s="98" t="str">
        <f t="shared" si="4"/>
        <v>Biogasanlæg</v>
      </c>
      <c r="F40" s="98" t="str">
        <f t="shared" si="30"/>
        <v/>
      </c>
      <c r="G40" s="98" t="str">
        <f t="shared" si="30"/>
        <v>Biogasanlæg</v>
      </c>
      <c r="H40" s="98" t="str">
        <f t="shared" si="30"/>
        <v/>
      </c>
      <c r="I40" s="98" t="str">
        <f t="shared" si="30"/>
        <v/>
      </c>
    </row>
    <row r="41" spans="1:9" s="168" customFormat="1" x14ac:dyDescent="0.25">
      <c r="A41" s="168" t="s">
        <v>24</v>
      </c>
      <c r="B41" s="168">
        <f t="shared" si="22"/>
        <v>2019</v>
      </c>
      <c r="C41" s="98">
        <f>SUMIFS('Resultater - Østdanmark'!H$3:H$496,'Resultater - Østdanmark'!$F$3:$F$496,'CO2-udledning'!$D$2,'Resultater - Østdanmark'!$A$3:$A$496,'CO2-udledning'!$G41)</f>
        <v>0</v>
      </c>
      <c r="D41" s="98" t="str">
        <f t="shared" ref="D41:I41" si="31">IF(D31&lt;&gt;"",D31,"")</f>
        <v>Pyrolyseproces</v>
      </c>
      <c r="E41" s="98" t="str">
        <f t="shared" si="4"/>
        <v>Pyrolyseproces</v>
      </c>
      <c r="F41" s="98" t="str">
        <f t="shared" si="31"/>
        <v/>
      </c>
      <c r="G41" s="98" t="str">
        <f t="shared" si="31"/>
        <v>Pyrolyseproces</v>
      </c>
      <c r="H41" s="98" t="str">
        <f t="shared" si="31"/>
        <v/>
      </c>
      <c r="I41" s="98" t="str">
        <f t="shared" si="31"/>
        <v/>
      </c>
    </row>
    <row r="42" spans="1:9" x14ac:dyDescent="0.25">
      <c r="A42" s="168" t="s">
        <v>24</v>
      </c>
      <c r="B42" s="168">
        <f t="shared" ref="B42:B51" si="32">År2</f>
        <v>2030</v>
      </c>
      <c r="C42" s="98">
        <f ca="1">SUMIF('Resultater - Østdanmark'!$F$3:$F$509,'CO2-udledning'!$D$2,'Resultater - Østdanmark'!I$3:I$509)</f>
        <v>1951036.2717668689</v>
      </c>
      <c r="D42" s="98" t="str">
        <f t="shared" ref="D42:I42" si="33">IF(D32&lt;&gt;"",D32,"")</f>
        <v>CO2 - atmosfære</v>
      </c>
      <c r="E42" s="98" t="str">
        <f t="shared" si="4"/>
        <v>CO2 - atmosfære</v>
      </c>
      <c r="F42" s="98" t="str">
        <f t="shared" si="33"/>
        <v/>
      </c>
      <c r="G42" s="98" t="str">
        <f t="shared" si="33"/>
        <v/>
      </c>
      <c r="H42" s="98" t="str">
        <f t="shared" si="33"/>
        <v/>
      </c>
      <c r="I42" s="98" t="str">
        <f t="shared" si="33"/>
        <v/>
      </c>
    </row>
    <row r="43" spans="1:9" x14ac:dyDescent="0.25">
      <c r="A43" s="168" t="s">
        <v>24</v>
      </c>
      <c r="B43" s="168">
        <f t="shared" si="32"/>
        <v>2030</v>
      </c>
      <c r="C43" s="98">
        <f>SUMIFS('Resultater - Østdanmark'!I$3:I$496,'Resultater - Østdanmark'!$F$3:$F$496,'CO2-udledning'!$D$2,'Resultater - Østdanmark'!$A$3:$A$496,'CO2-udledning'!$G33)+SUMIFS('Resultater - Østdanmark'!I$3:I$496,'Resultater - Østdanmark'!$F$3:$F$496,'CO2-udledning'!$D$2,'Resultater - Østdanmark'!$A$3:$A$496,'CO2-udledning'!$H33)+SUMIFS('Resultater - Østdanmark'!I$3:I$496,'Resultater - Østdanmark'!$F$3:$F$496,'CO2-udledning'!$D$2,'Resultater - Østdanmark'!$A$3:$A$496,'CO2-udledning'!$I33)</f>
        <v>538912.0191669655</v>
      </c>
      <c r="D43" s="98" t="str">
        <f t="shared" ref="D43:I43" si="34">IF(D33&lt;&gt;"",D33,"")</f>
        <v>Landbrug</v>
      </c>
      <c r="E43" s="98" t="str">
        <f t="shared" si="4"/>
        <v>Husdyr</v>
      </c>
      <c r="F43" s="98" t="str">
        <f t="shared" si="34"/>
        <v/>
      </c>
      <c r="G43" s="98" t="str">
        <f t="shared" si="34"/>
        <v>Grisestald</v>
      </c>
      <c r="H43" s="98" t="str">
        <f t="shared" si="34"/>
        <v>Kostald</v>
      </c>
      <c r="I43" s="98" t="str">
        <f t="shared" si="34"/>
        <v>Fjerkræbrug</v>
      </c>
    </row>
    <row r="44" spans="1:9" x14ac:dyDescent="0.25">
      <c r="A44" s="168" t="s">
        <v>24</v>
      </c>
      <c r="B44" s="168">
        <f t="shared" si="32"/>
        <v>2030</v>
      </c>
      <c r="C44" s="76">
        <f>SUMIFS('Resultater - Østdanmark'!I$3:I$496,'Resultater - Østdanmark'!$F$3:$F$496,'CO2-udledning'!$D$2,'Resultater - Østdanmark'!$C$3:$C$496,'CO2-udledning'!$F4)+SUMIFS('Resultater - Østdanmark'!I$3:I$496,'Resultater - Østdanmark'!$F$3:$F$496,$D$2,'Resultater - Østdanmark'!$A$3:$A$496,"Grøntsager I drivhus")</f>
        <v>1224638.0593079054</v>
      </c>
      <c r="D44" s="98" t="str">
        <f t="shared" ref="D44:I44" si="35">IF(D34&lt;&gt;"",D34,"")</f>
        <v>Landbrug</v>
      </c>
      <c r="E44" s="98" t="str">
        <f t="shared" si="4"/>
        <v>Marker</v>
      </c>
      <c r="F44" s="98" t="str">
        <f t="shared" si="35"/>
        <v>JB1-10</v>
      </c>
      <c r="G44" s="98" t="str">
        <f t="shared" si="35"/>
        <v/>
      </c>
      <c r="H44" s="98" t="str">
        <f t="shared" si="35"/>
        <v/>
      </c>
      <c r="I44" s="98" t="str">
        <f t="shared" si="35"/>
        <v/>
      </c>
    </row>
    <row r="45" spans="1:9" x14ac:dyDescent="0.25">
      <c r="A45" s="168" t="s">
        <v>24</v>
      </c>
      <c r="B45" s="168">
        <f t="shared" si="32"/>
        <v>2030</v>
      </c>
      <c r="C45" s="76">
        <f>SUMIFS('Resultater - Østdanmark'!I$3:I$496,'Resultater - Østdanmark'!$F$3:$F$496,'CO2-udledning'!$D$2,'Resultater - Østdanmark'!$C$3:$C$496,'CO2-udledning'!$F5)</f>
        <v>179047.37762711738</v>
      </c>
      <c r="D45" s="98" t="str">
        <f t="shared" ref="D45:I45" si="36">IF(D35&lt;&gt;"",D35,"")</f>
        <v>Landbrug</v>
      </c>
      <c r="E45" s="98" t="str">
        <f t="shared" si="4"/>
        <v>Marker</v>
      </c>
      <c r="F45" s="98" t="str">
        <f t="shared" si="36"/>
        <v>OC6</v>
      </c>
      <c r="G45" s="98" t="str">
        <f t="shared" si="36"/>
        <v/>
      </c>
      <c r="H45" s="98" t="str">
        <f t="shared" si="36"/>
        <v/>
      </c>
      <c r="I45" s="98" t="str">
        <f t="shared" si="36"/>
        <v/>
      </c>
    </row>
    <row r="46" spans="1:9" x14ac:dyDescent="0.25">
      <c r="A46" s="168" t="s">
        <v>24</v>
      </c>
      <c r="B46" s="168">
        <f t="shared" si="32"/>
        <v>2030</v>
      </c>
      <c r="C46" s="76">
        <f>SUMIFS('Resultater - Østdanmark'!I$3:I$496,'Resultater - Østdanmark'!$F$3:$F$496,'CO2-udledning'!$D$2,'Resultater - Østdanmark'!$C$3:$C$496,'CO2-udledning'!$F6)</f>
        <v>340790.57509289915</v>
      </c>
      <c r="D46" s="98" t="str">
        <f t="shared" ref="D46:I46" si="37">IF(D36&lt;&gt;"",D36,"")</f>
        <v>Landbrug</v>
      </c>
      <c r="E46" s="98" t="str">
        <f t="shared" si="4"/>
        <v>Marker</v>
      </c>
      <c r="F46" s="98" t="str">
        <f t="shared" si="37"/>
        <v>OC12</v>
      </c>
      <c r="G46" s="98" t="str">
        <f t="shared" si="37"/>
        <v/>
      </c>
      <c r="H46" s="98" t="str">
        <f t="shared" si="37"/>
        <v/>
      </c>
      <c r="I46" s="98" t="str">
        <f t="shared" si="37"/>
        <v/>
      </c>
    </row>
    <row r="47" spans="1:9" x14ac:dyDescent="0.25">
      <c r="A47" s="168" t="s">
        <v>24</v>
      </c>
      <c r="B47" s="168">
        <f t="shared" si="32"/>
        <v>2030</v>
      </c>
      <c r="C47" s="98">
        <f>SUMIFS('Resultater - Østdanmark'!I$3:I$496,'Resultater - Østdanmark'!$F$3:$F$496,'CO2-udledning'!$D$2,'Resultater - Østdanmark'!$A$3:$A$496,'CO2-udledning'!$G37)+SUMIFS('Resultater - Østdanmark'!I$3:I$496,'Resultater - Østdanmark'!$F$3:$F$496,'CO2-udledning'!$D$2,'Resultater - Østdanmark'!$A$3:$A$496,'CO2-udledning'!$H37)</f>
        <v>-12810.937899750508</v>
      </c>
      <c r="D47" s="98" t="str">
        <f t="shared" ref="D47:I47" si="38">IF(D37&lt;&gt;"",D37,"")</f>
        <v>Hav</v>
      </c>
      <c r="E47" s="98" t="str">
        <f t="shared" si="4"/>
        <v>Hav</v>
      </c>
      <c r="F47" s="98" t="str">
        <f t="shared" si="38"/>
        <v/>
      </c>
      <c r="G47" s="98" t="str">
        <f t="shared" si="38"/>
        <v>Muslingefarm</v>
      </c>
      <c r="H47" s="98" t="str">
        <f t="shared" si="38"/>
        <v>Tangfarm</v>
      </c>
      <c r="I47" s="98" t="str">
        <f t="shared" si="38"/>
        <v/>
      </c>
    </row>
    <row r="48" spans="1:9" x14ac:dyDescent="0.25">
      <c r="A48" s="168" t="s">
        <v>24</v>
      </c>
      <c r="B48" s="168">
        <f t="shared" si="32"/>
        <v>2030</v>
      </c>
      <c r="C48" s="98">
        <f ca="1">SUMIFS('Resultater - Østdanmark'!I$3:I$496,'Resultater - Østdanmark'!$F$3:$F$496,'CO2-udledning'!$D$2,'Resultater - Østdanmark'!$A$3:$A$496,'CO2-udledning'!$G38)</f>
        <v>-147143.72791198746</v>
      </c>
      <c r="D48" s="98" t="str">
        <f t="shared" ref="D48:I48" si="39">IF(D38&lt;&gt;"",D38,"")</f>
        <v>Skov</v>
      </c>
      <c r="E48" s="98" t="str">
        <f t="shared" si="4"/>
        <v>Skov</v>
      </c>
      <c r="F48" s="98" t="str">
        <f t="shared" si="39"/>
        <v/>
      </c>
      <c r="G48" s="98" t="str">
        <f t="shared" si="39"/>
        <v>Skovproduktion</v>
      </c>
      <c r="H48" s="98" t="str">
        <f t="shared" si="39"/>
        <v/>
      </c>
      <c r="I48" s="98" t="str">
        <f t="shared" si="39"/>
        <v/>
      </c>
    </row>
    <row r="49" spans="1:9" s="168" customFormat="1" x14ac:dyDescent="0.25">
      <c r="A49" s="168" t="s">
        <v>24</v>
      </c>
      <c r="B49" s="168">
        <f t="shared" si="32"/>
        <v>2030</v>
      </c>
      <c r="C49" s="98">
        <f ca="1">SUMIFS('Resultater - Østdanmark'!I$3:I$496,'Resultater - Østdanmark'!$F$3:$F$496,'CO2-udledning'!$D$2,'Resultater - Østdanmark'!$A$3:$A$496,'CO2-udledning'!$G39)</f>
        <v>-129950.98332286018</v>
      </c>
      <c r="D49" s="168" t="s">
        <v>334</v>
      </c>
      <c r="E49" s="98" t="str">
        <f t="shared" si="4"/>
        <v>Træprodukter</v>
      </c>
      <c r="G49" s="168" t="s">
        <v>333</v>
      </c>
      <c r="H49" s="98"/>
      <c r="I49" s="98"/>
    </row>
    <row r="50" spans="1:9" s="168" customFormat="1" x14ac:dyDescent="0.25">
      <c r="A50" s="168" t="s">
        <v>24</v>
      </c>
      <c r="B50" s="168">
        <f t="shared" si="32"/>
        <v>2030</v>
      </c>
      <c r="C50" s="98">
        <f>SUMIFS('Resultater - Østdanmark'!I$3:I$496,'Resultater - Østdanmark'!$F$3:$F$496,'CO2-udledning'!$D$2,'Resultater - Østdanmark'!$A$3:$A$496,'CO2-udledning'!$G40)</f>
        <v>-42446.11029341945</v>
      </c>
      <c r="D50" s="98" t="str">
        <f t="shared" ref="D50:I50" si="40">IF(D40&lt;&gt;"",D40,"")</f>
        <v>Biogasanlæg</v>
      </c>
      <c r="E50" s="98" t="str">
        <f t="shared" si="4"/>
        <v>Biogasanlæg</v>
      </c>
      <c r="F50" s="98" t="str">
        <f t="shared" si="40"/>
        <v/>
      </c>
      <c r="G50" s="98" t="str">
        <f t="shared" si="40"/>
        <v>Biogasanlæg</v>
      </c>
      <c r="H50" s="98" t="str">
        <f t="shared" si="40"/>
        <v/>
      </c>
      <c r="I50" s="98" t="str">
        <f t="shared" si="40"/>
        <v/>
      </c>
    </row>
    <row r="51" spans="1:9" s="168" customFormat="1" x14ac:dyDescent="0.25">
      <c r="A51" s="168" t="s">
        <v>24</v>
      </c>
      <c r="B51" s="168">
        <f t="shared" si="32"/>
        <v>2030</v>
      </c>
      <c r="C51" s="98">
        <f>SUMIFS('Resultater - Østdanmark'!I$3:I$496,'Resultater - Østdanmark'!$F$3:$F$496,'CO2-udledning'!$D$2,'Resultater - Østdanmark'!$A$3:$A$496,'CO2-udledning'!$G41)</f>
        <v>0</v>
      </c>
      <c r="D51" s="98" t="str">
        <f t="shared" ref="D51:I51" si="41">IF(D41&lt;&gt;"",D41,"")</f>
        <v>Pyrolyseproces</v>
      </c>
      <c r="E51" s="98" t="str">
        <f t="shared" si="4"/>
        <v>Pyrolyseproces</v>
      </c>
      <c r="F51" s="98" t="str">
        <f t="shared" si="41"/>
        <v/>
      </c>
      <c r="G51" s="98" t="str">
        <f t="shared" si="41"/>
        <v>Pyrolyseproces</v>
      </c>
      <c r="H51" s="98" t="str">
        <f t="shared" si="41"/>
        <v/>
      </c>
      <c r="I51" s="98" t="str">
        <f t="shared" si="41"/>
        <v/>
      </c>
    </row>
    <row r="52" spans="1:9" x14ac:dyDescent="0.25">
      <c r="A52" s="168" t="s">
        <v>24</v>
      </c>
      <c r="B52" s="168">
        <f t="shared" ref="B52:B61" si="42">År3</f>
        <v>2050</v>
      </c>
      <c r="C52" s="98">
        <f ca="1">SUMIF('Resultater - Østdanmark'!$F$3:$F$509,'CO2-udledning'!$D$2,'Resultater - Østdanmark'!J$3:J$509)</f>
        <v>1784723.6659741893</v>
      </c>
      <c r="D52" s="98" t="str">
        <f t="shared" ref="D52:I52" si="43">IF(D42&lt;&gt;"",D42,"")</f>
        <v>CO2 - atmosfære</v>
      </c>
      <c r="E52" s="98" t="str">
        <f t="shared" si="4"/>
        <v>CO2 - atmosfære</v>
      </c>
      <c r="F52" s="98" t="str">
        <f t="shared" si="43"/>
        <v/>
      </c>
      <c r="G52" s="98" t="str">
        <f t="shared" si="43"/>
        <v/>
      </c>
      <c r="H52" s="98" t="str">
        <f t="shared" si="43"/>
        <v/>
      </c>
      <c r="I52" s="98" t="str">
        <f t="shared" si="43"/>
        <v/>
      </c>
    </row>
    <row r="53" spans="1:9" x14ac:dyDescent="0.25">
      <c r="A53" s="168" t="s">
        <v>24</v>
      </c>
      <c r="B53" s="168">
        <f t="shared" si="42"/>
        <v>2050</v>
      </c>
      <c r="C53" s="98">
        <f>SUMIFS('Resultater - Østdanmark'!J$3:J$496,'Resultater - Østdanmark'!$F$3:$F$496,'CO2-udledning'!$D$2,'Resultater - Østdanmark'!$A$3:$A$496,'CO2-udledning'!$G33)+SUMIFS('Resultater - Østdanmark'!J$3:J$496,'Resultater - Østdanmark'!$F$3:$F$496,'CO2-udledning'!$D$2,'Resultater - Østdanmark'!$A$3:$A$496,'CO2-udledning'!$H33)+SUMIFS('Resultater - Østdanmark'!J$3:J$496,'Resultater - Østdanmark'!$F$3:$F$496,'CO2-udledning'!$D$2,'Resultater - Østdanmark'!$A$3:$A$496,'CO2-udledning'!$I33)</f>
        <v>537552.33932666946</v>
      </c>
      <c r="D53" s="98" t="str">
        <f t="shared" ref="D53:I53" si="44">IF(D43&lt;&gt;"",D43,"")</f>
        <v>Landbrug</v>
      </c>
      <c r="E53" s="98" t="str">
        <f t="shared" si="4"/>
        <v>Husdyr</v>
      </c>
      <c r="F53" s="98" t="str">
        <f t="shared" si="44"/>
        <v/>
      </c>
      <c r="G53" s="98" t="str">
        <f t="shared" si="44"/>
        <v>Grisestald</v>
      </c>
      <c r="H53" s="98" t="str">
        <f t="shared" si="44"/>
        <v>Kostald</v>
      </c>
      <c r="I53" s="98" t="str">
        <f t="shared" si="44"/>
        <v>Fjerkræbrug</v>
      </c>
    </row>
    <row r="54" spans="1:9" x14ac:dyDescent="0.25">
      <c r="A54" s="168" t="s">
        <v>24</v>
      </c>
      <c r="B54" s="168">
        <f t="shared" si="42"/>
        <v>2050</v>
      </c>
      <c r="C54" s="76">
        <f>SUMIFS('Resultater - Østdanmark'!J$3:J$496,'Resultater - Østdanmark'!$F$3:$F$496,'CO2-udledning'!$D$2,'Resultater - Østdanmark'!$C$3:$C$496,'CO2-udledning'!$F4)+SUMIFS('Resultater - Østdanmark'!J$3:J$496,'Resultater - Østdanmark'!$F$3:$F$496,$D$2,'Resultater - Østdanmark'!$A$3:$A$496,"Grøntsager I drivhus")</f>
        <v>1213344.5560191076</v>
      </c>
      <c r="D54" s="98" t="str">
        <f t="shared" ref="D54:I54" si="45">IF(D44&lt;&gt;"",D44,"")</f>
        <v>Landbrug</v>
      </c>
      <c r="E54" s="98" t="str">
        <f t="shared" si="4"/>
        <v>Marker</v>
      </c>
      <c r="F54" s="98" t="str">
        <f t="shared" si="45"/>
        <v>JB1-10</v>
      </c>
      <c r="G54" s="98" t="str">
        <f t="shared" si="45"/>
        <v/>
      </c>
      <c r="H54" s="98" t="str">
        <f t="shared" si="45"/>
        <v/>
      </c>
      <c r="I54" s="98" t="str">
        <f t="shared" si="45"/>
        <v/>
      </c>
    </row>
    <row r="55" spans="1:9" x14ac:dyDescent="0.25">
      <c r="A55" s="168" t="s">
        <v>24</v>
      </c>
      <c r="B55" s="168">
        <f t="shared" si="42"/>
        <v>2050</v>
      </c>
      <c r="C55" s="76">
        <f>SUMIFS('Resultater - Østdanmark'!J$3:J$496,'Resultater - Østdanmark'!$F$3:$F$496,'CO2-udledning'!$D$2,'Resultater - Østdanmark'!$C$3:$C$496,'CO2-udledning'!$F5)</f>
        <v>179047.37762711738</v>
      </c>
      <c r="D55" s="98" t="str">
        <f t="shared" ref="D55:I55" si="46">IF(D45&lt;&gt;"",D45,"")</f>
        <v>Landbrug</v>
      </c>
      <c r="E55" s="98" t="str">
        <f t="shared" si="4"/>
        <v>Marker</v>
      </c>
      <c r="F55" s="98" t="str">
        <f t="shared" si="46"/>
        <v>OC6</v>
      </c>
      <c r="G55" s="98" t="str">
        <f t="shared" si="46"/>
        <v/>
      </c>
      <c r="H55" s="98" t="str">
        <f t="shared" si="46"/>
        <v/>
      </c>
      <c r="I55" s="98" t="str">
        <f t="shared" si="46"/>
        <v/>
      </c>
    </row>
    <row r="56" spans="1:9" x14ac:dyDescent="0.25">
      <c r="A56" s="168" t="s">
        <v>24</v>
      </c>
      <c r="B56" s="168">
        <f t="shared" si="42"/>
        <v>2050</v>
      </c>
      <c r="C56" s="76">
        <f>SUMIFS('Resultater - Østdanmark'!J$3:J$496,'Resultater - Østdanmark'!$F$3:$F$496,'CO2-udledning'!$D$2,'Resultater - Østdanmark'!$C$3:$C$496,'CO2-udledning'!$F6)</f>
        <v>340790.57509289909</v>
      </c>
      <c r="D56" s="98" t="str">
        <f t="shared" ref="D56:I56" si="47">IF(D46&lt;&gt;"",D46,"")</f>
        <v>Landbrug</v>
      </c>
      <c r="E56" s="98" t="str">
        <f t="shared" si="4"/>
        <v>Marker</v>
      </c>
      <c r="F56" s="98" t="str">
        <f t="shared" si="47"/>
        <v>OC12</v>
      </c>
      <c r="G56" s="98" t="str">
        <f t="shared" si="47"/>
        <v/>
      </c>
      <c r="H56" s="98" t="str">
        <f t="shared" si="47"/>
        <v/>
      </c>
      <c r="I56" s="98" t="str">
        <f t="shared" si="47"/>
        <v/>
      </c>
    </row>
    <row r="57" spans="1:9" x14ac:dyDescent="0.25">
      <c r="A57" s="168" t="s">
        <v>24</v>
      </c>
      <c r="B57" s="168">
        <f t="shared" si="42"/>
        <v>2050</v>
      </c>
      <c r="C57" s="98">
        <f>SUMIFS('Resultater - Østdanmark'!J$3:J$496,'Resultater - Østdanmark'!$F$3:$F$496,'CO2-udledning'!$D$2,'Resultater - Østdanmark'!$A$3:$A$496,'CO2-udledning'!$G37)+SUMIFS('Resultater - Østdanmark'!J$3:J$496,'Resultater - Østdanmark'!$F$3:$F$496,'CO2-udledning'!$D$2,'Resultater - Østdanmark'!$A$3:$A$496,'CO2-udledning'!$H37)</f>
        <v>-12810.937899750508</v>
      </c>
      <c r="D57" s="98" t="str">
        <f t="shared" ref="D57:I57" si="48">IF(D47&lt;&gt;"",D47,"")</f>
        <v>Hav</v>
      </c>
      <c r="E57" s="98" t="str">
        <f t="shared" si="4"/>
        <v>Hav</v>
      </c>
      <c r="F57" s="98" t="str">
        <f t="shared" si="48"/>
        <v/>
      </c>
      <c r="G57" s="98" t="str">
        <f t="shared" si="48"/>
        <v>Muslingefarm</v>
      </c>
      <c r="H57" s="98" t="str">
        <f t="shared" si="48"/>
        <v>Tangfarm</v>
      </c>
      <c r="I57" s="98" t="str">
        <f t="shared" si="48"/>
        <v/>
      </c>
    </row>
    <row r="58" spans="1:9" x14ac:dyDescent="0.25">
      <c r="A58" s="168" t="s">
        <v>24</v>
      </c>
      <c r="B58" s="168">
        <f t="shared" si="42"/>
        <v>2050</v>
      </c>
      <c r="C58" s="98">
        <f ca="1">SUMIFS('Resultater - Østdanmark'!J$3:J$496,'Resultater - Østdanmark'!$F$3:$F$496,'CO2-udledning'!$D$2,'Resultater - Østdanmark'!$A$3:$A$496,'CO2-udledning'!$G38)</f>
        <v>-310104.23775807855</v>
      </c>
      <c r="D58" s="98" t="str">
        <f t="shared" ref="D58:I58" si="49">IF(D48&lt;&gt;"",D48,"")</f>
        <v>Skov</v>
      </c>
      <c r="E58" s="98" t="str">
        <f t="shared" si="4"/>
        <v>Skov</v>
      </c>
      <c r="F58" s="98" t="str">
        <f t="shared" si="49"/>
        <v/>
      </c>
      <c r="G58" s="98" t="str">
        <f t="shared" si="49"/>
        <v>Skovproduktion</v>
      </c>
      <c r="H58" s="98" t="str">
        <f t="shared" si="49"/>
        <v/>
      </c>
      <c r="I58" s="98" t="str">
        <f t="shared" si="49"/>
        <v/>
      </c>
    </row>
    <row r="59" spans="1:9" s="168" customFormat="1" x14ac:dyDescent="0.25">
      <c r="A59" s="168" t="s">
        <v>24</v>
      </c>
      <c r="B59" s="168">
        <f t="shared" si="42"/>
        <v>2050</v>
      </c>
      <c r="C59" s="98">
        <f ca="1">SUMIFS('Resultater - Østdanmark'!J$3:J$496,'Resultater - Østdanmark'!$F$3:$F$496,'CO2-udledning'!$D$2,'Resultater - Østdanmark'!$A$3:$A$496,'CO2-udledning'!$G39)</f>
        <v>-121876.74474075671</v>
      </c>
      <c r="D59" s="168" t="s">
        <v>334</v>
      </c>
      <c r="E59" s="98" t="str">
        <f t="shared" si="4"/>
        <v>Træprodukter</v>
      </c>
      <c r="G59" s="168" t="s">
        <v>333</v>
      </c>
      <c r="H59" s="98"/>
      <c r="I59" s="98"/>
    </row>
    <row r="60" spans="1:9" s="168" customFormat="1" x14ac:dyDescent="0.25">
      <c r="A60" s="168" t="s">
        <v>24</v>
      </c>
      <c r="B60" s="168">
        <f t="shared" si="42"/>
        <v>2050</v>
      </c>
      <c r="C60" s="98">
        <f>SUMIFS('Resultater - Østdanmark'!J$3:J$496,'Resultater - Østdanmark'!$F$3:$F$496,'CO2-udledning'!$D$2,'Resultater - Østdanmark'!$A$3:$A$496,'CO2-udledning'!$G40)</f>
        <v>-41219.261693019056</v>
      </c>
      <c r="D60" s="98" t="str">
        <f t="shared" ref="D60:I60" si="50">IF(D50&lt;&gt;"",D50,"")</f>
        <v>Biogasanlæg</v>
      </c>
      <c r="E60" s="98" t="str">
        <f t="shared" si="4"/>
        <v>Biogasanlæg</v>
      </c>
      <c r="F60" s="98" t="str">
        <f t="shared" si="50"/>
        <v/>
      </c>
      <c r="G60" s="98" t="str">
        <f t="shared" si="50"/>
        <v>Biogasanlæg</v>
      </c>
      <c r="H60" s="98" t="str">
        <f t="shared" si="50"/>
        <v/>
      </c>
      <c r="I60" s="98" t="str">
        <f t="shared" si="50"/>
        <v/>
      </c>
    </row>
    <row r="61" spans="1:9" x14ac:dyDescent="0.25">
      <c r="A61" s="168" t="s">
        <v>24</v>
      </c>
      <c r="B61" s="168">
        <f t="shared" si="42"/>
        <v>2050</v>
      </c>
      <c r="C61" s="98">
        <f>SUMIFS('Resultater - Østdanmark'!J$3:J$496,'Resultater - Østdanmark'!$F$3:$F$496,'CO2-udledning'!$D$2,'Resultater - Østdanmark'!$A$3:$A$496,'CO2-udledning'!$G41)</f>
        <v>0</v>
      </c>
      <c r="D61" s="98" t="str">
        <f t="shared" ref="D61:I61" si="51">IF(D51&lt;&gt;"",D51,"")</f>
        <v>Pyrolyseproces</v>
      </c>
      <c r="E61" s="98" t="str">
        <f t="shared" si="4"/>
        <v>Pyrolyseproces</v>
      </c>
      <c r="F61" s="98" t="str">
        <f t="shared" si="51"/>
        <v/>
      </c>
      <c r="G61" s="98" t="str">
        <f t="shared" si="51"/>
        <v>Pyrolyseproces</v>
      </c>
      <c r="H61" s="98" t="str">
        <f t="shared" si="51"/>
        <v/>
      </c>
      <c r="I61" s="98" t="str">
        <f t="shared" si="51"/>
        <v/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EA9E6B-2C8A-49E7-BA29-2C5527A13073}">
  <sheetPr codeName="Sheet29">
    <tabColor theme="2" tint="-9.9978637043366805E-2"/>
  </sheetPr>
  <dimension ref="A1:O8"/>
  <sheetViews>
    <sheetView workbookViewId="0">
      <selection activeCell="B5" sqref="B5:AG23"/>
    </sheetView>
  </sheetViews>
  <sheetFormatPr defaultRowHeight="15" x14ac:dyDescent="0.25"/>
  <cols>
    <col min="1" max="1" width="17.7109375" bestFit="1" customWidth="1"/>
    <col min="2" max="2" width="16.28515625" bestFit="1" customWidth="1"/>
    <col min="3" max="3" width="9.140625" bestFit="1" customWidth="1"/>
    <col min="4" max="4" width="7.5703125" bestFit="1" customWidth="1"/>
    <col min="5" max="5" width="10.140625" bestFit="1" customWidth="1"/>
    <col min="6" max="6" width="10.85546875" bestFit="1" customWidth="1"/>
    <col min="7" max="7" width="9.5703125" bestFit="1" customWidth="1"/>
    <col min="8" max="8" width="9.140625" bestFit="1" customWidth="1"/>
    <col min="9" max="10" width="10.140625" bestFit="1" customWidth="1"/>
    <col min="11" max="11" width="9.140625" bestFit="1" customWidth="1"/>
    <col min="12" max="12" width="12" bestFit="1" customWidth="1"/>
    <col min="13" max="14" width="9.140625" bestFit="1" customWidth="1"/>
    <col min="15" max="15" width="11.28515625" bestFit="1" customWidth="1"/>
  </cols>
  <sheetData>
    <row r="1" spans="1:15" x14ac:dyDescent="0.25">
      <c r="A1" s="77" t="s">
        <v>64</v>
      </c>
      <c r="B1" s="168" t="s">
        <v>80</v>
      </c>
    </row>
    <row r="3" spans="1:15" x14ac:dyDescent="0.25">
      <c r="A3" s="77" t="s">
        <v>126</v>
      </c>
      <c r="B3" s="77" t="s">
        <v>62</v>
      </c>
    </row>
    <row r="4" spans="1:15" x14ac:dyDescent="0.25">
      <c r="A4" s="77" t="s">
        <v>60</v>
      </c>
      <c r="B4" s="168" t="s">
        <v>49</v>
      </c>
      <c r="C4" s="168" t="s">
        <v>113</v>
      </c>
      <c r="D4" s="168" t="s">
        <v>54</v>
      </c>
      <c r="E4" s="168" t="s">
        <v>51</v>
      </c>
      <c r="F4" s="168" t="s">
        <v>6</v>
      </c>
      <c r="G4" s="168" t="s">
        <v>56</v>
      </c>
      <c r="H4" s="168" t="s">
        <v>12</v>
      </c>
      <c r="I4" s="168" t="s">
        <v>48</v>
      </c>
      <c r="J4" s="168" t="s">
        <v>53</v>
      </c>
      <c r="K4" s="168" t="s">
        <v>55</v>
      </c>
      <c r="L4" s="168" t="s">
        <v>95</v>
      </c>
      <c r="M4" s="168" t="s">
        <v>50</v>
      </c>
      <c r="N4" s="168" t="s">
        <v>52</v>
      </c>
      <c r="O4" s="168" t="s">
        <v>61</v>
      </c>
    </row>
    <row r="5" spans="1:15" x14ac:dyDescent="0.25">
      <c r="A5" s="78">
        <v>2019</v>
      </c>
      <c r="B5" s="98">
        <v>285126.10198467888</v>
      </c>
      <c r="C5" s="98">
        <v>1502558.0356082148</v>
      </c>
      <c r="D5" s="98">
        <v>41727.889892771527</v>
      </c>
      <c r="E5" s="98">
        <v>17943438.695570182</v>
      </c>
      <c r="F5" s="98">
        <v>280609.42145294487</v>
      </c>
      <c r="G5" s="98">
        <v>911574.64248506655</v>
      </c>
      <c r="H5" s="98">
        <v>2262318.840633567</v>
      </c>
      <c r="I5" s="98">
        <v>9109787.9694444165</v>
      </c>
      <c r="J5" s="98">
        <v>7947695.2938467432</v>
      </c>
      <c r="K5" s="98">
        <v>2005102.1714007764</v>
      </c>
      <c r="L5" s="98">
        <v>209782.38739500003</v>
      </c>
      <c r="M5" s="98">
        <v>678407.81727843033</v>
      </c>
      <c r="N5" s="98">
        <v>2629423.1359865703</v>
      </c>
      <c r="O5" s="98">
        <v>45807552.402979359</v>
      </c>
    </row>
    <row r="6" spans="1:15" x14ac:dyDescent="0.25">
      <c r="A6" s="78">
        <v>2030</v>
      </c>
      <c r="B6" s="98">
        <v>298670.86850325402</v>
      </c>
      <c r="C6" s="98">
        <v>1570157.2016349281</v>
      </c>
      <c r="D6" s="98">
        <v>43803.458803853013</v>
      </c>
      <c r="E6" s="98">
        <v>18654356.233831409</v>
      </c>
      <c r="F6" s="98">
        <v>293077.80040045816</v>
      </c>
      <c r="G6" s="98">
        <v>954977.96501922607</v>
      </c>
      <c r="H6" s="98">
        <v>2364698.6095565544</v>
      </c>
      <c r="I6" s="98">
        <v>9580323.8646107055</v>
      </c>
      <c r="J6" s="98">
        <v>8372302.1226353673</v>
      </c>
      <c r="K6" s="98">
        <v>2101303.8465657956</v>
      </c>
      <c r="L6" s="98">
        <v>216936.14364827855</v>
      </c>
      <c r="M6" s="98">
        <v>712198.49644007557</v>
      </c>
      <c r="N6" s="98">
        <v>2776837.7563391714</v>
      </c>
      <c r="O6" s="98">
        <v>47939644.367989078</v>
      </c>
    </row>
    <row r="7" spans="1:15" x14ac:dyDescent="0.25">
      <c r="A7" s="78">
        <v>2050</v>
      </c>
      <c r="B7" s="98">
        <v>309287.60066895548</v>
      </c>
      <c r="C7" s="98">
        <v>1633518.8473632084</v>
      </c>
      <c r="D7" s="98">
        <v>45511.376807769208</v>
      </c>
      <c r="E7" s="98">
        <v>19592534.806310643</v>
      </c>
      <c r="F7" s="98">
        <v>302165.47187535447</v>
      </c>
      <c r="G7" s="98">
        <v>989747.08638991043</v>
      </c>
      <c r="H7" s="98">
        <v>2448386.8318246095</v>
      </c>
      <c r="I7" s="98">
        <v>9982932.3019737937</v>
      </c>
      <c r="J7" s="98">
        <v>8764778.9394176491</v>
      </c>
      <c r="K7" s="98">
        <v>2178741.0896790312</v>
      </c>
      <c r="L7" s="98">
        <v>225542.84146215921</v>
      </c>
      <c r="M7" s="98">
        <v>738277.61746310792</v>
      </c>
      <c r="N7" s="98">
        <v>2900036.7361544319</v>
      </c>
      <c r="O7" s="98">
        <v>50111461.547390617</v>
      </c>
    </row>
    <row r="8" spans="1:15" x14ac:dyDescent="0.25">
      <c r="A8" s="78" t="s">
        <v>61</v>
      </c>
      <c r="B8" s="98">
        <v>893084.57115688839</v>
      </c>
      <c r="C8" s="98">
        <v>4706234.0846063513</v>
      </c>
      <c r="D8" s="98">
        <v>131042.72550439375</v>
      </c>
      <c r="E8" s="98">
        <v>56190329.73571223</v>
      </c>
      <c r="F8" s="98">
        <v>875852.69372875756</v>
      </c>
      <c r="G8" s="98">
        <v>2856299.6938942028</v>
      </c>
      <c r="H8" s="98">
        <v>7075404.2820147313</v>
      </c>
      <c r="I8" s="98">
        <v>28673044.136028916</v>
      </c>
      <c r="J8" s="98">
        <v>25084776.355899759</v>
      </c>
      <c r="K8" s="98">
        <v>6285147.1076456029</v>
      </c>
      <c r="L8" s="98">
        <v>652261.37250543782</v>
      </c>
      <c r="M8" s="98">
        <v>2128883.9311816138</v>
      </c>
      <c r="N8" s="98">
        <v>8306297.6284801736</v>
      </c>
      <c r="O8" s="98">
        <v>143858658.31835905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56339A-521B-4272-B808-13B1045C35FF}">
  <sheetPr codeName="Sheet30">
    <tabColor theme="2" tint="-9.9978637043366805E-2"/>
  </sheetPr>
  <dimension ref="A1:D79"/>
  <sheetViews>
    <sheetView workbookViewId="0">
      <selection activeCell="B5" sqref="B5:AG23"/>
    </sheetView>
  </sheetViews>
  <sheetFormatPr defaultRowHeight="15" x14ac:dyDescent="0.25"/>
  <cols>
    <col min="4" max="4" width="14.28515625" bestFit="1" customWidth="1"/>
  </cols>
  <sheetData>
    <row r="1" spans="1:4" x14ac:dyDescent="0.25">
      <c r="A1" t="s">
        <v>57</v>
      </c>
      <c r="B1" t="s">
        <v>64</v>
      </c>
      <c r="C1" t="s">
        <v>58</v>
      </c>
      <c r="D1" t="s">
        <v>125</v>
      </c>
    </row>
    <row r="2" spans="1:4" x14ac:dyDescent="0.25">
      <c r="A2" t="s">
        <v>48</v>
      </c>
      <c r="B2" t="s">
        <v>23</v>
      </c>
      <c r="C2">
        <f t="shared" ref="C2:C14" si="0">År1</f>
        <v>2019</v>
      </c>
      <c r="D2" s="234">
        <f>IF(B2="Vestdanmark",SUMIFS(IF(C2=År1,'Resultater - Vestdanmark'!$H$3:$H$502,IF(C2=År2,'Resultater - Vestdanmark'!$I$3:$I$502,'Resultater - Vestdanmark'!$J$3:$J$502)),'Resultater - Vestdanmark'!$F$3:$F$502,A2),SUMIFS(IF(C2=År1,'Resultater - Østdanmark'!$H$3:$H$502,IF(C2=År2,'Resultater - Østdanmark'!$I$3:$I$502,'Resultater - Østdanmark'!$J$3:$J$502)),'Resultater - Østdanmark'!$F$3:$F$502,A2))</f>
        <v>6843435.2641521301</v>
      </c>
    </row>
    <row r="3" spans="1:4" x14ac:dyDescent="0.25">
      <c r="A3" t="s">
        <v>49</v>
      </c>
      <c r="B3" t="s">
        <v>23</v>
      </c>
      <c r="C3">
        <f t="shared" si="0"/>
        <v>2019</v>
      </c>
      <c r="D3" s="234">
        <f>IF(B3="Vestdanmark",SUMIFS(IF(C3=År1,'Resultater - Vestdanmark'!$H$3:$H$502,IF(C3=År2,'Resultater - Vestdanmark'!$I$3:$I$502,'Resultater - Vestdanmark'!$J$3:$J$502)),'Resultater - Vestdanmark'!$F$3:$F$502,A3),SUMIFS(IF(C3=År1,'Resultater - Østdanmark'!$H$3:$H$502,IF(C3=År2,'Resultater - Østdanmark'!$I$3:$I$502,'Resultater - Østdanmark'!$J$3:$J$502)),'Resultater - Østdanmark'!$F$3:$F$502,A3))</f>
        <v>258397.36122446082</v>
      </c>
    </row>
    <row r="4" spans="1:4" x14ac:dyDescent="0.25">
      <c r="A4" t="s">
        <v>50</v>
      </c>
      <c r="B4" t="s">
        <v>23</v>
      </c>
      <c r="C4">
        <f t="shared" si="0"/>
        <v>2019</v>
      </c>
      <c r="D4" s="234">
        <f>IF(B4="Vestdanmark",SUMIFS(IF(C4=År1,'Resultater - Vestdanmark'!$H$3:$H$502,IF(C4=År2,'Resultater - Vestdanmark'!$I$3:$I$502,'Resultater - Vestdanmark'!$J$3:$J$502)),'Resultater - Vestdanmark'!$F$3:$F$502,A4),SUMIFS(IF(C4=År1,'Resultater - Østdanmark'!$H$3:$H$502,IF(C4=År2,'Resultater - Østdanmark'!$I$3:$I$502,'Resultater - Østdanmark'!$J$3:$J$502)),'Resultater - Østdanmark'!$F$3:$F$502,A4))</f>
        <v>485762.00237315823</v>
      </c>
    </row>
    <row r="5" spans="1:4" x14ac:dyDescent="0.25">
      <c r="A5" t="s">
        <v>51</v>
      </c>
      <c r="B5" t="s">
        <v>23</v>
      </c>
      <c r="C5">
        <f t="shared" si="0"/>
        <v>2019</v>
      </c>
      <c r="D5" s="234">
        <f>IF(B5="Vestdanmark",SUMIFS(IF(C5=År1,'Resultater - Vestdanmark'!$H$3:$H$502,IF(C5=År2,'Resultater - Vestdanmark'!$I$3:$I$502,'Resultater - Vestdanmark'!$J$3:$J$502)),'Resultater - Vestdanmark'!$F$3:$F$502,A5),SUMIFS(IF(C5=År1,'Resultater - Østdanmark'!$H$3:$H$502,IF(C5=År2,'Resultater - Østdanmark'!$I$3:$I$502,'Resultater - Østdanmark'!$J$3:$J$502)),'Resultater - Østdanmark'!$F$3:$F$502,A5))</f>
        <v>15764158.337739769</v>
      </c>
    </row>
    <row r="6" spans="1:4" x14ac:dyDescent="0.25">
      <c r="A6" t="s">
        <v>6</v>
      </c>
      <c r="B6" t="s">
        <v>23</v>
      </c>
      <c r="C6">
        <f t="shared" si="0"/>
        <v>2019</v>
      </c>
      <c r="D6" s="234">
        <f>IF(B6="Vestdanmark",SUMIFS(IF(C6=År1,'Resultater - Vestdanmark'!$H$3:$H$502,IF(C6=År2,'Resultater - Vestdanmark'!$I$3:$I$502,'Resultater - Vestdanmark'!$J$3:$J$502)),'Resultater - Vestdanmark'!$F$3:$F$502,A6),SUMIFS(IF(C6=År1,'Resultater - Østdanmark'!$H$3:$H$502,IF(C6=År2,'Resultater - Østdanmark'!$I$3:$I$502,'Resultater - Østdanmark'!$J$3:$J$502)),'Resultater - Østdanmark'!$F$3:$F$502,A6))</f>
        <v>185022.9677154524</v>
      </c>
    </row>
    <row r="7" spans="1:4" x14ac:dyDescent="0.25">
      <c r="A7" t="s">
        <v>12</v>
      </c>
      <c r="B7" t="s">
        <v>23</v>
      </c>
      <c r="C7">
        <f t="shared" si="0"/>
        <v>2019</v>
      </c>
      <c r="D7" s="234">
        <f>IF(B7="Vestdanmark",SUMIFS(IF(C7=År1,'Resultater - Vestdanmark'!$H$3:$H$502,IF(C7=År2,'Resultater - Vestdanmark'!$I$3:$I$502,'Resultater - Vestdanmark'!$J$3:$J$502)),'Resultater - Vestdanmark'!$F$3:$F$502,A7),SUMIFS(IF(C7=År1,'Resultater - Østdanmark'!$H$3:$H$502,IF(C7=År2,'Resultater - Østdanmark'!$I$3:$I$502,'Resultater - Østdanmark'!$J$3:$J$502)),'Resultater - Østdanmark'!$F$3:$F$502,A7))</f>
        <v>2146636.3631328358</v>
      </c>
    </row>
    <row r="8" spans="1:4" x14ac:dyDescent="0.25">
      <c r="A8" t="s">
        <v>52</v>
      </c>
      <c r="B8" t="s">
        <v>23</v>
      </c>
      <c r="C8">
        <f t="shared" si="0"/>
        <v>2019</v>
      </c>
      <c r="D8" s="234">
        <f>IF(B8="Vestdanmark",SUMIFS(IF(C8=År1,'Resultater - Vestdanmark'!$H$3:$H$502,IF(C8=År2,'Resultater - Vestdanmark'!$I$3:$I$502,'Resultater - Vestdanmark'!$J$3:$J$502)),'Resultater - Vestdanmark'!$F$3:$F$502,A8),SUMIFS(IF(C8=År1,'Resultater - Østdanmark'!$H$3:$H$502,IF(C8=År2,'Resultater - Østdanmark'!$I$3:$I$502,'Resultater - Østdanmark'!$J$3:$J$502)),'Resultater - Østdanmark'!$F$3:$F$502,A8))</f>
        <v>377517.57644613879</v>
      </c>
    </row>
    <row r="9" spans="1:4" x14ac:dyDescent="0.25">
      <c r="A9" t="s">
        <v>53</v>
      </c>
      <c r="B9" t="s">
        <v>23</v>
      </c>
      <c r="C9">
        <f t="shared" si="0"/>
        <v>2019</v>
      </c>
      <c r="D9" s="234">
        <f>IF(B9="Vestdanmark",SUMIFS(IF(C9=År1,'Resultater - Vestdanmark'!$H$3:$H$502,IF(C9=År2,'Resultater - Vestdanmark'!$I$3:$I$502,'Resultater - Vestdanmark'!$J$3:$J$502)),'Resultater - Vestdanmark'!$F$3:$F$502,A9),SUMIFS(IF(C9=År1,'Resultater - Østdanmark'!$H$3:$H$502,IF(C9=År2,'Resultater - Østdanmark'!$I$3:$I$502,'Resultater - Østdanmark'!$J$3:$J$502)),'Resultater - Østdanmark'!$F$3:$F$502,A9))</f>
        <v>7590675.3960505147</v>
      </c>
    </row>
    <row r="10" spans="1:4" x14ac:dyDescent="0.25">
      <c r="A10" t="s">
        <v>54</v>
      </c>
      <c r="B10" t="s">
        <v>23</v>
      </c>
      <c r="C10">
        <f t="shared" si="0"/>
        <v>2019</v>
      </c>
      <c r="D10" s="234">
        <f>IF(B10="Vestdanmark",SUMIFS(IF(C10=År1,'Resultater - Vestdanmark'!$H$3:$H$502,IF(C10=År2,'Resultater - Vestdanmark'!$I$3:$I$502,'Resultater - Vestdanmark'!$J$3:$J$502)),'Resultater - Vestdanmark'!$F$3:$F$502,A10),SUMIFS(IF(C10=År1,'Resultater - Østdanmark'!$H$3:$H$502,IF(C10=År2,'Resultater - Østdanmark'!$I$3:$I$502,'Resultater - Østdanmark'!$J$3:$J$502)),'Resultater - Østdanmark'!$F$3:$F$502,A10))</f>
        <v>25948.722839676255</v>
      </c>
    </row>
    <row r="11" spans="1:4" x14ac:dyDescent="0.25">
      <c r="A11" t="s">
        <v>55</v>
      </c>
      <c r="B11" t="s">
        <v>23</v>
      </c>
      <c r="C11">
        <f t="shared" si="0"/>
        <v>2019</v>
      </c>
      <c r="D11" s="234">
        <f>IF(B11="Vestdanmark",SUMIFS(IF(C11=År1,'Resultater - Vestdanmark'!$H$3:$H$502,IF(C11=År2,'Resultater - Vestdanmark'!$I$3:$I$502,'Resultater - Vestdanmark'!$J$3:$J$502)),'Resultater - Vestdanmark'!$F$3:$F$502,A11),SUMIFS(IF(C11=År1,'Resultater - Østdanmark'!$H$3:$H$502,IF(C11=År2,'Resultater - Østdanmark'!$I$3:$I$502,'Resultater - Østdanmark'!$J$3:$J$502)),'Resultater - Østdanmark'!$F$3:$F$502,A11))</f>
        <v>1610618.3345669576</v>
      </c>
    </row>
    <row r="12" spans="1:4" x14ac:dyDescent="0.25">
      <c r="A12" t="s">
        <v>113</v>
      </c>
      <c r="B12" t="s">
        <v>23</v>
      </c>
      <c r="C12">
        <f t="shared" si="0"/>
        <v>2019</v>
      </c>
      <c r="D12" s="234">
        <f>IF(B12="Vestdanmark",SUMIFS(IF(C12=År1,'Resultater - Vestdanmark'!$H$3:$H$502,IF(C12=År2,'Resultater - Vestdanmark'!$I$3:$I$502,'Resultater - Vestdanmark'!$J$3:$J$502)),'Resultater - Vestdanmark'!$F$3:$F$502,A12),SUMIFS(IF(C12=År1,'Resultater - Østdanmark'!$H$3:$H$502,IF(C12=År2,'Resultater - Østdanmark'!$I$3:$I$502,'Resultater - Østdanmark'!$J$3:$J$502)),'Resultater - Østdanmark'!$F$3:$F$502,A12))</f>
        <v>887836.84200071916</v>
      </c>
    </row>
    <row r="13" spans="1:4" x14ac:dyDescent="0.25">
      <c r="A13" t="s">
        <v>56</v>
      </c>
      <c r="B13" t="s">
        <v>23</v>
      </c>
      <c r="C13">
        <f t="shared" si="0"/>
        <v>2019</v>
      </c>
      <c r="D13" s="234">
        <f>IF(B13="Vestdanmark",SUMIFS(IF(C13=År1,'Resultater - Vestdanmark'!$H$3:$H$502,IF(C13=År2,'Resultater - Vestdanmark'!$I$3:$I$502,'Resultater - Vestdanmark'!$J$3:$J$502)),'Resultater - Vestdanmark'!$F$3:$F$502,A13),SUMIFS(IF(C13=År1,'Resultater - Østdanmark'!$H$3:$H$502,IF(C13=År2,'Resultater - Østdanmark'!$I$3:$I$502,'Resultater - Østdanmark'!$J$3:$J$502)),'Resultater - Østdanmark'!$F$3:$F$502,A13))</f>
        <v>766472.09789043549</v>
      </c>
    </row>
    <row r="14" spans="1:4" x14ac:dyDescent="0.25">
      <c r="A14" t="s">
        <v>95</v>
      </c>
      <c r="B14" t="s">
        <v>23</v>
      </c>
      <c r="C14">
        <f t="shared" si="0"/>
        <v>2019</v>
      </c>
      <c r="D14" s="234">
        <f>IF(B14="Vestdanmark",SUMIFS(IF(C14=År1,'Resultater - Vestdanmark'!$H$3:$H$502,IF(C14=År2,'Resultater - Vestdanmark'!$I$3:$I$502,'Resultater - Vestdanmark'!$J$3:$J$502)),'Resultater - Vestdanmark'!$F$3:$F$502,A14),SUMIFS(IF(C14=År1,'Resultater - Østdanmark'!$H$3:$H$502,IF(C14=År2,'Resultater - Østdanmark'!$I$3:$I$502,'Resultater - Østdanmark'!$J$3:$J$502)),'Resultater - Østdanmark'!$F$3:$F$502,A14))</f>
        <v>171006.78248665464</v>
      </c>
    </row>
    <row r="15" spans="1:4" x14ac:dyDescent="0.25">
      <c r="A15" t="s">
        <v>48</v>
      </c>
      <c r="B15" t="s">
        <v>23</v>
      </c>
      <c r="C15">
        <f t="shared" ref="C15:C27" si="1">År2</f>
        <v>2030</v>
      </c>
      <c r="D15" s="234">
        <f>IF(B15="Vestdanmark",SUMIFS(IF(C15=År1,'Resultater - Vestdanmark'!$H$3:$H$502,IF(C15=År2,'Resultater - Vestdanmark'!$I$3:$I$502,'Resultater - Vestdanmark'!$J$3:$J$502)),'Resultater - Vestdanmark'!$F$3:$F$502,A15),SUMIFS(IF(C15=År1,'Resultater - Østdanmark'!$H$3:$H$502,IF(C15=År2,'Resultater - Østdanmark'!$I$3:$I$502,'Resultater - Østdanmark'!$J$3:$J$502)),'Resultater - Østdanmark'!$F$3:$F$502,A15))</f>
        <v>7185056.2456319006</v>
      </c>
    </row>
    <row r="16" spans="1:4" x14ac:dyDescent="0.25">
      <c r="A16" t="s">
        <v>49</v>
      </c>
      <c r="B16" t="s">
        <v>23</v>
      </c>
      <c r="C16">
        <f t="shared" si="1"/>
        <v>2030</v>
      </c>
      <c r="D16" s="234">
        <f>IF(B16="Vestdanmark",SUMIFS(IF(C16=År1,'Resultater - Vestdanmark'!$H$3:$H$502,IF(C16=År2,'Resultater - Vestdanmark'!$I$3:$I$502,'Resultater - Vestdanmark'!$J$3:$J$502)),'Resultater - Vestdanmark'!$F$3:$F$502,A16),SUMIFS(IF(C16=År1,'Resultater - Østdanmark'!$H$3:$H$502,IF(C16=År2,'Resultater - Østdanmark'!$I$3:$I$502,'Resultater - Østdanmark'!$J$3:$J$502)),'Resultater - Østdanmark'!$F$3:$F$502,A16))</f>
        <v>270595.78918068163</v>
      </c>
    </row>
    <row r="17" spans="1:4" x14ac:dyDescent="0.25">
      <c r="A17" t="s">
        <v>50</v>
      </c>
      <c r="B17" t="s">
        <v>23</v>
      </c>
      <c r="C17">
        <f t="shared" si="1"/>
        <v>2030</v>
      </c>
      <c r="D17" s="234">
        <f>IF(B17="Vestdanmark",SUMIFS(IF(C17=År1,'Resultater - Vestdanmark'!$H$3:$H$502,IF(C17=År2,'Resultater - Vestdanmark'!$I$3:$I$502,'Resultater - Vestdanmark'!$J$3:$J$502)),'Resultater - Vestdanmark'!$F$3:$F$502,A17),SUMIFS(IF(C17=År1,'Resultater - Østdanmark'!$H$3:$H$502,IF(C17=År2,'Resultater - Østdanmark'!$I$3:$I$502,'Resultater - Østdanmark'!$J$3:$J$502)),'Resultater - Østdanmark'!$F$3:$F$502,A17))</f>
        <v>509029.05966338929</v>
      </c>
    </row>
    <row r="18" spans="1:4" x14ac:dyDescent="0.25">
      <c r="A18" t="s">
        <v>51</v>
      </c>
      <c r="B18" t="s">
        <v>23</v>
      </c>
      <c r="C18">
        <f t="shared" si="1"/>
        <v>2030</v>
      </c>
      <c r="D18" s="234">
        <f>IF(B18="Vestdanmark",SUMIFS(IF(C18=År1,'Resultater - Vestdanmark'!$H$3:$H$502,IF(C18=År2,'Resultater - Vestdanmark'!$I$3:$I$502,'Resultater - Vestdanmark'!$J$3:$J$502)),'Resultater - Vestdanmark'!$F$3:$F$502,A18),SUMIFS(IF(C18=År1,'Resultater - Østdanmark'!$H$3:$H$502,IF(C18=År2,'Resultater - Østdanmark'!$I$3:$I$502,'Resultater - Østdanmark'!$J$3:$J$502)),'Resultater - Østdanmark'!$F$3:$F$502,A18))</f>
        <v>16375262.677757401</v>
      </c>
    </row>
    <row r="19" spans="1:4" x14ac:dyDescent="0.25">
      <c r="A19" t="s">
        <v>6</v>
      </c>
      <c r="B19" t="s">
        <v>23</v>
      </c>
      <c r="C19">
        <f t="shared" si="1"/>
        <v>2030</v>
      </c>
      <c r="D19" s="234">
        <f>IF(B19="Vestdanmark",SUMIFS(IF(C19=År1,'Resultater - Vestdanmark'!$H$3:$H$502,IF(C19=År2,'Resultater - Vestdanmark'!$I$3:$I$502,'Resultater - Vestdanmark'!$J$3:$J$502)),'Resultater - Vestdanmark'!$F$3:$F$502,A19),SUMIFS(IF(C19=År1,'Resultater - Østdanmark'!$H$3:$H$502,IF(C19=År2,'Resultater - Østdanmark'!$I$3:$I$502,'Resultater - Østdanmark'!$J$3:$J$502)),'Resultater - Østdanmark'!$F$3:$F$502,A19))</f>
        <v>192848.72920371042</v>
      </c>
    </row>
    <row r="20" spans="1:4" x14ac:dyDescent="0.25">
      <c r="A20" t="s">
        <v>12</v>
      </c>
      <c r="B20" t="s">
        <v>23</v>
      </c>
      <c r="C20">
        <f t="shared" si="1"/>
        <v>2030</v>
      </c>
      <c r="D20" s="234">
        <f>IF(B20="Vestdanmark",SUMIFS(IF(C20=År1,'Resultater - Vestdanmark'!$H$3:$H$502,IF(C20=År2,'Resultater - Vestdanmark'!$I$3:$I$502,'Resultater - Vestdanmark'!$J$3:$J$502)),'Resultater - Vestdanmark'!$F$3:$F$502,A20),SUMIFS(IF(C20=År1,'Resultater - Østdanmark'!$H$3:$H$502,IF(C20=År2,'Resultater - Østdanmark'!$I$3:$I$502,'Resultater - Østdanmark'!$J$3:$J$502)),'Resultater - Østdanmark'!$F$3:$F$502,A20))</f>
        <v>2244003.4840042591</v>
      </c>
    </row>
    <row r="21" spans="1:4" x14ac:dyDescent="0.25">
      <c r="A21" t="s">
        <v>52</v>
      </c>
      <c r="B21" t="s">
        <v>23</v>
      </c>
      <c r="C21">
        <f t="shared" si="1"/>
        <v>2030</v>
      </c>
      <c r="D21" s="234">
        <f>IF(B21="Vestdanmark",SUMIFS(IF(C21=År1,'Resultater - Vestdanmark'!$H$3:$H$502,IF(C21=År2,'Resultater - Vestdanmark'!$I$3:$I$502,'Resultater - Vestdanmark'!$J$3:$J$502)),'Resultater - Vestdanmark'!$F$3:$F$502,A21),SUMIFS(IF(C21=År1,'Resultater - Østdanmark'!$H$3:$H$502,IF(C21=År2,'Resultater - Østdanmark'!$I$3:$I$502,'Resultater - Østdanmark'!$J$3:$J$502)),'Resultater - Østdanmark'!$F$3:$F$502,A21))</f>
        <v>396405.63727863086</v>
      </c>
    </row>
    <row r="22" spans="1:4" x14ac:dyDescent="0.25">
      <c r="A22" t="s">
        <v>53</v>
      </c>
      <c r="B22" t="s">
        <v>23</v>
      </c>
      <c r="C22">
        <f t="shared" si="1"/>
        <v>2030</v>
      </c>
      <c r="D22" s="234">
        <f>IF(B22="Vestdanmark",SUMIFS(IF(C22=År1,'Resultater - Vestdanmark'!$H$3:$H$502,IF(C22=År2,'Resultater - Vestdanmark'!$I$3:$I$502,'Resultater - Vestdanmark'!$J$3:$J$502)),'Resultater - Vestdanmark'!$F$3:$F$502,A22),SUMIFS(IF(C22=År1,'Resultater - Østdanmark'!$H$3:$H$502,IF(C22=År2,'Resultater - Østdanmark'!$I$3:$I$502,'Resultater - Østdanmark'!$J$3:$J$502)),'Resultater - Østdanmark'!$F$3:$F$502,A22))</f>
        <v>7997415.641357664</v>
      </c>
    </row>
    <row r="23" spans="1:4" x14ac:dyDescent="0.25">
      <c r="A23" t="s">
        <v>54</v>
      </c>
      <c r="B23" t="s">
        <v>23</v>
      </c>
      <c r="C23">
        <f t="shared" si="1"/>
        <v>2030</v>
      </c>
      <c r="D23" s="234">
        <f>IF(B23="Vestdanmark",SUMIFS(IF(C23=År1,'Resultater - Vestdanmark'!$H$3:$H$502,IF(C23=År2,'Resultater - Vestdanmark'!$I$3:$I$502,'Resultater - Vestdanmark'!$J$3:$J$502)),'Resultater - Vestdanmark'!$F$3:$F$502,A23),SUMIFS(IF(C23=År1,'Resultater - Østdanmark'!$H$3:$H$502,IF(C23=År2,'Resultater - Østdanmark'!$I$3:$I$502,'Resultater - Østdanmark'!$J$3:$J$502)),'Resultater - Østdanmark'!$F$3:$F$502,A23))</f>
        <v>27159.598992572228</v>
      </c>
    </row>
    <row r="24" spans="1:4" x14ac:dyDescent="0.25">
      <c r="A24" t="s">
        <v>55</v>
      </c>
      <c r="B24" t="s">
        <v>23</v>
      </c>
      <c r="C24">
        <f t="shared" si="1"/>
        <v>2030</v>
      </c>
      <c r="D24" s="234">
        <f>IF(B24="Vestdanmark",SUMIFS(IF(C24=År1,'Resultater - Vestdanmark'!$H$3:$H$502,IF(C24=År2,'Resultater - Vestdanmark'!$I$3:$I$502,'Resultater - Vestdanmark'!$J$3:$J$502)),'Resultater - Vestdanmark'!$F$3:$F$502,A24),SUMIFS(IF(C24=År1,'Resultater - Østdanmark'!$H$3:$H$502,IF(C24=År2,'Resultater - Østdanmark'!$I$3:$I$502,'Resultater - Østdanmark'!$J$3:$J$502)),'Resultater - Østdanmark'!$F$3:$F$502,A24))</f>
        <v>1685776.5357930374</v>
      </c>
    </row>
    <row r="25" spans="1:4" x14ac:dyDescent="0.25">
      <c r="A25" t="s">
        <v>113</v>
      </c>
      <c r="B25" t="s">
        <v>23</v>
      </c>
      <c r="C25">
        <f t="shared" si="1"/>
        <v>2030</v>
      </c>
      <c r="D25" s="234">
        <f>IF(B25="Vestdanmark",SUMIFS(IF(C25=År1,'Resultater - Vestdanmark'!$H$3:$H$502,IF(C25=År2,'Resultater - Vestdanmark'!$I$3:$I$502,'Resultater - Vestdanmark'!$J$3:$J$502)),'Resultater - Vestdanmark'!$F$3:$F$502,A25),SUMIFS(IF(C25=År1,'Resultater - Østdanmark'!$H$3:$H$502,IF(C25=År2,'Resultater - Østdanmark'!$I$3:$I$502,'Resultater - Østdanmark'!$J$3:$J$502)),'Resultater - Østdanmark'!$F$3:$F$502,A25))</f>
        <v>923566.29660628818</v>
      </c>
    </row>
    <row r="26" spans="1:4" x14ac:dyDescent="0.25">
      <c r="A26" t="s">
        <v>56</v>
      </c>
      <c r="B26" t="s">
        <v>23</v>
      </c>
      <c r="C26">
        <f t="shared" si="1"/>
        <v>2030</v>
      </c>
      <c r="D26" s="234">
        <f>IF(B26="Vestdanmark",SUMIFS(IF(C26=År1,'Resultater - Vestdanmark'!$H$3:$H$502,IF(C26=År2,'Resultater - Vestdanmark'!$I$3:$I$502,'Resultater - Vestdanmark'!$J$3:$J$502)),'Resultater - Vestdanmark'!$F$3:$F$502,A26),SUMIFS(IF(C26=År1,'Resultater - Østdanmark'!$H$3:$H$502,IF(C26=År2,'Resultater - Østdanmark'!$I$3:$I$502,'Resultater - Østdanmark'!$J$3:$J$502)),'Resultater - Østdanmark'!$F$3:$F$502,A26))</f>
        <v>802238.89808826952</v>
      </c>
    </row>
    <row r="27" spans="1:4" x14ac:dyDescent="0.25">
      <c r="A27" t="s">
        <v>95</v>
      </c>
      <c r="B27" t="s">
        <v>23</v>
      </c>
      <c r="C27">
        <f t="shared" si="1"/>
        <v>2030</v>
      </c>
      <c r="D27" s="234">
        <f>IF(B27="Vestdanmark",SUMIFS(IF(C27=År1,'Resultater - Vestdanmark'!$H$3:$H$502,IF(C27=År2,'Resultater - Vestdanmark'!$I$3:$I$502,'Resultater - Vestdanmark'!$J$3:$J$502)),'Resultater - Vestdanmark'!$F$3:$F$502,A27),SUMIFS(IF(C27=År1,'Resultater - Østdanmark'!$H$3:$H$502,IF(C27=År2,'Resultater - Østdanmark'!$I$3:$I$502,'Resultater - Østdanmark'!$J$3:$J$502)),'Resultater - Østdanmark'!$F$3:$F$502,A27))</f>
        <v>176446.6832046808</v>
      </c>
    </row>
    <row r="28" spans="1:4" x14ac:dyDescent="0.25">
      <c r="A28" t="s">
        <v>48</v>
      </c>
      <c r="B28" t="s">
        <v>23</v>
      </c>
      <c r="C28">
        <f t="shared" ref="C28:C40" si="2">År3</f>
        <v>2050</v>
      </c>
      <c r="D28" s="234">
        <f>IF(B28="Vestdanmark",SUMIFS(IF(C28=År1,'Resultater - Vestdanmark'!$H$3:$H$502,IF(C28=År2,'Resultater - Vestdanmark'!$I$3:$I$502,'Resultater - Vestdanmark'!$J$3:$J$502)),'Resultater - Vestdanmark'!$F$3:$F$502,A28),SUMIFS(IF(C28=År1,'Resultater - Østdanmark'!$H$3:$H$502,IF(C28=År2,'Resultater - Østdanmark'!$I$3:$I$502,'Resultater - Østdanmark'!$J$3:$J$502)),'Resultater - Østdanmark'!$F$3:$F$502,A28))</f>
        <v>7470858.8846565643</v>
      </c>
    </row>
    <row r="29" spans="1:4" x14ac:dyDescent="0.25">
      <c r="A29" t="s">
        <v>49</v>
      </c>
      <c r="B29" t="s">
        <v>23</v>
      </c>
      <c r="C29">
        <f t="shared" si="2"/>
        <v>2050</v>
      </c>
      <c r="D29" s="234">
        <f>IF(B29="Vestdanmark",SUMIFS(IF(C29=År1,'Resultater - Vestdanmark'!$H$3:$H$502,IF(C29=År2,'Resultater - Vestdanmark'!$I$3:$I$502,'Resultater - Vestdanmark'!$J$3:$J$502)),'Resultater - Vestdanmark'!$F$3:$F$502,A29),SUMIFS(IF(C29=År1,'Resultater - Østdanmark'!$H$3:$H$502,IF(C29=År2,'Resultater - Østdanmark'!$I$3:$I$502,'Resultater - Østdanmark'!$J$3:$J$502)),'Resultater - Østdanmark'!$F$3:$F$502,A29))</f>
        <v>280111.33244912018</v>
      </c>
    </row>
    <row r="30" spans="1:4" x14ac:dyDescent="0.25">
      <c r="A30" t="s">
        <v>50</v>
      </c>
      <c r="B30" t="s">
        <v>23</v>
      </c>
      <c r="C30">
        <f t="shared" si="2"/>
        <v>2050</v>
      </c>
      <c r="D30" s="234">
        <f>IF(B30="Vestdanmark",SUMIFS(IF(C30=År1,'Resultater - Vestdanmark'!$H$3:$H$502,IF(C30=År2,'Resultater - Vestdanmark'!$I$3:$I$502,'Resultater - Vestdanmark'!$J$3:$J$502)),'Resultater - Vestdanmark'!$F$3:$F$502,A30),SUMIFS(IF(C30=År1,'Resultater - Østdanmark'!$H$3:$H$502,IF(C30=År2,'Resultater - Østdanmark'!$I$3:$I$502,'Resultater - Østdanmark'!$J$3:$J$502)),'Resultater - Østdanmark'!$F$3:$F$502,A30))</f>
        <v>526296.50250669091</v>
      </c>
    </row>
    <row r="31" spans="1:4" x14ac:dyDescent="0.25">
      <c r="A31" t="s">
        <v>51</v>
      </c>
      <c r="B31" t="s">
        <v>23</v>
      </c>
      <c r="C31">
        <f t="shared" si="2"/>
        <v>2050</v>
      </c>
      <c r="D31" s="234">
        <f>IF(B31="Vestdanmark",SUMIFS(IF(C31=År1,'Resultater - Vestdanmark'!$H$3:$H$502,IF(C31=År2,'Resultater - Vestdanmark'!$I$3:$I$502,'Resultater - Vestdanmark'!$J$3:$J$502)),'Resultater - Vestdanmark'!$F$3:$F$502,A31),SUMIFS(IF(C31=År1,'Resultater - Østdanmark'!$H$3:$H$502,IF(C31=År2,'Resultater - Østdanmark'!$I$3:$I$502,'Resultater - Østdanmark'!$J$3:$J$502)),'Resultater - Østdanmark'!$F$3:$F$502,A31))</f>
        <v>17187397.545226604</v>
      </c>
    </row>
    <row r="32" spans="1:4" x14ac:dyDescent="0.25">
      <c r="A32" t="s">
        <v>6</v>
      </c>
      <c r="B32" t="s">
        <v>23</v>
      </c>
      <c r="C32">
        <f t="shared" si="2"/>
        <v>2050</v>
      </c>
      <c r="D32" s="234">
        <f>IF(B32="Vestdanmark",SUMIFS(IF(C32=År1,'Resultater - Vestdanmark'!$H$3:$H$502,IF(C32=År2,'Resultater - Vestdanmark'!$I$3:$I$502,'Resultater - Vestdanmark'!$J$3:$J$502)),'Resultater - Vestdanmark'!$F$3:$F$502,A32),SUMIFS(IF(C32=År1,'Resultater - Østdanmark'!$H$3:$H$502,IF(C32=År2,'Resultater - Østdanmark'!$I$3:$I$502,'Resultater - Østdanmark'!$J$3:$J$502)),'Resultater - Østdanmark'!$F$3:$F$502,A32))</f>
        <v>198166.83757807463</v>
      </c>
    </row>
    <row r="33" spans="1:4" x14ac:dyDescent="0.25">
      <c r="A33" t="s">
        <v>12</v>
      </c>
      <c r="B33" t="s">
        <v>23</v>
      </c>
      <c r="C33">
        <f t="shared" si="2"/>
        <v>2050</v>
      </c>
      <c r="D33" s="234">
        <f>IF(B33="Vestdanmark",SUMIFS(IF(C33=År1,'Resultater - Vestdanmark'!$H$3:$H$502,IF(C33=År2,'Resultater - Vestdanmark'!$I$3:$I$502,'Resultater - Vestdanmark'!$J$3:$J$502)),'Resultater - Vestdanmark'!$F$3:$F$502,A33),SUMIFS(IF(C33=År1,'Resultater - Østdanmark'!$H$3:$H$502,IF(C33=År2,'Resultater - Østdanmark'!$I$3:$I$502,'Resultater - Østdanmark'!$J$3:$J$502)),'Resultater - Østdanmark'!$F$3:$F$502,A33))</f>
        <v>2323694.0904921242</v>
      </c>
    </row>
    <row r="34" spans="1:4" x14ac:dyDescent="0.25">
      <c r="A34" t="s">
        <v>52</v>
      </c>
      <c r="B34" t="s">
        <v>23</v>
      </c>
      <c r="C34">
        <f t="shared" si="2"/>
        <v>2050</v>
      </c>
      <c r="D34" s="234">
        <f>IF(B34="Vestdanmark",SUMIFS(IF(C34=År1,'Resultater - Vestdanmark'!$H$3:$H$502,IF(C34=År2,'Resultater - Vestdanmark'!$I$3:$I$502,'Resultater - Vestdanmark'!$J$3:$J$502)),'Resultater - Vestdanmark'!$F$3:$F$502,A34),SUMIFS(IF(C34=År1,'Resultater - Østdanmark'!$H$3:$H$502,IF(C34=År2,'Resultater - Østdanmark'!$I$3:$I$502,'Resultater - Østdanmark'!$J$3:$J$502)),'Resultater - Østdanmark'!$F$3:$F$502,A34))</f>
        <v>410082.28428580571</v>
      </c>
    </row>
    <row r="35" spans="1:4" x14ac:dyDescent="0.25">
      <c r="A35" t="s">
        <v>53</v>
      </c>
      <c r="B35" t="s">
        <v>23</v>
      </c>
      <c r="C35">
        <f t="shared" si="2"/>
        <v>2050</v>
      </c>
      <c r="D35" s="234">
        <f>IF(B35="Vestdanmark",SUMIFS(IF(C35=År1,'Resultater - Vestdanmark'!$H$3:$H$502,IF(C35=År2,'Resultater - Vestdanmark'!$I$3:$I$502,'Resultater - Vestdanmark'!$J$3:$J$502)),'Resultater - Vestdanmark'!$F$3:$F$502,A35),SUMIFS(IF(C35=År1,'Resultater - Østdanmark'!$H$3:$H$502,IF(C35=År2,'Resultater - Østdanmark'!$I$3:$I$502,'Resultater - Østdanmark'!$J$3:$J$502)),'Resultater - Østdanmark'!$F$3:$F$502,A35))</f>
        <v>8373936.9345243433</v>
      </c>
    </row>
    <row r="36" spans="1:4" x14ac:dyDescent="0.25">
      <c r="A36" t="s">
        <v>54</v>
      </c>
      <c r="B36" t="s">
        <v>23</v>
      </c>
      <c r="C36">
        <f t="shared" si="2"/>
        <v>2050</v>
      </c>
      <c r="D36" s="234">
        <f>IF(B36="Vestdanmark",SUMIFS(IF(C36=År1,'Resultater - Vestdanmark'!$H$3:$H$502,IF(C36=År2,'Resultater - Vestdanmark'!$I$3:$I$502,'Resultater - Vestdanmark'!$J$3:$J$502)),'Resultater - Vestdanmark'!$F$3:$F$502,A36),SUMIFS(IF(C36=År1,'Resultater - Østdanmark'!$H$3:$H$502,IF(C36=År2,'Resultater - Østdanmark'!$I$3:$I$502,'Resultater - Østdanmark'!$J$3:$J$502)),'Resultater - Østdanmark'!$F$3:$F$502,A36))</f>
        <v>28117.117854959241</v>
      </c>
    </row>
    <row r="37" spans="1:4" x14ac:dyDescent="0.25">
      <c r="A37" t="s">
        <v>55</v>
      </c>
      <c r="B37" t="s">
        <v>23</v>
      </c>
      <c r="C37">
        <f t="shared" si="2"/>
        <v>2050</v>
      </c>
      <c r="D37" s="234">
        <f>IF(B37="Vestdanmark",SUMIFS(IF(C37=År1,'Resultater - Vestdanmark'!$H$3:$H$502,IF(C37=År2,'Resultater - Vestdanmark'!$I$3:$I$502,'Resultater - Vestdanmark'!$J$3:$J$502)),'Resultater - Vestdanmark'!$F$3:$F$502,A37),SUMIFS(IF(C37=År1,'Resultater - Østdanmark'!$H$3:$H$502,IF(C37=År2,'Resultater - Østdanmark'!$I$3:$I$502,'Resultater - Østdanmark'!$J$3:$J$502)),'Resultater - Østdanmark'!$F$3:$F$502,A37))</f>
        <v>1745209.0344552125</v>
      </c>
    </row>
    <row r="38" spans="1:4" x14ac:dyDescent="0.25">
      <c r="A38" t="s">
        <v>113</v>
      </c>
      <c r="B38" t="s">
        <v>23</v>
      </c>
      <c r="C38">
        <f t="shared" si="2"/>
        <v>2050</v>
      </c>
      <c r="D38" s="234">
        <f>IF(B38="Vestdanmark",SUMIFS(IF(C38=År1,'Resultater - Vestdanmark'!$H$3:$H$502,IF(C38=År2,'Resultater - Vestdanmark'!$I$3:$I$502,'Resultater - Vestdanmark'!$J$3:$J$502)),'Resultater - Vestdanmark'!$F$3:$F$502,A38),SUMIFS(IF(C38=År1,'Resultater - Østdanmark'!$H$3:$H$502,IF(C38=År2,'Resultater - Østdanmark'!$I$3:$I$502,'Resultater - Østdanmark'!$J$3:$J$502)),'Resultater - Østdanmark'!$F$3:$F$502,A38))</f>
        <v>957437.9326590331</v>
      </c>
    </row>
    <row r="39" spans="1:4" x14ac:dyDescent="0.25">
      <c r="A39" t="s">
        <v>56</v>
      </c>
      <c r="B39" t="s">
        <v>23</v>
      </c>
      <c r="C39">
        <f t="shared" si="2"/>
        <v>2050</v>
      </c>
      <c r="D39" s="234">
        <f>IF(B39="Vestdanmark",SUMIFS(IF(C39=År1,'Resultater - Vestdanmark'!$H$3:$H$502,IF(C39=År2,'Resultater - Vestdanmark'!$I$3:$I$502,'Resultater - Vestdanmark'!$J$3:$J$502)),'Resultater - Vestdanmark'!$F$3:$F$502,A39),SUMIFS(IF(C39=År1,'Resultater - Østdanmark'!$H$3:$H$502,IF(C39=År2,'Resultater - Østdanmark'!$I$3:$I$502,'Resultater - Østdanmark'!$J$3:$J$502)),'Resultater - Østdanmark'!$F$3:$F$502,A39))</f>
        <v>830522.04311077786</v>
      </c>
    </row>
    <row r="40" spans="1:4" x14ac:dyDescent="0.25">
      <c r="A40" t="s">
        <v>95</v>
      </c>
      <c r="B40" t="s">
        <v>23</v>
      </c>
      <c r="C40">
        <f t="shared" si="2"/>
        <v>2050</v>
      </c>
      <c r="D40" s="234">
        <f>IF(B40="Vestdanmark",SUMIFS(IF(C40=År1,'Resultater - Vestdanmark'!$H$3:$H$502,IF(C40=År2,'Resultater - Vestdanmark'!$I$3:$I$502,'Resultater - Vestdanmark'!$J$3:$J$502)),'Resultater - Vestdanmark'!$F$3:$F$502,A40),SUMIFS(IF(C40=År1,'Resultater - Østdanmark'!$H$3:$H$502,IF(C40=År2,'Resultater - Østdanmark'!$I$3:$I$502,'Resultater - Østdanmark'!$J$3:$J$502)),'Resultater - Østdanmark'!$F$3:$F$502,A40))</f>
        <v>183249.6836740704</v>
      </c>
    </row>
    <row r="41" spans="1:4" x14ac:dyDescent="0.25">
      <c r="A41" t="s">
        <v>48</v>
      </c>
      <c r="B41" t="s">
        <v>24</v>
      </c>
      <c r="C41">
        <f t="shared" ref="C41:C53" si="3">År1</f>
        <v>2019</v>
      </c>
      <c r="D41" s="234">
        <f>IF(B41="Vestdanmark",SUMIFS(IF(C41=År1,'Resultater - Vestdanmark'!$H$3:$H$502,IF(C41=År2,'Resultater - Vestdanmark'!$I$3:$I$502,'Resultater - Vestdanmark'!$J$3:$J$502)),'Resultater - Vestdanmark'!$F$3:$F$502,A41),SUMIFS(IF(C41=År1,'Resultater - Østdanmark'!$H$3:$H$502,IF(C41=År2,'Resultater - Østdanmark'!$I$3:$I$502,'Resultater - Østdanmark'!$J$3:$J$502)),'Resultater - Østdanmark'!$F$3:$F$502,A41))</f>
        <v>2268650.5850062412</v>
      </c>
    </row>
    <row r="42" spans="1:4" x14ac:dyDescent="0.25">
      <c r="A42" t="s">
        <v>49</v>
      </c>
      <c r="B42" t="s">
        <v>24</v>
      </c>
      <c r="C42">
        <f t="shared" si="3"/>
        <v>2019</v>
      </c>
      <c r="D42" s="234">
        <f>IF(B42="Vestdanmark",SUMIFS(IF(C42=År1,'Resultater - Vestdanmark'!$H$3:$H$502,IF(C42=År2,'Resultater - Vestdanmark'!$I$3:$I$502,'Resultater - Vestdanmark'!$J$3:$J$502)),'Resultater - Vestdanmark'!$F$3:$F$502,A42),SUMIFS(IF(C42=År1,'Resultater - Østdanmark'!$H$3:$H$502,IF(C42=År2,'Resultater - Østdanmark'!$I$3:$I$502,'Resultater - Østdanmark'!$J$3:$J$502)),'Resultater - Østdanmark'!$F$3:$F$502,A42))</f>
        <v>26972.495538657848</v>
      </c>
    </row>
    <row r="43" spans="1:4" x14ac:dyDescent="0.25">
      <c r="A43" t="s">
        <v>50</v>
      </c>
      <c r="B43" t="s">
        <v>24</v>
      </c>
      <c r="C43">
        <f t="shared" si="3"/>
        <v>2019</v>
      </c>
      <c r="D43" s="234">
        <f>IF(B43="Vestdanmark",SUMIFS(IF(C43=År1,'Resultater - Vestdanmark'!$H$3:$H$502,IF(C43=År2,'Resultater - Vestdanmark'!$I$3:$I$502,'Resultater - Vestdanmark'!$J$3:$J$502)),'Resultater - Vestdanmark'!$F$3:$F$502,A43),SUMIFS(IF(C43=År1,'Resultater - Østdanmark'!$H$3:$H$502,IF(C43=År2,'Resultater - Østdanmark'!$I$3:$I$502,'Resultater - Østdanmark'!$J$3:$J$502)),'Resultater - Østdanmark'!$F$3:$F$502,A43))</f>
        <v>192563.22613808865</v>
      </c>
    </row>
    <row r="44" spans="1:4" x14ac:dyDescent="0.25">
      <c r="A44" t="s">
        <v>51</v>
      </c>
      <c r="B44" t="s">
        <v>24</v>
      </c>
      <c r="C44">
        <f t="shared" si="3"/>
        <v>2019</v>
      </c>
      <c r="D44" s="234">
        <f>IF(B44="Vestdanmark",SUMIFS(IF(C44=År1,'Resultater - Vestdanmark'!$H$3:$H$502,IF(C44=År2,'Resultater - Vestdanmark'!$I$3:$I$502,'Resultater - Vestdanmark'!$J$3:$J$502)),'Resultater - Vestdanmark'!$F$3:$F$502,A44),SUMIFS(IF(C44=År1,'Resultater - Østdanmark'!$H$3:$H$502,IF(C44=År2,'Resultater - Østdanmark'!$I$3:$I$502,'Resultater - Østdanmark'!$J$3:$J$502)),'Resultater - Østdanmark'!$F$3:$F$502,A44))</f>
        <v>2148848.2010935447</v>
      </c>
    </row>
    <row r="45" spans="1:4" x14ac:dyDescent="0.25">
      <c r="A45" t="s">
        <v>6</v>
      </c>
      <c r="B45" t="s">
        <v>24</v>
      </c>
      <c r="C45">
        <f t="shared" si="3"/>
        <v>2019</v>
      </c>
      <c r="D45" s="234">
        <f>IF(B45="Vestdanmark",SUMIFS(IF(C45=År1,'Resultater - Vestdanmark'!$H$3:$H$502,IF(C45=År2,'Resultater - Vestdanmark'!$I$3:$I$502,'Resultater - Vestdanmark'!$J$3:$J$502)),'Resultater - Vestdanmark'!$F$3:$F$502,A45),SUMIFS(IF(C45=År1,'Resultater - Østdanmark'!$H$3:$H$502,IF(C45=År2,'Resultater - Østdanmark'!$I$3:$I$502,'Resultater - Østdanmark'!$J$3:$J$502)),'Resultater - Østdanmark'!$F$3:$F$502,A45))</f>
        <v>95299.46904386401</v>
      </c>
    </row>
    <row r="46" spans="1:4" x14ac:dyDescent="0.25">
      <c r="A46" t="s">
        <v>12</v>
      </c>
      <c r="B46" t="s">
        <v>24</v>
      </c>
      <c r="C46">
        <f t="shared" si="3"/>
        <v>2019</v>
      </c>
      <c r="D46" s="234">
        <f>IF(B46="Vestdanmark",SUMIFS(IF(C46=År1,'Resultater - Vestdanmark'!$H$3:$H$502,IF(C46=År2,'Resultater - Vestdanmark'!$I$3:$I$502,'Resultater - Vestdanmark'!$J$3:$J$502)),'Resultater - Vestdanmark'!$F$3:$F$502,A46),SUMIFS(IF(C46=År1,'Resultater - Østdanmark'!$H$3:$H$502,IF(C46=År2,'Resultater - Østdanmark'!$I$3:$I$502,'Resultater - Østdanmark'!$J$3:$J$502)),'Resultater - Østdanmark'!$F$3:$F$502,A46))</f>
        <v>116539.79424410909</v>
      </c>
    </row>
    <row r="47" spans="1:4" x14ac:dyDescent="0.25">
      <c r="A47" t="s">
        <v>52</v>
      </c>
      <c r="B47" t="s">
        <v>24</v>
      </c>
      <c r="C47">
        <f t="shared" si="3"/>
        <v>2019</v>
      </c>
      <c r="D47" s="234">
        <f>IF(B47="Vestdanmark",SUMIFS(IF(C47=År1,'Resultater - Vestdanmark'!$H$3:$H$502,IF(C47=År2,'Resultater - Vestdanmark'!$I$3:$I$502,'Resultater - Vestdanmark'!$J$3:$J$502)),'Resultater - Vestdanmark'!$F$3:$F$502,A47),SUMIFS(IF(C47=År1,'Resultater - Østdanmark'!$H$3:$H$502,IF(C47=År2,'Resultater - Østdanmark'!$I$3:$I$502,'Resultater - Østdanmark'!$J$3:$J$502)),'Resultater - Østdanmark'!$F$3:$F$502,A47))</f>
        <v>2233316.4654569654</v>
      </c>
    </row>
    <row r="48" spans="1:4" x14ac:dyDescent="0.25">
      <c r="A48" t="s">
        <v>53</v>
      </c>
      <c r="B48" t="s">
        <v>24</v>
      </c>
      <c r="C48">
        <f t="shared" si="3"/>
        <v>2019</v>
      </c>
      <c r="D48" s="234">
        <f>IF(B48="Vestdanmark",SUMIFS(IF(C48=År1,'Resultater - Vestdanmark'!$H$3:$H$502,IF(C48=År2,'Resultater - Vestdanmark'!$I$3:$I$502,'Resultater - Vestdanmark'!$J$3:$J$502)),'Resultater - Vestdanmark'!$F$3:$F$502,A48),SUMIFS(IF(C48=År1,'Resultater - Østdanmark'!$H$3:$H$502,IF(C48=År2,'Resultater - Østdanmark'!$I$3:$I$502,'Resultater - Østdanmark'!$J$3:$J$502)),'Resultater - Østdanmark'!$F$3:$F$502,A48))</f>
        <v>365245.73356828612</v>
      </c>
    </row>
    <row r="49" spans="1:4" x14ac:dyDescent="0.25">
      <c r="A49" t="s">
        <v>54</v>
      </c>
      <c r="B49" t="s">
        <v>24</v>
      </c>
      <c r="C49">
        <f t="shared" si="3"/>
        <v>2019</v>
      </c>
      <c r="D49" s="234">
        <f>IF(B49="Vestdanmark",SUMIFS(IF(C49=År1,'Resultater - Vestdanmark'!$H$3:$H$502,IF(C49=År2,'Resultater - Vestdanmark'!$I$3:$I$502,'Resultater - Vestdanmark'!$J$3:$J$502)),'Resultater - Vestdanmark'!$F$3:$F$502,A49),SUMIFS(IF(C49=År1,'Resultater - Østdanmark'!$H$3:$H$502,IF(C49=År2,'Resultater - Østdanmark'!$I$3:$I$502,'Resultater - Østdanmark'!$J$3:$J$502)),'Resultater - Østdanmark'!$F$3:$F$502,A49))</f>
        <v>15780.226177538038</v>
      </c>
    </row>
    <row r="50" spans="1:4" x14ac:dyDescent="0.25">
      <c r="A50" t="s">
        <v>55</v>
      </c>
      <c r="B50" t="s">
        <v>24</v>
      </c>
      <c r="C50">
        <f t="shared" si="3"/>
        <v>2019</v>
      </c>
      <c r="D50" s="234">
        <f>IF(B50="Vestdanmark",SUMIFS(IF(C50=År1,'Resultater - Vestdanmark'!$H$3:$H$502,IF(C50=År2,'Resultater - Vestdanmark'!$I$3:$I$502,'Resultater - Vestdanmark'!$J$3:$J$502)),'Resultater - Vestdanmark'!$F$3:$F$502,A50),SUMIFS(IF(C50=År1,'Resultater - Østdanmark'!$H$3:$H$502,IF(C50=År2,'Resultater - Østdanmark'!$I$3:$I$502,'Resultater - Østdanmark'!$J$3:$J$502)),'Resultater - Østdanmark'!$F$3:$F$502,A50))</f>
        <v>395448.91426064254</v>
      </c>
    </row>
    <row r="51" spans="1:4" x14ac:dyDescent="0.25">
      <c r="A51" t="s">
        <v>113</v>
      </c>
      <c r="B51" t="s">
        <v>24</v>
      </c>
      <c r="C51">
        <f t="shared" si="3"/>
        <v>2019</v>
      </c>
      <c r="D51" s="234">
        <f>IF(B51="Vestdanmark",SUMIFS(IF(C51=År1,'Resultater - Vestdanmark'!$H$3:$H$502,IF(C51=År2,'Resultater - Vestdanmark'!$I$3:$I$502,'Resultater - Vestdanmark'!$J$3:$J$502)),'Resultater - Vestdanmark'!$F$3:$F$502,A51),SUMIFS(IF(C51=År1,'Resultater - Østdanmark'!$H$3:$H$502,IF(C51=År2,'Resultater - Østdanmark'!$I$3:$I$502,'Resultater - Østdanmark'!$J$3:$J$502)),'Resultater - Østdanmark'!$F$3:$F$502,A51))</f>
        <v>620445.82725004398</v>
      </c>
    </row>
    <row r="52" spans="1:4" x14ac:dyDescent="0.25">
      <c r="A52" t="s">
        <v>56</v>
      </c>
      <c r="B52" t="s">
        <v>24</v>
      </c>
      <c r="C52">
        <f t="shared" si="3"/>
        <v>2019</v>
      </c>
      <c r="D52" s="234">
        <f>IF(B52="Vestdanmark",SUMIFS(IF(C52=År1,'Resultater - Vestdanmark'!$H$3:$H$502,IF(C52=År2,'Resultater - Vestdanmark'!$I$3:$I$502,'Resultater - Vestdanmark'!$J$3:$J$502)),'Resultater - Vestdanmark'!$F$3:$F$502,A52),SUMIFS(IF(C52=År1,'Resultater - Østdanmark'!$H$3:$H$502,IF(C52=År2,'Resultater - Østdanmark'!$I$3:$I$502,'Resultater - Østdanmark'!$J$3:$J$502)),'Resultater - Østdanmark'!$F$3:$F$502,A52))</f>
        <v>145627.35347864506</v>
      </c>
    </row>
    <row r="53" spans="1:4" x14ac:dyDescent="0.25">
      <c r="A53" t="s">
        <v>95</v>
      </c>
      <c r="B53" t="s">
        <v>24</v>
      </c>
      <c r="C53">
        <f t="shared" si="3"/>
        <v>2019</v>
      </c>
      <c r="D53" s="234">
        <f>IF(B53="Vestdanmark",SUMIFS(IF(C53=År1,'Resultater - Vestdanmark'!$H$3:$H$502,IF(C53=År2,'Resultater - Vestdanmark'!$I$3:$I$502,'Resultater - Vestdanmark'!$J$3:$J$502)),'Resultater - Vestdanmark'!$F$3:$F$502,A53),SUMIFS(IF(C53=År1,'Resultater - Østdanmark'!$H$3:$H$502,IF(C53=År2,'Resultater - Østdanmark'!$I$3:$I$502,'Resultater - Østdanmark'!$J$3:$J$502)),'Resultater - Østdanmark'!$F$3:$F$502,A53))</f>
        <v>38860.356190289756</v>
      </c>
    </row>
    <row r="54" spans="1:4" x14ac:dyDescent="0.25">
      <c r="A54" t="s">
        <v>48</v>
      </c>
      <c r="B54" t="s">
        <v>24</v>
      </c>
      <c r="C54">
        <f t="shared" ref="C54:C66" si="4">År2</f>
        <v>2030</v>
      </c>
      <c r="D54" s="234">
        <f>IF(B54="Vestdanmark",SUMIFS(IF(C54=År1,'Resultater - Vestdanmark'!$H$3:$H$502,IF(C54=År2,'Resultater - Vestdanmark'!$I$3:$I$502,'Resultater - Vestdanmark'!$J$3:$J$502)),'Resultater - Vestdanmark'!$F$3:$F$502,A54),SUMIFS(IF(C54=År1,'Resultater - Østdanmark'!$H$3:$H$502,IF(C54=År2,'Resultater - Østdanmark'!$I$3:$I$502,'Resultater - Østdanmark'!$J$3:$J$502)),'Resultater - Østdanmark'!$F$3:$F$502,A54))</f>
        <v>2397159.4134105444</v>
      </c>
    </row>
    <row r="55" spans="1:4" x14ac:dyDescent="0.25">
      <c r="A55" t="s">
        <v>49</v>
      </c>
      <c r="B55" t="s">
        <v>24</v>
      </c>
      <c r="C55">
        <f t="shared" si="4"/>
        <v>2030</v>
      </c>
      <c r="D55" s="234">
        <f>IF(B55="Vestdanmark",SUMIFS(IF(C55=År1,'Resultater - Vestdanmark'!$H$3:$H$502,IF(C55=År2,'Resultater - Vestdanmark'!$I$3:$I$502,'Resultater - Vestdanmark'!$J$3:$J$502)),'Resultater - Vestdanmark'!$F$3:$F$502,A55),SUMIFS(IF(C55=År1,'Resultater - Østdanmark'!$H$3:$H$502,IF(C55=År2,'Resultater - Østdanmark'!$I$3:$I$502,'Resultater - Østdanmark'!$J$3:$J$502)),'Resultater - Østdanmark'!$F$3:$F$502,A55))</f>
        <v>28427.465119156146</v>
      </c>
    </row>
    <row r="56" spans="1:4" x14ac:dyDescent="0.25">
      <c r="A56" t="s">
        <v>50</v>
      </c>
      <c r="B56" t="s">
        <v>24</v>
      </c>
      <c r="C56">
        <f t="shared" si="4"/>
        <v>2030</v>
      </c>
      <c r="D56" s="234">
        <f>IF(B56="Vestdanmark",SUMIFS(IF(C56=År1,'Resultater - Vestdanmark'!$H$3:$H$502,IF(C56=År2,'Resultater - Vestdanmark'!$I$3:$I$502,'Resultater - Vestdanmark'!$J$3:$J$502)),'Resultater - Vestdanmark'!$F$3:$F$502,A56),SUMIFS(IF(C56=År1,'Resultater - Østdanmark'!$H$3:$H$502,IF(C56=År2,'Resultater - Østdanmark'!$I$3:$I$502,'Resultater - Østdanmark'!$J$3:$J$502)),'Resultater - Østdanmark'!$F$3:$F$502,A56))</f>
        <v>202988.92221517742</v>
      </c>
    </row>
    <row r="57" spans="1:4" x14ac:dyDescent="0.25">
      <c r="A57" t="s">
        <v>51</v>
      </c>
      <c r="B57" t="s">
        <v>24</v>
      </c>
      <c r="C57">
        <f t="shared" si="4"/>
        <v>2030</v>
      </c>
      <c r="D57" s="234">
        <f>IF(B57="Vestdanmark",SUMIFS(IF(C57=År1,'Resultater - Vestdanmark'!$H$3:$H$502,IF(C57=År2,'Resultater - Vestdanmark'!$I$3:$I$502,'Resultater - Vestdanmark'!$J$3:$J$502)),'Resultater - Vestdanmark'!$F$3:$F$502,A57),SUMIFS(IF(C57=År1,'Resultater - Østdanmark'!$H$3:$H$502,IF(C57=År2,'Resultater - Østdanmark'!$I$3:$I$502,'Resultater - Østdanmark'!$J$3:$J$502)),'Resultater - Østdanmark'!$F$3:$F$502,A57))</f>
        <v>2253848.7282700147</v>
      </c>
    </row>
    <row r="58" spans="1:4" x14ac:dyDescent="0.25">
      <c r="A58" t="s">
        <v>6</v>
      </c>
      <c r="B58" t="s">
        <v>24</v>
      </c>
      <c r="C58">
        <f t="shared" si="4"/>
        <v>2030</v>
      </c>
      <c r="D58" s="234">
        <f>IF(B58="Vestdanmark",SUMIFS(IF(C58=År1,'Resultater - Vestdanmark'!$H$3:$H$502,IF(C58=År2,'Resultater - Vestdanmark'!$I$3:$I$502,'Resultater - Vestdanmark'!$J$3:$J$502)),'Resultater - Vestdanmark'!$F$3:$F$502,A58),SUMIFS(IF(C58=År1,'Resultater - Østdanmark'!$H$3:$H$502,IF(C58=År2,'Resultater - Østdanmark'!$I$3:$I$502,'Resultater - Østdanmark'!$J$3:$J$502)),'Resultater - Østdanmark'!$F$3:$F$502,A58))</f>
        <v>99860.697208716942</v>
      </c>
    </row>
    <row r="59" spans="1:4" x14ac:dyDescent="0.25">
      <c r="A59" t="s">
        <v>12</v>
      </c>
      <c r="B59" t="s">
        <v>24</v>
      </c>
      <c r="C59">
        <f t="shared" si="4"/>
        <v>2030</v>
      </c>
      <c r="D59" s="234">
        <f>IF(B59="Vestdanmark",SUMIFS(IF(C59=År1,'Resultater - Vestdanmark'!$H$3:$H$502,IF(C59=År2,'Resultater - Vestdanmark'!$I$3:$I$502,'Resultater - Vestdanmark'!$J$3:$J$502)),'Resultater - Vestdanmark'!$F$3:$F$502,A59),SUMIFS(IF(C59=År1,'Resultater - Østdanmark'!$H$3:$H$502,IF(C59=År2,'Resultater - Østdanmark'!$I$3:$I$502,'Resultater - Østdanmark'!$J$3:$J$502)),'Resultater - Østdanmark'!$F$3:$F$502,A59))</f>
        <v>122729.17644107634</v>
      </c>
    </row>
    <row r="60" spans="1:4" x14ac:dyDescent="0.25">
      <c r="A60" t="s">
        <v>52</v>
      </c>
      <c r="B60" t="s">
        <v>24</v>
      </c>
      <c r="C60">
        <f t="shared" si="4"/>
        <v>2030</v>
      </c>
      <c r="D60" s="234">
        <f>IF(B60="Vestdanmark",SUMIFS(IF(C60=År1,'Resultater - Vestdanmark'!$H$3:$H$502,IF(C60=År2,'Resultater - Vestdanmark'!$I$3:$I$502,'Resultater - Vestdanmark'!$J$3:$J$502)),'Resultater - Vestdanmark'!$F$3:$F$502,A60),SUMIFS(IF(C60=År1,'Resultater - Østdanmark'!$H$3:$H$502,IF(C60=År2,'Resultater - Østdanmark'!$I$3:$I$502,'Resultater - Østdanmark'!$J$3:$J$502)),'Resultater - Østdanmark'!$F$3:$F$502,A60))</f>
        <v>2357380.2059099637</v>
      </c>
    </row>
    <row r="61" spans="1:4" x14ac:dyDescent="0.25">
      <c r="A61" t="s">
        <v>53</v>
      </c>
      <c r="B61" t="s">
        <v>24</v>
      </c>
      <c r="C61">
        <f t="shared" si="4"/>
        <v>2030</v>
      </c>
      <c r="D61" s="234">
        <f>IF(B61="Vestdanmark",SUMIFS(IF(C61=År1,'Resultater - Vestdanmark'!$H$3:$H$502,IF(C61=År2,'Resultater - Vestdanmark'!$I$3:$I$502,'Resultater - Vestdanmark'!$J$3:$J$502)),'Resultater - Vestdanmark'!$F$3:$F$502,A61),SUMIFS(IF(C61=År1,'Resultater - Østdanmark'!$H$3:$H$502,IF(C61=År2,'Resultater - Østdanmark'!$I$3:$I$502,'Resultater - Østdanmark'!$J$3:$J$502)),'Resultater - Østdanmark'!$F$3:$F$502,A61))</f>
        <v>387291.92766215833</v>
      </c>
    </row>
    <row r="62" spans="1:4" x14ac:dyDescent="0.25">
      <c r="A62" t="s">
        <v>54</v>
      </c>
      <c r="B62" t="s">
        <v>24</v>
      </c>
      <c r="C62">
        <f t="shared" si="4"/>
        <v>2030</v>
      </c>
      <c r="D62" s="234">
        <f>IF(B62="Vestdanmark",SUMIFS(IF(C62=År1,'Resultater - Vestdanmark'!$H$3:$H$502,IF(C62=År2,'Resultater - Vestdanmark'!$I$3:$I$502,'Resultater - Vestdanmark'!$J$3:$J$502)),'Resultater - Vestdanmark'!$F$3:$F$502,A62),SUMIFS(IF(C62=År1,'Resultater - Østdanmark'!$H$3:$H$502,IF(C62=År2,'Resultater - Østdanmark'!$I$3:$I$502,'Resultater - Østdanmark'!$J$3:$J$502)),'Resultater - Østdanmark'!$F$3:$F$502,A62))</f>
        <v>16628.1277891153</v>
      </c>
    </row>
    <row r="63" spans="1:4" x14ac:dyDescent="0.25">
      <c r="A63" t="s">
        <v>55</v>
      </c>
      <c r="B63" t="s">
        <v>24</v>
      </c>
      <c r="C63">
        <f t="shared" si="4"/>
        <v>2030</v>
      </c>
      <c r="D63" s="234">
        <f>IF(B63="Vestdanmark",SUMIFS(IF(C63=År1,'Resultater - Vestdanmark'!$H$3:$H$502,IF(C63=År2,'Resultater - Vestdanmark'!$I$3:$I$502,'Resultater - Vestdanmark'!$J$3:$J$502)),'Resultater - Vestdanmark'!$F$3:$F$502,A63),SUMIFS(IF(C63=År1,'Resultater - Østdanmark'!$H$3:$H$502,IF(C63=År2,'Resultater - Østdanmark'!$I$3:$I$502,'Resultater - Østdanmark'!$J$3:$J$502)),'Resultater - Østdanmark'!$F$3:$F$502,A63))</f>
        <v>416697.13769709459</v>
      </c>
    </row>
    <row r="64" spans="1:4" x14ac:dyDescent="0.25">
      <c r="A64" t="s">
        <v>113</v>
      </c>
      <c r="B64" t="s">
        <v>24</v>
      </c>
      <c r="C64">
        <f t="shared" si="4"/>
        <v>2030</v>
      </c>
      <c r="D64" s="234">
        <f>IF(B64="Vestdanmark",SUMIFS(IF(C64=År1,'Resultater - Vestdanmark'!$H$3:$H$502,IF(C64=År2,'Resultater - Vestdanmark'!$I$3:$I$502,'Resultater - Vestdanmark'!$J$3:$J$502)),'Resultater - Vestdanmark'!$F$3:$F$502,A64),SUMIFS(IF(C64=År1,'Resultater - Østdanmark'!$H$3:$H$502,IF(C64=År2,'Resultater - Østdanmark'!$I$3:$I$502,'Resultater - Østdanmark'!$J$3:$J$502)),'Resultater - Østdanmark'!$F$3:$F$502,A64))</f>
        <v>651574.6178029154</v>
      </c>
    </row>
    <row r="65" spans="1:4" x14ac:dyDescent="0.25">
      <c r="A65" t="s">
        <v>56</v>
      </c>
      <c r="B65" t="s">
        <v>24</v>
      </c>
      <c r="C65">
        <f t="shared" si="4"/>
        <v>2030</v>
      </c>
      <c r="D65" s="234">
        <f>IF(B65="Vestdanmark",SUMIFS(IF(C65=År1,'Resultater - Vestdanmark'!$H$3:$H$502,IF(C65=År2,'Resultater - Vestdanmark'!$I$3:$I$502,'Resultater - Vestdanmark'!$J$3:$J$502)),'Resultater - Vestdanmark'!$F$3:$F$502,A65),SUMIFS(IF(C65=År1,'Resultater - Østdanmark'!$H$3:$H$502,IF(C65=År2,'Resultater - Østdanmark'!$I$3:$I$502,'Resultater - Østdanmark'!$J$3:$J$502)),'Resultater - Østdanmark'!$F$3:$F$502,A65))</f>
        <v>153452.1885801873</v>
      </c>
    </row>
    <row r="66" spans="1:4" x14ac:dyDescent="0.25">
      <c r="A66" t="s">
        <v>95</v>
      </c>
      <c r="B66" t="s">
        <v>24</v>
      </c>
      <c r="C66">
        <f t="shared" si="4"/>
        <v>2030</v>
      </c>
      <c r="D66" s="234">
        <f>IF(B66="Vestdanmark",SUMIFS(IF(C66=År1,'Resultater - Vestdanmark'!$H$3:$H$502,IF(C66=År2,'Resultater - Vestdanmark'!$I$3:$I$502,'Resultater - Vestdanmark'!$J$3:$J$502)),'Resultater - Vestdanmark'!$F$3:$F$502,A66),SUMIFS(IF(C66=År1,'Resultater - Østdanmark'!$H$3:$H$502,IF(C66=År2,'Resultater - Østdanmark'!$I$3:$I$502,'Resultater - Østdanmark'!$J$3:$J$502)),'Resultater - Østdanmark'!$F$3:$F$502,A66))</f>
        <v>40614.954242467749</v>
      </c>
    </row>
    <row r="67" spans="1:4" x14ac:dyDescent="0.25">
      <c r="A67" t="s">
        <v>48</v>
      </c>
      <c r="B67" t="s">
        <v>24</v>
      </c>
      <c r="C67">
        <f t="shared" ref="C67:C79" si="5">År3</f>
        <v>2050</v>
      </c>
      <c r="D67" s="234">
        <f>IF(B67="Vestdanmark",SUMIFS(IF(C67=År1,'Resultater - Vestdanmark'!$H$3:$H$502,IF(C67=År2,'Resultater - Vestdanmark'!$I$3:$I$502,'Resultater - Vestdanmark'!$J$3:$J$502)),'Resultater - Vestdanmark'!$F$3:$F$502,A67),SUMIFS(IF(C67=År1,'Resultater - Østdanmark'!$H$3:$H$502,IF(C67=År2,'Resultater - Østdanmark'!$I$3:$I$502,'Resultater - Østdanmark'!$J$3:$J$502)),'Resultater - Østdanmark'!$F$3:$F$502,A67))</f>
        <v>2513308.7441212214</v>
      </c>
    </row>
    <row r="68" spans="1:4" x14ac:dyDescent="0.25">
      <c r="A68" t="s">
        <v>49</v>
      </c>
      <c r="B68" t="s">
        <v>24</v>
      </c>
      <c r="C68">
        <f t="shared" si="5"/>
        <v>2050</v>
      </c>
      <c r="D68" s="234">
        <f>IF(B68="Vestdanmark",SUMIFS(IF(C68=År1,'Resultater - Vestdanmark'!$H$3:$H$502,IF(C68=År2,'Resultater - Vestdanmark'!$I$3:$I$502,'Resultater - Vestdanmark'!$J$3:$J$502)),'Resultater - Vestdanmark'!$F$3:$F$502,A68),SUMIFS(IF(C68=År1,'Resultater - Østdanmark'!$H$3:$H$502,IF(C68=År2,'Resultater - Østdanmark'!$I$3:$I$502,'Resultater - Østdanmark'!$J$3:$J$502)),'Resultater - Østdanmark'!$F$3:$F$502,A68))</f>
        <v>29671.151024691055</v>
      </c>
    </row>
    <row r="69" spans="1:4" x14ac:dyDescent="0.25">
      <c r="A69" t="s">
        <v>50</v>
      </c>
      <c r="B69" t="s">
        <v>24</v>
      </c>
      <c r="C69">
        <f t="shared" si="5"/>
        <v>2050</v>
      </c>
      <c r="D69" s="234">
        <f>IF(B69="Vestdanmark",SUMIFS(IF(C69=År1,'Resultater - Vestdanmark'!$H$3:$H$502,IF(C69=År2,'Resultater - Vestdanmark'!$I$3:$I$502,'Resultater - Vestdanmark'!$J$3:$J$502)),'Resultater - Vestdanmark'!$F$3:$F$502,A69),SUMIFS(IF(C69=År1,'Resultater - Østdanmark'!$H$3:$H$502,IF(C69=År2,'Resultater - Østdanmark'!$I$3:$I$502,'Resultater - Østdanmark'!$J$3:$J$502)),'Resultater - Østdanmark'!$F$3:$F$502,A69))</f>
        <v>211655.83028103792</v>
      </c>
    </row>
    <row r="70" spans="1:4" x14ac:dyDescent="0.25">
      <c r="A70" t="s">
        <v>51</v>
      </c>
      <c r="B70" t="s">
        <v>24</v>
      </c>
      <c r="C70">
        <f t="shared" si="5"/>
        <v>2050</v>
      </c>
      <c r="D70" s="234">
        <f>IF(B70="Vestdanmark",SUMIFS(IF(C70=År1,'Resultater - Vestdanmark'!$H$3:$H$502,IF(C70=År2,'Resultater - Vestdanmark'!$I$3:$I$502,'Resultater - Vestdanmark'!$J$3:$J$502)),'Resultater - Vestdanmark'!$F$3:$F$502,A70),SUMIFS(IF(C70=År1,'Resultater - Østdanmark'!$H$3:$H$502,IF(C70=År2,'Resultater - Østdanmark'!$I$3:$I$502,'Resultater - Østdanmark'!$J$3:$J$502)),'Resultater - Østdanmark'!$F$3:$F$502,A70))</f>
        <v>2383188.3585043661</v>
      </c>
    </row>
    <row r="71" spans="1:4" x14ac:dyDescent="0.25">
      <c r="A71" t="s">
        <v>6</v>
      </c>
      <c r="B71" t="s">
        <v>24</v>
      </c>
      <c r="C71">
        <f t="shared" si="5"/>
        <v>2050</v>
      </c>
      <c r="D71" s="234">
        <f>IF(B71="Vestdanmark",SUMIFS(IF(C71=År1,'Resultater - Vestdanmark'!$H$3:$H$502,IF(C71=År2,'Resultater - Vestdanmark'!$I$3:$I$502,'Resultater - Vestdanmark'!$J$3:$J$502)),'Resultater - Vestdanmark'!$F$3:$F$502,A71),SUMIFS(IF(C71=År1,'Resultater - Østdanmark'!$H$3:$H$502,IF(C71=År2,'Resultater - Østdanmark'!$I$3:$I$502,'Resultater - Østdanmark'!$J$3:$J$502)),'Resultater - Østdanmark'!$F$3:$F$502,A71))</f>
        <v>103505.43836904144</v>
      </c>
    </row>
    <row r="72" spans="1:4" x14ac:dyDescent="0.25">
      <c r="A72" t="s">
        <v>12</v>
      </c>
      <c r="B72" t="s">
        <v>24</v>
      </c>
      <c r="C72">
        <f t="shared" si="5"/>
        <v>2050</v>
      </c>
      <c r="D72" s="234">
        <f>IF(B72="Vestdanmark",SUMIFS(IF(C72=År1,'Resultater - Vestdanmark'!$H$3:$H$502,IF(C72=År2,'Resultater - Vestdanmark'!$I$3:$I$502,'Resultater - Vestdanmark'!$J$3:$J$502)),'Resultater - Vestdanmark'!$F$3:$F$502,A72),SUMIFS(IF(C72=År1,'Resultater - Østdanmark'!$H$3:$H$502,IF(C72=År2,'Resultater - Østdanmark'!$I$3:$I$502,'Resultater - Østdanmark'!$J$3:$J$502)),'Resultater - Østdanmark'!$F$3:$F$502,A72))</f>
        <v>128113.19770884549</v>
      </c>
    </row>
    <row r="73" spans="1:4" x14ac:dyDescent="0.25">
      <c r="A73" t="s">
        <v>52</v>
      </c>
      <c r="B73" t="s">
        <v>24</v>
      </c>
      <c r="C73">
        <f t="shared" si="5"/>
        <v>2050</v>
      </c>
      <c r="D73" s="234">
        <f>IF(B73="Vestdanmark",SUMIFS(IF(C73=År1,'Resultater - Vestdanmark'!$H$3:$H$502,IF(C73=År2,'Resultater - Vestdanmark'!$I$3:$I$502,'Resultater - Vestdanmark'!$J$3:$J$502)),'Resultater - Vestdanmark'!$F$3:$F$502,A73),SUMIFS(IF(C73=År1,'Resultater - Østdanmark'!$H$3:$H$502,IF(C73=År2,'Resultater - Østdanmark'!$I$3:$I$502,'Resultater - Østdanmark'!$J$3:$J$502)),'Resultater - Østdanmark'!$F$3:$F$502,A73))</f>
        <v>2460019.4054890401</v>
      </c>
    </row>
    <row r="74" spans="1:4" x14ac:dyDescent="0.25">
      <c r="A74" t="s">
        <v>53</v>
      </c>
      <c r="B74" t="s">
        <v>24</v>
      </c>
      <c r="C74">
        <f t="shared" si="5"/>
        <v>2050</v>
      </c>
      <c r="D74" s="234">
        <f>IF(B74="Vestdanmark",SUMIFS(IF(C74=År1,'Resultater - Vestdanmark'!$H$3:$H$502,IF(C74=År2,'Resultater - Vestdanmark'!$I$3:$I$502,'Resultater - Vestdanmark'!$J$3:$J$502)),'Resultater - Vestdanmark'!$F$3:$F$502,A74),SUMIFS(IF(C74=År1,'Resultater - Østdanmark'!$H$3:$H$502,IF(C74=År2,'Resultater - Østdanmark'!$I$3:$I$502,'Resultater - Østdanmark'!$J$3:$J$502)),'Resultater - Østdanmark'!$F$3:$F$502,A74))</f>
        <v>408888.66992592916</v>
      </c>
    </row>
    <row r="75" spans="1:4" x14ac:dyDescent="0.25">
      <c r="A75" t="s">
        <v>54</v>
      </c>
      <c r="B75" t="s">
        <v>24</v>
      </c>
      <c r="C75">
        <f t="shared" si="5"/>
        <v>2050</v>
      </c>
      <c r="D75" s="234">
        <f>IF(B75="Vestdanmark",SUMIFS(IF(C75=År1,'Resultater - Vestdanmark'!$H$3:$H$502,IF(C75=År2,'Resultater - Vestdanmark'!$I$3:$I$502,'Resultater - Vestdanmark'!$J$3:$J$502)),'Resultater - Vestdanmark'!$F$3:$F$502,A75),SUMIFS(IF(C75=År1,'Resultater - Østdanmark'!$H$3:$H$502,IF(C75=År2,'Resultater - Østdanmark'!$I$3:$I$502,'Resultater - Østdanmark'!$J$3:$J$502)),'Resultater - Østdanmark'!$F$3:$F$502,A75))</f>
        <v>17356.133122278541</v>
      </c>
    </row>
    <row r="76" spans="1:4" x14ac:dyDescent="0.25">
      <c r="A76" t="s">
        <v>55</v>
      </c>
      <c r="B76" t="s">
        <v>24</v>
      </c>
      <c r="C76">
        <f t="shared" si="5"/>
        <v>2050</v>
      </c>
      <c r="D76" s="234">
        <f>IF(B76="Vestdanmark",SUMIFS(IF(C76=År1,'Resultater - Vestdanmark'!$H$3:$H$502,IF(C76=År2,'Resultater - Vestdanmark'!$I$3:$I$502,'Resultater - Vestdanmark'!$J$3:$J$502)),'Resultater - Vestdanmark'!$F$3:$F$502,A76),SUMIFS(IF(C76=År1,'Resultater - Østdanmark'!$H$3:$H$502,IF(C76=År2,'Resultater - Østdanmark'!$I$3:$I$502,'Resultater - Østdanmark'!$J$3:$J$502)),'Resultater - Østdanmark'!$F$3:$F$502,A76))</f>
        <v>434940.78739744844</v>
      </c>
    </row>
    <row r="77" spans="1:4" x14ac:dyDescent="0.25">
      <c r="A77" t="s">
        <v>113</v>
      </c>
      <c r="B77" t="s">
        <v>24</v>
      </c>
      <c r="C77">
        <f t="shared" si="5"/>
        <v>2050</v>
      </c>
      <c r="D77" s="234">
        <f>IF(B77="Vestdanmark",SUMIFS(IF(C77=År1,'Resultater - Vestdanmark'!$H$3:$H$502,IF(C77=År2,'Resultater - Vestdanmark'!$I$3:$I$502,'Resultater - Vestdanmark'!$J$3:$J$502)),'Resultater - Vestdanmark'!$F$3:$F$502,A77),SUMIFS(IF(C77=År1,'Resultater - Østdanmark'!$H$3:$H$502,IF(C77=År2,'Resultater - Østdanmark'!$I$3:$I$502,'Resultater - Østdanmark'!$J$3:$J$502)),'Resultater - Østdanmark'!$F$3:$F$502,A77))</f>
        <v>680414.34761758172</v>
      </c>
    </row>
    <row r="78" spans="1:4" x14ac:dyDescent="0.25">
      <c r="A78" t="s">
        <v>56</v>
      </c>
      <c r="B78" t="s">
        <v>24</v>
      </c>
      <c r="C78">
        <f t="shared" si="5"/>
        <v>2050</v>
      </c>
      <c r="D78" s="234">
        <f>IF(B78="Vestdanmark",SUMIFS(IF(C78=År1,'Resultater - Vestdanmark'!$H$3:$H$502,IF(C78=År2,'Resultater - Vestdanmark'!$I$3:$I$502,'Resultater - Vestdanmark'!$J$3:$J$502)),'Resultater - Vestdanmark'!$F$3:$F$502,A78),SUMIFS(IF(C78=År1,'Resultater - Østdanmark'!$H$3:$H$502,IF(C78=År2,'Resultater - Østdanmark'!$I$3:$I$502,'Resultater - Østdanmark'!$J$3:$J$502)),'Resultater - Østdanmark'!$F$3:$F$502,A78))</f>
        <v>160170.5644002886</v>
      </c>
    </row>
    <row r="79" spans="1:4" x14ac:dyDescent="0.25">
      <c r="A79" t="s">
        <v>95</v>
      </c>
      <c r="B79" t="s">
        <v>24</v>
      </c>
      <c r="C79">
        <f t="shared" si="5"/>
        <v>2050</v>
      </c>
      <c r="D79" s="234">
        <f>IF(B79="Vestdanmark",SUMIFS(IF(C79=År1,'Resultater - Vestdanmark'!$H$3:$H$502,IF(C79=År2,'Resultater - Vestdanmark'!$I$3:$I$502,'Resultater - Vestdanmark'!$J$3:$J$502)),'Resultater - Vestdanmark'!$F$3:$F$502,A79),SUMIFS(IF(C79=År1,'Resultater - Østdanmark'!$H$3:$H$502,IF(C79=År2,'Resultater - Østdanmark'!$I$3:$I$502,'Resultater - Østdanmark'!$J$3:$J$502)),'Resultater - Østdanmark'!$F$3:$F$502,A79))</f>
        <v>42440.412782955995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1D7A10-C9C8-40BE-B8F8-E1EE30011E19}">
  <sheetPr codeName="Sheet31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13.85546875" bestFit="1" customWidth="1"/>
    <col min="4" max="4" width="12.285156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119</v>
      </c>
      <c r="C5" s="168" t="s">
        <v>118</v>
      </c>
      <c r="D5" s="168" t="s">
        <v>61</v>
      </c>
    </row>
    <row r="6" spans="1:4" x14ac:dyDescent="0.25">
      <c r="A6" s="78">
        <v>2019</v>
      </c>
      <c r="B6" s="236">
        <v>3010238.4923246857</v>
      </c>
      <c r="C6" s="236">
        <v>827693.20492220437</v>
      </c>
      <c r="D6" s="236">
        <v>3837931.69724689</v>
      </c>
    </row>
    <row r="7" spans="1:4" x14ac:dyDescent="0.25">
      <c r="A7" s="78">
        <v>2030</v>
      </c>
      <c r="B7" s="236">
        <v>2848752.9835421797</v>
      </c>
      <c r="C7" s="236">
        <v>783291.25515859458</v>
      </c>
      <c r="D7" s="236">
        <v>3632044.2387007745</v>
      </c>
    </row>
    <row r="8" spans="1:4" x14ac:dyDescent="0.25">
      <c r="A8" s="78">
        <v>2050</v>
      </c>
      <c r="B8" s="236">
        <v>2586353.261057131</v>
      </c>
      <c r="C8" s="236">
        <v>712875.04265379638</v>
      </c>
      <c r="D8" s="236">
        <v>3299228.3037109273</v>
      </c>
    </row>
    <row r="9" spans="1:4" x14ac:dyDescent="0.25">
      <c r="A9" s="78" t="s">
        <v>61</v>
      </c>
      <c r="B9" s="236">
        <v>8445344.7369239964</v>
      </c>
      <c r="C9" s="236">
        <v>2323859.5027345954</v>
      </c>
      <c r="D9" s="236">
        <v>10769204.23965859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7D874-D1D9-4C52-A9F3-A343F6D5EF88}">
  <sheetPr codeName="Sheet32">
    <tabColor theme="2" tint="-9.9978637043366805E-2"/>
  </sheetPr>
  <dimension ref="A4:D9"/>
  <sheetViews>
    <sheetView zoomScale="80" zoomScaleNormal="80" workbookViewId="0">
      <selection activeCell="B5" sqref="B5:AG23"/>
    </sheetView>
  </sheetViews>
  <sheetFormatPr defaultRowHeight="15" x14ac:dyDescent="0.25"/>
  <cols>
    <col min="1" max="1" width="22.7109375" bestFit="1" customWidth="1"/>
    <col min="2" max="2" width="16.7109375" bestFit="1" customWidth="1"/>
    <col min="3" max="3" width="9.5703125" bestFit="1" customWidth="1"/>
    <col min="4" max="4" width="11.5703125" bestFit="1" customWidth="1"/>
    <col min="5" max="5" width="13.7109375" bestFit="1" customWidth="1"/>
    <col min="6" max="6" width="8.5703125" bestFit="1" customWidth="1"/>
    <col min="7" max="7" width="13.7109375" bestFit="1" customWidth="1"/>
    <col min="8" max="8" width="8.5703125" bestFit="1" customWidth="1"/>
    <col min="9" max="10" width="13.7109375" bestFit="1" customWidth="1"/>
    <col min="11" max="11" width="58" bestFit="1" customWidth="1"/>
    <col min="12" max="12" width="18.28515625" bestFit="1" customWidth="1"/>
    <col min="13" max="13" width="58" bestFit="1" customWidth="1"/>
    <col min="14" max="14" width="18.28515625" bestFit="1" customWidth="1"/>
    <col min="15" max="15" width="58" bestFit="1" customWidth="1"/>
    <col min="16" max="16" width="8.140625" bestFit="1" customWidth="1"/>
    <col min="17" max="17" width="12.140625" bestFit="1" customWidth="1"/>
    <col min="18" max="18" width="11.7109375" bestFit="1" customWidth="1"/>
    <col min="19" max="19" width="14.28515625" bestFit="1" customWidth="1"/>
    <col min="20" max="20" width="8.85546875" bestFit="1" customWidth="1"/>
    <col min="21" max="21" width="9" bestFit="1" customWidth="1"/>
    <col min="22" max="28" width="11.7109375" bestFit="1" customWidth="1"/>
    <col min="29" max="29" width="18.85546875" bestFit="1" customWidth="1"/>
    <col min="30" max="30" width="18.42578125" bestFit="1" customWidth="1"/>
    <col min="31" max="31" width="11.7109375" bestFit="1" customWidth="1"/>
    <col min="32" max="32" width="9.5703125" bestFit="1" customWidth="1"/>
    <col min="33" max="33" width="11.7109375" bestFit="1" customWidth="1"/>
    <col min="34" max="34" width="5.7109375" bestFit="1" customWidth="1"/>
    <col min="35" max="35" width="11.42578125" bestFit="1" customWidth="1"/>
    <col min="36" max="36" width="12.28515625" bestFit="1" customWidth="1"/>
    <col min="37" max="37" width="8.85546875" bestFit="1" customWidth="1"/>
    <col min="38" max="38" width="9" bestFit="1" customWidth="1"/>
    <col min="39" max="40" width="11.7109375" bestFit="1" customWidth="1"/>
    <col min="41" max="42" width="9.140625" bestFit="1" customWidth="1"/>
    <col min="43" max="43" width="10" bestFit="1" customWidth="1"/>
    <col min="44" max="44" width="11.28515625" bestFit="1" customWidth="1"/>
    <col min="45" max="45" width="12.28515625" bestFit="1" customWidth="1"/>
    <col min="46" max="46" width="15.85546875" bestFit="1" customWidth="1"/>
    <col min="47" max="49" width="12.28515625" bestFit="1" customWidth="1"/>
    <col min="50" max="50" width="13.28515625" bestFit="1" customWidth="1"/>
    <col min="51" max="51" width="13.42578125" bestFit="1" customWidth="1"/>
    <col min="52" max="52" width="20.85546875" bestFit="1" customWidth="1"/>
    <col min="53" max="54" width="12.28515625" bestFit="1" customWidth="1"/>
    <col min="55" max="55" width="13.28515625" bestFit="1" customWidth="1"/>
    <col min="56" max="59" width="12.28515625" bestFit="1" customWidth="1"/>
    <col min="60" max="60" width="13.28515625" bestFit="1" customWidth="1"/>
    <col min="61" max="61" width="13.42578125" bestFit="1" customWidth="1"/>
    <col min="62" max="62" width="20.85546875" bestFit="1" customWidth="1"/>
    <col min="63" max="64" width="12.28515625" bestFit="1" customWidth="1"/>
    <col min="65" max="65" width="13.28515625" bestFit="1" customWidth="1"/>
    <col min="66" max="66" width="13.42578125" bestFit="1" customWidth="1"/>
    <col min="67" max="67" width="20.85546875" bestFit="1" customWidth="1"/>
    <col min="68" max="69" width="11.28515625" bestFit="1" customWidth="1"/>
    <col min="70" max="70" width="13.28515625" bestFit="1" customWidth="1"/>
    <col min="71" max="71" width="13.42578125" bestFit="1" customWidth="1"/>
    <col min="72" max="72" width="12.28515625" bestFit="1" customWidth="1"/>
    <col min="73" max="73" width="16.85546875" bestFit="1" customWidth="1"/>
    <col min="74" max="74" width="12.28515625" bestFit="1" customWidth="1"/>
    <col min="75" max="75" width="13.28515625" bestFit="1" customWidth="1"/>
    <col min="76" max="76" width="13.42578125" bestFit="1" customWidth="1"/>
    <col min="77" max="77" width="12.28515625" bestFit="1" customWidth="1"/>
    <col min="78" max="78" width="16.85546875" bestFit="1" customWidth="1"/>
    <col min="79" max="79" width="12.28515625" bestFit="1" customWidth="1"/>
    <col min="80" max="80" width="13.28515625" bestFit="1" customWidth="1"/>
    <col min="81" max="81" width="13.42578125" bestFit="1" customWidth="1"/>
    <col min="82" max="82" width="12.28515625" bestFit="1" customWidth="1"/>
    <col min="83" max="83" width="15.85546875" bestFit="1" customWidth="1"/>
    <col min="84" max="84" width="12.28515625" bestFit="1" customWidth="1"/>
    <col min="85" max="85" width="13.28515625" bestFit="1" customWidth="1"/>
    <col min="86" max="89" width="11.7109375" bestFit="1" customWidth="1"/>
    <col min="90" max="90" width="14.28515625" bestFit="1" customWidth="1"/>
    <col min="91" max="91" width="13.42578125" bestFit="1" customWidth="1"/>
    <col min="92" max="92" width="20.85546875" bestFit="1" customWidth="1"/>
    <col min="93" max="94" width="11.7109375" bestFit="1" customWidth="1"/>
    <col min="95" max="95" width="14.28515625" bestFit="1" customWidth="1"/>
    <col min="96" max="96" width="13.42578125" bestFit="1" customWidth="1"/>
    <col min="97" max="97" width="20.85546875" bestFit="1" customWidth="1"/>
    <col min="98" max="99" width="12.28515625" bestFit="1" customWidth="1"/>
    <col min="100" max="100" width="14.28515625" bestFit="1" customWidth="1"/>
    <col min="101" max="101" width="12.28515625" bestFit="1" customWidth="1"/>
    <col min="102" max="103" width="13.28515625" bestFit="1" customWidth="1"/>
    <col min="104" max="104" width="13.42578125" bestFit="1" customWidth="1"/>
    <col min="105" max="105" width="20.85546875" bestFit="1" customWidth="1"/>
    <col min="106" max="107" width="12.28515625" bestFit="1" customWidth="1"/>
    <col min="108" max="109" width="13.28515625" bestFit="1" customWidth="1"/>
    <col min="110" max="113" width="11.7109375" bestFit="1" customWidth="1"/>
    <col min="114" max="115" width="13.28515625" bestFit="1" customWidth="1"/>
    <col min="116" max="116" width="13.42578125" bestFit="1" customWidth="1"/>
    <col min="117" max="117" width="20.85546875" bestFit="1" customWidth="1"/>
    <col min="118" max="120" width="11.7109375" bestFit="1" customWidth="1"/>
    <col min="121" max="121" width="13.28515625" bestFit="1" customWidth="1"/>
    <col min="122" max="122" width="13.42578125" bestFit="1" customWidth="1"/>
    <col min="123" max="123" width="12.28515625" bestFit="1" customWidth="1"/>
    <col min="124" max="124" width="15.85546875" bestFit="1" customWidth="1"/>
    <col min="125" max="125" width="12.28515625" bestFit="1" customWidth="1"/>
    <col min="126" max="127" width="13.28515625" bestFit="1" customWidth="1"/>
    <col min="128" max="128" width="13.42578125" bestFit="1" customWidth="1"/>
    <col min="129" max="129" width="20.85546875" bestFit="1" customWidth="1"/>
    <col min="130" max="131" width="11.28515625" bestFit="1" customWidth="1"/>
    <col min="132" max="133" width="13.28515625" bestFit="1" customWidth="1"/>
    <col min="134" max="134" width="13.42578125" bestFit="1" customWidth="1"/>
    <col min="135" max="135" width="20.85546875" bestFit="1" customWidth="1"/>
    <col min="136" max="137" width="12.28515625" bestFit="1" customWidth="1"/>
    <col min="138" max="139" width="13.28515625" bestFit="1" customWidth="1"/>
    <col min="140" max="143" width="12.28515625" bestFit="1" customWidth="1"/>
    <col min="144" max="145" width="13.28515625" bestFit="1" customWidth="1"/>
    <col min="146" max="146" width="13.42578125" bestFit="1" customWidth="1"/>
    <col min="147" max="147" width="12.28515625" bestFit="1" customWidth="1"/>
    <col min="148" max="148" width="16.85546875" bestFit="1" customWidth="1"/>
    <col min="149" max="149" width="12.28515625" bestFit="1" customWidth="1"/>
    <col min="150" max="151" width="13.28515625" bestFit="1" customWidth="1"/>
    <col min="152" max="152" width="13.42578125" bestFit="1" customWidth="1"/>
    <col min="153" max="153" width="12.28515625" bestFit="1" customWidth="1"/>
    <col min="154" max="154" width="16.85546875" bestFit="1" customWidth="1"/>
    <col min="155" max="155" width="12.28515625" bestFit="1" customWidth="1"/>
    <col min="156" max="157" width="13.28515625" bestFit="1" customWidth="1"/>
    <col min="158" max="158" width="13.42578125" bestFit="1" customWidth="1"/>
    <col min="159" max="159" width="20.85546875" bestFit="1" customWidth="1"/>
    <col min="160" max="161" width="12.28515625" bestFit="1" customWidth="1"/>
    <col min="162" max="163" width="14.28515625" bestFit="1" customWidth="1"/>
    <col min="164" max="164" width="13.42578125" bestFit="1" customWidth="1"/>
    <col min="165" max="165" width="20.85546875" bestFit="1" customWidth="1"/>
    <col min="166" max="167" width="11.7109375" bestFit="1" customWidth="1"/>
    <col min="168" max="169" width="14.28515625" bestFit="1" customWidth="1"/>
    <col min="170" max="173" width="11.7109375" bestFit="1" customWidth="1"/>
    <col min="174" max="175" width="14.28515625" bestFit="1" customWidth="1"/>
    <col min="176" max="176" width="12.28515625" bestFit="1" customWidth="1"/>
  </cols>
  <sheetData>
    <row r="4" spans="1:4" x14ac:dyDescent="0.25">
      <c r="A4" s="77" t="s">
        <v>192</v>
      </c>
      <c r="B4" s="77" t="s">
        <v>62</v>
      </c>
    </row>
    <row r="5" spans="1:4" x14ac:dyDescent="0.25">
      <c r="A5" s="77" t="s">
        <v>60</v>
      </c>
      <c r="B5" s="168" t="s">
        <v>106</v>
      </c>
      <c r="C5" s="168" t="s">
        <v>99</v>
      </c>
      <c r="D5" s="168" t="s">
        <v>61</v>
      </c>
    </row>
    <row r="6" spans="1:4" x14ac:dyDescent="0.25">
      <c r="A6" s="78">
        <v>2019</v>
      </c>
      <c r="B6" s="236">
        <v>880.09999999999991</v>
      </c>
      <c r="C6" s="236">
        <v>76.5</v>
      </c>
      <c r="D6" s="236">
        <v>956.59999999999991</v>
      </c>
    </row>
    <row r="7" spans="1:4" x14ac:dyDescent="0.25">
      <c r="A7" s="78">
        <v>2030</v>
      </c>
      <c r="B7" s="236">
        <v>279460.19505556813</v>
      </c>
      <c r="C7" s="236">
        <v>120600</v>
      </c>
      <c r="D7" s="236">
        <v>400060.19505556813</v>
      </c>
    </row>
    <row r="8" spans="1:4" x14ac:dyDescent="0.25">
      <c r="A8" s="78">
        <v>2050</v>
      </c>
      <c r="B8" s="236">
        <v>279460.19505556813</v>
      </c>
      <c r="C8" s="236">
        <v>120600</v>
      </c>
      <c r="D8" s="236">
        <v>400060.19505556813</v>
      </c>
    </row>
    <row r="9" spans="1:4" x14ac:dyDescent="0.25">
      <c r="A9" s="78" t="s">
        <v>61</v>
      </c>
      <c r="B9" s="236">
        <v>559800.49011113623</v>
      </c>
      <c r="C9" s="236">
        <v>241276.5</v>
      </c>
      <c r="D9" s="236">
        <v>801076.99011113623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8EA982-7D61-4A3E-B567-04384EC7CE44}">
  <sheetPr codeName="Sheet4">
    <tabColor theme="2" tint="-9.9978637043366805E-2"/>
  </sheetPr>
  <dimension ref="A1:G8"/>
  <sheetViews>
    <sheetView workbookViewId="0">
      <selection activeCell="D58" sqref="D58"/>
    </sheetView>
  </sheetViews>
  <sheetFormatPr defaultRowHeight="15" x14ac:dyDescent="0.25"/>
  <cols>
    <col min="1" max="1" width="13.140625" bestFit="1" customWidth="1"/>
    <col min="2" max="2" width="16.28515625" bestFit="1" customWidth="1"/>
    <col min="3" max="3" width="25.140625" bestFit="1" customWidth="1"/>
    <col min="4" max="4" width="17.85546875" bestFit="1" customWidth="1"/>
    <col min="5" max="6" width="10.5703125" bestFit="1" customWidth="1"/>
    <col min="7" max="7" width="11.5703125" bestFit="1" customWidth="1"/>
  </cols>
  <sheetData>
    <row r="1" spans="1:7" x14ac:dyDescent="0.25">
      <c r="A1" s="77" t="s">
        <v>64</v>
      </c>
      <c r="B1" s="168" t="s">
        <v>80</v>
      </c>
    </row>
    <row r="3" spans="1:7" x14ac:dyDescent="0.25">
      <c r="A3" s="77" t="s">
        <v>79</v>
      </c>
      <c r="B3" s="77" t="s">
        <v>62</v>
      </c>
    </row>
    <row r="4" spans="1:7" x14ac:dyDescent="0.25">
      <c r="A4" s="77" t="s">
        <v>60</v>
      </c>
      <c r="B4" s="168" t="s">
        <v>11</v>
      </c>
      <c r="C4" s="168" t="s">
        <v>32</v>
      </c>
      <c r="D4" s="168" t="s">
        <v>9</v>
      </c>
      <c r="E4" s="168" t="s">
        <v>33</v>
      </c>
      <c r="F4" s="168" t="s">
        <v>10</v>
      </c>
      <c r="G4" s="168" t="s">
        <v>61</v>
      </c>
    </row>
    <row r="5" spans="1:7" x14ac:dyDescent="0.25">
      <c r="A5" s="78">
        <v>2019</v>
      </c>
      <c r="B5" s="236">
        <v>65860</v>
      </c>
      <c r="C5" s="236">
        <v>591230</v>
      </c>
      <c r="D5" s="236">
        <v>2578370</v>
      </c>
      <c r="E5" s="236">
        <v>472920</v>
      </c>
      <c r="F5" s="236">
        <v>561900</v>
      </c>
      <c r="G5" s="236">
        <v>4270280</v>
      </c>
    </row>
    <row r="6" spans="1:7" x14ac:dyDescent="0.25">
      <c r="A6" s="78">
        <v>2030</v>
      </c>
      <c r="B6" s="236">
        <v>65860</v>
      </c>
      <c r="C6" s="236">
        <v>591230</v>
      </c>
      <c r="D6" s="236">
        <v>2542469.9999999995</v>
      </c>
      <c r="E6" s="236">
        <v>487920</v>
      </c>
      <c r="F6" s="236">
        <v>582800</v>
      </c>
      <c r="G6" s="236">
        <v>4270280</v>
      </c>
    </row>
    <row r="7" spans="1:7" x14ac:dyDescent="0.25">
      <c r="A7" s="78">
        <v>2050</v>
      </c>
      <c r="B7" s="236">
        <v>65860</v>
      </c>
      <c r="C7" s="236">
        <v>591230</v>
      </c>
      <c r="D7" s="236">
        <v>2504470</v>
      </c>
      <c r="E7" s="236">
        <v>487920</v>
      </c>
      <c r="F7" s="236">
        <v>620800</v>
      </c>
      <c r="G7" s="236">
        <v>4270280</v>
      </c>
    </row>
    <row r="8" spans="1:7" x14ac:dyDescent="0.25">
      <c r="A8" s="78" t="s">
        <v>61</v>
      </c>
      <c r="B8" s="236">
        <v>197580</v>
      </c>
      <c r="C8" s="236">
        <v>1773690</v>
      </c>
      <c r="D8" s="236">
        <v>7625310</v>
      </c>
      <c r="E8" s="236">
        <v>1448760</v>
      </c>
      <c r="F8" s="236">
        <v>1765500</v>
      </c>
      <c r="G8" s="236">
        <v>12810840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1CE2A-38FB-4F96-BEEF-794C6FC3586D}">
  <sheetPr codeName="Sheet12">
    <tabColor theme="2" tint="-9.9978637043366805E-2"/>
  </sheetPr>
  <dimension ref="A1:P9"/>
  <sheetViews>
    <sheetView workbookViewId="0">
      <selection activeCell="B5" sqref="B5:AG23"/>
    </sheetView>
  </sheetViews>
  <sheetFormatPr defaultRowHeight="15" x14ac:dyDescent="0.25"/>
  <cols>
    <col min="1" max="1" width="23" bestFit="1" customWidth="1"/>
    <col min="2" max="2" width="16.28515625" bestFit="1" customWidth="1"/>
    <col min="3" max="3" width="8" bestFit="1" customWidth="1"/>
    <col min="4" max="4" width="9" bestFit="1" customWidth="1"/>
    <col min="5" max="5" width="10.85546875" bestFit="1" customWidth="1"/>
    <col min="6" max="6" width="9.5703125" bestFit="1" customWidth="1"/>
    <col min="7" max="7" width="9" bestFit="1" customWidth="1"/>
    <col min="8" max="8" width="10.5703125" bestFit="1" customWidth="1"/>
    <col min="9" max="12" width="9" bestFit="1" customWidth="1"/>
    <col min="13" max="13" width="15.7109375" bestFit="1" customWidth="1"/>
    <col min="14" max="14" width="12" bestFit="1" customWidth="1"/>
    <col min="15" max="15" width="9" bestFit="1" customWidth="1"/>
    <col min="16" max="16" width="11.28515625" bestFit="1" customWidth="1"/>
    <col min="17" max="21" width="11.7109375" bestFit="1" customWidth="1"/>
    <col min="22" max="22" width="7.85546875" bestFit="1" customWidth="1"/>
    <col min="23" max="27" width="11.7109375" bestFit="1" customWidth="1"/>
    <col min="28" max="28" width="14.140625" bestFit="1" customWidth="1"/>
    <col min="29" max="29" width="9.5703125" bestFit="1" customWidth="1"/>
    <col min="30" max="35" width="11.7109375" bestFit="1" customWidth="1"/>
    <col min="36" max="36" width="7.85546875" bestFit="1" customWidth="1"/>
    <col min="37" max="41" width="11.7109375" bestFit="1" customWidth="1"/>
    <col min="42" max="42" width="14.140625" bestFit="1" customWidth="1"/>
    <col min="43" max="43" width="8.5703125" bestFit="1" customWidth="1"/>
    <col min="44" max="44" width="10.140625" bestFit="1" customWidth="1"/>
    <col min="45" max="49" width="11.7109375" bestFit="1" customWidth="1"/>
    <col min="50" max="50" width="16" bestFit="1" customWidth="1"/>
    <col min="51" max="52" width="11.7109375" bestFit="1" customWidth="1"/>
    <col min="53" max="53" width="18.7109375" bestFit="1" customWidth="1"/>
    <col min="54" max="54" width="10.140625" bestFit="1" customWidth="1"/>
    <col min="55" max="55" width="16.42578125" bestFit="1" customWidth="1"/>
    <col min="56" max="56" width="14.85546875" bestFit="1" customWidth="1"/>
    <col min="57" max="57" width="15.42578125" bestFit="1" customWidth="1"/>
    <col min="58" max="58" width="16.42578125" bestFit="1" customWidth="1"/>
    <col min="59" max="59" width="14.85546875" bestFit="1" customWidth="1"/>
    <col min="60" max="60" width="15.42578125" bestFit="1" customWidth="1"/>
    <col min="61" max="61" width="16.42578125" bestFit="1" customWidth="1"/>
    <col min="62" max="62" width="14.85546875" bestFit="1" customWidth="1"/>
    <col min="63" max="63" width="15.42578125" bestFit="1" customWidth="1"/>
    <col min="64" max="64" width="16.42578125" bestFit="1" customWidth="1"/>
    <col min="65" max="65" width="14.85546875" bestFit="1" customWidth="1"/>
    <col min="66" max="66" width="15.42578125" bestFit="1" customWidth="1"/>
    <col min="67" max="67" width="16.42578125" bestFit="1" customWidth="1"/>
    <col min="68" max="68" width="14.85546875" bestFit="1" customWidth="1"/>
    <col min="69" max="69" width="15.42578125" bestFit="1" customWidth="1"/>
    <col min="70" max="70" width="16.42578125" bestFit="1" customWidth="1"/>
    <col min="71" max="71" width="14.85546875" bestFit="1" customWidth="1"/>
    <col min="72" max="72" width="15.42578125" bestFit="1" customWidth="1"/>
    <col min="73" max="73" width="16.42578125" bestFit="1" customWidth="1"/>
    <col min="74" max="74" width="14.85546875" bestFit="1" customWidth="1"/>
    <col min="75" max="75" width="15.42578125" bestFit="1" customWidth="1"/>
    <col min="76" max="76" width="16.42578125" bestFit="1" customWidth="1"/>
    <col min="77" max="77" width="14.85546875" bestFit="1" customWidth="1"/>
    <col min="78" max="78" width="15.42578125" bestFit="1" customWidth="1"/>
    <col min="79" max="79" width="16.42578125" bestFit="1" customWidth="1"/>
    <col min="80" max="80" width="14.85546875" bestFit="1" customWidth="1"/>
    <col min="81" max="81" width="15.42578125" bestFit="1" customWidth="1"/>
    <col min="82" max="82" width="16.42578125" bestFit="1" customWidth="1"/>
    <col min="83" max="83" width="23.42578125" bestFit="1" customWidth="1"/>
    <col min="84" max="84" width="24" bestFit="1" customWidth="1"/>
    <col min="85" max="85" width="25" bestFit="1" customWidth="1"/>
    <col min="86" max="86" width="19.42578125" bestFit="1" customWidth="1"/>
    <col min="87" max="87" width="20" bestFit="1" customWidth="1"/>
    <col min="88" max="88" width="21.140625" bestFit="1" customWidth="1"/>
  </cols>
  <sheetData>
    <row r="1" spans="1:16" x14ac:dyDescent="0.25">
      <c r="A1" s="77" t="s">
        <v>63</v>
      </c>
      <c r="B1" s="168" t="s">
        <v>80</v>
      </c>
    </row>
    <row r="2" spans="1:16" x14ac:dyDescent="0.25">
      <c r="A2" s="77" t="s">
        <v>64</v>
      </c>
      <c r="B2" s="168" t="s">
        <v>80</v>
      </c>
    </row>
    <row r="4" spans="1:16" x14ac:dyDescent="0.25">
      <c r="A4" s="77" t="s">
        <v>87</v>
      </c>
      <c r="B4" s="77" t="s">
        <v>62</v>
      </c>
    </row>
    <row r="5" spans="1:16" x14ac:dyDescent="0.25">
      <c r="A5" s="77" t="s">
        <v>60</v>
      </c>
      <c r="B5" s="168" t="s">
        <v>49</v>
      </c>
      <c r="C5" s="168" t="s">
        <v>54</v>
      </c>
      <c r="D5" s="168" t="s">
        <v>51</v>
      </c>
      <c r="E5" s="168" t="s">
        <v>6</v>
      </c>
      <c r="F5" s="168" t="s">
        <v>56</v>
      </c>
      <c r="G5" s="168" t="s">
        <v>12</v>
      </c>
      <c r="H5" s="168" t="s">
        <v>48</v>
      </c>
      <c r="I5" s="168" t="s">
        <v>53</v>
      </c>
      <c r="J5" s="168" t="s">
        <v>55</v>
      </c>
      <c r="K5" s="168" t="s">
        <v>50</v>
      </c>
      <c r="L5" s="168" t="s">
        <v>52</v>
      </c>
      <c r="M5" s="168" t="s">
        <v>38</v>
      </c>
      <c r="N5" s="168" t="s">
        <v>95</v>
      </c>
      <c r="O5" s="168" t="s">
        <v>113</v>
      </c>
      <c r="P5" s="168" t="s">
        <v>61</v>
      </c>
    </row>
    <row r="6" spans="1:16" x14ac:dyDescent="0.25">
      <c r="A6" s="78">
        <v>2019</v>
      </c>
      <c r="B6" s="236">
        <v>76853.212866422313</v>
      </c>
      <c r="C6" s="236">
        <v>5114.7808931059071</v>
      </c>
      <c r="D6" s="236">
        <v>288931.41565564787</v>
      </c>
      <c r="E6" s="236">
        <v>12752.078568827996</v>
      </c>
      <c r="F6" s="236">
        <v>18942.69646674622</v>
      </c>
      <c r="G6" s="236">
        <v>55075.520801981496</v>
      </c>
      <c r="H6" s="236">
        <v>1337821.3326830014</v>
      </c>
      <c r="I6" s="236">
        <v>180140.67588310441</v>
      </c>
      <c r="J6" s="236">
        <v>69938.636069140397</v>
      </c>
      <c r="K6" s="236">
        <v>161431.62233269325</v>
      </c>
      <c r="L6" s="236">
        <v>33966.356863719026</v>
      </c>
      <c r="M6" s="236">
        <v>221005.01507630604</v>
      </c>
      <c r="N6" s="236">
        <v>8579.6273865744097</v>
      </c>
      <c r="O6" s="236">
        <v>107817.02845272887</v>
      </c>
      <c r="P6" s="236">
        <v>2578370</v>
      </c>
    </row>
    <row r="7" spans="1:16" x14ac:dyDescent="0.25">
      <c r="A7" s="78">
        <v>2030</v>
      </c>
      <c r="B7" s="236">
        <v>75894.211512917434</v>
      </c>
      <c r="C7" s="236">
        <v>5061.7462007604217</v>
      </c>
      <c r="D7" s="236">
        <v>282589.13188024791</v>
      </c>
      <c r="E7" s="236">
        <v>12639.370816764706</v>
      </c>
      <c r="F7" s="236">
        <v>18710.553661240276</v>
      </c>
      <c r="G7" s="236">
        <v>54298.35247077707</v>
      </c>
      <c r="H7" s="236">
        <v>1323109.1146040615</v>
      </c>
      <c r="I7" s="236">
        <v>177819.27950831145</v>
      </c>
      <c r="J7" s="236">
        <v>69104.195969111795</v>
      </c>
      <c r="K7" s="236">
        <v>159802.81644068591</v>
      </c>
      <c r="L7" s="236">
        <v>33795.467038967829</v>
      </c>
      <c r="M7" s="236">
        <v>214938.45789911941</v>
      </c>
      <c r="N7" s="236">
        <v>8385.8091715253049</v>
      </c>
      <c r="O7" s="236">
        <v>106321.49282550839</v>
      </c>
      <c r="P7" s="236">
        <v>2542469.9999999991</v>
      </c>
    </row>
    <row r="8" spans="1:16" x14ac:dyDescent="0.25">
      <c r="A8" s="78">
        <v>2050</v>
      </c>
      <c r="B8" s="236">
        <v>74611.772091610444</v>
      </c>
      <c r="C8" s="236">
        <v>4992.9413474389539</v>
      </c>
      <c r="D8" s="236">
        <v>278445.99362396839</v>
      </c>
      <c r="E8" s="236">
        <v>12457.143108539938</v>
      </c>
      <c r="F8" s="236">
        <v>18409.47067327406</v>
      </c>
      <c r="G8" s="236">
        <v>53367.370861566276</v>
      </c>
      <c r="H8" s="236">
        <v>1303035.234021947</v>
      </c>
      <c r="I8" s="236">
        <v>174714.53228951979</v>
      </c>
      <c r="J8" s="236">
        <v>68021.901921824086</v>
      </c>
      <c r="K8" s="236">
        <v>157421.73721827005</v>
      </c>
      <c r="L8" s="236">
        <v>33512.483920016224</v>
      </c>
      <c r="M8" s="236">
        <v>212209.58099609043</v>
      </c>
      <c r="N8" s="236">
        <v>8272.9113069354553</v>
      </c>
      <c r="O8" s="236">
        <v>104996.92661899899</v>
      </c>
      <c r="P8" s="236">
        <v>2504470</v>
      </c>
    </row>
    <row r="9" spans="1:16" x14ac:dyDescent="0.25">
      <c r="A9" s="78" t="s">
        <v>61</v>
      </c>
      <c r="B9" s="236">
        <v>227359.19647095018</v>
      </c>
      <c r="C9" s="236">
        <v>15169.468441305282</v>
      </c>
      <c r="D9" s="236">
        <v>849966.54115986428</v>
      </c>
      <c r="E9" s="236">
        <v>37848.592494132638</v>
      </c>
      <c r="F9" s="236">
        <v>56062.720801260555</v>
      </c>
      <c r="G9" s="236">
        <v>162741.24413432484</v>
      </c>
      <c r="H9" s="236">
        <v>3963965.6813090099</v>
      </c>
      <c r="I9" s="236">
        <v>532674.48768093565</v>
      </c>
      <c r="J9" s="236">
        <v>207064.73396007629</v>
      </c>
      <c r="K9" s="236">
        <v>478656.17599164927</v>
      </c>
      <c r="L9" s="236">
        <v>101274.30782270308</v>
      </c>
      <c r="M9" s="236">
        <v>648153.05397151585</v>
      </c>
      <c r="N9" s="236">
        <v>25238.347865035168</v>
      </c>
      <c r="O9" s="236">
        <v>319135.44789723627</v>
      </c>
      <c r="P9" s="236">
        <v>7625309.9999999991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537464-8D67-428F-8C33-E291B9036FE5}">
  <sheetPr codeName="Sheet7">
    <tabColor theme="2" tint="-9.9978637043366805E-2"/>
  </sheetPr>
  <dimension ref="A1:E91"/>
  <sheetViews>
    <sheetView workbookViewId="0">
      <selection activeCell="B5" sqref="B5:AG23"/>
    </sheetView>
  </sheetViews>
  <sheetFormatPr defaultRowHeight="15" x14ac:dyDescent="0.25"/>
  <cols>
    <col min="5" max="5" width="10.5703125" bestFit="1" customWidth="1"/>
  </cols>
  <sheetData>
    <row r="1" spans="1:5" x14ac:dyDescent="0.25">
      <c r="A1" t="s">
        <v>64</v>
      </c>
      <c r="B1" t="s">
        <v>78</v>
      </c>
      <c r="C1" t="s">
        <v>58</v>
      </c>
      <c r="D1" t="s">
        <v>63</v>
      </c>
      <c r="E1" t="s">
        <v>77</v>
      </c>
    </row>
    <row r="2" spans="1:5" x14ac:dyDescent="0.25">
      <c r="A2" t="s">
        <v>27</v>
      </c>
      <c r="B2" t="str">
        <f>Bebyg</f>
        <v>Bebyggelse &amp; infrastruktur</v>
      </c>
      <c r="C2">
        <f t="shared" ref="C2:C16" si="0">År1</f>
        <v>2019</v>
      </c>
      <c r="D2" t="str">
        <f>Jordbund1</f>
        <v>JB1-10</v>
      </c>
      <c r="E2" s="98">
        <f>Arealanvendelse!J25</f>
        <v>413346.96815611009</v>
      </c>
    </row>
    <row r="3" spans="1:5" x14ac:dyDescent="0.25">
      <c r="A3" t="s">
        <v>27</v>
      </c>
      <c r="B3" t="str">
        <f>Afgrøder</f>
        <v>Landbrugsafgrøder</v>
      </c>
      <c r="C3">
        <f t="shared" si="0"/>
        <v>2019</v>
      </c>
      <c r="D3" t="str">
        <f>Jordbund1</f>
        <v>JB1-10</v>
      </c>
      <c r="E3" s="98">
        <f>Arealanvendelse!J26</f>
        <v>1853876.1391137983</v>
      </c>
    </row>
    <row r="4" spans="1:5" x14ac:dyDescent="0.25">
      <c r="A4" t="s">
        <v>27</v>
      </c>
      <c r="B4" t="str">
        <f>SkovAreal</f>
        <v>Skov</v>
      </c>
      <c r="C4">
        <f t="shared" si="0"/>
        <v>2019</v>
      </c>
      <c r="D4" t="str">
        <f>Jordbund1</f>
        <v>JB1-10</v>
      </c>
      <c r="E4" s="98">
        <f>Arealanvendelse!J27</f>
        <v>435064.52162306459</v>
      </c>
    </row>
    <row r="5" spans="1:5" x14ac:dyDescent="0.25">
      <c r="A5" t="s">
        <v>27</v>
      </c>
      <c r="B5" t="str">
        <f>NaturAreal</f>
        <v>Natur</v>
      </c>
      <c r="C5">
        <f t="shared" si="0"/>
        <v>2019</v>
      </c>
      <c r="D5" t="str">
        <f>Jordbund1</f>
        <v>JB1-10</v>
      </c>
      <c r="E5" s="98">
        <f>Arealanvendelse!J28</f>
        <v>317835.5825103767</v>
      </c>
    </row>
    <row r="6" spans="1:5" x14ac:dyDescent="0.25">
      <c r="A6" t="s">
        <v>27</v>
      </c>
      <c r="B6" t="str">
        <f>IKareal</f>
        <v>Ikke klassificeret</v>
      </c>
      <c r="C6">
        <f t="shared" si="0"/>
        <v>2019</v>
      </c>
      <c r="D6" t="str">
        <f>Jordbund1</f>
        <v>JB1-10</v>
      </c>
      <c r="E6" s="98">
        <f>Arealanvendelse!J29</f>
        <v>47192.371697540235</v>
      </c>
    </row>
    <row r="7" spans="1:5" x14ac:dyDescent="0.25">
      <c r="A7" t="s">
        <v>27</v>
      </c>
      <c r="B7" t="str">
        <f>Bebyg</f>
        <v>Bebyggelse &amp; infrastruktur</v>
      </c>
      <c r="C7">
        <f t="shared" si="0"/>
        <v>2019</v>
      </c>
      <c r="D7" t="str">
        <f>Organ6</f>
        <v>OC6</v>
      </c>
      <c r="E7" s="98">
        <f>Arealanvendelse!K25</f>
        <v>0</v>
      </c>
    </row>
    <row r="8" spans="1:5" x14ac:dyDescent="0.25">
      <c r="A8" t="s">
        <v>27</v>
      </c>
      <c r="B8" t="str">
        <f>Afgrøder</f>
        <v>Landbrugsafgrøder</v>
      </c>
      <c r="C8">
        <f t="shared" si="0"/>
        <v>2019</v>
      </c>
      <c r="D8" t="str">
        <f>Organ6</f>
        <v>OC6</v>
      </c>
      <c r="E8" s="98">
        <f>Arealanvendelse!K26</f>
        <v>87250.625185185185</v>
      </c>
    </row>
    <row r="9" spans="1:5" x14ac:dyDescent="0.25">
      <c r="A9" t="s">
        <v>27</v>
      </c>
      <c r="B9" t="str">
        <f>SkovAreal</f>
        <v>Skov</v>
      </c>
      <c r="C9">
        <f t="shared" si="0"/>
        <v>2019</v>
      </c>
      <c r="D9" t="str">
        <f>Organ6</f>
        <v>OC6</v>
      </c>
      <c r="E9" s="98">
        <f>Arealanvendelse!K27</f>
        <v>0</v>
      </c>
    </row>
    <row r="10" spans="1:5" x14ac:dyDescent="0.25">
      <c r="A10" t="s">
        <v>27</v>
      </c>
      <c r="B10" t="str">
        <f>NaturAreal</f>
        <v>Natur</v>
      </c>
      <c r="C10">
        <f t="shared" si="0"/>
        <v>2019</v>
      </c>
      <c r="D10" t="str">
        <f>Organ6</f>
        <v>OC6</v>
      </c>
      <c r="E10" s="98">
        <f>Arealanvendelse!K28</f>
        <v>53389.374814814815</v>
      </c>
    </row>
    <row r="11" spans="1:5" x14ac:dyDescent="0.25">
      <c r="A11" t="s">
        <v>27</v>
      </c>
      <c r="B11" t="str">
        <f>IKareal</f>
        <v>Ikke klassificeret</v>
      </c>
      <c r="C11">
        <f t="shared" si="0"/>
        <v>2019</v>
      </c>
      <c r="D11" t="str">
        <f>Organ6</f>
        <v>OC6</v>
      </c>
      <c r="E11" s="98">
        <f>Arealanvendelse!K29</f>
        <v>0</v>
      </c>
    </row>
    <row r="12" spans="1:5" x14ac:dyDescent="0.25">
      <c r="A12" t="s">
        <v>27</v>
      </c>
      <c r="B12" t="str">
        <f>Bebyg</f>
        <v>Bebyggelse &amp; infrastruktur</v>
      </c>
      <c r="C12">
        <f t="shared" si="0"/>
        <v>2019</v>
      </c>
      <c r="D12" t="str">
        <f>Organ12</f>
        <v>OC12</v>
      </c>
      <c r="E12" s="98">
        <f>Arealanvendelse!L25</f>
        <v>0</v>
      </c>
    </row>
    <row r="13" spans="1:5" x14ac:dyDescent="0.25">
      <c r="A13" t="s">
        <v>27</v>
      </c>
      <c r="B13" t="str">
        <f>Afgrøder</f>
        <v>Landbrugsafgrøder</v>
      </c>
      <c r="C13">
        <f t="shared" si="0"/>
        <v>2019</v>
      </c>
      <c r="D13" t="str">
        <f>Organ12</f>
        <v>OC12</v>
      </c>
      <c r="E13" s="98">
        <f>Arealanvendelse!L26</f>
        <v>67916.965925925921</v>
      </c>
    </row>
    <row r="14" spans="1:5" x14ac:dyDescent="0.25">
      <c r="A14" t="s">
        <v>27</v>
      </c>
      <c r="B14" t="str">
        <f>SkovAreal</f>
        <v>Skov</v>
      </c>
      <c r="C14">
        <f t="shared" si="0"/>
        <v>2019</v>
      </c>
      <c r="D14" t="str">
        <f>Organ12</f>
        <v>OC12</v>
      </c>
      <c r="E14" s="98">
        <f>Arealanvendelse!L27</f>
        <v>0</v>
      </c>
    </row>
    <row r="15" spans="1:5" x14ac:dyDescent="0.25">
      <c r="A15" t="s">
        <v>27</v>
      </c>
      <c r="B15" t="str">
        <f>NaturAreal</f>
        <v>Natur</v>
      </c>
      <c r="C15">
        <f t="shared" si="0"/>
        <v>2019</v>
      </c>
      <c r="D15" t="str">
        <f>Organ12</f>
        <v>OC12</v>
      </c>
      <c r="E15" s="98">
        <f>Arealanvendelse!L28</f>
        <v>44074.145185185182</v>
      </c>
    </row>
    <row r="16" spans="1:5" x14ac:dyDescent="0.25">
      <c r="A16" t="s">
        <v>27</v>
      </c>
      <c r="B16" t="str">
        <f>IKareal</f>
        <v>Ikke klassificeret</v>
      </c>
      <c r="C16">
        <f t="shared" si="0"/>
        <v>2019</v>
      </c>
      <c r="D16" t="str">
        <f>Organ12</f>
        <v>OC12</v>
      </c>
      <c r="E16" s="98">
        <f>Arealanvendelse!L29</f>
        <v>0</v>
      </c>
    </row>
    <row r="17" spans="1:5" x14ac:dyDescent="0.25">
      <c r="A17" t="s">
        <v>27</v>
      </c>
      <c r="B17" t="str">
        <f>Bebyg</f>
        <v>Bebyggelse &amp; infrastruktur</v>
      </c>
      <c r="C17">
        <f t="shared" ref="C17:C31" si="1">År2</f>
        <v>2030</v>
      </c>
      <c r="D17" t="str">
        <f>Jordbund1</f>
        <v>JB1-10</v>
      </c>
      <c r="E17" s="98">
        <f>Arealanvendelse!M25</f>
        <v>413346.96815611009</v>
      </c>
    </row>
    <row r="18" spans="1:5" x14ac:dyDescent="0.25">
      <c r="A18" t="s">
        <v>27</v>
      </c>
      <c r="B18" t="str">
        <f>Afgrøder</f>
        <v>Landbrugsafgrøder</v>
      </c>
      <c r="C18">
        <f t="shared" si="1"/>
        <v>2030</v>
      </c>
      <c r="D18" t="str">
        <f>Jordbund1</f>
        <v>JB1-10</v>
      </c>
      <c r="E18" s="98">
        <f>Arealanvendelse!M26</f>
        <v>1835731.8428175019</v>
      </c>
    </row>
    <row r="19" spans="1:5" x14ac:dyDescent="0.25">
      <c r="A19" t="s">
        <v>27</v>
      </c>
      <c r="B19" t="str">
        <f>SkovAreal</f>
        <v>Skov</v>
      </c>
      <c r="C19">
        <f t="shared" si="1"/>
        <v>2030</v>
      </c>
      <c r="D19" t="str">
        <f>Jordbund1</f>
        <v>JB1-10</v>
      </c>
      <c r="E19" s="98">
        <f>Arealanvendelse!M27</f>
        <v>453208.81791936088</v>
      </c>
    </row>
    <row r="20" spans="1:5" x14ac:dyDescent="0.25">
      <c r="A20" t="s">
        <v>27</v>
      </c>
      <c r="B20" t="str">
        <f>NaturAreal</f>
        <v>Natur</v>
      </c>
      <c r="C20">
        <f t="shared" si="1"/>
        <v>2030</v>
      </c>
      <c r="D20" t="str">
        <f>Jordbund1</f>
        <v>JB1-10</v>
      </c>
      <c r="E20" s="98">
        <f>Arealanvendelse!M28</f>
        <v>317835.5825103767</v>
      </c>
    </row>
    <row r="21" spans="1:5" x14ac:dyDescent="0.25">
      <c r="A21" t="s">
        <v>27</v>
      </c>
      <c r="B21" t="str">
        <f>IKareal</f>
        <v>Ikke klassificeret</v>
      </c>
      <c r="C21">
        <f t="shared" si="1"/>
        <v>2030</v>
      </c>
      <c r="D21" t="str">
        <f>Jordbund1</f>
        <v>JB1-10</v>
      </c>
      <c r="E21" s="98">
        <f>Arealanvendelse!M29</f>
        <v>47192.371697540235</v>
      </c>
    </row>
    <row r="22" spans="1:5" x14ac:dyDescent="0.25">
      <c r="A22" t="s">
        <v>27</v>
      </c>
      <c r="B22" t="str">
        <f>Bebyg</f>
        <v>Bebyggelse &amp; infrastruktur</v>
      </c>
      <c r="C22">
        <f t="shared" si="1"/>
        <v>2030</v>
      </c>
      <c r="D22" t="str">
        <f>Organ6</f>
        <v>OC6</v>
      </c>
      <c r="E22" s="98">
        <f>Arealanvendelse!N25</f>
        <v>0</v>
      </c>
    </row>
    <row r="23" spans="1:5" x14ac:dyDescent="0.25">
      <c r="A23" t="s">
        <v>27</v>
      </c>
      <c r="B23" t="str">
        <f>Afgrøder</f>
        <v>Landbrugsafgrøder</v>
      </c>
      <c r="C23">
        <f t="shared" si="1"/>
        <v>2030</v>
      </c>
      <c r="D23" t="str">
        <f>Organ6</f>
        <v>OC6</v>
      </c>
      <c r="E23" s="98">
        <f>Arealanvendelse!N26</f>
        <v>80739.514074074075</v>
      </c>
    </row>
    <row r="24" spans="1:5" x14ac:dyDescent="0.25">
      <c r="A24" t="s">
        <v>27</v>
      </c>
      <c r="B24" t="str">
        <f>SkovAreal</f>
        <v>Skov</v>
      </c>
      <c r="C24">
        <f t="shared" si="1"/>
        <v>2030</v>
      </c>
      <c r="D24" t="str">
        <f>Organ6</f>
        <v>OC6</v>
      </c>
      <c r="E24" s="98">
        <f>Arealanvendelse!N27</f>
        <v>0</v>
      </c>
    </row>
    <row r="25" spans="1:5" x14ac:dyDescent="0.25">
      <c r="A25" t="s">
        <v>27</v>
      </c>
      <c r="B25" t="str">
        <f>NaturAreal</f>
        <v>Natur</v>
      </c>
      <c r="C25">
        <f t="shared" si="1"/>
        <v>2030</v>
      </c>
      <c r="D25" t="str">
        <f>Organ6</f>
        <v>OC6</v>
      </c>
      <c r="E25" s="98">
        <f>Arealanvendelse!N28</f>
        <v>59900.485925925925</v>
      </c>
    </row>
    <row r="26" spans="1:5" x14ac:dyDescent="0.25">
      <c r="A26" t="s">
        <v>27</v>
      </c>
      <c r="B26" t="str">
        <f>IKareal</f>
        <v>Ikke klassificeret</v>
      </c>
      <c r="C26">
        <f t="shared" si="1"/>
        <v>2030</v>
      </c>
      <c r="D26" t="str">
        <f>Organ6</f>
        <v>OC6</v>
      </c>
      <c r="E26" s="98">
        <f>Arealanvendelse!N29</f>
        <v>0</v>
      </c>
    </row>
    <row r="27" spans="1:5" x14ac:dyDescent="0.25">
      <c r="A27" t="s">
        <v>27</v>
      </c>
      <c r="B27" t="str">
        <f>Bebyg</f>
        <v>Bebyggelse &amp; infrastruktur</v>
      </c>
      <c r="C27">
        <f t="shared" si="1"/>
        <v>2030</v>
      </c>
      <c r="D27" t="str">
        <f>Organ12</f>
        <v>OC12</v>
      </c>
      <c r="E27" s="98">
        <f>Arealanvendelse!O25</f>
        <v>0</v>
      </c>
    </row>
    <row r="28" spans="1:5" x14ac:dyDescent="0.25">
      <c r="A28" t="s">
        <v>27</v>
      </c>
      <c r="B28" t="str">
        <f>Afgrøder</f>
        <v>Landbrugsafgrøder</v>
      </c>
      <c r="C28">
        <f t="shared" si="1"/>
        <v>2030</v>
      </c>
      <c r="D28" t="str">
        <f>Organ12</f>
        <v>OC12</v>
      </c>
      <c r="E28" s="98">
        <f>Arealanvendelse!O26</f>
        <v>61405.854814814811</v>
      </c>
    </row>
    <row r="29" spans="1:5" x14ac:dyDescent="0.25">
      <c r="A29" t="s">
        <v>27</v>
      </c>
      <c r="B29" t="str">
        <f>SkovAreal</f>
        <v>Skov</v>
      </c>
      <c r="C29">
        <f t="shared" si="1"/>
        <v>2030</v>
      </c>
      <c r="D29" t="str">
        <f>Organ12</f>
        <v>OC12</v>
      </c>
      <c r="E29" s="98">
        <f>Arealanvendelse!O27</f>
        <v>0</v>
      </c>
    </row>
    <row r="30" spans="1:5" x14ac:dyDescent="0.25">
      <c r="A30" t="s">
        <v>27</v>
      </c>
      <c r="B30" t="str">
        <f>NaturAreal</f>
        <v>Natur</v>
      </c>
      <c r="C30">
        <f t="shared" si="1"/>
        <v>2030</v>
      </c>
      <c r="D30" t="str">
        <f>Organ12</f>
        <v>OC12</v>
      </c>
      <c r="E30" s="98">
        <f>Arealanvendelse!O28</f>
        <v>50585.256296296291</v>
      </c>
    </row>
    <row r="31" spans="1:5" x14ac:dyDescent="0.25">
      <c r="A31" t="s">
        <v>27</v>
      </c>
      <c r="B31" t="str">
        <f>IKareal</f>
        <v>Ikke klassificeret</v>
      </c>
      <c r="C31">
        <f t="shared" si="1"/>
        <v>2030</v>
      </c>
      <c r="D31" t="str">
        <f>Organ12</f>
        <v>OC12</v>
      </c>
      <c r="E31" s="98">
        <f>Arealanvendelse!O29</f>
        <v>0</v>
      </c>
    </row>
    <row r="32" spans="1:5" x14ac:dyDescent="0.25">
      <c r="A32" t="s">
        <v>27</v>
      </c>
      <c r="B32" t="str">
        <f>Bebyg</f>
        <v>Bebyggelse &amp; infrastruktur</v>
      </c>
      <c r="C32">
        <v>2050</v>
      </c>
      <c r="D32" t="str">
        <f>Jordbund1</f>
        <v>JB1-10</v>
      </c>
      <c r="E32" s="98">
        <f>Arealanvendelse!P25</f>
        <v>413346.96815611009</v>
      </c>
    </row>
    <row r="33" spans="1:5" x14ac:dyDescent="0.25">
      <c r="A33" t="s">
        <v>27</v>
      </c>
      <c r="B33" t="str">
        <f>Afgrøder</f>
        <v>Landbrugsafgrøder</v>
      </c>
      <c r="C33">
        <v>2050</v>
      </c>
      <c r="D33" t="str">
        <f>Jordbund1</f>
        <v>JB1-10</v>
      </c>
      <c r="E33" s="98">
        <f>Arealanvendelse!P26</f>
        <v>1802742.2131878724</v>
      </c>
    </row>
    <row r="34" spans="1:5" x14ac:dyDescent="0.25">
      <c r="A34" t="s">
        <v>27</v>
      </c>
      <c r="B34" t="str">
        <f>SkovAreal</f>
        <v>Skov</v>
      </c>
      <c r="C34">
        <v>2050</v>
      </c>
      <c r="D34" t="str">
        <f>Jordbund1</f>
        <v>JB1-10</v>
      </c>
      <c r="E34" s="98">
        <f>Arealanvendelse!P27</f>
        <v>486198.44754899049</v>
      </c>
    </row>
    <row r="35" spans="1:5" x14ac:dyDescent="0.25">
      <c r="A35" t="s">
        <v>27</v>
      </c>
      <c r="B35" t="str">
        <f>NaturAreal</f>
        <v>Natur</v>
      </c>
      <c r="C35">
        <v>2050</v>
      </c>
      <c r="D35" t="str">
        <f>Jordbund1</f>
        <v>JB1-10</v>
      </c>
      <c r="E35" s="98">
        <f>Arealanvendelse!P28</f>
        <v>317835.5825103767</v>
      </c>
    </row>
    <row r="36" spans="1:5" x14ac:dyDescent="0.25">
      <c r="A36" t="s">
        <v>27</v>
      </c>
      <c r="B36" t="str">
        <f>IKareal</f>
        <v>Ikke klassificeret</v>
      </c>
      <c r="C36">
        <v>2050</v>
      </c>
      <c r="D36" t="str">
        <f>Jordbund1</f>
        <v>JB1-10</v>
      </c>
      <c r="E36" s="98">
        <f>Arealanvendelse!P29</f>
        <v>47192.371697540235</v>
      </c>
    </row>
    <row r="37" spans="1:5" x14ac:dyDescent="0.25">
      <c r="A37" t="s">
        <v>27</v>
      </c>
      <c r="B37" t="str">
        <f>Bebyg</f>
        <v>Bebyggelse &amp; infrastruktur</v>
      </c>
      <c r="C37">
        <v>2050</v>
      </c>
      <c r="D37" t="str">
        <f>Organ6</f>
        <v>OC6</v>
      </c>
      <c r="E37" s="98">
        <f>Arealanvendelse!Q25</f>
        <v>0</v>
      </c>
    </row>
    <row r="38" spans="1:5" x14ac:dyDescent="0.25">
      <c r="A38" t="s">
        <v>27</v>
      </c>
      <c r="B38" t="str">
        <f>Afgrøder</f>
        <v>Landbrugsafgrøder</v>
      </c>
      <c r="C38">
        <v>2050</v>
      </c>
      <c r="D38" t="str">
        <f>Organ6</f>
        <v>OC6</v>
      </c>
      <c r="E38" s="98">
        <f>Arealanvendelse!Q26</f>
        <v>80739.514074074075</v>
      </c>
    </row>
    <row r="39" spans="1:5" x14ac:dyDescent="0.25">
      <c r="A39" t="s">
        <v>27</v>
      </c>
      <c r="B39" t="str">
        <f>SkovAreal</f>
        <v>Skov</v>
      </c>
      <c r="C39">
        <v>2050</v>
      </c>
      <c r="D39" t="str">
        <f>Organ6</f>
        <v>OC6</v>
      </c>
      <c r="E39" s="98">
        <f>Arealanvendelse!Q27</f>
        <v>0</v>
      </c>
    </row>
    <row r="40" spans="1:5" x14ac:dyDescent="0.25">
      <c r="A40" t="s">
        <v>27</v>
      </c>
      <c r="B40" t="str">
        <f>NaturAreal</f>
        <v>Natur</v>
      </c>
      <c r="C40">
        <v>2050</v>
      </c>
      <c r="D40" t="str">
        <f>Organ6</f>
        <v>OC6</v>
      </c>
      <c r="E40" s="98">
        <f>Arealanvendelse!Q28</f>
        <v>59900.485925925925</v>
      </c>
    </row>
    <row r="41" spans="1:5" x14ac:dyDescent="0.25">
      <c r="A41" t="s">
        <v>27</v>
      </c>
      <c r="B41" t="str">
        <f>IKareal</f>
        <v>Ikke klassificeret</v>
      </c>
      <c r="C41">
        <v>2050</v>
      </c>
      <c r="D41" t="str">
        <f>Organ6</f>
        <v>OC6</v>
      </c>
      <c r="E41" s="98">
        <f>Arealanvendelse!Q29</f>
        <v>0</v>
      </c>
    </row>
    <row r="42" spans="1:5" x14ac:dyDescent="0.25">
      <c r="A42" t="s">
        <v>27</v>
      </c>
      <c r="B42" t="str">
        <f>Bebyg</f>
        <v>Bebyggelse &amp; infrastruktur</v>
      </c>
      <c r="C42">
        <v>2050</v>
      </c>
      <c r="D42" t="str">
        <f>Organ12</f>
        <v>OC12</v>
      </c>
      <c r="E42" s="98">
        <f>Arealanvendelse!R25</f>
        <v>0</v>
      </c>
    </row>
    <row r="43" spans="1:5" x14ac:dyDescent="0.25">
      <c r="A43" t="s">
        <v>27</v>
      </c>
      <c r="B43" t="str">
        <f>Afgrøder</f>
        <v>Landbrugsafgrøder</v>
      </c>
      <c r="C43">
        <v>2050</v>
      </c>
      <c r="D43" t="str">
        <f>Organ12</f>
        <v>OC12</v>
      </c>
      <c r="E43" s="98">
        <f>Arealanvendelse!R26</f>
        <v>61405.854814814811</v>
      </c>
    </row>
    <row r="44" spans="1:5" x14ac:dyDescent="0.25">
      <c r="A44" t="s">
        <v>27</v>
      </c>
      <c r="B44" t="str">
        <f>SkovAreal</f>
        <v>Skov</v>
      </c>
      <c r="C44">
        <v>2050</v>
      </c>
      <c r="D44" t="str">
        <f>Organ12</f>
        <v>OC12</v>
      </c>
      <c r="E44" s="98">
        <f>Arealanvendelse!R27</f>
        <v>0</v>
      </c>
    </row>
    <row r="45" spans="1:5" x14ac:dyDescent="0.25">
      <c r="A45" t="s">
        <v>27</v>
      </c>
      <c r="B45" t="str">
        <f>NaturAreal</f>
        <v>Natur</v>
      </c>
      <c r="C45">
        <v>2050</v>
      </c>
      <c r="D45" t="str">
        <f>Organ12</f>
        <v>OC12</v>
      </c>
      <c r="E45" s="98">
        <f>Arealanvendelse!R28</f>
        <v>50585.256296296291</v>
      </c>
    </row>
    <row r="46" spans="1:5" x14ac:dyDescent="0.25">
      <c r="A46" t="s">
        <v>27</v>
      </c>
      <c r="B46" t="str">
        <f>IKareal</f>
        <v>Ikke klassificeret</v>
      </c>
      <c r="C46">
        <v>2050</v>
      </c>
      <c r="D46" t="str">
        <f>Organ12</f>
        <v>OC12</v>
      </c>
      <c r="E46" s="98">
        <f>Arealanvendelse!R29</f>
        <v>0</v>
      </c>
    </row>
    <row r="47" spans="1:5" x14ac:dyDescent="0.25">
      <c r="A47" t="s">
        <v>28</v>
      </c>
      <c r="B47" t="str">
        <f>Bebyg</f>
        <v>Bebyggelse &amp; infrastruktur</v>
      </c>
      <c r="C47">
        <f t="shared" ref="C47:C61" si="2">År1</f>
        <v>2019</v>
      </c>
      <c r="D47" t="str">
        <f>Jordbund1</f>
        <v>JB1-10</v>
      </c>
      <c r="E47" s="98">
        <f>Arealanvendelse!J35</f>
        <v>178773.03184388991</v>
      </c>
    </row>
    <row r="48" spans="1:5" x14ac:dyDescent="0.25">
      <c r="A48" t="s">
        <v>28</v>
      </c>
      <c r="B48" t="str">
        <f>Afgrøder</f>
        <v>Landbrugsafgrøder</v>
      </c>
      <c r="C48">
        <f t="shared" si="2"/>
        <v>2019</v>
      </c>
      <c r="D48" t="str">
        <f>Jordbund1</f>
        <v>JB1-10</v>
      </c>
      <c r="E48" s="98">
        <f>Arealanvendelse!J36</f>
        <v>546059.8608862015</v>
      </c>
    </row>
    <row r="49" spans="1:5" x14ac:dyDescent="0.25">
      <c r="A49" t="s">
        <v>28</v>
      </c>
      <c r="B49" t="str">
        <f>SkovAreal</f>
        <v>Skov</v>
      </c>
      <c r="C49">
        <f t="shared" si="2"/>
        <v>2019</v>
      </c>
      <c r="D49" t="str">
        <f>Jordbund1</f>
        <v>JB1-10</v>
      </c>
      <c r="E49" s="98">
        <f>Arealanvendelse!J37</f>
        <v>127345.4783769354</v>
      </c>
    </row>
    <row r="50" spans="1:5" x14ac:dyDescent="0.25">
      <c r="A50" t="s">
        <v>28</v>
      </c>
      <c r="B50" t="str">
        <f>NaturAreal</f>
        <v>Natur</v>
      </c>
      <c r="C50">
        <f t="shared" si="2"/>
        <v>2019</v>
      </c>
      <c r="D50" t="str">
        <f>Jordbund1</f>
        <v>JB1-10</v>
      </c>
      <c r="E50" s="98">
        <f>Arealanvendelse!J38</f>
        <v>75488.417489623345</v>
      </c>
    </row>
    <row r="51" spans="1:5" x14ac:dyDescent="0.25">
      <c r="A51" t="s">
        <v>28</v>
      </c>
      <c r="B51" t="str">
        <f>IKareal</f>
        <v>Ikke klassificeret</v>
      </c>
      <c r="C51">
        <f t="shared" si="2"/>
        <v>2019</v>
      </c>
      <c r="D51" t="str">
        <f>Jordbund1</f>
        <v>JB1-10</v>
      </c>
      <c r="E51" s="98">
        <f>Arealanvendelse!J39</f>
        <v>19447.628302459765</v>
      </c>
    </row>
    <row r="52" spans="1:5" x14ac:dyDescent="0.25">
      <c r="A52" t="s">
        <v>28</v>
      </c>
      <c r="B52" t="str">
        <f>Bebyg</f>
        <v>Bebyggelse &amp; infrastruktur</v>
      </c>
      <c r="C52">
        <f t="shared" si="2"/>
        <v>2019</v>
      </c>
      <c r="D52" t="str">
        <f>Organ6</f>
        <v>OC6</v>
      </c>
      <c r="E52" s="98">
        <f>Arealanvendelse!K35</f>
        <v>0</v>
      </c>
    </row>
    <row r="53" spans="1:5" x14ac:dyDescent="0.25">
      <c r="A53" t="s">
        <v>28</v>
      </c>
      <c r="B53" t="str">
        <f>Afgrøder</f>
        <v>Landbrugsafgrøder</v>
      </c>
      <c r="C53">
        <f t="shared" si="2"/>
        <v>2019</v>
      </c>
      <c r="D53" t="str">
        <f>Organ6</f>
        <v>OC6</v>
      </c>
      <c r="E53" s="98">
        <f>Arealanvendelse!K36</f>
        <v>13251.374814814815</v>
      </c>
    </row>
    <row r="54" spans="1:5" x14ac:dyDescent="0.25">
      <c r="A54" t="s">
        <v>28</v>
      </c>
      <c r="B54" t="str">
        <f>SkovAreal</f>
        <v>Skov</v>
      </c>
      <c r="C54">
        <f t="shared" si="2"/>
        <v>2019</v>
      </c>
      <c r="D54" t="str">
        <f>Organ6</f>
        <v>OC6</v>
      </c>
      <c r="E54" s="98">
        <f>Arealanvendelse!K37</f>
        <v>0</v>
      </c>
    </row>
    <row r="55" spans="1:5" x14ac:dyDescent="0.25">
      <c r="A55" t="s">
        <v>28</v>
      </c>
      <c r="B55" t="str">
        <f>NaturAreal</f>
        <v>Natur</v>
      </c>
      <c r="C55">
        <f t="shared" si="2"/>
        <v>2019</v>
      </c>
      <c r="D55" t="str">
        <f>Organ6</f>
        <v>OC6</v>
      </c>
      <c r="E55" s="98">
        <f>Arealanvendelse!K38</f>
        <v>8108.6251851851857</v>
      </c>
    </row>
    <row r="56" spans="1:5" x14ac:dyDescent="0.25">
      <c r="A56" t="s">
        <v>28</v>
      </c>
      <c r="B56" t="str">
        <f>IKareal</f>
        <v>Ikke klassificeret</v>
      </c>
      <c r="C56">
        <f t="shared" si="2"/>
        <v>2019</v>
      </c>
      <c r="D56" t="str">
        <f>Organ6</f>
        <v>OC6</v>
      </c>
      <c r="E56" s="98">
        <f>Arealanvendelse!K39</f>
        <v>0</v>
      </c>
    </row>
    <row r="57" spans="1:5" x14ac:dyDescent="0.25">
      <c r="A57" t="s">
        <v>28</v>
      </c>
      <c r="B57" t="str">
        <f>Bebyg</f>
        <v>Bebyggelse &amp; infrastruktur</v>
      </c>
      <c r="C57">
        <f t="shared" si="2"/>
        <v>2019</v>
      </c>
      <c r="D57" t="str">
        <f>Organ12</f>
        <v>OC12</v>
      </c>
      <c r="E57" s="98">
        <f>Arealanvendelse!L35</f>
        <v>0</v>
      </c>
    </row>
    <row r="58" spans="1:5" x14ac:dyDescent="0.25">
      <c r="A58" t="s">
        <v>28</v>
      </c>
      <c r="B58" t="str">
        <f>Afgrøder</f>
        <v>Landbrugsafgrøder</v>
      </c>
      <c r="C58">
        <f t="shared" si="2"/>
        <v>2019</v>
      </c>
      <c r="D58" t="str">
        <f>Organ12</f>
        <v>OC12</v>
      </c>
      <c r="E58" s="98">
        <f>Arealanvendelse!L36</f>
        <v>10315.034074074074</v>
      </c>
    </row>
    <row r="59" spans="1:5" x14ac:dyDescent="0.25">
      <c r="A59" t="s">
        <v>28</v>
      </c>
      <c r="B59" t="str">
        <f>SkovAreal</f>
        <v>Skov</v>
      </c>
      <c r="C59">
        <f t="shared" si="2"/>
        <v>2019</v>
      </c>
      <c r="D59" t="str">
        <f>Organ12</f>
        <v>OC12</v>
      </c>
      <c r="E59" s="98">
        <f>Arealanvendelse!L37</f>
        <v>0</v>
      </c>
    </row>
    <row r="60" spans="1:5" x14ac:dyDescent="0.25">
      <c r="A60" t="s">
        <v>28</v>
      </c>
      <c r="B60" t="str">
        <f>NaturAreal</f>
        <v>Natur</v>
      </c>
      <c r="C60">
        <f t="shared" si="2"/>
        <v>2019</v>
      </c>
      <c r="D60" t="str">
        <f>Organ12</f>
        <v>OC12</v>
      </c>
      <c r="E60" s="98">
        <f>Arealanvendelse!L38</f>
        <v>6693.8548148148147</v>
      </c>
    </row>
    <row r="61" spans="1:5" x14ac:dyDescent="0.25">
      <c r="A61" t="s">
        <v>28</v>
      </c>
      <c r="B61" t="str">
        <f>IKareal</f>
        <v>Ikke klassificeret</v>
      </c>
      <c r="C61">
        <f t="shared" si="2"/>
        <v>2019</v>
      </c>
      <c r="D61" t="str">
        <f>Organ12</f>
        <v>OC12</v>
      </c>
      <c r="E61" s="98">
        <f>Arealanvendelse!L39</f>
        <v>0</v>
      </c>
    </row>
    <row r="62" spans="1:5" x14ac:dyDescent="0.25">
      <c r="A62" t="s">
        <v>28</v>
      </c>
      <c r="B62" t="str">
        <f>Bebyg</f>
        <v>Bebyggelse &amp; infrastruktur</v>
      </c>
      <c r="C62">
        <f t="shared" ref="C62:C76" si="3">År2</f>
        <v>2030</v>
      </c>
      <c r="D62" t="str">
        <f>Jordbund1</f>
        <v>JB1-10</v>
      </c>
      <c r="E62" s="98">
        <f>Arealanvendelse!M35</f>
        <v>178773.03184388991</v>
      </c>
    </row>
    <row r="63" spans="1:5" x14ac:dyDescent="0.25">
      <c r="A63" t="s">
        <v>28</v>
      </c>
      <c r="B63" t="str">
        <f>Afgrøder</f>
        <v>Landbrugsafgrøder</v>
      </c>
      <c r="C63">
        <f t="shared" si="3"/>
        <v>2030</v>
      </c>
      <c r="D63" t="str">
        <f>Jordbund1</f>
        <v>JB1-10</v>
      </c>
      <c r="E63" s="98">
        <f>Arealanvendelse!M36</f>
        <v>543304.15718249779</v>
      </c>
    </row>
    <row r="64" spans="1:5" x14ac:dyDescent="0.25">
      <c r="A64" t="s">
        <v>28</v>
      </c>
      <c r="B64" t="str">
        <f>SkovAreal</f>
        <v>Skov</v>
      </c>
      <c r="C64">
        <f t="shared" si="3"/>
        <v>2030</v>
      </c>
      <c r="D64" t="str">
        <f>Jordbund1</f>
        <v>JB1-10</v>
      </c>
      <c r="E64" s="98">
        <f>Arealanvendelse!M37</f>
        <v>130101.1820806391</v>
      </c>
    </row>
    <row r="65" spans="1:5" x14ac:dyDescent="0.25">
      <c r="A65" t="s">
        <v>28</v>
      </c>
      <c r="B65" t="str">
        <f>NaturAreal</f>
        <v>Natur</v>
      </c>
      <c r="C65">
        <f t="shared" si="3"/>
        <v>2030</v>
      </c>
      <c r="D65" t="str">
        <f>Jordbund1</f>
        <v>JB1-10</v>
      </c>
      <c r="E65" s="98">
        <f>Arealanvendelse!M38</f>
        <v>75488.417489623345</v>
      </c>
    </row>
    <row r="66" spans="1:5" x14ac:dyDescent="0.25">
      <c r="A66" t="s">
        <v>28</v>
      </c>
      <c r="B66" t="str">
        <f>IKareal</f>
        <v>Ikke klassificeret</v>
      </c>
      <c r="C66">
        <f t="shared" si="3"/>
        <v>2030</v>
      </c>
      <c r="D66" t="str">
        <f>Jordbund1</f>
        <v>JB1-10</v>
      </c>
      <c r="E66" s="98">
        <f>Arealanvendelse!M39</f>
        <v>19447.628302459765</v>
      </c>
    </row>
    <row r="67" spans="1:5" x14ac:dyDescent="0.25">
      <c r="A67" t="s">
        <v>28</v>
      </c>
      <c r="B67" t="str">
        <f>Bebyg</f>
        <v>Bebyggelse &amp; infrastruktur</v>
      </c>
      <c r="C67">
        <f t="shared" si="3"/>
        <v>2030</v>
      </c>
      <c r="D67" t="str">
        <f>Organ6</f>
        <v>OC6</v>
      </c>
      <c r="E67" s="98">
        <f>Arealanvendelse!N35</f>
        <v>0</v>
      </c>
    </row>
    <row r="68" spans="1:5" x14ac:dyDescent="0.25">
      <c r="A68" t="s">
        <v>28</v>
      </c>
      <c r="B68" t="str">
        <f>Afgrøder</f>
        <v>Landbrugsafgrøder</v>
      </c>
      <c r="C68">
        <f t="shared" si="3"/>
        <v>2030</v>
      </c>
      <c r="D68" t="str">
        <f>Organ6</f>
        <v>OC6</v>
      </c>
      <c r="E68" s="98">
        <f>Arealanvendelse!N36</f>
        <v>12262.485925925926</v>
      </c>
    </row>
    <row r="69" spans="1:5" x14ac:dyDescent="0.25">
      <c r="A69" t="s">
        <v>28</v>
      </c>
      <c r="B69" t="str">
        <f>SkovAreal</f>
        <v>Skov</v>
      </c>
      <c r="C69">
        <f t="shared" si="3"/>
        <v>2030</v>
      </c>
      <c r="D69" t="str">
        <f>Organ6</f>
        <v>OC6</v>
      </c>
      <c r="E69" s="98">
        <f>Arealanvendelse!N37</f>
        <v>0</v>
      </c>
    </row>
    <row r="70" spans="1:5" x14ac:dyDescent="0.25">
      <c r="A70" t="s">
        <v>28</v>
      </c>
      <c r="B70" t="str">
        <f>NaturAreal</f>
        <v>Natur</v>
      </c>
      <c r="C70">
        <f t="shared" si="3"/>
        <v>2030</v>
      </c>
      <c r="D70" t="str">
        <f>Organ6</f>
        <v>OC6</v>
      </c>
      <c r="E70" s="98">
        <f>Arealanvendelse!N38</f>
        <v>9097.5140740740753</v>
      </c>
    </row>
    <row r="71" spans="1:5" x14ac:dyDescent="0.25">
      <c r="A71" t="s">
        <v>28</v>
      </c>
      <c r="B71" t="str">
        <f>IKareal</f>
        <v>Ikke klassificeret</v>
      </c>
      <c r="C71">
        <f t="shared" si="3"/>
        <v>2030</v>
      </c>
      <c r="D71" t="str">
        <f>Organ6</f>
        <v>OC6</v>
      </c>
      <c r="E71" s="98">
        <f>Arealanvendelse!N39</f>
        <v>0</v>
      </c>
    </row>
    <row r="72" spans="1:5" x14ac:dyDescent="0.25">
      <c r="A72" t="s">
        <v>28</v>
      </c>
      <c r="B72" t="str">
        <f>Bebyg</f>
        <v>Bebyggelse &amp; infrastruktur</v>
      </c>
      <c r="C72">
        <f t="shared" si="3"/>
        <v>2030</v>
      </c>
      <c r="D72" t="str">
        <f>Organ12</f>
        <v>OC12</v>
      </c>
      <c r="E72" s="98">
        <f>Arealanvendelse!O35</f>
        <v>0</v>
      </c>
    </row>
    <row r="73" spans="1:5" x14ac:dyDescent="0.25">
      <c r="A73" t="s">
        <v>28</v>
      </c>
      <c r="B73" t="str">
        <f>Afgrøder</f>
        <v>Landbrugsafgrøder</v>
      </c>
      <c r="C73">
        <f t="shared" si="3"/>
        <v>2030</v>
      </c>
      <c r="D73" t="str">
        <f>Organ12</f>
        <v>OC12</v>
      </c>
      <c r="E73" s="98">
        <f>Arealanvendelse!O36</f>
        <v>9326.1451851851853</v>
      </c>
    </row>
    <row r="74" spans="1:5" x14ac:dyDescent="0.25">
      <c r="A74" t="s">
        <v>28</v>
      </c>
      <c r="B74" t="str">
        <f>SkovAreal</f>
        <v>Skov</v>
      </c>
      <c r="C74">
        <f t="shared" si="3"/>
        <v>2030</v>
      </c>
      <c r="D74" t="str">
        <f>Organ12</f>
        <v>OC12</v>
      </c>
      <c r="E74" s="98">
        <f>Arealanvendelse!O37</f>
        <v>0</v>
      </c>
    </row>
    <row r="75" spans="1:5" x14ac:dyDescent="0.25">
      <c r="A75" t="s">
        <v>28</v>
      </c>
      <c r="B75" t="str">
        <f>NaturAreal</f>
        <v>Natur</v>
      </c>
      <c r="C75">
        <f t="shared" si="3"/>
        <v>2030</v>
      </c>
      <c r="D75" t="str">
        <f>Organ12</f>
        <v>OC12</v>
      </c>
      <c r="E75" s="98">
        <f>Arealanvendelse!O38</f>
        <v>7682.7437037037034</v>
      </c>
    </row>
    <row r="76" spans="1:5" x14ac:dyDescent="0.25">
      <c r="A76" t="s">
        <v>28</v>
      </c>
      <c r="B76" t="str">
        <f>IKareal</f>
        <v>Ikke klassificeret</v>
      </c>
      <c r="C76">
        <f t="shared" si="3"/>
        <v>2030</v>
      </c>
      <c r="D76" t="str">
        <f>Organ12</f>
        <v>OC12</v>
      </c>
      <c r="E76" s="98">
        <f>Arealanvendelse!O39</f>
        <v>0</v>
      </c>
    </row>
    <row r="77" spans="1:5" x14ac:dyDescent="0.25">
      <c r="A77" t="s">
        <v>28</v>
      </c>
      <c r="B77" t="str">
        <f>Bebyg</f>
        <v>Bebyggelse &amp; infrastruktur</v>
      </c>
      <c r="C77">
        <v>2050</v>
      </c>
      <c r="D77" t="str">
        <f>Jordbund1</f>
        <v>JB1-10</v>
      </c>
      <c r="E77" s="98">
        <f>Arealanvendelse!P35</f>
        <v>178773.03184388991</v>
      </c>
    </row>
    <row r="78" spans="1:5" x14ac:dyDescent="0.25">
      <c r="A78" t="s">
        <v>28</v>
      </c>
      <c r="B78" t="str">
        <f>Afgrøder</f>
        <v>Landbrugsafgrøder</v>
      </c>
      <c r="C78">
        <v>2050</v>
      </c>
      <c r="D78" t="str">
        <f>Jordbund1</f>
        <v>JB1-10</v>
      </c>
      <c r="E78" s="98">
        <f>Arealanvendelse!P36</f>
        <v>538293.78681212745</v>
      </c>
    </row>
    <row r="79" spans="1:5" x14ac:dyDescent="0.25">
      <c r="A79" t="s">
        <v>28</v>
      </c>
      <c r="B79" t="str">
        <f>SkovAreal</f>
        <v>Skov</v>
      </c>
      <c r="C79">
        <v>2050</v>
      </c>
      <c r="D79" t="str">
        <f>Jordbund1</f>
        <v>JB1-10</v>
      </c>
      <c r="E79" s="98">
        <f>Arealanvendelse!P37</f>
        <v>135111.55245100948</v>
      </c>
    </row>
    <row r="80" spans="1:5" x14ac:dyDescent="0.25">
      <c r="A80" t="s">
        <v>28</v>
      </c>
      <c r="B80" t="str">
        <f>NaturAreal</f>
        <v>Natur</v>
      </c>
      <c r="C80">
        <v>2050</v>
      </c>
      <c r="D80" t="str">
        <f>Jordbund1</f>
        <v>JB1-10</v>
      </c>
      <c r="E80" s="98">
        <f>Arealanvendelse!P38</f>
        <v>75488.417489623345</v>
      </c>
    </row>
    <row r="81" spans="1:5" x14ac:dyDescent="0.25">
      <c r="A81" t="s">
        <v>28</v>
      </c>
      <c r="B81" t="str">
        <f>IKareal</f>
        <v>Ikke klassificeret</v>
      </c>
      <c r="C81">
        <v>2050</v>
      </c>
      <c r="D81" t="str">
        <f>Jordbund1</f>
        <v>JB1-10</v>
      </c>
      <c r="E81" s="98">
        <f>Arealanvendelse!P39</f>
        <v>19447.628302459765</v>
      </c>
    </row>
    <row r="82" spans="1:5" x14ac:dyDescent="0.25">
      <c r="A82" t="s">
        <v>28</v>
      </c>
      <c r="B82" t="str">
        <f>Bebyg</f>
        <v>Bebyggelse &amp; infrastruktur</v>
      </c>
      <c r="C82">
        <v>2050</v>
      </c>
      <c r="D82" t="str">
        <f>Organ6</f>
        <v>OC6</v>
      </c>
      <c r="E82" s="98">
        <f>Arealanvendelse!Q35</f>
        <v>0</v>
      </c>
    </row>
    <row r="83" spans="1:5" x14ac:dyDescent="0.25">
      <c r="A83" t="s">
        <v>28</v>
      </c>
      <c r="B83" t="str">
        <f>Afgrøder</f>
        <v>Landbrugsafgrøder</v>
      </c>
      <c r="C83">
        <v>2050</v>
      </c>
      <c r="D83" t="str">
        <f>Organ6</f>
        <v>OC6</v>
      </c>
      <c r="E83" s="98">
        <f>Arealanvendelse!Q36</f>
        <v>12262.485925925926</v>
      </c>
    </row>
    <row r="84" spans="1:5" x14ac:dyDescent="0.25">
      <c r="A84" t="s">
        <v>28</v>
      </c>
      <c r="B84" t="str">
        <f>SkovAreal</f>
        <v>Skov</v>
      </c>
      <c r="C84">
        <v>2050</v>
      </c>
      <c r="D84" t="str">
        <f>Organ6</f>
        <v>OC6</v>
      </c>
      <c r="E84" s="98">
        <f>Arealanvendelse!Q37</f>
        <v>0</v>
      </c>
    </row>
    <row r="85" spans="1:5" x14ac:dyDescent="0.25">
      <c r="A85" t="s">
        <v>28</v>
      </c>
      <c r="B85" t="str">
        <f>NaturAreal</f>
        <v>Natur</v>
      </c>
      <c r="C85">
        <v>2050</v>
      </c>
      <c r="D85" t="str">
        <f>Organ6</f>
        <v>OC6</v>
      </c>
      <c r="E85" s="98">
        <f>Arealanvendelse!Q38</f>
        <v>9097.5140740740753</v>
      </c>
    </row>
    <row r="86" spans="1:5" x14ac:dyDescent="0.25">
      <c r="A86" t="s">
        <v>28</v>
      </c>
      <c r="B86" t="str">
        <f>IKareal</f>
        <v>Ikke klassificeret</v>
      </c>
      <c r="C86">
        <v>2050</v>
      </c>
      <c r="D86" t="str">
        <f>Organ6</f>
        <v>OC6</v>
      </c>
      <c r="E86" s="98">
        <f>Arealanvendelse!Q39</f>
        <v>0</v>
      </c>
    </row>
    <row r="87" spans="1:5" x14ac:dyDescent="0.25">
      <c r="A87" t="s">
        <v>28</v>
      </c>
      <c r="B87" t="str">
        <f>Bebyg</f>
        <v>Bebyggelse &amp; infrastruktur</v>
      </c>
      <c r="C87">
        <v>2050</v>
      </c>
      <c r="D87" t="str">
        <f>Organ12</f>
        <v>OC12</v>
      </c>
      <c r="E87" s="98">
        <f>Arealanvendelse!R35</f>
        <v>0</v>
      </c>
    </row>
    <row r="88" spans="1:5" x14ac:dyDescent="0.25">
      <c r="A88" t="s">
        <v>28</v>
      </c>
      <c r="B88" t="str">
        <f>Afgrøder</f>
        <v>Landbrugsafgrøder</v>
      </c>
      <c r="C88">
        <v>2050</v>
      </c>
      <c r="D88" t="str">
        <f>Organ12</f>
        <v>OC12</v>
      </c>
      <c r="E88" s="98">
        <f>Arealanvendelse!R36</f>
        <v>9326.1451851851853</v>
      </c>
    </row>
    <row r="89" spans="1:5" x14ac:dyDescent="0.25">
      <c r="A89" t="s">
        <v>28</v>
      </c>
      <c r="B89" t="str">
        <f>SkovAreal</f>
        <v>Skov</v>
      </c>
      <c r="C89">
        <v>2050</v>
      </c>
      <c r="D89" t="str">
        <f>Organ12</f>
        <v>OC12</v>
      </c>
      <c r="E89" s="98">
        <f>Arealanvendelse!R37</f>
        <v>0</v>
      </c>
    </row>
    <row r="90" spans="1:5" x14ac:dyDescent="0.25">
      <c r="A90" t="s">
        <v>28</v>
      </c>
      <c r="B90" t="str">
        <f>NaturAreal</f>
        <v>Natur</v>
      </c>
      <c r="C90">
        <v>2050</v>
      </c>
      <c r="D90" t="str">
        <f>Organ12</f>
        <v>OC12</v>
      </c>
      <c r="E90" s="98">
        <f>Arealanvendelse!R38</f>
        <v>7682.7437037037034</v>
      </c>
    </row>
    <row r="91" spans="1:5" x14ac:dyDescent="0.25">
      <c r="A91" t="s">
        <v>28</v>
      </c>
      <c r="B91" t="str">
        <f>IKareal</f>
        <v>Ikke klassificeret</v>
      </c>
      <c r="C91">
        <v>2050</v>
      </c>
      <c r="D91" t="str">
        <f>Organ12</f>
        <v>OC12</v>
      </c>
      <c r="E91" s="98">
        <f>Arealanvendelse!R39</f>
        <v>0</v>
      </c>
    </row>
  </sheetData>
  <phoneticPr fontId="10" type="noConversion"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41BF45-84C7-44F3-A365-1EE9B79FF650}">
  <sheetPr codeName="Sheet15">
    <tabColor theme="2" tint="-9.9978637043366805E-2"/>
  </sheetPr>
  <dimension ref="A1:P505"/>
  <sheetViews>
    <sheetView workbookViewId="0">
      <selection activeCell="B5" sqref="B5:AG23"/>
    </sheetView>
  </sheetViews>
  <sheetFormatPr defaultRowHeight="15" x14ac:dyDescent="0.25"/>
  <sheetData>
    <row r="1" spans="1:16" x14ac:dyDescent="0.25">
      <c r="A1" t="s">
        <v>64</v>
      </c>
      <c r="B1" t="s">
        <v>57</v>
      </c>
      <c r="C1" t="s">
        <v>58</v>
      </c>
      <c r="D1" t="s">
        <v>59</v>
      </c>
      <c r="E1" t="s">
        <v>63</v>
      </c>
      <c r="F1" t="s">
        <v>89</v>
      </c>
      <c r="G1" t="s">
        <v>85</v>
      </c>
      <c r="H1" t="s">
        <v>86</v>
      </c>
      <c r="I1" t="s">
        <v>72</v>
      </c>
      <c r="J1" t="s">
        <v>88</v>
      </c>
      <c r="L1" t="s">
        <v>64</v>
      </c>
      <c r="M1" t="s">
        <v>82</v>
      </c>
      <c r="N1" t="s">
        <v>58</v>
      </c>
      <c r="O1" t="s">
        <v>81</v>
      </c>
      <c r="P1" t="s">
        <v>77</v>
      </c>
    </row>
    <row r="2" spans="1:16" x14ac:dyDescent="0.25">
      <c r="A2" t="s">
        <v>23</v>
      </c>
      <c r="B2" s="1" t="str">
        <f>[1]Afgrødefordeling!$C$2</f>
        <v>Korn</v>
      </c>
      <c r="C2">
        <v>2019</v>
      </c>
      <c r="D2" t="s">
        <v>7</v>
      </c>
      <c r="E2" s="168" t="str">
        <f t="shared" ref="E2:E33" si="0">Jordbund1</f>
        <v>JB1-10</v>
      </c>
      <c r="F2" t="str">
        <f>IF(I2&lt;&gt;0,"Halm",IF(B2&lt;&gt;"Permanent græs",B2,"Græs"))</f>
        <v>Halm</v>
      </c>
      <c r="G2" s="76" cm="1">
        <f t="array" ref="G2">IF(A2="Vestdanmark",IF(D2="Konventionel",IF(C2=2019,SUMPRODUCT((B2='Landbrugsareal - resultat'!$B$6:$B$19)*(INDEX('Landbrugsareal - resultat'!$C$6:$E$19,,MATCH(E2,'Landbrugsareal - resultat'!$C$5:$E$5,0)))),IF(C2=2030,SUMPRODUCT((B2='Landbrugsareal - resultat'!$B$6:$B$19)*(INDEX('Landbrugsareal - resultat'!$F$6:$H$19,,MATCH(E2,'Landbrugsareal - resultat'!$F$5:$H$5,0)))),SUMPRODUCT((B2='Landbrugsareal - resultat'!$B$6:$B$19)*(INDEX('Landbrugsareal - resultat'!$I$6:$K$19,,MATCH(E2,'Landbrugsareal - resultat'!$I$5:$K$5,0)))))),IF(C2=2019,SUMPRODUCT((B2='Landbrugsareal - resultat'!$B$6:$B$19)*(INDEX('Landbrugsareal - resultat'!$L$6:$N$19,,MATCH(E2,'Landbrugsareal - resultat'!$L$5:$N$5,0)))),IF(C2=2030,SUMPRODUCT((B2='Landbrugsareal - resultat'!$B$6:$B$19)*(INDEX('Landbrugsareal - resultat'!$O$6:$Q$19,,MATCH(E2,'Landbrugsareal - resultat'!$O$5:$Q$5,0)))),SUMPRODUCT((B2='Landbrugsareal - resultat'!$B$6:$B$19)*(INDEX('Landbrugsareal - resultat'!$R$6:$T$19,,MATCH(E2,'Landbrugsareal - resultat'!$R$5:$T$5,0))))))),IF(D2="Konventionel",IF(C2=2019,SUMPRODUCT((B2='Landbrugsareal - resultat'!$B$33:$B$46)*(INDEX('Landbrugsareal - resultat'!$C$33:$E$46,,MATCH(E2,'Landbrugsareal - resultat'!$C$5:$E$5,0)))),IF(C2=2030,SUMPRODUCT((B2='Landbrugsareal - resultat'!$B$33:$B$46)*(INDEX('Landbrugsareal - resultat'!$F$33:$H$46,,MATCH(E2,'Landbrugsareal - resultat'!$F$5:$H$5,0)))),SUMPRODUCT((B2='Landbrugsareal - resultat'!$B$33:$B$46)*(INDEX('Landbrugsareal - resultat'!$I$33:$K$46,,MATCH(E2,'Landbrugsareal - resultat'!$I$5:$K$5,0)))))),IF(C2=2019,SUMPRODUCT((B2='Landbrugsareal - resultat'!$B$33:$B$46)*(INDEX('Landbrugsareal - resultat'!$L$33:$N$46,,MATCH(E2,'Landbrugsareal - resultat'!$L$5:$N$5,0)))),IF(C2=2030,SUMPRODUCT((B2='Landbrugsareal - resultat'!$B$33:$B$46)*(INDEX('Landbrugsareal - resultat'!$O$33:$Q$46,,MATCH(E2,'Landbrugsareal - resultat'!$O$5:$Q$5,0)))),SUMPRODUCT((B2='Landbrugsareal - resultat'!$B$33:$B$46)*(INDEX('Landbrugsareal - resultat'!$R$33:$T$46,,MATCH(E2,'Landbrugsareal - resultat'!$R$5:$T$5,0))))))))</f>
        <v>856024.05830682674</v>
      </c>
      <c r="H2">
        <f>G2*VLOOKUP(B2,[1]Afgrødedata!$A$5:$F$18,2,FALSE)*IF(D2="Økologisk",VLOOKUP(B2,[1]Afgrødedata!$A$5:$F$18,4,FALSE),1)*IF(E2&lt;&gt;Jordbund1,IF(E2=Organ6,VLOOKUP(B2,[1]Afgrødedata!$A$5:$F$18,5,FALSE),VLOOKUP(B2,[1]Afgrødedata!$A$5:$F$18,6,FALSE)),1)*0.1</f>
        <v>6000728.6487308554</v>
      </c>
      <c r="I2">
        <f>G2*VLOOKUP(B2,[1]Afgrødedata!$A$5:$F$18,3,FALSE)*IF(D2="Økologisk",VLOOKUP(B2,[1]Afgrødedata!$A$5:$F$18,4,FALSE),1)*IF(E2&lt;&gt;Jordbund1,IF(E2=Organ6,VLOOKUP(B2,[1]Afgrødedata!$A$5:$F$18,5,FALSE),VLOOKUP(B2,[1]Afgrødedata!$A$5:$F$18,6,FALSE)),1)*HLOOKUP(C2,Landbrug!$C$15:$E$17,2,FALSE)*HLOOKUP(C2,Landbrug!$C$15:$E$17,3,FALSE)*0.1</f>
        <v>1958622.8291241296</v>
      </c>
      <c r="J2" s="76">
        <f>IF(I2&lt;&gt;0,I2,H2)</f>
        <v>1958622.8291241296</v>
      </c>
      <c r="L2" t="s">
        <v>23</v>
      </c>
      <c r="M2" t="s">
        <v>22</v>
      </c>
      <c r="N2">
        <v>2019</v>
      </c>
      <c r="O2" t="s">
        <v>7</v>
      </c>
      <c r="P2" s="76">
        <f>'Landbrugsareal - resultat'!C24</f>
        <v>10266966</v>
      </c>
    </row>
    <row r="3" spans="1:16" x14ac:dyDescent="0.25">
      <c r="A3" t="s">
        <v>23</v>
      </c>
      <c r="B3" s="1" t="str">
        <f>[1]Afgrødefordeling!$C$3</f>
        <v>Bælgsæd</v>
      </c>
      <c r="C3">
        <v>2019</v>
      </c>
      <c r="D3" t="s">
        <v>7</v>
      </c>
      <c r="E3" s="168" t="str">
        <f t="shared" si="0"/>
        <v>JB1-10</v>
      </c>
      <c r="F3" t="str">
        <f t="shared" ref="F3:F71" si="1">IF(I3&lt;&gt;0,"Halm",IF(B3&lt;&gt;"Permanent græs",B3,"Græs"))</f>
        <v>Halm</v>
      </c>
      <c r="G3" s="76" cm="1">
        <f t="array" ref="G3">IF(A3="Vestdanmark",IF(D3="Konventionel",IF(C3=2019,SUMPRODUCT((B3='Landbrugsareal - resultat'!$B$6:$B$19)*(INDEX('Landbrugsareal - resultat'!$C$6:$E$19,,MATCH(E3,'Landbrugsareal - resultat'!$C$5:$E$5,0)))),IF(C3=2030,SUMPRODUCT((B3='Landbrugsareal - resultat'!$B$6:$B$19)*(INDEX('Landbrugsareal - resultat'!$F$6:$H$19,,MATCH(E3,'Landbrugsareal - resultat'!$F$5:$H$5,0)))),SUMPRODUCT((B3='Landbrugsareal - resultat'!$B$6:$B$19)*(INDEX('Landbrugsareal - resultat'!$I$6:$K$19,,MATCH(E3,'Landbrugsareal - resultat'!$I$5:$K$5,0)))))),IF(C3=2019,SUMPRODUCT((B3='Landbrugsareal - resultat'!$B$6:$B$19)*(INDEX('Landbrugsareal - resultat'!$L$6:$N$19,,MATCH(E3,'Landbrugsareal - resultat'!$L$5:$N$5,0)))),IF(C3=2030,SUMPRODUCT((B3='Landbrugsareal - resultat'!$B$6:$B$19)*(INDEX('Landbrugsareal - resultat'!$O$6:$Q$19,,MATCH(E3,'Landbrugsareal - resultat'!$O$5:$Q$5,0)))),SUMPRODUCT((B3='Landbrugsareal - resultat'!$B$6:$B$19)*(INDEX('Landbrugsareal - resultat'!$R$6:$T$19,,MATCH(E3,'Landbrugsareal - resultat'!$R$5:$T$5,0))))))),IF(D3="Konventionel",IF(C3=2019,SUMPRODUCT((B3='Landbrugsareal - resultat'!$B$33:$B$46)*(INDEX('Landbrugsareal - resultat'!$C$33:$E$46,,MATCH(E3,'Landbrugsareal - resultat'!$C$5:$E$5,0)))),IF(C3=2030,SUMPRODUCT((B3='Landbrugsareal - resultat'!$B$33:$B$46)*(INDEX('Landbrugsareal - resultat'!$F$33:$H$46,,MATCH(E3,'Landbrugsareal - resultat'!$F$5:$H$5,0)))),SUMPRODUCT((B3='Landbrugsareal - resultat'!$B$33:$B$46)*(INDEX('Landbrugsareal - resultat'!$I$33:$K$46,,MATCH(E3,'Landbrugsareal - resultat'!$I$5:$K$5,0)))))),IF(C3=2019,SUMPRODUCT((B3='Landbrugsareal - resultat'!$B$33:$B$46)*(INDEX('Landbrugsareal - resultat'!$L$33:$N$46,,MATCH(E3,'Landbrugsareal - resultat'!$L$5:$N$5,0)))),IF(C3=2030,SUMPRODUCT((B3='Landbrugsareal - resultat'!$B$33:$B$46)*(INDEX('Landbrugsareal - resultat'!$O$33:$Q$46,,MATCH(E3,'Landbrugsareal - resultat'!$O$5:$Q$5,0)))),SUMPRODUCT((B3='Landbrugsareal - resultat'!$B$33:$B$46)*(INDEX('Landbrugsareal - resultat'!$R$33:$T$46,,MATCH(E3,'Landbrugsareal - resultat'!$R$5:$T$5,0))))))))</f>
        <v>59143.999319161092</v>
      </c>
      <c r="H3" s="168">
        <f>G3*VLOOKUP(B3,[1]Afgrødedata!$A$5:$F$18,2,FALSE)*IF(D3="Økologisk",VLOOKUP(B3,[1]Afgrødedata!$A$5:$F$18,4,FALSE),1)*IF(E3&lt;&gt;Jordbund1,IF(E3=Organ6,VLOOKUP(B3,[1]Afgrødedata!$A$5:$F$18,5,FALSE),VLOOKUP(B3,[1]Afgrødedata!$A$5:$F$18,6,FALSE)),1)*0.1</f>
        <v>228295.83737196182</v>
      </c>
      <c r="I3" s="168">
        <f>G3*VLOOKUP(B3,[1]Afgrødedata!$A$5:$F$18,3,FALSE)*IF(D3="Økologisk",VLOOKUP(B3,[1]Afgrødedata!$A$5:$F$18,4,FALSE),1)*IF(E3&lt;&gt;Jordbund1,IF(E3=Organ6,VLOOKUP(B3,[1]Afgrødedata!$A$5:$F$18,5,FALSE),VLOOKUP(B3,[1]Afgrødedata!$A$5:$F$18,6,FALSE)),1)*HLOOKUP(C3,Landbrug!$C$15:$E$17,2,FALSE)*HLOOKUP(C3,Landbrug!$C$15:$E$17,3,FALSE)*0.1</f>
        <v>67776.181350591331</v>
      </c>
      <c r="J3" s="76">
        <f t="shared" ref="J3:J71" si="2">IF(I3&lt;&gt;0,I3,H3)</f>
        <v>67776.181350591331</v>
      </c>
      <c r="L3" t="s">
        <v>23</v>
      </c>
      <c r="M3" t="s">
        <v>3</v>
      </c>
      <c r="N3">
        <v>2019</v>
      </c>
      <c r="O3" t="s">
        <v>7</v>
      </c>
      <c r="P3" s="76">
        <f>'Landbrugsareal - resultat'!C25</f>
        <v>1184629</v>
      </c>
    </row>
    <row r="4" spans="1:16" x14ac:dyDescent="0.25">
      <c r="A4" t="s">
        <v>23</v>
      </c>
      <c r="B4" s="1" t="str">
        <f>[1]Afgrødefordeling!$C$4</f>
        <v>Raps</v>
      </c>
      <c r="C4">
        <v>2019</v>
      </c>
      <c r="D4" t="s">
        <v>7</v>
      </c>
      <c r="E4" s="168" t="str">
        <f t="shared" si="0"/>
        <v>JB1-10</v>
      </c>
      <c r="F4" t="str">
        <f t="shared" si="1"/>
        <v>Halm</v>
      </c>
      <c r="G4" s="76" cm="1">
        <f t="array" ref="G4">IF(A4="Vestdanmark",IF(D4="Konventionel",IF(C4=2019,SUMPRODUCT((B4='Landbrugsareal - resultat'!$B$6:$B$19)*(INDEX('Landbrugsareal - resultat'!$C$6:$E$19,,MATCH(E4,'Landbrugsareal - resultat'!$C$5:$E$5,0)))),IF(C4=2030,SUMPRODUCT((B4='Landbrugsareal - resultat'!$B$6:$B$19)*(INDEX('Landbrugsareal - resultat'!$F$6:$H$19,,MATCH(E4,'Landbrugsareal - resultat'!$F$5:$H$5,0)))),SUMPRODUCT((B4='Landbrugsareal - resultat'!$B$6:$B$19)*(INDEX('Landbrugsareal - resultat'!$I$6:$K$19,,MATCH(E4,'Landbrugsareal - resultat'!$I$5:$K$5,0)))))),IF(C4=2019,SUMPRODUCT((B4='Landbrugsareal - resultat'!$B$6:$B$19)*(INDEX('Landbrugsareal - resultat'!$L$6:$N$19,,MATCH(E4,'Landbrugsareal - resultat'!$L$5:$N$5,0)))),IF(C4=2030,SUMPRODUCT((B4='Landbrugsareal - resultat'!$B$6:$B$19)*(INDEX('Landbrugsareal - resultat'!$O$6:$Q$19,,MATCH(E4,'Landbrugsareal - resultat'!$O$5:$Q$5,0)))),SUMPRODUCT((B4='Landbrugsareal - resultat'!$B$6:$B$19)*(INDEX('Landbrugsareal - resultat'!$R$6:$T$19,,MATCH(E4,'Landbrugsareal - resultat'!$R$5:$T$5,0))))))),IF(D4="Konventionel",IF(C4=2019,SUMPRODUCT((B4='Landbrugsareal - resultat'!$B$33:$B$46)*(INDEX('Landbrugsareal - resultat'!$C$33:$E$46,,MATCH(E4,'Landbrugsareal - resultat'!$C$5:$E$5,0)))),IF(C4=2030,SUMPRODUCT((B4='Landbrugsareal - resultat'!$B$33:$B$46)*(INDEX('Landbrugsareal - resultat'!$F$33:$H$46,,MATCH(E4,'Landbrugsareal - resultat'!$F$5:$H$5,0)))),SUMPRODUCT((B4='Landbrugsareal - resultat'!$B$33:$B$46)*(INDEX('Landbrugsareal - resultat'!$I$33:$K$46,,MATCH(E4,'Landbrugsareal - resultat'!$I$5:$K$5,0)))))),IF(C4=2019,SUMPRODUCT((B4='Landbrugsareal - resultat'!$B$33:$B$46)*(INDEX('Landbrugsareal - resultat'!$L$33:$N$46,,MATCH(E4,'Landbrugsareal - resultat'!$L$5:$N$5,0)))),IF(C4=2030,SUMPRODUCT((B4='Landbrugsareal - resultat'!$B$33:$B$46)*(INDEX('Landbrugsareal - resultat'!$O$33:$Q$46,,MATCH(E4,'Landbrugsareal - resultat'!$O$5:$Q$5,0)))),SUMPRODUCT((B4='Landbrugsareal - resultat'!$B$33:$B$46)*(INDEX('Landbrugsareal - resultat'!$R$33:$T$46,,MATCH(E4,'Landbrugsareal - resultat'!$R$5:$T$5,0))))))))</f>
        <v>99458.982869280968</v>
      </c>
      <c r="H4" s="168">
        <f>G4*VLOOKUP(B4,[1]Afgrødedata!$A$5:$F$18,2,FALSE)*IF(D4="Økologisk",VLOOKUP(B4,[1]Afgrødedata!$A$5:$F$18,4,FALSE),1)*IF(E4&lt;&gt;Jordbund1,IF(E4=Organ6,VLOOKUP(B4,[1]Afgrødedata!$A$5:$F$18,5,FALSE),VLOOKUP(B4,[1]Afgrødedata!$A$5:$F$18,6,FALSE)),1)*0.1</f>
        <v>437619.52462483628</v>
      </c>
      <c r="I4" s="168">
        <f>G4*VLOOKUP(B4,[1]Afgrødedata!$A$5:$F$18,3,FALSE)*IF(D4="Økologisk",VLOOKUP(B4,[1]Afgrødedata!$A$5:$F$18,4,FALSE),1)*IF(E4&lt;&gt;Jordbund1,IF(E4=Organ6,VLOOKUP(B4,[1]Afgrødedata!$A$5:$F$18,5,FALSE),VLOOKUP(B4,[1]Afgrødedata!$A$5:$F$18,6,FALSE)),1)*HLOOKUP(C4,Landbrug!$C$15:$E$17,2,FALSE)*HLOOKUP(C4,Landbrug!$C$15:$E$17,3,FALSE)*0.1</f>
        <v>233734.77619974819</v>
      </c>
      <c r="J4" s="76">
        <f t="shared" si="2"/>
        <v>233734.77619974819</v>
      </c>
      <c r="L4" t="s">
        <v>23</v>
      </c>
      <c r="M4" t="s">
        <v>4</v>
      </c>
      <c r="N4">
        <v>2019</v>
      </c>
      <c r="O4" t="s">
        <v>7</v>
      </c>
      <c r="P4" s="76">
        <f>'Landbrugsareal - resultat'!C26</f>
        <v>18212034</v>
      </c>
    </row>
    <row r="5" spans="1:16" x14ac:dyDescent="0.25">
      <c r="A5" t="s">
        <v>23</v>
      </c>
      <c r="B5" s="1" t="str">
        <f>[1]Afgrødefordeling!$C$5</f>
        <v>Græs</v>
      </c>
      <c r="C5">
        <v>2019</v>
      </c>
      <c r="D5" t="s">
        <v>7</v>
      </c>
      <c r="E5" s="168" t="str">
        <f t="shared" si="0"/>
        <v>JB1-10</v>
      </c>
      <c r="F5" t="str">
        <f t="shared" si="1"/>
        <v>Græs</v>
      </c>
      <c r="G5" s="76" cm="1">
        <f t="array" ref="G5">IF(A5="Vestdanmark",IF(D5="Konventionel",IF(C5=2019,SUMPRODUCT((B5='Landbrugsareal - resultat'!$B$6:$B$19)*(INDEX('Landbrugsareal - resultat'!$C$6:$E$19,,MATCH(E5,'Landbrugsareal - resultat'!$C$5:$E$5,0)))),IF(C5=2030,SUMPRODUCT((B5='Landbrugsareal - resultat'!$B$6:$B$19)*(INDEX('Landbrugsareal - resultat'!$F$6:$H$19,,MATCH(E5,'Landbrugsareal - resultat'!$F$5:$H$5,0)))),SUMPRODUCT((B5='Landbrugsareal - resultat'!$B$6:$B$19)*(INDEX('Landbrugsareal - resultat'!$I$6:$K$19,,MATCH(E5,'Landbrugsareal - resultat'!$I$5:$K$5,0)))))),IF(C5=2019,SUMPRODUCT((B5='Landbrugsareal - resultat'!$B$6:$B$19)*(INDEX('Landbrugsareal - resultat'!$L$6:$N$19,,MATCH(E5,'Landbrugsareal - resultat'!$L$5:$N$5,0)))),IF(C5=2030,SUMPRODUCT((B5='Landbrugsareal - resultat'!$B$6:$B$19)*(INDEX('Landbrugsareal - resultat'!$O$6:$Q$19,,MATCH(E5,'Landbrugsareal - resultat'!$O$5:$Q$5,0)))),SUMPRODUCT((B5='Landbrugsareal - resultat'!$B$6:$B$19)*(INDEX('Landbrugsareal - resultat'!$R$6:$T$19,,MATCH(E5,'Landbrugsareal - resultat'!$R$5:$T$5,0))))))),IF(D5="Konventionel",IF(C5=2019,SUMPRODUCT((B5='Landbrugsareal - resultat'!$B$33:$B$46)*(INDEX('Landbrugsareal - resultat'!$C$33:$E$46,,MATCH(E5,'Landbrugsareal - resultat'!$C$5:$E$5,0)))),IF(C5=2030,SUMPRODUCT((B5='Landbrugsareal - resultat'!$B$33:$B$46)*(INDEX('Landbrugsareal - resultat'!$F$33:$H$46,,MATCH(E5,'Landbrugsareal - resultat'!$F$5:$H$5,0)))),SUMPRODUCT((B5='Landbrugsareal - resultat'!$B$33:$B$46)*(INDEX('Landbrugsareal - resultat'!$I$33:$K$46,,MATCH(E5,'Landbrugsareal - resultat'!$I$5:$K$5,0)))))),IF(C5=2019,SUMPRODUCT((B5='Landbrugsareal - resultat'!$B$33:$B$46)*(INDEX('Landbrugsareal - resultat'!$L$33:$N$46,,MATCH(E5,'Landbrugsareal - resultat'!$L$5:$N$5,0)))),IF(C5=2030,SUMPRODUCT((B5='Landbrugsareal - resultat'!$B$33:$B$46)*(INDEX('Landbrugsareal - resultat'!$O$33:$Q$46,,MATCH(E5,'Landbrugsareal - resultat'!$O$5:$Q$5,0)))),SUMPRODUCT((B5='Landbrugsareal - resultat'!$B$33:$B$46)*(INDEX('Landbrugsareal - resultat'!$R$33:$T$46,,MATCH(E5,'Landbrugsareal - resultat'!$R$5:$T$5,0))))))))</f>
        <v>189636.9989648702</v>
      </c>
      <c r="H5" s="168">
        <f>G5*VLOOKUP(B5,[1]Afgrødedata!$A$5:$F$18,2,FALSE)*IF(D5="Økologisk",VLOOKUP(B5,[1]Afgrødedata!$A$5:$F$18,4,FALSE),1)*IF(E5&lt;&gt;Jordbund1,IF(E5=Organ6,VLOOKUP(B5,[1]Afgrødedata!$A$5:$F$18,5,FALSE),VLOOKUP(B5,[1]Afgrødedata!$A$5:$F$18,6,FALSE)),1)*0.1</f>
        <v>9409787.8886368591</v>
      </c>
      <c r="I5" s="168">
        <f>G5*VLOOKUP(B5,[1]Afgrødedata!$A$5:$F$18,3,FALSE)*IF(D5="Økologisk",VLOOKUP(B5,[1]Afgrødedata!$A$5:$F$18,4,FALSE),1)*IF(E5&lt;&gt;Jordbund1,IF(E5=Organ6,VLOOKUP(B5,[1]Afgrødedata!$A$5:$F$18,5,FALSE),VLOOKUP(B5,[1]Afgrødedata!$A$5:$F$18,6,FALSE)),1)*HLOOKUP(C5,Landbrug!$C$15:$E$17,2,FALSE)*HLOOKUP(C5,Landbrug!$C$15:$E$17,3,FALSE)*0.1</f>
        <v>0</v>
      </c>
      <c r="J5" s="76">
        <f t="shared" si="2"/>
        <v>9409787.8886368591</v>
      </c>
      <c r="L5" t="s">
        <v>23</v>
      </c>
      <c r="M5" t="s">
        <v>22</v>
      </c>
      <c r="N5">
        <v>2030</v>
      </c>
      <c r="O5" t="s">
        <v>7</v>
      </c>
      <c r="P5" s="76">
        <f>'Landbrugsareal - resultat'!D24</f>
        <v>12097501.629685199</v>
      </c>
    </row>
    <row r="6" spans="1:16" x14ac:dyDescent="0.25">
      <c r="A6" t="s">
        <v>23</v>
      </c>
      <c r="B6" s="1" t="str">
        <f>[1]Afgrødefordeling!$C$6</f>
        <v>Grøntsager</v>
      </c>
      <c r="C6">
        <v>2019</v>
      </c>
      <c r="D6" t="s">
        <v>7</v>
      </c>
      <c r="E6" s="168" t="str">
        <f t="shared" si="0"/>
        <v>JB1-10</v>
      </c>
      <c r="F6" t="str">
        <f t="shared" si="1"/>
        <v>Grøntsager</v>
      </c>
      <c r="G6" s="76" cm="1">
        <f t="array" ref="G6">IF(A6="Vestdanmark",IF(D6="Konventionel",IF(C6=2019,SUMPRODUCT((B6='Landbrugsareal - resultat'!$B$6:$B$19)*(INDEX('Landbrugsareal - resultat'!$C$6:$E$19,,MATCH(E6,'Landbrugsareal - resultat'!$C$5:$E$5,0)))),IF(C6=2030,SUMPRODUCT((B6='Landbrugsareal - resultat'!$B$6:$B$19)*(INDEX('Landbrugsareal - resultat'!$F$6:$H$19,,MATCH(E6,'Landbrugsareal - resultat'!$F$5:$H$5,0)))),SUMPRODUCT((B6='Landbrugsareal - resultat'!$B$6:$B$19)*(INDEX('Landbrugsareal - resultat'!$I$6:$K$19,,MATCH(E6,'Landbrugsareal - resultat'!$I$5:$K$5,0)))))),IF(C6=2019,SUMPRODUCT((B6='Landbrugsareal - resultat'!$B$6:$B$19)*(INDEX('Landbrugsareal - resultat'!$L$6:$N$19,,MATCH(E6,'Landbrugsareal - resultat'!$L$5:$N$5,0)))),IF(C6=2030,SUMPRODUCT((B6='Landbrugsareal - resultat'!$B$6:$B$19)*(INDEX('Landbrugsareal - resultat'!$O$6:$Q$19,,MATCH(E6,'Landbrugsareal - resultat'!$O$5:$Q$5,0)))),SUMPRODUCT((B6='Landbrugsareal - resultat'!$B$6:$B$19)*(INDEX('Landbrugsareal - resultat'!$R$6:$T$19,,MATCH(E6,'Landbrugsareal - resultat'!$R$5:$T$5,0))))))),IF(D6="Konventionel",IF(C6=2019,SUMPRODUCT((B6='Landbrugsareal - resultat'!$B$33:$B$46)*(INDEX('Landbrugsareal - resultat'!$C$33:$E$46,,MATCH(E6,'Landbrugsareal - resultat'!$C$5:$E$5,0)))),IF(C6=2030,SUMPRODUCT((B6='Landbrugsareal - resultat'!$B$33:$B$46)*(INDEX('Landbrugsareal - resultat'!$F$33:$H$46,,MATCH(E6,'Landbrugsareal - resultat'!$F$5:$H$5,0)))),SUMPRODUCT((B6='Landbrugsareal - resultat'!$B$33:$B$46)*(INDEX('Landbrugsareal - resultat'!$I$33:$K$46,,MATCH(E6,'Landbrugsareal - resultat'!$I$5:$K$5,0)))))),IF(C6=2019,SUMPRODUCT((B6='Landbrugsareal - resultat'!$B$33:$B$46)*(INDEX('Landbrugsareal - resultat'!$L$33:$N$46,,MATCH(E6,'Landbrugsareal - resultat'!$L$5:$N$5,0)))),IF(C6=2030,SUMPRODUCT((B6='Landbrugsareal - resultat'!$B$33:$B$46)*(INDEX('Landbrugsareal - resultat'!$O$33:$Q$46,,MATCH(E6,'Landbrugsareal - resultat'!$O$5:$Q$5,0)))),SUMPRODUCT((B6='Landbrugsareal - resultat'!$B$33:$B$46)*(INDEX('Landbrugsareal - resultat'!$R$33:$T$46,,MATCH(E6,'Landbrugsareal - resultat'!$R$5:$T$5,0))))))))</f>
        <v>7338.5205805106789</v>
      </c>
      <c r="H6" s="168">
        <f>G6*VLOOKUP(B6,[1]Afgrødedata!$A$5:$F$18,2,FALSE)*IF(D6="Økologisk",VLOOKUP(B6,[1]Afgrødedata!$A$5:$F$18,4,FALSE),1)*IF(E6&lt;&gt;Jordbund1,IF(E6=Organ6,VLOOKUP(B6,[1]Afgrødedata!$A$5:$F$18,5,FALSE),VLOOKUP(B6,[1]Afgrødedata!$A$5:$F$18,6,FALSE)),1)*0.1</f>
        <v>152274.30204559659</v>
      </c>
      <c r="I6" s="168">
        <f>G6*VLOOKUP(B6,[1]Afgrødedata!$A$5:$F$18,3,FALSE)*IF(D6="Økologisk",VLOOKUP(B6,[1]Afgrødedata!$A$5:$F$18,4,FALSE),1)*IF(E6&lt;&gt;Jordbund1,IF(E6=Organ6,VLOOKUP(B6,[1]Afgrødedata!$A$5:$F$18,5,FALSE),VLOOKUP(B6,[1]Afgrødedata!$A$5:$F$18,6,FALSE)),1)*HLOOKUP(C6,Landbrug!$C$15:$E$17,2,FALSE)*HLOOKUP(C6,Landbrug!$C$15:$E$17,3,FALSE)*0.1</f>
        <v>0</v>
      </c>
      <c r="J6" s="76">
        <f t="shared" si="2"/>
        <v>152274.30204559659</v>
      </c>
      <c r="L6" t="s">
        <v>23</v>
      </c>
      <c r="M6" t="s">
        <v>3</v>
      </c>
      <c r="N6">
        <v>2030</v>
      </c>
      <c r="O6" t="s">
        <v>7</v>
      </c>
      <c r="P6" s="76">
        <f>'Landbrugsareal - resultat'!D25</f>
        <v>1383454.9238496127</v>
      </c>
    </row>
    <row r="7" spans="1:16" x14ac:dyDescent="0.25">
      <c r="A7" t="s">
        <v>23</v>
      </c>
      <c r="B7" s="1" t="str">
        <f>[1]Afgrødefordeling!$C$7</f>
        <v>Kartofler</v>
      </c>
      <c r="C7">
        <v>2019</v>
      </c>
      <c r="D7" t="s">
        <v>7</v>
      </c>
      <c r="E7" s="168" t="str">
        <f t="shared" si="0"/>
        <v>JB1-10</v>
      </c>
      <c r="F7" t="str">
        <f t="shared" si="1"/>
        <v>Kartofler</v>
      </c>
      <c r="G7" s="76" cm="1">
        <f t="array" ref="G7">IF(A7="Vestdanmark",IF(D7="Konventionel",IF(C7=2019,SUMPRODUCT((B7='Landbrugsareal - resultat'!$B$6:$B$19)*(INDEX('Landbrugsareal - resultat'!$C$6:$E$19,,MATCH(E7,'Landbrugsareal - resultat'!$C$5:$E$5,0)))),IF(C7=2030,SUMPRODUCT((B7='Landbrugsareal - resultat'!$B$6:$B$19)*(INDEX('Landbrugsareal - resultat'!$F$6:$H$19,,MATCH(E7,'Landbrugsareal - resultat'!$F$5:$H$5,0)))),SUMPRODUCT((B7='Landbrugsareal - resultat'!$B$6:$B$19)*(INDEX('Landbrugsareal - resultat'!$I$6:$K$19,,MATCH(E7,'Landbrugsareal - resultat'!$I$5:$K$5,0)))))),IF(C7=2019,SUMPRODUCT((B7='Landbrugsareal - resultat'!$B$6:$B$19)*(INDEX('Landbrugsareal - resultat'!$L$6:$N$19,,MATCH(E7,'Landbrugsareal - resultat'!$L$5:$N$5,0)))),IF(C7=2030,SUMPRODUCT((B7='Landbrugsareal - resultat'!$B$6:$B$19)*(INDEX('Landbrugsareal - resultat'!$O$6:$Q$19,,MATCH(E7,'Landbrugsareal - resultat'!$O$5:$Q$5,0)))),SUMPRODUCT((B7='Landbrugsareal - resultat'!$B$6:$B$19)*(INDEX('Landbrugsareal - resultat'!$R$6:$T$19,,MATCH(E7,'Landbrugsareal - resultat'!$R$5:$T$5,0))))))),IF(D7="Konventionel",IF(C7=2019,SUMPRODUCT((B7='Landbrugsareal - resultat'!$B$33:$B$46)*(INDEX('Landbrugsareal - resultat'!$C$33:$E$46,,MATCH(E7,'Landbrugsareal - resultat'!$C$5:$E$5,0)))),IF(C7=2030,SUMPRODUCT((B7='Landbrugsareal - resultat'!$B$33:$B$46)*(INDEX('Landbrugsareal - resultat'!$F$33:$H$46,,MATCH(E7,'Landbrugsareal - resultat'!$F$5:$H$5,0)))),SUMPRODUCT((B7='Landbrugsareal - resultat'!$B$33:$B$46)*(INDEX('Landbrugsareal - resultat'!$I$33:$K$46,,MATCH(E7,'Landbrugsareal - resultat'!$I$5:$K$5,0)))))),IF(C7=2019,SUMPRODUCT((B7='Landbrugsareal - resultat'!$B$33:$B$46)*(INDEX('Landbrugsareal - resultat'!$L$33:$N$46,,MATCH(E7,'Landbrugsareal - resultat'!$L$5:$N$5,0)))),IF(C7=2030,SUMPRODUCT((B7='Landbrugsareal - resultat'!$B$33:$B$46)*(INDEX('Landbrugsareal - resultat'!$O$33:$Q$46,,MATCH(E7,'Landbrugsareal - resultat'!$O$5:$Q$5,0)))),SUMPRODUCT((B7='Landbrugsareal - resultat'!$B$33:$B$46)*(INDEX('Landbrugsareal - resultat'!$R$33:$T$46,,MATCH(E7,'Landbrugsareal - resultat'!$R$5:$T$5,0))))))))</f>
        <v>43716.498839298802</v>
      </c>
      <c r="H7" s="168">
        <f>G7*VLOOKUP(B7,[1]Afgrødedata!$A$5:$F$18,2,FALSE)*IF(D7="Økologisk",VLOOKUP(B7,[1]Afgrødedata!$A$5:$F$18,4,FALSE),1)*IF(E7&lt;&gt;Jordbund1,IF(E7=Organ6,VLOOKUP(B7,[1]Afgrødedata!$A$5:$F$18,5,FALSE),VLOOKUP(B7,[1]Afgrødedata!$A$5:$F$18,6,FALSE)),1)*0.1</f>
        <v>1856679.0274235529</v>
      </c>
      <c r="I7" s="168">
        <f>G7*VLOOKUP(B7,[1]Afgrødedata!$A$5:$F$18,3,FALSE)*IF(D7="Økologisk",VLOOKUP(B7,[1]Afgrødedata!$A$5:$F$18,4,FALSE),1)*IF(E7&lt;&gt;Jordbund1,IF(E7=Organ6,VLOOKUP(B7,[1]Afgrødedata!$A$5:$F$18,5,FALSE),VLOOKUP(B7,[1]Afgrødedata!$A$5:$F$18,6,FALSE)),1)*HLOOKUP(C7,Landbrug!$C$15:$E$17,2,FALSE)*HLOOKUP(C7,Landbrug!$C$15:$E$17,3,FALSE)*0.1</f>
        <v>0</v>
      </c>
      <c r="J7" s="76">
        <f t="shared" si="2"/>
        <v>1856679.0274235529</v>
      </c>
      <c r="L7" t="s">
        <v>23</v>
      </c>
      <c r="M7" t="s">
        <v>4</v>
      </c>
      <c r="N7">
        <v>2030</v>
      </c>
      <c r="O7" t="s">
        <v>7</v>
      </c>
      <c r="P7" s="76">
        <f>'Landbrugsareal - resultat'!D26</f>
        <v>21348681.831473798</v>
      </c>
    </row>
    <row r="8" spans="1:16" x14ac:dyDescent="0.25">
      <c r="A8" t="s">
        <v>23</v>
      </c>
      <c r="B8" s="1" t="str">
        <f>[1]Afgrødefordeling!$C$8</f>
        <v>Roer</v>
      </c>
      <c r="C8">
        <v>2019</v>
      </c>
      <c r="D8" t="s">
        <v>7</v>
      </c>
      <c r="E8" s="168" t="str">
        <f t="shared" si="0"/>
        <v>JB1-10</v>
      </c>
      <c r="F8" t="str">
        <f t="shared" si="1"/>
        <v>Roer</v>
      </c>
      <c r="G8" s="76" cm="1">
        <f t="array" ref="G8">IF(A8="Vestdanmark",IF(D8="Konventionel",IF(C8=2019,SUMPRODUCT((B8='Landbrugsareal - resultat'!$B$6:$B$19)*(INDEX('Landbrugsareal - resultat'!$C$6:$E$19,,MATCH(E8,'Landbrugsareal - resultat'!$C$5:$E$5,0)))),IF(C8=2030,SUMPRODUCT((B8='Landbrugsareal - resultat'!$B$6:$B$19)*(INDEX('Landbrugsareal - resultat'!$F$6:$H$19,,MATCH(E8,'Landbrugsareal - resultat'!$F$5:$H$5,0)))),SUMPRODUCT((B8='Landbrugsareal - resultat'!$B$6:$B$19)*(INDEX('Landbrugsareal - resultat'!$I$6:$K$19,,MATCH(E8,'Landbrugsareal - resultat'!$I$5:$K$5,0)))))),IF(C8=2019,SUMPRODUCT((B8='Landbrugsareal - resultat'!$B$6:$B$19)*(INDEX('Landbrugsareal - resultat'!$L$6:$N$19,,MATCH(E8,'Landbrugsareal - resultat'!$L$5:$N$5,0)))),IF(C8=2030,SUMPRODUCT((B8='Landbrugsareal - resultat'!$B$6:$B$19)*(INDEX('Landbrugsareal - resultat'!$O$6:$Q$19,,MATCH(E8,'Landbrugsareal - resultat'!$O$5:$Q$5,0)))),SUMPRODUCT((B8='Landbrugsareal - resultat'!$B$6:$B$19)*(INDEX('Landbrugsareal - resultat'!$R$6:$T$19,,MATCH(E8,'Landbrugsareal - resultat'!$R$5:$T$5,0))))))),IF(D8="Konventionel",IF(C8=2019,SUMPRODUCT((B8='Landbrugsareal - resultat'!$B$33:$B$46)*(INDEX('Landbrugsareal - resultat'!$C$33:$E$46,,MATCH(E8,'Landbrugsareal - resultat'!$C$5:$E$5,0)))),IF(C8=2030,SUMPRODUCT((B8='Landbrugsareal - resultat'!$B$33:$B$46)*(INDEX('Landbrugsareal - resultat'!$F$33:$H$46,,MATCH(E8,'Landbrugsareal - resultat'!$F$5:$H$5,0)))),SUMPRODUCT((B8='Landbrugsareal - resultat'!$B$33:$B$46)*(INDEX('Landbrugsareal - resultat'!$I$33:$K$46,,MATCH(E8,'Landbrugsareal - resultat'!$I$5:$K$5,0)))))),IF(C8=2019,SUMPRODUCT((B8='Landbrugsareal - resultat'!$B$33:$B$46)*(INDEX('Landbrugsareal - resultat'!$L$33:$N$46,,MATCH(E8,'Landbrugsareal - resultat'!$L$5:$N$5,0)))),IF(C8=2030,SUMPRODUCT((B8='Landbrugsareal - resultat'!$B$33:$B$46)*(INDEX('Landbrugsareal - resultat'!$O$33:$Q$46,,MATCH(E8,'Landbrugsareal - resultat'!$O$5:$Q$5,0)))),SUMPRODUCT((B8='Landbrugsareal - resultat'!$B$33:$B$46)*(INDEX('Landbrugsareal - resultat'!$R$33:$T$46,,MATCH(E8,'Landbrugsareal - resultat'!$R$5:$T$5,0))))))))</f>
        <v>4267.6414750315462</v>
      </c>
      <c r="H8" s="168">
        <f>G8*VLOOKUP(B8,[1]Afgrødedata!$A$5:$F$18,2,FALSE)*IF(D8="Økologisk",VLOOKUP(B8,[1]Afgrødedata!$A$5:$F$18,4,FALSE),1)*IF(E8&lt;&gt;Jordbund1,IF(E8=Organ6,VLOOKUP(B8,[1]Afgrødedata!$A$5:$F$18,5,FALSE),VLOOKUP(B8,[1]Afgrødedata!$A$5:$F$18,6,FALSE)),1)*0.1</f>
        <v>346761.79388166772</v>
      </c>
      <c r="I8" s="168">
        <f>G8*VLOOKUP(B8,[1]Afgrødedata!$A$5:$F$18,3,FALSE)*IF(D8="Økologisk",VLOOKUP(B8,[1]Afgrødedata!$A$5:$F$18,4,FALSE),1)*IF(E8&lt;&gt;Jordbund1,IF(E8=Organ6,VLOOKUP(B8,[1]Afgrødedata!$A$5:$F$18,5,FALSE),VLOOKUP(B8,[1]Afgrødedata!$A$5:$F$18,6,FALSE)),1)*HLOOKUP(C8,Landbrug!$C$15:$E$17,2,FALSE)*HLOOKUP(C8,Landbrug!$C$15:$E$17,3,FALSE)*0.1</f>
        <v>0</v>
      </c>
      <c r="J8" s="76">
        <f t="shared" si="2"/>
        <v>346761.79388166772</v>
      </c>
      <c r="L8" t="s">
        <v>23</v>
      </c>
      <c r="M8" t="s">
        <v>22</v>
      </c>
      <c r="N8">
        <v>2050</v>
      </c>
      <c r="O8" t="s">
        <v>7</v>
      </c>
      <c r="P8" s="76">
        <f>'Landbrugsareal - resultat'!E24</f>
        <v>11581864.3656852</v>
      </c>
    </row>
    <row r="9" spans="1:16" x14ac:dyDescent="0.25">
      <c r="A9" t="s">
        <v>23</v>
      </c>
      <c r="B9" s="1" t="str">
        <f>[1]Afgrødefordeling!$C$9</f>
        <v>Majs</v>
      </c>
      <c r="C9">
        <v>2019</v>
      </c>
      <c r="D9" t="s">
        <v>7</v>
      </c>
      <c r="E9" s="168" t="str">
        <f t="shared" si="0"/>
        <v>JB1-10</v>
      </c>
      <c r="F9" t="str">
        <f t="shared" si="1"/>
        <v>Majs</v>
      </c>
      <c r="G9" s="76" cm="1">
        <f t="array" ref="G9">IF(A9="Vestdanmark",IF(D9="Konventionel",IF(C9=2019,SUMPRODUCT((B9='Landbrugsareal - resultat'!$B$6:$B$19)*(INDEX('Landbrugsareal - resultat'!$C$6:$E$19,,MATCH(E9,'Landbrugsareal - resultat'!$C$5:$E$5,0)))),IF(C9=2030,SUMPRODUCT((B9='Landbrugsareal - resultat'!$B$6:$B$19)*(INDEX('Landbrugsareal - resultat'!$F$6:$H$19,,MATCH(E9,'Landbrugsareal - resultat'!$F$5:$H$5,0)))),SUMPRODUCT((B9='Landbrugsareal - resultat'!$B$6:$B$19)*(INDEX('Landbrugsareal - resultat'!$I$6:$K$19,,MATCH(E9,'Landbrugsareal - resultat'!$I$5:$K$5,0)))))),IF(C9=2019,SUMPRODUCT((B9='Landbrugsareal - resultat'!$B$6:$B$19)*(INDEX('Landbrugsareal - resultat'!$L$6:$N$19,,MATCH(E9,'Landbrugsareal - resultat'!$L$5:$N$5,0)))),IF(C9=2030,SUMPRODUCT((B9='Landbrugsareal - resultat'!$B$6:$B$19)*(INDEX('Landbrugsareal - resultat'!$O$6:$Q$19,,MATCH(E9,'Landbrugsareal - resultat'!$O$5:$Q$5,0)))),SUMPRODUCT((B9='Landbrugsareal - resultat'!$B$6:$B$19)*(INDEX('Landbrugsareal - resultat'!$R$6:$T$19,,MATCH(E9,'Landbrugsareal - resultat'!$R$5:$T$5,0))))))),IF(D9="Konventionel",IF(C9=2019,SUMPRODUCT((B9='Landbrugsareal - resultat'!$B$33:$B$46)*(INDEX('Landbrugsareal - resultat'!$C$33:$E$46,,MATCH(E9,'Landbrugsareal - resultat'!$C$5:$E$5,0)))),IF(C9=2030,SUMPRODUCT((B9='Landbrugsareal - resultat'!$B$33:$B$46)*(INDEX('Landbrugsareal - resultat'!$F$33:$H$46,,MATCH(E9,'Landbrugsareal - resultat'!$F$5:$H$5,0)))),SUMPRODUCT((B9='Landbrugsareal - resultat'!$B$33:$B$46)*(INDEX('Landbrugsareal - resultat'!$I$33:$K$46,,MATCH(E9,'Landbrugsareal - resultat'!$I$5:$K$5,0)))))),IF(C9=2019,SUMPRODUCT((B9='Landbrugsareal - resultat'!$B$33:$B$46)*(INDEX('Landbrugsareal - resultat'!$L$33:$N$46,,MATCH(E9,'Landbrugsareal - resultat'!$L$5:$N$5,0)))),IF(C9=2030,SUMPRODUCT((B9='Landbrugsareal - resultat'!$B$33:$B$46)*(INDEX('Landbrugsareal - resultat'!$O$33:$Q$46,,MATCH(E9,'Landbrugsareal - resultat'!$O$5:$Q$5,0)))),SUMPRODUCT((B9='Landbrugsareal - resultat'!$B$33:$B$46)*(INDEX('Landbrugsareal - resultat'!$R$33:$T$46,,MATCH(E9,'Landbrugsareal - resultat'!$R$5:$T$5,0))))))))</f>
        <v>146143.69836902106</v>
      </c>
      <c r="H9" s="168">
        <f>G9*VLOOKUP(B9,[1]Afgrødedata!$A$5:$F$18,2,FALSE)*IF(D9="Økologisk",VLOOKUP(B9,[1]Afgrødedata!$A$5:$F$18,4,FALSE),1)*IF(E9&lt;&gt;Jordbund1,IF(E9=Organ6,VLOOKUP(B9,[1]Afgrødedata!$A$5:$F$18,5,FALSE),VLOOKUP(B9,[1]Afgrødedata!$A$5:$F$18,6,FALSE)),1)*0.1</f>
        <v>6504856.0144051276</v>
      </c>
      <c r="I9" s="168">
        <f>G9*VLOOKUP(B9,[1]Afgrødedata!$A$5:$F$18,3,FALSE)*IF(D9="Økologisk",VLOOKUP(B9,[1]Afgrødedata!$A$5:$F$18,4,FALSE),1)*IF(E9&lt;&gt;Jordbund1,IF(E9=Organ6,VLOOKUP(B9,[1]Afgrødedata!$A$5:$F$18,5,FALSE),VLOOKUP(B9,[1]Afgrødedata!$A$5:$F$18,6,FALSE)),1)*HLOOKUP(C9,Landbrug!$C$15:$E$17,2,FALSE)*HLOOKUP(C9,Landbrug!$C$15:$E$17,3,FALSE)*0.1</f>
        <v>0</v>
      </c>
      <c r="J9" s="76">
        <f t="shared" si="2"/>
        <v>6504856.0144051276</v>
      </c>
      <c r="L9" t="s">
        <v>23</v>
      </c>
      <c r="M9" t="s">
        <v>3</v>
      </c>
      <c r="N9">
        <v>2050</v>
      </c>
      <c r="O9" t="s">
        <v>7</v>
      </c>
      <c r="P9" s="76">
        <f>'Landbrugsareal - resultat'!E25</f>
        <v>1316616.6518496128</v>
      </c>
    </row>
    <row r="10" spans="1:16" x14ac:dyDescent="0.25">
      <c r="A10" t="s">
        <v>23</v>
      </c>
      <c r="B10" s="1" t="str">
        <f>[1]Afgrødefordeling!$C$10</f>
        <v>Frugt</v>
      </c>
      <c r="C10">
        <v>2019</v>
      </c>
      <c r="D10" t="s">
        <v>7</v>
      </c>
      <c r="E10" s="168" t="str">
        <f t="shared" si="0"/>
        <v>JB1-10</v>
      </c>
      <c r="F10" t="str">
        <f t="shared" si="1"/>
        <v>Frugt</v>
      </c>
      <c r="G10" s="76" cm="1">
        <f t="array" ref="G10">IF(A10="Vestdanmark",IF(D10="Konventionel",IF(C10=2019,SUMPRODUCT((B10='Landbrugsareal - resultat'!$B$6:$B$19)*(INDEX('Landbrugsareal - resultat'!$C$6:$E$19,,MATCH(E10,'Landbrugsareal - resultat'!$C$5:$E$5,0)))),IF(C10=2030,SUMPRODUCT((B10='Landbrugsareal - resultat'!$B$6:$B$19)*(INDEX('Landbrugsareal - resultat'!$F$6:$H$19,,MATCH(E10,'Landbrugsareal - resultat'!$F$5:$H$5,0)))),SUMPRODUCT((B10='Landbrugsareal - resultat'!$B$6:$B$19)*(INDEX('Landbrugsareal - resultat'!$I$6:$K$19,,MATCH(E10,'Landbrugsareal - resultat'!$I$5:$K$5,0)))))),IF(C10=2019,SUMPRODUCT((B10='Landbrugsareal - resultat'!$B$6:$B$19)*(INDEX('Landbrugsareal - resultat'!$L$6:$N$19,,MATCH(E10,'Landbrugsareal - resultat'!$L$5:$N$5,0)))),IF(C10=2030,SUMPRODUCT((B10='Landbrugsareal - resultat'!$B$6:$B$19)*(INDEX('Landbrugsareal - resultat'!$O$6:$Q$19,,MATCH(E10,'Landbrugsareal - resultat'!$O$5:$Q$5,0)))),SUMPRODUCT((B10='Landbrugsareal - resultat'!$B$6:$B$19)*(INDEX('Landbrugsareal - resultat'!$R$6:$T$19,,MATCH(E10,'Landbrugsareal - resultat'!$R$5:$T$5,0))))))),IF(D10="Konventionel",IF(C10=2019,SUMPRODUCT((B10='Landbrugsareal - resultat'!$B$33:$B$46)*(INDEX('Landbrugsareal - resultat'!$C$33:$E$46,,MATCH(E10,'Landbrugsareal - resultat'!$C$5:$E$5,0)))),IF(C10=2030,SUMPRODUCT((B10='Landbrugsareal - resultat'!$B$33:$B$46)*(INDEX('Landbrugsareal - resultat'!$F$33:$H$46,,MATCH(E10,'Landbrugsareal - resultat'!$F$5:$H$5,0)))),SUMPRODUCT((B10='Landbrugsareal - resultat'!$B$33:$B$46)*(INDEX('Landbrugsareal - resultat'!$I$33:$K$46,,MATCH(E10,'Landbrugsareal - resultat'!$I$5:$K$5,0)))))),IF(C10=2019,SUMPRODUCT((B10='Landbrugsareal - resultat'!$B$33:$B$46)*(INDEX('Landbrugsareal - resultat'!$L$33:$N$46,,MATCH(E10,'Landbrugsareal - resultat'!$L$5:$N$5,0)))),IF(C10=2030,SUMPRODUCT((B10='Landbrugsareal - resultat'!$B$33:$B$46)*(INDEX('Landbrugsareal - resultat'!$O$33:$Q$46,,MATCH(E10,'Landbrugsareal - resultat'!$O$5:$Q$5,0)))),SUMPRODUCT((B10='Landbrugsareal - resultat'!$B$33:$B$46)*(INDEX('Landbrugsareal - resultat'!$R$33:$T$46,,MATCH(E10,'Landbrugsareal - resultat'!$R$5:$T$5,0))))))))</f>
        <v>2685.4308255346846</v>
      </c>
      <c r="H10" s="168">
        <f>G10*VLOOKUP(B10,[1]Afgrødedata!$A$5:$F$18,2,FALSE)*IF(D10="Økologisk",VLOOKUP(B10,[1]Afgrødedata!$A$5:$F$18,4,FALSE),1)*IF(E10&lt;&gt;Jordbund1,IF(E10=Organ6,VLOOKUP(B10,[1]Afgrødedata!$A$5:$F$18,5,FALSE),VLOOKUP(B10,[1]Afgrødedata!$A$5:$F$18,6,FALSE)),1)*0.1</f>
        <v>22799.307708789474</v>
      </c>
      <c r="I10" s="168">
        <f>G10*VLOOKUP(B10,[1]Afgrødedata!$A$5:$F$18,3,FALSE)*IF(D10="Økologisk",VLOOKUP(B10,[1]Afgrødedata!$A$5:$F$18,4,FALSE),1)*IF(E10&lt;&gt;Jordbund1,IF(E10=Organ6,VLOOKUP(B10,[1]Afgrødedata!$A$5:$F$18,5,FALSE),VLOOKUP(B10,[1]Afgrødedata!$A$5:$F$18,6,FALSE)),1)*HLOOKUP(C10,Landbrug!$C$15:$E$17,2,FALSE)*HLOOKUP(C10,Landbrug!$C$15:$E$17,3,FALSE)*0.1</f>
        <v>0</v>
      </c>
      <c r="J10" s="76">
        <f t="shared" si="2"/>
        <v>22799.307708789474</v>
      </c>
      <c r="L10" t="s">
        <v>23</v>
      </c>
      <c r="M10" t="s">
        <v>4</v>
      </c>
      <c r="N10">
        <v>2050</v>
      </c>
      <c r="O10" t="s">
        <v>7</v>
      </c>
      <c r="P10" s="76">
        <f>'Landbrugsareal - resultat'!E26</f>
        <v>20327513.7994738</v>
      </c>
    </row>
    <row r="11" spans="1:16" x14ac:dyDescent="0.25">
      <c r="A11" t="s">
        <v>23</v>
      </c>
      <c r="B11" s="1" t="str">
        <f>[1]Afgrødefordeling!$C$11</f>
        <v>Øvrige</v>
      </c>
      <c r="C11">
        <v>2019</v>
      </c>
      <c r="D11" t="s">
        <v>7</v>
      </c>
      <c r="E11" s="168" t="str">
        <f t="shared" si="0"/>
        <v>JB1-10</v>
      </c>
      <c r="F11" t="str">
        <f t="shared" si="1"/>
        <v>Øvrige</v>
      </c>
      <c r="G11" s="76" cm="1">
        <f t="array" ref="G11">IF(A11="Vestdanmark",IF(D11="Konventionel",IF(C11=2019,SUMPRODUCT((B11='Landbrugsareal - resultat'!$B$6:$B$19)*(INDEX('Landbrugsareal - resultat'!$C$6:$E$19,,MATCH(E11,'Landbrugsareal - resultat'!$C$5:$E$5,0)))),IF(C11=2030,SUMPRODUCT((B11='Landbrugsareal - resultat'!$B$6:$B$19)*(INDEX('Landbrugsareal - resultat'!$F$6:$H$19,,MATCH(E11,'Landbrugsareal - resultat'!$F$5:$H$5,0)))),SUMPRODUCT((B11='Landbrugsareal - resultat'!$B$6:$B$19)*(INDEX('Landbrugsareal - resultat'!$I$6:$K$19,,MATCH(E11,'Landbrugsareal - resultat'!$I$5:$K$5,0)))))),IF(C11=2019,SUMPRODUCT((B11='Landbrugsareal - resultat'!$B$6:$B$19)*(INDEX('Landbrugsareal - resultat'!$L$6:$N$19,,MATCH(E11,'Landbrugsareal - resultat'!$L$5:$N$5,0)))),IF(C11=2030,SUMPRODUCT((B11='Landbrugsareal - resultat'!$B$6:$B$19)*(INDEX('Landbrugsareal - resultat'!$O$6:$Q$19,,MATCH(E11,'Landbrugsareal - resultat'!$O$5:$Q$5,0)))),SUMPRODUCT((B11='Landbrugsareal - resultat'!$B$6:$B$19)*(INDEX('Landbrugsareal - resultat'!$R$6:$T$19,,MATCH(E11,'Landbrugsareal - resultat'!$R$5:$T$5,0))))))),IF(D11="Konventionel",IF(C11=2019,SUMPRODUCT((B11='Landbrugsareal - resultat'!$B$33:$B$46)*(INDEX('Landbrugsareal - resultat'!$C$33:$E$46,,MATCH(E11,'Landbrugsareal - resultat'!$C$5:$E$5,0)))),IF(C11=2030,SUMPRODUCT((B11='Landbrugsareal - resultat'!$B$33:$B$46)*(INDEX('Landbrugsareal - resultat'!$F$33:$H$46,,MATCH(E11,'Landbrugsareal - resultat'!$F$5:$H$5,0)))),SUMPRODUCT((B11='Landbrugsareal - resultat'!$B$33:$B$46)*(INDEX('Landbrugsareal - resultat'!$I$33:$K$46,,MATCH(E11,'Landbrugsareal - resultat'!$I$5:$K$5,0)))))),IF(C11=2019,SUMPRODUCT((B11='Landbrugsareal - resultat'!$B$33:$B$46)*(INDEX('Landbrugsareal - resultat'!$L$33:$N$46,,MATCH(E11,'Landbrugsareal - resultat'!$L$5:$N$5,0)))),IF(C11=2030,SUMPRODUCT((B11='Landbrugsareal - resultat'!$B$33:$B$46)*(INDEX('Landbrugsareal - resultat'!$O$33:$Q$46,,MATCH(E11,'Landbrugsareal - resultat'!$O$5:$Q$5,0)))),SUMPRODUCT((B11='Landbrugsareal - resultat'!$B$33:$B$46)*(INDEX('Landbrugsareal - resultat'!$R$33:$T$46,,MATCH(E11,'Landbrugsareal - resultat'!$R$5:$T$5,0))))))))</f>
        <v>47494.264779726094</v>
      </c>
      <c r="H11" s="168">
        <f>G11*VLOOKUP(B11,[1]Afgrødedata!$A$5:$F$18,2,FALSE)*IF(D11="Økologisk",VLOOKUP(B11,[1]Afgrødedata!$A$5:$F$18,4,FALSE),1)*IF(E11&lt;&gt;Jordbund1,IF(E11=Organ6,VLOOKUP(B11,[1]Afgrødedata!$A$5:$F$18,5,FALSE),VLOOKUP(B11,[1]Afgrødedata!$A$5:$F$18,6,FALSE)),1)*0.1</f>
        <v>1415136.4303395611</v>
      </c>
      <c r="I11" s="168">
        <f>G11*VLOOKUP(B11,[1]Afgrødedata!$A$5:$F$18,3,FALSE)*IF(D11="Økologisk",VLOOKUP(B11,[1]Afgrødedata!$A$5:$F$18,4,FALSE),1)*IF(E11&lt;&gt;Jordbund1,IF(E11=Organ6,VLOOKUP(B11,[1]Afgrødedata!$A$5:$F$18,5,FALSE),VLOOKUP(B11,[1]Afgrødedata!$A$5:$F$18,6,FALSE)),1)*HLOOKUP(C11,Landbrug!$C$15:$E$17,2,FALSE)*HLOOKUP(C11,Landbrug!$C$15:$E$17,3,FALSE)*0.1</f>
        <v>0</v>
      </c>
      <c r="J11" s="76">
        <f t="shared" si="2"/>
        <v>1415136.4303395611</v>
      </c>
      <c r="L11" t="s">
        <v>23</v>
      </c>
      <c r="M11" t="s">
        <v>22</v>
      </c>
      <c r="N11">
        <v>2019</v>
      </c>
      <c r="O11" t="s">
        <v>8</v>
      </c>
      <c r="P11" s="76">
        <f>'Landbrugsareal - resultat'!F24</f>
        <v>475477</v>
      </c>
    </row>
    <row r="12" spans="1:16" x14ac:dyDescent="0.25">
      <c r="A12" t="s">
        <v>23</v>
      </c>
      <c r="B12" s="1" t="str">
        <f>[1]Afgrødefordeling!$C$12</f>
        <v>Frø</v>
      </c>
      <c r="C12">
        <v>2019</v>
      </c>
      <c r="D12" t="s">
        <v>7</v>
      </c>
      <c r="E12" s="168" t="str">
        <f t="shared" si="0"/>
        <v>JB1-10</v>
      </c>
      <c r="F12" t="str">
        <f t="shared" si="1"/>
        <v>Halm</v>
      </c>
      <c r="G12" s="76" cm="1">
        <f t="array" ref="G12">IF(A12="Vestdanmark",IF(D12="Konventionel",IF(C12=2019,SUMPRODUCT((B12='Landbrugsareal - resultat'!$B$6:$B$19)*(INDEX('Landbrugsareal - resultat'!$C$6:$E$19,,MATCH(E12,'Landbrugsareal - resultat'!$C$5:$E$5,0)))),IF(C12=2030,SUMPRODUCT((B12='Landbrugsareal - resultat'!$B$6:$B$19)*(INDEX('Landbrugsareal - resultat'!$F$6:$H$19,,MATCH(E12,'Landbrugsareal - resultat'!$F$5:$H$5,0)))),SUMPRODUCT((B12='Landbrugsareal - resultat'!$B$6:$B$19)*(INDEX('Landbrugsareal - resultat'!$I$6:$K$19,,MATCH(E12,'Landbrugsareal - resultat'!$I$5:$K$5,0)))))),IF(C12=2019,SUMPRODUCT((B12='Landbrugsareal - resultat'!$B$6:$B$19)*(INDEX('Landbrugsareal - resultat'!$L$6:$N$19,,MATCH(E12,'Landbrugsareal - resultat'!$L$5:$N$5,0)))),IF(C12=2030,SUMPRODUCT((B12='Landbrugsareal - resultat'!$B$6:$B$19)*(INDEX('Landbrugsareal - resultat'!$O$6:$Q$19,,MATCH(E12,'Landbrugsareal - resultat'!$O$5:$Q$5,0)))),SUMPRODUCT((B12='Landbrugsareal - resultat'!$B$6:$B$19)*(INDEX('Landbrugsareal - resultat'!$R$6:$T$19,,MATCH(E12,'Landbrugsareal - resultat'!$R$5:$T$5,0))))))),IF(D12="Konventionel",IF(C12=2019,SUMPRODUCT((B12='Landbrugsareal - resultat'!$B$33:$B$46)*(INDEX('Landbrugsareal - resultat'!$C$33:$E$46,,MATCH(E12,'Landbrugsareal - resultat'!$C$5:$E$5,0)))),IF(C12=2030,SUMPRODUCT((B12='Landbrugsareal - resultat'!$B$33:$B$46)*(INDEX('Landbrugsareal - resultat'!$F$33:$H$46,,MATCH(E12,'Landbrugsareal - resultat'!$F$5:$H$5,0)))),SUMPRODUCT((B12='Landbrugsareal - resultat'!$B$33:$B$46)*(INDEX('Landbrugsareal - resultat'!$I$33:$K$46,,MATCH(E12,'Landbrugsareal - resultat'!$I$5:$K$5,0)))))),IF(C12=2019,SUMPRODUCT((B12='Landbrugsareal - resultat'!$B$33:$B$46)*(INDEX('Landbrugsareal - resultat'!$L$33:$N$46,,MATCH(E12,'Landbrugsareal - resultat'!$L$5:$N$5,0)))),IF(C12=2030,SUMPRODUCT((B12='Landbrugsareal - resultat'!$B$33:$B$46)*(INDEX('Landbrugsareal - resultat'!$O$33:$Q$46,,MATCH(E12,'Landbrugsareal - resultat'!$O$5:$Q$5,0)))),SUMPRODUCT((B12='Landbrugsareal - resultat'!$B$33:$B$46)*(INDEX('Landbrugsareal - resultat'!$R$33:$T$46,,MATCH(E12,'Landbrugsareal - resultat'!$R$5:$T$5,0))))))))</f>
        <v>49959.789539022684</v>
      </c>
      <c r="H12" s="168">
        <f>G12*VLOOKUP(B12,[1]Afgrødedata!$A$5:$F$18,2,FALSE)*IF(D12="Økologisk",VLOOKUP(B12,[1]Afgrødedata!$A$5:$F$18,4,FALSE),1)*IF(E12&lt;&gt;Jordbund1,IF(E12=Organ6,VLOOKUP(B12,[1]Afgrødedata!$A$5:$F$18,5,FALSE),VLOOKUP(B12,[1]Afgrødedata!$A$5:$F$18,6,FALSE)),1)*0.1</f>
        <v>713868.47629670368</v>
      </c>
      <c r="I12" s="168">
        <f>G12*VLOOKUP(B12,[1]Afgrødedata!$A$5:$F$18,3,FALSE)*IF(D12="Økologisk",VLOOKUP(B12,[1]Afgrødedata!$A$5:$F$18,4,FALSE),1)*IF(E12&lt;&gt;Jordbund1,IF(E12=Organ6,VLOOKUP(B12,[1]Afgrødedata!$A$5:$F$18,5,FALSE),VLOOKUP(B12,[1]Afgrødedata!$A$5:$F$18,6,FALSE)),1)*HLOOKUP(C12,Landbrug!$C$15:$E$17,2,FALSE)*HLOOKUP(C12,Landbrug!$C$15:$E$17,3,FALSE)*0.1</f>
        <v>118594.54840773207</v>
      </c>
      <c r="J12" s="76">
        <f t="shared" si="2"/>
        <v>118594.54840773207</v>
      </c>
      <c r="L12" t="s">
        <v>23</v>
      </c>
      <c r="M12" t="s">
        <v>3</v>
      </c>
      <c r="N12">
        <v>2019</v>
      </c>
      <c r="O12" t="s">
        <v>8</v>
      </c>
      <c r="P12" s="76">
        <f>'Landbrugsareal - resultat'!F25</f>
        <v>207835</v>
      </c>
    </row>
    <row r="13" spans="1:16" x14ac:dyDescent="0.25">
      <c r="A13" t="s">
        <v>23</v>
      </c>
      <c r="B13" s="1" t="str">
        <f>[1]Afgrødefordeling!$C$13</f>
        <v>Juletræer</v>
      </c>
      <c r="C13">
        <v>2019</v>
      </c>
      <c r="D13" t="s">
        <v>7</v>
      </c>
      <c r="E13" s="168" t="str">
        <f t="shared" si="0"/>
        <v>JB1-10</v>
      </c>
      <c r="F13" t="str">
        <f t="shared" si="1"/>
        <v>Juletræer</v>
      </c>
      <c r="G13" s="76" cm="1">
        <f t="array" ref="G13">IF(A13="Vestdanmark",IF(D13="Konventionel",IF(C13=2019,SUMPRODUCT((B13='Landbrugsareal - resultat'!$B$6:$B$19)*(INDEX('Landbrugsareal - resultat'!$C$6:$E$19,,MATCH(E13,'Landbrugsareal - resultat'!$C$5:$E$5,0)))),IF(C13=2030,SUMPRODUCT((B13='Landbrugsareal - resultat'!$B$6:$B$19)*(INDEX('Landbrugsareal - resultat'!$F$6:$H$19,,MATCH(E13,'Landbrugsareal - resultat'!$F$5:$H$5,0)))),SUMPRODUCT((B13='Landbrugsareal - resultat'!$B$6:$B$19)*(INDEX('Landbrugsareal - resultat'!$I$6:$K$19,,MATCH(E13,'Landbrugsareal - resultat'!$I$5:$K$5,0)))))),IF(C13=2019,SUMPRODUCT((B13='Landbrugsareal - resultat'!$B$6:$B$19)*(INDEX('Landbrugsareal - resultat'!$L$6:$N$19,,MATCH(E13,'Landbrugsareal - resultat'!$L$5:$N$5,0)))),IF(C13=2030,SUMPRODUCT((B13='Landbrugsareal - resultat'!$B$6:$B$19)*(INDEX('Landbrugsareal - resultat'!$O$6:$Q$19,,MATCH(E13,'Landbrugsareal - resultat'!$O$5:$Q$5,0)))),SUMPRODUCT((B13='Landbrugsareal - resultat'!$B$6:$B$19)*(INDEX('Landbrugsareal - resultat'!$R$6:$T$19,,MATCH(E13,'Landbrugsareal - resultat'!$R$5:$T$5,0))))))),IF(D13="Konventionel",IF(C13=2019,SUMPRODUCT((B13='Landbrugsareal - resultat'!$B$33:$B$46)*(INDEX('Landbrugsareal - resultat'!$C$33:$E$46,,MATCH(E13,'Landbrugsareal - resultat'!$C$5:$E$5,0)))),IF(C13=2030,SUMPRODUCT((B13='Landbrugsareal - resultat'!$B$33:$B$46)*(INDEX('Landbrugsareal - resultat'!$F$33:$H$46,,MATCH(E13,'Landbrugsareal - resultat'!$F$5:$H$5,0)))),SUMPRODUCT((B13='Landbrugsareal - resultat'!$B$33:$B$46)*(INDEX('Landbrugsareal - resultat'!$I$33:$K$46,,MATCH(E13,'Landbrugsareal - resultat'!$I$5:$K$5,0)))))),IF(C13=2019,SUMPRODUCT((B13='Landbrugsareal - resultat'!$B$33:$B$46)*(INDEX('Landbrugsareal - resultat'!$L$33:$N$46,,MATCH(E13,'Landbrugsareal - resultat'!$L$5:$N$5,0)))),IF(C13=2030,SUMPRODUCT((B13='Landbrugsareal - resultat'!$B$33:$B$46)*(INDEX('Landbrugsareal - resultat'!$O$33:$Q$46,,MATCH(E13,'Landbrugsareal - resultat'!$O$5:$Q$5,0)))),SUMPRODUCT((B13='Landbrugsareal - resultat'!$B$33:$B$46)*(INDEX('Landbrugsareal - resultat'!$R$33:$T$46,,MATCH(E13,'Landbrugsareal - resultat'!$R$5:$T$5,0))))))))</f>
        <v>13468.89657573873</v>
      </c>
      <c r="H13" s="168">
        <f>G13*VLOOKUP(B13,[1]Afgrødedata!$A$5:$F$18,2,FALSE)*IF(D13="Økologisk",VLOOKUP(B13,[1]Afgrødedata!$A$5:$F$18,4,FALSE),1)*IF(E13&lt;&gt;Jordbund1,IF(E13=Organ6,VLOOKUP(B13,[1]Afgrødedata!$A$5:$F$18,5,FALSE),VLOOKUP(B13,[1]Afgrødedata!$A$5:$F$18,6,FALSE)),1)*0.1</f>
        <v>673444.82878693659</v>
      </c>
      <c r="I13" s="168">
        <f>G13*VLOOKUP(B13,[1]Afgrødedata!$A$5:$F$18,3,FALSE)*IF(D13="Økologisk",VLOOKUP(B13,[1]Afgrødedata!$A$5:$F$18,4,FALSE),1)*IF(E13&lt;&gt;Jordbund1,IF(E13=Organ6,VLOOKUP(B13,[1]Afgrødedata!$A$5:$F$18,5,FALSE),VLOOKUP(B13,[1]Afgrødedata!$A$5:$F$18,6,FALSE)),1)*HLOOKUP(C13,Landbrug!$C$15:$E$17,2,FALSE)*HLOOKUP(C13,Landbrug!$C$15:$E$17,3,FALSE)*0.1</f>
        <v>0</v>
      </c>
      <c r="J13" s="76">
        <f t="shared" si="2"/>
        <v>673444.82878693659</v>
      </c>
      <c r="L13" t="s">
        <v>23</v>
      </c>
      <c r="M13" t="s">
        <v>4</v>
      </c>
      <c r="N13">
        <v>2019</v>
      </c>
      <c r="O13" t="s">
        <v>8</v>
      </c>
      <c r="P13" s="76">
        <f>'Landbrugsareal - resultat'!F26</f>
        <v>3062300</v>
      </c>
    </row>
    <row r="14" spans="1:16" x14ac:dyDescent="0.25">
      <c r="A14" t="s">
        <v>23</v>
      </c>
      <c r="B14" s="1" t="str">
        <f>[1]Afgrødefordeling!$C$14</f>
        <v>Pil &amp; poppel</v>
      </c>
      <c r="C14">
        <v>2019</v>
      </c>
      <c r="D14" t="s">
        <v>7</v>
      </c>
      <c r="E14" s="168" t="str">
        <f t="shared" si="0"/>
        <v>JB1-10</v>
      </c>
      <c r="F14" t="str">
        <f>IF(I14&lt;&gt;0,"Halm",IF(B14&lt;&gt;"Permanent græs",B14,"Græs"))</f>
        <v>Pil &amp; poppel</v>
      </c>
      <c r="G14" s="76" cm="1">
        <f t="array" ref="G14">IF(A14="Vestdanmark",IF(D14="Konventionel",IF(C14=2019,SUMPRODUCT((B14='Landbrugsareal - resultat'!$B$6:$B$19)*(INDEX('Landbrugsareal - resultat'!$C$6:$E$19,,MATCH(E14,'Landbrugsareal - resultat'!$C$5:$E$5,0)))),IF(C14=2030,SUMPRODUCT((B14='Landbrugsareal - resultat'!$B$6:$B$19)*(INDEX('Landbrugsareal - resultat'!$F$6:$H$19,,MATCH(E14,'Landbrugsareal - resultat'!$F$5:$H$5,0)))),SUMPRODUCT((B14='Landbrugsareal - resultat'!$B$6:$B$19)*(INDEX('Landbrugsareal - resultat'!$I$6:$K$19,,MATCH(E14,'Landbrugsareal - resultat'!$I$5:$K$5,0)))))),IF(C14=2019,SUMPRODUCT((B14='Landbrugsareal - resultat'!$B$6:$B$19)*(INDEX('Landbrugsareal - resultat'!$L$6:$N$19,,MATCH(E14,'Landbrugsareal - resultat'!$L$5:$N$5,0)))),IF(C14=2030,SUMPRODUCT((B14='Landbrugsareal - resultat'!$B$6:$B$19)*(INDEX('Landbrugsareal - resultat'!$O$6:$Q$19,,MATCH(E14,'Landbrugsareal - resultat'!$O$5:$Q$5,0)))),SUMPRODUCT((B14='Landbrugsareal - resultat'!$B$6:$B$19)*(INDEX('Landbrugsareal - resultat'!$R$6:$T$19,,MATCH(E14,'Landbrugsareal - resultat'!$R$5:$T$5,0))))))),IF(D14="Konventionel",IF(C14=2019,SUMPRODUCT((B14='Landbrugsareal - resultat'!$B$33:$B$46)*(INDEX('Landbrugsareal - resultat'!$C$33:$E$46,,MATCH(E14,'Landbrugsareal - resultat'!$C$5:$E$5,0)))),IF(C14=2030,SUMPRODUCT((B14='Landbrugsareal - resultat'!$B$33:$B$46)*(INDEX('Landbrugsareal - resultat'!$F$33:$H$46,,MATCH(E14,'Landbrugsareal - resultat'!$F$5:$H$5,0)))),SUMPRODUCT((B14='Landbrugsareal - resultat'!$B$33:$B$46)*(INDEX('Landbrugsareal - resultat'!$I$33:$K$46,,MATCH(E14,'Landbrugsareal - resultat'!$I$5:$K$5,0)))))),IF(C14=2019,SUMPRODUCT((B14='Landbrugsareal - resultat'!$B$33:$B$46)*(INDEX('Landbrugsareal - resultat'!$L$33:$N$46,,MATCH(E14,'Landbrugsareal - resultat'!$L$5:$N$5,0)))),IF(C14=2030,SUMPRODUCT((B14='Landbrugsareal - resultat'!$B$33:$B$46)*(INDEX('Landbrugsareal - resultat'!$O$33:$Q$46,,MATCH(E14,'Landbrugsareal - resultat'!$O$5:$Q$5,0)))),SUMPRODUCT((B14='Landbrugsareal - resultat'!$B$33:$B$46)*(INDEX('Landbrugsareal - resultat'!$R$33:$T$46,,MATCH(E14,'Landbrugsareal - resultat'!$R$5:$T$5,0))))))))</f>
        <v>4954.292308391774</v>
      </c>
      <c r="H14" s="168">
        <f>G14*VLOOKUP(B14,[1]Afgrødedata!$A$5:$F$18,2,FALSE)*IF(D14="Økologisk",VLOOKUP(B14,[1]Afgrødedata!$A$5:$F$18,4,FALSE),1)*IF(E14&lt;&gt;Jordbund1,IF(E14=Organ6,VLOOKUP(B14,[1]Afgrødedata!$A$5:$F$18,5,FALSE),VLOOKUP(B14,[1]Afgrødedata!$A$5:$F$18,6,FALSE)),1)*0.1</f>
        <v>120836.39776565303</v>
      </c>
      <c r="I14" s="168">
        <f>G14*VLOOKUP(B14,[1]Afgrødedata!$A$5:$F$18,3,FALSE)*IF(D14="Økologisk",VLOOKUP(B14,[1]Afgrødedata!$A$5:$F$18,4,FALSE),1)*IF(E14&lt;&gt;Jordbund1,IF(E14=Organ6,VLOOKUP(B14,[1]Afgrødedata!$A$5:$F$18,5,FALSE),VLOOKUP(B14,[1]Afgrødedata!$A$5:$F$18,6,FALSE)),1)*HLOOKUP(C14,Landbrug!$C$15:$E$17,2,FALSE)*HLOOKUP(C14,Landbrug!$C$15:$E$17,3,FALSE)*0.1</f>
        <v>0</v>
      </c>
      <c r="J14" s="76">
        <f t="shared" ref="J14" si="3">IF(I14&lt;&gt;0,I14,H14)</f>
        <v>120836.39776565303</v>
      </c>
      <c r="L14" t="s">
        <v>23</v>
      </c>
      <c r="M14" t="s">
        <v>22</v>
      </c>
      <c r="N14">
        <v>2030</v>
      </c>
      <c r="O14" t="s">
        <v>8</v>
      </c>
      <c r="P14" s="76">
        <f>'Landbrugsareal - resultat'!G24</f>
        <v>793429.97031479969</v>
      </c>
    </row>
    <row r="15" spans="1:16" x14ac:dyDescent="0.25">
      <c r="A15" t="s">
        <v>23</v>
      </c>
      <c r="B15" s="1" t="str">
        <f>[1]Afgrødefordeling!$C$15</f>
        <v>Permanent græs</v>
      </c>
      <c r="C15">
        <v>2019</v>
      </c>
      <c r="D15" t="s">
        <v>7</v>
      </c>
      <c r="E15" s="168" t="str">
        <f t="shared" si="0"/>
        <v>JB1-10</v>
      </c>
      <c r="F15" t="str">
        <f t="shared" si="1"/>
        <v>Græs</v>
      </c>
      <c r="G15" s="76" cm="1">
        <f t="array" ref="G15">IF(A15="Vestdanmark",IF(D15="Konventionel",IF(C15=2019,SUMPRODUCT((B15='Landbrugsareal - resultat'!$B$6:$B$19)*(INDEX('Landbrugsareal - resultat'!$C$6:$E$19,,MATCH(E15,'Landbrugsareal - resultat'!$C$5:$E$5,0)))),IF(C15=2030,SUMPRODUCT((B15='Landbrugsareal - resultat'!$B$6:$B$19)*(INDEX('Landbrugsareal - resultat'!$F$6:$H$19,,MATCH(E15,'Landbrugsareal - resultat'!$F$5:$H$5,0)))),SUMPRODUCT((B15='Landbrugsareal - resultat'!$B$6:$B$19)*(INDEX('Landbrugsareal - resultat'!$I$6:$K$19,,MATCH(E15,'Landbrugsareal - resultat'!$I$5:$K$5,0)))))),IF(C15=2019,SUMPRODUCT((B15='Landbrugsareal - resultat'!$B$6:$B$19)*(INDEX('Landbrugsareal - resultat'!$L$6:$N$19,,MATCH(E15,'Landbrugsareal - resultat'!$L$5:$N$5,0)))),IF(C15=2030,SUMPRODUCT((B15='Landbrugsareal - resultat'!$B$6:$B$19)*(INDEX('Landbrugsareal - resultat'!$O$6:$Q$19,,MATCH(E15,'Landbrugsareal - resultat'!$O$5:$Q$5,0)))),SUMPRODUCT((B15='Landbrugsareal - resultat'!$B$6:$B$19)*(INDEX('Landbrugsareal - resultat'!$R$6:$T$19,,MATCH(E15,'Landbrugsareal - resultat'!$R$5:$T$5,0))))))),IF(D15="Konventionel",IF(C15=2019,SUMPRODUCT((B15='Landbrugsareal - resultat'!$B$33:$B$46)*(INDEX('Landbrugsareal - resultat'!$C$33:$E$46,,MATCH(E15,'Landbrugsareal - resultat'!$C$5:$E$5,0)))),IF(C15=2030,SUMPRODUCT((B15='Landbrugsareal - resultat'!$B$33:$B$46)*(INDEX('Landbrugsareal - resultat'!$F$33:$H$46,,MATCH(E15,'Landbrugsareal - resultat'!$F$5:$H$5,0)))),SUMPRODUCT((B15='Landbrugsareal - resultat'!$B$33:$B$46)*(INDEX('Landbrugsareal - resultat'!$I$33:$K$46,,MATCH(E15,'Landbrugsareal - resultat'!$I$5:$K$5,0)))))),IF(C15=2019,SUMPRODUCT((B15='Landbrugsareal - resultat'!$B$33:$B$46)*(INDEX('Landbrugsareal - resultat'!$L$33:$N$46,,MATCH(E15,'Landbrugsareal - resultat'!$L$5:$N$5,0)))),IF(C15=2030,SUMPRODUCT((B15='Landbrugsareal - resultat'!$B$33:$B$46)*(INDEX('Landbrugsareal - resultat'!$O$33:$Q$46,,MATCH(E15,'Landbrugsareal - resultat'!$O$5:$Q$5,0)))),SUMPRODUCT((B15='Landbrugsareal - resultat'!$B$33:$B$46)*(INDEX('Landbrugsareal - resultat'!$R$33:$T$46,,MATCH(E15,'Landbrugsareal - resultat'!$R$5:$T$5,0))))))))</f>
        <v>119415.94261463804</v>
      </c>
      <c r="H15" s="168">
        <f>G15*VLOOKUP(B15,[1]Afgrødedata!$A$5:$F$18,2,FALSE)*IF(D15="Økologisk",VLOOKUP(B15,[1]Afgrødedata!$A$5:$F$18,4,FALSE),1)*IF(E15&lt;&gt;Jordbund1,IF(E15=Organ6,VLOOKUP(B15,[1]Afgrødedata!$A$5:$F$18,5,FALSE),VLOOKUP(B15,[1]Afgrødedata!$A$5:$F$18,6,FALSE)),1)*0.1</f>
        <v>1646745.8486558588</v>
      </c>
      <c r="I15" s="168">
        <f>G15*VLOOKUP(B15,[1]Afgrødedata!$A$5:$F$18,3,FALSE)*IF(D15="Økologisk",VLOOKUP(B15,[1]Afgrødedata!$A$5:$F$18,4,FALSE),1)*IF(E15&lt;&gt;Jordbund1,IF(E15=Organ6,VLOOKUP(B15,[1]Afgrødedata!$A$5:$F$18,5,FALSE),VLOOKUP(B15,[1]Afgrødedata!$A$5:$F$18,6,FALSE)),1)*HLOOKUP(C15,Landbrug!$C$15:$E$17,2,FALSE)*HLOOKUP(C15,Landbrug!$C$15:$E$17,3,FALSE)*0.1</f>
        <v>0</v>
      </c>
      <c r="J15" s="76">
        <f t="shared" si="2"/>
        <v>1646745.8486558588</v>
      </c>
      <c r="L15" t="s">
        <v>23</v>
      </c>
      <c r="M15" t="s">
        <v>3</v>
      </c>
      <c r="N15">
        <v>2030</v>
      </c>
      <c r="O15" t="s">
        <v>8</v>
      </c>
      <c r="P15" s="76">
        <f>'Landbrugsareal - resultat'!G25</f>
        <v>287501.87615038722</v>
      </c>
    </row>
    <row r="16" spans="1:16" x14ac:dyDescent="0.25">
      <c r="A16" t="s">
        <v>23</v>
      </c>
      <c r="B16" s="1" t="str">
        <f>[1]Afgrødefordeling!$C$2</f>
        <v>Korn</v>
      </c>
      <c r="C16">
        <v>2030</v>
      </c>
      <c r="D16" t="s">
        <v>7</v>
      </c>
      <c r="E16" s="168" t="str">
        <f t="shared" si="0"/>
        <v>JB1-10</v>
      </c>
      <c r="F16" t="str">
        <f t="shared" si="1"/>
        <v>Halm</v>
      </c>
      <c r="G16" s="76" cm="1">
        <f t="array" ref="G16">IF(A16="Vestdanmark",IF(D16="Konventionel",IF(C16=2019,SUMPRODUCT((B16='Landbrugsareal - resultat'!$B$6:$B$19)*(INDEX('Landbrugsareal - resultat'!$C$6:$E$19,,MATCH(E16,'Landbrugsareal - resultat'!$C$5:$E$5,0)))),IF(C16=2030,SUMPRODUCT((B16='Landbrugsareal - resultat'!$B$6:$B$19)*(INDEX('Landbrugsareal - resultat'!$F$6:$H$19,,MATCH(E16,'Landbrugsareal - resultat'!$F$5:$H$5,0)))),SUMPRODUCT((B16='Landbrugsareal - resultat'!$B$6:$B$19)*(INDEX('Landbrugsareal - resultat'!$I$6:$K$19,,MATCH(E16,'Landbrugsareal - resultat'!$I$5:$K$5,0)))))),IF(C16=2019,SUMPRODUCT((B16='Landbrugsareal - resultat'!$B$6:$B$19)*(INDEX('Landbrugsareal - resultat'!$L$6:$N$19,,MATCH(E16,'Landbrugsareal - resultat'!$L$5:$N$5,0)))),IF(C16=2030,SUMPRODUCT((B16='Landbrugsareal - resultat'!$B$6:$B$19)*(INDEX('Landbrugsareal - resultat'!$O$6:$Q$19,,MATCH(E16,'Landbrugsareal - resultat'!$O$5:$Q$5,0)))),SUMPRODUCT((B16='Landbrugsareal - resultat'!$B$6:$B$19)*(INDEX('Landbrugsareal - resultat'!$R$6:$T$19,,MATCH(E16,'Landbrugsareal - resultat'!$R$5:$T$5,0))))))),IF(D16="Konventionel",IF(C16=2019,SUMPRODUCT((B16='Landbrugsareal - resultat'!$B$33:$B$46)*(INDEX('Landbrugsareal - resultat'!$C$33:$E$46,,MATCH(E16,'Landbrugsareal - resultat'!$C$5:$E$5,0)))),IF(C16=2030,SUMPRODUCT((B16='Landbrugsareal - resultat'!$B$33:$B$46)*(INDEX('Landbrugsareal - resultat'!$F$33:$H$46,,MATCH(E16,'Landbrugsareal - resultat'!$F$5:$H$5,0)))),SUMPRODUCT((B16='Landbrugsareal - resultat'!$B$33:$B$46)*(INDEX('Landbrugsareal - resultat'!$I$33:$K$46,,MATCH(E16,'Landbrugsareal - resultat'!$I$5:$K$5,0)))))),IF(C16=2019,SUMPRODUCT((B16='Landbrugsareal - resultat'!$B$33:$B$46)*(INDEX('Landbrugsareal - resultat'!$L$33:$N$46,,MATCH(E16,'Landbrugsareal - resultat'!$L$5:$N$5,0)))),IF(C16=2030,SUMPRODUCT((B16='Landbrugsareal - resultat'!$B$33:$B$46)*(INDEX('Landbrugsareal - resultat'!$O$33:$Q$46,,MATCH(E16,'Landbrugsareal - resultat'!$O$5:$Q$5,0)))),SUMPRODUCT((B16='Landbrugsareal - resultat'!$B$33:$B$46)*(INDEX('Landbrugsareal - resultat'!$R$33:$T$46,,MATCH(E16,'Landbrugsareal - resultat'!$R$5:$T$5,0))))))))</f>
        <v>826963.57771767024</v>
      </c>
      <c r="H16" s="168">
        <f>G16*VLOOKUP(B16,[1]Afgrødedata!$A$5:$F$18,2,FALSE)*IF(D16="Økologisk",VLOOKUP(B16,[1]Afgrødedata!$A$5:$F$18,4,FALSE),1)*IF(E16&lt;&gt;Jordbund1,IF(E16=Organ6,VLOOKUP(B16,[1]Afgrødedata!$A$5:$F$18,5,FALSE),VLOOKUP(B16,[1]Afgrødedata!$A$5:$F$18,6,FALSE)),1)*0.1</f>
        <v>5797014.679800868</v>
      </c>
      <c r="I16" s="168">
        <f>G16*VLOOKUP(B16,[1]Afgrødedata!$A$5:$F$18,3,FALSE)*IF(D16="Økologisk",VLOOKUP(B16,[1]Afgrødedata!$A$5:$F$18,4,FALSE),1)*IF(E16&lt;&gt;Jordbund1,IF(E16=Organ6,VLOOKUP(B16,[1]Afgrødedata!$A$5:$F$18,5,FALSE),VLOOKUP(B16,[1]Afgrødedata!$A$5:$F$18,6,FALSE)),1)*HLOOKUP(C16,Landbrug!$C$15:$E$17,2,FALSE)*HLOOKUP(C16,Landbrug!$C$15:$E$17,3,FALSE)*0.1</f>
        <v>1881131.2635953818</v>
      </c>
      <c r="J16" s="76">
        <f t="shared" si="2"/>
        <v>1881131.2635953818</v>
      </c>
      <c r="L16" t="s">
        <v>23</v>
      </c>
      <c r="M16" t="s">
        <v>4</v>
      </c>
      <c r="N16">
        <v>2030</v>
      </c>
      <c r="O16" t="s">
        <v>8</v>
      </c>
      <c r="P16" s="76">
        <f>'Landbrugsareal - resultat'!G26</f>
        <v>4180518.9685262032</v>
      </c>
    </row>
    <row r="17" spans="1:16" x14ac:dyDescent="0.25">
      <c r="A17" t="s">
        <v>23</v>
      </c>
      <c r="B17" s="1" t="str">
        <f>[1]Afgrødefordeling!$C$3</f>
        <v>Bælgsæd</v>
      </c>
      <c r="C17">
        <v>2030</v>
      </c>
      <c r="D17" t="s">
        <v>7</v>
      </c>
      <c r="E17" s="168" t="str">
        <f t="shared" si="0"/>
        <v>JB1-10</v>
      </c>
      <c r="F17" t="str">
        <f t="shared" si="1"/>
        <v>Halm</v>
      </c>
      <c r="G17" s="76" cm="1">
        <f t="array" ref="G17">IF(A17="Vestdanmark",IF(D17="Konventionel",IF(C17=2019,SUMPRODUCT((B17='Landbrugsareal - resultat'!$B$6:$B$19)*(INDEX('Landbrugsareal - resultat'!$C$6:$E$19,,MATCH(E17,'Landbrugsareal - resultat'!$C$5:$E$5,0)))),IF(C17=2030,SUMPRODUCT((B17='Landbrugsareal - resultat'!$B$6:$B$19)*(INDEX('Landbrugsareal - resultat'!$F$6:$H$19,,MATCH(E17,'Landbrugsareal - resultat'!$F$5:$H$5,0)))),SUMPRODUCT((B17='Landbrugsareal - resultat'!$B$6:$B$19)*(INDEX('Landbrugsareal - resultat'!$I$6:$K$19,,MATCH(E17,'Landbrugsareal - resultat'!$I$5:$K$5,0)))))),IF(C17=2019,SUMPRODUCT((B17='Landbrugsareal - resultat'!$B$6:$B$19)*(INDEX('Landbrugsareal - resultat'!$L$6:$N$19,,MATCH(E17,'Landbrugsareal - resultat'!$L$5:$N$5,0)))),IF(C17=2030,SUMPRODUCT((B17='Landbrugsareal - resultat'!$B$6:$B$19)*(INDEX('Landbrugsareal - resultat'!$O$6:$Q$19,,MATCH(E17,'Landbrugsareal - resultat'!$O$5:$Q$5,0)))),SUMPRODUCT((B17='Landbrugsareal - resultat'!$B$6:$B$19)*(INDEX('Landbrugsareal - resultat'!$R$6:$T$19,,MATCH(E17,'Landbrugsareal - resultat'!$R$5:$T$5,0))))))),IF(D17="Konventionel",IF(C17=2019,SUMPRODUCT((B17='Landbrugsareal - resultat'!$B$33:$B$46)*(INDEX('Landbrugsareal - resultat'!$C$33:$E$46,,MATCH(E17,'Landbrugsareal - resultat'!$C$5:$E$5,0)))),IF(C17=2030,SUMPRODUCT((B17='Landbrugsareal - resultat'!$B$33:$B$46)*(INDEX('Landbrugsareal - resultat'!$F$33:$H$46,,MATCH(E17,'Landbrugsareal - resultat'!$F$5:$H$5,0)))),SUMPRODUCT((B17='Landbrugsareal - resultat'!$B$33:$B$46)*(INDEX('Landbrugsareal - resultat'!$I$33:$K$46,,MATCH(E17,'Landbrugsareal - resultat'!$I$5:$K$5,0)))))),IF(C17=2019,SUMPRODUCT((B17='Landbrugsareal - resultat'!$B$33:$B$46)*(INDEX('Landbrugsareal - resultat'!$L$33:$N$46,,MATCH(E17,'Landbrugsareal - resultat'!$L$5:$N$5,0)))),IF(C17=2030,SUMPRODUCT((B17='Landbrugsareal - resultat'!$B$33:$B$46)*(INDEX('Landbrugsareal - resultat'!$O$33:$Q$46,,MATCH(E17,'Landbrugsareal - resultat'!$O$5:$Q$5,0)))),SUMPRODUCT((B17='Landbrugsareal - resultat'!$B$33:$B$46)*(INDEX('Landbrugsareal - resultat'!$R$33:$T$46,,MATCH(E17,'Landbrugsareal - resultat'!$R$5:$T$5,0))))))))</f>
        <v>57136.166679995331</v>
      </c>
      <c r="H17" s="168">
        <f>G17*VLOOKUP(B17,[1]Afgrødedata!$A$5:$F$18,2,FALSE)*IF(D17="Økologisk",VLOOKUP(B17,[1]Afgrødedata!$A$5:$F$18,4,FALSE),1)*IF(E17&lt;&gt;Jordbund1,IF(E17=Organ6,VLOOKUP(B17,[1]Afgrødedata!$A$5:$F$18,5,FALSE),VLOOKUP(B17,[1]Afgrødedata!$A$5:$F$18,6,FALSE)),1)*0.1</f>
        <v>220545.60338478201</v>
      </c>
      <c r="I17" s="168">
        <f>G17*VLOOKUP(B17,[1]Afgrødedata!$A$5:$F$18,3,FALSE)*IF(D17="Økologisk",VLOOKUP(B17,[1]Afgrødedata!$A$5:$F$18,4,FALSE),1)*IF(E17&lt;&gt;Jordbund1,IF(E17=Organ6,VLOOKUP(B17,[1]Afgrødedata!$A$5:$F$18,5,FALSE),VLOOKUP(B17,[1]Afgrødedata!$A$5:$F$18,6,FALSE)),1)*HLOOKUP(C17,Landbrug!$C$15:$E$17,2,FALSE)*HLOOKUP(C17,Landbrug!$C$15:$E$17,3,FALSE)*0.1</f>
        <v>65094.663336851867</v>
      </c>
      <c r="J17" s="76">
        <f t="shared" si="2"/>
        <v>65094.663336851867</v>
      </c>
      <c r="L17" t="s">
        <v>23</v>
      </c>
      <c r="M17" t="s">
        <v>22</v>
      </c>
      <c r="N17">
        <v>2050</v>
      </c>
      <c r="O17" t="s">
        <v>8</v>
      </c>
      <c r="P17" s="76">
        <f>'Landbrugsareal - resultat'!H24</f>
        <v>1309067.2343147993</v>
      </c>
    </row>
    <row r="18" spans="1:16" x14ac:dyDescent="0.25">
      <c r="A18" t="s">
        <v>23</v>
      </c>
      <c r="B18" s="1" t="str">
        <f>[1]Afgrødefordeling!$C$4</f>
        <v>Raps</v>
      </c>
      <c r="C18">
        <v>2030</v>
      </c>
      <c r="D18" t="s">
        <v>7</v>
      </c>
      <c r="E18" s="168" t="str">
        <f t="shared" si="0"/>
        <v>JB1-10</v>
      </c>
      <c r="F18" t="str">
        <f t="shared" si="1"/>
        <v>Halm</v>
      </c>
      <c r="G18" s="76" cm="1">
        <f t="array" ref="G18">IF(A18="Vestdanmark",IF(D18="Konventionel",IF(C18=2019,SUMPRODUCT((B18='Landbrugsareal - resultat'!$B$6:$B$19)*(INDEX('Landbrugsareal - resultat'!$C$6:$E$19,,MATCH(E18,'Landbrugsareal - resultat'!$C$5:$E$5,0)))),IF(C18=2030,SUMPRODUCT((B18='Landbrugsareal - resultat'!$B$6:$B$19)*(INDEX('Landbrugsareal - resultat'!$F$6:$H$19,,MATCH(E18,'Landbrugsareal - resultat'!$F$5:$H$5,0)))),SUMPRODUCT((B18='Landbrugsareal - resultat'!$B$6:$B$19)*(INDEX('Landbrugsareal - resultat'!$I$6:$K$19,,MATCH(E18,'Landbrugsareal - resultat'!$I$5:$K$5,0)))))),IF(C18=2019,SUMPRODUCT((B18='Landbrugsareal - resultat'!$B$6:$B$19)*(INDEX('Landbrugsareal - resultat'!$L$6:$N$19,,MATCH(E18,'Landbrugsareal - resultat'!$L$5:$N$5,0)))),IF(C18=2030,SUMPRODUCT((B18='Landbrugsareal - resultat'!$B$6:$B$19)*(INDEX('Landbrugsareal - resultat'!$O$6:$Q$19,,MATCH(E18,'Landbrugsareal - resultat'!$O$5:$Q$5,0)))),SUMPRODUCT((B18='Landbrugsareal - resultat'!$B$6:$B$19)*(INDEX('Landbrugsareal - resultat'!$R$6:$T$19,,MATCH(E18,'Landbrugsareal - resultat'!$R$5:$T$5,0))))))),IF(D18="Konventionel",IF(C18=2019,SUMPRODUCT((B18='Landbrugsareal - resultat'!$B$33:$B$46)*(INDEX('Landbrugsareal - resultat'!$C$33:$E$46,,MATCH(E18,'Landbrugsareal - resultat'!$C$5:$E$5,0)))),IF(C18=2030,SUMPRODUCT((B18='Landbrugsareal - resultat'!$B$33:$B$46)*(INDEX('Landbrugsareal - resultat'!$F$33:$H$46,,MATCH(E18,'Landbrugsareal - resultat'!$F$5:$H$5,0)))),SUMPRODUCT((B18='Landbrugsareal - resultat'!$B$33:$B$46)*(INDEX('Landbrugsareal - resultat'!$I$33:$K$46,,MATCH(E18,'Landbrugsareal - resultat'!$I$5:$K$5,0)))))),IF(C18=2019,SUMPRODUCT((B18='Landbrugsareal - resultat'!$B$33:$B$46)*(INDEX('Landbrugsareal - resultat'!$L$33:$N$46,,MATCH(E18,'Landbrugsareal - resultat'!$L$5:$N$5,0)))),IF(C18=2030,SUMPRODUCT((B18='Landbrugsareal - resultat'!$B$33:$B$46)*(INDEX('Landbrugsareal - resultat'!$O$33:$Q$46,,MATCH(E18,'Landbrugsareal - resultat'!$O$5:$Q$5,0)))),SUMPRODUCT((B18='Landbrugsareal - resultat'!$B$33:$B$46)*(INDEX('Landbrugsareal - resultat'!$R$33:$T$46,,MATCH(E18,'Landbrugsareal - resultat'!$R$5:$T$5,0))))))))</f>
        <v>96082.528886425716</v>
      </c>
      <c r="H18" s="168">
        <f>G18*VLOOKUP(B18,[1]Afgrødedata!$A$5:$F$18,2,FALSE)*IF(D18="Økologisk",VLOOKUP(B18,[1]Afgrødedata!$A$5:$F$18,4,FALSE),1)*IF(E18&lt;&gt;Jordbund1,IF(E18=Organ6,VLOOKUP(B18,[1]Afgrødedata!$A$5:$F$18,5,FALSE),VLOOKUP(B18,[1]Afgrødedata!$A$5:$F$18,6,FALSE)),1)*0.1</f>
        <v>422763.12710027315</v>
      </c>
      <c r="I18" s="168">
        <f>G18*VLOOKUP(B18,[1]Afgrødedata!$A$5:$F$18,3,FALSE)*IF(D18="Økologisk",VLOOKUP(B18,[1]Afgrødedata!$A$5:$F$18,4,FALSE),1)*IF(E18&lt;&gt;Jordbund1,IF(E18=Organ6,VLOOKUP(B18,[1]Afgrødedata!$A$5:$F$18,5,FALSE),VLOOKUP(B18,[1]Afgrødedata!$A$5:$F$18,6,FALSE)),1)*HLOOKUP(C18,Landbrug!$C$15:$E$17,2,FALSE)*HLOOKUP(C18,Landbrug!$C$15:$E$17,3,FALSE)*0.1</f>
        <v>224487.22049024506</v>
      </c>
      <c r="J18" s="76">
        <f t="shared" si="2"/>
        <v>224487.22049024506</v>
      </c>
      <c r="L18" t="s">
        <v>23</v>
      </c>
      <c r="M18" t="s">
        <v>3</v>
      </c>
      <c r="N18">
        <v>2050</v>
      </c>
      <c r="O18" t="s">
        <v>8</v>
      </c>
      <c r="P18" s="76">
        <f>'Landbrugsareal - resultat'!H25</f>
        <v>354340.14815038722</v>
      </c>
    </row>
    <row r="19" spans="1:16" x14ac:dyDescent="0.25">
      <c r="A19" t="s">
        <v>23</v>
      </c>
      <c r="B19" s="1" t="str">
        <f>[1]Afgrødefordeling!$C$5</f>
        <v>Græs</v>
      </c>
      <c r="C19">
        <v>2030</v>
      </c>
      <c r="D19" t="s">
        <v>7</v>
      </c>
      <c r="E19" s="168" t="str">
        <f t="shared" si="0"/>
        <v>JB1-10</v>
      </c>
      <c r="F19" t="str">
        <f t="shared" si="1"/>
        <v>Græs</v>
      </c>
      <c r="G19" s="76" cm="1">
        <f t="array" ref="G19">IF(A19="Vestdanmark",IF(D19="Konventionel",IF(C19=2019,SUMPRODUCT((B19='Landbrugsareal - resultat'!$B$6:$B$19)*(INDEX('Landbrugsareal - resultat'!$C$6:$E$19,,MATCH(E19,'Landbrugsareal - resultat'!$C$5:$E$5,0)))),IF(C19=2030,SUMPRODUCT((B19='Landbrugsareal - resultat'!$B$6:$B$19)*(INDEX('Landbrugsareal - resultat'!$F$6:$H$19,,MATCH(E19,'Landbrugsareal - resultat'!$F$5:$H$5,0)))),SUMPRODUCT((B19='Landbrugsareal - resultat'!$B$6:$B$19)*(INDEX('Landbrugsareal - resultat'!$I$6:$K$19,,MATCH(E19,'Landbrugsareal - resultat'!$I$5:$K$5,0)))))),IF(C19=2019,SUMPRODUCT((B19='Landbrugsareal - resultat'!$B$6:$B$19)*(INDEX('Landbrugsareal - resultat'!$L$6:$N$19,,MATCH(E19,'Landbrugsareal - resultat'!$L$5:$N$5,0)))),IF(C19=2030,SUMPRODUCT((B19='Landbrugsareal - resultat'!$B$6:$B$19)*(INDEX('Landbrugsareal - resultat'!$O$6:$Q$19,,MATCH(E19,'Landbrugsareal - resultat'!$O$5:$Q$5,0)))),SUMPRODUCT((B19='Landbrugsareal - resultat'!$B$6:$B$19)*(INDEX('Landbrugsareal - resultat'!$R$6:$T$19,,MATCH(E19,'Landbrugsareal - resultat'!$R$5:$T$5,0))))))),IF(D19="Konventionel",IF(C19=2019,SUMPRODUCT((B19='Landbrugsareal - resultat'!$B$33:$B$46)*(INDEX('Landbrugsareal - resultat'!$C$33:$E$46,,MATCH(E19,'Landbrugsareal - resultat'!$C$5:$E$5,0)))),IF(C19=2030,SUMPRODUCT((B19='Landbrugsareal - resultat'!$B$33:$B$46)*(INDEX('Landbrugsareal - resultat'!$F$33:$H$46,,MATCH(E19,'Landbrugsareal - resultat'!$F$5:$H$5,0)))),SUMPRODUCT((B19='Landbrugsareal - resultat'!$B$33:$B$46)*(INDEX('Landbrugsareal - resultat'!$I$33:$K$46,,MATCH(E19,'Landbrugsareal - resultat'!$I$5:$K$5,0)))))),IF(C19=2019,SUMPRODUCT((B19='Landbrugsareal - resultat'!$B$33:$B$46)*(INDEX('Landbrugsareal - resultat'!$L$33:$N$46,,MATCH(E19,'Landbrugsareal - resultat'!$L$5:$N$5,0)))),IF(C19=2030,SUMPRODUCT((B19='Landbrugsareal - resultat'!$B$33:$B$46)*(INDEX('Landbrugsareal - resultat'!$O$33:$Q$46,,MATCH(E19,'Landbrugsareal - resultat'!$O$5:$Q$5,0)))),SUMPRODUCT((B19='Landbrugsareal - resultat'!$B$33:$B$46)*(INDEX('Landbrugsareal - resultat'!$R$33:$T$46,,MATCH(E19,'Landbrugsareal - resultat'!$R$5:$T$5,0))))))))</f>
        <v>183199.16316583334</v>
      </c>
      <c r="H19" s="168">
        <f>G19*VLOOKUP(B19,[1]Afgrødedata!$A$5:$F$18,2,FALSE)*IF(D19="Økologisk",VLOOKUP(B19,[1]Afgrødedata!$A$5:$F$18,4,FALSE),1)*IF(E19&lt;&gt;Jordbund1,IF(E19=Organ6,VLOOKUP(B19,[1]Afgrødedata!$A$5:$F$18,5,FALSE),VLOOKUP(B19,[1]Afgrødedata!$A$5:$F$18,6,FALSE)),1)*0.1</f>
        <v>9090342.4762886502</v>
      </c>
      <c r="I19" s="168">
        <f>G19*VLOOKUP(B19,[1]Afgrødedata!$A$5:$F$18,3,FALSE)*IF(D19="Økologisk",VLOOKUP(B19,[1]Afgrødedata!$A$5:$F$18,4,FALSE),1)*IF(E19&lt;&gt;Jordbund1,IF(E19=Organ6,VLOOKUP(B19,[1]Afgrødedata!$A$5:$F$18,5,FALSE),VLOOKUP(B19,[1]Afgrødedata!$A$5:$F$18,6,FALSE)),1)*HLOOKUP(C19,Landbrug!$C$15:$E$17,2,FALSE)*HLOOKUP(C19,Landbrug!$C$15:$E$17,3,FALSE)*0.1</f>
        <v>0</v>
      </c>
      <c r="J19" s="76">
        <f t="shared" si="2"/>
        <v>9090342.4762886502</v>
      </c>
      <c r="L19" t="s">
        <v>23</v>
      </c>
      <c r="M19" t="s">
        <v>4</v>
      </c>
      <c r="N19">
        <v>2050</v>
      </c>
      <c r="O19" t="s">
        <v>8</v>
      </c>
      <c r="P19" s="76">
        <f>'Landbrugsareal - resultat'!H26</f>
        <v>5201687.0005262028</v>
      </c>
    </row>
    <row r="20" spans="1:16" x14ac:dyDescent="0.25">
      <c r="A20" t="s">
        <v>23</v>
      </c>
      <c r="B20" s="1" t="str">
        <f>[1]Afgrødefordeling!$C$6</f>
        <v>Grøntsager</v>
      </c>
      <c r="C20">
        <v>2030</v>
      </c>
      <c r="D20" t="s">
        <v>7</v>
      </c>
      <c r="E20" s="168" t="str">
        <f t="shared" si="0"/>
        <v>JB1-10</v>
      </c>
      <c r="F20" t="str">
        <f t="shared" si="1"/>
        <v>Grøntsager</v>
      </c>
      <c r="G20" s="76" cm="1">
        <f t="array" ref="G20">IF(A20="Vestdanmark",IF(D20="Konventionel",IF(C20=2019,SUMPRODUCT((B20='Landbrugsareal - resultat'!$B$6:$B$19)*(INDEX('Landbrugsareal - resultat'!$C$6:$E$19,,MATCH(E20,'Landbrugsareal - resultat'!$C$5:$E$5,0)))),IF(C20=2030,SUMPRODUCT((B20='Landbrugsareal - resultat'!$B$6:$B$19)*(INDEX('Landbrugsareal - resultat'!$F$6:$H$19,,MATCH(E20,'Landbrugsareal - resultat'!$F$5:$H$5,0)))),SUMPRODUCT((B20='Landbrugsareal - resultat'!$B$6:$B$19)*(INDEX('Landbrugsareal - resultat'!$I$6:$K$19,,MATCH(E20,'Landbrugsareal - resultat'!$I$5:$K$5,0)))))),IF(C20=2019,SUMPRODUCT((B20='Landbrugsareal - resultat'!$B$6:$B$19)*(INDEX('Landbrugsareal - resultat'!$L$6:$N$19,,MATCH(E20,'Landbrugsareal - resultat'!$L$5:$N$5,0)))),IF(C20=2030,SUMPRODUCT((B20='Landbrugsareal - resultat'!$B$6:$B$19)*(INDEX('Landbrugsareal - resultat'!$O$6:$Q$19,,MATCH(E20,'Landbrugsareal - resultat'!$O$5:$Q$5,0)))),SUMPRODUCT((B20='Landbrugsareal - resultat'!$B$6:$B$19)*(INDEX('Landbrugsareal - resultat'!$R$6:$T$19,,MATCH(E20,'Landbrugsareal - resultat'!$R$5:$T$5,0))))))),IF(D20="Konventionel",IF(C20=2019,SUMPRODUCT((B20='Landbrugsareal - resultat'!$B$33:$B$46)*(INDEX('Landbrugsareal - resultat'!$C$33:$E$46,,MATCH(E20,'Landbrugsareal - resultat'!$C$5:$E$5,0)))),IF(C20=2030,SUMPRODUCT((B20='Landbrugsareal - resultat'!$B$33:$B$46)*(INDEX('Landbrugsareal - resultat'!$F$33:$H$46,,MATCH(E20,'Landbrugsareal - resultat'!$F$5:$H$5,0)))),SUMPRODUCT((B20='Landbrugsareal - resultat'!$B$33:$B$46)*(INDEX('Landbrugsareal - resultat'!$I$33:$K$46,,MATCH(E20,'Landbrugsareal - resultat'!$I$5:$K$5,0)))))),IF(C20=2019,SUMPRODUCT((B20='Landbrugsareal - resultat'!$B$33:$B$46)*(INDEX('Landbrugsareal - resultat'!$L$33:$N$46,,MATCH(E20,'Landbrugsareal - resultat'!$L$5:$N$5,0)))),IF(C20=2030,SUMPRODUCT((B20='Landbrugsareal - resultat'!$B$33:$B$46)*(INDEX('Landbrugsareal - resultat'!$O$33:$Q$46,,MATCH(E20,'Landbrugsareal - resultat'!$O$5:$Q$5,0)))),SUMPRODUCT((B20='Landbrugsareal - resultat'!$B$33:$B$46)*(INDEX('Landbrugsareal - resultat'!$R$33:$T$46,,MATCH(E20,'Landbrugsareal - resultat'!$R$5:$T$5,0))))))))</f>
        <v>7089.3909762506346</v>
      </c>
      <c r="H20" s="168">
        <f>G20*VLOOKUP(B20,[1]Afgrødedata!$A$5:$F$18,2,FALSE)*IF(D20="Økologisk",VLOOKUP(B20,[1]Afgrødedata!$A$5:$F$18,4,FALSE),1)*IF(E20&lt;&gt;Jordbund1,IF(E20=Organ6,VLOOKUP(B20,[1]Afgrødedata!$A$5:$F$18,5,FALSE),VLOOKUP(B20,[1]Afgrødedata!$A$5:$F$18,6,FALSE)),1)*0.1</f>
        <v>147104.8627572007</v>
      </c>
      <c r="I20" s="168">
        <f>G20*VLOOKUP(B20,[1]Afgrødedata!$A$5:$F$18,3,FALSE)*IF(D20="Økologisk",VLOOKUP(B20,[1]Afgrødedata!$A$5:$F$18,4,FALSE),1)*IF(E20&lt;&gt;Jordbund1,IF(E20=Organ6,VLOOKUP(B20,[1]Afgrødedata!$A$5:$F$18,5,FALSE),VLOOKUP(B20,[1]Afgrødedata!$A$5:$F$18,6,FALSE)),1)*HLOOKUP(C20,Landbrug!$C$15:$E$17,2,FALSE)*HLOOKUP(C20,Landbrug!$C$15:$E$17,3,FALSE)*0.1</f>
        <v>0</v>
      </c>
      <c r="J20" s="76">
        <f t="shared" si="2"/>
        <v>147104.8627572007</v>
      </c>
      <c r="L20" t="s">
        <v>24</v>
      </c>
      <c r="M20" t="s">
        <v>22</v>
      </c>
      <c r="N20">
        <v>2019</v>
      </c>
      <c r="O20" t="s">
        <v>7</v>
      </c>
      <c r="P20" s="76">
        <f>'Landbrugsareal - resultat'!C51</f>
        <v>1541102</v>
      </c>
    </row>
    <row r="21" spans="1:16" x14ac:dyDescent="0.25">
      <c r="A21" t="s">
        <v>23</v>
      </c>
      <c r="B21" s="1" t="str">
        <f>[1]Afgrødefordeling!$C$7</f>
        <v>Kartofler</v>
      </c>
      <c r="C21">
        <v>2030</v>
      </c>
      <c r="D21" t="s">
        <v>7</v>
      </c>
      <c r="E21" s="168" t="str">
        <f t="shared" si="0"/>
        <v>JB1-10</v>
      </c>
      <c r="F21" t="str">
        <f t="shared" si="1"/>
        <v>Kartofler</v>
      </c>
      <c r="G21" s="76" cm="1">
        <f t="array" ref="G21">IF(A21="Vestdanmark",IF(D21="Konventionel",IF(C21=2019,SUMPRODUCT((B21='Landbrugsareal - resultat'!$B$6:$B$19)*(INDEX('Landbrugsareal - resultat'!$C$6:$E$19,,MATCH(E21,'Landbrugsareal - resultat'!$C$5:$E$5,0)))),IF(C21=2030,SUMPRODUCT((B21='Landbrugsareal - resultat'!$B$6:$B$19)*(INDEX('Landbrugsareal - resultat'!$F$6:$H$19,,MATCH(E21,'Landbrugsareal - resultat'!$F$5:$H$5,0)))),SUMPRODUCT((B21='Landbrugsareal - resultat'!$B$6:$B$19)*(INDEX('Landbrugsareal - resultat'!$I$6:$K$19,,MATCH(E21,'Landbrugsareal - resultat'!$I$5:$K$5,0)))))),IF(C21=2019,SUMPRODUCT((B21='Landbrugsareal - resultat'!$B$6:$B$19)*(INDEX('Landbrugsareal - resultat'!$L$6:$N$19,,MATCH(E21,'Landbrugsareal - resultat'!$L$5:$N$5,0)))),IF(C21=2030,SUMPRODUCT((B21='Landbrugsareal - resultat'!$B$6:$B$19)*(INDEX('Landbrugsareal - resultat'!$O$6:$Q$19,,MATCH(E21,'Landbrugsareal - resultat'!$O$5:$Q$5,0)))),SUMPRODUCT((B21='Landbrugsareal - resultat'!$B$6:$B$19)*(INDEX('Landbrugsareal - resultat'!$R$6:$T$19,,MATCH(E21,'Landbrugsareal - resultat'!$R$5:$T$5,0))))))),IF(D21="Konventionel",IF(C21=2019,SUMPRODUCT((B21='Landbrugsareal - resultat'!$B$33:$B$46)*(INDEX('Landbrugsareal - resultat'!$C$33:$E$46,,MATCH(E21,'Landbrugsareal - resultat'!$C$5:$E$5,0)))),IF(C21=2030,SUMPRODUCT((B21='Landbrugsareal - resultat'!$B$33:$B$46)*(INDEX('Landbrugsareal - resultat'!$F$33:$H$46,,MATCH(E21,'Landbrugsareal - resultat'!$F$5:$H$5,0)))),SUMPRODUCT((B21='Landbrugsareal - resultat'!$B$33:$B$46)*(INDEX('Landbrugsareal - resultat'!$I$33:$K$46,,MATCH(E21,'Landbrugsareal - resultat'!$I$5:$K$5,0)))))),IF(C21=2019,SUMPRODUCT((B21='Landbrugsareal - resultat'!$B$33:$B$46)*(INDEX('Landbrugsareal - resultat'!$L$33:$N$46,,MATCH(E21,'Landbrugsareal - resultat'!$L$5:$N$5,0)))),IF(C21=2030,SUMPRODUCT((B21='Landbrugsareal - resultat'!$B$33:$B$46)*(INDEX('Landbrugsareal - resultat'!$O$33:$Q$46,,MATCH(E21,'Landbrugsareal - resultat'!$O$5:$Q$5,0)))),SUMPRODUCT((B21='Landbrugsareal - resultat'!$B$33:$B$46)*(INDEX('Landbrugsareal - resultat'!$R$33:$T$46,,MATCH(E21,'Landbrugsareal - resultat'!$R$5:$T$5,0))))))))</f>
        <v>42232.402155780161</v>
      </c>
      <c r="H21" s="168">
        <f>G21*VLOOKUP(B21,[1]Afgrødedata!$A$5:$F$18,2,FALSE)*IF(D21="Økologisk",VLOOKUP(B21,[1]Afgrødedata!$A$5:$F$18,4,FALSE),1)*IF(E21&lt;&gt;Jordbund1,IF(E21=Organ6,VLOOKUP(B21,[1]Afgrødedata!$A$5:$F$18,5,FALSE),VLOOKUP(B21,[1]Afgrødedata!$A$5:$F$18,6,FALSE)),1)*0.1</f>
        <v>1793648.1063727373</v>
      </c>
      <c r="I21" s="168">
        <f>G21*VLOOKUP(B21,[1]Afgrødedata!$A$5:$F$18,3,FALSE)*IF(D21="Økologisk",VLOOKUP(B21,[1]Afgrødedata!$A$5:$F$18,4,FALSE),1)*IF(E21&lt;&gt;Jordbund1,IF(E21=Organ6,VLOOKUP(B21,[1]Afgrødedata!$A$5:$F$18,5,FALSE),VLOOKUP(B21,[1]Afgrødedata!$A$5:$F$18,6,FALSE)),1)*HLOOKUP(C21,Landbrug!$C$15:$E$17,2,FALSE)*HLOOKUP(C21,Landbrug!$C$15:$E$17,3,FALSE)*0.1</f>
        <v>0</v>
      </c>
      <c r="J21" s="76">
        <f t="shared" si="2"/>
        <v>1793648.1063727373</v>
      </c>
      <c r="L21" t="s">
        <v>24</v>
      </c>
      <c r="M21" t="s">
        <v>3</v>
      </c>
      <c r="N21">
        <v>2019</v>
      </c>
      <c r="O21" t="s">
        <v>7</v>
      </c>
      <c r="P21" s="76">
        <f>'Landbrugsareal - resultat'!C52</f>
        <v>82455</v>
      </c>
    </row>
    <row r="22" spans="1:16" x14ac:dyDescent="0.25">
      <c r="A22" t="s">
        <v>23</v>
      </c>
      <c r="B22" s="1" t="str">
        <f>[1]Afgrødefordeling!$C$8</f>
        <v>Roer</v>
      </c>
      <c r="C22">
        <v>2030</v>
      </c>
      <c r="D22" t="s">
        <v>7</v>
      </c>
      <c r="E22" s="168" t="str">
        <f t="shared" si="0"/>
        <v>JB1-10</v>
      </c>
      <c r="F22" t="str">
        <f t="shared" si="1"/>
        <v>Roer</v>
      </c>
      <c r="G22" s="76" cm="1">
        <f t="array" ref="G22">IF(A22="Vestdanmark",IF(D22="Konventionel",IF(C22=2019,SUMPRODUCT((B22='Landbrugsareal - resultat'!$B$6:$B$19)*(INDEX('Landbrugsareal - resultat'!$C$6:$E$19,,MATCH(E22,'Landbrugsareal - resultat'!$C$5:$E$5,0)))),IF(C22=2030,SUMPRODUCT((B22='Landbrugsareal - resultat'!$B$6:$B$19)*(INDEX('Landbrugsareal - resultat'!$F$6:$H$19,,MATCH(E22,'Landbrugsareal - resultat'!$F$5:$H$5,0)))),SUMPRODUCT((B22='Landbrugsareal - resultat'!$B$6:$B$19)*(INDEX('Landbrugsareal - resultat'!$I$6:$K$19,,MATCH(E22,'Landbrugsareal - resultat'!$I$5:$K$5,0)))))),IF(C22=2019,SUMPRODUCT((B22='Landbrugsareal - resultat'!$B$6:$B$19)*(INDEX('Landbrugsareal - resultat'!$L$6:$N$19,,MATCH(E22,'Landbrugsareal - resultat'!$L$5:$N$5,0)))),IF(C22=2030,SUMPRODUCT((B22='Landbrugsareal - resultat'!$B$6:$B$19)*(INDEX('Landbrugsareal - resultat'!$O$6:$Q$19,,MATCH(E22,'Landbrugsareal - resultat'!$O$5:$Q$5,0)))),SUMPRODUCT((B22='Landbrugsareal - resultat'!$B$6:$B$19)*(INDEX('Landbrugsareal - resultat'!$R$6:$T$19,,MATCH(E22,'Landbrugsareal - resultat'!$R$5:$T$5,0))))))),IF(D22="Konventionel",IF(C22=2019,SUMPRODUCT((B22='Landbrugsareal - resultat'!$B$33:$B$46)*(INDEX('Landbrugsareal - resultat'!$C$33:$E$46,,MATCH(E22,'Landbrugsareal - resultat'!$C$5:$E$5,0)))),IF(C22=2030,SUMPRODUCT((B22='Landbrugsareal - resultat'!$B$33:$B$46)*(INDEX('Landbrugsareal - resultat'!$F$33:$H$46,,MATCH(E22,'Landbrugsareal - resultat'!$F$5:$H$5,0)))),SUMPRODUCT((B22='Landbrugsareal - resultat'!$B$33:$B$46)*(INDEX('Landbrugsareal - resultat'!$I$33:$K$46,,MATCH(E22,'Landbrugsareal - resultat'!$I$5:$K$5,0)))))),IF(C22=2019,SUMPRODUCT((B22='Landbrugsareal - resultat'!$B$33:$B$46)*(INDEX('Landbrugsareal - resultat'!$L$33:$N$46,,MATCH(E22,'Landbrugsareal - resultat'!$L$5:$N$5,0)))),IF(C22=2030,SUMPRODUCT((B22='Landbrugsareal - resultat'!$B$33:$B$46)*(INDEX('Landbrugsareal - resultat'!$O$33:$Q$46,,MATCH(E22,'Landbrugsareal - resultat'!$O$5:$Q$5,0)))),SUMPRODUCT((B22='Landbrugsareal - resultat'!$B$33:$B$46)*(INDEX('Landbrugsareal - resultat'!$R$33:$T$46,,MATCH(E22,'Landbrugsareal - resultat'!$R$5:$T$5,0))))))))</f>
        <v>4122.7627055119856</v>
      </c>
      <c r="H22" s="168">
        <f>G22*VLOOKUP(B22,[1]Afgrødedata!$A$5:$F$18,2,FALSE)*IF(D22="Økologisk",VLOOKUP(B22,[1]Afgrødedata!$A$5:$F$18,4,FALSE),1)*IF(E22&lt;&gt;Jordbund1,IF(E22=Organ6,VLOOKUP(B22,[1]Afgrødedata!$A$5:$F$18,5,FALSE),VLOOKUP(B22,[1]Afgrødedata!$A$5:$F$18,6,FALSE)),1)*0.1</f>
        <v>334989.85326577979</v>
      </c>
      <c r="I22" s="168">
        <f>G22*VLOOKUP(B22,[1]Afgrødedata!$A$5:$F$18,3,FALSE)*IF(D22="Økologisk",VLOOKUP(B22,[1]Afgrødedata!$A$5:$F$18,4,FALSE),1)*IF(E22&lt;&gt;Jordbund1,IF(E22=Organ6,VLOOKUP(B22,[1]Afgrødedata!$A$5:$F$18,5,FALSE),VLOOKUP(B22,[1]Afgrødedata!$A$5:$F$18,6,FALSE)),1)*HLOOKUP(C22,Landbrug!$C$15:$E$17,2,FALSE)*HLOOKUP(C22,Landbrug!$C$15:$E$17,3,FALSE)*0.1</f>
        <v>0</v>
      </c>
      <c r="J22" s="76">
        <f t="shared" si="2"/>
        <v>334989.85326577979</v>
      </c>
      <c r="L22" t="s">
        <v>24</v>
      </c>
      <c r="M22" t="s">
        <v>4</v>
      </c>
      <c r="N22">
        <v>2019</v>
      </c>
      <c r="O22" t="s">
        <v>7</v>
      </c>
      <c r="P22" s="76">
        <f>'Landbrugsareal - resultat'!C53</f>
        <v>1570560</v>
      </c>
    </row>
    <row r="23" spans="1:16" x14ac:dyDescent="0.25">
      <c r="A23" t="s">
        <v>23</v>
      </c>
      <c r="B23" s="1" t="str">
        <f>[1]Afgrødefordeling!$C$9</f>
        <v>Majs</v>
      </c>
      <c r="C23">
        <v>2030</v>
      </c>
      <c r="D23" t="s">
        <v>7</v>
      </c>
      <c r="E23" s="168" t="str">
        <f t="shared" si="0"/>
        <v>JB1-10</v>
      </c>
      <c r="F23" t="str">
        <f t="shared" si="1"/>
        <v>Majs</v>
      </c>
      <c r="G23" s="76" cm="1">
        <f t="array" ref="G23">IF(A23="Vestdanmark",IF(D23="Konventionel",IF(C23=2019,SUMPRODUCT((B23='Landbrugsareal - resultat'!$B$6:$B$19)*(INDEX('Landbrugsareal - resultat'!$C$6:$E$19,,MATCH(E23,'Landbrugsareal - resultat'!$C$5:$E$5,0)))),IF(C23=2030,SUMPRODUCT((B23='Landbrugsareal - resultat'!$B$6:$B$19)*(INDEX('Landbrugsareal - resultat'!$F$6:$H$19,,MATCH(E23,'Landbrugsareal - resultat'!$F$5:$H$5,0)))),SUMPRODUCT((B23='Landbrugsareal - resultat'!$B$6:$B$19)*(INDEX('Landbrugsareal - resultat'!$I$6:$K$19,,MATCH(E23,'Landbrugsareal - resultat'!$I$5:$K$5,0)))))),IF(C23=2019,SUMPRODUCT((B23='Landbrugsareal - resultat'!$B$6:$B$19)*(INDEX('Landbrugsareal - resultat'!$L$6:$N$19,,MATCH(E23,'Landbrugsareal - resultat'!$L$5:$N$5,0)))),IF(C23=2030,SUMPRODUCT((B23='Landbrugsareal - resultat'!$B$6:$B$19)*(INDEX('Landbrugsareal - resultat'!$O$6:$Q$19,,MATCH(E23,'Landbrugsareal - resultat'!$O$5:$Q$5,0)))),SUMPRODUCT((B23='Landbrugsareal - resultat'!$B$6:$B$19)*(INDEX('Landbrugsareal - resultat'!$R$6:$T$19,,MATCH(E23,'Landbrugsareal - resultat'!$R$5:$T$5,0))))))),IF(D23="Konventionel",IF(C23=2019,SUMPRODUCT((B23='Landbrugsareal - resultat'!$B$33:$B$46)*(INDEX('Landbrugsareal - resultat'!$C$33:$E$46,,MATCH(E23,'Landbrugsareal - resultat'!$C$5:$E$5,0)))),IF(C23=2030,SUMPRODUCT((B23='Landbrugsareal - resultat'!$B$33:$B$46)*(INDEX('Landbrugsareal - resultat'!$F$33:$H$46,,MATCH(E23,'Landbrugsareal - resultat'!$F$5:$H$5,0)))),SUMPRODUCT((B23='Landbrugsareal - resultat'!$B$33:$B$46)*(INDEX('Landbrugsareal - resultat'!$I$33:$K$46,,MATCH(E23,'Landbrugsareal - resultat'!$I$5:$K$5,0)))))),IF(C23=2019,SUMPRODUCT((B23='Landbrugsareal - resultat'!$B$33:$B$46)*(INDEX('Landbrugsareal - resultat'!$L$33:$N$46,,MATCH(E23,'Landbrugsareal - resultat'!$L$5:$N$5,0)))),IF(C23=2030,SUMPRODUCT((B23='Landbrugsareal - resultat'!$B$33:$B$46)*(INDEX('Landbrugsareal - resultat'!$O$33:$Q$46,,MATCH(E23,'Landbrugsareal - resultat'!$O$5:$Q$5,0)))),SUMPRODUCT((B23='Landbrugsareal - resultat'!$B$33:$B$46)*(INDEX('Landbrugsareal - resultat'!$R$33:$T$46,,MATCH(E23,'Landbrugsareal - resultat'!$R$5:$T$5,0))))))))</f>
        <v>141182.38207368137</v>
      </c>
      <c r="H23" s="168">
        <f>G23*VLOOKUP(B23,[1]Afgrødedata!$A$5:$F$18,2,FALSE)*IF(D23="Økologisk",VLOOKUP(B23,[1]Afgrødedata!$A$5:$F$18,4,FALSE),1)*IF(E23&lt;&gt;Jordbund1,IF(E23=Organ6,VLOOKUP(B23,[1]Afgrødedata!$A$5:$F$18,5,FALSE),VLOOKUP(B23,[1]Afgrødedata!$A$5:$F$18,6,FALSE)),1)*0.1</f>
        <v>6284027.8260995587</v>
      </c>
      <c r="I23" s="168">
        <f>G23*VLOOKUP(B23,[1]Afgrødedata!$A$5:$F$18,3,FALSE)*IF(D23="Økologisk",VLOOKUP(B23,[1]Afgrødedata!$A$5:$F$18,4,FALSE),1)*IF(E23&lt;&gt;Jordbund1,IF(E23=Organ6,VLOOKUP(B23,[1]Afgrødedata!$A$5:$F$18,5,FALSE),VLOOKUP(B23,[1]Afgrødedata!$A$5:$F$18,6,FALSE)),1)*HLOOKUP(C23,Landbrug!$C$15:$E$17,2,FALSE)*HLOOKUP(C23,Landbrug!$C$15:$E$17,3,FALSE)*0.1</f>
        <v>0</v>
      </c>
      <c r="J23" s="76">
        <f t="shared" si="2"/>
        <v>6284027.8260995587</v>
      </c>
      <c r="L23" t="s">
        <v>24</v>
      </c>
      <c r="M23" t="s">
        <v>22</v>
      </c>
      <c r="N23">
        <v>2030</v>
      </c>
      <c r="O23" t="s">
        <v>7</v>
      </c>
      <c r="P23" s="76">
        <f>'Landbrugsareal - resultat'!D51</f>
        <v>1532729.9904525669</v>
      </c>
    </row>
    <row r="24" spans="1:16" x14ac:dyDescent="0.25">
      <c r="A24" t="s">
        <v>23</v>
      </c>
      <c r="B24" s="1" t="str">
        <f>[1]Afgrødefordeling!$C$10</f>
        <v>Frugt</v>
      </c>
      <c r="C24">
        <v>2030</v>
      </c>
      <c r="D24" t="s">
        <v>7</v>
      </c>
      <c r="E24" s="168" t="str">
        <f t="shared" si="0"/>
        <v>JB1-10</v>
      </c>
      <c r="F24" t="str">
        <f t="shared" si="1"/>
        <v>Frugt</v>
      </c>
      <c r="G24" s="76" cm="1">
        <f t="array" ref="G24">IF(A24="Vestdanmark",IF(D24="Konventionel",IF(C24=2019,SUMPRODUCT((B24='Landbrugsareal - resultat'!$B$6:$B$19)*(INDEX('Landbrugsareal - resultat'!$C$6:$E$19,,MATCH(E24,'Landbrugsareal - resultat'!$C$5:$E$5,0)))),IF(C24=2030,SUMPRODUCT((B24='Landbrugsareal - resultat'!$B$6:$B$19)*(INDEX('Landbrugsareal - resultat'!$F$6:$H$19,,MATCH(E24,'Landbrugsareal - resultat'!$F$5:$H$5,0)))),SUMPRODUCT((B24='Landbrugsareal - resultat'!$B$6:$B$19)*(INDEX('Landbrugsareal - resultat'!$I$6:$K$19,,MATCH(E24,'Landbrugsareal - resultat'!$I$5:$K$5,0)))))),IF(C24=2019,SUMPRODUCT((B24='Landbrugsareal - resultat'!$B$6:$B$19)*(INDEX('Landbrugsareal - resultat'!$L$6:$N$19,,MATCH(E24,'Landbrugsareal - resultat'!$L$5:$N$5,0)))),IF(C24=2030,SUMPRODUCT((B24='Landbrugsareal - resultat'!$B$6:$B$19)*(INDEX('Landbrugsareal - resultat'!$O$6:$Q$19,,MATCH(E24,'Landbrugsareal - resultat'!$O$5:$Q$5,0)))),SUMPRODUCT((B24='Landbrugsareal - resultat'!$B$6:$B$19)*(INDEX('Landbrugsareal - resultat'!$R$6:$T$19,,MATCH(E24,'Landbrugsareal - resultat'!$R$5:$T$5,0))))))),IF(D24="Konventionel",IF(C24=2019,SUMPRODUCT((B24='Landbrugsareal - resultat'!$B$33:$B$46)*(INDEX('Landbrugsareal - resultat'!$C$33:$E$46,,MATCH(E24,'Landbrugsareal - resultat'!$C$5:$E$5,0)))),IF(C24=2030,SUMPRODUCT((B24='Landbrugsareal - resultat'!$B$33:$B$46)*(INDEX('Landbrugsareal - resultat'!$F$33:$H$46,,MATCH(E24,'Landbrugsareal - resultat'!$F$5:$H$5,0)))),SUMPRODUCT((B24='Landbrugsareal - resultat'!$B$33:$B$46)*(INDEX('Landbrugsareal - resultat'!$I$33:$K$46,,MATCH(E24,'Landbrugsareal - resultat'!$I$5:$K$5,0)))))),IF(C24=2019,SUMPRODUCT((B24='Landbrugsareal - resultat'!$B$33:$B$46)*(INDEX('Landbrugsareal - resultat'!$L$33:$N$46,,MATCH(E24,'Landbrugsareal - resultat'!$L$5:$N$5,0)))),IF(C24=2030,SUMPRODUCT((B24='Landbrugsareal - resultat'!$B$33:$B$46)*(INDEX('Landbrugsareal - resultat'!$O$33:$Q$46,,MATCH(E24,'Landbrugsareal - resultat'!$O$5:$Q$5,0)))),SUMPRODUCT((B24='Landbrugsareal - resultat'!$B$33:$B$46)*(INDEX('Landbrugsareal - resultat'!$R$33:$T$46,,MATCH(E24,'Landbrugsareal - resultat'!$R$5:$T$5,0))))))))</f>
        <v>2594.265268186527</v>
      </c>
      <c r="H24" s="168">
        <f>G24*VLOOKUP(B24,[1]Afgrødedata!$A$5:$F$18,2,FALSE)*IF(D24="Økologisk",VLOOKUP(B24,[1]Afgrødedata!$A$5:$F$18,4,FALSE),1)*IF(E24&lt;&gt;Jordbund1,IF(E24=Organ6,VLOOKUP(B24,[1]Afgrødedata!$A$5:$F$18,5,FALSE),VLOOKUP(B24,[1]Afgrødedata!$A$5:$F$18,6,FALSE)),1)*0.1</f>
        <v>22025.31212690362</v>
      </c>
      <c r="I24" s="168">
        <f>G24*VLOOKUP(B24,[1]Afgrødedata!$A$5:$F$18,3,FALSE)*IF(D24="Økologisk",VLOOKUP(B24,[1]Afgrødedata!$A$5:$F$18,4,FALSE),1)*IF(E24&lt;&gt;Jordbund1,IF(E24=Organ6,VLOOKUP(B24,[1]Afgrødedata!$A$5:$F$18,5,FALSE),VLOOKUP(B24,[1]Afgrødedata!$A$5:$F$18,6,FALSE)),1)*HLOOKUP(C24,Landbrug!$C$15:$E$17,2,FALSE)*HLOOKUP(C24,Landbrug!$C$15:$E$17,3,FALSE)*0.1</f>
        <v>0</v>
      </c>
      <c r="J24" s="76">
        <f t="shared" si="2"/>
        <v>22025.31212690362</v>
      </c>
      <c r="L24" t="s">
        <v>24</v>
      </c>
      <c r="M24" t="s">
        <v>3</v>
      </c>
      <c r="N24">
        <v>2030</v>
      </c>
      <c r="O24" t="s">
        <v>7</v>
      </c>
      <c r="P24" s="76">
        <f>'Landbrugsareal - resultat'!D52</f>
        <v>80080.142534636136</v>
      </c>
    </row>
    <row r="25" spans="1:16" x14ac:dyDescent="0.25">
      <c r="A25" t="s">
        <v>23</v>
      </c>
      <c r="B25" s="1" t="str">
        <f>[1]Afgrødefordeling!$C$11</f>
        <v>Øvrige</v>
      </c>
      <c r="C25">
        <v>2030</v>
      </c>
      <c r="D25" t="s">
        <v>7</v>
      </c>
      <c r="E25" s="168" t="str">
        <f t="shared" si="0"/>
        <v>JB1-10</v>
      </c>
      <c r="F25" t="str">
        <f t="shared" si="1"/>
        <v>Øvrige</v>
      </c>
      <c r="G25" s="76" cm="1">
        <f t="array" ref="G25">IF(A25="Vestdanmark",IF(D25="Konventionel",IF(C25=2019,SUMPRODUCT((B25='Landbrugsareal - resultat'!$B$6:$B$19)*(INDEX('Landbrugsareal - resultat'!$C$6:$E$19,,MATCH(E25,'Landbrugsareal - resultat'!$C$5:$E$5,0)))),IF(C25=2030,SUMPRODUCT((B25='Landbrugsareal - resultat'!$B$6:$B$19)*(INDEX('Landbrugsareal - resultat'!$F$6:$H$19,,MATCH(E25,'Landbrugsareal - resultat'!$F$5:$H$5,0)))),SUMPRODUCT((B25='Landbrugsareal - resultat'!$B$6:$B$19)*(INDEX('Landbrugsareal - resultat'!$I$6:$K$19,,MATCH(E25,'Landbrugsareal - resultat'!$I$5:$K$5,0)))))),IF(C25=2019,SUMPRODUCT((B25='Landbrugsareal - resultat'!$B$6:$B$19)*(INDEX('Landbrugsareal - resultat'!$L$6:$N$19,,MATCH(E25,'Landbrugsareal - resultat'!$L$5:$N$5,0)))),IF(C25=2030,SUMPRODUCT((B25='Landbrugsareal - resultat'!$B$6:$B$19)*(INDEX('Landbrugsareal - resultat'!$O$6:$Q$19,,MATCH(E25,'Landbrugsareal - resultat'!$O$5:$Q$5,0)))),SUMPRODUCT((B25='Landbrugsareal - resultat'!$B$6:$B$19)*(INDEX('Landbrugsareal - resultat'!$R$6:$T$19,,MATCH(E25,'Landbrugsareal - resultat'!$R$5:$T$5,0))))))),IF(D25="Konventionel",IF(C25=2019,SUMPRODUCT((B25='Landbrugsareal - resultat'!$B$33:$B$46)*(INDEX('Landbrugsareal - resultat'!$C$33:$E$46,,MATCH(E25,'Landbrugsareal - resultat'!$C$5:$E$5,0)))),IF(C25=2030,SUMPRODUCT((B25='Landbrugsareal - resultat'!$B$33:$B$46)*(INDEX('Landbrugsareal - resultat'!$F$33:$H$46,,MATCH(E25,'Landbrugsareal - resultat'!$F$5:$H$5,0)))),SUMPRODUCT((B25='Landbrugsareal - resultat'!$B$33:$B$46)*(INDEX('Landbrugsareal - resultat'!$I$33:$K$46,,MATCH(E25,'Landbrugsareal - resultat'!$I$5:$K$5,0)))))),IF(C25=2019,SUMPRODUCT((B25='Landbrugsareal - resultat'!$B$33:$B$46)*(INDEX('Landbrugsareal - resultat'!$L$33:$N$46,,MATCH(E25,'Landbrugsareal - resultat'!$L$5:$N$5,0)))),IF(C25=2030,SUMPRODUCT((B25='Landbrugsareal - resultat'!$B$33:$B$46)*(INDEX('Landbrugsareal - resultat'!$O$33:$Q$46,,MATCH(E25,'Landbrugsareal - resultat'!$O$5:$Q$5,0)))),SUMPRODUCT((B25='Landbrugsareal - resultat'!$B$33:$B$46)*(INDEX('Landbrugsareal - resultat'!$R$33:$T$46,,MATCH(E25,'Landbrugsareal - resultat'!$R$5:$T$5,0))))))))</f>
        <v>45881.919721974475</v>
      </c>
      <c r="H25" s="168">
        <f>G25*VLOOKUP(B25,[1]Afgrødedata!$A$5:$F$18,2,FALSE)*IF(D25="Økologisk",VLOOKUP(B25,[1]Afgrødedata!$A$5:$F$18,4,FALSE),1)*IF(E25&lt;&gt;Jordbund1,IF(E25=Organ6,VLOOKUP(B25,[1]Afgrødedata!$A$5:$F$18,5,FALSE),VLOOKUP(B25,[1]Afgrødedata!$A$5:$F$18,6,FALSE)),1)*0.1</f>
        <v>1367095.0880830905</v>
      </c>
      <c r="I25" s="168">
        <f>G25*VLOOKUP(B25,[1]Afgrødedata!$A$5:$F$18,3,FALSE)*IF(D25="Økologisk",VLOOKUP(B25,[1]Afgrødedata!$A$5:$F$18,4,FALSE),1)*IF(E25&lt;&gt;Jordbund1,IF(E25=Organ6,VLOOKUP(B25,[1]Afgrødedata!$A$5:$F$18,5,FALSE),VLOOKUP(B25,[1]Afgrødedata!$A$5:$F$18,6,FALSE)),1)*HLOOKUP(C25,Landbrug!$C$15:$E$17,2,FALSE)*HLOOKUP(C25,Landbrug!$C$15:$E$17,3,FALSE)*0.1</f>
        <v>0</v>
      </c>
      <c r="J25" s="76">
        <f t="shared" si="2"/>
        <v>1367095.0880830905</v>
      </c>
      <c r="L25" t="s">
        <v>24</v>
      </c>
      <c r="M25" t="s">
        <v>4</v>
      </c>
      <c r="N25">
        <v>2030</v>
      </c>
      <c r="O25" t="s">
        <v>7</v>
      </c>
      <c r="P25" s="76">
        <f>'Landbrugsareal - resultat'!D53</f>
        <v>1537834.5897597643</v>
      </c>
    </row>
    <row r="26" spans="1:16" x14ac:dyDescent="0.25">
      <c r="A26" t="s">
        <v>23</v>
      </c>
      <c r="B26" s="1" t="str">
        <f>[1]Afgrødefordeling!$C$12</f>
        <v>Frø</v>
      </c>
      <c r="C26">
        <v>2030</v>
      </c>
      <c r="D26" t="s">
        <v>7</v>
      </c>
      <c r="E26" s="168" t="str">
        <f t="shared" si="0"/>
        <v>JB1-10</v>
      </c>
      <c r="F26" t="str">
        <f t="shared" si="1"/>
        <v>Halm</v>
      </c>
      <c r="G26" s="76" cm="1">
        <f t="array" ref="G26">IF(A26="Vestdanmark",IF(D26="Konventionel",IF(C26=2019,SUMPRODUCT((B26='Landbrugsareal - resultat'!$B$6:$B$19)*(INDEX('Landbrugsareal - resultat'!$C$6:$E$19,,MATCH(E26,'Landbrugsareal - resultat'!$C$5:$E$5,0)))),IF(C26=2030,SUMPRODUCT((B26='Landbrugsareal - resultat'!$B$6:$B$19)*(INDEX('Landbrugsareal - resultat'!$F$6:$H$19,,MATCH(E26,'Landbrugsareal - resultat'!$F$5:$H$5,0)))),SUMPRODUCT((B26='Landbrugsareal - resultat'!$B$6:$B$19)*(INDEX('Landbrugsareal - resultat'!$I$6:$K$19,,MATCH(E26,'Landbrugsareal - resultat'!$I$5:$K$5,0)))))),IF(C26=2019,SUMPRODUCT((B26='Landbrugsareal - resultat'!$B$6:$B$19)*(INDEX('Landbrugsareal - resultat'!$L$6:$N$19,,MATCH(E26,'Landbrugsareal - resultat'!$L$5:$N$5,0)))),IF(C26=2030,SUMPRODUCT((B26='Landbrugsareal - resultat'!$B$6:$B$19)*(INDEX('Landbrugsareal - resultat'!$O$6:$Q$19,,MATCH(E26,'Landbrugsareal - resultat'!$O$5:$Q$5,0)))),SUMPRODUCT((B26='Landbrugsareal - resultat'!$B$6:$B$19)*(INDEX('Landbrugsareal - resultat'!$R$6:$T$19,,MATCH(E26,'Landbrugsareal - resultat'!$R$5:$T$5,0))))))),IF(D26="Konventionel",IF(C26=2019,SUMPRODUCT((B26='Landbrugsareal - resultat'!$B$33:$B$46)*(INDEX('Landbrugsareal - resultat'!$C$33:$E$46,,MATCH(E26,'Landbrugsareal - resultat'!$C$5:$E$5,0)))),IF(C26=2030,SUMPRODUCT((B26='Landbrugsareal - resultat'!$B$33:$B$46)*(INDEX('Landbrugsareal - resultat'!$F$33:$H$46,,MATCH(E26,'Landbrugsareal - resultat'!$F$5:$H$5,0)))),SUMPRODUCT((B26='Landbrugsareal - resultat'!$B$33:$B$46)*(INDEX('Landbrugsareal - resultat'!$I$33:$K$46,,MATCH(E26,'Landbrugsareal - resultat'!$I$5:$K$5,0)))))),IF(C26=2019,SUMPRODUCT((B26='Landbrugsareal - resultat'!$B$33:$B$46)*(INDEX('Landbrugsareal - resultat'!$L$33:$N$46,,MATCH(E26,'Landbrugsareal - resultat'!$L$5:$N$5,0)))),IF(C26=2030,SUMPRODUCT((B26='Landbrugsareal - resultat'!$B$33:$B$46)*(INDEX('Landbrugsareal - resultat'!$O$33:$Q$46,,MATCH(E26,'Landbrugsareal - resultat'!$O$5:$Q$5,0)))),SUMPRODUCT((B26='Landbrugsareal - resultat'!$B$33:$B$46)*(INDEX('Landbrugsareal - resultat'!$R$33:$T$46,,MATCH(E26,'Landbrugsareal - resultat'!$R$5:$T$5,0))))))))</f>
        <v>48263.74434023608</v>
      </c>
      <c r="H26" s="168">
        <f>G26*VLOOKUP(B26,[1]Afgrødedata!$A$5:$F$18,2,FALSE)*IF(D26="Økologisk",VLOOKUP(B26,[1]Afgrødedata!$A$5:$F$18,4,FALSE),1)*IF(E26&lt;&gt;Jordbund1,IF(E26=Organ6,VLOOKUP(B26,[1]Afgrødedata!$A$5:$F$18,5,FALSE),VLOOKUP(B26,[1]Afgrødedata!$A$5:$F$18,6,FALSE)),1)*0.1</f>
        <v>689633.922609434</v>
      </c>
      <c r="I26" s="168">
        <f>G26*VLOOKUP(B26,[1]Afgrødedata!$A$5:$F$18,3,FALSE)*IF(D26="Økologisk",VLOOKUP(B26,[1]Afgrødedata!$A$5:$F$18,4,FALSE),1)*IF(E26&lt;&gt;Jordbund1,IF(E26=Organ6,VLOOKUP(B26,[1]Afgrødedata!$A$5:$F$18,5,FALSE),VLOOKUP(B26,[1]Afgrødedata!$A$5:$F$18,6,FALSE)),1)*HLOOKUP(C26,Landbrug!$C$15:$E$17,2,FALSE)*HLOOKUP(C26,Landbrug!$C$15:$E$17,3,FALSE)*0.1</f>
        <v>113902.43664295714</v>
      </c>
      <c r="J26" s="76">
        <f t="shared" si="2"/>
        <v>113902.43664295714</v>
      </c>
      <c r="L26" t="s">
        <v>24</v>
      </c>
      <c r="M26" t="s">
        <v>22</v>
      </c>
      <c r="N26">
        <v>2050</v>
      </c>
      <c r="O26" t="s">
        <v>7</v>
      </c>
      <c r="P26" s="76">
        <f>'Landbrugsareal - resultat'!E51</f>
        <v>1517250.402620316</v>
      </c>
    </row>
    <row r="27" spans="1:16" x14ac:dyDescent="0.25">
      <c r="A27" t="s">
        <v>23</v>
      </c>
      <c r="B27" s="1" t="str">
        <f>[1]Afgrødefordeling!$C$13</f>
        <v>Juletræer</v>
      </c>
      <c r="C27">
        <v>2030</v>
      </c>
      <c r="D27" t="s">
        <v>7</v>
      </c>
      <c r="E27" s="168" t="str">
        <f t="shared" si="0"/>
        <v>JB1-10</v>
      </c>
      <c r="F27" t="str">
        <f t="shared" si="1"/>
        <v>Juletræer</v>
      </c>
      <c r="G27" s="76" cm="1">
        <f t="array" ref="G27">IF(A27="Vestdanmark",IF(D27="Konventionel",IF(C27=2019,SUMPRODUCT((B27='Landbrugsareal - resultat'!$B$6:$B$19)*(INDEX('Landbrugsareal - resultat'!$C$6:$E$19,,MATCH(E27,'Landbrugsareal - resultat'!$C$5:$E$5,0)))),IF(C27=2030,SUMPRODUCT((B27='Landbrugsareal - resultat'!$B$6:$B$19)*(INDEX('Landbrugsareal - resultat'!$F$6:$H$19,,MATCH(E27,'Landbrugsareal - resultat'!$F$5:$H$5,0)))),SUMPRODUCT((B27='Landbrugsareal - resultat'!$B$6:$B$19)*(INDEX('Landbrugsareal - resultat'!$I$6:$K$19,,MATCH(E27,'Landbrugsareal - resultat'!$I$5:$K$5,0)))))),IF(C27=2019,SUMPRODUCT((B27='Landbrugsareal - resultat'!$B$6:$B$19)*(INDEX('Landbrugsareal - resultat'!$L$6:$N$19,,MATCH(E27,'Landbrugsareal - resultat'!$L$5:$N$5,0)))),IF(C27=2030,SUMPRODUCT((B27='Landbrugsareal - resultat'!$B$6:$B$19)*(INDEX('Landbrugsareal - resultat'!$O$6:$Q$19,,MATCH(E27,'Landbrugsareal - resultat'!$O$5:$Q$5,0)))),SUMPRODUCT((B27='Landbrugsareal - resultat'!$B$6:$B$19)*(INDEX('Landbrugsareal - resultat'!$R$6:$T$19,,MATCH(E27,'Landbrugsareal - resultat'!$R$5:$T$5,0))))))),IF(D27="Konventionel",IF(C27=2019,SUMPRODUCT((B27='Landbrugsareal - resultat'!$B$33:$B$46)*(INDEX('Landbrugsareal - resultat'!$C$33:$E$46,,MATCH(E27,'Landbrugsareal - resultat'!$C$5:$E$5,0)))),IF(C27=2030,SUMPRODUCT((B27='Landbrugsareal - resultat'!$B$33:$B$46)*(INDEX('Landbrugsareal - resultat'!$F$33:$H$46,,MATCH(E27,'Landbrugsareal - resultat'!$F$5:$H$5,0)))),SUMPRODUCT((B27='Landbrugsareal - resultat'!$B$33:$B$46)*(INDEX('Landbrugsareal - resultat'!$I$33:$K$46,,MATCH(E27,'Landbrugsareal - resultat'!$I$5:$K$5,0)))))),IF(C27=2019,SUMPRODUCT((B27='Landbrugsareal - resultat'!$B$33:$B$46)*(INDEX('Landbrugsareal - resultat'!$L$33:$N$46,,MATCH(E27,'Landbrugsareal - resultat'!$L$5:$N$5,0)))),IF(C27=2030,SUMPRODUCT((B27='Landbrugsareal - resultat'!$B$33:$B$46)*(INDEX('Landbrugsareal - resultat'!$O$33:$Q$46,,MATCH(E27,'Landbrugsareal - resultat'!$O$5:$Q$5,0)))),SUMPRODUCT((B27='Landbrugsareal - resultat'!$B$33:$B$46)*(INDEX('Landbrugsareal - resultat'!$R$33:$T$46,,MATCH(E27,'Landbrugsareal - resultat'!$R$5:$T$5,0))))))))</f>
        <v>13011.65170779564</v>
      </c>
      <c r="H27" s="168">
        <f>G27*VLOOKUP(B27,[1]Afgrødedata!$A$5:$F$18,2,FALSE)*IF(D27="Økologisk",VLOOKUP(B27,[1]Afgrødedata!$A$5:$F$18,4,FALSE),1)*IF(E27&lt;&gt;Jordbund1,IF(E27=Organ6,VLOOKUP(B27,[1]Afgrødedata!$A$5:$F$18,5,FALSE),VLOOKUP(B27,[1]Afgrødedata!$A$5:$F$18,6,FALSE)),1)*0.1</f>
        <v>650582.58538978209</v>
      </c>
      <c r="I27" s="168">
        <f>G27*VLOOKUP(B27,[1]Afgrødedata!$A$5:$F$18,3,FALSE)*IF(D27="Økologisk",VLOOKUP(B27,[1]Afgrødedata!$A$5:$F$18,4,FALSE),1)*IF(E27&lt;&gt;Jordbund1,IF(E27=Organ6,VLOOKUP(B27,[1]Afgrødedata!$A$5:$F$18,5,FALSE),VLOOKUP(B27,[1]Afgrødedata!$A$5:$F$18,6,FALSE)),1)*HLOOKUP(C27,Landbrug!$C$15:$E$17,2,FALSE)*HLOOKUP(C27,Landbrug!$C$15:$E$17,3,FALSE)*0.1</f>
        <v>0</v>
      </c>
      <c r="J27" s="76">
        <f t="shared" si="2"/>
        <v>650582.58538978209</v>
      </c>
      <c r="L27" t="s">
        <v>24</v>
      </c>
      <c r="M27" t="s">
        <v>3</v>
      </c>
      <c r="N27">
        <v>2050</v>
      </c>
      <c r="O27" t="s">
        <v>7</v>
      </c>
      <c r="P27" s="76">
        <f>'Landbrugsareal - resultat'!E52</f>
        <v>75689.10421630925</v>
      </c>
    </row>
    <row r="28" spans="1:16" x14ac:dyDescent="0.25">
      <c r="A28" t="s">
        <v>23</v>
      </c>
      <c r="B28" s="1" t="str">
        <f>[1]Afgrødefordeling!$C$14</f>
        <v>Pil &amp; poppel</v>
      </c>
      <c r="C28">
        <v>2030</v>
      </c>
      <c r="D28" t="s">
        <v>7</v>
      </c>
      <c r="E28" s="168" t="str">
        <f t="shared" si="0"/>
        <v>JB1-10</v>
      </c>
      <c r="F28" t="str">
        <f t="shared" ref="F28" si="4">IF(I28&lt;&gt;0,"Halm",IF(B28&lt;&gt;"Permanent græs",B28,"Græs"))</f>
        <v>Pil &amp; poppel</v>
      </c>
      <c r="G28" s="76" cm="1">
        <f t="array" ref="G28">IF(A28="Vestdanmark",IF(D28="Konventionel",IF(C28=2019,SUMPRODUCT((B28='Landbrugsareal - resultat'!$B$6:$B$19)*(INDEX('Landbrugsareal - resultat'!$C$6:$E$19,,MATCH(E28,'Landbrugsareal - resultat'!$C$5:$E$5,0)))),IF(C28=2030,SUMPRODUCT((B28='Landbrugsareal - resultat'!$B$6:$B$19)*(INDEX('Landbrugsareal - resultat'!$F$6:$H$19,,MATCH(E28,'Landbrugsareal - resultat'!$F$5:$H$5,0)))),SUMPRODUCT((B28='Landbrugsareal - resultat'!$B$6:$B$19)*(INDEX('Landbrugsareal - resultat'!$I$6:$K$19,,MATCH(E28,'Landbrugsareal - resultat'!$I$5:$K$5,0)))))),IF(C28=2019,SUMPRODUCT((B28='Landbrugsareal - resultat'!$B$6:$B$19)*(INDEX('Landbrugsareal - resultat'!$L$6:$N$19,,MATCH(E28,'Landbrugsareal - resultat'!$L$5:$N$5,0)))),IF(C28=2030,SUMPRODUCT((B28='Landbrugsareal - resultat'!$B$6:$B$19)*(INDEX('Landbrugsareal - resultat'!$O$6:$Q$19,,MATCH(E28,'Landbrugsareal - resultat'!$O$5:$Q$5,0)))),SUMPRODUCT((B28='Landbrugsareal - resultat'!$B$6:$B$19)*(INDEX('Landbrugsareal - resultat'!$R$6:$T$19,,MATCH(E28,'Landbrugsareal - resultat'!$R$5:$T$5,0))))))),IF(D28="Konventionel",IF(C28=2019,SUMPRODUCT((B28='Landbrugsareal - resultat'!$B$33:$B$46)*(INDEX('Landbrugsareal - resultat'!$C$33:$E$46,,MATCH(E28,'Landbrugsareal - resultat'!$C$5:$E$5,0)))),IF(C28=2030,SUMPRODUCT((B28='Landbrugsareal - resultat'!$B$33:$B$46)*(INDEX('Landbrugsareal - resultat'!$F$33:$H$46,,MATCH(E28,'Landbrugsareal - resultat'!$F$5:$H$5,0)))),SUMPRODUCT((B28='Landbrugsareal - resultat'!$B$33:$B$46)*(INDEX('Landbrugsareal - resultat'!$I$33:$K$46,,MATCH(E28,'Landbrugsareal - resultat'!$I$5:$K$5,0)))))),IF(C28=2019,SUMPRODUCT((B28='Landbrugsareal - resultat'!$B$33:$B$46)*(INDEX('Landbrugsareal - resultat'!$L$33:$N$46,,MATCH(E28,'Landbrugsareal - resultat'!$L$5:$N$5,0)))),IF(C28=2030,SUMPRODUCT((B28='Landbrugsareal - resultat'!$B$33:$B$46)*(INDEX('Landbrugsareal - resultat'!$O$33:$Q$46,,MATCH(E28,'Landbrugsareal - resultat'!$O$5:$Q$5,0)))),SUMPRODUCT((B28='Landbrugsareal - resultat'!$B$33:$B$46)*(INDEX('Landbrugsareal - resultat'!$R$33:$T$46,,MATCH(E28,'Landbrugsareal - resultat'!$R$5:$T$5,0))))))))</f>
        <v>4786.1029753188222</v>
      </c>
      <c r="H28" s="168">
        <f>G28*VLOOKUP(B28,[1]Afgrødedata!$A$5:$F$18,2,FALSE)*IF(D28="Økologisk",VLOOKUP(B28,[1]Afgrødedata!$A$5:$F$18,4,FALSE),1)*IF(E28&lt;&gt;Jordbund1,IF(E28=Organ6,VLOOKUP(B28,[1]Afgrødedata!$A$5:$F$18,5,FALSE),VLOOKUP(B28,[1]Afgrødedata!$A$5:$F$18,6,FALSE)),1)*0.1</f>
        <v>116734.21891021519</v>
      </c>
      <c r="I28" s="168">
        <f>G28*VLOOKUP(B28,[1]Afgrødedata!$A$5:$F$18,3,FALSE)*IF(D28="Økologisk",VLOOKUP(B28,[1]Afgrødedata!$A$5:$F$18,4,FALSE),1)*IF(E28&lt;&gt;Jordbund1,IF(E28=Organ6,VLOOKUP(B28,[1]Afgrødedata!$A$5:$F$18,5,FALSE),VLOOKUP(B28,[1]Afgrødedata!$A$5:$F$18,6,FALSE)),1)*HLOOKUP(C28,Landbrug!$C$15:$E$17,2,FALSE)*HLOOKUP(C28,Landbrug!$C$15:$E$17,3,FALSE)*0.1</f>
        <v>0</v>
      </c>
      <c r="J28" s="76">
        <f t="shared" ref="J28" si="5">IF(I28&lt;&gt;0,I28,H28)</f>
        <v>116734.21891021519</v>
      </c>
      <c r="L28" t="s">
        <v>24</v>
      </c>
      <c r="M28" t="s">
        <v>4</v>
      </c>
      <c r="N28">
        <v>2050</v>
      </c>
      <c r="O28" t="s">
        <v>7</v>
      </c>
      <c r="P28" s="76">
        <f>'Landbrugsareal - resultat'!E53</f>
        <v>1477326.3140238035</v>
      </c>
    </row>
    <row r="29" spans="1:16" x14ac:dyDescent="0.25">
      <c r="A29" t="s">
        <v>23</v>
      </c>
      <c r="B29" s="1" t="str">
        <f>[1]Afgrødefordeling!$C$15</f>
        <v>Permanent græs</v>
      </c>
      <c r="C29">
        <v>2030</v>
      </c>
      <c r="D29" t="s">
        <v>7</v>
      </c>
      <c r="E29" s="168" t="str">
        <f t="shared" si="0"/>
        <v>JB1-10</v>
      </c>
      <c r="F29" t="str">
        <f t="shared" si="1"/>
        <v>Græs</v>
      </c>
      <c r="G29" s="76" cm="1">
        <f t="array" ref="G29">IF(A29="Vestdanmark",IF(D29="Konventionel",IF(C29=2019,SUMPRODUCT((B29='Landbrugsareal - resultat'!$B$6:$B$19)*(INDEX('Landbrugsareal - resultat'!$C$6:$E$19,,MATCH(E29,'Landbrugsareal - resultat'!$C$5:$E$5,0)))),IF(C29=2030,SUMPRODUCT((B29='Landbrugsareal - resultat'!$B$6:$B$19)*(INDEX('Landbrugsareal - resultat'!$F$6:$H$19,,MATCH(E29,'Landbrugsareal - resultat'!$F$5:$H$5,0)))),SUMPRODUCT((B29='Landbrugsareal - resultat'!$B$6:$B$19)*(INDEX('Landbrugsareal - resultat'!$I$6:$K$19,,MATCH(E29,'Landbrugsareal - resultat'!$I$5:$K$5,0)))))),IF(C29=2019,SUMPRODUCT((B29='Landbrugsareal - resultat'!$B$6:$B$19)*(INDEX('Landbrugsareal - resultat'!$L$6:$N$19,,MATCH(E29,'Landbrugsareal - resultat'!$L$5:$N$5,0)))),IF(C29=2030,SUMPRODUCT((B29='Landbrugsareal - resultat'!$B$6:$B$19)*(INDEX('Landbrugsareal - resultat'!$O$6:$Q$19,,MATCH(E29,'Landbrugsareal - resultat'!$O$5:$Q$5,0)))),SUMPRODUCT((B29='Landbrugsareal - resultat'!$B$6:$B$19)*(INDEX('Landbrugsareal - resultat'!$R$6:$T$19,,MATCH(E29,'Landbrugsareal - resultat'!$R$5:$T$5,0))))))),IF(D29="Konventionel",IF(C29=2019,SUMPRODUCT((B29='Landbrugsareal - resultat'!$B$33:$B$46)*(INDEX('Landbrugsareal - resultat'!$C$33:$E$46,,MATCH(E29,'Landbrugsareal - resultat'!$C$5:$E$5,0)))),IF(C29=2030,SUMPRODUCT((B29='Landbrugsareal - resultat'!$B$33:$B$46)*(INDEX('Landbrugsareal - resultat'!$F$33:$H$46,,MATCH(E29,'Landbrugsareal - resultat'!$F$5:$H$5,0)))),SUMPRODUCT((B29='Landbrugsareal - resultat'!$B$33:$B$46)*(INDEX('Landbrugsareal - resultat'!$I$33:$K$46,,MATCH(E29,'Landbrugsareal - resultat'!$I$5:$K$5,0)))))),IF(C29=2019,SUMPRODUCT((B29='Landbrugsareal - resultat'!$B$33:$B$46)*(INDEX('Landbrugsareal - resultat'!$L$33:$N$46,,MATCH(E29,'Landbrugsareal - resultat'!$L$5:$N$5,0)))),IF(C29=2030,SUMPRODUCT((B29='Landbrugsareal - resultat'!$B$33:$B$46)*(INDEX('Landbrugsareal - resultat'!$O$33:$Q$46,,MATCH(E29,'Landbrugsareal - resultat'!$O$5:$Q$5,0)))),SUMPRODUCT((B29='Landbrugsareal - resultat'!$B$33:$B$46)*(INDEX('Landbrugsareal - resultat'!$R$33:$T$46,,MATCH(E29,'Landbrugsareal - resultat'!$R$5:$T$5,0))))))))</f>
        <v>115361.98566247879</v>
      </c>
      <c r="H29" s="168">
        <f>G29*VLOOKUP(B29,[1]Afgrødedata!$A$5:$F$18,2,FALSE)*IF(D29="Økologisk",VLOOKUP(B29,[1]Afgrødedata!$A$5:$F$18,4,FALSE),1)*IF(E29&lt;&gt;Jordbund1,IF(E29=Organ6,VLOOKUP(B29,[1]Afgrødedata!$A$5:$F$18,5,FALSE),VLOOKUP(B29,[1]Afgrødedata!$A$5:$F$18,6,FALSE)),1)*0.1</f>
        <v>1590841.7822855827</v>
      </c>
      <c r="I29" s="168">
        <f>G29*VLOOKUP(B29,[1]Afgrødedata!$A$5:$F$18,3,FALSE)*IF(D29="Økologisk",VLOOKUP(B29,[1]Afgrødedata!$A$5:$F$18,4,FALSE),1)*IF(E29&lt;&gt;Jordbund1,IF(E29=Organ6,VLOOKUP(B29,[1]Afgrødedata!$A$5:$F$18,5,FALSE),VLOOKUP(B29,[1]Afgrødedata!$A$5:$F$18,6,FALSE)),1)*HLOOKUP(C29,Landbrug!$C$15:$E$17,2,FALSE)*HLOOKUP(C29,Landbrug!$C$15:$E$17,3,FALSE)*0.1</f>
        <v>0</v>
      </c>
      <c r="J29" s="76">
        <f t="shared" si="2"/>
        <v>1590841.7822855827</v>
      </c>
      <c r="L29" t="s">
        <v>24</v>
      </c>
      <c r="M29" t="s">
        <v>22</v>
      </c>
      <c r="N29">
        <v>2019</v>
      </c>
      <c r="O29" t="s">
        <v>8</v>
      </c>
      <c r="P29" s="76">
        <f>'Landbrugsareal - resultat'!F51</f>
        <v>15447</v>
      </c>
    </row>
    <row r="30" spans="1:16" x14ac:dyDescent="0.25">
      <c r="A30" t="s">
        <v>23</v>
      </c>
      <c r="B30" s="1" t="str">
        <f>[1]Afgrødefordeling!$C$2</f>
        <v>Korn</v>
      </c>
      <c r="C30">
        <v>2050</v>
      </c>
      <c r="D30" t="s">
        <v>7</v>
      </c>
      <c r="E30" s="168" t="str">
        <f t="shared" si="0"/>
        <v>JB1-10</v>
      </c>
      <c r="F30" t="str">
        <f t="shared" si="1"/>
        <v>Halm</v>
      </c>
      <c r="G30" s="76" cm="1">
        <f t="array" ref="G30">IF(A30="Vestdanmark",IF(D30="Konventionel",IF(C30=2019,SUMPRODUCT((B30='Landbrugsareal - resultat'!$B$6:$B$19)*(INDEX('Landbrugsareal - resultat'!$C$6:$E$19,,MATCH(E30,'Landbrugsareal - resultat'!$C$5:$E$5,0)))),IF(C30=2030,SUMPRODUCT((B30='Landbrugsareal - resultat'!$B$6:$B$19)*(INDEX('Landbrugsareal - resultat'!$F$6:$H$19,,MATCH(E30,'Landbrugsareal - resultat'!$F$5:$H$5,0)))),SUMPRODUCT((B30='Landbrugsareal - resultat'!$B$6:$B$19)*(INDEX('Landbrugsareal - resultat'!$I$6:$K$19,,MATCH(E30,'Landbrugsareal - resultat'!$I$5:$K$5,0)))))),IF(C30=2019,SUMPRODUCT((B30='Landbrugsareal - resultat'!$B$6:$B$19)*(INDEX('Landbrugsareal - resultat'!$L$6:$N$19,,MATCH(E30,'Landbrugsareal - resultat'!$L$5:$N$5,0)))),IF(C30=2030,SUMPRODUCT((B30='Landbrugsareal - resultat'!$B$6:$B$19)*(INDEX('Landbrugsareal - resultat'!$O$6:$Q$19,,MATCH(E30,'Landbrugsareal - resultat'!$O$5:$Q$5,0)))),SUMPRODUCT((B30='Landbrugsareal - resultat'!$B$6:$B$19)*(INDEX('Landbrugsareal - resultat'!$R$6:$T$19,,MATCH(E30,'Landbrugsareal - resultat'!$R$5:$T$5,0))))))),IF(D30="Konventionel",IF(C30=2019,SUMPRODUCT((B30='Landbrugsareal - resultat'!$B$33:$B$46)*(INDEX('Landbrugsareal - resultat'!$C$33:$E$46,,MATCH(E30,'Landbrugsareal - resultat'!$C$5:$E$5,0)))),IF(C30=2030,SUMPRODUCT((B30='Landbrugsareal - resultat'!$B$33:$B$46)*(INDEX('Landbrugsareal - resultat'!$F$33:$H$46,,MATCH(E30,'Landbrugsareal - resultat'!$F$5:$H$5,0)))),SUMPRODUCT((B30='Landbrugsareal - resultat'!$B$33:$B$46)*(INDEX('Landbrugsareal - resultat'!$I$33:$K$46,,MATCH(E30,'Landbrugsareal - resultat'!$I$5:$K$5,0)))))),IF(C30=2019,SUMPRODUCT((B30='Landbrugsareal - resultat'!$B$33:$B$46)*(INDEX('Landbrugsareal - resultat'!$L$33:$N$46,,MATCH(E30,'Landbrugsareal - resultat'!$L$5:$N$5,0)))),IF(C30=2030,SUMPRODUCT((B30='Landbrugsareal - resultat'!$B$33:$B$46)*(INDEX('Landbrugsareal - resultat'!$O$33:$Q$46,,MATCH(E30,'Landbrugsareal - resultat'!$O$5:$Q$5,0)))),SUMPRODUCT((B30='Landbrugsareal - resultat'!$B$33:$B$46)*(INDEX('Landbrugsareal - resultat'!$R$33:$T$46,,MATCH(E30,'Landbrugsareal - resultat'!$R$5:$T$5,0))))))))</f>
        <v>774548.48763626383</v>
      </c>
      <c r="H30" s="168">
        <f>G30*VLOOKUP(B30,[1]Afgrødedata!$A$5:$F$18,2,FALSE)*IF(D30="Økologisk",VLOOKUP(B30,[1]Afgrødedata!$A$5:$F$18,4,FALSE),1)*IF(E30&lt;&gt;Jordbund1,IF(E30=Organ6,VLOOKUP(B30,[1]Afgrødedata!$A$5:$F$18,5,FALSE),VLOOKUP(B30,[1]Afgrødedata!$A$5:$F$18,6,FALSE)),1)*0.1</f>
        <v>5429584.8983302088</v>
      </c>
      <c r="I30" s="168">
        <f>G30*VLOOKUP(B30,[1]Afgrødedata!$A$5:$F$18,3,FALSE)*IF(D30="Økologisk",VLOOKUP(B30,[1]Afgrødedata!$A$5:$F$18,4,FALSE),1)*IF(E30&lt;&gt;Jordbund1,IF(E30=Organ6,VLOOKUP(B30,[1]Afgrødedata!$A$5:$F$18,5,FALSE),VLOOKUP(B30,[1]Afgrødedata!$A$5:$F$18,6,FALSE)),1)*HLOOKUP(C30,Landbrug!$C$15:$E$17,2,FALSE)*HLOOKUP(C30,Landbrug!$C$15:$E$17,3,FALSE)*0.1</f>
        <v>1761900.299508153</v>
      </c>
      <c r="J30" s="76">
        <f t="shared" si="2"/>
        <v>1761900.299508153</v>
      </c>
      <c r="L30" t="s">
        <v>24</v>
      </c>
      <c r="M30" t="s">
        <v>3</v>
      </c>
      <c r="N30">
        <v>2019</v>
      </c>
      <c r="O30" t="s">
        <v>8</v>
      </c>
      <c r="P30" s="76">
        <f>'Landbrugsareal - resultat'!F52</f>
        <v>16513</v>
      </c>
    </row>
    <row r="31" spans="1:16" x14ac:dyDescent="0.25">
      <c r="A31" t="s">
        <v>23</v>
      </c>
      <c r="B31" s="1" t="str">
        <f>[1]Afgrødefordeling!$C$3</f>
        <v>Bælgsæd</v>
      </c>
      <c r="C31">
        <v>2050</v>
      </c>
      <c r="D31" t="s">
        <v>7</v>
      </c>
      <c r="E31" s="168" t="str">
        <f t="shared" si="0"/>
        <v>JB1-10</v>
      </c>
      <c r="F31" t="str">
        <f t="shared" si="1"/>
        <v>Halm</v>
      </c>
      <c r="G31" s="76" cm="1">
        <f t="array" ref="G31">IF(A31="Vestdanmark",IF(D31="Konventionel",IF(C31=2019,SUMPRODUCT((B31='Landbrugsareal - resultat'!$B$6:$B$19)*(INDEX('Landbrugsareal - resultat'!$C$6:$E$19,,MATCH(E31,'Landbrugsareal - resultat'!$C$5:$E$5,0)))),IF(C31=2030,SUMPRODUCT((B31='Landbrugsareal - resultat'!$B$6:$B$19)*(INDEX('Landbrugsareal - resultat'!$F$6:$H$19,,MATCH(E31,'Landbrugsareal - resultat'!$F$5:$H$5,0)))),SUMPRODUCT((B31='Landbrugsareal - resultat'!$B$6:$B$19)*(INDEX('Landbrugsareal - resultat'!$I$6:$K$19,,MATCH(E31,'Landbrugsareal - resultat'!$I$5:$K$5,0)))))),IF(C31=2019,SUMPRODUCT((B31='Landbrugsareal - resultat'!$B$6:$B$19)*(INDEX('Landbrugsareal - resultat'!$L$6:$N$19,,MATCH(E31,'Landbrugsareal - resultat'!$L$5:$N$5,0)))),IF(C31=2030,SUMPRODUCT((B31='Landbrugsareal - resultat'!$B$6:$B$19)*(INDEX('Landbrugsareal - resultat'!$O$6:$Q$19,,MATCH(E31,'Landbrugsareal - resultat'!$O$5:$Q$5,0)))),SUMPRODUCT((B31='Landbrugsareal - resultat'!$B$6:$B$19)*(INDEX('Landbrugsareal - resultat'!$R$6:$T$19,,MATCH(E31,'Landbrugsareal - resultat'!$R$5:$T$5,0))))))),IF(D31="Konventionel",IF(C31=2019,SUMPRODUCT((B31='Landbrugsareal - resultat'!$B$33:$B$46)*(INDEX('Landbrugsareal - resultat'!$C$33:$E$46,,MATCH(E31,'Landbrugsareal - resultat'!$C$5:$E$5,0)))),IF(C31=2030,SUMPRODUCT((B31='Landbrugsareal - resultat'!$B$33:$B$46)*(INDEX('Landbrugsareal - resultat'!$F$33:$H$46,,MATCH(E31,'Landbrugsareal - resultat'!$F$5:$H$5,0)))),SUMPRODUCT((B31='Landbrugsareal - resultat'!$B$33:$B$46)*(INDEX('Landbrugsareal - resultat'!$I$33:$K$46,,MATCH(E31,'Landbrugsareal - resultat'!$I$5:$K$5,0)))))),IF(C31=2019,SUMPRODUCT((B31='Landbrugsareal - resultat'!$B$33:$B$46)*(INDEX('Landbrugsareal - resultat'!$L$33:$N$46,,MATCH(E31,'Landbrugsareal - resultat'!$L$5:$N$5,0)))),IF(C31=2030,SUMPRODUCT((B31='Landbrugsareal - resultat'!$B$33:$B$46)*(INDEX('Landbrugsareal - resultat'!$O$33:$Q$46,,MATCH(E31,'Landbrugsareal - resultat'!$O$5:$Q$5,0)))),SUMPRODUCT((B31='Landbrugsareal - resultat'!$B$33:$B$46)*(INDEX('Landbrugsareal - resultat'!$R$33:$T$46,,MATCH(E31,'Landbrugsareal - resultat'!$R$5:$T$5,0))))))))</f>
        <v>53514.728681838846</v>
      </c>
      <c r="H31" s="168">
        <f>G31*VLOOKUP(B31,[1]Afgrødedata!$A$5:$F$18,2,FALSE)*IF(D31="Økologisk",VLOOKUP(B31,[1]Afgrødedata!$A$5:$F$18,4,FALSE),1)*IF(E31&lt;&gt;Jordbund1,IF(E31=Organ6,VLOOKUP(B31,[1]Afgrødedata!$A$5:$F$18,5,FALSE),VLOOKUP(B31,[1]Afgrødedata!$A$5:$F$18,6,FALSE)),1)*0.1</f>
        <v>206566.85271189795</v>
      </c>
      <c r="I31" s="168">
        <f>G31*VLOOKUP(B31,[1]Afgrødedata!$A$5:$F$18,3,FALSE)*IF(D31="Økologisk",VLOOKUP(B31,[1]Afgrødedata!$A$5:$F$18,4,FALSE),1)*IF(E31&lt;&gt;Jordbund1,IF(E31=Organ6,VLOOKUP(B31,[1]Afgrødedata!$A$5:$F$18,5,FALSE),VLOOKUP(B31,[1]Afgrødedata!$A$5:$F$18,6,FALSE)),1)*HLOOKUP(C31,Landbrug!$C$15:$E$17,2,FALSE)*HLOOKUP(C31,Landbrug!$C$15:$E$17,3,FALSE)*0.1</f>
        <v>60968.795239932173</v>
      </c>
      <c r="J31" s="76">
        <f t="shared" si="2"/>
        <v>60968.795239932173</v>
      </c>
      <c r="L31" t="s">
        <v>24</v>
      </c>
      <c r="M31" t="s">
        <v>4</v>
      </c>
      <c r="N31">
        <v>2019</v>
      </c>
      <c r="O31" t="s">
        <v>8</v>
      </c>
      <c r="P31" s="76">
        <f>'Landbrugsareal - resultat'!F53</f>
        <v>214987</v>
      </c>
    </row>
    <row r="32" spans="1:16" x14ac:dyDescent="0.25">
      <c r="A32" t="s">
        <v>23</v>
      </c>
      <c r="B32" s="1" t="str">
        <f>[1]Afgrødefordeling!$C$4</f>
        <v>Raps</v>
      </c>
      <c r="C32">
        <v>2050</v>
      </c>
      <c r="D32" t="s">
        <v>7</v>
      </c>
      <c r="E32" s="168" t="str">
        <f t="shared" si="0"/>
        <v>JB1-10</v>
      </c>
      <c r="F32" t="str">
        <f t="shared" si="1"/>
        <v>Halm</v>
      </c>
      <c r="G32" s="76" cm="1">
        <f t="array" ref="G32">IF(A32="Vestdanmark",IF(D32="Konventionel",IF(C32=2019,SUMPRODUCT((B32='Landbrugsareal - resultat'!$B$6:$B$19)*(INDEX('Landbrugsareal - resultat'!$C$6:$E$19,,MATCH(E32,'Landbrugsareal - resultat'!$C$5:$E$5,0)))),IF(C32=2030,SUMPRODUCT((B32='Landbrugsareal - resultat'!$B$6:$B$19)*(INDEX('Landbrugsareal - resultat'!$F$6:$H$19,,MATCH(E32,'Landbrugsareal - resultat'!$F$5:$H$5,0)))),SUMPRODUCT((B32='Landbrugsareal - resultat'!$B$6:$B$19)*(INDEX('Landbrugsareal - resultat'!$I$6:$K$19,,MATCH(E32,'Landbrugsareal - resultat'!$I$5:$K$5,0)))))),IF(C32=2019,SUMPRODUCT((B32='Landbrugsareal - resultat'!$B$6:$B$19)*(INDEX('Landbrugsareal - resultat'!$L$6:$N$19,,MATCH(E32,'Landbrugsareal - resultat'!$L$5:$N$5,0)))),IF(C32=2030,SUMPRODUCT((B32='Landbrugsareal - resultat'!$B$6:$B$19)*(INDEX('Landbrugsareal - resultat'!$O$6:$Q$19,,MATCH(E32,'Landbrugsareal - resultat'!$O$5:$Q$5,0)))),SUMPRODUCT((B32='Landbrugsareal - resultat'!$B$6:$B$19)*(INDEX('Landbrugsareal - resultat'!$R$6:$T$19,,MATCH(E32,'Landbrugsareal - resultat'!$R$5:$T$5,0))))))),IF(D32="Konventionel",IF(C32=2019,SUMPRODUCT((B32='Landbrugsareal - resultat'!$B$33:$B$46)*(INDEX('Landbrugsareal - resultat'!$C$33:$E$46,,MATCH(E32,'Landbrugsareal - resultat'!$C$5:$E$5,0)))),IF(C32=2030,SUMPRODUCT((B32='Landbrugsareal - resultat'!$B$33:$B$46)*(INDEX('Landbrugsareal - resultat'!$F$33:$H$46,,MATCH(E32,'Landbrugsareal - resultat'!$F$5:$H$5,0)))),SUMPRODUCT((B32='Landbrugsareal - resultat'!$B$33:$B$46)*(INDEX('Landbrugsareal - resultat'!$I$33:$K$46,,MATCH(E32,'Landbrugsareal - resultat'!$I$5:$K$5,0)))))),IF(C32=2019,SUMPRODUCT((B32='Landbrugsareal - resultat'!$B$33:$B$46)*(INDEX('Landbrugsareal - resultat'!$L$33:$N$46,,MATCH(E32,'Landbrugsareal - resultat'!$L$5:$N$5,0)))),IF(C32=2030,SUMPRODUCT((B32='Landbrugsareal - resultat'!$B$33:$B$46)*(INDEX('Landbrugsareal - resultat'!$O$33:$Q$46,,MATCH(E32,'Landbrugsareal - resultat'!$O$5:$Q$5,0)))),SUMPRODUCT((B32='Landbrugsareal - resultat'!$B$33:$B$46)*(INDEX('Landbrugsareal - resultat'!$R$33:$T$46,,MATCH(E32,'Landbrugsareal - resultat'!$R$5:$T$5,0))))))))</f>
        <v>89992.569736434336</v>
      </c>
      <c r="H32" s="168">
        <f>G32*VLOOKUP(B32,[1]Afgrødedata!$A$5:$F$18,2,FALSE)*IF(D32="Økologisk",VLOOKUP(B32,[1]Afgrødedata!$A$5:$F$18,4,FALSE),1)*IF(E32&lt;&gt;Jordbund1,IF(E32=Organ6,VLOOKUP(B32,[1]Afgrødedata!$A$5:$F$18,5,FALSE),VLOOKUP(B32,[1]Afgrødedata!$A$5:$F$18,6,FALSE)),1)*0.1</f>
        <v>395967.3068403111</v>
      </c>
      <c r="I32" s="168">
        <f>G32*VLOOKUP(B32,[1]Afgrødedata!$A$5:$F$18,3,FALSE)*IF(D32="Økologisk",VLOOKUP(B32,[1]Afgrødedata!$A$5:$F$18,4,FALSE),1)*IF(E32&lt;&gt;Jordbund1,IF(E32=Organ6,VLOOKUP(B32,[1]Afgrødedata!$A$5:$F$18,5,FALSE),VLOOKUP(B32,[1]Afgrødedata!$A$5:$F$18,6,FALSE)),1)*HLOOKUP(C32,Landbrug!$C$15:$E$17,2,FALSE)*HLOOKUP(C32,Landbrug!$C$15:$E$17,3,FALSE)*0.1</f>
        <v>210258.6399322052</v>
      </c>
      <c r="J32" s="76">
        <f t="shared" si="2"/>
        <v>210258.6399322052</v>
      </c>
      <c r="L32" t="s">
        <v>24</v>
      </c>
      <c r="M32" t="s">
        <v>22</v>
      </c>
      <c r="N32">
        <v>2030</v>
      </c>
      <c r="O32" t="s">
        <v>8</v>
      </c>
      <c r="P32" s="76">
        <f>'Landbrugsareal - resultat'!G51</f>
        <v>23819.009547433063</v>
      </c>
    </row>
    <row r="33" spans="1:16" x14ac:dyDescent="0.25">
      <c r="A33" t="s">
        <v>23</v>
      </c>
      <c r="B33" s="1" t="str">
        <f>[1]Afgrødefordeling!$C$5</f>
        <v>Græs</v>
      </c>
      <c r="C33">
        <v>2050</v>
      </c>
      <c r="D33" t="s">
        <v>7</v>
      </c>
      <c r="E33" s="168" t="str">
        <f t="shared" si="0"/>
        <v>JB1-10</v>
      </c>
      <c r="F33" t="str">
        <f t="shared" si="1"/>
        <v>Græs</v>
      </c>
      <c r="G33" s="76" cm="1">
        <f t="array" ref="G33">IF(A33="Vestdanmark",IF(D33="Konventionel",IF(C33=2019,SUMPRODUCT((B33='Landbrugsareal - resultat'!$B$6:$B$19)*(INDEX('Landbrugsareal - resultat'!$C$6:$E$19,,MATCH(E33,'Landbrugsareal - resultat'!$C$5:$E$5,0)))),IF(C33=2030,SUMPRODUCT((B33='Landbrugsareal - resultat'!$B$6:$B$19)*(INDEX('Landbrugsareal - resultat'!$F$6:$H$19,,MATCH(E33,'Landbrugsareal - resultat'!$F$5:$H$5,0)))),SUMPRODUCT((B33='Landbrugsareal - resultat'!$B$6:$B$19)*(INDEX('Landbrugsareal - resultat'!$I$6:$K$19,,MATCH(E33,'Landbrugsareal - resultat'!$I$5:$K$5,0)))))),IF(C33=2019,SUMPRODUCT((B33='Landbrugsareal - resultat'!$B$6:$B$19)*(INDEX('Landbrugsareal - resultat'!$L$6:$N$19,,MATCH(E33,'Landbrugsareal - resultat'!$L$5:$N$5,0)))),IF(C33=2030,SUMPRODUCT((B33='Landbrugsareal - resultat'!$B$6:$B$19)*(INDEX('Landbrugsareal - resultat'!$O$6:$Q$19,,MATCH(E33,'Landbrugsareal - resultat'!$O$5:$Q$5,0)))),SUMPRODUCT((B33='Landbrugsareal - resultat'!$B$6:$B$19)*(INDEX('Landbrugsareal - resultat'!$R$6:$T$19,,MATCH(E33,'Landbrugsareal - resultat'!$R$5:$T$5,0))))))),IF(D33="Konventionel",IF(C33=2019,SUMPRODUCT((B33='Landbrugsareal - resultat'!$B$33:$B$46)*(INDEX('Landbrugsareal - resultat'!$C$33:$E$46,,MATCH(E33,'Landbrugsareal - resultat'!$C$5:$E$5,0)))),IF(C33=2030,SUMPRODUCT((B33='Landbrugsareal - resultat'!$B$33:$B$46)*(INDEX('Landbrugsareal - resultat'!$F$33:$H$46,,MATCH(E33,'Landbrugsareal - resultat'!$F$5:$H$5,0)))),SUMPRODUCT((B33='Landbrugsareal - resultat'!$B$33:$B$46)*(INDEX('Landbrugsareal - resultat'!$I$33:$K$46,,MATCH(E33,'Landbrugsareal - resultat'!$I$5:$K$5,0)))))),IF(C33=2019,SUMPRODUCT((B33='Landbrugsareal - resultat'!$B$33:$B$46)*(INDEX('Landbrugsareal - resultat'!$L$33:$N$46,,MATCH(E33,'Landbrugsareal - resultat'!$L$5:$N$5,0)))),IF(C33=2030,SUMPRODUCT((B33='Landbrugsareal - resultat'!$B$33:$B$46)*(INDEX('Landbrugsareal - resultat'!$O$33:$Q$46,,MATCH(E33,'Landbrugsareal - resultat'!$O$5:$Q$5,0)))),SUMPRODUCT((B33='Landbrugsareal - resultat'!$B$33:$B$46)*(INDEX('Landbrugsareal - resultat'!$R$33:$T$46,,MATCH(E33,'Landbrugsareal - resultat'!$R$5:$T$5,0))))))))</f>
        <v>171587.52645182351</v>
      </c>
      <c r="H33" s="168">
        <f>G33*VLOOKUP(B33,[1]Afgrødedata!$A$5:$F$18,2,FALSE)*IF(D33="Økologisk",VLOOKUP(B33,[1]Afgrødedata!$A$5:$F$18,4,FALSE),1)*IF(E33&lt;&gt;Jordbund1,IF(E33=Organ6,VLOOKUP(B33,[1]Afgrødedata!$A$5:$F$18,5,FALSE),VLOOKUP(B33,[1]Afgrødedata!$A$5:$F$18,6,FALSE)),1)*0.1</f>
        <v>8514173.0625394825</v>
      </c>
      <c r="I33" s="168">
        <f>G33*VLOOKUP(B33,[1]Afgrødedata!$A$5:$F$18,3,FALSE)*IF(D33="Økologisk",VLOOKUP(B33,[1]Afgrødedata!$A$5:$F$18,4,FALSE),1)*IF(E33&lt;&gt;Jordbund1,IF(E33=Organ6,VLOOKUP(B33,[1]Afgrødedata!$A$5:$F$18,5,FALSE),VLOOKUP(B33,[1]Afgrødedata!$A$5:$F$18,6,FALSE)),1)*HLOOKUP(C33,Landbrug!$C$15:$E$17,2,FALSE)*HLOOKUP(C33,Landbrug!$C$15:$E$17,3,FALSE)*0.1</f>
        <v>0</v>
      </c>
      <c r="J33" s="76">
        <f t="shared" si="2"/>
        <v>8514173.0625394825</v>
      </c>
      <c r="L33" t="s">
        <v>24</v>
      </c>
      <c r="M33" t="s">
        <v>3</v>
      </c>
      <c r="N33">
        <v>2030</v>
      </c>
      <c r="O33" t="s">
        <v>8</v>
      </c>
      <c r="P33" s="76">
        <f>'Landbrugsareal - resultat'!G52</f>
        <v>18887.857465363868</v>
      </c>
    </row>
    <row r="34" spans="1:16" x14ac:dyDescent="0.25">
      <c r="A34" t="s">
        <v>23</v>
      </c>
      <c r="B34" s="1" t="str">
        <f>[1]Afgrødefordeling!$C$6</f>
        <v>Grøntsager</v>
      </c>
      <c r="C34">
        <v>2050</v>
      </c>
      <c r="D34" t="s">
        <v>7</v>
      </c>
      <c r="E34" s="168" t="str">
        <f t="shared" ref="E34:E65" si="6">Jordbund1</f>
        <v>JB1-10</v>
      </c>
      <c r="F34" t="str">
        <f t="shared" si="1"/>
        <v>Grøntsager</v>
      </c>
      <c r="G34" s="76" cm="1">
        <f t="array" ref="G34">IF(A34="Vestdanmark",IF(D34="Konventionel",IF(C34=2019,SUMPRODUCT((B34='Landbrugsareal - resultat'!$B$6:$B$19)*(INDEX('Landbrugsareal - resultat'!$C$6:$E$19,,MATCH(E34,'Landbrugsareal - resultat'!$C$5:$E$5,0)))),IF(C34=2030,SUMPRODUCT((B34='Landbrugsareal - resultat'!$B$6:$B$19)*(INDEX('Landbrugsareal - resultat'!$F$6:$H$19,,MATCH(E34,'Landbrugsareal - resultat'!$F$5:$H$5,0)))),SUMPRODUCT((B34='Landbrugsareal - resultat'!$B$6:$B$19)*(INDEX('Landbrugsareal - resultat'!$I$6:$K$19,,MATCH(E34,'Landbrugsareal - resultat'!$I$5:$K$5,0)))))),IF(C34=2019,SUMPRODUCT((B34='Landbrugsareal - resultat'!$B$6:$B$19)*(INDEX('Landbrugsareal - resultat'!$L$6:$N$19,,MATCH(E34,'Landbrugsareal - resultat'!$L$5:$N$5,0)))),IF(C34=2030,SUMPRODUCT((B34='Landbrugsareal - resultat'!$B$6:$B$19)*(INDEX('Landbrugsareal - resultat'!$O$6:$Q$19,,MATCH(E34,'Landbrugsareal - resultat'!$O$5:$Q$5,0)))),SUMPRODUCT((B34='Landbrugsareal - resultat'!$B$6:$B$19)*(INDEX('Landbrugsareal - resultat'!$R$6:$T$19,,MATCH(E34,'Landbrugsareal - resultat'!$R$5:$T$5,0))))))),IF(D34="Konventionel",IF(C34=2019,SUMPRODUCT((B34='Landbrugsareal - resultat'!$B$33:$B$46)*(INDEX('Landbrugsareal - resultat'!$C$33:$E$46,,MATCH(E34,'Landbrugsareal - resultat'!$C$5:$E$5,0)))),IF(C34=2030,SUMPRODUCT((B34='Landbrugsareal - resultat'!$B$33:$B$46)*(INDEX('Landbrugsareal - resultat'!$F$33:$H$46,,MATCH(E34,'Landbrugsareal - resultat'!$F$5:$H$5,0)))),SUMPRODUCT((B34='Landbrugsareal - resultat'!$B$33:$B$46)*(INDEX('Landbrugsareal - resultat'!$I$33:$K$46,,MATCH(E34,'Landbrugsareal - resultat'!$I$5:$K$5,0)))))),IF(C34=2019,SUMPRODUCT((B34='Landbrugsareal - resultat'!$B$33:$B$46)*(INDEX('Landbrugsareal - resultat'!$L$33:$N$46,,MATCH(E34,'Landbrugsareal - resultat'!$L$5:$N$5,0)))),IF(C34=2030,SUMPRODUCT((B34='Landbrugsareal - resultat'!$B$33:$B$46)*(INDEX('Landbrugsareal - resultat'!$O$33:$Q$46,,MATCH(E34,'Landbrugsareal - resultat'!$O$5:$Q$5,0)))),SUMPRODUCT((B34='Landbrugsareal - resultat'!$B$33:$B$46)*(INDEX('Landbrugsareal - resultat'!$R$33:$T$46,,MATCH(E34,'Landbrugsareal - resultat'!$R$5:$T$5,0))))))))</f>
        <v>6640.0470430292489</v>
      </c>
      <c r="H34" s="168">
        <f>G34*VLOOKUP(B34,[1]Afgrødedata!$A$5:$F$18,2,FALSE)*IF(D34="Økologisk",VLOOKUP(B34,[1]Afgrødedata!$A$5:$F$18,4,FALSE),1)*IF(E34&lt;&gt;Jordbund1,IF(E34=Organ6,VLOOKUP(B34,[1]Afgrødedata!$A$5:$F$18,5,FALSE),VLOOKUP(B34,[1]Afgrødedata!$A$5:$F$18,6,FALSE)),1)*0.1</f>
        <v>137780.97614285693</v>
      </c>
      <c r="I34" s="168">
        <f>G34*VLOOKUP(B34,[1]Afgrødedata!$A$5:$F$18,3,FALSE)*IF(D34="Økologisk",VLOOKUP(B34,[1]Afgrødedata!$A$5:$F$18,4,FALSE),1)*IF(E34&lt;&gt;Jordbund1,IF(E34=Organ6,VLOOKUP(B34,[1]Afgrødedata!$A$5:$F$18,5,FALSE),VLOOKUP(B34,[1]Afgrødedata!$A$5:$F$18,6,FALSE)),1)*HLOOKUP(C34,Landbrug!$C$15:$E$17,2,FALSE)*HLOOKUP(C34,Landbrug!$C$15:$E$17,3,FALSE)*0.1</f>
        <v>0</v>
      </c>
      <c r="J34" s="76">
        <f t="shared" si="2"/>
        <v>137780.97614285693</v>
      </c>
      <c r="L34" t="s">
        <v>24</v>
      </c>
      <c r="M34" t="s">
        <v>4</v>
      </c>
      <c r="N34">
        <v>2030</v>
      </c>
      <c r="O34" t="s">
        <v>8</v>
      </c>
      <c r="P34" s="76">
        <f>'Landbrugsareal - resultat'!G53</f>
        <v>247712.41024023574</v>
      </c>
    </row>
    <row r="35" spans="1:16" x14ac:dyDescent="0.25">
      <c r="A35" t="s">
        <v>23</v>
      </c>
      <c r="B35" s="1" t="str">
        <f>[1]Afgrødefordeling!$C$7</f>
        <v>Kartofler</v>
      </c>
      <c r="C35">
        <v>2050</v>
      </c>
      <c r="D35" t="s">
        <v>7</v>
      </c>
      <c r="E35" s="168" t="str">
        <f t="shared" si="6"/>
        <v>JB1-10</v>
      </c>
      <c r="F35" t="str">
        <f t="shared" si="1"/>
        <v>Kartofler</v>
      </c>
      <c r="G35" s="76" cm="1">
        <f t="array" ref="G35">IF(A35="Vestdanmark",IF(D35="Konventionel",IF(C35=2019,SUMPRODUCT((B35='Landbrugsareal - resultat'!$B$6:$B$19)*(INDEX('Landbrugsareal - resultat'!$C$6:$E$19,,MATCH(E35,'Landbrugsareal - resultat'!$C$5:$E$5,0)))),IF(C35=2030,SUMPRODUCT((B35='Landbrugsareal - resultat'!$B$6:$B$19)*(INDEX('Landbrugsareal - resultat'!$F$6:$H$19,,MATCH(E35,'Landbrugsareal - resultat'!$F$5:$H$5,0)))),SUMPRODUCT((B35='Landbrugsareal - resultat'!$B$6:$B$19)*(INDEX('Landbrugsareal - resultat'!$I$6:$K$19,,MATCH(E35,'Landbrugsareal - resultat'!$I$5:$K$5,0)))))),IF(C35=2019,SUMPRODUCT((B35='Landbrugsareal - resultat'!$B$6:$B$19)*(INDEX('Landbrugsareal - resultat'!$L$6:$N$19,,MATCH(E35,'Landbrugsareal - resultat'!$L$5:$N$5,0)))),IF(C35=2030,SUMPRODUCT((B35='Landbrugsareal - resultat'!$B$6:$B$19)*(INDEX('Landbrugsareal - resultat'!$O$6:$Q$19,,MATCH(E35,'Landbrugsareal - resultat'!$O$5:$Q$5,0)))),SUMPRODUCT((B35='Landbrugsareal - resultat'!$B$6:$B$19)*(INDEX('Landbrugsareal - resultat'!$R$6:$T$19,,MATCH(E35,'Landbrugsareal - resultat'!$R$5:$T$5,0))))))),IF(D35="Konventionel",IF(C35=2019,SUMPRODUCT((B35='Landbrugsareal - resultat'!$B$33:$B$46)*(INDEX('Landbrugsareal - resultat'!$C$33:$E$46,,MATCH(E35,'Landbrugsareal - resultat'!$C$5:$E$5,0)))),IF(C35=2030,SUMPRODUCT((B35='Landbrugsareal - resultat'!$B$33:$B$46)*(INDEX('Landbrugsareal - resultat'!$F$33:$H$46,,MATCH(E35,'Landbrugsareal - resultat'!$F$5:$H$5,0)))),SUMPRODUCT((B35='Landbrugsareal - resultat'!$B$33:$B$46)*(INDEX('Landbrugsareal - resultat'!$I$33:$K$46,,MATCH(E35,'Landbrugsareal - resultat'!$I$5:$K$5,0)))))),IF(C35=2019,SUMPRODUCT((B35='Landbrugsareal - resultat'!$B$33:$B$46)*(INDEX('Landbrugsareal - resultat'!$L$33:$N$46,,MATCH(E35,'Landbrugsareal - resultat'!$L$5:$N$5,0)))),IF(C35=2030,SUMPRODUCT((B35='Landbrugsareal - resultat'!$B$33:$B$46)*(INDEX('Landbrugsareal - resultat'!$O$33:$Q$46,,MATCH(E35,'Landbrugsareal - resultat'!$O$5:$Q$5,0)))),SUMPRODUCT((B35='Landbrugsareal - resultat'!$B$33:$B$46)*(INDEX('Landbrugsareal - resultat'!$R$33:$T$46,,MATCH(E35,'Landbrugsareal - resultat'!$R$5:$T$5,0))))))))</f>
        <v>39555.603294264722</v>
      </c>
      <c r="H35" s="168">
        <f>G35*VLOOKUP(B35,[1]Afgrødedata!$A$5:$F$18,2,FALSE)*IF(D35="Økologisk",VLOOKUP(B35,[1]Afgrødedata!$A$5:$F$18,4,FALSE),1)*IF(E35&lt;&gt;Jordbund1,IF(E35=Organ6,VLOOKUP(B35,[1]Afgrødedata!$A$5:$F$18,5,FALSE),VLOOKUP(B35,[1]Afgrødedata!$A$5:$F$18,6,FALSE)),1)*0.1</f>
        <v>1679962.051021497</v>
      </c>
      <c r="I35" s="168">
        <f>G35*VLOOKUP(B35,[1]Afgrødedata!$A$5:$F$18,3,FALSE)*IF(D35="Økologisk",VLOOKUP(B35,[1]Afgrødedata!$A$5:$F$18,4,FALSE),1)*IF(E35&lt;&gt;Jordbund1,IF(E35=Organ6,VLOOKUP(B35,[1]Afgrødedata!$A$5:$F$18,5,FALSE),VLOOKUP(B35,[1]Afgrødedata!$A$5:$F$18,6,FALSE)),1)*HLOOKUP(C35,Landbrug!$C$15:$E$17,2,FALSE)*HLOOKUP(C35,Landbrug!$C$15:$E$17,3,FALSE)*0.1</f>
        <v>0</v>
      </c>
      <c r="J35" s="76">
        <f t="shared" si="2"/>
        <v>1679962.051021497</v>
      </c>
      <c r="L35" t="s">
        <v>24</v>
      </c>
      <c r="M35" t="s">
        <v>22</v>
      </c>
      <c r="N35">
        <v>2050</v>
      </c>
      <c r="O35" t="s">
        <v>8</v>
      </c>
      <c r="P35" s="76">
        <f>'Landbrugsareal - resultat'!H51</f>
        <v>39298.597379684077</v>
      </c>
    </row>
    <row r="36" spans="1:16" x14ac:dyDescent="0.25">
      <c r="A36" t="s">
        <v>23</v>
      </c>
      <c r="B36" s="1" t="str">
        <f>[1]Afgrødefordeling!$C$8</f>
        <v>Roer</v>
      </c>
      <c r="C36">
        <v>2050</v>
      </c>
      <c r="D36" t="s">
        <v>7</v>
      </c>
      <c r="E36" s="168" t="str">
        <f t="shared" si="6"/>
        <v>JB1-10</v>
      </c>
      <c r="F36" t="str">
        <f t="shared" si="1"/>
        <v>Roer</v>
      </c>
      <c r="G36" s="76" cm="1">
        <f t="array" ref="G36">IF(A36="Vestdanmark",IF(D36="Konventionel",IF(C36=2019,SUMPRODUCT((B36='Landbrugsareal - resultat'!$B$6:$B$19)*(INDEX('Landbrugsareal - resultat'!$C$6:$E$19,,MATCH(E36,'Landbrugsareal - resultat'!$C$5:$E$5,0)))),IF(C36=2030,SUMPRODUCT((B36='Landbrugsareal - resultat'!$B$6:$B$19)*(INDEX('Landbrugsareal - resultat'!$F$6:$H$19,,MATCH(E36,'Landbrugsareal - resultat'!$F$5:$H$5,0)))),SUMPRODUCT((B36='Landbrugsareal - resultat'!$B$6:$B$19)*(INDEX('Landbrugsareal - resultat'!$I$6:$K$19,,MATCH(E36,'Landbrugsareal - resultat'!$I$5:$K$5,0)))))),IF(C36=2019,SUMPRODUCT((B36='Landbrugsareal - resultat'!$B$6:$B$19)*(INDEX('Landbrugsareal - resultat'!$L$6:$N$19,,MATCH(E36,'Landbrugsareal - resultat'!$L$5:$N$5,0)))),IF(C36=2030,SUMPRODUCT((B36='Landbrugsareal - resultat'!$B$6:$B$19)*(INDEX('Landbrugsareal - resultat'!$O$6:$Q$19,,MATCH(E36,'Landbrugsareal - resultat'!$O$5:$Q$5,0)))),SUMPRODUCT((B36='Landbrugsareal - resultat'!$B$6:$B$19)*(INDEX('Landbrugsareal - resultat'!$R$6:$T$19,,MATCH(E36,'Landbrugsareal - resultat'!$R$5:$T$5,0))))))),IF(D36="Konventionel",IF(C36=2019,SUMPRODUCT((B36='Landbrugsareal - resultat'!$B$33:$B$46)*(INDEX('Landbrugsareal - resultat'!$C$33:$E$46,,MATCH(E36,'Landbrugsareal - resultat'!$C$5:$E$5,0)))),IF(C36=2030,SUMPRODUCT((B36='Landbrugsareal - resultat'!$B$33:$B$46)*(INDEX('Landbrugsareal - resultat'!$F$33:$H$46,,MATCH(E36,'Landbrugsareal - resultat'!$F$5:$H$5,0)))),SUMPRODUCT((B36='Landbrugsareal - resultat'!$B$33:$B$46)*(INDEX('Landbrugsareal - resultat'!$I$33:$K$46,,MATCH(E36,'Landbrugsareal - resultat'!$I$5:$K$5,0)))))),IF(C36=2019,SUMPRODUCT((B36='Landbrugsareal - resultat'!$B$33:$B$46)*(INDEX('Landbrugsareal - resultat'!$L$33:$N$46,,MATCH(E36,'Landbrugsareal - resultat'!$L$5:$N$5,0)))),IF(C36=2030,SUMPRODUCT((B36='Landbrugsareal - resultat'!$B$33:$B$46)*(INDEX('Landbrugsareal - resultat'!$O$33:$Q$46,,MATCH(E36,'Landbrugsareal - resultat'!$O$5:$Q$5,0)))),SUMPRODUCT((B36='Landbrugsareal - resultat'!$B$33:$B$46)*(INDEX('Landbrugsareal - resultat'!$R$33:$T$46,,MATCH(E36,'Landbrugsareal - resultat'!$R$5:$T$5,0))))))))</f>
        <v>3861.4513437830055</v>
      </c>
      <c r="H36" s="168">
        <f>G36*VLOOKUP(B36,[1]Afgrødedata!$A$5:$F$18,2,FALSE)*IF(D36="Økologisk",VLOOKUP(B36,[1]Afgrødedata!$A$5:$F$18,4,FALSE),1)*IF(E36&lt;&gt;Jordbund1,IF(E36=Organ6,VLOOKUP(B36,[1]Afgrødedata!$A$5:$F$18,5,FALSE),VLOOKUP(B36,[1]Afgrødedata!$A$5:$F$18,6,FALSE)),1)*0.1</f>
        <v>313757.33008290565</v>
      </c>
      <c r="I36" s="168">
        <f>G36*VLOOKUP(B36,[1]Afgrødedata!$A$5:$F$18,3,FALSE)*IF(D36="Økologisk",VLOOKUP(B36,[1]Afgrødedata!$A$5:$F$18,4,FALSE),1)*IF(E36&lt;&gt;Jordbund1,IF(E36=Organ6,VLOOKUP(B36,[1]Afgrødedata!$A$5:$F$18,5,FALSE),VLOOKUP(B36,[1]Afgrødedata!$A$5:$F$18,6,FALSE)),1)*HLOOKUP(C36,Landbrug!$C$15:$E$17,2,FALSE)*HLOOKUP(C36,Landbrug!$C$15:$E$17,3,FALSE)*0.1</f>
        <v>0</v>
      </c>
      <c r="J36" s="76">
        <f t="shared" si="2"/>
        <v>313757.33008290565</v>
      </c>
      <c r="L36" t="s">
        <v>24</v>
      </c>
      <c r="M36" t="s">
        <v>3</v>
      </c>
      <c r="N36">
        <v>2050</v>
      </c>
      <c r="O36" t="s">
        <v>8</v>
      </c>
      <c r="P36" s="76">
        <f>'Landbrugsareal - resultat'!H52</f>
        <v>23278.89578369075</v>
      </c>
    </row>
    <row r="37" spans="1:16" x14ac:dyDescent="0.25">
      <c r="A37" t="s">
        <v>23</v>
      </c>
      <c r="B37" s="1" t="str">
        <f>[1]Afgrødefordeling!$C$9</f>
        <v>Majs</v>
      </c>
      <c r="C37">
        <v>2050</v>
      </c>
      <c r="D37" t="s">
        <v>7</v>
      </c>
      <c r="E37" s="168" t="str">
        <f t="shared" si="6"/>
        <v>JB1-10</v>
      </c>
      <c r="F37" t="str">
        <f t="shared" si="1"/>
        <v>Majs</v>
      </c>
      <c r="G37" s="76" cm="1">
        <f t="array" ref="G37">IF(A37="Vestdanmark",IF(D37="Konventionel",IF(C37=2019,SUMPRODUCT((B37='Landbrugsareal - resultat'!$B$6:$B$19)*(INDEX('Landbrugsareal - resultat'!$C$6:$E$19,,MATCH(E37,'Landbrugsareal - resultat'!$C$5:$E$5,0)))),IF(C37=2030,SUMPRODUCT((B37='Landbrugsareal - resultat'!$B$6:$B$19)*(INDEX('Landbrugsareal - resultat'!$F$6:$H$19,,MATCH(E37,'Landbrugsareal - resultat'!$F$5:$H$5,0)))),SUMPRODUCT((B37='Landbrugsareal - resultat'!$B$6:$B$19)*(INDEX('Landbrugsareal - resultat'!$I$6:$K$19,,MATCH(E37,'Landbrugsareal - resultat'!$I$5:$K$5,0)))))),IF(C37=2019,SUMPRODUCT((B37='Landbrugsareal - resultat'!$B$6:$B$19)*(INDEX('Landbrugsareal - resultat'!$L$6:$N$19,,MATCH(E37,'Landbrugsareal - resultat'!$L$5:$N$5,0)))),IF(C37=2030,SUMPRODUCT((B37='Landbrugsareal - resultat'!$B$6:$B$19)*(INDEX('Landbrugsareal - resultat'!$O$6:$Q$19,,MATCH(E37,'Landbrugsareal - resultat'!$O$5:$Q$5,0)))),SUMPRODUCT((B37='Landbrugsareal - resultat'!$B$6:$B$19)*(INDEX('Landbrugsareal - resultat'!$R$6:$T$19,,MATCH(E37,'Landbrugsareal - resultat'!$R$5:$T$5,0))))))),IF(D37="Konventionel",IF(C37=2019,SUMPRODUCT((B37='Landbrugsareal - resultat'!$B$33:$B$46)*(INDEX('Landbrugsareal - resultat'!$C$33:$E$46,,MATCH(E37,'Landbrugsareal - resultat'!$C$5:$E$5,0)))),IF(C37=2030,SUMPRODUCT((B37='Landbrugsareal - resultat'!$B$33:$B$46)*(INDEX('Landbrugsareal - resultat'!$F$33:$H$46,,MATCH(E37,'Landbrugsareal - resultat'!$F$5:$H$5,0)))),SUMPRODUCT((B37='Landbrugsareal - resultat'!$B$33:$B$46)*(INDEX('Landbrugsareal - resultat'!$I$33:$K$46,,MATCH(E37,'Landbrugsareal - resultat'!$I$5:$K$5,0)))))),IF(C37=2019,SUMPRODUCT((B37='Landbrugsareal - resultat'!$B$33:$B$46)*(INDEX('Landbrugsareal - resultat'!$L$33:$N$46,,MATCH(E37,'Landbrugsareal - resultat'!$L$5:$N$5,0)))),IF(C37=2030,SUMPRODUCT((B37='Landbrugsareal - resultat'!$B$33:$B$46)*(INDEX('Landbrugsareal - resultat'!$O$33:$Q$46,,MATCH(E37,'Landbrugsareal - resultat'!$O$5:$Q$5,0)))),SUMPRODUCT((B37='Landbrugsareal - resultat'!$B$33:$B$46)*(INDEX('Landbrugsareal - resultat'!$R$33:$T$46,,MATCH(E37,'Landbrugsareal - resultat'!$R$5:$T$5,0))))))))</f>
        <v>132233.87760057871</v>
      </c>
      <c r="H37" s="168">
        <f>G37*VLOOKUP(B37,[1]Afgrødedata!$A$5:$F$18,2,FALSE)*IF(D37="Økologisk",VLOOKUP(B37,[1]Afgrødedata!$A$5:$F$18,4,FALSE),1)*IF(E37&lt;&gt;Jordbund1,IF(E37=Organ6,VLOOKUP(B37,[1]Afgrødedata!$A$5:$F$18,5,FALSE),VLOOKUP(B37,[1]Afgrødedata!$A$5:$F$18,6,FALSE)),1)*0.1</f>
        <v>5885729.8920017593</v>
      </c>
      <c r="I37" s="168">
        <f>G37*VLOOKUP(B37,[1]Afgrødedata!$A$5:$F$18,3,FALSE)*IF(D37="Økologisk",VLOOKUP(B37,[1]Afgrødedata!$A$5:$F$18,4,FALSE),1)*IF(E37&lt;&gt;Jordbund1,IF(E37=Organ6,VLOOKUP(B37,[1]Afgrødedata!$A$5:$F$18,5,FALSE),VLOOKUP(B37,[1]Afgrødedata!$A$5:$F$18,6,FALSE)),1)*HLOOKUP(C37,Landbrug!$C$15:$E$17,2,FALSE)*HLOOKUP(C37,Landbrug!$C$15:$E$17,3,FALSE)*0.1</f>
        <v>0</v>
      </c>
      <c r="J37" s="76">
        <f t="shared" si="2"/>
        <v>5885729.8920017593</v>
      </c>
      <c r="L37" t="s">
        <v>24</v>
      </c>
      <c r="M37" t="s">
        <v>4</v>
      </c>
      <c r="N37">
        <v>2050</v>
      </c>
      <c r="O37" t="s">
        <v>8</v>
      </c>
      <c r="P37" s="76">
        <f>'Landbrugsareal - resultat'!H53</f>
        <v>308220.6859761966</v>
      </c>
    </row>
    <row r="38" spans="1:16" x14ac:dyDescent="0.25">
      <c r="A38" t="s">
        <v>23</v>
      </c>
      <c r="B38" s="1" t="str">
        <f>[1]Afgrødefordeling!$C$10</f>
        <v>Frugt</v>
      </c>
      <c r="C38">
        <v>2050</v>
      </c>
      <c r="D38" t="s">
        <v>7</v>
      </c>
      <c r="E38" s="168" t="str">
        <f t="shared" si="6"/>
        <v>JB1-10</v>
      </c>
      <c r="F38" t="str">
        <f t="shared" si="1"/>
        <v>Frugt</v>
      </c>
      <c r="G38" s="76" cm="1">
        <f t="array" ref="G38">IF(A38="Vestdanmark",IF(D38="Konventionel",IF(C38=2019,SUMPRODUCT((B38='Landbrugsareal - resultat'!$B$6:$B$19)*(INDEX('Landbrugsareal - resultat'!$C$6:$E$19,,MATCH(E38,'Landbrugsareal - resultat'!$C$5:$E$5,0)))),IF(C38=2030,SUMPRODUCT((B38='Landbrugsareal - resultat'!$B$6:$B$19)*(INDEX('Landbrugsareal - resultat'!$F$6:$H$19,,MATCH(E38,'Landbrugsareal - resultat'!$F$5:$H$5,0)))),SUMPRODUCT((B38='Landbrugsareal - resultat'!$B$6:$B$19)*(INDEX('Landbrugsareal - resultat'!$I$6:$K$19,,MATCH(E38,'Landbrugsareal - resultat'!$I$5:$K$5,0)))))),IF(C38=2019,SUMPRODUCT((B38='Landbrugsareal - resultat'!$B$6:$B$19)*(INDEX('Landbrugsareal - resultat'!$L$6:$N$19,,MATCH(E38,'Landbrugsareal - resultat'!$L$5:$N$5,0)))),IF(C38=2030,SUMPRODUCT((B38='Landbrugsareal - resultat'!$B$6:$B$19)*(INDEX('Landbrugsareal - resultat'!$O$6:$Q$19,,MATCH(E38,'Landbrugsareal - resultat'!$O$5:$Q$5,0)))),SUMPRODUCT((B38='Landbrugsareal - resultat'!$B$6:$B$19)*(INDEX('Landbrugsareal - resultat'!$R$6:$T$19,,MATCH(E38,'Landbrugsareal - resultat'!$R$5:$T$5,0))))))),IF(D38="Konventionel",IF(C38=2019,SUMPRODUCT((B38='Landbrugsareal - resultat'!$B$33:$B$46)*(INDEX('Landbrugsareal - resultat'!$C$33:$E$46,,MATCH(E38,'Landbrugsareal - resultat'!$C$5:$E$5,0)))),IF(C38=2030,SUMPRODUCT((B38='Landbrugsareal - resultat'!$B$33:$B$46)*(INDEX('Landbrugsareal - resultat'!$F$33:$H$46,,MATCH(E38,'Landbrugsareal - resultat'!$F$5:$H$5,0)))),SUMPRODUCT((B38='Landbrugsareal - resultat'!$B$33:$B$46)*(INDEX('Landbrugsareal - resultat'!$I$33:$K$46,,MATCH(E38,'Landbrugsareal - resultat'!$I$5:$K$5,0)))))),IF(C38=2019,SUMPRODUCT((B38='Landbrugsareal - resultat'!$B$33:$B$46)*(INDEX('Landbrugsareal - resultat'!$L$33:$N$46,,MATCH(E38,'Landbrugsareal - resultat'!$L$5:$N$5,0)))),IF(C38=2030,SUMPRODUCT((B38='Landbrugsareal - resultat'!$B$33:$B$46)*(INDEX('Landbrugsareal - resultat'!$O$33:$Q$46,,MATCH(E38,'Landbrugsareal - resultat'!$O$5:$Q$5,0)))),SUMPRODUCT((B38='Landbrugsareal - resultat'!$B$33:$B$46)*(INDEX('Landbrugsareal - resultat'!$R$33:$T$46,,MATCH(E38,'Landbrugsareal - resultat'!$R$5:$T$5,0))))))))</f>
        <v>2429.8340267256312</v>
      </c>
      <c r="H38" s="168">
        <f>G38*VLOOKUP(B38,[1]Afgrødedata!$A$5:$F$18,2,FALSE)*IF(D38="Økologisk",VLOOKUP(B38,[1]Afgrødedata!$A$5:$F$18,4,FALSE),1)*IF(E38&lt;&gt;Jordbund1,IF(E38=Organ6,VLOOKUP(B38,[1]Afgrødedata!$A$5:$F$18,5,FALSE),VLOOKUP(B38,[1]Afgrødedata!$A$5:$F$18,6,FALSE)),1)*0.1</f>
        <v>20629.290886900613</v>
      </c>
      <c r="I38" s="168">
        <f>G38*VLOOKUP(B38,[1]Afgrødedata!$A$5:$F$18,3,FALSE)*IF(D38="Økologisk",VLOOKUP(B38,[1]Afgrødedata!$A$5:$F$18,4,FALSE),1)*IF(E38&lt;&gt;Jordbund1,IF(E38=Organ6,VLOOKUP(B38,[1]Afgrødedata!$A$5:$F$18,5,FALSE),VLOOKUP(B38,[1]Afgrødedata!$A$5:$F$18,6,FALSE)),1)*HLOOKUP(C38,Landbrug!$C$15:$E$17,2,FALSE)*HLOOKUP(C38,Landbrug!$C$15:$E$17,3,FALSE)*0.1</f>
        <v>0</v>
      </c>
      <c r="J38" s="76">
        <f t="shared" si="2"/>
        <v>20629.290886900613</v>
      </c>
    </row>
    <row r="39" spans="1:16" x14ac:dyDescent="0.25">
      <c r="A39" t="s">
        <v>23</v>
      </c>
      <c r="B39" s="1" t="str">
        <f>[1]Afgrødefordeling!$C$11</f>
        <v>Øvrige</v>
      </c>
      <c r="C39">
        <v>2050</v>
      </c>
      <c r="D39" t="s">
        <v>7</v>
      </c>
      <c r="E39" s="168" t="str">
        <f t="shared" si="6"/>
        <v>JB1-10</v>
      </c>
      <c r="F39" t="str">
        <f t="shared" si="1"/>
        <v>Øvrige</v>
      </c>
      <c r="G39" s="76" cm="1">
        <f t="array" ref="G39">IF(A39="Vestdanmark",IF(D39="Konventionel",IF(C39=2019,SUMPRODUCT((B39='Landbrugsareal - resultat'!$B$6:$B$19)*(INDEX('Landbrugsareal - resultat'!$C$6:$E$19,,MATCH(E39,'Landbrugsareal - resultat'!$C$5:$E$5,0)))),IF(C39=2030,SUMPRODUCT((B39='Landbrugsareal - resultat'!$B$6:$B$19)*(INDEX('Landbrugsareal - resultat'!$F$6:$H$19,,MATCH(E39,'Landbrugsareal - resultat'!$F$5:$H$5,0)))),SUMPRODUCT((B39='Landbrugsareal - resultat'!$B$6:$B$19)*(INDEX('Landbrugsareal - resultat'!$I$6:$K$19,,MATCH(E39,'Landbrugsareal - resultat'!$I$5:$K$5,0)))))),IF(C39=2019,SUMPRODUCT((B39='Landbrugsareal - resultat'!$B$6:$B$19)*(INDEX('Landbrugsareal - resultat'!$L$6:$N$19,,MATCH(E39,'Landbrugsareal - resultat'!$L$5:$N$5,0)))),IF(C39=2030,SUMPRODUCT((B39='Landbrugsareal - resultat'!$B$6:$B$19)*(INDEX('Landbrugsareal - resultat'!$O$6:$Q$19,,MATCH(E39,'Landbrugsareal - resultat'!$O$5:$Q$5,0)))),SUMPRODUCT((B39='Landbrugsareal - resultat'!$B$6:$B$19)*(INDEX('Landbrugsareal - resultat'!$R$6:$T$19,,MATCH(E39,'Landbrugsareal - resultat'!$R$5:$T$5,0))))))),IF(D39="Konventionel",IF(C39=2019,SUMPRODUCT((B39='Landbrugsareal - resultat'!$B$33:$B$46)*(INDEX('Landbrugsareal - resultat'!$C$33:$E$46,,MATCH(E39,'Landbrugsareal - resultat'!$C$5:$E$5,0)))),IF(C39=2030,SUMPRODUCT((B39='Landbrugsareal - resultat'!$B$33:$B$46)*(INDEX('Landbrugsareal - resultat'!$F$33:$H$46,,MATCH(E39,'Landbrugsareal - resultat'!$F$5:$H$5,0)))),SUMPRODUCT((B39='Landbrugsareal - resultat'!$B$33:$B$46)*(INDEX('Landbrugsareal - resultat'!$I$33:$K$46,,MATCH(E39,'Landbrugsareal - resultat'!$I$5:$K$5,0)))))),IF(C39=2019,SUMPRODUCT((B39='Landbrugsareal - resultat'!$B$33:$B$46)*(INDEX('Landbrugsareal - resultat'!$L$33:$N$46,,MATCH(E39,'Landbrugsareal - resultat'!$L$5:$N$5,0)))),IF(C39=2030,SUMPRODUCT((B39='Landbrugsareal - resultat'!$B$33:$B$46)*(INDEX('Landbrugsareal - resultat'!$O$33:$Q$46,,MATCH(E39,'Landbrugsareal - resultat'!$O$5:$Q$5,0)))),SUMPRODUCT((B39='Landbrugsareal - resultat'!$B$33:$B$46)*(INDEX('Landbrugsareal - resultat'!$R$33:$T$46,,MATCH(E39,'Landbrugsareal - resultat'!$R$5:$T$5,0))))))))</f>
        <v>42973.804999470703</v>
      </c>
      <c r="H39" s="168">
        <f>G39*VLOOKUP(B39,[1]Afgrødedata!$A$5:$F$18,2,FALSE)*IF(D39="Økologisk",VLOOKUP(B39,[1]Afgrødedata!$A$5:$F$18,4,FALSE),1)*IF(E39&lt;&gt;Jordbund1,IF(E39=Organ6,VLOOKUP(B39,[1]Afgrødedata!$A$5:$F$18,5,FALSE),VLOOKUP(B39,[1]Afgrødedata!$A$5:$F$18,6,FALSE)),1)*0.1</f>
        <v>1280445.0660960432</v>
      </c>
      <c r="I39" s="168">
        <f>G39*VLOOKUP(B39,[1]Afgrødedata!$A$5:$F$18,3,FALSE)*IF(D39="Økologisk",VLOOKUP(B39,[1]Afgrødedata!$A$5:$F$18,4,FALSE),1)*IF(E39&lt;&gt;Jordbund1,IF(E39=Organ6,VLOOKUP(B39,[1]Afgrødedata!$A$5:$F$18,5,FALSE),VLOOKUP(B39,[1]Afgrødedata!$A$5:$F$18,6,FALSE)),1)*HLOOKUP(C39,Landbrug!$C$15:$E$17,2,FALSE)*HLOOKUP(C39,Landbrug!$C$15:$E$17,3,FALSE)*0.1</f>
        <v>0</v>
      </c>
      <c r="J39" s="76">
        <f t="shared" si="2"/>
        <v>1280445.0660960432</v>
      </c>
    </row>
    <row r="40" spans="1:16" x14ac:dyDescent="0.25">
      <c r="A40" t="s">
        <v>23</v>
      </c>
      <c r="B40" s="1" t="str">
        <f>[1]Afgrødefordeling!$C$12</f>
        <v>Frø</v>
      </c>
      <c r="C40">
        <v>2050</v>
      </c>
      <c r="D40" t="s">
        <v>7</v>
      </c>
      <c r="E40" s="168" t="str">
        <f t="shared" si="6"/>
        <v>JB1-10</v>
      </c>
      <c r="F40" t="str">
        <f t="shared" si="1"/>
        <v>Halm</v>
      </c>
      <c r="G40" s="76" cm="1">
        <f t="array" ref="G40">IF(A40="Vestdanmark",IF(D40="Konventionel",IF(C40=2019,SUMPRODUCT((B40='Landbrugsareal - resultat'!$B$6:$B$19)*(INDEX('Landbrugsareal - resultat'!$C$6:$E$19,,MATCH(E40,'Landbrugsareal - resultat'!$C$5:$E$5,0)))),IF(C40=2030,SUMPRODUCT((B40='Landbrugsareal - resultat'!$B$6:$B$19)*(INDEX('Landbrugsareal - resultat'!$F$6:$H$19,,MATCH(E40,'Landbrugsareal - resultat'!$F$5:$H$5,0)))),SUMPRODUCT((B40='Landbrugsareal - resultat'!$B$6:$B$19)*(INDEX('Landbrugsareal - resultat'!$I$6:$K$19,,MATCH(E40,'Landbrugsareal - resultat'!$I$5:$K$5,0)))))),IF(C40=2019,SUMPRODUCT((B40='Landbrugsareal - resultat'!$B$6:$B$19)*(INDEX('Landbrugsareal - resultat'!$L$6:$N$19,,MATCH(E40,'Landbrugsareal - resultat'!$L$5:$N$5,0)))),IF(C40=2030,SUMPRODUCT((B40='Landbrugsareal - resultat'!$B$6:$B$19)*(INDEX('Landbrugsareal - resultat'!$O$6:$Q$19,,MATCH(E40,'Landbrugsareal - resultat'!$O$5:$Q$5,0)))),SUMPRODUCT((B40='Landbrugsareal - resultat'!$B$6:$B$19)*(INDEX('Landbrugsareal - resultat'!$R$6:$T$19,,MATCH(E40,'Landbrugsareal - resultat'!$R$5:$T$5,0))))))),IF(D40="Konventionel",IF(C40=2019,SUMPRODUCT((B40='Landbrugsareal - resultat'!$B$33:$B$46)*(INDEX('Landbrugsareal - resultat'!$C$33:$E$46,,MATCH(E40,'Landbrugsareal - resultat'!$C$5:$E$5,0)))),IF(C40=2030,SUMPRODUCT((B40='Landbrugsareal - resultat'!$B$33:$B$46)*(INDEX('Landbrugsareal - resultat'!$F$33:$H$46,,MATCH(E40,'Landbrugsareal - resultat'!$F$5:$H$5,0)))),SUMPRODUCT((B40='Landbrugsareal - resultat'!$B$33:$B$46)*(INDEX('Landbrugsareal - resultat'!$I$33:$K$46,,MATCH(E40,'Landbrugsareal - resultat'!$I$5:$K$5,0)))))),IF(C40=2019,SUMPRODUCT((B40='Landbrugsareal - resultat'!$B$33:$B$46)*(INDEX('Landbrugsareal - resultat'!$L$33:$N$46,,MATCH(E40,'Landbrugsareal - resultat'!$L$5:$N$5,0)))),IF(C40=2030,SUMPRODUCT((B40='Landbrugsareal - resultat'!$B$33:$B$46)*(INDEX('Landbrugsareal - resultat'!$O$33:$Q$46,,MATCH(E40,'Landbrugsareal - resultat'!$O$5:$Q$5,0)))),SUMPRODUCT((B40='Landbrugsareal - resultat'!$B$33:$B$46)*(INDEX('Landbrugsareal - resultat'!$R$33:$T$46,,MATCH(E40,'Landbrugsareal - resultat'!$R$5:$T$5,0))))))))</f>
        <v>45204.663414034621</v>
      </c>
      <c r="H40" s="168">
        <f>G40*VLOOKUP(B40,[1]Afgrødedata!$A$5:$F$18,2,FALSE)*IF(D40="Økologisk",VLOOKUP(B40,[1]Afgrødedata!$A$5:$F$18,4,FALSE),1)*IF(E40&lt;&gt;Jordbund1,IF(E40=Organ6,VLOOKUP(B40,[1]Afgrødedata!$A$5:$F$18,5,FALSE),VLOOKUP(B40,[1]Afgrødedata!$A$5:$F$18,6,FALSE)),1)*0.1</f>
        <v>645923.14120291849</v>
      </c>
      <c r="I40" s="168">
        <f>G40*VLOOKUP(B40,[1]Afgrødedata!$A$5:$F$18,3,FALSE)*IF(D40="Økologisk",VLOOKUP(B40,[1]Afgrødedata!$A$5:$F$18,4,FALSE),1)*IF(E40&lt;&gt;Jordbund1,IF(E40=Organ6,VLOOKUP(B40,[1]Afgrødedata!$A$5:$F$18,5,FALSE),VLOOKUP(B40,[1]Afgrødedata!$A$5:$F$18,6,FALSE)),1)*HLOOKUP(C40,Landbrug!$C$15:$E$17,2,FALSE)*HLOOKUP(C40,Landbrug!$C$15:$E$17,3,FALSE)*0.1</f>
        <v>106683.00565712171</v>
      </c>
      <c r="J40" s="76">
        <f t="shared" si="2"/>
        <v>106683.00565712171</v>
      </c>
    </row>
    <row r="41" spans="1:16" x14ac:dyDescent="0.25">
      <c r="A41" t="s">
        <v>23</v>
      </c>
      <c r="B41" s="1" t="str">
        <f>[1]Afgrødefordeling!$C$13</f>
        <v>Juletræer</v>
      </c>
      <c r="C41">
        <v>2050</v>
      </c>
      <c r="D41" t="s">
        <v>7</v>
      </c>
      <c r="E41" s="168" t="str">
        <f t="shared" si="6"/>
        <v>JB1-10</v>
      </c>
      <c r="F41" t="str">
        <f t="shared" si="1"/>
        <v>Juletræer</v>
      </c>
      <c r="G41" s="76" cm="1">
        <f t="array" ref="G41">IF(A41="Vestdanmark",IF(D41="Konventionel",IF(C41=2019,SUMPRODUCT((B41='Landbrugsareal - resultat'!$B$6:$B$19)*(INDEX('Landbrugsareal - resultat'!$C$6:$E$19,,MATCH(E41,'Landbrugsareal - resultat'!$C$5:$E$5,0)))),IF(C41=2030,SUMPRODUCT((B41='Landbrugsareal - resultat'!$B$6:$B$19)*(INDEX('Landbrugsareal - resultat'!$F$6:$H$19,,MATCH(E41,'Landbrugsareal - resultat'!$F$5:$H$5,0)))),SUMPRODUCT((B41='Landbrugsareal - resultat'!$B$6:$B$19)*(INDEX('Landbrugsareal - resultat'!$I$6:$K$19,,MATCH(E41,'Landbrugsareal - resultat'!$I$5:$K$5,0)))))),IF(C41=2019,SUMPRODUCT((B41='Landbrugsareal - resultat'!$B$6:$B$19)*(INDEX('Landbrugsareal - resultat'!$L$6:$N$19,,MATCH(E41,'Landbrugsareal - resultat'!$L$5:$N$5,0)))),IF(C41=2030,SUMPRODUCT((B41='Landbrugsareal - resultat'!$B$6:$B$19)*(INDEX('Landbrugsareal - resultat'!$O$6:$Q$19,,MATCH(E41,'Landbrugsareal - resultat'!$O$5:$Q$5,0)))),SUMPRODUCT((B41='Landbrugsareal - resultat'!$B$6:$B$19)*(INDEX('Landbrugsareal - resultat'!$R$6:$T$19,,MATCH(E41,'Landbrugsareal - resultat'!$R$5:$T$5,0))))))),IF(D41="Konventionel",IF(C41=2019,SUMPRODUCT((B41='Landbrugsareal - resultat'!$B$33:$B$46)*(INDEX('Landbrugsareal - resultat'!$C$33:$E$46,,MATCH(E41,'Landbrugsareal - resultat'!$C$5:$E$5,0)))),IF(C41=2030,SUMPRODUCT((B41='Landbrugsareal - resultat'!$B$33:$B$46)*(INDEX('Landbrugsareal - resultat'!$F$33:$H$46,,MATCH(E41,'Landbrugsareal - resultat'!$F$5:$H$5,0)))),SUMPRODUCT((B41='Landbrugsareal - resultat'!$B$33:$B$46)*(INDEX('Landbrugsareal - resultat'!$I$33:$K$46,,MATCH(E41,'Landbrugsareal - resultat'!$I$5:$K$5,0)))))),IF(C41=2019,SUMPRODUCT((B41='Landbrugsareal - resultat'!$B$33:$B$46)*(INDEX('Landbrugsareal - resultat'!$L$33:$N$46,,MATCH(E41,'Landbrugsareal - resultat'!$L$5:$N$5,0)))),IF(C41=2030,SUMPRODUCT((B41='Landbrugsareal - resultat'!$B$33:$B$46)*(INDEX('Landbrugsareal - resultat'!$O$33:$Q$46,,MATCH(E41,'Landbrugsareal - resultat'!$O$5:$Q$5,0)))),SUMPRODUCT((B41='Landbrugsareal - resultat'!$B$33:$B$46)*(INDEX('Landbrugsareal - resultat'!$R$33:$T$46,,MATCH(E41,'Landbrugsareal - resultat'!$R$5:$T$5,0))))))))</f>
        <v>12186.939574458089</v>
      </c>
      <c r="H41" s="168">
        <f>G41*VLOOKUP(B41,[1]Afgrødedata!$A$5:$F$18,2,FALSE)*IF(D41="Økologisk",VLOOKUP(B41,[1]Afgrødedata!$A$5:$F$18,4,FALSE),1)*IF(E41&lt;&gt;Jordbund1,IF(E41=Organ6,VLOOKUP(B41,[1]Afgrødedata!$A$5:$F$18,5,FALSE),VLOOKUP(B41,[1]Afgrødedata!$A$5:$F$18,6,FALSE)),1)*0.1</f>
        <v>609346.97872290446</v>
      </c>
      <c r="I41" s="168">
        <f>G41*VLOOKUP(B41,[1]Afgrødedata!$A$5:$F$18,3,FALSE)*IF(D41="Økologisk",VLOOKUP(B41,[1]Afgrødedata!$A$5:$F$18,4,FALSE),1)*IF(E41&lt;&gt;Jordbund1,IF(E41=Organ6,VLOOKUP(B41,[1]Afgrødedata!$A$5:$F$18,5,FALSE),VLOOKUP(B41,[1]Afgrødedata!$A$5:$F$18,6,FALSE)),1)*HLOOKUP(C41,Landbrug!$C$15:$E$17,2,FALSE)*HLOOKUP(C41,Landbrug!$C$15:$E$17,3,FALSE)*0.1</f>
        <v>0</v>
      </c>
      <c r="J41" s="76">
        <f t="shared" si="2"/>
        <v>609346.97872290446</v>
      </c>
    </row>
    <row r="42" spans="1:16" x14ac:dyDescent="0.25">
      <c r="A42" t="s">
        <v>23</v>
      </c>
      <c r="B42" s="1" t="str">
        <f>[1]Afgrødefordeling!$C$14</f>
        <v>Pil &amp; poppel</v>
      </c>
      <c r="C42">
        <v>2050</v>
      </c>
      <c r="D42" t="s">
        <v>7</v>
      </c>
      <c r="E42" s="168" t="str">
        <f t="shared" si="6"/>
        <v>JB1-10</v>
      </c>
      <c r="F42" t="str">
        <f t="shared" ref="F42" si="7">IF(I42&lt;&gt;0,"Halm",IF(B42&lt;&gt;"Permanent græs",B42,"Græs"))</f>
        <v>Pil &amp; poppel</v>
      </c>
      <c r="G42" s="76" cm="1">
        <f t="array" ref="G42">IF(A42="Vestdanmark",IF(D42="Konventionel",IF(C42=2019,SUMPRODUCT((B42='Landbrugsareal - resultat'!$B$6:$B$19)*(INDEX('Landbrugsareal - resultat'!$C$6:$E$19,,MATCH(E42,'Landbrugsareal - resultat'!$C$5:$E$5,0)))),IF(C42=2030,SUMPRODUCT((B42='Landbrugsareal - resultat'!$B$6:$B$19)*(INDEX('Landbrugsareal - resultat'!$F$6:$H$19,,MATCH(E42,'Landbrugsareal - resultat'!$F$5:$H$5,0)))),SUMPRODUCT((B42='Landbrugsareal - resultat'!$B$6:$B$19)*(INDEX('Landbrugsareal - resultat'!$I$6:$K$19,,MATCH(E42,'Landbrugsareal - resultat'!$I$5:$K$5,0)))))),IF(C42=2019,SUMPRODUCT((B42='Landbrugsareal - resultat'!$B$6:$B$19)*(INDEX('Landbrugsareal - resultat'!$L$6:$N$19,,MATCH(E42,'Landbrugsareal - resultat'!$L$5:$N$5,0)))),IF(C42=2030,SUMPRODUCT((B42='Landbrugsareal - resultat'!$B$6:$B$19)*(INDEX('Landbrugsareal - resultat'!$O$6:$Q$19,,MATCH(E42,'Landbrugsareal - resultat'!$O$5:$Q$5,0)))),SUMPRODUCT((B42='Landbrugsareal - resultat'!$B$6:$B$19)*(INDEX('Landbrugsareal - resultat'!$R$6:$T$19,,MATCH(E42,'Landbrugsareal - resultat'!$R$5:$T$5,0))))))),IF(D42="Konventionel",IF(C42=2019,SUMPRODUCT((B42='Landbrugsareal - resultat'!$B$33:$B$46)*(INDEX('Landbrugsareal - resultat'!$C$33:$E$46,,MATCH(E42,'Landbrugsareal - resultat'!$C$5:$E$5,0)))),IF(C42=2030,SUMPRODUCT((B42='Landbrugsareal - resultat'!$B$33:$B$46)*(INDEX('Landbrugsareal - resultat'!$F$33:$H$46,,MATCH(E42,'Landbrugsareal - resultat'!$F$5:$H$5,0)))),SUMPRODUCT((B42='Landbrugsareal - resultat'!$B$33:$B$46)*(INDEX('Landbrugsareal - resultat'!$I$33:$K$46,,MATCH(E42,'Landbrugsareal - resultat'!$I$5:$K$5,0)))))),IF(C42=2019,SUMPRODUCT((B42='Landbrugsareal - resultat'!$B$33:$B$46)*(INDEX('Landbrugsareal - resultat'!$L$33:$N$46,,MATCH(E42,'Landbrugsareal - resultat'!$L$5:$N$5,0)))),IF(C42=2030,SUMPRODUCT((B42='Landbrugsareal - resultat'!$B$33:$B$46)*(INDEX('Landbrugsareal - resultat'!$O$33:$Q$46,,MATCH(E42,'Landbrugsareal - resultat'!$O$5:$Q$5,0)))),SUMPRODUCT((B42='Landbrugsareal - resultat'!$B$33:$B$46)*(INDEX('Landbrugsareal - resultat'!$R$33:$T$46,,MATCH(E42,'Landbrugsareal - resultat'!$R$5:$T$5,0))))))))</f>
        <v>4482.7473918932728</v>
      </c>
      <c r="H42" s="168">
        <f>G42*VLOOKUP(B42,[1]Afgrødedata!$A$5:$F$18,2,FALSE)*IF(D42="Økologisk",VLOOKUP(B42,[1]Afgrødedata!$A$5:$F$18,4,FALSE),1)*IF(E42&lt;&gt;Jordbund1,IF(E42=Organ6,VLOOKUP(B42,[1]Afgrødedata!$A$5:$F$18,5,FALSE),VLOOKUP(B42,[1]Afgrødedata!$A$5:$F$18,6,FALSE)),1)*0.1</f>
        <v>109335.30224129936</v>
      </c>
      <c r="I42" s="168">
        <f>G42*VLOOKUP(B42,[1]Afgrødedata!$A$5:$F$18,3,FALSE)*IF(D42="Økologisk",VLOOKUP(B42,[1]Afgrødedata!$A$5:$F$18,4,FALSE),1)*IF(E42&lt;&gt;Jordbund1,IF(E42=Organ6,VLOOKUP(B42,[1]Afgrødedata!$A$5:$F$18,5,FALSE),VLOOKUP(B42,[1]Afgrødedata!$A$5:$F$18,6,FALSE)),1)*HLOOKUP(C42,Landbrug!$C$15:$E$17,2,FALSE)*HLOOKUP(C42,Landbrug!$C$15:$E$17,3,FALSE)*0.1</f>
        <v>0</v>
      </c>
      <c r="J42" s="76">
        <f t="shared" ref="J42" si="8">IF(I42&lt;&gt;0,I42,H42)</f>
        <v>109335.30224129936</v>
      </c>
    </row>
    <row r="43" spans="1:16" x14ac:dyDescent="0.25">
      <c r="A43" t="s">
        <v>23</v>
      </c>
      <c r="B43" s="1" t="str">
        <f>[1]Afgrødefordeling!$C$15</f>
        <v>Permanent græs</v>
      </c>
      <c r="C43">
        <v>2050</v>
      </c>
      <c r="D43" t="s">
        <v>7</v>
      </c>
      <c r="E43" s="168" t="str">
        <f t="shared" si="6"/>
        <v>JB1-10</v>
      </c>
      <c r="F43" t="str">
        <f t="shared" si="1"/>
        <v>Græs</v>
      </c>
      <c r="G43" s="76" cm="1">
        <f t="array" ref="G43">IF(A43="Vestdanmark",IF(D43="Konventionel",IF(C43=2019,SUMPRODUCT((B43='Landbrugsareal - resultat'!$B$6:$B$19)*(INDEX('Landbrugsareal - resultat'!$C$6:$E$19,,MATCH(E43,'Landbrugsareal - resultat'!$C$5:$E$5,0)))),IF(C43=2030,SUMPRODUCT((B43='Landbrugsareal - resultat'!$B$6:$B$19)*(INDEX('Landbrugsareal - resultat'!$F$6:$H$19,,MATCH(E43,'Landbrugsareal - resultat'!$F$5:$H$5,0)))),SUMPRODUCT((B43='Landbrugsareal - resultat'!$B$6:$B$19)*(INDEX('Landbrugsareal - resultat'!$I$6:$K$19,,MATCH(E43,'Landbrugsareal - resultat'!$I$5:$K$5,0)))))),IF(C43=2019,SUMPRODUCT((B43='Landbrugsareal - resultat'!$B$6:$B$19)*(INDEX('Landbrugsareal - resultat'!$L$6:$N$19,,MATCH(E43,'Landbrugsareal - resultat'!$L$5:$N$5,0)))),IF(C43=2030,SUMPRODUCT((B43='Landbrugsareal - resultat'!$B$6:$B$19)*(INDEX('Landbrugsareal - resultat'!$O$6:$Q$19,,MATCH(E43,'Landbrugsareal - resultat'!$O$5:$Q$5,0)))),SUMPRODUCT((B43='Landbrugsareal - resultat'!$B$6:$B$19)*(INDEX('Landbrugsareal - resultat'!$R$6:$T$19,,MATCH(E43,'Landbrugsareal - resultat'!$R$5:$T$5,0))))))),IF(D43="Konventionel",IF(C43=2019,SUMPRODUCT((B43='Landbrugsareal - resultat'!$B$33:$B$46)*(INDEX('Landbrugsareal - resultat'!$C$33:$E$46,,MATCH(E43,'Landbrugsareal - resultat'!$C$5:$E$5,0)))),IF(C43=2030,SUMPRODUCT((B43='Landbrugsareal - resultat'!$B$33:$B$46)*(INDEX('Landbrugsareal - resultat'!$F$33:$H$46,,MATCH(E43,'Landbrugsareal - resultat'!$F$5:$H$5,0)))),SUMPRODUCT((B43='Landbrugsareal - resultat'!$B$33:$B$46)*(INDEX('Landbrugsareal - resultat'!$I$33:$K$46,,MATCH(E43,'Landbrugsareal - resultat'!$I$5:$K$5,0)))))),IF(C43=2019,SUMPRODUCT((B43='Landbrugsareal - resultat'!$B$33:$B$46)*(INDEX('Landbrugsareal - resultat'!$L$33:$N$46,,MATCH(E43,'Landbrugsareal - resultat'!$L$5:$N$5,0)))),IF(C43=2030,SUMPRODUCT((B43='Landbrugsareal - resultat'!$B$33:$B$46)*(INDEX('Landbrugsareal - resultat'!$O$33:$Q$46,,MATCH(E43,'Landbrugsareal - resultat'!$O$5:$Q$5,0)))),SUMPRODUCT((B43='Landbrugsareal - resultat'!$B$33:$B$46)*(INDEX('Landbrugsareal - resultat'!$R$33:$T$46,,MATCH(E43,'Landbrugsareal - resultat'!$R$5:$T$5,0))))))))</f>
        <v>108050.04468539612</v>
      </c>
      <c r="H43" s="168">
        <f>G43*VLOOKUP(B43,[1]Afgrødedata!$A$5:$F$18,2,FALSE)*IF(D43="Økologisk",VLOOKUP(B43,[1]Afgrødedata!$A$5:$F$18,4,FALSE),1)*IF(E43&lt;&gt;Jordbund1,IF(E43=Organ6,VLOOKUP(B43,[1]Afgrødedata!$A$5:$F$18,5,FALSE),VLOOKUP(B43,[1]Afgrødedata!$A$5:$F$18,6,FALSE)),1)*0.1</f>
        <v>1490010.1162116127</v>
      </c>
      <c r="I43" s="168">
        <f>G43*VLOOKUP(B43,[1]Afgrødedata!$A$5:$F$18,3,FALSE)*IF(D43="Økologisk",VLOOKUP(B43,[1]Afgrødedata!$A$5:$F$18,4,FALSE),1)*IF(E43&lt;&gt;Jordbund1,IF(E43=Organ6,VLOOKUP(B43,[1]Afgrødedata!$A$5:$F$18,5,FALSE),VLOOKUP(B43,[1]Afgrødedata!$A$5:$F$18,6,FALSE)),1)*HLOOKUP(C43,Landbrug!$C$15:$E$17,2,FALSE)*HLOOKUP(C43,Landbrug!$C$15:$E$17,3,FALSE)*0.1</f>
        <v>0</v>
      </c>
      <c r="J43" s="76">
        <f t="shared" si="2"/>
        <v>1490010.1162116127</v>
      </c>
    </row>
    <row r="44" spans="1:16" x14ac:dyDescent="0.25">
      <c r="A44" t="s">
        <v>23</v>
      </c>
      <c r="B44" s="1" t="str">
        <f>[1]Afgrødefordeling!$C$2</f>
        <v>Korn</v>
      </c>
      <c r="C44">
        <v>2019</v>
      </c>
      <c r="D44" t="s">
        <v>8</v>
      </c>
      <c r="E44" s="168" t="str">
        <f t="shared" si="6"/>
        <v>JB1-10</v>
      </c>
      <c r="F44" t="str">
        <f t="shared" si="1"/>
        <v>Halm</v>
      </c>
      <c r="G44" s="76" cm="1">
        <f t="array" ref="G44">IF(A44="Vestdanmark",IF(D44="Konventionel",IF(C44=2019,SUMPRODUCT((B44='Landbrugsareal - resultat'!$B$6:$B$19)*(INDEX('Landbrugsareal - resultat'!$C$6:$E$19,,MATCH(E44,'Landbrugsareal - resultat'!$C$5:$E$5,0)))),IF(C44=2030,SUMPRODUCT((B44='Landbrugsareal - resultat'!$B$6:$B$19)*(INDEX('Landbrugsareal - resultat'!$F$6:$H$19,,MATCH(E44,'Landbrugsareal - resultat'!$F$5:$H$5,0)))),SUMPRODUCT((B44='Landbrugsareal - resultat'!$B$6:$B$19)*(INDEX('Landbrugsareal - resultat'!$I$6:$K$19,,MATCH(E44,'Landbrugsareal - resultat'!$I$5:$K$5,0)))))),IF(C44=2019,SUMPRODUCT((B44='Landbrugsareal - resultat'!$B$6:$B$19)*(INDEX('Landbrugsareal - resultat'!$L$6:$N$19,,MATCH(E44,'Landbrugsareal - resultat'!$L$5:$N$5,0)))),IF(C44=2030,SUMPRODUCT((B44='Landbrugsareal - resultat'!$B$6:$B$19)*(INDEX('Landbrugsareal - resultat'!$O$6:$Q$19,,MATCH(E44,'Landbrugsareal - resultat'!$O$5:$Q$5,0)))),SUMPRODUCT((B44='Landbrugsareal - resultat'!$B$6:$B$19)*(INDEX('Landbrugsareal - resultat'!$R$6:$T$19,,MATCH(E44,'Landbrugsareal - resultat'!$R$5:$T$5,0))))))),IF(D44="Konventionel",IF(C44=2019,SUMPRODUCT((B44='Landbrugsareal - resultat'!$B$33:$B$46)*(INDEX('Landbrugsareal - resultat'!$C$33:$E$46,,MATCH(E44,'Landbrugsareal - resultat'!$C$5:$E$5,0)))),IF(C44=2030,SUMPRODUCT((B44='Landbrugsareal - resultat'!$B$33:$B$46)*(INDEX('Landbrugsareal - resultat'!$F$33:$H$46,,MATCH(E44,'Landbrugsareal - resultat'!$F$5:$H$5,0)))),SUMPRODUCT((B44='Landbrugsareal - resultat'!$B$33:$B$46)*(INDEX('Landbrugsareal - resultat'!$I$33:$K$46,,MATCH(E44,'Landbrugsareal - resultat'!$I$5:$K$5,0)))))),IF(C44=2019,SUMPRODUCT((B44='Landbrugsareal - resultat'!$B$33:$B$46)*(INDEX('Landbrugsareal - resultat'!$L$33:$N$46,,MATCH(E44,'Landbrugsareal - resultat'!$L$5:$N$5,0)))),IF(C44=2030,SUMPRODUCT((B44='Landbrugsareal - resultat'!$B$33:$B$46)*(INDEX('Landbrugsareal - resultat'!$O$33:$Q$46,,MATCH(E44,'Landbrugsareal - resultat'!$O$5:$Q$5,0)))),SUMPRODUCT((B44='Landbrugsareal - resultat'!$B$33:$B$46)*(INDEX('Landbrugsareal - resultat'!$R$33:$T$46,,MATCH(E44,'Landbrugsareal - resultat'!$R$5:$T$5,0))))))))</f>
        <v>109452.53235846422</v>
      </c>
      <c r="H44" s="168">
        <f>G44*VLOOKUP(B44,[1]Afgrødedata!$A$5:$F$18,2,FALSE)*IF(D44="Økologisk",VLOOKUP(B44,[1]Afgrødedata!$A$5:$F$18,4,FALSE),1)*IF(E44&lt;&gt;Jordbund1,IF(E44=Organ6,VLOOKUP(B44,[1]Afgrødedata!$A$5:$F$18,5,FALSE),VLOOKUP(B44,[1]Afgrødedata!$A$5:$F$18,6,FALSE)),1)*0.1</f>
        <v>514065.70872799889</v>
      </c>
      <c r="I44" s="168">
        <f>G44*VLOOKUP(B44,[1]Afgrødedata!$A$5:$F$18,3,FALSE)*IF(D44="Økologisk",VLOOKUP(B44,[1]Afgrødedata!$A$5:$F$18,4,FALSE),1)*IF(E44&lt;&gt;Jordbund1,IF(E44=Organ6,VLOOKUP(B44,[1]Afgrødedata!$A$5:$F$18,5,FALSE),VLOOKUP(B44,[1]Afgrødedata!$A$5:$F$18,6,FALSE)),1)*HLOOKUP(C44,Landbrug!$C$15:$E$17,2,FALSE)*HLOOKUP(C44,Landbrug!$C$15:$E$17,3,FALSE)*0.1</f>
        <v>167789.76216454705</v>
      </c>
      <c r="J44" s="76">
        <f t="shared" si="2"/>
        <v>167789.76216454705</v>
      </c>
    </row>
    <row r="45" spans="1:16" x14ac:dyDescent="0.25">
      <c r="A45" t="s">
        <v>23</v>
      </c>
      <c r="B45" s="1" t="str">
        <f>[1]Afgrødefordeling!$C$3</f>
        <v>Bælgsæd</v>
      </c>
      <c r="C45">
        <v>2019</v>
      </c>
      <c r="D45" t="s">
        <v>8</v>
      </c>
      <c r="E45" s="168" t="str">
        <f t="shared" si="6"/>
        <v>JB1-10</v>
      </c>
      <c r="F45" t="str">
        <f t="shared" si="1"/>
        <v>Halm</v>
      </c>
      <c r="G45" s="76" cm="1">
        <f t="array" ref="G45">IF(A45="Vestdanmark",IF(D45="Konventionel",IF(C45=2019,SUMPRODUCT((B45='Landbrugsareal - resultat'!$B$6:$B$19)*(INDEX('Landbrugsareal - resultat'!$C$6:$E$19,,MATCH(E45,'Landbrugsareal - resultat'!$C$5:$E$5,0)))),IF(C45=2030,SUMPRODUCT((B45='Landbrugsareal - resultat'!$B$6:$B$19)*(INDEX('Landbrugsareal - resultat'!$F$6:$H$19,,MATCH(E45,'Landbrugsareal - resultat'!$F$5:$H$5,0)))),SUMPRODUCT((B45='Landbrugsareal - resultat'!$B$6:$B$19)*(INDEX('Landbrugsareal - resultat'!$I$6:$K$19,,MATCH(E45,'Landbrugsareal - resultat'!$I$5:$K$5,0)))))),IF(C45=2019,SUMPRODUCT((B45='Landbrugsareal - resultat'!$B$6:$B$19)*(INDEX('Landbrugsareal - resultat'!$L$6:$N$19,,MATCH(E45,'Landbrugsareal - resultat'!$L$5:$N$5,0)))),IF(C45=2030,SUMPRODUCT((B45='Landbrugsareal - resultat'!$B$6:$B$19)*(INDEX('Landbrugsareal - resultat'!$O$6:$Q$19,,MATCH(E45,'Landbrugsareal - resultat'!$O$5:$Q$5,0)))),SUMPRODUCT((B45='Landbrugsareal - resultat'!$B$6:$B$19)*(INDEX('Landbrugsareal - resultat'!$R$6:$T$19,,MATCH(E45,'Landbrugsareal - resultat'!$R$5:$T$5,0))))))),IF(D45="Konventionel",IF(C45=2019,SUMPRODUCT((B45='Landbrugsareal - resultat'!$B$33:$B$46)*(INDEX('Landbrugsareal - resultat'!$C$33:$E$46,,MATCH(E45,'Landbrugsareal - resultat'!$C$5:$E$5,0)))),IF(C45=2030,SUMPRODUCT((B45='Landbrugsareal - resultat'!$B$33:$B$46)*(INDEX('Landbrugsareal - resultat'!$F$33:$H$46,,MATCH(E45,'Landbrugsareal - resultat'!$F$5:$H$5,0)))),SUMPRODUCT((B45='Landbrugsareal - resultat'!$B$33:$B$46)*(INDEX('Landbrugsareal - resultat'!$I$33:$K$46,,MATCH(E45,'Landbrugsareal - resultat'!$I$5:$K$5,0)))))),IF(C45=2019,SUMPRODUCT((B45='Landbrugsareal - resultat'!$B$33:$B$46)*(INDEX('Landbrugsareal - resultat'!$L$33:$N$46,,MATCH(E45,'Landbrugsareal - resultat'!$L$5:$N$5,0)))),IF(C45=2030,SUMPRODUCT((B45='Landbrugsareal - resultat'!$B$33:$B$46)*(INDEX('Landbrugsareal - resultat'!$O$33:$Q$46,,MATCH(E45,'Landbrugsareal - resultat'!$O$5:$Q$5,0)))),SUMPRODUCT((B45='Landbrugsareal - resultat'!$B$33:$B$46)*(INDEX('Landbrugsareal - resultat'!$R$33:$T$46,,MATCH(E45,'Landbrugsareal - resultat'!$R$5:$T$5,0))))))))</f>
        <v>7562.2413137472431</v>
      </c>
      <c r="H45" s="168">
        <f>G45*VLOOKUP(B45,[1]Afgrødedata!$A$5:$F$18,2,FALSE)*IF(D45="Økologisk",VLOOKUP(B45,[1]Afgrødedata!$A$5:$F$18,4,FALSE),1)*IF(E45&lt;&gt;Jordbund1,IF(E45=Organ6,VLOOKUP(B45,[1]Afgrødedata!$A$5:$F$18,5,FALSE),VLOOKUP(B45,[1]Afgrødedata!$A$5:$F$18,6,FALSE)),1)*0.1</f>
        <v>16638.443338506688</v>
      </c>
      <c r="I45" s="168">
        <f>G45*VLOOKUP(B45,[1]Afgrødedata!$A$5:$F$18,3,FALSE)*IF(D45="Økologisk",VLOOKUP(B45,[1]Afgrødedata!$A$5:$F$18,4,FALSE),1)*IF(E45&lt;&gt;Jordbund1,IF(E45=Organ6,VLOOKUP(B45,[1]Afgrødedata!$A$5:$F$18,5,FALSE),VLOOKUP(B45,[1]Afgrødedata!$A$5:$F$18,6,FALSE)),1)*HLOOKUP(C45,Landbrug!$C$15:$E$17,2,FALSE)*HLOOKUP(C45,Landbrug!$C$15:$E$17,3,FALSE)*0.1</f>
        <v>4939.6001525197526</v>
      </c>
      <c r="J45" s="76">
        <f t="shared" si="2"/>
        <v>4939.6001525197526</v>
      </c>
    </row>
    <row r="46" spans="1:16" x14ac:dyDescent="0.25">
      <c r="A46" t="s">
        <v>23</v>
      </c>
      <c r="B46" s="1" t="str">
        <f>[1]Afgrødefordeling!$C$4</f>
        <v>Raps</v>
      </c>
      <c r="C46">
        <v>2019</v>
      </c>
      <c r="D46" t="s">
        <v>8</v>
      </c>
      <c r="E46" s="168" t="str">
        <f t="shared" si="6"/>
        <v>JB1-10</v>
      </c>
      <c r="F46" t="str">
        <f t="shared" si="1"/>
        <v>Halm</v>
      </c>
      <c r="G46" s="76" cm="1">
        <f t="array" ref="G46">IF(A46="Vestdanmark",IF(D46="Konventionel",IF(C46=2019,SUMPRODUCT((B46='Landbrugsareal - resultat'!$B$6:$B$19)*(INDEX('Landbrugsareal - resultat'!$C$6:$E$19,,MATCH(E46,'Landbrugsareal - resultat'!$C$5:$E$5,0)))),IF(C46=2030,SUMPRODUCT((B46='Landbrugsareal - resultat'!$B$6:$B$19)*(INDEX('Landbrugsareal - resultat'!$F$6:$H$19,,MATCH(E46,'Landbrugsareal - resultat'!$F$5:$H$5,0)))),SUMPRODUCT((B46='Landbrugsareal - resultat'!$B$6:$B$19)*(INDEX('Landbrugsareal - resultat'!$I$6:$K$19,,MATCH(E46,'Landbrugsareal - resultat'!$I$5:$K$5,0)))))),IF(C46=2019,SUMPRODUCT((B46='Landbrugsareal - resultat'!$B$6:$B$19)*(INDEX('Landbrugsareal - resultat'!$L$6:$N$19,,MATCH(E46,'Landbrugsareal - resultat'!$L$5:$N$5,0)))),IF(C46=2030,SUMPRODUCT((B46='Landbrugsareal - resultat'!$B$6:$B$19)*(INDEX('Landbrugsareal - resultat'!$O$6:$Q$19,,MATCH(E46,'Landbrugsareal - resultat'!$O$5:$Q$5,0)))),SUMPRODUCT((B46='Landbrugsareal - resultat'!$B$6:$B$19)*(INDEX('Landbrugsareal - resultat'!$R$6:$T$19,,MATCH(E46,'Landbrugsareal - resultat'!$R$5:$T$5,0))))))),IF(D46="Konventionel",IF(C46=2019,SUMPRODUCT((B46='Landbrugsareal - resultat'!$B$33:$B$46)*(INDEX('Landbrugsareal - resultat'!$C$33:$E$46,,MATCH(E46,'Landbrugsareal - resultat'!$C$5:$E$5,0)))),IF(C46=2030,SUMPRODUCT((B46='Landbrugsareal - resultat'!$B$33:$B$46)*(INDEX('Landbrugsareal - resultat'!$F$33:$H$46,,MATCH(E46,'Landbrugsareal - resultat'!$F$5:$H$5,0)))),SUMPRODUCT((B46='Landbrugsareal - resultat'!$B$33:$B$46)*(INDEX('Landbrugsareal - resultat'!$I$33:$K$46,,MATCH(E46,'Landbrugsareal - resultat'!$I$5:$K$5,0)))))),IF(C46=2019,SUMPRODUCT((B46='Landbrugsareal - resultat'!$B$33:$B$46)*(INDEX('Landbrugsareal - resultat'!$L$33:$N$46,,MATCH(E46,'Landbrugsareal - resultat'!$L$5:$N$5,0)))),IF(C46=2030,SUMPRODUCT((B46='Landbrugsareal - resultat'!$B$33:$B$46)*(INDEX('Landbrugsareal - resultat'!$O$33:$Q$46,,MATCH(E46,'Landbrugsareal - resultat'!$O$5:$Q$5,0)))),SUMPRODUCT((B46='Landbrugsareal - resultat'!$B$33:$B$46)*(INDEX('Landbrugsareal - resultat'!$R$33:$T$46,,MATCH(E46,'Landbrugsareal - resultat'!$R$5:$T$5,0))))))))</f>
        <v>12716.97615879156</v>
      </c>
      <c r="H46" s="168">
        <f>G46*VLOOKUP(B46,[1]Afgrødedata!$A$5:$F$18,2,FALSE)*IF(D46="Økologisk",VLOOKUP(B46,[1]Afgrødedata!$A$5:$F$18,4,FALSE),1)*IF(E46&lt;&gt;Jordbund1,IF(E46=Organ6,VLOOKUP(B46,[1]Afgrødedata!$A$5:$F$18,5,FALSE),VLOOKUP(B46,[1]Afgrødedata!$A$5:$F$18,6,FALSE)),1)*0.1</f>
        <v>30775.08230427558</v>
      </c>
      <c r="I46" s="168">
        <f>G46*VLOOKUP(B46,[1]Afgrødedata!$A$5:$F$18,3,FALSE)*IF(D46="Økologisk",VLOOKUP(B46,[1]Afgrødedata!$A$5:$F$18,4,FALSE),1)*IF(E46&lt;&gt;Jordbund1,IF(E46=Organ6,VLOOKUP(B46,[1]Afgrødedata!$A$5:$F$18,5,FALSE),VLOOKUP(B46,[1]Afgrødedata!$A$5:$F$18,6,FALSE)),1)*HLOOKUP(C46,Landbrug!$C$15:$E$17,2,FALSE)*HLOOKUP(C46,Landbrug!$C$15:$E$17,3,FALSE)*0.1</f>
        <v>16437.12533412511</v>
      </c>
      <c r="J46" s="76">
        <f t="shared" si="2"/>
        <v>16437.12533412511</v>
      </c>
    </row>
    <row r="47" spans="1:16" x14ac:dyDescent="0.25">
      <c r="A47" t="s">
        <v>23</v>
      </c>
      <c r="B47" s="1" t="str">
        <f>[1]Afgrødefordeling!$C$5</f>
        <v>Græs</v>
      </c>
      <c r="C47">
        <v>2019</v>
      </c>
      <c r="D47" t="s">
        <v>8</v>
      </c>
      <c r="E47" s="168" t="str">
        <f t="shared" si="6"/>
        <v>JB1-10</v>
      </c>
      <c r="F47" t="str">
        <f t="shared" si="1"/>
        <v>Græs</v>
      </c>
      <c r="G47" s="76" cm="1">
        <f t="array" ref="G47">IF(A47="Vestdanmark",IF(D47="Konventionel",IF(C47=2019,SUMPRODUCT((B47='Landbrugsareal - resultat'!$B$6:$B$19)*(INDEX('Landbrugsareal - resultat'!$C$6:$E$19,,MATCH(E47,'Landbrugsareal - resultat'!$C$5:$E$5,0)))),IF(C47=2030,SUMPRODUCT((B47='Landbrugsareal - resultat'!$B$6:$B$19)*(INDEX('Landbrugsareal - resultat'!$F$6:$H$19,,MATCH(E47,'Landbrugsareal - resultat'!$F$5:$H$5,0)))),SUMPRODUCT((B47='Landbrugsareal - resultat'!$B$6:$B$19)*(INDEX('Landbrugsareal - resultat'!$I$6:$K$19,,MATCH(E47,'Landbrugsareal - resultat'!$I$5:$K$5,0)))))),IF(C47=2019,SUMPRODUCT((B47='Landbrugsareal - resultat'!$B$6:$B$19)*(INDEX('Landbrugsareal - resultat'!$L$6:$N$19,,MATCH(E47,'Landbrugsareal - resultat'!$L$5:$N$5,0)))),IF(C47=2030,SUMPRODUCT((B47='Landbrugsareal - resultat'!$B$6:$B$19)*(INDEX('Landbrugsareal - resultat'!$O$6:$Q$19,,MATCH(E47,'Landbrugsareal - resultat'!$O$5:$Q$5,0)))),SUMPRODUCT((B47='Landbrugsareal - resultat'!$B$6:$B$19)*(INDEX('Landbrugsareal - resultat'!$R$6:$T$19,,MATCH(E47,'Landbrugsareal - resultat'!$R$5:$T$5,0))))))),IF(D47="Konventionel",IF(C47=2019,SUMPRODUCT((B47='Landbrugsareal - resultat'!$B$33:$B$46)*(INDEX('Landbrugsareal - resultat'!$C$33:$E$46,,MATCH(E47,'Landbrugsareal - resultat'!$C$5:$E$5,0)))),IF(C47=2030,SUMPRODUCT((B47='Landbrugsareal - resultat'!$B$33:$B$46)*(INDEX('Landbrugsareal - resultat'!$F$33:$H$46,,MATCH(E47,'Landbrugsareal - resultat'!$F$5:$H$5,0)))),SUMPRODUCT((B47='Landbrugsareal - resultat'!$B$33:$B$46)*(INDEX('Landbrugsareal - resultat'!$I$33:$K$46,,MATCH(E47,'Landbrugsareal - resultat'!$I$5:$K$5,0)))))),IF(C47=2019,SUMPRODUCT((B47='Landbrugsareal - resultat'!$B$33:$B$46)*(INDEX('Landbrugsareal - resultat'!$L$33:$N$46,,MATCH(E47,'Landbrugsareal - resultat'!$L$5:$N$5,0)))),IF(C47=2030,SUMPRODUCT((B47='Landbrugsareal - resultat'!$B$33:$B$46)*(INDEX('Landbrugsareal - resultat'!$O$33:$Q$46,,MATCH(E47,'Landbrugsareal - resultat'!$O$5:$Q$5,0)))),SUMPRODUCT((B47='Landbrugsareal - resultat'!$B$33:$B$46)*(INDEX('Landbrugsareal - resultat'!$R$33:$T$46,,MATCH(E47,'Landbrugsareal - resultat'!$R$5:$T$5,0))))))))</f>
        <v>24247.273851881382</v>
      </c>
      <c r="H47" s="168">
        <f>G47*VLOOKUP(B47,[1]Afgrødedata!$A$5:$F$18,2,FALSE)*IF(D47="Økologisk",VLOOKUP(B47,[1]Afgrødedata!$A$5:$F$18,4,FALSE),1)*IF(E47&lt;&gt;Jordbund1,IF(E47=Organ6,VLOOKUP(B47,[1]Afgrødedata!$A$5:$F$18,5,FALSE),VLOOKUP(B47,[1]Afgrødedata!$A$5:$F$18,6,FALSE)),1)*0.1</f>
        <v>938456.78825367638</v>
      </c>
      <c r="I47" s="168">
        <f>G47*VLOOKUP(B47,[1]Afgrødedata!$A$5:$F$18,3,FALSE)*IF(D47="Økologisk",VLOOKUP(B47,[1]Afgrødedata!$A$5:$F$18,4,FALSE),1)*IF(E47&lt;&gt;Jordbund1,IF(E47=Organ6,VLOOKUP(B47,[1]Afgrødedata!$A$5:$F$18,5,FALSE),VLOOKUP(B47,[1]Afgrødedata!$A$5:$F$18,6,FALSE)),1)*HLOOKUP(C47,Landbrug!$C$15:$E$17,2,FALSE)*HLOOKUP(C47,Landbrug!$C$15:$E$17,3,FALSE)*0.1</f>
        <v>0</v>
      </c>
      <c r="J47" s="76">
        <f t="shared" si="2"/>
        <v>938456.78825367638</v>
      </c>
    </row>
    <row r="48" spans="1:16" x14ac:dyDescent="0.25">
      <c r="A48" t="s">
        <v>23</v>
      </c>
      <c r="B48" s="1" t="str">
        <f>[1]Afgrødefordeling!$C$6</f>
        <v>Grøntsager</v>
      </c>
      <c r="C48">
        <v>2019</v>
      </c>
      <c r="D48" t="s">
        <v>8</v>
      </c>
      <c r="E48" s="168" t="str">
        <f t="shared" si="6"/>
        <v>JB1-10</v>
      </c>
      <c r="F48" t="str">
        <f t="shared" si="1"/>
        <v>Grøntsager</v>
      </c>
      <c r="G48" s="76" cm="1">
        <f t="array" ref="G48">IF(A48="Vestdanmark",IF(D48="Konventionel",IF(C48=2019,SUMPRODUCT((B48='Landbrugsareal - resultat'!$B$6:$B$19)*(INDEX('Landbrugsareal - resultat'!$C$6:$E$19,,MATCH(E48,'Landbrugsareal - resultat'!$C$5:$E$5,0)))),IF(C48=2030,SUMPRODUCT((B48='Landbrugsareal - resultat'!$B$6:$B$19)*(INDEX('Landbrugsareal - resultat'!$F$6:$H$19,,MATCH(E48,'Landbrugsareal - resultat'!$F$5:$H$5,0)))),SUMPRODUCT((B48='Landbrugsareal - resultat'!$B$6:$B$19)*(INDEX('Landbrugsareal - resultat'!$I$6:$K$19,,MATCH(E48,'Landbrugsareal - resultat'!$I$5:$K$5,0)))))),IF(C48=2019,SUMPRODUCT((B48='Landbrugsareal - resultat'!$B$6:$B$19)*(INDEX('Landbrugsareal - resultat'!$L$6:$N$19,,MATCH(E48,'Landbrugsareal - resultat'!$L$5:$N$5,0)))),IF(C48=2030,SUMPRODUCT((B48='Landbrugsareal - resultat'!$B$6:$B$19)*(INDEX('Landbrugsareal - resultat'!$O$6:$Q$19,,MATCH(E48,'Landbrugsareal - resultat'!$O$5:$Q$5,0)))),SUMPRODUCT((B48='Landbrugsareal - resultat'!$B$6:$B$19)*(INDEX('Landbrugsareal - resultat'!$R$6:$T$19,,MATCH(E48,'Landbrugsareal - resultat'!$R$5:$T$5,0))))))),IF(D48="Konventionel",IF(C48=2019,SUMPRODUCT((B48='Landbrugsareal - resultat'!$B$33:$B$46)*(INDEX('Landbrugsareal - resultat'!$C$33:$E$46,,MATCH(E48,'Landbrugsareal - resultat'!$C$5:$E$5,0)))),IF(C48=2030,SUMPRODUCT((B48='Landbrugsareal - resultat'!$B$33:$B$46)*(INDEX('Landbrugsareal - resultat'!$F$33:$H$46,,MATCH(E48,'Landbrugsareal - resultat'!$F$5:$H$5,0)))),SUMPRODUCT((B48='Landbrugsareal - resultat'!$B$33:$B$46)*(INDEX('Landbrugsareal - resultat'!$I$33:$K$46,,MATCH(E48,'Landbrugsareal - resultat'!$I$5:$K$5,0)))))),IF(C48=2019,SUMPRODUCT((B48='Landbrugsareal - resultat'!$B$33:$B$46)*(INDEX('Landbrugsareal - resultat'!$L$33:$N$46,,MATCH(E48,'Landbrugsareal - resultat'!$L$5:$N$5,0)))),IF(C48=2030,SUMPRODUCT((B48='Landbrugsareal - resultat'!$B$33:$B$46)*(INDEX('Landbrugsareal - resultat'!$O$33:$Q$46,,MATCH(E48,'Landbrugsareal - resultat'!$O$5:$Q$5,0)))),SUMPRODUCT((B48='Landbrugsareal - resultat'!$B$33:$B$46)*(INDEX('Landbrugsareal - resultat'!$R$33:$T$46,,MATCH(E48,'Landbrugsareal - resultat'!$R$5:$T$5,0))))))))</f>
        <v>938.31435402683587</v>
      </c>
      <c r="H48" s="168">
        <f>G48*VLOOKUP(B48,[1]Afgrødedata!$A$5:$F$18,2,FALSE)*IF(D48="Økologisk",VLOOKUP(B48,[1]Afgrødedata!$A$5:$F$18,4,FALSE),1)*IF(E48&lt;&gt;Jordbund1,IF(E48=Organ6,VLOOKUP(B48,[1]Afgrødedata!$A$5:$F$18,5,FALSE),VLOOKUP(B48,[1]Afgrødedata!$A$5:$F$18,6,FALSE)),1)*0.1</f>
        <v>11097.913022252402</v>
      </c>
      <c r="I48" s="168">
        <f>G48*VLOOKUP(B48,[1]Afgrødedata!$A$5:$F$18,3,FALSE)*IF(D48="Økologisk",VLOOKUP(B48,[1]Afgrødedata!$A$5:$F$18,4,FALSE),1)*IF(E48&lt;&gt;Jordbund1,IF(E48=Organ6,VLOOKUP(B48,[1]Afgrødedata!$A$5:$F$18,5,FALSE),VLOOKUP(B48,[1]Afgrødedata!$A$5:$F$18,6,FALSE)),1)*HLOOKUP(C48,Landbrug!$C$15:$E$17,2,FALSE)*HLOOKUP(C48,Landbrug!$C$15:$E$17,3,FALSE)*0.1</f>
        <v>0</v>
      </c>
      <c r="J48" s="76">
        <f t="shared" si="2"/>
        <v>11097.913022252402</v>
      </c>
    </row>
    <row r="49" spans="1:10" x14ac:dyDescent="0.25">
      <c r="A49" t="s">
        <v>23</v>
      </c>
      <c r="B49" s="1" t="str">
        <f>[1]Afgrødefordeling!$C$7</f>
        <v>Kartofler</v>
      </c>
      <c r="C49">
        <v>2019</v>
      </c>
      <c r="D49" t="s">
        <v>8</v>
      </c>
      <c r="E49" s="168" t="str">
        <f t="shared" si="6"/>
        <v>JB1-10</v>
      </c>
      <c r="F49" t="str">
        <f t="shared" si="1"/>
        <v>Kartofler</v>
      </c>
      <c r="G49" s="76" cm="1">
        <f t="array" ref="G49">IF(A49="Vestdanmark",IF(D49="Konventionel",IF(C49=2019,SUMPRODUCT((B49='Landbrugsareal - resultat'!$B$6:$B$19)*(INDEX('Landbrugsareal - resultat'!$C$6:$E$19,,MATCH(E49,'Landbrugsareal - resultat'!$C$5:$E$5,0)))),IF(C49=2030,SUMPRODUCT((B49='Landbrugsareal - resultat'!$B$6:$B$19)*(INDEX('Landbrugsareal - resultat'!$F$6:$H$19,,MATCH(E49,'Landbrugsareal - resultat'!$F$5:$H$5,0)))),SUMPRODUCT((B49='Landbrugsareal - resultat'!$B$6:$B$19)*(INDEX('Landbrugsareal - resultat'!$I$6:$K$19,,MATCH(E49,'Landbrugsareal - resultat'!$I$5:$K$5,0)))))),IF(C49=2019,SUMPRODUCT((B49='Landbrugsareal - resultat'!$B$6:$B$19)*(INDEX('Landbrugsareal - resultat'!$L$6:$N$19,,MATCH(E49,'Landbrugsareal - resultat'!$L$5:$N$5,0)))),IF(C49=2030,SUMPRODUCT((B49='Landbrugsareal - resultat'!$B$6:$B$19)*(INDEX('Landbrugsareal - resultat'!$O$6:$Q$19,,MATCH(E49,'Landbrugsareal - resultat'!$O$5:$Q$5,0)))),SUMPRODUCT((B49='Landbrugsareal - resultat'!$B$6:$B$19)*(INDEX('Landbrugsareal - resultat'!$R$6:$T$19,,MATCH(E49,'Landbrugsareal - resultat'!$R$5:$T$5,0))))))),IF(D49="Konventionel",IF(C49=2019,SUMPRODUCT((B49='Landbrugsareal - resultat'!$B$33:$B$46)*(INDEX('Landbrugsareal - resultat'!$C$33:$E$46,,MATCH(E49,'Landbrugsareal - resultat'!$C$5:$E$5,0)))),IF(C49=2030,SUMPRODUCT((B49='Landbrugsareal - resultat'!$B$33:$B$46)*(INDEX('Landbrugsareal - resultat'!$F$33:$H$46,,MATCH(E49,'Landbrugsareal - resultat'!$F$5:$H$5,0)))),SUMPRODUCT((B49='Landbrugsareal - resultat'!$B$33:$B$46)*(INDEX('Landbrugsareal - resultat'!$I$33:$K$46,,MATCH(E49,'Landbrugsareal - resultat'!$I$5:$K$5,0)))))),IF(C49=2019,SUMPRODUCT((B49='Landbrugsareal - resultat'!$B$33:$B$46)*(INDEX('Landbrugsareal - resultat'!$L$33:$N$46,,MATCH(E49,'Landbrugsareal - resultat'!$L$5:$N$5,0)))),IF(C49=2030,SUMPRODUCT((B49='Landbrugsareal - resultat'!$B$33:$B$46)*(INDEX('Landbrugsareal - resultat'!$O$33:$Q$46,,MATCH(E49,'Landbrugsareal - resultat'!$O$5:$Q$5,0)))),SUMPRODUCT((B49='Landbrugsareal - resultat'!$B$33:$B$46)*(INDEX('Landbrugsareal - resultat'!$R$33:$T$46,,MATCH(E49,'Landbrugsareal - resultat'!$R$5:$T$5,0))))))))</f>
        <v>5589.6577407781906</v>
      </c>
      <c r="H49" s="168">
        <f>G49*VLOOKUP(B49,[1]Afgrødedata!$A$5:$F$18,2,FALSE)*IF(D49="Økologisk",VLOOKUP(B49,[1]Afgrødedata!$A$5:$F$18,4,FALSE),1)*IF(E49&lt;&gt;Jordbund1,IF(E49=Organ6,VLOOKUP(B49,[1]Afgrødedata!$A$5:$F$18,5,FALSE),VLOOKUP(B49,[1]Afgrødedata!$A$5:$F$18,6,FALSE)),1)*0.1</f>
        <v>135316.74143163554</v>
      </c>
      <c r="I49" s="168">
        <f>G49*VLOOKUP(B49,[1]Afgrødedata!$A$5:$F$18,3,FALSE)*IF(D49="Økologisk",VLOOKUP(B49,[1]Afgrødedata!$A$5:$F$18,4,FALSE),1)*IF(E49&lt;&gt;Jordbund1,IF(E49=Organ6,VLOOKUP(B49,[1]Afgrødedata!$A$5:$F$18,5,FALSE),VLOOKUP(B49,[1]Afgrødedata!$A$5:$F$18,6,FALSE)),1)*HLOOKUP(C49,Landbrug!$C$15:$E$17,2,FALSE)*HLOOKUP(C49,Landbrug!$C$15:$E$17,3,FALSE)*0.1</f>
        <v>0</v>
      </c>
      <c r="J49" s="76">
        <f t="shared" si="2"/>
        <v>135316.74143163554</v>
      </c>
    </row>
    <row r="50" spans="1:10" x14ac:dyDescent="0.25">
      <c r="A50" t="s">
        <v>23</v>
      </c>
      <c r="B50" s="1" t="str">
        <f>[1]Afgrødefordeling!$C$8</f>
        <v>Roer</v>
      </c>
      <c r="C50">
        <v>2019</v>
      </c>
      <c r="D50" t="s">
        <v>8</v>
      </c>
      <c r="E50" s="168" t="str">
        <f t="shared" si="6"/>
        <v>JB1-10</v>
      </c>
      <c r="F50" t="str">
        <f t="shared" si="1"/>
        <v>Roer</v>
      </c>
      <c r="G50" s="76" cm="1">
        <f t="array" ref="G50">IF(A50="Vestdanmark",IF(D50="Konventionel",IF(C50=2019,SUMPRODUCT((B50='Landbrugsareal - resultat'!$B$6:$B$19)*(INDEX('Landbrugsareal - resultat'!$C$6:$E$19,,MATCH(E50,'Landbrugsareal - resultat'!$C$5:$E$5,0)))),IF(C50=2030,SUMPRODUCT((B50='Landbrugsareal - resultat'!$B$6:$B$19)*(INDEX('Landbrugsareal - resultat'!$F$6:$H$19,,MATCH(E50,'Landbrugsareal - resultat'!$F$5:$H$5,0)))),SUMPRODUCT((B50='Landbrugsareal - resultat'!$B$6:$B$19)*(INDEX('Landbrugsareal - resultat'!$I$6:$K$19,,MATCH(E50,'Landbrugsareal - resultat'!$I$5:$K$5,0)))))),IF(C50=2019,SUMPRODUCT((B50='Landbrugsareal - resultat'!$B$6:$B$19)*(INDEX('Landbrugsareal - resultat'!$L$6:$N$19,,MATCH(E50,'Landbrugsareal - resultat'!$L$5:$N$5,0)))),IF(C50=2030,SUMPRODUCT((B50='Landbrugsareal - resultat'!$B$6:$B$19)*(INDEX('Landbrugsareal - resultat'!$O$6:$Q$19,,MATCH(E50,'Landbrugsareal - resultat'!$O$5:$Q$5,0)))),SUMPRODUCT((B50='Landbrugsareal - resultat'!$B$6:$B$19)*(INDEX('Landbrugsareal - resultat'!$R$6:$T$19,,MATCH(E50,'Landbrugsareal - resultat'!$R$5:$T$5,0))))))),IF(D50="Konventionel",IF(C50=2019,SUMPRODUCT((B50='Landbrugsareal - resultat'!$B$33:$B$46)*(INDEX('Landbrugsareal - resultat'!$C$33:$E$46,,MATCH(E50,'Landbrugsareal - resultat'!$C$5:$E$5,0)))),IF(C50=2030,SUMPRODUCT((B50='Landbrugsareal - resultat'!$B$33:$B$46)*(INDEX('Landbrugsareal - resultat'!$F$33:$H$46,,MATCH(E50,'Landbrugsareal - resultat'!$F$5:$H$5,0)))),SUMPRODUCT((B50='Landbrugsareal - resultat'!$B$33:$B$46)*(INDEX('Landbrugsareal - resultat'!$I$33:$K$46,,MATCH(E50,'Landbrugsareal - resultat'!$I$5:$K$5,0)))))),IF(C50=2019,SUMPRODUCT((B50='Landbrugsareal - resultat'!$B$33:$B$46)*(INDEX('Landbrugsareal - resultat'!$L$33:$N$46,,MATCH(E50,'Landbrugsareal - resultat'!$L$5:$N$5,0)))),IF(C50=2030,SUMPRODUCT((B50='Landbrugsareal - resultat'!$B$33:$B$46)*(INDEX('Landbrugsareal - resultat'!$O$33:$Q$46,,MATCH(E50,'Landbrugsareal - resultat'!$O$5:$Q$5,0)))),SUMPRODUCT((B50='Landbrugsareal - resultat'!$B$33:$B$46)*(INDEX('Landbrugsareal - resultat'!$R$33:$T$46,,MATCH(E50,'Landbrugsareal - resultat'!$R$5:$T$5,0))))))))</f>
        <v>545.66710141783074</v>
      </c>
      <c r="H50" s="168">
        <f>G50*VLOOKUP(B50,[1]Afgrødedata!$A$5:$F$18,2,FALSE)*IF(D50="Økologisk",VLOOKUP(B50,[1]Afgrødedata!$A$5:$F$18,4,FALSE),1)*IF(E50&lt;&gt;Jordbund1,IF(E50=Organ6,VLOOKUP(B50,[1]Afgrødedata!$A$5:$F$18,5,FALSE),VLOOKUP(B50,[1]Afgrødedata!$A$5:$F$18,6,FALSE)),1)*0.1</f>
        <v>25272.368195039435</v>
      </c>
      <c r="I50" s="168">
        <f>G50*VLOOKUP(B50,[1]Afgrødedata!$A$5:$F$18,3,FALSE)*IF(D50="Økologisk",VLOOKUP(B50,[1]Afgrødedata!$A$5:$F$18,4,FALSE),1)*IF(E50&lt;&gt;Jordbund1,IF(E50=Organ6,VLOOKUP(B50,[1]Afgrødedata!$A$5:$F$18,5,FALSE),VLOOKUP(B50,[1]Afgrødedata!$A$5:$F$18,6,FALSE)),1)*HLOOKUP(C50,Landbrug!$C$15:$E$17,2,FALSE)*HLOOKUP(C50,Landbrug!$C$15:$E$17,3,FALSE)*0.1</f>
        <v>0</v>
      </c>
      <c r="J50" s="76">
        <f t="shared" si="2"/>
        <v>25272.368195039435</v>
      </c>
    </row>
    <row r="51" spans="1:10" x14ac:dyDescent="0.25">
      <c r="A51" t="s">
        <v>23</v>
      </c>
      <c r="B51" s="1" t="str">
        <f>[1]Afgrødefordeling!$C$9</f>
        <v>Majs</v>
      </c>
      <c r="C51">
        <v>2019</v>
      </c>
      <c r="D51" t="s">
        <v>8</v>
      </c>
      <c r="E51" s="168" t="str">
        <f t="shared" si="6"/>
        <v>JB1-10</v>
      </c>
      <c r="F51" t="str">
        <f t="shared" si="1"/>
        <v>Majs</v>
      </c>
      <c r="G51" s="76" cm="1">
        <f t="array" ref="G51">IF(A51="Vestdanmark",IF(D51="Konventionel",IF(C51=2019,SUMPRODUCT((B51='Landbrugsareal - resultat'!$B$6:$B$19)*(INDEX('Landbrugsareal - resultat'!$C$6:$E$19,,MATCH(E51,'Landbrugsareal - resultat'!$C$5:$E$5,0)))),IF(C51=2030,SUMPRODUCT((B51='Landbrugsareal - resultat'!$B$6:$B$19)*(INDEX('Landbrugsareal - resultat'!$F$6:$H$19,,MATCH(E51,'Landbrugsareal - resultat'!$F$5:$H$5,0)))),SUMPRODUCT((B51='Landbrugsareal - resultat'!$B$6:$B$19)*(INDEX('Landbrugsareal - resultat'!$I$6:$K$19,,MATCH(E51,'Landbrugsareal - resultat'!$I$5:$K$5,0)))))),IF(C51=2019,SUMPRODUCT((B51='Landbrugsareal - resultat'!$B$6:$B$19)*(INDEX('Landbrugsareal - resultat'!$L$6:$N$19,,MATCH(E51,'Landbrugsareal - resultat'!$L$5:$N$5,0)))),IF(C51=2030,SUMPRODUCT((B51='Landbrugsareal - resultat'!$B$6:$B$19)*(INDEX('Landbrugsareal - resultat'!$O$6:$Q$19,,MATCH(E51,'Landbrugsareal - resultat'!$O$5:$Q$5,0)))),SUMPRODUCT((B51='Landbrugsareal - resultat'!$B$6:$B$19)*(INDEX('Landbrugsareal - resultat'!$R$6:$T$19,,MATCH(E51,'Landbrugsareal - resultat'!$R$5:$T$5,0))))))),IF(D51="Konventionel",IF(C51=2019,SUMPRODUCT((B51='Landbrugsareal - resultat'!$B$33:$B$46)*(INDEX('Landbrugsareal - resultat'!$C$33:$E$46,,MATCH(E51,'Landbrugsareal - resultat'!$C$5:$E$5,0)))),IF(C51=2030,SUMPRODUCT((B51='Landbrugsareal - resultat'!$B$33:$B$46)*(INDEX('Landbrugsareal - resultat'!$F$33:$H$46,,MATCH(E51,'Landbrugsareal - resultat'!$F$5:$H$5,0)))),SUMPRODUCT((B51='Landbrugsareal - resultat'!$B$33:$B$46)*(INDEX('Landbrugsareal - resultat'!$I$33:$K$46,,MATCH(E51,'Landbrugsareal - resultat'!$I$5:$K$5,0)))))),IF(C51=2019,SUMPRODUCT((B51='Landbrugsareal - resultat'!$B$33:$B$46)*(INDEX('Landbrugsareal - resultat'!$L$33:$N$46,,MATCH(E51,'Landbrugsareal - resultat'!$L$5:$N$5,0)))),IF(C51=2030,SUMPRODUCT((B51='Landbrugsareal - resultat'!$B$33:$B$46)*(INDEX('Landbrugsareal - resultat'!$O$33:$Q$46,,MATCH(E51,'Landbrugsareal - resultat'!$O$5:$Q$5,0)))),SUMPRODUCT((B51='Landbrugsareal - resultat'!$B$33:$B$46)*(INDEX('Landbrugsareal - resultat'!$R$33:$T$46,,MATCH(E51,'Landbrugsareal - resultat'!$R$5:$T$5,0))))))))</f>
        <v>18686.154576496141</v>
      </c>
      <c r="H51" s="168">
        <f>G51*VLOOKUP(B51,[1]Afgrødedata!$A$5:$F$18,2,FALSE)*IF(D51="Økologisk",VLOOKUP(B51,[1]Afgrødedata!$A$5:$F$18,4,FALSE),1)*IF(E51&lt;&gt;Jordbund1,IF(E51=Organ6,VLOOKUP(B51,[1]Afgrødedata!$A$5:$F$18,5,FALSE),VLOOKUP(B51,[1]Afgrødedata!$A$5:$F$18,6,FALSE)),1)*0.1</f>
        <v>690328.21436586999</v>
      </c>
      <c r="I51" s="168">
        <f>G51*VLOOKUP(B51,[1]Afgrødedata!$A$5:$F$18,3,FALSE)*IF(D51="Økologisk",VLOOKUP(B51,[1]Afgrødedata!$A$5:$F$18,4,FALSE),1)*IF(E51&lt;&gt;Jordbund1,IF(E51=Organ6,VLOOKUP(B51,[1]Afgrødedata!$A$5:$F$18,5,FALSE),VLOOKUP(B51,[1]Afgrødedata!$A$5:$F$18,6,FALSE)),1)*HLOOKUP(C51,Landbrug!$C$15:$E$17,2,FALSE)*HLOOKUP(C51,Landbrug!$C$15:$E$17,3,FALSE)*0.1</f>
        <v>0</v>
      </c>
      <c r="J51" s="76">
        <f t="shared" si="2"/>
        <v>690328.21436586999</v>
      </c>
    </row>
    <row r="52" spans="1:10" x14ac:dyDescent="0.25">
      <c r="A52" t="s">
        <v>23</v>
      </c>
      <c r="B52" s="1" t="str">
        <f>[1]Afgrødefordeling!$C$10</f>
        <v>Frugt</v>
      </c>
      <c r="C52">
        <v>2019</v>
      </c>
      <c r="D52" t="s">
        <v>8</v>
      </c>
      <c r="E52" s="168" t="str">
        <f t="shared" si="6"/>
        <v>JB1-10</v>
      </c>
      <c r="F52" t="str">
        <f t="shared" si="1"/>
        <v>Frugt</v>
      </c>
      <c r="G52" s="76" cm="1">
        <f t="array" ref="G52">IF(A52="Vestdanmark",IF(D52="Konventionel",IF(C52=2019,SUMPRODUCT((B52='Landbrugsareal - resultat'!$B$6:$B$19)*(INDEX('Landbrugsareal - resultat'!$C$6:$E$19,,MATCH(E52,'Landbrugsareal - resultat'!$C$5:$E$5,0)))),IF(C52=2030,SUMPRODUCT((B52='Landbrugsareal - resultat'!$B$6:$B$19)*(INDEX('Landbrugsareal - resultat'!$F$6:$H$19,,MATCH(E52,'Landbrugsareal - resultat'!$F$5:$H$5,0)))),SUMPRODUCT((B52='Landbrugsareal - resultat'!$B$6:$B$19)*(INDEX('Landbrugsareal - resultat'!$I$6:$K$19,,MATCH(E52,'Landbrugsareal - resultat'!$I$5:$K$5,0)))))),IF(C52=2019,SUMPRODUCT((B52='Landbrugsareal - resultat'!$B$6:$B$19)*(INDEX('Landbrugsareal - resultat'!$L$6:$N$19,,MATCH(E52,'Landbrugsareal - resultat'!$L$5:$N$5,0)))),IF(C52=2030,SUMPRODUCT((B52='Landbrugsareal - resultat'!$B$6:$B$19)*(INDEX('Landbrugsareal - resultat'!$O$6:$Q$19,,MATCH(E52,'Landbrugsareal - resultat'!$O$5:$Q$5,0)))),SUMPRODUCT((B52='Landbrugsareal - resultat'!$B$6:$B$19)*(INDEX('Landbrugsareal - resultat'!$R$6:$T$19,,MATCH(E52,'Landbrugsareal - resultat'!$R$5:$T$5,0))))))),IF(D52="Konventionel",IF(C52=2019,SUMPRODUCT((B52='Landbrugsareal - resultat'!$B$33:$B$46)*(INDEX('Landbrugsareal - resultat'!$C$33:$E$46,,MATCH(E52,'Landbrugsareal - resultat'!$C$5:$E$5,0)))),IF(C52=2030,SUMPRODUCT((B52='Landbrugsareal - resultat'!$B$33:$B$46)*(INDEX('Landbrugsareal - resultat'!$F$33:$H$46,,MATCH(E52,'Landbrugsareal - resultat'!$F$5:$H$5,0)))),SUMPRODUCT((B52='Landbrugsareal - resultat'!$B$33:$B$46)*(INDEX('Landbrugsareal - resultat'!$I$33:$K$46,,MATCH(E52,'Landbrugsareal - resultat'!$I$5:$K$5,0)))))),IF(C52=2019,SUMPRODUCT((B52='Landbrugsareal - resultat'!$B$33:$B$46)*(INDEX('Landbrugsareal - resultat'!$L$33:$N$46,,MATCH(E52,'Landbrugsareal - resultat'!$L$5:$N$5,0)))),IF(C52=2030,SUMPRODUCT((B52='Landbrugsareal - resultat'!$B$33:$B$46)*(INDEX('Landbrugsareal - resultat'!$O$33:$Q$46,,MATCH(E52,'Landbrugsareal - resultat'!$O$5:$Q$5,0)))),SUMPRODUCT((B52='Landbrugsareal - resultat'!$B$33:$B$46)*(INDEX('Landbrugsareal - resultat'!$R$33:$T$46,,MATCH(E52,'Landbrugsareal - resultat'!$R$5:$T$5,0))))))))</f>
        <v>343.36325185722677</v>
      </c>
      <c r="H52" s="168">
        <f>G52*VLOOKUP(B52,[1]Afgrødedata!$A$5:$F$18,2,FALSE)*IF(D52="Økologisk",VLOOKUP(B52,[1]Afgrødedata!$A$5:$F$18,4,FALSE),1)*IF(E52&lt;&gt;Jordbund1,IF(E52=Organ6,VLOOKUP(B52,[1]Afgrødedata!$A$5:$F$18,5,FALSE),VLOOKUP(B52,[1]Afgrødedata!$A$5:$F$18,6,FALSE)),1)*0.1</f>
        <v>1661.6377847126778</v>
      </c>
      <c r="I52" s="168">
        <f>G52*VLOOKUP(B52,[1]Afgrødedata!$A$5:$F$18,3,FALSE)*IF(D52="Økologisk",VLOOKUP(B52,[1]Afgrødedata!$A$5:$F$18,4,FALSE),1)*IF(E52&lt;&gt;Jordbund1,IF(E52=Organ6,VLOOKUP(B52,[1]Afgrødedata!$A$5:$F$18,5,FALSE),VLOOKUP(B52,[1]Afgrødedata!$A$5:$F$18,6,FALSE)),1)*HLOOKUP(C52,Landbrug!$C$15:$E$17,2,FALSE)*HLOOKUP(C52,Landbrug!$C$15:$E$17,3,FALSE)*0.1</f>
        <v>0</v>
      </c>
      <c r="J52" s="76">
        <f t="shared" si="2"/>
        <v>1661.6377847126778</v>
      </c>
    </row>
    <row r="53" spans="1:10" x14ac:dyDescent="0.25">
      <c r="A53" t="s">
        <v>23</v>
      </c>
      <c r="B53" s="1" t="str">
        <f>[1]Afgrødefordeling!$C$11</f>
        <v>Øvrige</v>
      </c>
      <c r="C53">
        <v>2019</v>
      </c>
      <c r="D53" t="s">
        <v>8</v>
      </c>
      <c r="E53" s="168" t="str">
        <f t="shared" si="6"/>
        <v>JB1-10</v>
      </c>
      <c r="F53" t="str">
        <f t="shared" si="1"/>
        <v>Øvrige</v>
      </c>
      <c r="G53" s="76" cm="1">
        <f t="array" ref="G53">IF(A53="Vestdanmark",IF(D53="Konventionel",IF(C53=2019,SUMPRODUCT((B53='Landbrugsareal - resultat'!$B$6:$B$19)*(INDEX('Landbrugsareal - resultat'!$C$6:$E$19,,MATCH(E53,'Landbrugsareal - resultat'!$C$5:$E$5,0)))),IF(C53=2030,SUMPRODUCT((B53='Landbrugsareal - resultat'!$B$6:$B$19)*(INDEX('Landbrugsareal - resultat'!$F$6:$H$19,,MATCH(E53,'Landbrugsareal - resultat'!$F$5:$H$5,0)))),SUMPRODUCT((B53='Landbrugsareal - resultat'!$B$6:$B$19)*(INDEX('Landbrugsareal - resultat'!$I$6:$K$19,,MATCH(E53,'Landbrugsareal - resultat'!$I$5:$K$5,0)))))),IF(C53=2019,SUMPRODUCT((B53='Landbrugsareal - resultat'!$B$6:$B$19)*(INDEX('Landbrugsareal - resultat'!$L$6:$N$19,,MATCH(E53,'Landbrugsareal - resultat'!$L$5:$N$5,0)))),IF(C53=2030,SUMPRODUCT((B53='Landbrugsareal - resultat'!$B$6:$B$19)*(INDEX('Landbrugsareal - resultat'!$O$6:$Q$19,,MATCH(E53,'Landbrugsareal - resultat'!$O$5:$Q$5,0)))),SUMPRODUCT((B53='Landbrugsareal - resultat'!$B$6:$B$19)*(INDEX('Landbrugsareal - resultat'!$R$6:$T$19,,MATCH(E53,'Landbrugsareal - resultat'!$R$5:$T$5,0))))))),IF(D53="Konventionel",IF(C53=2019,SUMPRODUCT((B53='Landbrugsareal - resultat'!$B$33:$B$46)*(INDEX('Landbrugsareal - resultat'!$C$33:$E$46,,MATCH(E53,'Landbrugsareal - resultat'!$C$5:$E$5,0)))),IF(C53=2030,SUMPRODUCT((B53='Landbrugsareal - resultat'!$B$33:$B$46)*(INDEX('Landbrugsareal - resultat'!$F$33:$H$46,,MATCH(E53,'Landbrugsareal - resultat'!$F$5:$H$5,0)))),SUMPRODUCT((B53='Landbrugsareal - resultat'!$B$33:$B$46)*(INDEX('Landbrugsareal - resultat'!$I$33:$K$46,,MATCH(E53,'Landbrugsareal - resultat'!$I$5:$K$5,0)))))),IF(C53=2019,SUMPRODUCT((B53='Landbrugsareal - resultat'!$B$33:$B$46)*(INDEX('Landbrugsareal - resultat'!$L$33:$N$46,,MATCH(E53,'Landbrugsareal - resultat'!$L$5:$N$5,0)))),IF(C53=2030,SUMPRODUCT((B53='Landbrugsareal - resultat'!$B$33:$B$46)*(INDEX('Landbrugsareal - resultat'!$O$33:$Q$46,,MATCH(E53,'Landbrugsareal - resultat'!$O$5:$Q$5,0)))),SUMPRODUCT((B53='Landbrugsareal - resultat'!$B$33:$B$46)*(INDEX('Landbrugsareal - resultat'!$R$33:$T$46,,MATCH(E53,'Landbrugsareal - resultat'!$R$5:$T$5,0))))))))</f>
        <v>6072.6886145309409</v>
      </c>
      <c r="H53" s="168">
        <f>G53*VLOOKUP(B53,[1]Afgrødedata!$A$5:$F$18,2,FALSE)*IF(D53="Økologisk",VLOOKUP(B53,[1]Afgrødedata!$A$5:$F$18,4,FALSE),1)*IF(E53&lt;&gt;Jordbund1,IF(E53=Organ6,VLOOKUP(B53,[1]Afgrødedata!$A$5:$F$18,5,FALSE),VLOOKUP(B53,[1]Afgrødedata!$A$5:$F$18,6,FALSE)),1)*0.1</f>
        <v>103136.64753378094</v>
      </c>
      <c r="I53" s="168">
        <f>G53*VLOOKUP(B53,[1]Afgrødedata!$A$5:$F$18,3,FALSE)*IF(D53="Økologisk",VLOOKUP(B53,[1]Afgrødedata!$A$5:$F$18,4,FALSE),1)*IF(E53&lt;&gt;Jordbund1,IF(E53=Organ6,VLOOKUP(B53,[1]Afgrødedata!$A$5:$F$18,5,FALSE),VLOOKUP(B53,[1]Afgrødedata!$A$5:$F$18,6,FALSE)),1)*HLOOKUP(C53,Landbrug!$C$15:$E$17,2,FALSE)*HLOOKUP(C53,Landbrug!$C$15:$E$17,3,FALSE)*0.1</f>
        <v>0</v>
      </c>
      <c r="J53" s="76">
        <f t="shared" si="2"/>
        <v>103136.64753378094</v>
      </c>
    </row>
    <row r="54" spans="1:10" x14ac:dyDescent="0.25">
      <c r="A54" t="s">
        <v>23</v>
      </c>
      <c r="B54" s="1" t="str">
        <f>[1]Afgrødefordeling!$C$12</f>
        <v>Frø</v>
      </c>
      <c r="C54">
        <v>2019</v>
      </c>
      <c r="D54" t="s">
        <v>8</v>
      </c>
      <c r="E54" s="168" t="str">
        <f t="shared" si="6"/>
        <v>JB1-10</v>
      </c>
      <c r="F54" t="str">
        <f t="shared" si="1"/>
        <v>Halm</v>
      </c>
      <c r="G54" s="76" cm="1">
        <f t="array" ref="G54">IF(A54="Vestdanmark",IF(D54="Konventionel",IF(C54=2019,SUMPRODUCT((B54='Landbrugsareal - resultat'!$B$6:$B$19)*(INDEX('Landbrugsareal - resultat'!$C$6:$E$19,,MATCH(E54,'Landbrugsareal - resultat'!$C$5:$E$5,0)))),IF(C54=2030,SUMPRODUCT((B54='Landbrugsareal - resultat'!$B$6:$B$19)*(INDEX('Landbrugsareal - resultat'!$F$6:$H$19,,MATCH(E54,'Landbrugsareal - resultat'!$F$5:$H$5,0)))),SUMPRODUCT((B54='Landbrugsareal - resultat'!$B$6:$B$19)*(INDEX('Landbrugsareal - resultat'!$I$6:$K$19,,MATCH(E54,'Landbrugsareal - resultat'!$I$5:$K$5,0)))))),IF(C54=2019,SUMPRODUCT((B54='Landbrugsareal - resultat'!$B$6:$B$19)*(INDEX('Landbrugsareal - resultat'!$L$6:$N$19,,MATCH(E54,'Landbrugsareal - resultat'!$L$5:$N$5,0)))),IF(C54=2030,SUMPRODUCT((B54='Landbrugsareal - resultat'!$B$6:$B$19)*(INDEX('Landbrugsareal - resultat'!$O$6:$Q$19,,MATCH(E54,'Landbrugsareal - resultat'!$O$5:$Q$5,0)))),SUMPRODUCT((B54='Landbrugsareal - resultat'!$B$6:$B$19)*(INDEX('Landbrugsareal - resultat'!$R$6:$T$19,,MATCH(E54,'Landbrugsareal - resultat'!$R$5:$T$5,0))))))),IF(D54="Konventionel",IF(C54=2019,SUMPRODUCT((B54='Landbrugsareal - resultat'!$B$33:$B$46)*(INDEX('Landbrugsareal - resultat'!$C$33:$E$46,,MATCH(E54,'Landbrugsareal - resultat'!$C$5:$E$5,0)))),IF(C54=2030,SUMPRODUCT((B54='Landbrugsareal - resultat'!$B$33:$B$46)*(INDEX('Landbrugsareal - resultat'!$F$33:$H$46,,MATCH(E54,'Landbrugsareal - resultat'!$F$5:$H$5,0)))),SUMPRODUCT((B54='Landbrugsareal - resultat'!$B$33:$B$46)*(INDEX('Landbrugsareal - resultat'!$I$33:$K$46,,MATCH(E54,'Landbrugsareal - resultat'!$I$5:$K$5,0)))))),IF(C54=2019,SUMPRODUCT((B54='Landbrugsareal - resultat'!$B$33:$B$46)*(INDEX('Landbrugsareal - resultat'!$L$33:$N$46,,MATCH(E54,'Landbrugsareal - resultat'!$L$5:$N$5,0)))),IF(C54=2030,SUMPRODUCT((B54='Landbrugsareal - resultat'!$B$33:$B$46)*(INDEX('Landbrugsareal - resultat'!$O$33:$Q$46,,MATCH(E54,'Landbrugsareal - resultat'!$O$5:$Q$5,0)))),SUMPRODUCT((B54='Landbrugsareal - resultat'!$B$33:$B$46)*(INDEX('Landbrugsareal - resultat'!$R$33:$T$46,,MATCH(E54,'Landbrugsareal - resultat'!$R$5:$T$5,0))))))))</f>
        <v>6387.934343758774</v>
      </c>
      <c r="H54" s="168">
        <f>G54*VLOOKUP(B54,[1]Afgrødedata!$A$5:$F$18,2,FALSE)*IF(D54="Økologisk",VLOOKUP(B54,[1]Afgrødedata!$A$5:$F$18,4,FALSE),1)*IF(E54&lt;&gt;Jordbund1,IF(E54=Organ6,VLOOKUP(B54,[1]Afgrødedata!$A$5:$F$18,5,FALSE),VLOOKUP(B54,[1]Afgrødedata!$A$5:$F$18,6,FALSE)),1)*0.1</f>
        <v>52027.493495891315</v>
      </c>
      <c r="I54" s="168">
        <f>G54*VLOOKUP(B54,[1]Afgrødedata!$A$5:$F$18,3,FALSE)*IF(D54="Økologisk",VLOOKUP(B54,[1]Afgrødedata!$A$5:$F$18,4,FALSE),1)*IF(E54&lt;&gt;Jordbund1,IF(E54=Organ6,VLOOKUP(B54,[1]Afgrødedata!$A$5:$F$18,5,FALSE),VLOOKUP(B54,[1]Afgrødedata!$A$5:$F$18,6,FALSE)),1)*HLOOKUP(C54,Landbrug!$C$15:$E$17,2,FALSE)*HLOOKUP(C54,Landbrug!$C$15:$E$17,3,FALSE)*0.1</f>
        <v>8643.296770772311</v>
      </c>
      <c r="J54" s="76">
        <f t="shared" si="2"/>
        <v>8643.296770772311</v>
      </c>
    </row>
    <row r="55" spans="1:10" x14ac:dyDescent="0.25">
      <c r="A55" t="s">
        <v>23</v>
      </c>
      <c r="B55" s="1" t="str">
        <f>[1]Afgrødefordeling!$C$13</f>
        <v>Juletræer</v>
      </c>
      <c r="C55">
        <v>2019</v>
      </c>
      <c r="D55" t="s">
        <v>8</v>
      </c>
      <c r="E55" s="168" t="str">
        <f t="shared" si="6"/>
        <v>JB1-10</v>
      </c>
      <c r="F55" t="str">
        <f t="shared" si="1"/>
        <v>Juletræer</v>
      </c>
      <c r="G55" s="76" cm="1">
        <f t="array" ref="G55">IF(A55="Vestdanmark",IF(D55="Konventionel",IF(C55=2019,SUMPRODUCT((B55='Landbrugsareal - resultat'!$B$6:$B$19)*(INDEX('Landbrugsareal - resultat'!$C$6:$E$19,,MATCH(E55,'Landbrugsareal - resultat'!$C$5:$E$5,0)))),IF(C55=2030,SUMPRODUCT((B55='Landbrugsareal - resultat'!$B$6:$B$19)*(INDEX('Landbrugsareal - resultat'!$F$6:$H$19,,MATCH(E55,'Landbrugsareal - resultat'!$F$5:$H$5,0)))),SUMPRODUCT((B55='Landbrugsareal - resultat'!$B$6:$B$19)*(INDEX('Landbrugsareal - resultat'!$I$6:$K$19,,MATCH(E55,'Landbrugsareal - resultat'!$I$5:$K$5,0)))))),IF(C55=2019,SUMPRODUCT((B55='Landbrugsareal - resultat'!$B$6:$B$19)*(INDEX('Landbrugsareal - resultat'!$L$6:$N$19,,MATCH(E55,'Landbrugsareal - resultat'!$L$5:$N$5,0)))),IF(C55=2030,SUMPRODUCT((B55='Landbrugsareal - resultat'!$B$6:$B$19)*(INDEX('Landbrugsareal - resultat'!$O$6:$Q$19,,MATCH(E55,'Landbrugsareal - resultat'!$O$5:$Q$5,0)))),SUMPRODUCT((B55='Landbrugsareal - resultat'!$B$6:$B$19)*(INDEX('Landbrugsareal - resultat'!$R$6:$T$19,,MATCH(E55,'Landbrugsareal - resultat'!$R$5:$T$5,0))))))),IF(D55="Konventionel",IF(C55=2019,SUMPRODUCT((B55='Landbrugsareal - resultat'!$B$33:$B$46)*(INDEX('Landbrugsareal - resultat'!$C$33:$E$46,,MATCH(E55,'Landbrugsareal - resultat'!$C$5:$E$5,0)))),IF(C55=2030,SUMPRODUCT((B55='Landbrugsareal - resultat'!$B$33:$B$46)*(INDEX('Landbrugsareal - resultat'!$F$33:$H$46,,MATCH(E55,'Landbrugsareal - resultat'!$F$5:$H$5,0)))),SUMPRODUCT((B55='Landbrugsareal - resultat'!$B$33:$B$46)*(INDEX('Landbrugsareal - resultat'!$I$33:$K$46,,MATCH(E55,'Landbrugsareal - resultat'!$I$5:$K$5,0)))))),IF(C55=2019,SUMPRODUCT((B55='Landbrugsareal - resultat'!$B$33:$B$46)*(INDEX('Landbrugsareal - resultat'!$L$33:$N$46,,MATCH(E55,'Landbrugsareal - resultat'!$L$5:$N$5,0)))),IF(C55=2030,SUMPRODUCT((B55='Landbrugsareal - resultat'!$B$33:$B$46)*(INDEX('Landbrugsareal - resultat'!$O$33:$Q$46,,MATCH(E55,'Landbrugsareal - resultat'!$O$5:$Q$5,0)))),SUMPRODUCT((B55='Landbrugsareal - resultat'!$B$33:$B$46)*(INDEX('Landbrugsareal - resultat'!$R$33:$T$46,,MATCH(E55,'Landbrugsareal - resultat'!$R$5:$T$5,0))))))))</f>
        <v>1722.1535119056764</v>
      </c>
      <c r="H55" s="168">
        <f>G55*VLOOKUP(B55,[1]Afgrødedata!$A$5:$F$18,2,FALSE)*IF(D55="Økologisk",VLOOKUP(B55,[1]Afgrødedata!$A$5:$F$18,4,FALSE),1)*IF(E55&lt;&gt;Jordbund1,IF(E55=Organ6,VLOOKUP(B55,[1]Afgrødedata!$A$5:$F$18,5,FALSE),VLOOKUP(B55,[1]Afgrødedata!$A$5:$F$18,6,FALSE)),1)*0.1</f>
        <v>49081.375089311776</v>
      </c>
      <c r="I55" s="168">
        <f>G55*VLOOKUP(B55,[1]Afgrødedata!$A$5:$F$18,3,FALSE)*IF(D55="Økologisk",VLOOKUP(B55,[1]Afgrødedata!$A$5:$F$18,4,FALSE),1)*IF(E55&lt;&gt;Jordbund1,IF(E55=Organ6,VLOOKUP(B55,[1]Afgrødedata!$A$5:$F$18,5,FALSE),VLOOKUP(B55,[1]Afgrødedata!$A$5:$F$18,6,FALSE)),1)*HLOOKUP(C55,Landbrug!$C$15:$E$17,2,FALSE)*HLOOKUP(C55,Landbrug!$C$15:$E$17,3,FALSE)*0.1</f>
        <v>0</v>
      </c>
      <c r="J55" s="76">
        <f t="shared" si="2"/>
        <v>49081.375089311776</v>
      </c>
    </row>
    <row r="56" spans="1:10" x14ac:dyDescent="0.25">
      <c r="A56" t="s">
        <v>23</v>
      </c>
      <c r="B56" s="1" t="str">
        <f>[1]Afgrødefordeling!$C$14</f>
        <v>Pil &amp; poppel</v>
      </c>
      <c r="C56">
        <v>2019</v>
      </c>
      <c r="D56" t="s">
        <v>8</v>
      </c>
      <c r="E56" s="168" t="str">
        <f t="shared" si="6"/>
        <v>JB1-10</v>
      </c>
      <c r="F56" t="str">
        <f t="shared" ref="F56" si="9">IF(I56&lt;&gt;0,"Halm",IF(B56&lt;&gt;"Permanent græs",B56,"Græs"))</f>
        <v>Pil &amp; poppel</v>
      </c>
      <c r="G56" s="76" cm="1">
        <f t="array" ref="G56">IF(A56="Vestdanmark",IF(D56="Konventionel",IF(C56=2019,SUMPRODUCT((B56='Landbrugsareal - resultat'!$B$6:$B$19)*(INDEX('Landbrugsareal - resultat'!$C$6:$E$19,,MATCH(E56,'Landbrugsareal - resultat'!$C$5:$E$5,0)))),IF(C56=2030,SUMPRODUCT((B56='Landbrugsareal - resultat'!$B$6:$B$19)*(INDEX('Landbrugsareal - resultat'!$F$6:$H$19,,MATCH(E56,'Landbrugsareal - resultat'!$F$5:$H$5,0)))),SUMPRODUCT((B56='Landbrugsareal - resultat'!$B$6:$B$19)*(INDEX('Landbrugsareal - resultat'!$I$6:$K$19,,MATCH(E56,'Landbrugsareal - resultat'!$I$5:$K$5,0)))))),IF(C56=2019,SUMPRODUCT((B56='Landbrugsareal - resultat'!$B$6:$B$19)*(INDEX('Landbrugsareal - resultat'!$L$6:$N$19,,MATCH(E56,'Landbrugsareal - resultat'!$L$5:$N$5,0)))),IF(C56=2030,SUMPRODUCT((B56='Landbrugsareal - resultat'!$B$6:$B$19)*(INDEX('Landbrugsareal - resultat'!$O$6:$Q$19,,MATCH(E56,'Landbrugsareal - resultat'!$O$5:$Q$5,0)))),SUMPRODUCT((B56='Landbrugsareal - resultat'!$B$6:$B$19)*(INDEX('Landbrugsareal - resultat'!$R$6:$T$19,,MATCH(E56,'Landbrugsareal - resultat'!$R$5:$T$5,0))))))),IF(D56="Konventionel",IF(C56=2019,SUMPRODUCT((B56='Landbrugsareal - resultat'!$B$33:$B$46)*(INDEX('Landbrugsareal - resultat'!$C$33:$E$46,,MATCH(E56,'Landbrugsareal - resultat'!$C$5:$E$5,0)))),IF(C56=2030,SUMPRODUCT((B56='Landbrugsareal - resultat'!$B$33:$B$46)*(INDEX('Landbrugsareal - resultat'!$F$33:$H$46,,MATCH(E56,'Landbrugsareal - resultat'!$F$5:$H$5,0)))),SUMPRODUCT((B56='Landbrugsareal - resultat'!$B$33:$B$46)*(INDEX('Landbrugsareal - resultat'!$I$33:$K$46,,MATCH(E56,'Landbrugsareal - resultat'!$I$5:$K$5,0)))))),IF(C56=2019,SUMPRODUCT((B56='Landbrugsareal - resultat'!$B$33:$B$46)*(INDEX('Landbrugsareal - resultat'!$L$33:$N$46,,MATCH(E56,'Landbrugsareal - resultat'!$L$5:$N$5,0)))),IF(C56=2030,SUMPRODUCT((B56='Landbrugsareal - resultat'!$B$33:$B$46)*(INDEX('Landbrugsareal - resultat'!$O$33:$Q$46,,MATCH(E56,'Landbrugsareal - resultat'!$O$5:$Q$5,0)))),SUMPRODUCT((B56='Landbrugsareal - resultat'!$B$33:$B$46)*(INDEX('Landbrugsareal - resultat'!$R$33:$T$46,,MATCH(E56,'Landbrugsareal - resultat'!$R$5:$T$5,0))))))))</f>
        <v>633.46331675549425</v>
      </c>
      <c r="H56" s="168">
        <f>G56*VLOOKUP(B56,[1]Afgrødedata!$A$5:$F$18,2,FALSE)*IF(D56="Økologisk",VLOOKUP(B56,[1]Afgrødedata!$A$5:$F$18,4,FALSE),1)*IF(E56&lt;&gt;Jordbund1,IF(E56=Organ6,VLOOKUP(B56,[1]Afgrødedata!$A$5:$F$18,5,FALSE),VLOOKUP(B56,[1]Afgrødedata!$A$5:$F$18,6,FALSE)),1)*0.1</f>
        <v>8806.6851353812599</v>
      </c>
      <c r="I56" s="168">
        <f>G56*VLOOKUP(B56,[1]Afgrødedata!$A$5:$F$18,3,FALSE)*IF(D56="Økologisk",VLOOKUP(B56,[1]Afgrødedata!$A$5:$F$18,4,FALSE),1)*IF(E56&lt;&gt;Jordbund1,IF(E56=Organ6,VLOOKUP(B56,[1]Afgrødedata!$A$5:$F$18,5,FALSE),VLOOKUP(B56,[1]Afgrødedata!$A$5:$F$18,6,FALSE)),1)*HLOOKUP(C56,Landbrug!$C$15:$E$17,2,FALSE)*HLOOKUP(C56,Landbrug!$C$15:$E$17,3,FALSE)*0.1</f>
        <v>0</v>
      </c>
      <c r="J56" s="76">
        <f t="shared" ref="J56" si="10">IF(I56&lt;&gt;0,I56,H56)</f>
        <v>8806.6851353812599</v>
      </c>
    </row>
    <row r="57" spans="1:10" x14ac:dyDescent="0.25">
      <c r="A57" t="s">
        <v>23</v>
      </c>
      <c r="B57" s="1" t="str">
        <f>[1]Afgrødefordeling!$C$15</f>
        <v>Permanent græs</v>
      </c>
      <c r="C57">
        <v>2019</v>
      </c>
      <c r="D57" t="s">
        <v>8</v>
      </c>
      <c r="E57" s="168" t="str">
        <f t="shared" si="6"/>
        <v>JB1-10</v>
      </c>
      <c r="F57" t="str">
        <f t="shared" si="1"/>
        <v>Græs</v>
      </c>
      <c r="G57" s="76" cm="1">
        <f t="array" ref="G57">IF(A57="Vestdanmark",IF(D57="Konventionel",IF(C57=2019,SUMPRODUCT((B57='Landbrugsareal - resultat'!$B$6:$B$19)*(INDEX('Landbrugsareal - resultat'!$C$6:$E$19,,MATCH(E57,'Landbrugsareal - resultat'!$C$5:$E$5,0)))),IF(C57=2030,SUMPRODUCT((B57='Landbrugsareal - resultat'!$B$6:$B$19)*(INDEX('Landbrugsareal - resultat'!$F$6:$H$19,,MATCH(E57,'Landbrugsareal - resultat'!$F$5:$H$5,0)))),SUMPRODUCT((B57='Landbrugsareal - resultat'!$B$6:$B$19)*(INDEX('Landbrugsareal - resultat'!$I$6:$K$19,,MATCH(E57,'Landbrugsareal - resultat'!$I$5:$K$5,0)))))),IF(C57=2019,SUMPRODUCT((B57='Landbrugsareal - resultat'!$B$6:$B$19)*(INDEX('Landbrugsareal - resultat'!$L$6:$N$19,,MATCH(E57,'Landbrugsareal - resultat'!$L$5:$N$5,0)))),IF(C57=2030,SUMPRODUCT((B57='Landbrugsareal - resultat'!$B$6:$B$19)*(INDEX('Landbrugsareal - resultat'!$O$6:$Q$19,,MATCH(E57,'Landbrugsareal - resultat'!$O$5:$Q$5,0)))),SUMPRODUCT((B57='Landbrugsareal - resultat'!$B$6:$B$19)*(INDEX('Landbrugsareal - resultat'!$R$6:$T$19,,MATCH(E57,'Landbrugsareal - resultat'!$R$5:$T$5,0))))))),IF(D57="Konventionel",IF(C57=2019,SUMPRODUCT((B57='Landbrugsareal - resultat'!$B$33:$B$46)*(INDEX('Landbrugsareal - resultat'!$C$33:$E$46,,MATCH(E57,'Landbrugsareal - resultat'!$C$5:$E$5,0)))),IF(C57=2030,SUMPRODUCT((B57='Landbrugsareal - resultat'!$B$33:$B$46)*(INDEX('Landbrugsareal - resultat'!$F$33:$H$46,,MATCH(E57,'Landbrugsareal - resultat'!$F$5:$H$5,0)))),SUMPRODUCT((B57='Landbrugsareal - resultat'!$B$33:$B$46)*(INDEX('Landbrugsareal - resultat'!$I$33:$K$46,,MATCH(E57,'Landbrugsareal - resultat'!$I$5:$K$5,0)))))),IF(C57=2019,SUMPRODUCT((B57='Landbrugsareal - resultat'!$B$33:$B$46)*(INDEX('Landbrugsareal - resultat'!$L$33:$N$46,,MATCH(E57,'Landbrugsareal - resultat'!$L$5:$N$5,0)))),IF(C57=2030,SUMPRODUCT((B57='Landbrugsareal - resultat'!$B$33:$B$46)*(INDEX('Landbrugsareal - resultat'!$O$33:$Q$46,,MATCH(E57,'Landbrugsareal - resultat'!$O$5:$Q$5,0)))),SUMPRODUCT((B57='Landbrugsareal - resultat'!$B$33:$B$46)*(INDEX('Landbrugsareal - resultat'!$R$33:$T$46,,MATCH(E57,'Landbrugsareal - resultat'!$R$5:$T$5,0))))))))</f>
        <v>15268.703252333511</v>
      </c>
      <c r="H57" s="168">
        <f>G57*VLOOKUP(B57,[1]Afgrødedata!$A$5:$F$18,2,FALSE)*IF(D57="Økologisk",VLOOKUP(B57,[1]Afgrødedata!$A$5:$F$18,4,FALSE),1)*IF(E57&lt;&gt;Jordbund1,IF(E57=Organ6,VLOOKUP(B57,[1]Afgrødedata!$A$5:$F$18,5,FALSE),VLOOKUP(B57,[1]Afgrødedata!$A$5:$F$18,6,FALSE)),1)*0.1</f>
        <v>210555.41784967913</v>
      </c>
      <c r="I57" s="168">
        <f>G57*VLOOKUP(B57,[1]Afgrødedata!$A$5:$F$18,3,FALSE)*IF(D57="Økologisk",VLOOKUP(B57,[1]Afgrødedata!$A$5:$F$18,4,FALSE),1)*IF(E57&lt;&gt;Jordbund1,IF(E57=Organ6,VLOOKUP(B57,[1]Afgrødedata!$A$5:$F$18,5,FALSE),VLOOKUP(B57,[1]Afgrødedata!$A$5:$F$18,6,FALSE)),1)*HLOOKUP(C57,Landbrug!$C$15:$E$17,2,FALSE)*HLOOKUP(C57,Landbrug!$C$15:$E$17,3,FALSE)*0.1</f>
        <v>0</v>
      </c>
      <c r="J57" s="76">
        <f t="shared" si="2"/>
        <v>210555.41784967913</v>
      </c>
    </row>
    <row r="58" spans="1:10" x14ac:dyDescent="0.25">
      <c r="A58" t="s">
        <v>23</v>
      </c>
      <c r="B58" s="1" t="str">
        <f>[1]Afgrødefordeling!$C$2</f>
        <v>Korn</v>
      </c>
      <c r="C58">
        <v>2030</v>
      </c>
      <c r="D58" t="s">
        <v>8</v>
      </c>
      <c r="E58" s="168" t="str">
        <f t="shared" si="6"/>
        <v>JB1-10</v>
      </c>
      <c r="F58" t="str">
        <f t="shared" si="1"/>
        <v>Halm</v>
      </c>
      <c r="G58" s="76" cm="1">
        <f t="array" ref="G58">IF(A58="Vestdanmark",IF(D58="Konventionel",IF(C58=2019,SUMPRODUCT((B58='Landbrugsareal - resultat'!$B$6:$B$19)*(INDEX('Landbrugsareal - resultat'!$C$6:$E$19,,MATCH(E58,'Landbrugsareal - resultat'!$C$5:$E$5,0)))),IF(C58=2030,SUMPRODUCT((B58='Landbrugsareal - resultat'!$B$6:$B$19)*(INDEX('Landbrugsareal - resultat'!$F$6:$H$19,,MATCH(E58,'Landbrugsareal - resultat'!$F$5:$H$5,0)))),SUMPRODUCT((B58='Landbrugsareal - resultat'!$B$6:$B$19)*(INDEX('Landbrugsareal - resultat'!$I$6:$K$19,,MATCH(E58,'Landbrugsareal - resultat'!$I$5:$K$5,0)))))),IF(C58=2019,SUMPRODUCT((B58='Landbrugsareal - resultat'!$B$6:$B$19)*(INDEX('Landbrugsareal - resultat'!$L$6:$N$19,,MATCH(E58,'Landbrugsareal - resultat'!$L$5:$N$5,0)))),IF(C58=2030,SUMPRODUCT((B58='Landbrugsareal - resultat'!$B$6:$B$19)*(INDEX('Landbrugsareal - resultat'!$O$6:$Q$19,,MATCH(E58,'Landbrugsareal - resultat'!$O$5:$Q$5,0)))),SUMPRODUCT((B58='Landbrugsareal - resultat'!$B$6:$B$19)*(INDEX('Landbrugsareal - resultat'!$R$6:$T$19,,MATCH(E58,'Landbrugsareal - resultat'!$R$5:$T$5,0))))))),IF(D58="Konventionel",IF(C58=2019,SUMPRODUCT((B58='Landbrugsareal - resultat'!$B$33:$B$46)*(INDEX('Landbrugsareal - resultat'!$C$33:$E$46,,MATCH(E58,'Landbrugsareal - resultat'!$C$5:$E$5,0)))),IF(C58=2030,SUMPRODUCT((B58='Landbrugsareal - resultat'!$B$33:$B$46)*(INDEX('Landbrugsareal - resultat'!$F$33:$H$46,,MATCH(E58,'Landbrugsareal - resultat'!$F$5:$H$5,0)))),SUMPRODUCT((B58='Landbrugsareal - resultat'!$B$33:$B$46)*(INDEX('Landbrugsareal - resultat'!$I$33:$K$46,,MATCH(E58,'Landbrugsareal - resultat'!$I$5:$K$5,0)))))),IF(C58=2019,SUMPRODUCT((B58='Landbrugsareal - resultat'!$B$33:$B$46)*(INDEX('Landbrugsareal - resultat'!$L$33:$N$46,,MATCH(E58,'Landbrugsareal - resultat'!$L$5:$N$5,0)))),IF(C58=2030,SUMPRODUCT((B58='Landbrugsareal - resultat'!$B$33:$B$46)*(INDEX('Landbrugsareal - resultat'!$O$33:$Q$46,,MATCH(E58,'Landbrugsareal - resultat'!$O$5:$Q$5,0)))),SUMPRODUCT((B58='Landbrugsareal - resultat'!$B$33:$B$46)*(INDEX('Landbrugsareal - resultat'!$R$33:$T$46,,MATCH(E58,'Landbrugsareal - resultat'!$R$5:$T$5,0))))))))</f>
        <v>129063.67975940519</v>
      </c>
      <c r="H58" s="168">
        <f>G58*VLOOKUP(B58,[1]Afgrødedata!$A$5:$F$18,2,FALSE)*IF(D58="Økologisk",VLOOKUP(B58,[1]Afgrødedata!$A$5:$F$18,4,FALSE),1)*IF(E58&lt;&gt;Jordbund1,IF(E58=Organ6,VLOOKUP(B58,[1]Afgrødedata!$A$5:$F$18,5,FALSE),VLOOKUP(B58,[1]Afgrødedata!$A$5:$F$18,6,FALSE)),1)*0.1</f>
        <v>606173.38472599839</v>
      </c>
      <c r="I58" s="168">
        <f>G58*VLOOKUP(B58,[1]Afgrødedata!$A$5:$F$18,3,FALSE)*IF(D58="Økologisk",VLOOKUP(B58,[1]Afgrødedata!$A$5:$F$18,4,FALSE),1)*IF(E58&lt;&gt;Jordbund1,IF(E58=Organ6,VLOOKUP(B58,[1]Afgrødedata!$A$5:$F$18,5,FALSE),VLOOKUP(B58,[1]Afgrødedata!$A$5:$F$18,6,FALSE)),1)*HLOOKUP(C58,Landbrug!$C$15:$E$17,2,FALSE)*HLOOKUP(C58,Landbrug!$C$15:$E$17,3,FALSE)*0.1</f>
        <v>196703.26334358647</v>
      </c>
      <c r="J58" s="76">
        <f t="shared" si="2"/>
        <v>196703.26334358647</v>
      </c>
    </row>
    <row r="59" spans="1:10" x14ac:dyDescent="0.25">
      <c r="A59" t="s">
        <v>23</v>
      </c>
      <c r="B59" s="1" t="str">
        <f>[1]Afgrødefordeling!$C$3</f>
        <v>Bælgsæd</v>
      </c>
      <c r="C59">
        <v>2030</v>
      </c>
      <c r="D59" t="s">
        <v>8</v>
      </c>
      <c r="E59" s="168" t="str">
        <f t="shared" si="6"/>
        <v>JB1-10</v>
      </c>
      <c r="F59" t="str">
        <f t="shared" si="1"/>
        <v>Halm</v>
      </c>
      <c r="G59" s="76" cm="1">
        <f t="array" ref="G59">IF(A59="Vestdanmark",IF(D59="Konventionel",IF(C59=2019,SUMPRODUCT((B59='Landbrugsareal - resultat'!$B$6:$B$19)*(INDEX('Landbrugsareal - resultat'!$C$6:$E$19,,MATCH(E59,'Landbrugsareal - resultat'!$C$5:$E$5,0)))),IF(C59=2030,SUMPRODUCT((B59='Landbrugsareal - resultat'!$B$6:$B$19)*(INDEX('Landbrugsareal - resultat'!$F$6:$H$19,,MATCH(E59,'Landbrugsareal - resultat'!$F$5:$H$5,0)))),SUMPRODUCT((B59='Landbrugsareal - resultat'!$B$6:$B$19)*(INDEX('Landbrugsareal - resultat'!$I$6:$K$19,,MATCH(E59,'Landbrugsareal - resultat'!$I$5:$K$5,0)))))),IF(C59=2019,SUMPRODUCT((B59='Landbrugsareal - resultat'!$B$6:$B$19)*(INDEX('Landbrugsareal - resultat'!$L$6:$N$19,,MATCH(E59,'Landbrugsareal - resultat'!$L$5:$N$5,0)))),IF(C59=2030,SUMPRODUCT((B59='Landbrugsareal - resultat'!$B$6:$B$19)*(INDEX('Landbrugsareal - resultat'!$O$6:$Q$19,,MATCH(E59,'Landbrugsareal - resultat'!$O$5:$Q$5,0)))),SUMPRODUCT((B59='Landbrugsareal - resultat'!$B$6:$B$19)*(INDEX('Landbrugsareal - resultat'!$R$6:$T$19,,MATCH(E59,'Landbrugsareal - resultat'!$R$5:$T$5,0))))))),IF(D59="Konventionel",IF(C59=2019,SUMPRODUCT((B59='Landbrugsareal - resultat'!$B$33:$B$46)*(INDEX('Landbrugsareal - resultat'!$C$33:$E$46,,MATCH(E59,'Landbrugsareal - resultat'!$C$5:$E$5,0)))),IF(C59=2030,SUMPRODUCT((B59='Landbrugsareal - resultat'!$B$33:$B$46)*(INDEX('Landbrugsareal - resultat'!$F$33:$H$46,,MATCH(E59,'Landbrugsareal - resultat'!$F$5:$H$5,0)))),SUMPRODUCT((B59='Landbrugsareal - resultat'!$B$33:$B$46)*(INDEX('Landbrugsareal - resultat'!$I$33:$K$46,,MATCH(E59,'Landbrugsareal - resultat'!$I$5:$K$5,0)))))),IF(C59=2019,SUMPRODUCT((B59='Landbrugsareal - resultat'!$B$33:$B$46)*(INDEX('Landbrugsareal - resultat'!$L$33:$N$46,,MATCH(E59,'Landbrugsareal - resultat'!$L$5:$N$5,0)))),IF(C59=2030,SUMPRODUCT((B59='Landbrugsareal - resultat'!$B$33:$B$46)*(INDEX('Landbrugsareal - resultat'!$O$33:$Q$46,,MATCH(E59,'Landbrugsareal - resultat'!$O$5:$Q$5,0)))),SUMPRODUCT((B59='Landbrugsareal - resultat'!$B$33:$B$46)*(INDEX('Landbrugsareal - resultat'!$R$33:$T$46,,MATCH(E59,'Landbrugsareal - resultat'!$R$5:$T$5,0))))))))</f>
        <v>8917.2052043923359</v>
      </c>
      <c r="H59" s="168">
        <f>G59*VLOOKUP(B59,[1]Afgrødedata!$A$5:$F$18,2,FALSE)*IF(D59="Økologisk",VLOOKUP(B59,[1]Afgrødedata!$A$5:$F$18,4,FALSE),1)*IF(E59&lt;&gt;Jordbund1,IF(E59=Organ6,VLOOKUP(B59,[1]Afgrødedata!$A$5:$F$18,5,FALSE),VLOOKUP(B59,[1]Afgrødedata!$A$5:$F$18,6,FALSE)),1)*0.1</f>
        <v>19619.634890704019</v>
      </c>
      <c r="I59" s="168">
        <f>G59*VLOOKUP(B59,[1]Afgrødedata!$A$5:$F$18,3,FALSE)*IF(D59="Økologisk",VLOOKUP(B59,[1]Afgrødedata!$A$5:$F$18,4,FALSE),1)*IF(E59&lt;&gt;Jordbund1,IF(E59=Organ6,VLOOKUP(B59,[1]Afgrødedata!$A$5:$F$18,5,FALSE),VLOOKUP(B59,[1]Afgrødedata!$A$5:$F$18,6,FALSE)),1)*HLOOKUP(C59,Landbrug!$C$15:$E$17,2,FALSE)*HLOOKUP(C59,Landbrug!$C$15:$E$17,3,FALSE)*0.1</f>
        <v>5790.791148867921</v>
      </c>
      <c r="J59" s="76">
        <f t="shared" si="2"/>
        <v>5790.791148867921</v>
      </c>
    </row>
    <row r="60" spans="1:10" x14ac:dyDescent="0.25">
      <c r="A60" t="s">
        <v>23</v>
      </c>
      <c r="B60" s="1" t="str">
        <f>[1]Afgrødefordeling!$C$4</f>
        <v>Raps</v>
      </c>
      <c r="C60">
        <v>2030</v>
      </c>
      <c r="D60" t="s">
        <v>8</v>
      </c>
      <c r="E60" s="168" t="str">
        <f t="shared" si="6"/>
        <v>JB1-10</v>
      </c>
      <c r="F60" t="str">
        <f t="shared" si="1"/>
        <v>Halm</v>
      </c>
      <c r="G60" s="76" cm="1">
        <f t="array" ref="G60">IF(A60="Vestdanmark",IF(D60="Konventionel",IF(C60=2019,SUMPRODUCT((B60='Landbrugsareal - resultat'!$B$6:$B$19)*(INDEX('Landbrugsareal - resultat'!$C$6:$E$19,,MATCH(E60,'Landbrugsareal - resultat'!$C$5:$E$5,0)))),IF(C60=2030,SUMPRODUCT((B60='Landbrugsareal - resultat'!$B$6:$B$19)*(INDEX('Landbrugsareal - resultat'!$F$6:$H$19,,MATCH(E60,'Landbrugsareal - resultat'!$F$5:$H$5,0)))),SUMPRODUCT((B60='Landbrugsareal - resultat'!$B$6:$B$19)*(INDEX('Landbrugsareal - resultat'!$I$6:$K$19,,MATCH(E60,'Landbrugsareal - resultat'!$I$5:$K$5,0)))))),IF(C60=2019,SUMPRODUCT((B60='Landbrugsareal - resultat'!$B$6:$B$19)*(INDEX('Landbrugsareal - resultat'!$L$6:$N$19,,MATCH(E60,'Landbrugsareal - resultat'!$L$5:$N$5,0)))),IF(C60=2030,SUMPRODUCT((B60='Landbrugsareal - resultat'!$B$6:$B$19)*(INDEX('Landbrugsareal - resultat'!$O$6:$Q$19,,MATCH(E60,'Landbrugsareal - resultat'!$O$5:$Q$5,0)))),SUMPRODUCT((B60='Landbrugsareal - resultat'!$B$6:$B$19)*(INDEX('Landbrugsareal - resultat'!$R$6:$T$19,,MATCH(E60,'Landbrugsareal - resultat'!$R$5:$T$5,0))))))),IF(D60="Konventionel",IF(C60=2019,SUMPRODUCT((B60='Landbrugsareal - resultat'!$B$33:$B$46)*(INDEX('Landbrugsareal - resultat'!$C$33:$E$46,,MATCH(E60,'Landbrugsareal - resultat'!$C$5:$E$5,0)))),IF(C60=2030,SUMPRODUCT((B60='Landbrugsareal - resultat'!$B$33:$B$46)*(INDEX('Landbrugsareal - resultat'!$F$33:$H$46,,MATCH(E60,'Landbrugsareal - resultat'!$F$5:$H$5,0)))),SUMPRODUCT((B60='Landbrugsareal - resultat'!$B$33:$B$46)*(INDEX('Landbrugsareal - resultat'!$I$33:$K$46,,MATCH(E60,'Landbrugsareal - resultat'!$I$5:$K$5,0)))))),IF(C60=2019,SUMPRODUCT((B60='Landbrugsareal - resultat'!$B$33:$B$46)*(INDEX('Landbrugsareal - resultat'!$L$33:$N$46,,MATCH(E60,'Landbrugsareal - resultat'!$L$5:$N$5,0)))),IF(C60=2030,SUMPRODUCT((B60='Landbrugsareal - resultat'!$B$33:$B$46)*(INDEX('Landbrugsareal - resultat'!$O$33:$Q$46,,MATCH(E60,'Landbrugsareal - resultat'!$O$5:$Q$5,0)))),SUMPRODUCT((B60='Landbrugsareal - resultat'!$B$33:$B$46)*(INDEX('Landbrugsareal - resultat'!$R$33:$T$46,,MATCH(E60,'Landbrugsareal - resultat'!$R$5:$T$5,0))))))))</f>
        <v>14995.539190367022</v>
      </c>
      <c r="H60" s="168">
        <f>G60*VLOOKUP(B60,[1]Afgrødedata!$A$5:$F$18,2,FALSE)*IF(D60="Økologisk",VLOOKUP(B60,[1]Afgrødedata!$A$5:$F$18,4,FALSE),1)*IF(E60&lt;&gt;Jordbund1,IF(E60=Organ6,VLOOKUP(B60,[1]Afgrødedata!$A$5:$F$18,5,FALSE),VLOOKUP(B60,[1]Afgrødedata!$A$5:$F$18,6,FALSE)),1)*0.1</f>
        <v>36289.204840688202</v>
      </c>
      <c r="I60" s="168">
        <f>G60*VLOOKUP(B60,[1]Afgrødedata!$A$5:$F$18,3,FALSE)*IF(D60="Økologisk",VLOOKUP(B60,[1]Afgrødedata!$A$5:$F$18,4,FALSE),1)*IF(E60&lt;&gt;Jordbund1,IF(E60=Organ6,VLOOKUP(B60,[1]Afgrødedata!$A$5:$F$18,5,FALSE),VLOOKUP(B60,[1]Afgrødedata!$A$5:$F$18,6,FALSE)),1)*HLOOKUP(C60,Landbrug!$C$15:$E$17,2,FALSE)*HLOOKUP(C60,Landbrug!$C$15:$E$17,3,FALSE)*0.1</f>
        <v>19269.567770405432</v>
      </c>
      <c r="J60" s="76">
        <f t="shared" si="2"/>
        <v>19269.567770405432</v>
      </c>
    </row>
    <row r="61" spans="1:10" x14ac:dyDescent="0.25">
      <c r="A61" t="s">
        <v>23</v>
      </c>
      <c r="B61" s="1" t="str">
        <f>[1]Afgrødefordeling!$C$5</f>
        <v>Græs</v>
      </c>
      <c r="C61">
        <v>2030</v>
      </c>
      <c r="D61" t="s">
        <v>8</v>
      </c>
      <c r="E61" s="168" t="str">
        <f t="shared" si="6"/>
        <v>JB1-10</v>
      </c>
      <c r="F61" t="str">
        <f t="shared" si="1"/>
        <v>Græs</v>
      </c>
      <c r="G61" s="76" cm="1">
        <f t="array" ref="G61">IF(A61="Vestdanmark",IF(D61="Konventionel",IF(C61=2019,SUMPRODUCT((B61='Landbrugsareal - resultat'!$B$6:$B$19)*(INDEX('Landbrugsareal - resultat'!$C$6:$E$19,,MATCH(E61,'Landbrugsareal - resultat'!$C$5:$E$5,0)))),IF(C61=2030,SUMPRODUCT((B61='Landbrugsareal - resultat'!$B$6:$B$19)*(INDEX('Landbrugsareal - resultat'!$F$6:$H$19,,MATCH(E61,'Landbrugsareal - resultat'!$F$5:$H$5,0)))),SUMPRODUCT((B61='Landbrugsareal - resultat'!$B$6:$B$19)*(INDEX('Landbrugsareal - resultat'!$I$6:$K$19,,MATCH(E61,'Landbrugsareal - resultat'!$I$5:$K$5,0)))))),IF(C61=2019,SUMPRODUCT((B61='Landbrugsareal - resultat'!$B$6:$B$19)*(INDEX('Landbrugsareal - resultat'!$L$6:$N$19,,MATCH(E61,'Landbrugsareal - resultat'!$L$5:$N$5,0)))),IF(C61=2030,SUMPRODUCT((B61='Landbrugsareal - resultat'!$B$6:$B$19)*(INDEX('Landbrugsareal - resultat'!$O$6:$Q$19,,MATCH(E61,'Landbrugsareal - resultat'!$O$5:$Q$5,0)))),SUMPRODUCT((B61='Landbrugsareal - resultat'!$B$6:$B$19)*(INDEX('Landbrugsareal - resultat'!$R$6:$T$19,,MATCH(E61,'Landbrugsareal - resultat'!$R$5:$T$5,0))))))),IF(D61="Konventionel",IF(C61=2019,SUMPRODUCT((B61='Landbrugsareal - resultat'!$B$33:$B$46)*(INDEX('Landbrugsareal - resultat'!$C$33:$E$46,,MATCH(E61,'Landbrugsareal - resultat'!$C$5:$E$5,0)))),IF(C61=2030,SUMPRODUCT((B61='Landbrugsareal - resultat'!$B$33:$B$46)*(INDEX('Landbrugsareal - resultat'!$F$33:$H$46,,MATCH(E61,'Landbrugsareal - resultat'!$F$5:$H$5,0)))),SUMPRODUCT((B61='Landbrugsareal - resultat'!$B$33:$B$46)*(INDEX('Landbrugsareal - resultat'!$I$33:$K$46,,MATCH(E61,'Landbrugsareal - resultat'!$I$5:$K$5,0)))))),IF(C61=2019,SUMPRODUCT((B61='Landbrugsareal - resultat'!$B$33:$B$46)*(INDEX('Landbrugsareal - resultat'!$L$33:$N$46,,MATCH(E61,'Landbrugsareal - resultat'!$L$5:$N$5,0)))),IF(C61=2030,SUMPRODUCT((B61='Landbrugsareal - resultat'!$B$33:$B$46)*(INDEX('Landbrugsareal - resultat'!$O$33:$Q$46,,MATCH(E61,'Landbrugsareal - resultat'!$O$5:$Q$5,0)))),SUMPRODUCT((B61='Landbrugsareal - resultat'!$B$33:$B$46)*(INDEX('Landbrugsareal - resultat'!$R$33:$T$46,,MATCH(E61,'Landbrugsareal - resultat'!$R$5:$T$5,0))))))))</f>
        <v>28591.77691027457</v>
      </c>
      <c r="H61" s="168">
        <f>G61*VLOOKUP(B61,[1]Afgrødedata!$A$5:$F$18,2,FALSE)*IF(D61="Økologisk",VLOOKUP(B61,[1]Afgrødedata!$A$5:$F$18,4,FALSE),1)*IF(E61&lt;&gt;Jordbund1,IF(E61=Organ6,VLOOKUP(B61,[1]Afgrødedata!$A$5:$F$18,5,FALSE),VLOOKUP(B61,[1]Afgrødedata!$A$5:$F$18,6,FALSE)),1)*0.1</f>
        <v>1106604.6968245029</v>
      </c>
      <c r="I61" s="168">
        <f>G61*VLOOKUP(B61,[1]Afgrødedata!$A$5:$F$18,3,FALSE)*IF(D61="Økologisk",VLOOKUP(B61,[1]Afgrødedata!$A$5:$F$18,4,FALSE),1)*IF(E61&lt;&gt;Jordbund1,IF(E61=Organ6,VLOOKUP(B61,[1]Afgrødedata!$A$5:$F$18,5,FALSE),VLOOKUP(B61,[1]Afgrødedata!$A$5:$F$18,6,FALSE)),1)*HLOOKUP(C61,Landbrug!$C$15:$E$17,2,FALSE)*HLOOKUP(C61,Landbrug!$C$15:$E$17,3,FALSE)*0.1</f>
        <v>0</v>
      </c>
      <c r="J61" s="76">
        <f t="shared" si="2"/>
        <v>1106604.6968245029</v>
      </c>
    </row>
    <row r="62" spans="1:10" x14ac:dyDescent="0.25">
      <c r="A62" t="s">
        <v>23</v>
      </c>
      <c r="B62" s="1" t="str">
        <f>[1]Afgrødefordeling!$C$6</f>
        <v>Grøntsager</v>
      </c>
      <c r="C62">
        <v>2030</v>
      </c>
      <c r="D62" t="s">
        <v>8</v>
      </c>
      <c r="E62" s="168" t="str">
        <f t="shared" si="6"/>
        <v>JB1-10</v>
      </c>
      <c r="F62" t="str">
        <f t="shared" si="1"/>
        <v>Grøntsager</v>
      </c>
      <c r="G62" s="76" cm="1">
        <f t="array" ref="G62">IF(A62="Vestdanmark",IF(D62="Konventionel",IF(C62=2019,SUMPRODUCT((B62='Landbrugsareal - resultat'!$B$6:$B$19)*(INDEX('Landbrugsareal - resultat'!$C$6:$E$19,,MATCH(E62,'Landbrugsareal - resultat'!$C$5:$E$5,0)))),IF(C62=2030,SUMPRODUCT((B62='Landbrugsareal - resultat'!$B$6:$B$19)*(INDEX('Landbrugsareal - resultat'!$F$6:$H$19,,MATCH(E62,'Landbrugsareal - resultat'!$F$5:$H$5,0)))),SUMPRODUCT((B62='Landbrugsareal - resultat'!$B$6:$B$19)*(INDEX('Landbrugsareal - resultat'!$I$6:$K$19,,MATCH(E62,'Landbrugsareal - resultat'!$I$5:$K$5,0)))))),IF(C62=2019,SUMPRODUCT((B62='Landbrugsareal - resultat'!$B$6:$B$19)*(INDEX('Landbrugsareal - resultat'!$L$6:$N$19,,MATCH(E62,'Landbrugsareal - resultat'!$L$5:$N$5,0)))),IF(C62=2030,SUMPRODUCT((B62='Landbrugsareal - resultat'!$B$6:$B$19)*(INDEX('Landbrugsareal - resultat'!$O$6:$Q$19,,MATCH(E62,'Landbrugsareal - resultat'!$O$5:$Q$5,0)))),SUMPRODUCT((B62='Landbrugsareal - resultat'!$B$6:$B$19)*(INDEX('Landbrugsareal - resultat'!$R$6:$T$19,,MATCH(E62,'Landbrugsareal - resultat'!$R$5:$T$5,0))))))),IF(D62="Konventionel",IF(C62=2019,SUMPRODUCT((B62='Landbrugsareal - resultat'!$B$33:$B$46)*(INDEX('Landbrugsareal - resultat'!$C$33:$E$46,,MATCH(E62,'Landbrugsareal - resultat'!$C$5:$E$5,0)))),IF(C62=2030,SUMPRODUCT((B62='Landbrugsareal - resultat'!$B$33:$B$46)*(INDEX('Landbrugsareal - resultat'!$F$33:$H$46,,MATCH(E62,'Landbrugsareal - resultat'!$F$5:$H$5,0)))),SUMPRODUCT((B62='Landbrugsareal - resultat'!$B$33:$B$46)*(INDEX('Landbrugsareal - resultat'!$I$33:$K$46,,MATCH(E62,'Landbrugsareal - resultat'!$I$5:$K$5,0)))))),IF(C62=2019,SUMPRODUCT((B62='Landbrugsareal - resultat'!$B$33:$B$46)*(INDEX('Landbrugsareal - resultat'!$L$33:$N$46,,MATCH(E62,'Landbrugsareal - resultat'!$L$5:$N$5,0)))),IF(C62=2030,SUMPRODUCT((B62='Landbrugsareal - resultat'!$B$33:$B$46)*(INDEX('Landbrugsareal - resultat'!$O$33:$Q$46,,MATCH(E62,'Landbrugsareal - resultat'!$O$5:$Q$5,0)))),SUMPRODUCT((B62='Landbrugsareal - resultat'!$B$33:$B$46)*(INDEX('Landbrugsareal - resultat'!$R$33:$T$46,,MATCH(E62,'Landbrugsareal - resultat'!$R$5:$T$5,0))))))))</f>
        <v>1106.4367419581918</v>
      </c>
      <c r="H62" s="168">
        <f>G62*VLOOKUP(B62,[1]Afgrødedata!$A$5:$F$18,2,FALSE)*IF(D62="Økologisk",VLOOKUP(B62,[1]Afgrødedata!$A$5:$F$18,4,FALSE),1)*IF(E62&lt;&gt;Jordbund1,IF(E62=Organ6,VLOOKUP(B62,[1]Afgrødedata!$A$5:$F$18,5,FALSE),VLOOKUP(B62,[1]Afgrødedata!$A$5:$F$18,6,FALSE)),1)*0.1</f>
        <v>13086.380565510513</v>
      </c>
      <c r="I62" s="168">
        <f>G62*VLOOKUP(B62,[1]Afgrødedata!$A$5:$F$18,3,FALSE)*IF(D62="Økologisk",VLOOKUP(B62,[1]Afgrødedata!$A$5:$F$18,4,FALSE),1)*IF(E62&lt;&gt;Jordbund1,IF(E62=Organ6,VLOOKUP(B62,[1]Afgrødedata!$A$5:$F$18,5,FALSE),VLOOKUP(B62,[1]Afgrødedata!$A$5:$F$18,6,FALSE)),1)*HLOOKUP(C62,Landbrug!$C$15:$E$17,2,FALSE)*HLOOKUP(C62,Landbrug!$C$15:$E$17,3,FALSE)*0.1</f>
        <v>0</v>
      </c>
      <c r="J62" s="76">
        <f t="shared" si="2"/>
        <v>13086.380565510513</v>
      </c>
    </row>
    <row r="63" spans="1:10" x14ac:dyDescent="0.25">
      <c r="A63" t="s">
        <v>23</v>
      </c>
      <c r="B63" s="1" t="str">
        <f>[1]Afgrødefordeling!$C$7</f>
        <v>Kartofler</v>
      </c>
      <c r="C63">
        <v>2030</v>
      </c>
      <c r="D63" t="s">
        <v>8</v>
      </c>
      <c r="E63" s="168" t="str">
        <f t="shared" si="6"/>
        <v>JB1-10</v>
      </c>
      <c r="F63" t="str">
        <f t="shared" si="1"/>
        <v>Kartofler</v>
      </c>
      <c r="G63" s="76" cm="1">
        <f t="array" ref="G63">IF(A63="Vestdanmark",IF(D63="Konventionel",IF(C63=2019,SUMPRODUCT((B63='Landbrugsareal - resultat'!$B$6:$B$19)*(INDEX('Landbrugsareal - resultat'!$C$6:$E$19,,MATCH(E63,'Landbrugsareal - resultat'!$C$5:$E$5,0)))),IF(C63=2030,SUMPRODUCT((B63='Landbrugsareal - resultat'!$B$6:$B$19)*(INDEX('Landbrugsareal - resultat'!$F$6:$H$19,,MATCH(E63,'Landbrugsareal - resultat'!$F$5:$H$5,0)))),SUMPRODUCT((B63='Landbrugsareal - resultat'!$B$6:$B$19)*(INDEX('Landbrugsareal - resultat'!$I$6:$K$19,,MATCH(E63,'Landbrugsareal - resultat'!$I$5:$K$5,0)))))),IF(C63=2019,SUMPRODUCT((B63='Landbrugsareal - resultat'!$B$6:$B$19)*(INDEX('Landbrugsareal - resultat'!$L$6:$N$19,,MATCH(E63,'Landbrugsareal - resultat'!$L$5:$N$5,0)))),IF(C63=2030,SUMPRODUCT((B63='Landbrugsareal - resultat'!$B$6:$B$19)*(INDEX('Landbrugsareal - resultat'!$O$6:$Q$19,,MATCH(E63,'Landbrugsareal - resultat'!$O$5:$Q$5,0)))),SUMPRODUCT((B63='Landbrugsareal - resultat'!$B$6:$B$19)*(INDEX('Landbrugsareal - resultat'!$R$6:$T$19,,MATCH(E63,'Landbrugsareal - resultat'!$R$5:$T$5,0))))))),IF(D63="Konventionel",IF(C63=2019,SUMPRODUCT((B63='Landbrugsareal - resultat'!$B$33:$B$46)*(INDEX('Landbrugsareal - resultat'!$C$33:$E$46,,MATCH(E63,'Landbrugsareal - resultat'!$C$5:$E$5,0)))),IF(C63=2030,SUMPRODUCT((B63='Landbrugsareal - resultat'!$B$33:$B$46)*(INDEX('Landbrugsareal - resultat'!$F$33:$H$46,,MATCH(E63,'Landbrugsareal - resultat'!$F$5:$H$5,0)))),SUMPRODUCT((B63='Landbrugsareal - resultat'!$B$33:$B$46)*(INDEX('Landbrugsareal - resultat'!$I$33:$K$46,,MATCH(E63,'Landbrugsareal - resultat'!$I$5:$K$5,0)))))),IF(C63=2019,SUMPRODUCT((B63='Landbrugsareal - resultat'!$B$33:$B$46)*(INDEX('Landbrugsareal - resultat'!$L$33:$N$46,,MATCH(E63,'Landbrugsareal - resultat'!$L$5:$N$5,0)))),IF(C63=2030,SUMPRODUCT((B63='Landbrugsareal - resultat'!$B$33:$B$46)*(INDEX('Landbrugsareal - resultat'!$O$33:$Q$46,,MATCH(E63,'Landbrugsareal - resultat'!$O$5:$Q$5,0)))),SUMPRODUCT((B63='Landbrugsareal - resultat'!$B$33:$B$46)*(INDEX('Landbrugsareal - resultat'!$R$33:$T$46,,MATCH(E63,'Landbrugsareal - resultat'!$R$5:$T$5,0))))))))</f>
        <v>6591.1841514801417</v>
      </c>
      <c r="H63" s="168">
        <f>G63*VLOOKUP(B63,[1]Afgrødedata!$A$5:$F$18,2,FALSE)*IF(D63="Økologisk",VLOOKUP(B63,[1]Afgrødedata!$A$5:$F$18,4,FALSE),1)*IF(E63&lt;&gt;Jordbund1,IF(E63=Organ6,VLOOKUP(B63,[1]Afgrødedata!$A$5:$F$18,5,FALSE),VLOOKUP(B63,[1]Afgrødedata!$A$5:$F$18,6,FALSE)),1)*0.1</f>
        <v>159562.10611026839</v>
      </c>
      <c r="I63" s="168">
        <f>G63*VLOOKUP(B63,[1]Afgrødedata!$A$5:$F$18,3,FALSE)*IF(D63="Økologisk",VLOOKUP(B63,[1]Afgrødedata!$A$5:$F$18,4,FALSE),1)*IF(E63&lt;&gt;Jordbund1,IF(E63=Organ6,VLOOKUP(B63,[1]Afgrødedata!$A$5:$F$18,5,FALSE),VLOOKUP(B63,[1]Afgrødedata!$A$5:$F$18,6,FALSE)),1)*HLOOKUP(C63,Landbrug!$C$15:$E$17,2,FALSE)*HLOOKUP(C63,Landbrug!$C$15:$E$17,3,FALSE)*0.1</f>
        <v>0</v>
      </c>
      <c r="J63" s="76">
        <f t="shared" si="2"/>
        <v>159562.10611026839</v>
      </c>
    </row>
    <row r="64" spans="1:10" x14ac:dyDescent="0.25">
      <c r="A64" t="s">
        <v>23</v>
      </c>
      <c r="B64" s="1" t="str">
        <f>[1]Afgrødefordeling!$C$8</f>
        <v>Roer</v>
      </c>
      <c r="C64">
        <v>2030</v>
      </c>
      <c r="D64" t="s">
        <v>8</v>
      </c>
      <c r="E64" s="168" t="str">
        <f t="shared" si="6"/>
        <v>JB1-10</v>
      </c>
      <c r="F64" t="str">
        <f t="shared" si="1"/>
        <v>Roer</v>
      </c>
      <c r="G64" s="76" cm="1">
        <f t="array" ref="G64">IF(A64="Vestdanmark",IF(D64="Konventionel",IF(C64=2019,SUMPRODUCT((B64='Landbrugsareal - resultat'!$B$6:$B$19)*(INDEX('Landbrugsareal - resultat'!$C$6:$E$19,,MATCH(E64,'Landbrugsareal - resultat'!$C$5:$E$5,0)))),IF(C64=2030,SUMPRODUCT((B64='Landbrugsareal - resultat'!$B$6:$B$19)*(INDEX('Landbrugsareal - resultat'!$F$6:$H$19,,MATCH(E64,'Landbrugsareal - resultat'!$F$5:$H$5,0)))),SUMPRODUCT((B64='Landbrugsareal - resultat'!$B$6:$B$19)*(INDEX('Landbrugsareal - resultat'!$I$6:$K$19,,MATCH(E64,'Landbrugsareal - resultat'!$I$5:$K$5,0)))))),IF(C64=2019,SUMPRODUCT((B64='Landbrugsareal - resultat'!$B$6:$B$19)*(INDEX('Landbrugsareal - resultat'!$L$6:$N$19,,MATCH(E64,'Landbrugsareal - resultat'!$L$5:$N$5,0)))),IF(C64=2030,SUMPRODUCT((B64='Landbrugsareal - resultat'!$B$6:$B$19)*(INDEX('Landbrugsareal - resultat'!$O$6:$Q$19,,MATCH(E64,'Landbrugsareal - resultat'!$O$5:$Q$5,0)))),SUMPRODUCT((B64='Landbrugsareal - resultat'!$B$6:$B$19)*(INDEX('Landbrugsareal - resultat'!$R$6:$T$19,,MATCH(E64,'Landbrugsareal - resultat'!$R$5:$T$5,0))))))),IF(D64="Konventionel",IF(C64=2019,SUMPRODUCT((B64='Landbrugsareal - resultat'!$B$33:$B$46)*(INDEX('Landbrugsareal - resultat'!$C$33:$E$46,,MATCH(E64,'Landbrugsareal - resultat'!$C$5:$E$5,0)))),IF(C64=2030,SUMPRODUCT((B64='Landbrugsareal - resultat'!$B$33:$B$46)*(INDEX('Landbrugsareal - resultat'!$F$33:$H$46,,MATCH(E64,'Landbrugsareal - resultat'!$F$5:$H$5,0)))),SUMPRODUCT((B64='Landbrugsareal - resultat'!$B$33:$B$46)*(INDEX('Landbrugsareal - resultat'!$I$33:$K$46,,MATCH(E64,'Landbrugsareal - resultat'!$I$5:$K$5,0)))))),IF(C64=2019,SUMPRODUCT((B64='Landbrugsareal - resultat'!$B$33:$B$46)*(INDEX('Landbrugsareal - resultat'!$L$33:$N$46,,MATCH(E64,'Landbrugsareal - resultat'!$L$5:$N$5,0)))),IF(C64=2030,SUMPRODUCT((B64='Landbrugsareal - resultat'!$B$33:$B$46)*(INDEX('Landbrugsareal - resultat'!$O$33:$Q$46,,MATCH(E64,'Landbrugsareal - resultat'!$O$5:$Q$5,0)))),SUMPRODUCT((B64='Landbrugsareal - resultat'!$B$33:$B$46)*(INDEX('Landbrugsareal - resultat'!$R$33:$T$46,,MATCH(E64,'Landbrugsareal - resultat'!$R$5:$T$5,0))))))))</f>
        <v>643.43695403944287</v>
      </c>
      <c r="H64" s="168">
        <f>G64*VLOOKUP(B64,[1]Afgrødedata!$A$5:$F$18,2,FALSE)*IF(D64="Økologisk",VLOOKUP(B64,[1]Afgrødedata!$A$5:$F$18,4,FALSE),1)*IF(E64&lt;&gt;Jordbund1,IF(E64=Organ6,VLOOKUP(B64,[1]Afgrødedata!$A$5:$F$18,5,FALSE),VLOOKUP(B64,[1]Afgrødedata!$A$5:$F$18,6,FALSE)),1)*0.1</f>
        <v>29800.542437921104</v>
      </c>
      <c r="I64" s="168">
        <f>G64*VLOOKUP(B64,[1]Afgrødedata!$A$5:$F$18,3,FALSE)*IF(D64="Økologisk",VLOOKUP(B64,[1]Afgrødedata!$A$5:$F$18,4,FALSE),1)*IF(E64&lt;&gt;Jordbund1,IF(E64=Organ6,VLOOKUP(B64,[1]Afgrødedata!$A$5:$F$18,5,FALSE),VLOOKUP(B64,[1]Afgrødedata!$A$5:$F$18,6,FALSE)),1)*HLOOKUP(C64,Landbrug!$C$15:$E$17,2,FALSE)*HLOOKUP(C64,Landbrug!$C$15:$E$17,3,FALSE)*0.1</f>
        <v>0</v>
      </c>
      <c r="J64" s="76">
        <f t="shared" si="2"/>
        <v>29800.542437921104</v>
      </c>
    </row>
    <row r="65" spans="1:10" x14ac:dyDescent="0.25">
      <c r="A65" t="s">
        <v>23</v>
      </c>
      <c r="B65" s="1" t="str">
        <f>[1]Afgrødefordeling!$C$9</f>
        <v>Majs</v>
      </c>
      <c r="C65">
        <v>2030</v>
      </c>
      <c r="D65" t="s">
        <v>8</v>
      </c>
      <c r="E65" s="168" t="str">
        <f t="shared" si="6"/>
        <v>JB1-10</v>
      </c>
      <c r="F65" t="str">
        <f t="shared" si="1"/>
        <v>Majs</v>
      </c>
      <c r="G65" s="76" cm="1">
        <f t="array" ref="G65">IF(A65="Vestdanmark",IF(D65="Konventionel",IF(C65=2019,SUMPRODUCT((B65='Landbrugsareal - resultat'!$B$6:$B$19)*(INDEX('Landbrugsareal - resultat'!$C$6:$E$19,,MATCH(E65,'Landbrugsareal - resultat'!$C$5:$E$5,0)))),IF(C65=2030,SUMPRODUCT((B65='Landbrugsareal - resultat'!$B$6:$B$19)*(INDEX('Landbrugsareal - resultat'!$F$6:$H$19,,MATCH(E65,'Landbrugsareal - resultat'!$F$5:$H$5,0)))),SUMPRODUCT((B65='Landbrugsareal - resultat'!$B$6:$B$19)*(INDEX('Landbrugsareal - resultat'!$I$6:$K$19,,MATCH(E65,'Landbrugsareal - resultat'!$I$5:$K$5,0)))))),IF(C65=2019,SUMPRODUCT((B65='Landbrugsareal - resultat'!$B$6:$B$19)*(INDEX('Landbrugsareal - resultat'!$L$6:$N$19,,MATCH(E65,'Landbrugsareal - resultat'!$L$5:$N$5,0)))),IF(C65=2030,SUMPRODUCT((B65='Landbrugsareal - resultat'!$B$6:$B$19)*(INDEX('Landbrugsareal - resultat'!$O$6:$Q$19,,MATCH(E65,'Landbrugsareal - resultat'!$O$5:$Q$5,0)))),SUMPRODUCT((B65='Landbrugsareal - resultat'!$B$6:$B$19)*(INDEX('Landbrugsareal - resultat'!$R$6:$T$19,,MATCH(E65,'Landbrugsareal - resultat'!$R$5:$T$5,0))))))),IF(D65="Konventionel",IF(C65=2019,SUMPRODUCT((B65='Landbrugsareal - resultat'!$B$33:$B$46)*(INDEX('Landbrugsareal - resultat'!$C$33:$E$46,,MATCH(E65,'Landbrugsareal - resultat'!$C$5:$E$5,0)))),IF(C65=2030,SUMPRODUCT((B65='Landbrugsareal - resultat'!$B$33:$B$46)*(INDEX('Landbrugsareal - resultat'!$F$33:$H$46,,MATCH(E65,'Landbrugsareal - resultat'!$F$5:$H$5,0)))),SUMPRODUCT((B65='Landbrugsareal - resultat'!$B$33:$B$46)*(INDEX('Landbrugsareal - resultat'!$I$33:$K$46,,MATCH(E65,'Landbrugsareal - resultat'!$I$5:$K$5,0)))))),IF(C65=2019,SUMPRODUCT((B65='Landbrugsareal - resultat'!$B$33:$B$46)*(INDEX('Landbrugsareal - resultat'!$L$33:$N$46,,MATCH(E65,'Landbrugsareal - resultat'!$L$5:$N$5,0)))),IF(C65=2030,SUMPRODUCT((B65='Landbrugsareal - resultat'!$B$33:$B$46)*(INDEX('Landbrugsareal - resultat'!$O$33:$Q$46,,MATCH(E65,'Landbrugsareal - resultat'!$O$5:$Q$5,0)))),SUMPRODUCT((B65='Landbrugsareal - resultat'!$B$33:$B$46)*(INDEX('Landbrugsareal - resultat'!$R$33:$T$46,,MATCH(E65,'Landbrugsareal - resultat'!$R$5:$T$5,0))))))))</f>
        <v>22034.244601094775</v>
      </c>
      <c r="H65" s="168">
        <f>G65*VLOOKUP(B65,[1]Afgrødedata!$A$5:$F$18,2,FALSE)*IF(D65="Økologisk",VLOOKUP(B65,[1]Afgrødedata!$A$5:$F$18,4,FALSE),1)*IF(E65&lt;&gt;Jordbund1,IF(E65=Organ6,VLOOKUP(B65,[1]Afgrødedata!$A$5:$F$18,5,FALSE),VLOOKUP(B65,[1]Afgrødedata!$A$5:$F$18,6,FALSE)),1)*0.1</f>
        <v>814017.70857162471</v>
      </c>
      <c r="I65" s="168">
        <f>G65*VLOOKUP(B65,[1]Afgrødedata!$A$5:$F$18,3,FALSE)*IF(D65="Økologisk",VLOOKUP(B65,[1]Afgrødedata!$A$5:$F$18,4,FALSE),1)*IF(E65&lt;&gt;Jordbund1,IF(E65=Organ6,VLOOKUP(B65,[1]Afgrødedata!$A$5:$F$18,5,FALSE),VLOOKUP(B65,[1]Afgrødedata!$A$5:$F$18,6,FALSE)),1)*HLOOKUP(C65,Landbrug!$C$15:$E$17,2,FALSE)*HLOOKUP(C65,Landbrug!$C$15:$E$17,3,FALSE)*0.1</f>
        <v>0</v>
      </c>
      <c r="J65" s="76">
        <f t="shared" si="2"/>
        <v>814017.70857162471</v>
      </c>
    </row>
    <row r="66" spans="1:10" x14ac:dyDescent="0.25">
      <c r="A66" t="s">
        <v>23</v>
      </c>
      <c r="B66" s="1" t="str">
        <f>[1]Afgrødefordeling!$C$10</f>
        <v>Frugt</v>
      </c>
      <c r="C66">
        <v>2030</v>
      </c>
      <c r="D66" t="s">
        <v>8</v>
      </c>
      <c r="E66" s="168" t="str">
        <f t="shared" ref="E66:E85" si="11">Jordbund1</f>
        <v>JB1-10</v>
      </c>
      <c r="F66" t="str">
        <f t="shared" si="1"/>
        <v>Frugt</v>
      </c>
      <c r="G66" s="76" cm="1">
        <f t="array" ref="G66">IF(A66="Vestdanmark",IF(D66="Konventionel",IF(C66=2019,SUMPRODUCT((B66='Landbrugsareal - resultat'!$B$6:$B$19)*(INDEX('Landbrugsareal - resultat'!$C$6:$E$19,,MATCH(E66,'Landbrugsareal - resultat'!$C$5:$E$5,0)))),IF(C66=2030,SUMPRODUCT((B66='Landbrugsareal - resultat'!$B$6:$B$19)*(INDEX('Landbrugsareal - resultat'!$F$6:$H$19,,MATCH(E66,'Landbrugsareal - resultat'!$F$5:$H$5,0)))),SUMPRODUCT((B66='Landbrugsareal - resultat'!$B$6:$B$19)*(INDEX('Landbrugsareal - resultat'!$I$6:$K$19,,MATCH(E66,'Landbrugsareal - resultat'!$I$5:$K$5,0)))))),IF(C66=2019,SUMPRODUCT((B66='Landbrugsareal - resultat'!$B$6:$B$19)*(INDEX('Landbrugsareal - resultat'!$L$6:$N$19,,MATCH(E66,'Landbrugsareal - resultat'!$L$5:$N$5,0)))),IF(C66=2030,SUMPRODUCT((B66='Landbrugsareal - resultat'!$B$6:$B$19)*(INDEX('Landbrugsareal - resultat'!$O$6:$Q$19,,MATCH(E66,'Landbrugsareal - resultat'!$O$5:$Q$5,0)))),SUMPRODUCT((B66='Landbrugsareal - resultat'!$B$6:$B$19)*(INDEX('Landbrugsareal - resultat'!$R$6:$T$19,,MATCH(E66,'Landbrugsareal - resultat'!$R$5:$T$5,0))))))),IF(D66="Konventionel",IF(C66=2019,SUMPRODUCT((B66='Landbrugsareal - resultat'!$B$33:$B$46)*(INDEX('Landbrugsareal - resultat'!$C$33:$E$46,,MATCH(E66,'Landbrugsareal - resultat'!$C$5:$E$5,0)))),IF(C66=2030,SUMPRODUCT((B66='Landbrugsareal - resultat'!$B$33:$B$46)*(INDEX('Landbrugsareal - resultat'!$F$33:$H$46,,MATCH(E66,'Landbrugsareal - resultat'!$F$5:$H$5,0)))),SUMPRODUCT((B66='Landbrugsareal - resultat'!$B$33:$B$46)*(INDEX('Landbrugsareal - resultat'!$I$33:$K$46,,MATCH(E66,'Landbrugsareal - resultat'!$I$5:$K$5,0)))))),IF(C66=2019,SUMPRODUCT((B66='Landbrugsareal - resultat'!$B$33:$B$46)*(INDEX('Landbrugsareal - resultat'!$L$33:$N$46,,MATCH(E66,'Landbrugsareal - resultat'!$L$5:$N$5,0)))),IF(C66=2030,SUMPRODUCT((B66='Landbrugsareal - resultat'!$B$33:$B$46)*(INDEX('Landbrugsareal - resultat'!$O$33:$Q$46,,MATCH(E66,'Landbrugsareal - resultat'!$O$5:$Q$5,0)))),SUMPRODUCT((B66='Landbrugsareal - resultat'!$B$33:$B$46)*(INDEX('Landbrugsareal - resultat'!$R$33:$T$46,,MATCH(E66,'Landbrugsareal - resultat'!$R$5:$T$5,0))))))))</f>
        <v>404.88533087304182</v>
      </c>
      <c r="H66" s="168">
        <f>G66*VLOOKUP(B66,[1]Afgrødedata!$A$5:$F$18,2,FALSE)*IF(D66="Økologisk",VLOOKUP(B66,[1]Afgrødedata!$A$5:$F$18,4,FALSE),1)*IF(E66&lt;&gt;Jordbund1,IF(E66=Organ6,VLOOKUP(B66,[1]Afgrødedata!$A$5:$F$18,5,FALSE),VLOOKUP(B66,[1]Afgrødedata!$A$5:$F$18,6,FALSE)),1)*0.1</f>
        <v>1959.3615816939114</v>
      </c>
      <c r="I66" s="168">
        <f>G66*VLOOKUP(B66,[1]Afgrødedata!$A$5:$F$18,3,FALSE)*IF(D66="Økologisk",VLOOKUP(B66,[1]Afgrødedata!$A$5:$F$18,4,FALSE),1)*IF(E66&lt;&gt;Jordbund1,IF(E66=Organ6,VLOOKUP(B66,[1]Afgrødedata!$A$5:$F$18,5,FALSE),VLOOKUP(B66,[1]Afgrødedata!$A$5:$F$18,6,FALSE)),1)*HLOOKUP(C66,Landbrug!$C$15:$E$17,2,FALSE)*HLOOKUP(C66,Landbrug!$C$15:$E$17,3,FALSE)*0.1</f>
        <v>0</v>
      </c>
      <c r="J66" s="76">
        <f t="shared" si="2"/>
        <v>1959.3615816939114</v>
      </c>
    </row>
    <row r="67" spans="1:10" x14ac:dyDescent="0.25">
      <c r="A67" t="s">
        <v>23</v>
      </c>
      <c r="B67" s="1" t="str">
        <f>[1]Afgrødefordeling!$C$11</f>
        <v>Øvrige</v>
      </c>
      <c r="C67">
        <v>2030</v>
      </c>
      <c r="D67" t="s">
        <v>8</v>
      </c>
      <c r="E67" s="168" t="str">
        <f t="shared" si="11"/>
        <v>JB1-10</v>
      </c>
      <c r="F67" t="str">
        <f t="shared" si="1"/>
        <v>Øvrige</v>
      </c>
      <c r="G67" s="76" cm="1">
        <f t="array" ref="G67">IF(A67="Vestdanmark",IF(D67="Konventionel",IF(C67=2019,SUMPRODUCT((B67='Landbrugsareal - resultat'!$B$6:$B$19)*(INDEX('Landbrugsareal - resultat'!$C$6:$E$19,,MATCH(E67,'Landbrugsareal - resultat'!$C$5:$E$5,0)))),IF(C67=2030,SUMPRODUCT((B67='Landbrugsareal - resultat'!$B$6:$B$19)*(INDEX('Landbrugsareal - resultat'!$F$6:$H$19,,MATCH(E67,'Landbrugsareal - resultat'!$F$5:$H$5,0)))),SUMPRODUCT((B67='Landbrugsareal - resultat'!$B$6:$B$19)*(INDEX('Landbrugsareal - resultat'!$I$6:$K$19,,MATCH(E67,'Landbrugsareal - resultat'!$I$5:$K$5,0)))))),IF(C67=2019,SUMPRODUCT((B67='Landbrugsareal - resultat'!$B$6:$B$19)*(INDEX('Landbrugsareal - resultat'!$L$6:$N$19,,MATCH(E67,'Landbrugsareal - resultat'!$L$5:$N$5,0)))),IF(C67=2030,SUMPRODUCT((B67='Landbrugsareal - resultat'!$B$6:$B$19)*(INDEX('Landbrugsareal - resultat'!$O$6:$Q$19,,MATCH(E67,'Landbrugsareal - resultat'!$O$5:$Q$5,0)))),SUMPRODUCT((B67='Landbrugsareal - resultat'!$B$6:$B$19)*(INDEX('Landbrugsareal - resultat'!$R$6:$T$19,,MATCH(E67,'Landbrugsareal - resultat'!$R$5:$T$5,0))))))),IF(D67="Konventionel",IF(C67=2019,SUMPRODUCT((B67='Landbrugsareal - resultat'!$B$33:$B$46)*(INDEX('Landbrugsareal - resultat'!$C$33:$E$46,,MATCH(E67,'Landbrugsareal - resultat'!$C$5:$E$5,0)))),IF(C67=2030,SUMPRODUCT((B67='Landbrugsareal - resultat'!$B$33:$B$46)*(INDEX('Landbrugsareal - resultat'!$F$33:$H$46,,MATCH(E67,'Landbrugsareal - resultat'!$F$5:$H$5,0)))),SUMPRODUCT((B67='Landbrugsareal - resultat'!$B$33:$B$46)*(INDEX('Landbrugsareal - resultat'!$I$33:$K$46,,MATCH(E67,'Landbrugsareal - resultat'!$I$5:$K$5,0)))))),IF(C67=2019,SUMPRODUCT((B67='Landbrugsareal - resultat'!$B$33:$B$46)*(INDEX('Landbrugsareal - resultat'!$L$33:$N$46,,MATCH(E67,'Landbrugsareal - resultat'!$L$5:$N$5,0)))),IF(C67=2030,SUMPRODUCT((B67='Landbrugsareal - resultat'!$B$33:$B$46)*(INDEX('Landbrugsareal - resultat'!$O$33:$Q$46,,MATCH(E67,'Landbrugsareal - resultat'!$O$5:$Q$5,0)))),SUMPRODUCT((B67='Landbrugsareal - resultat'!$B$33:$B$46)*(INDEX('Landbrugsareal - resultat'!$R$33:$T$46,,MATCH(E67,'Landbrugsareal - resultat'!$R$5:$T$5,0))))))))</f>
        <v>7160.7620375335891</v>
      </c>
      <c r="H67" s="168">
        <f>G67*VLOOKUP(B67,[1]Afgrødedata!$A$5:$F$18,2,FALSE)*IF(D67="Økologisk",VLOOKUP(B67,[1]Afgrødedata!$A$5:$F$18,4,FALSE),1)*IF(E67&lt;&gt;Jordbund1,IF(E67=Organ6,VLOOKUP(B67,[1]Afgrødedata!$A$5:$F$18,5,FALSE),VLOOKUP(B67,[1]Afgrødedata!$A$5:$F$18,6,FALSE)),1)*0.1</f>
        <v>121616.14685317205</v>
      </c>
      <c r="I67" s="168">
        <f>G67*VLOOKUP(B67,[1]Afgrødedata!$A$5:$F$18,3,FALSE)*IF(D67="Økologisk",VLOOKUP(B67,[1]Afgrødedata!$A$5:$F$18,4,FALSE),1)*IF(E67&lt;&gt;Jordbund1,IF(E67=Organ6,VLOOKUP(B67,[1]Afgrødedata!$A$5:$F$18,5,FALSE),VLOOKUP(B67,[1]Afgrødedata!$A$5:$F$18,6,FALSE)),1)*HLOOKUP(C67,Landbrug!$C$15:$E$17,2,FALSE)*HLOOKUP(C67,Landbrug!$C$15:$E$17,3,FALSE)*0.1</f>
        <v>0</v>
      </c>
      <c r="J67" s="76">
        <f t="shared" si="2"/>
        <v>121616.14685317205</v>
      </c>
    </row>
    <row r="68" spans="1:10" x14ac:dyDescent="0.25">
      <c r="A68" t="s">
        <v>23</v>
      </c>
      <c r="B68" s="1" t="str">
        <f>[1]Afgrødefordeling!$C$12</f>
        <v>Frø</v>
      </c>
      <c r="C68">
        <v>2030</v>
      </c>
      <c r="D68" t="s">
        <v>8</v>
      </c>
      <c r="E68" s="168" t="str">
        <f t="shared" si="11"/>
        <v>JB1-10</v>
      </c>
      <c r="F68" t="str">
        <f t="shared" si="1"/>
        <v>Halm</v>
      </c>
      <c r="G68" s="76" cm="1">
        <f t="array" ref="G68">IF(A68="Vestdanmark",IF(D68="Konventionel",IF(C68=2019,SUMPRODUCT((B68='Landbrugsareal - resultat'!$B$6:$B$19)*(INDEX('Landbrugsareal - resultat'!$C$6:$E$19,,MATCH(E68,'Landbrugsareal - resultat'!$C$5:$E$5,0)))),IF(C68=2030,SUMPRODUCT((B68='Landbrugsareal - resultat'!$B$6:$B$19)*(INDEX('Landbrugsareal - resultat'!$F$6:$H$19,,MATCH(E68,'Landbrugsareal - resultat'!$F$5:$H$5,0)))),SUMPRODUCT((B68='Landbrugsareal - resultat'!$B$6:$B$19)*(INDEX('Landbrugsareal - resultat'!$I$6:$K$19,,MATCH(E68,'Landbrugsareal - resultat'!$I$5:$K$5,0)))))),IF(C68=2019,SUMPRODUCT((B68='Landbrugsareal - resultat'!$B$6:$B$19)*(INDEX('Landbrugsareal - resultat'!$L$6:$N$19,,MATCH(E68,'Landbrugsareal - resultat'!$L$5:$N$5,0)))),IF(C68=2030,SUMPRODUCT((B68='Landbrugsareal - resultat'!$B$6:$B$19)*(INDEX('Landbrugsareal - resultat'!$O$6:$Q$19,,MATCH(E68,'Landbrugsareal - resultat'!$O$5:$Q$5,0)))),SUMPRODUCT((B68='Landbrugsareal - resultat'!$B$6:$B$19)*(INDEX('Landbrugsareal - resultat'!$R$6:$T$19,,MATCH(E68,'Landbrugsareal - resultat'!$R$5:$T$5,0))))))),IF(D68="Konventionel",IF(C68=2019,SUMPRODUCT((B68='Landbrugsareal - resultat'!$B$33:$B$46)*(INDEX('Landbrugsareal - resultat'!$C$33:$E$46,,MATCH(E68,'Landbrugsareal - resultat'!$C$5:$E$5,0)))),IF(C68=2030,SUMPRODUCT((B68='Landbrugsareal - resultat'!$B$33:$B$46)*(INDEX('Landbrugsareal - resultat'!$F$33:$H$46,,MATCH(E68,'Landbrugsareal - resultat'!$F$5:$H$5,0)))),SUMPRODUCT((B68='Landbrugsareal - resultat'!$B$33:$B$46)*(INDEX('Landbrugsareal - resultat'!$I$33:$K$46,,MATCH(E68,'Landbrugsareal - resultat'!$I$5:$K$5,0)))))),IF(C68=2019,SUMPRODUCT((B68='Landbrugsareal - resultat'!$B$33:$B$46)*(INDEX('Landbrugsareal - resultat'!$L$33:$N$46,,MATCH(E68,'Landbrugsareal - resultat'!$L$5:$N$5,0)))),IF(C68=2030,SUMPRODUCT((B68='Landbrugsareal - resultat'!$B$33:$B$46)*(INDEX('Landbrugsareal - resultat'!$O$33:$Q$46,,MATCH(E68,'Landbrugsareal - resultat'!$O$5:$Q$5,0)))),SUMPRODUCT((B68='Landbrugsareal - resultat'!$B$33:$B$46)*(INDEX('Landbrugsareal - resultat'!$R$33:$T$46,,MATCH(E68,'Landbrugsareal - resultat'!$R$5:$T$5,0))))))))</f>
        <v>7532.4918912507173</v>
      </c>
      <c r="H68" s="168">
        <f>G68*VLOOKUP(B68,[1]Afgrødedata!$A$5:$F$18,2,FALSE)*IF(D68="Økologisk",VLOOKUP(B68,[1]Afgrødedata!$A$5:$F$18,4,FALSE),1)*IF(E68&lt;&gt;Jordbund1,IF(E68=Organ6,VLOOKUP(B68,[1]Afgrødedata!$A$5:$F$18,5,FALSE),VLOOKUP(B68,[1]Afgrødedata!$A$5:$F$18,6,FALSE)),1)*0.1</f>
        <v>61349.51484947509</v>
      </c>
      <c r="I68" s="168">
        <f>G68*VLOOKUP(B68,[1]Afgrødedata!$A$5:$F$18,3,FALSE)*IF(D68="Økologisk",VLOOKUP(B68,[1]Afgrødedata!$A$5:$F$18,4,FALSE),1)*IF(E68&lt;&gt;Jordbund1,IF(E68=Organ6,VLOOKUP(B68,[1]Afgrødedata!$A$5:$F$18,5,FALSE),VLOOKUP(B68,[1]Afgrødedata!$A$5:$F$18,6,FALSE)),1)*HLOOKUP(C68,Landbrug!$C$15:$E$17,2,FALSE)*HLOOKUP(C68,Landbrug!$C$15:$E$17,3,FALSE)*0.1</f>
        <v>10132.708092110464</v>
      </c>
      <c r="J68" s="76">
        <f t="shared" si="2"/>
        <v>10132.708092110464</v>
      </c>
    </row>
    <row r="69" spans="1:10" x14ac:dyDescent="0.25">
      <c r="A69" t="s">
        <v>23</v>
      </c>
      <c r="B69" s="1" t="str">
        <f>[1]Afgrødefordeling!$C$13</f>
        <v>Juletræer</v>
      </c>
      <c r="C69">
        <v>2030</v>
      </c>
      <c r="D69" t="s">
        <v>8</v>
      </c>
      <c r="E69" s="168" t="str">
        <f t="shared" si="11"/>
        <v>JB1-10</v>
      </c>
      <c r="F69" t="str">
        <f t="shared" si="1"/>
        <v>Juletræer</v>
      </c>
      <c r="G69" s="76" cm="1">
        <f t="array" ref="G69">IF(A69="Vestdanmark",IF(D69="Konventionel",IF(C69=2019,SUMPRODUCT((B69='Landbrugsareal - resultat'!$B$6:$B$19)*(INDEX('Landbrugsareal - resultat'!$C$6:$E$19,,MATCH(E69,'Landbrugsareal - resultat'!$C$5:$E$5,0)))),IF(C69=2030,SUMPRODUCT((B69='Landbrugsareal - resultat'!$B$6:$B$19)*(INDEX('Landbrugsareal - resultat'!$F$6:$H$19,,MATCH(E69,'Landbrugsareal - resultat'!$F$5:$H$5,0)))),SUMPRODUCT((B69='Landbrugsareal - resultat'!$B$6:$B$19)*(INDEX('Landbrugsareal - resultat'!$I$6:$K$19,,MATCH(E69,'Landbrugsareal - resultat'!$I$5:$K$5,0)))))),IF(C69=2019,SUMPRODUCT((B69='Landbrugsareal - resultat'!$B$6:$B$19)*(INDEX('Landbrugsareal - resultat'!$L$6:$N$19,,MATCH(E69,'Landbrugsareal - resultat'!$L$5:$N$5,0)))),IF(C69=2030,SUMPRODUCT((B69='Landbrugsareal - resultat'!$B$6:$B$19)*(INDEX('Landbrugsareal - resultat'!$O$6:$Q$19,,MATCH(E69,'Landbrugsareal - resultat'!$O$5:$Q$5,0)))),SUMPRODUCT((B69='Landbrugsareal - resultat'!$B$6:$B$19)*(INDEX('Landbrugsareal - resultat'!$R$6:$T$19,,MATCH(E69,'Landbrugsareal - resultat'!$R$5:$T$5,0))))))),IF(D69="Konventionel",IF(C69=2019,SUMPRODUCT((B69='Landbrugsareal - resultat'!$B$33:$B$46)*(INDEX('Landbrugsareal - resultat'!$C$33:$E$46,,MATCH(E69,'Landbrugsareal - resultat'!$C$5:$E$5,0)))),IF(C69=2030,SUMPRODUCT((B69='Landbrugsareal - resultat'!$B$33:$B$46)*(INDEX('Landbrugsareal - resultat'!$F$33:$H$46,,MATCH(E69,'Landbrugsareal - resultat'!$F$5:$H$5,0)))),SUMPRODUCT((B69='Landbrugsareal - resultat'!$B$33:$B$46)*(INDEX('Landbrugsareal - resultat'!$I$33:$K$46,,MATCH(E69,'Landbrugsareal - resultat'!$I$5:$K$5,0)))))),IF(C69=2019,SUMPRODUCT((B69='Landbrugsareal - resultat'!$B$33:$B$46)*(INDEX('Landbrugsareal - resultat'!$L$33:$N$46,,MATCH(E69,'Landbrugsareal - resultat'!$L$5:$N$5,0)))),IF(C69=2030,SUMPRODUCT((B69='Landbrugsareal - resultat'!$B$33:$B$46)*(INDEX('Landbrugsareal - resultat'!$O$33:$Q$46,,MATCH(E69,'Landbrugsareal - resultat'!$O$5:$Q$5,0)))),SUMPRODUCT((B69='Landbrugsareal - resultat'!$B$33:$B$46)*(INDEX('Landbrugsareal - resultat'!$R$33:$T$46,,MATCH(E69,'Landbrugsareal - resultat'!$R$5:$T$5,0))))))))</f>
        <v>2030.7202087311116</v>
      </c>
      <c r="H69" s="168">
        <f>G69*VLOOKUP(B69,[1]Afgrødedata!$A$5:$F$18,2,FALSE)*IF(D69="Økologisk",VLOOKUP(B69,[1]Afgrødedata!$A$5:$F$18,4,FALSE),1)*IF(E69&lt;&gt;Jordbund1,IF(E69=Organ6,VLOOKUP(B69,[1]Afgrødedata!$A$5:$F$18,5,FALSE),VLOOKUP(B69,[1]Afgrødedata!$A$5:$F$18,6,FALSE)),1)*0.1</f>
        <v>57875.525948836679</v>
      </c>
      <c r="I69" s="168">
        <f>G69*VLOOKUP(B69,[1]Afgrødedata!$A$5:$F$18,3,FALSE)*IF(D69="Økologisk",VLOOKUP(B69,[1]Afgrødedata!$A$5:$F$18,4,FALSE),1)*IF(E69&lt;&gt;Jordbund1,IF(E69=Organ6,VLOOKUP(B69,[1]Afgrødedata!$A$5:$F$18,5,FALSE),VLOOKUP(B69,[1]Afgrødedata!$A$5:$F$18,6,FALSE)),1)*HLOOKUP(C69,Landbrug!$C$15:$E$17,2,FALSE)*HLOOKUP(C69,Landbrug!$C$15:$E$17,3,FALSE)*0.1</f>
        <v>0</v>
      </c>
      <c r="J69" s="76">
        <f t="shared" si="2"/>
        <v>57875.525948836679</v>
      </c>
    </row>
    <row r="70" spans="1:10" x14ac:dyDescent="0.25">
      <c r="A70" t="s">
        <v>23</v>
      </c>
      <c r="B70" s="1" t="str">
        <f>[1]Afgrødefordeling!$C$14</f>
        <v>Pil &amp; poppel</v>
      </c>
      <c r="C70">
        <v>2030</v>
      </c>
      <c r="D70" t="s">
        <v>8</v>
      </c>
      <c r="E70" s="168" t="str">
        <f t="shared" si="11"/>
        <v>JB1-10</v>
      </c>
      <c r="F70" t="str">
        <f t="shared" ref="F70" si="12">IF(I70&lt;&gt;0,"Halm",IF(B70&lt;&gt;"Permanent græs",B70,"Græs"))</f>
        <v>Pil &amp; poppel</v>
      </c>
      <c r="G70" s="76" cm="1">
        <f t="array" ref="G70">IF(A70="Vestdanmark",IF(D70="Konventionel",IF(C70=2019,SUMPRODUCT((B70='Landbrugsareal - resultat'!$B$6:$B$19)*(INDEX('Landbrugsareal - resultat'!$C$6:$E$19,,MATCH(E70,'Landbrugsareal - resultat'!$C$5:$E$5,0)))),IF(C70=2030,SUMPRODUCT((B70='Landbrugsareal - resultat'!$B$6:$B$19)*(INDEX('Landbrugsareal - resultat'!$F$6:$H$19,,MATCH(E70,'Landbrugsareal - resultat'!$F$5:$H$5,0)))),SUMPRODUCT((B70='Landbrugsareal - resultat'!$B$6:$B$19)*(INDEX('Landbrugsareal - resultat'!$I$6:$K$19,,MATCH(E70,'Landbrugsareal - resultat'!$I$5:$K$5,0)))))),IF(C70=2019,SUMPRODUCT((B70='Landbrugsareal - resultat'!$B$6:$B$19)*(INDEX('Landbrugsareal - resultat'!$L$6:$N$19,,MATCH(E70,'Landbrugsareal - resultat'!$L$5:$N$5,0)))),IF(C70=2030,SUMPRODUCT((B70='Landbrugsareal - resultat'!$B$6:$B$19)*(INDEX('Landbrugsareal - resultat'!$O$6:$Q$19,,MATCH(E70,'Landbrugsareal - resultat'!$O$5:$Q$5,0)))),SUMPRODUCT((B70='Landbrugsareal - resultat'!$B$6:$B$19)*(INDEX('Landbrugsareal - resultat'!$R$6:$T$19,,MATCH(E70,'Landbrugsareal - resultat'!$R$5:$T$5,0))))))),IF(D70="Konventionel",IF(C70=2019,SUMPRODUCT((B70='Landbrugsareal - resultat'!$B$33:$B$46)*(INDEX('Landbrugsareal - resultat'!$C$33:$E$46,,MATCH(E70,'Landbrugsareal - resultat'!$C$5:$E$5,0)))),IF(C70=2030,SUMPRODUCT((B70='Landbrugsareal - resultat'!$B$33:$B$46)*(INDEX('Landbrugsareal - resultat'!$F$33:$H$46,,MATCH(E70,'Landbrugsareal - resultat'!$F$5:$H$5,0)))),SUMPRODUCT((B70='Landbrugsareal - resultat'!$B$33:$B$46)*(INDEX('Landbrugsareal - resultat'!$I$33:$K$46,,MATCH(E70,'Landbrugsareal - resultat'!$I$5:$K$5,0)))))),IF(C70=2019,SUMPRODUCT((B70='Landbrugsareal - resultat'!$B$33:$B$46)*(INDEX('Landbrugsareal - resultat'!$L$33:$N$46,,MATCH(E70,'Landbrugsareal - resultat'!$L$5:$N$5,0)))),IF(C70=2030,SUMPRODUCT((B70='Landbrugsareal - resultat'!$B$33:$B$46)*(INDEX('Landbrugsareal - resultat'!$O$33:$Q$46,,MATCH(E70,'Landbrugsareal - resultat'!$O$5:$Q$5,0)))),SUMPRODUCT((B70='Landbrugsareal - resultat'!$B$33:$B$46)*(INDEX('Landbrugsareal - resultat'!$R$33:$T$46,,MATCH(E70,'Landbrugsareal - resultat'!$R$5:$T$5,0))))))))</f>
        <v>746.96404817114581</v>
      </c>
      <c r="H70" s="168">
        <f>G70*VLOOKUP(B70,[1]Afgrødedata!$A$5:$F$18,2,FALSE)*IF(D70="Økologisk",VLOOKUP(B70,[1]Afgrødedata!$A$5:$F$18,4,FALSE),1)*IF(E70&lt;&gt;Jordbund1,IF(E70=Organ6,VLOOKUP(B70,[1]Afgrødedata!$A$5:$F$18,5,FALSE),VLOOKUP(B70,[1]Afgrødedata!$A$5:$F$18,6,FALSE)),1)*0.1</f>
        <v>10384.62213311105</v>
      </c>
      <c r="I70" s="168">
        <f>G70*VLOOKUP(B70,[1]Afgrødedata!$A$5:$F$18,3,FALSE)*IF(D70="Økologisk",VLOOKUP(B70,[1]Afgrødedata!$A$5:$F$18,4,FALSE),1)*IF(E70&lt;&gt;Jordbund1,IF(E70=Organ6,VLOOKUP(B70,[1]Afgrødedata!$A$5:$F$18,5,FALSE),VLOOKUP(B70,[1]Afgrødedata!$A$5:$F$18,6,FALSE)),1)*HLOOKUP(C70,Landbrug!$C$15:$E$17,2,FALSE)*HLOOKUP(C70,Landbrug!$C$15:$E$17,3,FALSE)*0.1</f>
        <v>0</v>
      </c>
      <c r="J70" s="76">
        <f t="shared" ref="J70" si="13">IF(I70&lt;&gt;0,I70,H70)</f>
        <v>10384.62213311105</v>
      </c>
    </row>
    <row r="71" spans="1:10" x14ac:dyDescent="0.25">
      <c r="A71" t="s">
        <v>23</v>
      </c>
      <c r="B71" s="1" t="str">
        <f>[1]Afgrødefordeling!$C$15</f>
        <v>Permanent græs</v>
      </c>
      <c r="C71">
        <v>2030</v>
      </c>
      <c r="D71" t="s">
        <v>8</v>
      </c>
      <c r="E71" s="168" t="str">
        <f t="shared" si="11"/>
        <v>JB1-10</v>
      </c>
      <c r="F71" t="str">
        <f t="shared" si="1"/>
        <v>Græs</v>
      </c>
      <c r="G71" s="76" cm="1">
        <f t="array" ref="G71">IF(A71="Vestdanmark",IF(D71="Konventionel",IF(C71=2019,SUMPRODUCT((B71='Landbrugsareal - resultat'!$B$6:$B$19)*(INDEX('Landbrugsareal - resultat'!$C$6:$E$19,,MATCH(E71,'Landbrugsareal - resultat'!$C$5:$E$5,0)))),IF(C71=2030,SUMPRODUCT((B71='Landbrugsareal - resultat'!$B$6:$B$19)*(INDEX('Landbrugsareal - resultat'!$F$6:$H$19,,MATCH(E71,'Landbrugsareal - resultat'!$F$5:$H$5,0)))),SUMPRODUCT((B71='Landbrugsareal - resultat'!$B$6:$B$19)*(INDEX('Landbrugsareal - resultat'!$I$6:$K$19,,MATCH(E71,'Landbrugsareal - resultat'!$I$5:$K$5,0)))))),IF(C71=2019,SUMPRODUCT((B71='Landbrugsareal - resultat'!$B$6:$B$19)*(INDEX('Landbrugsareal - resultat'!$L$6:$N$19,,MATCH(E71,'Landbrugsareal - resultat'!$L$5:$N$5,0)))),IF(C71=2030,SUMPRODUCT((B71='Landbrugsareal - resultat'!$B$6:$B$19)*(INDEX('Landbrugsareal - resultat'!$O$6:$Q$19,,MATCH(E71,'Landbrugsareal - resultat'!$O$5:$Q$5,0)))),SUMPRODUCT((B71='Landbrugsareal - resultat'!$B$6:$B$19)*(INDEX('Landbrugsareal - resultat'!$R$6:$T$19,,MATCH(E71,'Landbrugsareal - resultat'!$R$5:$T$5,0))))))),IF(D71="Konventionel",IF(C71=2019,SUMPRODUCT((B71='Landbrugsareal - resultat'!$B$33:$B$46)*(INDEX('Landbrugsareal - resultat'!$C$33:$E$46,,MATCH(E71,'Landbrugsareal - resultat'!$C$5:$E$5,0)))),IF(C71=2030,SUMPRODUCT((B71='Landbrugsareal - resultat'!$B$33:$B$46)*(INDEX('Landbrugsareal - resultat'!$F$33:$H$46,,MATCH(E71,'Landbrugsareal - resultat'!$F$5:$H$5,0)))),SUMPRODUCT((B71='Landbrugsareal - resultat'!$B$33:$B$46)*(INDEX('Landbrugsareal - resultat'!$I$33:$K$46,,MATCH(E71,'Landbrugsareal - resultat'!$I$5:$K$5,0)))))),IF(C71=2019,SUMPRODUCT((B71='Landbrugsareal - resultat'!$B$33:$B$46)*(INDEX('Landbrugsareal - resultat'!$L$33:$N$46,,MATCH(E71,'Landbrugsareal - resultat'!$L$5:$N$5,0)))),IF(C71=2030,SUMPRODUCT((B71='Landbrugsareal - resultat'!$B$33:$B$46)*(INDEX('Landbrugsareal - resultat'!$O$33:$Q$46,,MATCH(E71,'Landbrugsareal - resultat'!$O$5:$Q$5,0)))),SUMPRODUCT((B71='Landbrugsareal - resultat'!$B$33:$B$46)*(INDEX('Landbrugsareal - resultat'!$R$33:$T$46,,MATCH(E71,'Landbrugsareal - resultat'!$R$5:$T$5,0))))))))</f>
        <v>18004.47175079149</v>
      </c>
      <c r="H71" s="168">
        <f>G71*VLOOKUP(B71,[1]Afgrødedata!$A$5:$F$18,2,FALSE)*IF(D71="Økologisk",VLOOKUP(B71,[1]Afgrødedata!$A$5:$F$18,4,FALSE),1)*IF(E71&lt;&gt;Jordbund1,IF(E71=Organ6,VLOOKUP(B71,[1]Afgrødedata!$A$5:$F$18,5,FALSE),VLOOKUP(B71,[1]Afgrødedata!$A$5:$F$18,6,FALSE)),1)*0.1</f>
        <v>248281.66544341471</v>
      </c>
      <c r="I71" s="168">
        <f>G71*VLOOKUP(B71,[1]Afgrødedata!$A$5:$F$18,3,FALSE)*IF(D71="Økologisk",VLOOKUP(B71,[1]Afgrødedata!$A$5:$F$18,4,FALSE),1)*IF(E71&lt;&gt;Jordbund1,IF(E71=Organ6,VLOOKUP(B71,[1]Afgrødedata!$A$5:$F$18,5,FALSE),VLOOKUP(B71,[1]Afgrødedata!$A$5:$F$18,6,FALSE)),1)*HLOOKUP(C71,Landbrug!$C$15:$E$17,2,FALSE)*HLOOKUP(C71,Landbrug!$C$15:$E$17,3,FALSE)*0.1</f>
        <v>0</v>
      </c>
      <c r="J71" s="76">
        <f t="shared" si="2"/>
        <v>248281.66544341471</v>
      </c>
    </row>
    <row r="72" spans="1:10" x14ac:dyDescent="0.25">
      <c r="A72" t="s">
        <v>23</v>
      </c>
      <c r="B72" s="1" t="str">
        <f>[1]Afgrødefordeling!$C$2</f>
        <v>Korn</v>
      </c>
      <c r="C72">
        <v>2050</v>
      </c>
      <c r="D72" t="s">
        <v>8</v>
      </c>
      <c r="E72" s="168" t="str">
        <f t="shared" si="11"/>
        <v>JB1-10</v>
      </c>
      <c r="F72" t="str">
        <f t="shared" ref="F72:F139" si="14">IF(I72&lt;&gt;0,"Halm",IF(B72&lt;&gt;"Permanent græs",B72,"Græs"))</f>
        <v>Halm</v>
      </c>
      <c r="G72" s="76" cm="1">
        <f t="array" ref="G72">IF(A72="Vestdanmark",IF(D72="Konventionel",IF(C72=2019,SUMPRODUCT((B72='Landbrugsareal - resultat'!$B$6:$B$19)*(INDEX('Landbrugsareal - resultat'!$C$6:$E$19,,MATCH(E72,'Landbrugsareal - resultat'!$C$5:$E$5,0)))),IF(C72=2030,SUMPRODUCT((B72='Landbrugsareal - resultat'!$B$6:$B$19)*(INDEX('Landbrugsareal - resultat'!$F$6:$H$19,,MATCH(E72,'Landbrugsareal - resultat'!$F$5:$H$5,0)))),SUMPRODUCT((B72='Landbrugsareal - resultat'!$B$6:$B$19)*(INDEX('Landbrugsareal - resultat'!$I$6:$K$19,,MATCH(E72,'Landbrugsareal - resultat'!$I$5:$K$5,0)))))),IF(C72=2019,SUMPRODUCT((B72='Landbrugsareal - resultat'!$B$6:$B$19)*(INDEX('Landbrugsareal - resultat'!$L$6:$N$19,,MATCH(E72,'Landbrugsareal - resultat'!$L$5:$N$5,0)))),IF(C72=2030,SUMPRODUCT((B72='Landbrugsareal - resultat'!$B$6:$B$19)*(INDEX('Landbrugsareal - resultat'!$O$6:$Q$19,,MATCH(E72,'Landbrugsareal - resultat'!$O$5:$Q$5,0)))),SUMPRODUCT((B72='Landbrugsareal - resultat'!$B$6:$B$19)*(INDEX('Landbrugsareal - resultat'!$R$6:$T$19,,MATCH(E72,'Landbrugsareal - resultat'!$R$5:$T$5,0))))))),IF(D72="Konventionel",IF(C72=2019,SUMPRODUCT((B72='Landbrugsareal - resultat'!$B$33:$B$46)*(INDEX('Landbrugsareal - resultat'!$C$33:$E$46,,MATCH(E72,'Landbrugsareal - resultat'!$C$5:$E$5,0)))),IF(C72=2030,SUMPRODUCT((B72='Landbrugsareal - resultat'!$B$33:$B$46)*(INDEX('Landbrugsareal - resultat'!$F$33:$H$46,,MATCH(E72,'Landbrugsareal - resultat'!$F$5:$H$5,0)))),SUMPRODUCT((B72='Landbrugsareal - resultat'!$B$33:$B$46)*(INDEX('Landbrugsareal - resultat'!$I$33:$K$46,,MATCH(E72,'Landbrugsareal - resultat'!$I$5:$K$5,0)))))),IF(C72=2019,SUMPRODUCT((B72='Landbrugsareal - resultat'!$B$33:$B$46)*(INDEX('Landbrugsareal - resultat'!$L$33:$N$46,,MATCH(E72,'Landbrugsareal - resultat'!$L$5:$N$5,0)))),IF(C72=2030,SUMPRODUCT((B72='Landbrugsareal - resultat'!$B$33:$B$46)*(INDEX('Landbrugsareal - resultat'!$O$33:$Q$46,,MATCH(E72,'Landbrugsareal - resultat'!$O$5:$Q$5,0)))),SUMPRODUCT((B72='Landbrugsareal - resultat'!$B$33:$B$46)*(INDEX('Landbrugsareal - resultat'!$R$33:$T$46,,MATCH(E72,'Landbrugsareal - resultat'!$R$5:$T$5,0))))))))</f>
        <v>164298.16404405597</v>
      </c>
      <c r="H72" s="168">
        <f>G72*VLOOKUP(B72,[1]Afgrødedata!$A$5:$F$18,2,FALSE)*IF(D72="Økologisk",VLOOKUP(B72,[1]Afgrødedata!$A$5:$F$18,4,FALSE),1)*IF(E72&lt;&gt;Jordbund1,IF(E72=Organ6,VLOOKUP(B72,[1]Afgrødedata!$A$5:$F$18,5,FALSE),VLOOKUP(B72,[1]Afgrødedata!$A$5:$F$18,6,FALSE)),1)*0.1</f>
        <v>771659.18706571776</v>
      </c>
      <c r="I72" s="168">
        <f>G72*VLOOKUP(B72,[1]Afgrødedata!$A$5:$F$18,3,FALSE)*IF(D72="Økologisk",VLOOKUP(B72,[1]Afgrødedata!$A$5:$F$18,4,FALSE),1)*IF(E72&lt;&gt;Jordbund1,IF(E72=Organ6,VLOOKUP(B72,[1]Afgrødedata!$A$5:$F$18,5,FALSE),VLOOKUP(B72,[1]Afgrødedata!$A$5:$F$18,6,FALSE)),1)*HLOOKUP(C72,Landbrug!$C$15:$E$17,2,FALSE)*HLOOKUP(C72,Landbrug!$C$15:$E$17,3,FALSE)*0.1</f>
        <v>250403.40620282546</v>
      </c>
      <c r="J72" s="76">
        <f t="shared" ref="J72:J139" si="15">IF(I72&lt;&gt;0,I72,H72)</f>
        <v>250403.40620282546</v>
      </c>
    </row>
    <row r="73" spans="1:10" x14ac:dyDescent="0.25">
      <c r="A73" t="s">
        <v>23</v>
      </c>
      <c r="B73" s="1" t="str">
        <f>[1]Afgrødefordeling!$C$3</f>
        <v>Bælgsæd</v>
      </c>
      <c r="C73">
        <v>2050</v>
      </c>
      <c r="D73" t="s">
        <v>8</v>
      </c>
      <c r="E73" s="168" t="str">
        <f t="shared" si="11"/>
        <v>JB1-10</v>
      </c>
      <c r="F73" t="str">
        <f t="shared" si="14"/>
        <v>Halm</v>
      </c>
      <c r="G73" s="76" cm="1">
        <f t="array" ref="G73">IF(A73="Vestdanmark",IF(D73="Konventionel",IF(C73=2019,SUMPRODUCT((B73='Landbrugsareal - resultat'!$B$6:$B$19)*(INDEX('Landbrugsareal - resultat'!$C$6:$E$19,,MATCH(E73,'Landbrugsareal - resultat'!$C$5:$E$5,0)))),IF(C73=2030,SUMPRODUCT((B73='Landbrugsareal - resultat'!$B$6:$B$19)*(INDEX('Landbrugsareal - resultat'!$F$6:$H$19,,MATCH(E73,'Landbrugsareal - resultat'!$F$5:$H$5,0)))),SUMPRODUCT((B73='Landbrugsareal - resultat'!$B$6:$B$19)*(INDEX('Landbrugsareal - resultat'!$I$6:$K$19,,MATCH(E73,'Landbrugsareal - resultat'!$I$5:$K$5,0)))))),IF(C73=2019,SUMPRODUCT((B73='Landbrugsareal - resultat'!$B$6:$B$19)*(INDEX('Landbrugsareal - resultat'!$L$6:$N$19,,MATCH(E73,'Landbrugsareal - resultat'!$L$5:$N$5,0)))),IF(C73=2030,SUMPRODUCT((B73='Landbrugsareal - resultat'!$B$6:$B$19)*(INDEX('Landbrugsareal - resultat'!$O$6:$Q$19,,MATCH(E73,'Landbrugsareal - resultat'!$O$5:$Q$5,0)))),SUMPRODUCT((B73='Landbrugsareal - resultat'!$B$6:$B$19)*(INDEX('Landbrugsareal - resultat'!$R$6:$T$19,,MATCH(E73,'Landbrugsareal - resultat'!$R$5:$T$5,0))))))),IF(D73="Konventionel",IF(C73=2019,SUMPRODUCT((B73='Landbrugsareal - resultat'!$B$33:$B$46)*(INDEX('Landbrugsareal - resultat'!$C$33:$E$46,,MATCH(E73,'Landbrugsareal - resultat'!$C$5:$E$5,0)))),IF(C73=2030,SUMPRODUCT((B73='Landbrugsareal - resultat'!$B$33:$B$46)*(INDEX('Landbrugsareal - resultat'!$F$33:$H$46,,MATCH(E73,'Landbrugsareal - resultat'!$F$5:$H$5,0)))),SUMPRODUCT((B73='Landbrugsareal - resultat'!$B$33:$B$46)*(INDEX('Landbrugsareal - resultat'!$I$33:$K$46,,MATCH(E73,'Landbrugsareal - resultat'!$I$5:$K$5,0)))))),IF(C73=2019,SUMPRODUCT((B73='Landbrugsareal - resultat'!$B$33:$B$46)*(INDEX('Landbrugsareal - resultat'!$L$33:$N$46,,MATCH(E73,'Landbrugsareal - resultat'!$L$5:$N$5,0)))),IF(C73=2030,SUMPRODUCT((B73='Landbrugsareal - resultat'!$B$33:$B$46)*(INDEX('Landbrugsareal - resultat'!$O$33:$Q$46,,MATCH(E73,'Landbrugsareal - resultat'!$O$5:$Q$5,0)))),SUMPRODUCT((B73='Landbrugsareal - resultat'!$B$33:$B$46)*(INDEX('Landbrugsareal - resultat'!$R$33:$T$46,,MATCH(E73,'Landbrugsareal - resultat'!$R$5:$T$5,0))))))))</f>
        <v>11351.609114329452</v>
      </c>
      <c r="H73" s="168">
        <f>G73*VLOOKUP(B73,[1]Afgrødedata!$A$5:$F$18,2,FALSE)*IF(D73="Økologisk",VLOOKUP(B73,[1]Afgrødedata!$A$5:$F$18,4,FALSE),1)*IF(E73&lt;&gt;Jordbund1,IF(E73=Organ6,VLOOKUP(B73,[1]Afgrødedata!$A$5:$F$18,5,FALSE),VLOOKUP(B73,[1]Afgrødedata!$A$5:$F$18,6,FALSE)),1)*0.1</f>
        <v>24975.81037334766</v>
      </c>
      <c r="I73" s="168">
        <f>G73*VLOOKUP(B73,[1]Afgrødedata!$A$5:$F$18,3,FALSE)*IF(D73="Økologisk",VLOOKUP(B73,[1]Afgrødedata!$A$5:$F$18,4,FALSE),1)*IF(E73&lt;&gt;Jordbund1,IF(E73=Organ6,VLOOKUP(B73,[1]Afgrødedata!$A$5:$F$18,5,FALSE),VLOOKUP(B73,[1]Afgrødedata!$A$5:$F$18,6,FALSE)),1)*HLOOKUP(C73,Landbrug!$C$15:$E$17,2,FALSE)*HLOOKUP(C73,Landbrug!$C$15:$E$17,3,FALSE)*0.1</f>
        <v>7371.6816062827093</v>
      </c>
      <c r="J73" s="76">
        <f t="shared" si="15"/>
        <v>7371.6816062827093</v>
      </c>
    </row>
    <row r="74" spans="1:10" x14ac:dyDescent="0.25">
      <c r="A74" t="s">
        <v>23</v>
      </c>
      <c r="B74" s="1" t="str">
        <f>[1]Afgrødefordeling!$C$4</f>
        <v>Raps</v>
      </c>
      <c r="C74">
        <v>2050</v>
      </c>
      <c r="D74" t="s">
        <v>8</v>
      </c>
      <c r="E74" s="168" t="str">
        <f t="shared" si="11"/>
        <v>JB1-10</v>
      </c>
      <c r="F74" t="str">
        <f t="shared" si="14"/>
        <v>Halm</v>
      </c>
      <c r="G74" s="76" cm="1">
        <f t="array" ref="G74">IF(A74="Vestdanmark",IF(D74="Konventionel",IF(C74=2019,SUMPRODUCT((B74='Landbrugsareal - resultat'!$B$6:$B$19)*(INDEX('Landbrugsareal - resultat'!$C$6:$E$19,,MATCH(E74,'Landbrugsareal - resultat'!$C$5:$E$5,0)))),IF(C74=2030,SUMPRODUCT((B74='Landbrugsareal - resultat'!$B$6:$B$19)*(INDEX('Landbrugsareal - resultat'!$F$6:$H$19,,MATCH(E74,'Landbrugsareal - resultat'!$F$5:$H$5,0)))),SUMPRODUCT((B74='Landbrugsareal - resultat'!$B$6:$B$19)*(INDEX('Landbrugsareal - resultat'!$I$6:$K$19,,MATCH(E74,'Landbrugsareal - resultat'!$I$5:$K$5,0)))))),IF(C74=2019,SUMPRODUCT((B74='Landbrugsareal - resultat'!$B$6:$B$19)*(INDEX('Landbrugsareal - resultat'!$L$6:$N$19,,MATCH(E74,'Landbrugsareal - resultat'!$L$5:$N$5,0)))),IF(C74=2030,SUMPRODUCT((B74='Landbrugsareal - resultat'!$B$6:$B$19)*(INDEX('Landbrugsareal - resultat'!$O$6:$Q$19,,MATCH(E74,'Landbrugsareal - resultat'!$O$5:$Q$5,0)))),SUMPRODUCT((B74='Landbrugsareal - resultat'!$B$6:$B$19)*(INDEX('Landbrugsareal - resultat'!$R$6:$T$19,,MATCH(E74,'Landbrugsareal - resultat'!$R$5:$T$5,0))))))),IF(D74="Konventionel",IF(C74=2019,SUMPRODUCT((B74='Landbrugsareal - resultat'!$B$33:$B$46)*(INDEX('Landbrugsareal - resultat'!$C$33:$E$46,,MATCH(E74,'Landbrugsareal - resultat'!$C$5:$E$5,0)))),IF(C74=2030,SUMPRODUCT((B74='Landbrugsareal - resultat'!$B$33:$B$46)*(INDEX('Landbrugsareal - resultat'!$F$33:$H$46,,MATCH(E74,'Landbrugsareal - resultat'!$F$5:$H$5,0)))),SUMPRODUCT((B74='Landbrugsareal - resultat'!$B$33:$B$46)*(INDEX('Landbrugsareal - resultat'!$I$33:$K$46,,MATCH(E74,'Landbrugsareal - resultat'!$I$5:$K$5,0)))))),IF(C74=2019,SUMPRODUCT((B74='Landbrugsareal - resultat'!$B$33:$B$46)*(INDEX('Landbrugsareal - resultat'!$L$33:$N$46,,MATCH(E74,'Landbrugsareal - resultat'!$L$5:$N$5,0)))),IF(C74=2030,SUMPRODUCT((B74='Landbrugsareal - resultat'!$B$33:$B$46)*(INDEX('Landbrugsareal - resultat'!$O$33:$Q$46,,MATCH(E74,'Landbrugsareal - resultat'!$O$5:$Q$5,0)))),SUMPRODUCT((B74='Landbrugsareal - resultat'!$B$33:$B$46)*(INDEX('Landbrugsareal - resultat'!$R$33:$T$46,,MATCH(E74,'Landbrugsareal - resultat'!$R$5:$T$5,0))))))))</f>
        <v>19089.332974395165</v>
      </c>
      <c r="H74" s="168">
        <f>G74*VLOOKUP(B74,[1]Afgrødedata!$A$5:$F$18,2,FALSE)*IF(D74="Økologisk",VLOOKUP(B74,[1]Afgrødedata!$A$5:$F$18,4,FALSE),1)*IF(E74&lt;&gt;Jordbund1,IF(E74=Organ6,VLOOKUP(B74,[1]Afgrødedata!$A$5:$F$18,5,FALSE),VLOOKUP(B74,[1]Afgrødedata!$A$5:$F$18,6,FALSE)),1)*0.1</f>
        <v>46196.185798036306</v>
      </c>
      <c r="I74" s="168">
        <f>G74*VLOOKUP(B74,[1]Afgrødedata!$A$5:$F$18,3,FALSE)*IF(D74="Økologisk",VLOOKUP(B74,[1]Afgrødedata!$A$5:$F$18,4,FALSE),1)*IF(E74&lt;&gt;Jordbund1,IF(E74=Organ6,VLOOKUP(B74,[1]Afgrødedata!$A$5:$F$18,5,FALSE),VLOOKUP(B74,[1]Afgrødedata!$A$5:$F$18,6,FALSE)),1)*HLOOKUP(C74,Landbrug!$C$15:$E$17,2,FALSE)*HLOOKUP(C74,Landbrug!$C$15:$E$17,3,FALSE)*0.1</f>
        <v>24530.174658757278</v>
      </c>
      <c r="J74" s="76">
        <f t="shared" si="15"/>
        <v>24530.174658757278</v>
      </c>
    </row>
    <row r="75" spans="1:10" x14ac:dyDescent="0.25">
      <c r="A75" t="s">
        <v>23</v>
      </c>
      <c r="B75" s="1" t="str">
        <f>[1]Afgrødefordeling!$C$5</f>
        <v>Græs</v>
      </c>
      <c r="C75">
        <v>2050</v>
      </c>
      <c r="D75" t="s">
        <v>8</v>
      </c>
      <c r="E75" s="168" t="str">
        <f t="shared" si="11"/>
        <v>JB1-10</v>
      </c>
      <c r="F75" t="str">
        <f t="shared" si="14"/>
        <v>Græs</v>
      </c>
      <c r="G75" s="76" cm="1">
        <f t="array" ref="G75">IF(A75="Vestdanmark",IF(D75="Konventionel",IF(C75=2019,SUMPRODUCT((B75='Landbrugsareal - resultat'!$B$6:$B$19)*(INDEX('Landbrugsareal - resultat'!$C$6:$E$19,,MATCH(E75,'Landbrugsareal - resultat'!$C$5:$E$5,0)))),IF(C75=2030,SUMPRODUCT((B75='Landbrugsareal - resultat'!$B$6:$B$19)*(INDEX('Landbrugsareal - resultat'!$F$6:$H$19,,MATCH(E75,'Landbrugsareal - resultat'!$F$5:$H$5,0)))),SUMPRODUCT((B75='Landbrugsareal - resultat'!$B$6:$B$19)*(INDEX('Landbrugsareal - resultat'!$I$6:$K$19,,MATCH(E75,'Landbrugsareal - resultat'!$I$5:$K$5,0)))))),IF(C75=2019,SUMPRODUCT((B75='Landbrugsareal - resultat'!$B$6:$B$19)*(INDEX('Landbrugsareal - resultat'!$L$6:$N$19,,MATCH(E75,'Landbrugsareal - resultat'!$L$5:$N$5,0)))),IF(C75=2030,SUMPRODUCT((B75='Landbrugsareal - resultat'!$B$6:$B$19)*(INDEX('Landbrugsareal - resultat'!$O$6:$Q$19,,MATCH(E75,'Landbrugsareal - resultat'!$O$5:$Q$5,0)))),SUMPRODUCT((B75='Landbrugsareal - resultat'!$B$6:$B$19)*(INDEX('Landbrugsareal - resultat'!$R$6:$T$19,,MATCH(E75,'Landbrugsareal - resultat'!$R$5:$T$5,0))))))),IF(D75="Konventionel",IF(C75=2019,SUMPRODUCT((B75='Landbrugsareal - resultat'!$B$33:$B$46)*(INDEX('Landbrugsareal - resultat'!$C$33:$E$46,,MATCH(E75,'Landbrugsareal - resultat'!$C$5:$E$5,0)))),IF(C75=2030,SUMPRODUCT((B75='Landbrugsareal - resultat'!$B$33:$B$46)*(INDEX('Landbrugsareal - resultat'!$F$33:$H$46,,MATCH(E75,'Landbrugsareal - resultat'!$F$5:$H$5,0)))),SUMPRODUCT((B75='Landbrugsareal - resultat'!$B$33:$B$46)*(INDEX('Landbrugsareal - resultat'!$I$33:$K$46,,MATCH(E75,'Landbrugsareal - resultat'!$I$5:$K$5,0)))))),IF(C75=2019,SUMPRODUCT((B75='Landbrugsareal - resultat'!$B$33:$B$46)*(INDEX('Landbrugsareal - resultat'!$L$33:$N$46,,MATCH(E75,'Landbrugsareal - resultat'!$L$5:$N$5,0)))),IF(C75=2030,SUMPRODUCT((B75='Landbrugsareal - resultat'!$B$33:$B$46)*(INDEX('Landbrugsareal - resultat'!$O$33:$Q$46,,MATCH(E75,'Landbrugsareal - resultat'!$O$5:$Q$5,0)))),SUMPRODUCT((B75='Landbrugsareal - resultat'!$B$33:$B$46)*(INDEX('Landbrugsareal - resultat'!$R$33:$T$46,,MATCH(E75,'Landbrugsareal - resultat'!$R$5:$T$5,0))))))))</f>
        <v>36397.35409584135</v>
      </c>
      <c r="H75" s="168">
        <f>G75*VLOOKUP(B75,[1]Afgrødedata!$A$5:$F$18,2,FALSE)*IF(D75="Økologisk",VLOOKUP(B75,[1]Afgrødedata!$A$5:$F$18,4,FALSE),1)*IF(E75&lt;&gt;Jordbund1,IF(E75=Organ6,VLOOKUP(B75,[1]Afgrødedata!$A$5:$F$18,5,FALSE),VLOOKUP(B75,[1]Afgrødedata!$A$5:$F$18,6,FALSE)),1)*0.1</f>
        <v>1408708.6339838055</v>
      </c>
      <c r="I75" s="168">
        <f>G75*VLOOKUP(B75,[1]Afgrødedata!$A$5:$F$18,3,FALSE)*IF(D75="Økologisk",VLOOKUP(B75,[1]Afgrødedata!$A$5:$F$18,4,FALSE),1)*IF(E75&lt;&gt;Jordbund1,IF(E75=Organ6,VLOOKUP(B75,[1]Afgrødedata!$A$5:$F$18,5,FALSE),VLOOKUP(B75,[1]Afgrødedata!$A$5:$F$18,6,FALSE)),1)*HLOOKUP(C75,Landbrug!$C$15:$E$17,2,FALSE)*HLOOKUP(C75,Landbrug!$C$15:$E$17,3,FALSE)*0.1</f>
        <v>0</v>
      </c>
      <c r="J75" s="76">
        <f t="shared" si="15"/>
        <v>1408708.6339838055</v>
      </c>
    </row>
    <row r="76" spans="1:10" x14ac:dyDescent="0.25">
      <c r="A76" t="s">
        <v>23</v>
      </c>
      <c r="B76" s="1" t="str">
        <f>[1]Afgrødefordeling!$C$6</f>
        <v>Grøntsager</v>
      </c>
      <c r="C76">
        <v>2050</v>
      </c>
      <c r="D76" t="s">
        <v>8</v>
      </c>
      <c r="E76" s="168" t="str">
        <f t="shared" si="11"/>
        <v>JB1-10</v>
      </c>
      <c r="F76" t="str">
        <f t="shared" si="14"/>
        <v>Grøntsager</v>
      </c>
      <c r="G76" s="76" cm="1">
        <f t="array" ref="G76">IF(A76="Vestdanmark",IF(D76="Konventionel",IF(C76=2019,SUMPRODUCT((B76='Landbrugsareal - resultat'!$B$6:$B$19)*(INDEX('Landbrugsareal - resultat'!$C$6:$E$19,,MATCH(E76,'Landbrugsareal - resultat'!$C$5:$E$5,0)))),IF(C76=2030,SUMPRODUCT((B76='Landbrugsareal - resultat'!$B$6:$B$19)*(INDEX('Landbrugsareal - resultat'!$F$6:$H$19,,MATCH(E76,'Landbrugsareal - resultat'!$F$5:$H$5,0)))),SUMPRODUCT((B76='Landbrugsareal - resultat'!$B$6:$B$19)*(INDEX('Landbrugsareal - resultat'!$I$6:$K$19,,MATCH(E76,'Landbrugsareal - resultat'!$I$5:$K$5,0)))))),IF(C76=2019,SUMPRODUCT((B76='Landbrugsareal - resultat'!$B$6:$B$19)*(INDEX('Landbrugsareal - resultat'!$L$6:$N$19,,MATCH(E76,'Landbrugsareal - resultat'!$L$5:$N$5,0)))),IF(C76=2030,SUMPRODUCT((B76='Landbrugsareal - resultat'!$B$6:$B$19)*(INDEX('Landbrugsareal - resultat'!$O$6:$Q$19,,MATCH(E76,'Landbrugsareal - resultat'!$O$5:$Q$5,0)))),SUMPRODUCT((B76='Landbrugsareal - resultat'!$B$6:$B$19)*(INDEX('Landbrugsareal - resultat'!$R$6:$T$19,,MATCH(E76,'Landbrugsareal - resultat'!$R$5:$T$5,0))))))),IF(D76="Konventionel",IF(C76=2019,SUMPRODUCT((B76='Landbrugsareal - resultat'!$B$33:$B$46)*(INDEX('Landbrugsareal - resultat'!$C$33:$E$46,,MATCH(E76,'Landbrugsareal - resultat'!$C$5:$E$5,0)))),IF(C76=2030,SUMPRODUCT((B76='Landbrugsareal - resultat'!$B$33:$B$46)*(INDEX('Landbrugsareal - resultat'!$F$33:$H$46,,MATCH(E76,'Landbrugsareal - resultat'!$F$5:$H$5,0)))),SUMPRODUCT((B76='Landbrugsareal - resultat'!$B$33:$B$46)*(INDEX('Landbrugsareal - resultat'!$I$33:$K$46,,MATCH(E76,'Landbrugsareal - resultat'!$I$5:$K$5,0)))))),IF(C76=2019,SUMPRODUCT((B76='Landbrugsareal - resultat'!$B$33:$B$46)*(INDEX('Landbrugsareal - resultat'!$L$33:$N$46,,MATCH(E76,'Landbrugsareal - resultat'!$L$5:$N$5,0)))),IF(C76=2030,SUMPRODUCT((B76='Landbrugsareal - resultat'!$B$33:$B$46)*(INDEX('Landbrugsareal - resultat'!$O$33:$Q$46,,MATCH(E76,'Landbrugsareal - resultat'!$O$5:$Q$5,0)))),SUMPRODUCT((B76='Landbrugsareal - resultat'!$B$33:$B$46)*(INDEX('Landbrugsareal - resultat'!$R$33:$T$46,,MATCH(E76,'Landbrugsareal - resultat'!$R$5:$T$5,0))))))))</f>
        <v>1408.4948273092346</v>
      </c>
      <c r="H76" s="168">
        <f>G76*VLOOKUP(B76,[1]Afgrødedata!$A$5:$F$18,2,FALSE)*IF(D76="Økologisk",VLOOKUP(B76,[1]Afgrødedata!$A$5:$F$18,4,FALSE),1)*IF(E76&lt;&gt;Jordbund1,IF(E76=Organ6,VLOOKUP(B76,[1]Afgrødedata!$A$5:$F$18,5,FALSE),VLOOKUP(B76,[1]Afgrødedata!$A$5:$F$18,6,FALSE)),1)*0.1</f>
        <v>16658.972569999969</v>
      </c>
      <c r="I76" s="168">
        <f>G76*VLOOKUP(B76,[1]Afgrødedata!$A$5:$F$18,3,FALSE)*IF(D76="Økologisk",VLOOKUP(B76,[1]Afgrødedata!$A$5:$F$18,4,FALSE),1)*IF(E76&lt;&gt;Jordbund1,IF(E76=Organ6,VLOOKUP(B76,[1]Afgrødedata!$A$5:$F$18,5,FALSE),VLOOKUP(B76,[1]Afgrødedata!$A$5:$F$18,6,FALSE)),1)*HLOOKUP(C76,Landbrug!$C$15:$E$17,2,FALSE)*HLOOKUP(C76,Landbrug!$C$15:$E$17,3,FALSE)*0.1</f>
        <v>0</v>
      </c>
      <c r="J76" s="76">
        <f t="shared" si="15"/>
        <v>16658.972569999969</v>
      </c>
    </row>
    <row r="77" spans="1:10" x14ac:dyDescent="0.25">
      <c r="A77" t="s">
        <v>23</v>
      </c>
      <c r="B77" s="1" t="str">
        <f>[1]Afgrødefordeling!$C$7</f>
        <v>Kartofler</v>
      </c>
      <c r="C77">
        <v>2050</v>
      </c>
      <c r="D77" t="s">
        <v>8</v>
      </c>
      <c r="E77" s="168" t="str">
        <f t="shared" si="11"/>
        <v>JB1-10</v>
      </c>
      <c r="F77" t="str">
        <f t="shared" si="14"/>
        <v>Kartofler</v>
      </c>
      <c r="G77" s="76" cm="1">
        <f t="array" ref="G77">IF(A77="Vestdanmark",IF(D77="Konventionel",IF(C77=2019,SUMPRODUCT((B77='Landbrugsareal - resultat'!$B$6:$B$19)*(INDEX('Landbrugsareal - resultat'!$C$6:$E$19,,MATCH(E77,'Landbrugsareal - resultat'!$C$5:$E$5,0)))),IF(C77=2030,SUMPRODUCT((B77='Landbrugsareal - resultat'!$B$6:$B$19)*(INDEX('Landbrugsareal - resultat'!$F$6:$H$19,,MATCH(E77,'Landbrugsareal - resultat'!$F$5:$H$5,0)))),SUMPRODUCT((B77='Landbrugsareal - resultat'!$B$6:$B$19)*(INDEX('Landbrugsareal - resultat'!$I$6:$K$19,,MATCH(E77,'Landbrugsareal - resultat'!$I$5:$K$5,0)))))),IF(C77=2019,SUMPRODUCT((B77='Landbrugsareal - resultat'!$B$6:$B$19)*(INDEX('Landbrugsareal - resultat'!$L$6:$N$19,,MATCH(E77,'Landbrugsareal - resultat'!$L$5:$N$5,0)))),IF(C77=2030,SUMPRODUCT((B77='Landbrugsareal - resultat'!$B$6:$B$19)*(INDEX('Landbrugsareal - resultat'!$O$6:$Q$19,,MATCH(E77,'Landbrugsareal - resultat'!$O$5:$Q$5,0)))),SUMPRODUCT((B77='Landbrugsareal - resultat'!$B$6:$B$19)*(INDEX('Landbrugsareal - resultat'!$R$6:$T$19,,MATCH(E77,'Landbrugsareal - resultat'!$R$5:$T$5,0))))))),IF(D77="Konventionel",IF(C77=2019,SUMPRODUCT((B77='Landbrugsareal - resultat'!$B$33:$B$46)*(INDEX('Landbrugsareal - resultat'!$C$33:$E$46,,MATCH(E77,'Landbrugsareal - resultat'!$C$5:$E$5,0)))),IF(C77=2030,SUMPRODUCT((B77='Landbrugsareal - resultat'!$B$33:$B$46)*(INDEX('Landbrugsareal - resultat'!$F$33:$H$46,,MATCH(E77,'Landbrugsareal - resultat'!$F$5:$H$5,0)))),SUMPRODUCT((B77='Landbrugsareal - resultat'!$B$33:$B$46)*(INDEX('Landbrugsareal - resultat'!$I$33:$K$46,,MATCH(E77,'Landbrugsareal - resultat'!$I$5:$K$5,0)))))),IF(C77=2019,SUMPRODUCT((B77='Landbrugsareal - resultat'!$B$33:$B$46)*(INDEX('Landbrugsareal - resultat'!$L$33:$N$46,,MATCH(E77,'Landbrugsareal - resultat'!$L$5:$N$5,0)))),IF(C77=2030,SUMPRODUCT((B77='Landbrugsareal - resultat'!$B$33:$B$46)*(INDEX('Landbrugsareal - resultat'!$O$33:$Q$46,,MATCH(E77,'Landbrugsareal - resultat'!$O$5:$Q$5,0)))),SUMPRODUCT((B77='Landbrugsareal - resultat'!$B$33:$B$46)*(INDEX('Landbrugsareal - resultat'!$R$33:$T$46,,MATCH(E77,'Landbrugsareal - resultat'!$R$5:$T$5,0))))))))</f>
        <v>8390.5825169652435</v>
      </c>
      <c r="H77" s="168">
        <f>G77*VLOOKUP(B77,[1]Afgrødedata!$A$5:$F$18,2,FALSE)*IF(D77="Økologisk",VLOOKUP(B77,[1]Afgrødedata!$A$5:$F$18,4,FALSE),1)*IF(E77&lt;&gt;Jordbund1,IF(E77=Organ6,VLOOKUP(B77,[1]Afgrødedata!$A$5:$F$18,5,FALSE),VLOOKUP(B77,[1]Afgrødedata!$A$5:$F$18,6,FALSE)),1)*0.1</f>
        <v>203122.68435078094</v>
      </c>
      <c r="I77" s="168">
        <f>G77*VLOOKUP(B77,[1]Afgrødedata!$A$5:$F$18,3,FALSE)*IF(D77="Økologisk",VLOOKUP(B77,[1]Afgrødedata!$A$5:$F$18,4,FALSE),1)*IF(E77&lt;&gt;Jordbund1,IF(E77=Organ6,VLOOKUP(B77,[1]Afgrødedata!$A$5:$F$18,5,FALSE),VLOOKUP(B77,[1]Afgrødedata!$A$5:$F$18,6,FALSE)),1)*HLOOKUP(C77,Landbrug!$C$15:$E$17,2,FALSE)*HLOOKUP(C77,Landbrug!$C$15:$E$17,3,FALSE)*0.1</f>
        <v>0</v>
      </c>
      <c r="J77" s="76">
        <f t="shared" si="15"/>
        <v>203122.68435078094</v>
      </c>
    </row>
    <row r="78" spans="1:10" x14ac:dyDescent="0.25">
      <c r="A78" t="s">
        <v>23</v>
      </c>
      <c r="B78" s="1" t="str">
        <f>[1]Afgrødefordeling!$C$8</f>
        <v>Roer</v>
      </c>
      <c r="C78">
        <v>2050</v>
      </c>
      <c r="D78" t="s">
        <v>8</v>
      </c>
      <c r="E78" s="168" t="str">
        <f t="shared" si="11"/>
        <v>JB1-10</v>
      </c>
      <c r="F78" t="str">
        <f t="shared" si="14"/>
        <v>Roer</v>
      </c>
      <c r="G78" s="76" cm="1">
        <f t="array" ref="G78">IF(A78="Vestdanmark",IF(D78="Konventionel",IF(C78=2019,SUMPRODUCT((B78='Landbrugsareal - resultat'!$B$6:$B$19)*(INDEX('Landbrugsareal - resultat'!$C$6:$E$19,,MATCH(E78,'Landbrugsareal - resultat'!$C$5:$E$5,0)))),IF(C78=2030,SUMPRODUCT((B78='Landbrugsareal - resultat'!$B$6:$B$19)*(INDEX('Landbrugsareal - resultat'!$F$6:$H$19,,MATCH(E78,'Landbrugsareal - resultat'!$F$5:$H$5,0)))),SUMPRODUCT((B78='Landbrugsareal - resultat'!$B$6:$B$19)*(INDEX('Landbrugsareal - resultat'!$I$6:$K$19,,MATCH(E78,'Landbrugsareal - resultat'!$I$5:$K$5,0)))))),IF(C78=2019,SUMPRODUCT((B78='Landbrugsareal - resultat'!$B$6:$B$19)*(INDEX('Landbrugsareal - resultat'!$L$6:$N$19,,MATCH(E78,'Landbrugsareal - resultat'!$L$5:$N$5,0)))),IF(C78=2030,SUMPRODUCT((B78='Landbrugsareal - resultat'!$B$6:$B$19)*(INDEX('Landbrugsareal - resultat'!$O$6:$Q$19,,MATCH(E78,'Landbrugsareal - resultat'!$O$5:$Q$5,0)))),SUMPRODUCT((B78='Landbrugsareal - resultat'!$B$6:$B$19)*(INDEX('Landbrugsareal - resultat'!$R$6:$T$19,,MATCH(E78,'Landbrugsareal - resultat'!$R$5:$T$5,0))))))),IF(D78="Konventionel",IF(C78=2019,SUMPRODUCT((B78='Landbrugsareal - resultat'!$B$33:$B$46)*(INDEX('Landbrugsareal - resultat'!$C$33:$E$46,,MATCH(E78,'Landbrugsareal - resultat'!$C$5:$E$5,0)))),IF(C78=2030,SUMPRODUCT((B78='Landbrugsareal - resultat'!$B$33:$B$46)*(INDEX('Landbrugsareal - resultat'!$F$33:$H$46,,MATCH(E78,'Landbrugsareal - resultat'!$F$5:$H$5,0)))),SUMPRODUCT((B78='Landbrugsareal - resultat'!$B$33:$B$46)*(INDEX('Landbrugsareal - resultat'!$I$33:$K$46,,MATCH(E78,'Landbrugsareal - resultat'!$I$5:$K$5,0)))))),IF(C78=2019,SUMPRODUCT((B78='Landbrugsareal - resultat'!$B$33:$B$46)*(INDEX('Landbrugsareal - resultat'!$L$33:$N$46,,MATCH(E78,'Landbrugsareal - resultat'!$L$5:$N$5,0)))),IF(C78=2030,SUMPRODUCT((B78='Landbrugsareal - resultat'!$B$33:$B$46)*(INDEX('Landbrugsareal - resultat'!$O$33:$Q$46,,MATCH(E78,'Landbrugsareal - resultat'!$O$5:$Q$5,0)))),SUMPRODUCT((B78='Landbrugsareal - resultat'!$B$33:$B$46)*(INDEX('Landbrugsareal - resultat'!$R$33:$T$46,,MATCH(E78,'Landbrugsareal - resultat'!$R$5:$T$5,0))))))))</f>
        <v>819.09573959033446</v>
      </c>
      <c r="H78" s="168">
        <f>G78*VLOOKUP(B78,[1]Afgrødedata!$A$5:$F$18,2,FALSE)*IF(D78="Økologisk",VLOOKUP(B78,[1]Afgrødedata!$A$5:$F$18,4,FALSE),1)*IF(E78&lt;&gt;Jordbund1,IF(E78=Organ6,VLOOKUP(B78,[1]Afgrødedata!$A$5:$F$18,5,FALSE),VLOOKUP(B78,[1]Afgrødedata!$A$5:$F$18,6,FALSE)),1)*0.1</f>
        <v>37936.113546387685</v>
      </c>
      <c r="I78" s="168">
        <f>G78*VLOOKUP(B78,[1]Afgrødedata!$A$5:$F$18,3,FALSE)*IF(D78="Økologisk",VLOOKUP(B78,[1]Afgrødedata!$A$5:$F$18,4,FALSE),1)*IF(E78&lt;&gt;Jordbund1,IF(E78=Organ6,VLOOKUP(B78,[1]Afgrødedata!$A$5:$F$18,5,FALSE),VLOOKUP(B78,[1]Afgrødedata!$A$5:$F$18,6,FALSE)),1)*HLOOKUP(C78,Landbrug!$C$15:$E$17,2,FALSE)*HLOOKUP(C78,Landbrug!$C$15:$E$17,3,FALSE)*0.1</f>
        <v>0</v>
      </c>
      <c r="J78" s="76">
        <f t="shared" si="15"/>
        <v>37936.113546387685</v>
      </c>
    </row>
    <row r="79" spans="1:10" x14ac:dyDescent="0.25">
      <c r="A79" t="s">
        <v>23</v>
      </c>
      <c r="B79" s="1" t="str">
        <f>[1]Afgrødefordeling!$C$9</f>
        <v>Majs</v>
      </c>
      <c r="C79">
        <v>2050</v>
      </c>
      <c r="D79" t="s">
        <v>8</v>
      </c>
      <c r="E79" s="168" t="str">
        <f t="shared" si="11"/>
        <v>JB1-10</v>
      </c>
      <c r="F79" t="str">
        <f t="shared" si="14"/>
        <v>Majs</v>
      </c>
      <c r="G79" s="76" cm="1">
        <f t="array" ref="G79">IF(A79="Vestdanmark",IF(D79="Konventionel",IF(C79=2019,SUMPRODUCT((B79='Landbrugsareal - resultat'!$B$6:$B$19)*(INDEX('Landbrugsareal - resultat'!$C$6:$E$19,,MATCH(E79,'Landbrugsareal - resultat'!$C$5:$E$5,0)))),IF(C79=2030,SUMPRODUCT((B79='Landbrugsareal - resultat'!$B$6:$B$19)*(INDEX('Landbrugsareal - resultat'!$F$6:$H$19,,MATCH(E79,'Landbrugsareal - resultat'!$F$5:$H$5,0)))),SUMPRODUCT((B79='Landbrugsareal - resultat'!$B$6:$B$19)*(INDEX('Landbrugsareal - resultat'!$I$6:$K$19,,MATCH(E79,'Landbrugsareal - resultat'!$I$5:$K$5,0)))))),IF(C79=2019,SUMPRODUCT((B79='Landbrugsareal - resultat'!$B$6:$B$19)*(INDEX('Landbrugsareal - resultat'!$L$6:$N$19,,MATCH(E79,'Landbrugsareal - resultat'!$L$5:$N$5,0)))),IF(C79=2030,SUMPRODUCT((B79='Landbrugsareal - resultat'!$B$6:$B$19)*(INDEX('Landbrugsareal - resultat'!$O$6:$Q$19,,MATCH(E79,'Landbrugsareal - resultat'!$O$5:$Q$5,0)))),SUMPRODUCT((B79='Landbrugsareal - resultat'!$B$6:$B$19)*(INDEX('Landbrugsareal - resultat'!$R$6:$T$19,,MATCH(E79,'Landbrugsareal - resultat'!$R$5:$T$5,0))))))),IF(D79="Konventionel",IF(C79=2019,SUMPRODUCT((B79='Landbrugsareal - resultat'!$B$33:$B$46)*(INDEX('Landbrugsareal - resultat'!$C$33:$E$46,,MATCH(E79,'Landbrugsareal - resultat'!$C$5:$E$5,0)))),IF(C79=2030,SUMPRODUCT((B79='Landbrugsareal - resultat'!$B$33:$B$46)*(INDEX('Landbrugsareal - resultat'!$F$33:$H$46,,MATCH(E79,'Landbrugsareal - resultat'!$F$5:$H$5,0)))),SUMPRODUCT((B79='Landbrugsareal - resultat'!$B$33:$B$46)*(INDEX('Landbrugsareal - resultat'!$I$33:$K$46,,MATCH(E79,'Landbrugsareal - resultat'!$I$5:$K$5,0)))))),IF(C79=2019,SUMPRODUCT((B79='Landbrugsareal - resultat'!$B$33:$B$46)*(INDEX('Landbrugsareal - resultat'!$L$33:$N$46,,MATCH(E79,'Landbrugsareal - resultat'!$L$5:$N$5,0)))),IF(C79=2030,SUMPRODUCT((B79='Landbrugsareal - resultat'!$B$33:$B$46)*(INDEX('Landbrugsareal - resultat'!$O$33:$Q$46,,MATCH(E79,'Landbrugsareal - resultat'!$O$5:$Q$5,0)))),SUMPRODUCT((B79='Landbrugsareal - resultat'!$B$33:$B$46)*(INDEX('Landbrugsareal - resultat'!$R$33:$T$46,,MATCH(E79,'Landbrugsareal - resultat'!$R$5:$T$5,0))))))))</f>
        <v>28049.610400122754</v>
      </c>
      <c r="H79" s="168">
        <f>G79*VLOOKUP(B79,[1]Afgrødedata!$A$5:$F$18,2,FALSE)*IF(D79="Økologisk",VLOOKUP(B79,[1]Afgrødedata!$A$5:$F$18,4,FALSE),1)*IF(E79&lt;&gt;Jordbund1,IF(E79=Organ6,VLOOKUP(B79,[1]Afgrødedata!$A$5:$F$18,5,FALSE),VLOOKUP(B79,[1]Afgrødedata!$A$5:$F$18,6,FALSE)),1)*0.1</f>
        <v>1036245.1718948551</v>
      </c>
      <c r="I79" s="168">
        <f>G79*VLOOKUP(B79,[1]Afgrødedata!$A$5:$F$18,3,FALSE)*IF(D79="Økologisk",VLOOKUP(B79,[1]Afgrødedata!$A$5:$F$18,4,FALSE),1)*IF(E79&lt;&gt;Jordbund1,IF(E79=Organ6,VLOOKUP(B79,[1]Afgrødedata!$A$5:$F$18,5,FALSE),VLOOKUP(B79,[1]Afgrødedata!$A$5:$F$18,6,FALSE)),1)*HLOOKUP(C79,Landbrug!$C$15:$E$17,2,FALSE)*HLOOKUP(C79,Landbrug!$C$15:$E$17,3,FALSE)*0.1</f>
        <v>0</v>
      </c>
      <c r="J79" s="76">
        <f t="shared" si="15"/>
        <v>1036245.1718948551</v>
      </c>
    </row>
    <row r="80" spans="1:10" x14ac:dyDescent="0.25">
      <c r="A80" t="s">
        <v>23</v>
      </c>
      <c r="B80" s="1" t="str">
        <f>[1]Afgrødefordeling!$C$10</f>
        <v>Frugt</v>
      </c>
      <c r="C80">
        <v>2050</v>
      </c>
      <c r="D80" t="s">
        <v>8</v>
      </c>
      <c r="E80" s="168" t="str">
        <f t="shared" si="11"/>
        <v>JB1-10</v>
      </c>
      <c r="F80" t="str">
        <f t="shared" si="14"/>
        <v>Frugt</v>
      </c>
      <c r="G80" s="76" cm="1">
        <f t="array" ref="G80">IF(A80="Vestdanmark",IF(D80="Konventionel",IF(C80=2019,SUMPRODUCT((B80='Landbrugsareal - resultat'!$B$6:$B$19)*(INDEX('Landbrugsareal - resultat'!$C$6:$E$19,,MATCH(E80,'Landbrugsareal - resultat'!$C$5:$E$5,0)))),IF(C80=2030,SUMPRODUCT((B80='Landbrugsareal - resultat'!$B$6:$B$19)*(INDEX('Landbrugsareal - resultat'!$F$6:$H$19,,MATCH(E80,'Landbrugsareal - resultat'!$F$5:$H$5,0)))),SUMPRODUCT((B80='Landbrugsareal - resultat'!$B$6:$B$19)*(INDEX('Landbrugsareal - resultat'!$I$6:$K$19,,MATCH(E80,'Landbrugsareal - resultat'!$I$5:$K$5,0)))))),IF(C80=2019,SUMPRODUCT((B80='Landbrugsareal - resultat'!$B$6:$B$19)*(INDEX('Landbrugsareal - resultat'!$L$6:$N$19,,MATCH(E80,'Landbrugsareal - resultat'!$L$5:$N$5,0)))),IF(C80=2030,SUMPRODUCT((B80='Landbrugsareal - resultat'!$B$6:$B$19)*(INDEX('Landbrugsareal - resultat'!$O$6:$Q$19,,MATCH(E80,'Landbrugsareal - resultat'!$O$5:$Q$5,0)))),SUMPRODUCT((B80='Landbrugsareal - resultat'!$B$6:$B$19)*(INDEX('Landbrugsareal - resultat'!$R$6:$T$19,,MATCH(E80,'Landbrugsareal - resultat'!$R$5:$T$5,0))))))),IF(D80="Konventionel",IF(C80=2019,SUMPRODUCT((B80='Landbrugsareal - resultat'!$B$33:$B$46)*(INDEX('Landbrugsareal - resultat'!$C$33:$E$46,,MATCH(E80,'Landbrugsareal - resultat'!$C$5:$E$5,0)))),IF(C80=2030,SUMPRODUCT((B80='Landbrugsareal - resultat'!$B$33:$B$46)*(INDEX('Landbrugsareal - resultat'!$F$33:$H$46,,MATCH(E80,'Landbrugsareal - resultat'!$F$5:$H$5,0)))),SUMPRODUCT((B80='Landbrugsareal - resultat'!$B$33:$B$46)*(INDEX('Landbrugsareal - resultat'!$I$33:$K$46,,MATCH(E80,'Landbrugsareal - resultat'!$I$5:$K$5,0)))))),IF(C80=2019,SUMPRODUCT((B80='Landbrugsareal - resultat'!$B$33:$B$46)*(INDEX('Landbrugsareal - resultat'!$L$33:$N$46,,MATCH(E80,'Landbrugsareal - resultat'!$L$5:$N$5,0)))),IF(C80=2030,SUMPRODUCT((B80='Landbrugsareal - resultat'!$B$33:$B$46)*(INDEX('Landbrugsareal - resultat'!$O$33:$Q$46,,MATCH(E80,'Landbrugsareal - resultat'!$O$5:$Q$5,0)))),SUMPRODUCT((B80='Landbrugsareal - resultat'!$B$33:$B$46)*(INDEX('Landbrugsareal - resultat'!$R$33:$T$46,,MATCH(E80,'Landbrugsareal - resultat'!$R$5:$T$5,0))))))))</f>
        <v>515.41933900240667</v>
      </c>
      <c r="H80" s="168">
        <f>G80*VLOOKUP(B80,[1]Afgrødedata!$A$5:$F$18,2,FALSE)*IF(D80="Økologisk",VLOOKUP(B80,[1]Afgrødedata!$A$5:$F$18,4,FALSE),1)*IF(E80&lt;&gt;Jordbund1,IF(E80=Organ6,VLOOKUP(B80,[1]Afgrødedata!$A$5:$F$18,5,FALSE),VLOOKUP(B80,[1]Afgrødedata!$A$5:$F$18,6,FALSE)),1)*0.1</f>
        <v>2494.2688072343462</v>
      </c>
      <c r="I80" s="168">
        <f>G80*VLOOKUP(B80,[1]Afgrødedata!$A$5:$F$18,3,FALSE)*IF(D80="Økologisk",VLOOKUP(B80,[1]Afgrødedata!$A$5:$F$18,4,FALSE),1)*IF(E80&lt;&gt;Jordbund1,IF(E80=Organ6,VLOOKUP(B80,[1]Afgrødedata!$A$5:$F$18,5,FALSE),VLOOKUP(B80,[1]Afgrødedata!$A$5:$F$18,6,FALSE)),1)*HLOOKUP(C80,Landbrug!$C$15:$E$17,2,FALSE)*HLOOKUP(C80,Landbrug!$C$15:$E$17,3,FALSE)*0.1</f>
        <v>0</v>
      </c>
      <c r="J80" s="76">
        <f t="shared" si="15"/>
        <v>2494.2688072343462</v>
      </c>
    </row>
    <row r="81" spans="1:10" x14ac:dyDescent="0.25">
      <c r="A81" t="s">
        <v>23</v>
      </c>
      <c r="B81" s="1" t="str">
        <f>[1]Afgrødefordeling!$C$11</f>
        <v>Øvrige</v>
      </c>
      <c r="C81">
        <v>2050</v>
      </c>
      <c r="D81" t="s">
        <v>8</v>
      </c>
      <c r="E81" s="168" t="str">
        <f t="shared" si="11"/>
        <v>JB1-10</v>
      </c>
      <c r="F81" t="str">
        <f t="shared" si="14"/>
        <v>Øvrige</v>
      </c>
      <c r="G81" s="76" cm="1">
        <f t="array" ref="G81">IF(A81="Vestdanmark",IF(D81="Konventionel",IF(C81=2019,SUMPRODUCT((B81='Landbrugsareal - resultat'!$B$6:$B$19)*(INDEX('Landbrugsareal - resultat'!$C$6:$E$19,,MATCH(E81,'Landbrugsareal - resultat'!$C$5:$E$5,0)))),IF(C81=2030,SUMPRODUCT((B81='Landbrugsareal - resultat'!$B$6:$B$19)*(INDEX('Landbrugsareal - resultat'!$F$6:$H$19,,MATCH(E81,'Landbrugsareal - resultat'!$F$5:$H$5,0)))),SUMPRODUCT((B81='Landbrugsareal - resultat'!$B$6:$B$19)*(INDEX('Landbrugsareal - resultat'!$I$6:$K$19,,MATCH(E81,'Landbrugsareal - resultat'!$I$5:$K$5,0)))))),IF(C81=2019,SUMPRODUCT((B81='Landbrugsareal - resultat'!$B$6:$B$19)*(INDEX('Landbrugsareal - resultat'!$L$6:$N$19,,MATCH(E81,'Landbrugsareal - resultat'!$L$5:$N$5,0)))),IF(C81=2030,SUMPRODUCT((B81='Landbrugsareal - resultat'!$B$6:$B$19)*(INDEX('Landbrugsareal - resultat'!$O$6:$Q$19,,MATCH(E81,'Landbrugsareal - resultat'!$O$5:$Q$5,0)))),SUMPRODUCT((B81='Landbrugsareal - resultat'!$B$6:$B$19)*(INDEX('Landbrugsareal - resultat'!$R$6:$T$19,,MATCH(E81,'Landbrugsareal - resultat'!$R$5:$T$5,0))))))),IF(D81="Konventionel",IF(C81=2019,SUMPRODUCT((B81='Landbrugsareal - resultat'!$B$33:$B$46)*(INDEX('Landbrugsareal - resultat'!$C$33:$E$46,,MATCH(E81,'Landbrugsareal - resultat'!$C$5:$E$5,0)))),IF(C81=2030,SUMPRODUCT((B81='Landbrugsareal - resultat'!$B$33:$B$46)*(INDEX('Landbrugsareal - resultat'!$F$33:$H$46,,MATCH(E81,'Landbrugsareal - resultat'!$F$5:$H$5,0)))),SUMPRODUCT((B81='Landbrugsareal - resultat'!$B$33:$B$46)*(INDEX('Landbrugsareal - resultat'!$I$33:$K$46,,MATCH(E81,'Landbrugsareal - resultat'!$I$5:$K$5,0)))))),IF(C81=2019,SUMPRODUCT((B81='Landbrugsareal - resultat'!$B$33:$B$46)*(INDEX('Landbrugsareal - resultat'!$L$33:$N$46,,MATCH(E81,'Landbrugsareal - resultat'!$L$5:$N$5,0)))),IF(C81=2030,SUMPRODUCT((B81='Landbrugsareal - resultat'!$B$33:$B$46)*(INDEX('Landbrugsareal - resultat'!$O$33:$Q$46,,MATCH(E81,'Landbrugsareal - resultat'!$O$5:$Q$5,0)))),SUMPRODUCT((B81='Landbrugsareal - resultat'!$B$33:$B$46)*(INDEX('Landbrugsareal - resultat'!$R$33:$T$46,,MATCH(E81,'Landbrugsareal - resultat'!$R$5:$T$5,0))))))))</f>
        <v>9115.6556059483319</v>
      </c>
      <c r="H81" s="168">
        <f>G81*VLOOKUP(B81,[1]Afgrødedata!$A$5:$F$18,2,FALSE)*IF(D81="Økologisk",VLOOKUP(B81,[1]Afgrødedata!$A$5:$F$18,4,FALSE),1)*IF(E81&lt;&gt;Jordbund1,IF(E81=Organ6,VLOOKUP(B81,[1]Afgrødedata!$A$5:$F$18,5,FALSE),VLOOKUP(B81,[1]Afgrødedata!$A$5:$F$18,6,FALSE)),1)*0.1</f>
        <v>154817.44890070343</v>
      </c>
      <c r="I81" s="168">
        <f>G81*VLOOKUP(B81,[1]Afgrødedata!$A$5:$F$18,3,FALSE)*IF(D81="Økologisk",VLOOKUP(B81,[1]Afgrødedata!$A$5:$F$18,4,FALSE),1)*IF(E81&lt;&gt;Jordbund1,IF(E81=Organ6,VLOOKUP(B81,[1]Afgrødedata!$A$5:$F$18,5,FALSE),VLOOKUP(B81,[1]Afgrødedata!$A$5:$F$18,6,FALSE)),1)*HLOOKUP(C81,Landbrug!$C$15:$E$17,2,FALSE)*HLOOKUP(C81,Landbrug!$C$15:$E$17,3,FALSE)*0.1</f>
        <v>0</v>
      </c>
      <c r="J81" s="76">
        <f t="shared" si="15"/>
        <v>154817.44890070343</v>
      </c>
    </row>
    <row r="82" spans="1:10" x14ac:dyDescent="0.25">
      <c r="A82" t="s">
        <v>23</v>
      </c>
      <c r="B82" s="1" t="str">
        <f>[1]Afgrødefordeling!$C$12</f>
        <v>Frø</v>
      </c>
      <c r="C82">
        <v>2050</v>
      </c>
      <c r="D82" t="s">
        <v>8</v>
      </c>
      <c r="E82" s="168" t="str">
        <f t="shared" si="11"/>
        <v>JB1-10</v>
      </c>
      <c r="F82" t="str">
        <f t="shared" si="14"/>
        <v>Halm</v>
      </c>
      <c r="G82" s="76" cm="1">
        <f t="array" ref="G82">IF(A82="Vestdanmark",IF(D82="Konventionel",IF(C82=2019,SUMPRODUCT((B82='Landbrugsareal - resultat'!$B$6:$B$19)*(INDEX('Landbrugsareal - resultat'!$C$6:$E$19,,MATCH(E82,'Landbrugsareal - resultat'!$C$5:$E$5,0)))),IF(C82=2030,SUMPRODUCT((B82='Landbrugsareal - resultat'!$B$6:$B$19)*(INDEX('Landbrugsareal - resultat'!$F$6:$H$19,,MATCH(E82,'Landbrugsareal - resultat'!$F$5:$H$5,0)))),SUMPRODUCT((B82='Landbrugsareal - resultat'!$B$6:$B$19)*(INDEX('Landbrugsareal - resultat'!$I$6:$K$19,,MATCH(E82,'Landbrugsareal - resultat'!$I$5:$K$5,0)))))),IF(C82=2019,SUMPRODUCT((B82='Landbrugsareal - resultat'!$B$6:$B$19)*(INDEX('Landbrugsareal - resultat'!$L$6:$N$19,,MATCH(E82,'Landbrugsareal - resultat'!$L$5:$N$5,0)))),IF(C82=2030,SUMPRODUCT((B82='Landbrugsareal - resultat'!$B$6:$B$19)*(INDEX('Landbrugsareal - resultat'!$O$6:$Q$19,,MATCH(E82,'Landbrugsareal - resultat'!$O$5:$Q$5,0)))),SUMPRODUCT((B82='Landbrugsareal - resultat'!$B$6:$B$19)*(INDEX('Landbrugsareal - resultat'!$R$6:$T$19,,MATCH(E82,'Landbrugsareal - resultat'!$R$5:$T$5,0))))))),IF(D82="Konventionel",IF(C82=2019,SUMPRODUCT((B82='Landbrugsareal - resultat'!$B$33:$B$46)*(INDEX('Landbrugsareal - resultat'!$C$33:$E$46,,MATCH(E82,'Landbrugsareal - resultat'!$C$5:$E$5,0)))),IF(C82=2030,SUMPRODUCT((B82='Landbrugsareal - resultat'!$B$33:$B$46)*(INDEX('Landbrugsareal - resultat'!$F$33:$H$46,,MATCH(E82,'Landbrugsareal - resultat'!$F$5:$H$5,0)))),SUMPRODUCT((B82='Landbrugsareal - resultat'!$B$33:$B$46)*(INDEX('Landbrugsareal - resultat'!$I$33:$K$46,,MATCH(E82,'Landbrugsareal - resultat'!$I$5:$K$5,0)))))),IF(C82=2019,SUMPRODUCT((B82='Landbrugsareal - resultat'!$B$33:$B$46)*(INDEX('Landbrugsareal - resultat'!$L$33:$N$46,,MATCH(E82,'Landbrugsareal - resultat'!$L$5:$N$5,0)))),IF(C82=2030,SUMPRODUCT((B82='Landbrugsareal - resultat'!$B$33:$B$46)*(INDEX('Landbrugsareal - resultat'!$O$33:$Q$46,,MATCH(E82,'Landbrugsareal - resultat'!$O$5:$Q$5,0)))),SUMPRODUCT((B82='Landbrugsareal - resultat'!$B$33:$B$46)*(INDEX('Landbrugsareal - resultat'!$R$33:$T$46,,MATCH(E82,'Landbrugsareal - resultat'!$R$5:$T$5,0))))))))</f>
        <v>9588.867996916435</v>
      </c>
      <c r="H82" s="168">
        <f>G82*VLOOKUP(B82,[1]Afgrødedata!$A$5:$F$18,2,FALSE)*IF(D82="Økologisk",VLOOKUP(B82,[1]Afgrødedata!$A$5:$F$18,4,FALSE),1)*IF(E82&lt;&gt;Jordbund1,IF(E82=Organ6,VLOOKUP(B82,[1]Afgrødedata!$A$5:$F$18,5,FALSE),VLOOKUP(B82,[1]Afgrødedata!$A$5:$F$18,6,FALSE)),1)*0.1</f>
        <v>78097.979799989233</v>
      </c>
      <c r="I82" s="168">
        <f>G82*VLOOKUP(B82,[1]Afgrødedata!$A$5:$F$18,3,FALSE)*IF(D82="Økologisk",VLOOKUP(B82,[1]Afgrødedata!$A$5:$F$18,4,FALSE),1)*IF(E82&lt;&gt;Jordbund1,IF(E82=Organ6,VLOOKUP(B82,[1]Afgrødedata!$A$5:$F$18,5,FALSE),VLOOKUP(B82,[1]Afgrødedata!$A$5:$F$18,6,FALSE)),1)*HLOOKUP(C82,Landbrug!$C$15:$E$17,2,FALSE)*HLOOKUP(C82,Landbrug!$C$15:$E$17,3,FALSE)*0.1</f>
        <v>12898.945229451987</v>
      </c>
      <c r="J82" s="76">
        <f t="shared" si="15"/>
        <v>12898.945229451987</v>
      </c>
    </row>
    <row r="83" spans="1:10" x14ac:dyDescent="0.25">
      <c r="A83" t="s">
        <v>23</v>
      </c>
      <c r="B83" s="1" t="str">
        <f>[1]Afgrødefordeling!$C$13</f>
        <v>Juletræer</v>
      </c>
      <c r="C83">
        <v>2050</v>
      </c>
      <c r="D83" t="s">
        <v>8</v>
      </c>
      <c r="E83" s="168" t="str">
        <f t="shared" si="11"/>
        <v>JB1-10</v>
      </c>
      <c r="F83" t="str">
        <f t="shared" si="14"/>
        <v>Juletræer</v>
      </c>
      <c r="G83" s="76" cm="1">
        <f t="array" ref="G83">IF(A83="Vestdanmark",IF(D83="Konventionel",IF(C83=2019,SUMPRODUCT((B83='Landbrugsareal - resultat'!$B$6:$B$19)*(INDEX('Landbrugsareal - resultat'!$C$6:$E$19,,MATCH(E83,'Landbrugsareal - resultat'!$C$5:$E$5,0)))),IF(C83=2030,SUMPRODUCT((B83='Landbrugsareal - resultat'!$B$6:$B$19)*(INDEX('Landbrugsareal - resultat'!$F$6:$H$19,,MATCH(E83,'Landbrugsareal - resultat'!$F$5:$H$5,0)))),SUMPRODUCT((B83='Landbrugsareal - resultat'!$B$6:$B$19)*(INDEX('Landbrugsareal - resultat'!$I$6:$K$19,,MATCH(E83,'Landbrugsareal - resultat'!$I$5:$K$5,0)))))),IF(C83=2019,SUMPRODUCT((B83='Landbrugsareal - resultat'!$B$6:$B$19)*(INDEX('Landbrugsareal - resultat'!$L$6:$N$19,,MATCH(E83,'Landbrugsareal - resultat'!$L$5:$N$5,0)))),IF(C83=2030,SUMPRODUCT((B83='Landbrugsareal - resultat'!$B$6:$B$19)*(INDEX('Landbrugsareal - resultat'!$O$6:$Q$19,,MATCH(E83,'Landbrugsareal - resultat'!$O$5:$Q$5,0)))),SUMPRODUCT((B83='Landbrugsareal - resultat'!$B$6:$B$19)*(INDEX('Landbrugsareal - resultat'!$R$6:$T$19,,MATCH(E83,'Landbrugsareal - resultat'!$R$5:$T$5,0))))))),IF(D83="Konventionel",IF(C83=2019,SUMPRODUCT((B83='Landbrugsareal - resultat'!$B$33:$B$46)*(INDEX('Landbrugsareal - resultat'!$C$33:$E$46,,MATCH(E83,'Landbrugsareal - resultat'!$C$5:$E$5,0)))),IF(C83=2030,SUMPRODUCT((B83='Landbrugsareal - resultat'!$B$33:$B$46)*(INDEX('Landbrugsareal - resultat'!$F$33:$H$46,,MATCH(E83,'Landbrugsareal - resultat'!$F$5:$H$5,0)))),SUMPRODUCT((B83='Landbrugsareal - resultat'!$B$33:$B$46)*(INDEX('Landbrugsareal - resultat'!$I$33:$K$46,,MATCH(E83,'Landbrugsareal - resultat'!$I$5:$K$5,0)))))),IF(C83=2019,SUMPRODUCT((B83='Landbrugsareal - resultat'!$B$33:$B$46)*(INDEX('Landbrugsareal - resultat'!$L$33:$N$46,,MATCH(E83,'Landbrugsareal - resultat'!$L$5:$N$5,0)))),IF(C83=2030,SUMPRODUCT((B83='Landbrugsareal - resultat'!$B$33:$B$46)*(INDEX('Landbrugsareal - resultat'!$O$33:$Q$46,,MATCH(E83,'Landbrugsareal - resultat'!$O$5:$Q$5,0)))),SUMPRODUCT((B83='Landbrugsareal - resultat'!$B$33:$B$46)*(INDEX('Landbrugsareal - resultat'!$R$33:$T$46,,MATCH(E83,'Landbrugsareal - resultat'!$R$5:$T$5,0))))))))</f>
        <v>2585.1083945820187</v>
      </c>
      <c r="H83" s="168">
        <f>G83*VLOOKUP(B83,[1]Afgrødedata!$A$5:$F$18,2,FALSE)*IF(D83="Økologisk",VLOOKUP(B83,[1]Afgrødedata!$A$5:$F$18,4,FALSE),1)*IF(E83&lt;&gt;Jordbund1,IF(E83=Organ6,VLOOKUP(B83,[1]Afgrødedata!$A$5:$F$18,5,FALSE),VLOOKUP(B83,[1]Afgrødedata!$A$5:$F$18,6,FALSE)),1)*0.1</f>
        <v>73675.589245587529</v>
      </c>
      <c r="I83" s="168">
        <f>G83*VLOOKUP(B83,[1]Afgrødedata!$A$5:$F$18,3,FALSE)*IF(D83="Økologisk",VLOOKUP(B83,[1]Afgrødedata!$A$5:$F$18,4,FALSE),1)*IF(E83&lt;&gt;Jordbund1,IF(E83=Organ6,VLOOKUP(B83,[1]Afgrødedata!$A$5:$F$18,5,FALSE),VLOOKUP(B83,[1]Afgrødedata!$A$5:$F$18,6,FALSE)),1)*HLOOKUP(C83,Landbrug!$C$15:$E$17,2,FALSE)*HLOOKUP(C83,Landbrug!$C$15:$E$17,3,FALSE)*0.1</f>
        <v>0</v>
      </c>
      <c r="J83" s="76">
        <f t="shared" si="15"/>
        <v>73675.589245587529</v>
      </c>
    </row>
    <row r="84" spans="1:10" x14ac:dyDescent="0.25">
      <c r="A84" t="s">
        <v>23</v>
      </c>
      <c r="B84" s="1" t="str">
        <f>[1]Afgrødefordeling!$C$14</f>
        <v>Pil &amp; poppel</v>
      </c>
      <c r="C84">
        <v>2050</v>
      </c>
      <c r="D84" t="s">
        <v>8</v>
      </c>
      <c r="E84" s="168" t="str">
        <f t="shared" si="11"/>
        <v>JB1-10</v>
      </c>
      <c r="F84" t="str">
        <f t="shared" ref="F84" si="16">IF(I84&lt;&gt;0,"Halm",IF(B84&lt;&gt;"Permanent græs",B84,"Græs"))</f>
        <v>Pil &amp; poppel</v>
      </c>
      <c r="G84" s="76" cm="1">
        <f t="array" ref="G84">IF(A84="Vestdanmark",IF(D84="Konventionel",IF(C84=2019,SUMPRODUCT((B84='Landbrugsareal - resultat'!$B$6:$B$19)*(INDEX('Landbrugsareal - resultat'!$C$6:$E$19,,MATCH(E84,'Landbrugsareal - resultat'!$C$5:$E$5,0)))),IF(C84=2030,SUMPRODUCT((B84='Landbrugsareal - resultat'!$B$6:$B$19)*(INDEX('Landbrugsareal - resultat'!$F$6:$H$19,,MATCH(E84,'Landbrugsareal - resultat'!$F$5:$H$5,0)))),SUMPRODUCT((B84='Landbrugsareal - resultat'!$B$6:$B$19)*(INDEX('Landbrugsareal - resultat'!$I$6:$K$19,,MATCH(E84,'Landbrugsareal - resultat'!$I$5:$K$5,0)))))),IF(C84=2019,SUMPRODUCT((B84='Landbrugsareal - resultat'!$B$6:$B$19)*(INDEX('Landbrugsareal - resultat'!$L$6:$N$19,,MATCH(E84,'Landbrugsareal - resultat'!$L$5:$N$5,0)))),IF(C84=2030,SUMPRODUCT((B84='Landbrugsareal - resultat'!$B$6:$B$19)*(INDEX('Landbrugsareal - resultat'!$O$6:$Q$19,,MATCH(E84,'Landbrugsareal - resultat'!$O$5:$Q$5,0)))),SUMPRODUCT((B84='Landbrugsareal - resultat'!$B$6:$B$19)*(INDEX('Landbrugsareal - resultat'!$R$6:$T$19,,MATCH(E84,'Landbrugsareal - resultat'!$R$5:$T$5,0))))))),IF(D84="Konventionel",IF(C84=2019,SUMPRODUCT((B84='Landbrugsareal - resultat'!$B$33:$B$46)*(INDEX('Landbrugsareal - resultat'!$C$33:$E$46,,MATCH(E84,'Landbrugsareal - resultat'!$C$5:$E$5,0)))),IF(C84=2030,SUMPRODUCT((B84='Landbrugsareal - resultat'!$B$33:$B$46)*(INDEX('Landbrugsareal - resultat'!$F$33:$H$46,,MATCH(E84,'Landbrugsareal - resultat'!$F$5:$H$5,0)))),SUMPRODUCT((B84='Landbrugsareal - resultat'!$B$33:$B$46)*(INDEX('Landbrugsareal - resultat'!$I$33:$K$46,,MATCH(E84,'Landbrugsareal - resultat'!$I$5:$K$5,0)))))),IF(C84=2019,SUMPRODUCT((B84='Landbrugsareal - resultat'!$B$33:$B$46)*(INDEX('Landbrugsareal - resultat'!$L$33:$N$46,,MATCH(E84,'Landbrugsareal - resultat'!$L$5:$N$5,0)))),IF(C84=2030,SUMPRODUCT((B84='Landbrugsareal - resultat'!$B$33:$B$46)*(INDEX('Landbrugsareal - resultat'!$O$33:$Q$46,,MATCH(E84,'Landbrugsareal - resultat'!$O$5:$Q$5,0)))),SUMPRODUCT((B84='Landbrugsareal - resultat'!$B$33:$B$46)*(INDEX('Landbrugsareal - resultat'!$R$33:$T$46,,MATCH(E84,'Landbrugsareal - resultat'!$R$5:$T$5,0))))))))</f>
        <v>950.88581040160352</v>
      </c>
      <c r="H84" s="168">
        <f>G84*VLOOKUP(B84,[1]Afgrødedata!$A$5:$F$18,2,FALSE)*IF(D84="Økologisk",VLOOKUP(B84,[1]Afgrødedata!$A$5:$F$18,4,FALSE),1)*IF(E84&lt;&gt;Jordbund1,IF(E84=Organ6,VLOOKUP(B84,[1]Afgrødedata!$A$5:$F$18,5,FALSE),VLOOKUP(B84,[1]Afgrødedata!$A$5:$F$18,6,FALSE)),1)*0.1</f>
        <v>13219.631998266195</v>
      </c>
      <c r="I84" s="168">
        <f>G84*VLOOKUP(B84,[1]Afgrødedata!$A$5:$F$18,3,FALSE)*IF(D84="Økologisk",VLOOKUP(B84,[1]Afgrødedata!$A$5:$F$18,4,FALSE),1)*IF(E84&lt;&gt;Jordbund1,IF(E84=Organ6,VLOOKUP(B84,[1]Afgrødedata!$A$5:$F$18,5,FALSE),VLOOKUP(B84,[1]Afgrødedata!$A$5:$F$18,6,FALSE)),1)*HLOOKUP(C84,Landbrug!$C$15:$E$17,2,FALSE)*HLOOKUP(C84,Landbrug!$C$15:$E$17,3,FALSE)*0.1</f>
        <v>0</v>
      </c>
      <c r="J84" s="76">
        <f t="shared" ref="J84" si="17">IF(I84&lt;&gt;0,I84,H84)</f>
        <v>13219.631998266195</v>
      </c>
    </row>
    <row r="85" spans="1:10" x14ac:dyDescent="0.25">
      <c r="A85" t="s">
        <v>23</v>
      </c>
      <c r="B85" s="1" t="str">
        <f>[1]Afgrødefordeling!$C$15</f>
        <v>Permanent græs</v>
      </c>
      <c r="C85">
        <v>2050</v>
      </c>
      <c r="D85" t="s">
        <v>8</v>
      </c>
      <c r="E85" s="168" t="str">
        <f t="shared" si="11"/>
        <v>JB1-10</v>
      </c>
      <c r="F85" t="str">
        <f t="shared" si="14"/>
        <v>Græs</v>
      </c>
      <c r="G85" s="76" cm="1">
        <f t="array" ref="G85">IF(A85="Vestdanmark",IF(D85="Konventionel",IF(C85=2019,SUMPRODUCT((B85='Landbrugsareal - resultat'!$B$6:$B$19)*(INDEX('Landbrugsareal - resultat'!$C$6:$E$19,,MATCH(E85,'Landbrugsareal - resultat'!$C$5:$E$5,0)))),IF(C85=2030,SUMPRODUCT((B85='Landbrugsareal - resultat'!$B$6:$B$19)*(INDEX('Landbrugsareal - resultat'!$F$6:$H$19,,MATCH(E85,'Landbrugsareal - resultat'!$F$5:$H$5,0)))),SUMPRODUCT((B85='Landbrugsareal - resultat'!$B$6:$B$19)*(INDEX('Landbrugsareal - resultat'!$I$6:$K$19,,MATCH(E85,'Landbrugsareal - resultat'!$I$5:$K$5,0)))))),IF(C85=2019,SUMPRODUCT((B85='Landbrugsareal - resultat'!$B$6:$B$19)*(INDEX('Landbrugsareal - resultat'!$L$6:$N$19,,MATCH(E85,'Landbrugsareal - resultat'!$L$5:$N$5,0)))),IF(C85=2030,SUMPRODUCT((B85='Landbrugsareal - resultat'!$B$6:$B$19)*(INDEX('Landbrugsareal - resultat'!$O$6:$Q$19,,MATCH(E85,'Landbrugsareal - resultat'!$O$5:$Q$5,0)))),SUMPRODUCT((B85='Landbrugsareal - resultat'!$B$6:$B$19)*(INDEX('Landbrugsareal - resultat'!$R$6:$T$19,,MATCH(E85,'Landbrugsareal - resultat'!$R$5:$T$5,0))))))),IF(D85="Konventionel",IF(C85=2019,SUMPRODUCT((B85='Landbrugsareal - resultat'!$B$33:$B$46)*(INDEX('Landbrugsareal - resultat'!$C$33:$E$46,,MATCH(E85,'Landbrugsareal - resultat'!$C$5:$E$5,0)))),IF(C85=2030,SUMPRODUCT((B85='Landbrugsareal - resultat'!$B$33:$B$46)*(INDEX('Landbrugsareal - resultat'!$F$33:$H$46,,MATCH(E85,'Landbrugsareal - resultat'!$F$5:$H$5,0)))),SUMPRODUCT((B85='Landbrugsareal - resultat'!$B$33:$B$46)*(INDEX('Landbrugsareal - resultat'!$I$33:$K$46,,MATCH(E85,'Landbrugsareal - resultat'!$I$5:$K$5,0)))))),IF(C85=2019,SUMPRODUCT((B85='Landbrugsareal - resultat'!$B$33:$B$46)*(INDEX('Landbrugsareal - resultat'!$L$33:$N$46,,MATCH(E85,'Landbrugsareal - resultat'!$L$5:$N$5,0)))),IF(C85=2030,SUMPRODUCT((B85='Landbrugsareal - resultat'!$B$33:$B$46)*(INDEX('Landbrugsareal - resultat'!$O$33:$Q$46,,MATCH(E85,'Landbrugsareal - resultat'!$O$5:$Q$5,0)))),SUMPRODUCT((B85='Landbrugsareal - resultat'!$B$33:$B$46)*(INDEX('Landbrugsareal - resultat'!$R$33:$T$46,,MATCH(E85,'Landbrugsareal - resultat'!$R$5:$T$5,0))))))))</f>
        <v>22919.706448417357</v>
      </c>
      <c r="H85" s="168">
        <f>G85*VLOOKUP(B85,[1]Afgrødedata!$A$5:$F$18,2,FALSE)*IF(D85="Økologisk",VLOOKUP(B85,[1]Afgrødedata!$A$5:$F$18,4,FALSE),1)*IF(E85&lt;&gt;Jordbund1,IF(E85=Organ6,VLOOKUP(B85,[1]Afgrødedata!$A$5:$F$18,5,FALSE),VLOOKUP(B85,[1]Afgrødedata!$A$5:$F$18,6,FALSE)),1)*0.1</f>
        <v>316062.75192367542</v>
      </c>
      <c r="I85" s="168">
        <f>G85*VLOOKUP(B85,[1]Afgrødedata!$A$5:$F$18,3,FALSE)*IF(D85="Økologisk",VLOOKUP(B85,[1]Afgrødedata!$A$5:$F$18,4,FALSE),1)*IF(E85&lt;&gt;Jordbund1,IF(E85=Organ6,VLOOKUP(B85,[1]Afgrødedata!$A$5:$F$18,5,FALSE),VLOOKUP(B85,[1]Afgrødedata!$A$5:$F$18,6,FALSE)),1)*HLOOKUP(C85,Landbrug!$C$15:$E$17,2,FALSE)*HLOOKUP(C85,Landbrug!$C$15:$E$17,3,FALSE)*0.1</f>
        <v>0</v>
      </c>
      <c r="J85" s="76">
        <f t="shared" si="15"/>
        <v>316062.75192367542</v>
      </c>
    </row>
    <row r="86" spans="1:10" x14ac:dyDescent="0.25">
      <c r="A86" t="s">
        <v>23</v>
      </c>
      <c r="B86" s="1" t="str">
        <f>[1]Afgrødefordeling!$C$2</f>
        <v>Korn</v>
      </c>
      <c r="C86">
        <v>2019</v>
      </c>
      <c r="D86" t="s">
        <v>7</v>
      </c>
      <c r="E86" s="168" t="str">
        <f t="shared" ref="E86:E117" si="18">Organ6</f>
        <v>OC6</v>
      </c>
      <c r="F86" t="str">
        <f t="shared" si="14"/>
        <v>Halm</v>
      </c>
      <c r="G86" s="76" cm="1">
        <f t="array" ref="G86">IF(A86="Vestdanmark",IF(D86="Konventionel",IF(C86=2019,SUMPRODUCT((B86='Landbrugsareal - resultat'!$B$6:$B$19)*(INDEX('Landbrugsareal - resultat'!$C$6:$E$19,,MATCH(E86,'Landbrugsareal - resultat'!$C$5:$E$5,0)))),IF(C86=2030,SUMPRODUCT((B86='Landbrugsareal - resultat'!$B$6:$B$19)*(INDEX('Landbrugsareal - resultat'!$F$6:$H$19,,MATCH(E86,'Landbrugsareal - resultat'!$F$5:$H$5,0)))),SUMPRODUCT((B86='Landbrugsareal - resultat'!$B$6:$B$19)*(INDEX('Landbrugsareal - resultat'!$I$6:$K$19,,MATCH(E86,'Landbrugsareal - resultat'!$I$5:$K$5,0)))))),IF(C86=2019,SUMPRODUCT((B86='Landbrugsareal - resultat'!$B$6:$B$19)*(INDEX('Landbrugsareal - resultat'!$L$6:$N$19,,MATCH(E86,'Landbrugsareal - resultat'!$L$5:$N$5,0)))),IF(C86=2030,SUMPRODUCT((B86='Landbrugsareal - resultat'!$B$6:$B$19)*(INDEX('Landbrugsareal - resultat'!$O$6:$Q$19,,MATCH(E86,'Landbrugsareal - resultat'!$O$5:$Q$5,0)))),SUMPRODUCT((B86='Landbrugsareal - resultat'!$B$6:$B$19)*(INDEX('Landbrugsareal - resultat'!$R$6:$T$19,,MATCH(E86,'Landbrugsareal - resultat'!$R$5:$T$5,0))))))),IF(D86="Konventionel",IF(C86=2019,SUMPRODUCT((B86='Landbrugsareal - resultat'!$B$33:$B$46)*(INDEX('Landbrugsareal - resultat'!$C$33:$E$46,,MATCH(E86,'Landbrugsareal - resultat'!$C$5:$E$5,0)))),IF(C86=2030,SUMPRODUCT((B86='Landbrugsareal - resultat'!$B$33:$B$46)*(INDEX('Landbrugsareal - resultat'!$F$33:$H$46,,MATCH(E86,'Landbrugsareal - resultat'!$F$5:$H$5,0)))),SUMPRODUCT((B86='Landbrugsareal - resultat'!$B$33:$B$46)*(INDEX('Landbrugsareal - resultat'!$I$33:$K$46,,MATCH(E86,'Landbrugsareal - resultat'!$I$5:$K$5,0)))))),IF(C86=2019,SUMPRODUCT((B86='Landbrugsareal - resultat'!$B$33:$B$46)*(INDEX('Landbrugsareal - resultat'!$L$33:$N$46,,MATCH(E86,'Landbrugsareal - resultat'!$L$5:$N$5,0)))),IF(C86=2030,SUMPRODUCT((B86='Landbrugsareal - resultat'!$B$33:$B$46)*(INDEX('Landbrugsareal - resultat'!$O$33:$Q$46,,MATCH(E86,'Landbrugsareal - resultat'!$O$5:$Q$5,0)))),SUMPRODUCT((B86='Landbrugsareal - resultat'!$B$33:$B$46)*(INDEX('Landbrugsareal - resultat'!$R$33:$T$46,,MATCH(E86,'Landbrugsareal - resultat'!$R$5:$T$5,0))))))))</f>
        <v>22635.91835790575</v>
      </c>
      <c r="H86" s="168">
        <f>G86*VLOOKUP(B86,[1]Afgrødedata!$A$5:$F$18,2,FALSE)*IF(D86="Økologisk",VLOOKUP(B86,[1]Afgrødedata!$A$5:$F$18,4,FALSE),1)*IF(E86&lt;&gt;Jordbund1,IF(E86=Organ6,VLOOKUP(B86,[1]Afgrødedata!$A$5:$F$18,5,FALSE),VLOOKUP(B86,[1]Afgrødedata!$A$5:$F$18,6,FALSE)),1)*0.1</f>
        <v>190413.34522670315</v>
      </c>
      <c r="I86" s="168">
        <f>G86*VLOOKUP(B86,[1]Afgrødedata!$A$5:$F$18,3,FALSE)*IF(D86="Økologisk",VLOOKUP(B86,[1]Afgrødedata!$A$5:$F$18,4,FALSE),1)*IF(E86&lt;&gt;Jordbund1,IF(E86=Organ6,VLOOKUP(B86,[1]Afgrødedata!$A$5:$F$18,5,FALSE),VLOOKUP(B86,[1]Afgrødedata!$A$5:$F$18,6,FALSE)),1)*HLOOKUP(C86,Landbrug!$C$15:$E$17,2,FALSE)*HLOOKUP(C86,Landbrug!$C$15:$E$17,3,FALSE)*0.1</f>
        <v>62150.439848632843</v>
      </c>
      <c r="J86" s="76">
        <f t="shared" si="15"/>
        <v>62150.439848632843</v>
      </c>
    </row>
    <row r="87" spans="1:10" x14ac:dyDescent="0.25">
      <c r="A87" t="s">
        <v>23</v>
      </c>
      <c r="B87" s="1" t="str">
        <f>[1]Afgrødefordeling!$C$3</f>
        <v>Bælgsæd</v>
      </c>
      <c r="C87">
        <v>2019</v>
      </c>
      <c r="D87" t="s">
        <v>7</v>
      </c>
      <c r="E87" s="168" t="str">
        <f t="shared" si="18"/>
        <v>OC6</v>
      </c>
      <c r="F87" t="str">
        <f t="shared" si="14"/>
        <v>Halm</v>
      </c>
      <c r="G87" s="76" cm="1">
        <f t="array" ref="G87">IF(A87="Vestdanmark",IF(D87="Konventionel",IF(C87=2019,SUMPRODUCT((B87='Landbrugsareal - resultat'!$B$6:$B$19)*(INDEX('Landbrugsareal - resultat'!$C$6:$E$19,,MATCH(E87,'Landbrugsareal - resultat'!$C$5:$E$5,0)))),IF(C87=2030,SUMPRODUCT((B87='Landbrugsareal - resultat'!$B$6:$B$19)*(INDEX('Landbrugsareal - resultat'!$F$6:$H$19,,MATCH(E87,'Landbrugsareal - resultat'!$F$5:$H$5,0)))),SUMPRODUCT((B87='Landbrugsareal - resultat'!$B$6:$B$19)*(INDEX('Landbrugsareal - resultat'!$I$6:$K$19,,MATCH(E87,'Landbrugsareal - resultat'!$I$5:$K$5,0)))))),IF(C87=2019,SUMPRODUCT((B87='Landbrugsareal - resultat'!$B$6:$B$19)*(INDEX('Landbrugsareal - resultat'!$L$6:$N$19,,MATCH(E87,'Landbrugsareal - resultat'!$L$5:$N$5,0)))),IF(C87=2030,SUMPRODUCT((B87='Landbrugsareal - resultat'!$B$6:$B$19)*(INDEX('Landbrugsareal - resultat'!$O$6:$Q$19,,MATCH(E87,'Landbrugsareal - resultat'!$O$5:$Q$5,0)))),SUMPRODUCT((B87='Landbrugsareal - resultat'!$B$6:$B$19)*(INDEX('Landbrugsareal - resultat'!$R$6:$T$19,,MATCH(E87,'Landbrugsareal - resultat'!$R$5:$T$5,0))))))),IF(D87="Konventionel",IF(C87=2019,SUMPRODUCT((B87='Landbrugsareal - resultat'!$B$33:$B$46)*(INDEX('Landbrugsareal - resultat'!$C$33:$E$46,,MATCH(E87,'Landbrugsareal - resultat'!$C$5:$E$5,0)))),IF(C87=2030,SUMPRODUCT((B87='Landbrugsareal - resultat'!$B$33:$B$46)*(INDEX('Landbrugsareal - resultat'!$F$33:$H$46,,MATCH(E87,'Landbrugsareal - resultat'!$F$5:$H$5,0)))),SUMPRODUCT((B87='Landbrugsareal - resultat'!$B$33:$B$46)*(INDEX('Landbrugsareal - resultat'!$I$33:$K$46,,MATCH(E87,'Landbrugsareal - resultat'!$I$5:$K$5,0)))))),IF(C87=2019,SUMPRODUCT((B87='Landbrugsareal - resultat'!$B$33:$B$46)*(INDEX('Landbrugsareal - resultat'!$L$33:$N$46,,MATCH(E87,'Landbrugsareal - resultat'!$L$5:$N$5,0)))),IF(C87=2030,SUMPRODUCT((B87='Landbrugsareal - resultat'!$B$33:$B$46)*(INDEX('Landbrugsareal - resultat'!$O$33:$Q$46,,MATCH(E87,'Landbrugsareal - resultat'!$O$5:$Q$5,0)))),SUMPRODUCT((B87='Landbrugsareal - resultat'!$B$33:$B$46)*(INDEX('Landbrugsareal - resultat'!$R$33:$T$46,,MATCH(E87,'Landbrugsareal - resultat'!$R$5:$T$5,0))))))))</f>
        <v>1940.4460603454415</v>
      </c>
      <c r="H87" s="168">
        <f>G87*VLOOKUP(B87,[1]Afgrødedata!$A$5:$F$18,2,FALSE)*IF(D87="Økologisk",VLOOKUP(B87,[1]Afgrødedata!$A$5:$F$18,4,FALSE),1)*IF(E87&lt;&gt;Jordbund1,IF(E87=Organ6,VLOOKUP(B87,[1]Afgrødedata!$A$5:$F$18,5,FALSE),VLOOKUP(B87,[1]Afgrødedata!$A$5:$F$18,6,FALSE)),1)*0.1</f>
        <v>8988.1461515200845</v>
      </c>
      <c r="I87" s="168">
        <f>G87*VLOOKUP(B87,[1]Afgrødedata!$A$5:$F$18,3,FALSE)*IF(D87="Økologisk",VLOOKUP(B87,[1]Afgrødedata!$A$5:$F$18,4,FALSE),1)*IF(E87&lt;&gt;Jordbund1,IF(E87=Organ6,VLOOKUP(B87,[1]Afgrødedata!$A$5:$F$18,5,FALSE),VLOOKUP(B87,[1]Afgrødedata!$A$5:$F$18,6,FALSE)),1)*HLOOKUP(C87,Landbrug!$C$15:$E$17,2,FALSE)*HLOOKUP(C87,Landbrug!$C$15:$E$17,3,FALSE)*0.1</f>
        <v>2668.3895360672122</v>
      </c>
      <c r="J87" s="76">
        <f t="shared" si="15"/>
        <v>2668.3895360672122</v>
      </c>
    </row>
    <row r="88" spans="1:10" x14ac:dyDescent="0.25">
      <c r="A88" t="s">
        <v>23</v>
      </c>
      <c r="B88" s="1" t="str">
        <f>[1]Afgrødefordeling!$C$4</f>
        <v>Raps</v>
      </c>
      <c r="C88">
        <v>2019</v>
      </c>
      <c r="D88" t="s">
        <v>7</v>
      </c>
      <c r="E88" s="168" t="str">
        <f t="shared" si="18"/>
        <v>OC6</v>
      </c>
      <c r="F88" t="str">
        <f t="shared" si="14"/>
        <v>Halm</v>
      </c>
      <c r="G88" s="76" cm="1">
        <f t="array" ref="G88">IF(A88="Vestdanmark",IF(D88="Konventionel",IF(C88=2019,SUMPRODUCT((B88='Landbrugsareal - resultat'!$B$6:$B$19)*(INDEX('Landbrugsareal - resultat'!$C$6:$E$19,,MATCH(E88,'Landbrugsareal - resultat'!$C$5:$E$5,0)))),IF(C88=2030,SUMPRODUCT((B88='Landbrugsareal - resultat'!$B$6:$B$19)*(INDEX('Landbrugsareal - resultat'!$F$6:$H$19,,MATCH(E88,'Landbrugsareal - resultat'!$F$5:$H$5,0)))),SUMPRODUCT((B88='Landbrugsareal - resultat'!$B$6:$B$19)*(INDEX('Landbrugsareal - resultat'!$I$6:$K$19,,MATCH(E88,'Landbrugsareal - resultat'!$I$5:$K$5,0)))))),IF(C88=2019,SUMPRODUCT((B88='Landbrugsareal - resultat'!$B$6:$B$19)*(INDEX('Landbrugsareal - resultat'!$L$6:$N$19,,MATCH(E88,'Landbrugsareal - resultat'!$L$5:$N$5,0)))),IF(C88=2030,SUMPRODUCT((B88='Landbrugsareal - resultat'!$B$6:$B$19)*(INDEX('Landbrugsareal - resultat'!$O$6:$Q$19,,MATCH(E88,'Landbrugsareal - resultat'!$O$5:$Q$5,0)))),SUMPRODUCT((B88='Landbrugsareal - resultat'!$B$6:$B$19)*(INDEX('Landbrugsareal - resultat'!$R$6:$T$19,,MATCH(E88,'Landbrugsareal - resultat'!$R$5:$T$5,0))))))),IF(D88="Konventionel",IF(C88=2019,SUMPRODUCT((B88='Landbrugsareal - resultat'!$B$33:$B$46)*(INDEX('Landbrugsareal - resultat'!$C$33:$E$46,,MATCH(E88,'Landbrugsareal - resultat'!$C$5:$E$5,0)))),IF(C88=2030,SUMPRODUCT((B88='Landbrugsareal - resultat'!$B$33:$B$46)*(INDEX('Landbrugsareal - resultat'!$F$33:$H$46,,MATCH(E88,'Landbrugsareal - resultat'!$F$5:$H$5,0)))),SUMPRODUCT((B88='Landbrugsareal - resultat'!$B$33:$B$46)*(INDEX('Landbrugsareal - resultat'!$I$33:$K$46,,MATCH(E88,'Landbrugsareal - resultat'!$I$5:$K$5,0)))))),IF(C88=2019,SUMPRODUCT((B88='Landbrugsareal - resultat'!$B$33:$B$46)*(INDEX('Landbrugsareal - resultat'!$L$33:$N$46,,MATCH(E88,'Landbrugsareal - resultat'!$L$5:$N$5,0)))),IF(C88=2030,SUMPRODUCT((B88='Landbrugsareal - resultat'!$B$33:$B$46)*(INDEX('Landbrugsareal - resultat'!$O$33:$Q$46,,MATCH(E88,'Landbrugsareal - resultat'!$O$5:$Q$5,0)))),SUMPRODUCT((B88='Landbrugsareal - resultat'!$B$33:$B$46)*(INDEX('Landbrugsareal - resultat'!$R$33:$T$46,,MATCH(E88,'Landbrugsareal - resultat'!$R$5:$T$5,0))))))))</f>
        <v>2077.7966510372653</v>
      </c>
      <c r="H88" s="168">
        <f>G88*VLOOKUP(B88,[1]Afgrødedata!$A$5:$F$18,2,FALSE)*IF(D88="Økologisk",VLOOKUP(B88,[1]Afgrødedata!$A$5:$F$18,4,FALSE),1)*IF(E88&lt;&gt;Jordbund1,IF(E88=Organ6,VLOOKUP(B88,[1]Afgrødedata!$A$5:$F$18,5,FALSE),VLOOKUP(B88,[1]Afgrødedata!$A$5:$F$18,6,FALSE)),1)*0.1</f>
        <v>10970.766317476762</v>
      </c>
      <c r="I88" s="168">
        <f>G88*VLOOKUP(B88,[1]Afgrødedata!$A$5:$F$18,3,FALSE)*IF(D88="Økologisk",VLOOKUP(B88,[1]Afgrødedata!$A$5:$F$18,4,FALSE),1)*IF(E88&lt;&gt;Jordbund1,IF(E88=Organ6,VLOOKUP(B88,[1]Afgrødedata!$A$5:$F$18,5,FALSE),VLOOKUP(B88,[1]Afgrødedata!$A$5:$F$18,6,FALSE)),1)*HLOOKUP(C88,Landbrug!$C$15:$E$17,2,FALSE)*HLOOKUP(C88,Landbrug!$C$15:$E$17,3,FALSE)*0.1</f>
        <v>5859.5411439959262</v>
      </c>
      <c r="J88" s="76">
        <f t="shared" si="15"/>
        <v>5859.5411439959262</v>
      </c>
    </row>
    <row r="89" spans="1:10" x14ac:dyDescent="0.25">
      <c r="A89" t="s">
        <v>23</v>
      </c>
      <c r="B89" s="1" t="str">
        <f>[1]Afgrødefordeling!$C$5</f>
        <v>Græs</v>
      </c>
      <c r="C89">
        <v>2019</v>
      </c>
      <c r="D89" t="s">
        <v>7</v>
      </c>
      <c r="E89" s="168" t="str">
        <f t="shared" si="18"/>
        <v>OC6</v>
      </c>
      <c r="F89" t="str">
        <f t="shared" si="14"/>
        <v>Græs</v>
      </c>
      <c r="G89" s="76" cm="1">
        <f t="array" ref="G89">IF(A89="Vestdanmark",IF(D89="Konventionel",IF(C89=2019,SUMPRODUCT((B89='Landbrugsareal - resultat'!$B$6:$B$19)*(INDEX('Landbrugsareal - resultat'!$C$6:$E$19,,MATCH(E89,'Landbrugsareal - resultat'!$C$5:$E$5,0)))),IF(C89=2030,SUMPRODUCT((B89='Landbrugsareal - resultat'!$B$6:$B$19)*(INDEX('Landbrugsareal - resultat'!$F$6:$H$19,,MATCH(E89,'Landbrugsareal - resultat'!$F$5:$H$5,0)))),SUMPRODUCT((B89='Landbrugsareal - resultat'!$B$6:$B$19)*(INDEX('Landbrugsareal - resultat'!$I$6:$K$19,,MATCH(E89,'Landbrugsareal - resultat'!$I$5:$K$5,0)))))),IF(C89=2019,SUMPRODUCT((B89='Landbrugsareal - resultat'!$B$6:$B$19)*(INDEX('Landbrugsareal - resultat'!$L$6:$N$19,,MATCH(E89,'Landbrugsareal - resultat'!$L$5:$N$5,0)))),IF(C89=2030,SUMPRODUCT((B89='Landbrugsareal - resultat'!$B$6:$B$19)*(INDEX('Landbrugsareal - resultat'!$O$6:$Q$19,,MATCH(E89,'Landbrugsareal - resultat'!$O$5:$Q$5,0)))),SUMPRODUCT((B89='Landbrugsareal - resultat'!$B$6:$B$19)*(INDEX('Landbrugsareal - resultat'!$R$6:$T$19,,MATCH(E89,'Landbrugsareal - resultat'!$R$5:$T$5,0))))))),IF(D89="Konventionel",IF(C89=2019,SUMPRODUCT((B89='Landbrugsareal - resultat'!$B$33:$B$46)*(INDEX('Landbrugsareal - resultat'!$C$33:$E$46,,MATCH(E89,'Landbrugsareal - resultat'!$C$5:$E$5,0)))),IF(C89=2030,SUMPRODUCT((B89='Landbrugsareal - resultat'!$B$33:$B$46)*(INDEX('Landbrugsareal - resultat'!$F$33:$H$46,,MATCH(E89,'Landbrugsareal - resultat'!$F$5:$H$5,0)))),SUMPRODUCT((B89='Landbrugsareal - resultat'!$B$33:$B$46)*(INDEX('Landbrugsareal - resultat'!$I$33:$K$46,,MATCH(E89,'Landbrugsareal - resultat'!$I$5:$K$5,0)))))),IF(C89=2019,SUMPRODUCT((B89='Landbrugsareal - resultat'!$B$33:$B$46)*(INDEX('Landbrugsareal - resultat'!$L$33:$N$46,,MATCH(E89,'Landbrugsareal - resultat'!$L$5:$N$5,0)))),IF(C89=2030,SUMPRODUCT((B89='Landbrugsareal - resultat'!$B$33:$B$46)*(INDEX('Landbrugsareal - resultat'!$O$33:$Q$46,,MATCH(E89,'Landbrugsareal - resultat'!$O$5:$Q$5,0)))),SUMPRODUCT((B89='Landbrugsareal - resultat'!$B$33:$B$46)*(INDEX('Landbrugsareal - resultat'!$R$33:$T$46,,MATCH(E89,'Landbrugsareal - resultat'!$R$5:$T$5,0))))))))</f>
        <v>19174.640913496198</v>
      </c>
      <c r="H89" s="168">
        <f>G89*VLOOKUP(B89,[1]Afgrødedata!$A$5:$F$18,2,FALSE)*IF(D89="Økologisk",VLOOKUP(B89,[1]Afgrødedata!$A$5:$F$18,4,FALSE),1)*IF(E89&lt;&gt;Jordbund1,IF(E89=Organ6,VLOOKUP(B89,[1]Afgrødedata!$A$5:$F$18,5,FALSE),VLOOKUP(B89,[1]Afgrødedata!$A$5:$F$18,6,FALSE)),1)*0.1</f>
        <v>1141734.8185532177</v>
      </c>
      <c r="I89" s="168">
        <f>G89*VLOOKUP(B89,[1]Afgrødedata!$A$5:$F$18,3,FALSE)*IF(D89="Økologisk",VLOOKUP(B89,[1]Afgrødedata!$A$5:$F$18,4,FALSE),1)*IF(E89&lt;&gt;Jordbund1,IF(E89=Organ6,VLOOKUP(B89,[1]Afgrødedata!$A$5:$F$18,5,FALSE),VLOOKUP(B89,[1]Afgrødedata!$A$5:$F$18,6,FALSE)),1)*HLOOKUP(C89,Landbrug!$C$15:$E$17,2,FALSE)*HLOOKUP(C89,Landbrug!$C$15:$E$17,3,FALSE)*0.1</f>
        <v>0</v>
      </c>
      <c r="J89" s="76">
        <f t="shared" si="15"/>
        <v>1141734.8185532177</v>
      </c>
    </row>
    <row r="90" spans="1:10" x14ac:dyDescent="0.25">
      <c r="A90" t="s">
        <v>23</v>
      </c>
      <c r="B90" s="1" t="str">
        <f>[1]Afgrødefordeling!$C$6</f>
        <v>Grøntsager</v>
      </c>
      <c r="C90">
        <v>2019</v>
      </c>
      <c r="D90" t="s">
        <v>7</v>
      </c>
      <c r="E90" s="168" t="str">
        <f t="shared" si="18"/>
        <v>OC6</v>
      </c>
      <c r="F90" t="str">
        <f t="shared" si="14"/>
        <v>Grøntsager</v>
      </c>
      <c r="G90" s="76" cm="1">
        <f t="array" ref="G90">IF(A90="Vestdanmark",IF(D90="Konventionel",IF(C90=2019,SUMPRODUCT((B90='Landbrugsareal - resultat'!$B$6:$B$19)*(INDEX('Landbrugsareal - resultat'!$C$6:$E$19,,MATCH(E90,'Landbrugsareal - resultat'!$C$5:$E$5,0)))),IF(C90=2030,SUMPRODUCT((B90='Landbrugsareal - resultat'!$B$6:$B$19)*(INDEX('Landbrugsareal - resultat'!$F$6:$H$19,,MATCH(E90,'Landbrugsareal - resultat'!$F$5:$H$5,0)))),SUMPRODUCT((B90='Landbrugsareal - resultat'!$B$6:$B$19)*(INDEX('Landbrugsareal - resultat'!$I$6:$K$19,,MATCH(E90,'Landbrugsareal - resultat'!$I$5:$K$5,0)))))),IF(C90=2019,SUMPRODUCT((B90='Landbrugsareal - resultat'!$B$6:$B$19)*(INDEX('Landbrugsareal - resultat'!$L$6:$N$19,,MATCH(E90,'Landbrugsareal - resultat'!$L$5:$N$5,0)))),IF(C90=2030,SUMPRODUCT((B90='Landbrugsareal - resultat'!$B$6:$B$19)*(INDEX('Landbrugsareal - resultat'!$O$6:$Q$19,,MATCH(E90,'Landbrugsareal - resultat'!$O$5:$Q$5,0)))),SUMPRODUCT((B90='Landbrugsareal - resultat'!$B$6:$B$19)*(INDEX('Landbrugsareal - resultat'!$R$6:$T$19,,MATCH(E90,'Landbrugsareal - resultat'!$R$5:$T$5,0))))))),IF(D90="Konventionel",IF(C90=2019,SUMPRODUCT((B90='Landbrugsareal - resultat'!$B$33:$B$46)*(INDEX('Landbrugsareal - resultat'!$C$33:$E$46,,MATCH(E90,'Landbrugsareal - resultat'!$C$5:$E$5,0)))),IF(C90=2030,SUMPRODUCT((B90='Landbrugsareal - resultat'!$B$33:$B$46)*(INDEX('Landbrugsareal - resultat'!$F$33:$H$46,,MATCH(E90,'Landbrugsareal - resultat'!$F$5:$H$5,0)))),SUMPRODUCT((B90='Landbrugsareal - resultat'!$B$33:$B$46)*(INDEX('Landbrugsareal - resultat'!$I$33:$K$46,,MATCH(E90,'Landbrugsareal - resultat'!$I$5:$K$5,0)))))),IF(C90=2019,SUMPRODUCT((B90='Landbrugsareal - resultat'!$B$33:$B$46)*(INDEX('Landbrugsareal - resultat'!$L$33:$N$46,,MATCH(E90,'Landbrugsareal - resultat'!$L$5:$N$5,0)))),IF(C90=2030,SUMPRODUCT((B90='Landbrugsareal - resultat'!$B$33:$B$46)*(INDEX('Landbrugsareal - resultat'!$O$33:$Q$46,,MATCH(E90,'Landbrugsareal - resultat'!$O$5:$Q$5,0)))),SUMPRODUCT((B90='Landbrugsareal - resultat'!$B$33:$B$46)*(INDEX('Landbrugsareal - resultat'!$R$33:$T$46,,MATCH(E90,'Landbrugsareal - resultat'!$R$5:$T$5,0))))))))</f>
        <v>89.680516787297492</v>
      </c>
      <c r="H90" s="168">
        <f>G90*VLOOKUP(B90,[1]Afgrødedata!$A$5:$F$18,2,FALSE)*IF(D90="Økologisk",VLOOKUP(B90,[1]Afgrødedata!$A$5:$F$18,4,FALSE),1)*IF(E90&lt;&gt;Jordbund1,IF(E90=Organ6,VLOOKUP(B90,[1]Afgrødedata!$A$5:$F$18,5,FALSE),VLOOKUP(B90,[1]Afgrødedata!$A$5:$F$18,6,FALSE)),1)*0.1</f>
        <v>2233.0448680037075</v>
      </c>
      <c r="I90" s="168">
        <f>G90*VLOOKUP(B90,[1]Afgrødedata!$A$5:$F$18,3,FALSE)*IF(D90="Økologisk",VLOOKUP(B90,[1]Afgrødedata!$A$5:$F$18,4,FALSE),1)*IF(E90&lt;&gt;Jordbund1,IF(E90=Organ6,VLOOKUP(B90,[1]Afgrødedata!$A$5:$F$18,5,FALSE),VLOOKUP(B90,[1]Afgrødedata!$A$5:$F$18,6,FALSE)),1)*HLOOKUP(C90,Landbrug!$C$15:$E$17,2,FALSE)*HLOOKUP(C90,Landbrug!$C$15:$E$17,3,FALSE)*0.1</f>
        <v>0</v>
      </c>
      <c r="J90" s="76">
        <f t="shared" si="15"/>
        <v>2233.0448680037075</v>
      </c>
    </row>
    <row r="91" spans="1:10" x14ac:dyDescent="0.25">
      <c r="A91" t="s">
        <v>23</v>
      </c>
      <c r="B91" s="1" t="str">
        <f>[1]Afgrødefordeling!$C$7</f>
        <v>Kartofler</v>
      </c>
      <c r="C91">
        <v>2019</v>
      </c>
      <c r="D91" t="s">
        <v>7</v>
      </c>
      <c r="E91" s="168" t="str">
        <f t="shared" si="18"/>
        <v>OC6</v>
      </c>
      <c r="F91" t="str">
        <f t="shared" si="14"/>
        <v>Kartofler</v>
      </c>
      <c r="G91" s="76" cm="1">
        <f t="array" ref="G91">IF(A91="Vestdanmark",IF(D91="Konventionel",IF(C91=2019,SUMPRODUCT((B91='Landbrugsareal - resultat'!$B$6:$B$19)*(INDEX('Landbrugsareal - resultat'!$C$6:$E$19,,MATCH(E91,'Landbrugsareal - resultat'!$C$5:$E$5,0)))),IF(C91=2030,SUMPRODUCT((B91='Landbrugsareal - resultat'!$B$6:$B$19)*(INDEX('Landbrugsareal - resultat'!$F$6:$H$19,,MATCH(E91,'Landbrugsareal - resultat'!$F$5:$H$5,0)))),SUMPRODUCT((B91='Landbrugsareal - resultat'!$B$6:$B$19)*(INDEX('Landbrugsareal - resultat'!$I$6:$K$19,,MATCH(E91,'Landbrugsareal - resultat'!$I$5:$K$5,0)))))),IF(C91=2019,SUMPRODUCT((B91='Landbrugsareal - resultat'!$B$6:$B$19)*(INDEX('Landbrugsareal - resultat'!$L$6:$N$19,,MATCH(E91,'Landbrugsareal - resultat'!$L$5:$N$5,0)))),IF(C91=2030,SUMPRODUCT((B91='Landbrugsareal - resultat'!$B$6:$B$19)*(INDEX('Landbrugsareal - resultat'!$O$6:$Q$19,,MATCH(E91,'Landbrugsareal - resultat'!$O$5:$Q$5,0)))),SUMPRODUCT((B91='Landbrugsareal - resultat'!$B$6:$B$19)*(INDEX('Landbrugsareal - resultat'!$R$6:$T$19,,MATCH(E91,'Landbrugsareal - resultat'!$R$5:$T$5,0))))))),IF(D91="Konventionel",IF(C91=2019,SUMPRODUCT((B91='Landbrugsareal - resultat'!$B$33:$B$46)*(INDEX('Landbrugsareal - resultat'!$C$33:$E$46,,MATCH(E91,'Landbrugsareal - resultat'!$C$5:$E$5,0)))),IF(C91=2030,SUMPRODUCT((B91='Landbrugsareal - resultat'!$B$33:$B$46)*(INDEX('Landbrugsareal - resultat'!$F$33:$H$46,,MATCH(E91,'Landbrugsareal - resultat'!$F$5:$H$5,0)))),SUMPRODUCT((B91='Landbrugsareal - resultat'!$B$33:$B$46)*(INDEX('Landbrugsareal - resultat'!$I$33:$K$46,,MATCH(E91,'Landbrugsareal - resultat'!$I$5:$K$5,0)))))),IF(C91=2019,SUMPRODUCT((B91='Landbrugsareal - resultat'!$B$33:$B$46)*(INDEX('Landbrugsareal - resultat'!$L$33:$N$46,,MATCH(E91,'Landbrugsareal - resultat'!$L$5:$N$5,0)))),IF(C91=2030,SUMPRODUCT((B91='Landbrugsareal - resultat'!$B$33:$B$46)*(INDEX('Landbrugsareal - resultat'!$O$33:$Q$46,,MATCH(E91,'Landbrugsareal - resultat'!$O$5:$Q$5,0)))),SUMPRODUCT((B91='Landbrugsareal - resultat'!$B$33:$B$46)*(INDEX('Landbrugsareal - resultat'!$R$33:$T$46,,MATCH(E91,'Landbrugsareal - resultat'!$R$5:$T$5,0))))))))</f>
        <v>1415.8229166406438</v>
      </c>
      <c r="H91" s="168">
        <f>G91*VLOOKUP(B91,[1]Afgrødedata!$A$5:$F$18,2,FALSE)*IF(D91="Økologisk",VLOOKUP(B91,[1]Afgrødedata!$A$5:$F$18,4,FALSE),1)*IF(E91&lt;&gt;Jordbund1,IF(E91=Organ6,VLOOKUP(B91,[1]Afgrødedata!$A$5:$F$18,5,FALSE),VLOOKUP(B91,[1]Afgrødedata!$A$5:$F$18,6,FALSE)),1)*0.1</f>
        <v>72157.52731348855</v>
      </c>
      <c r="I91" s="168">
        <f>G91*VLOOKUP(B91,[1]Afgrødedata!$A$5:$F$18,3,FALSE)*IF(D91="Økologisk",VLOOKUP(B91,[1]Afgrødedata!$A$5:$F$18,4,FALSE),1)*IF(E91&lt;&gt;Jordbund1,IF(E91=Organ6,VLOOKUP(B91,[1]Afgrødedata!$A$5:$F$18,5,FALSE),VLOOKUP(B91,[1]Afgrødedata!$A$5:$F$18,6,FALSE)),1)*HLOOKUP(C91,Landbrug!$C$15:$E$17,2,FALSE)*HLOOKUP(C91,Landbrug!$C$15:$E$17,3,FALSE)*0.1</f>
        <v>0</v>
      </c>
      <c r="J91" s="76">
        <f t="shared" si="15"/>
        <v>72157.52731348855</v>
      </c>
    </row>
    <row r="92" spans="1:10" x14ac:dyDescent="0.25">
      <c r="A92" t="s">
        <v>23</v>
      </c>
      <c r="B92" s="1" t="str">
        <f>[1]Afgrødefordeling!$C$8</f>
        <v>Roer</v>
      </c>
      <c r="C92">
        <v>2019</v>
      </c>
      <c r="D92" t="s">
        <v>7</v>
      </c>
      <c r="E92" s="168" t="str">
        <f t="shared" si="18"/>
        <v>OC6</v>
      </c>
      <c r="F92" t="str">
        <f t="shared" si="14"/>
        <v>Roer</v>
      </c>
      <c r="G92" s="76" cm="1">
        <f t="array" ref="G92">IF(A92="Vestdanmark",IF(D92="Konventionel",IF(C92=2019,SUMPRODUCT((B92='Landbrugsareal - resultat'!$B$6:$B$19)*(INDEX('Landbrugsareal - resultat'!$C$6:$E$19,,MATCH(E92,'Landbrugsareal - resultat'!$C$5:$E$5,0)))),IF(C92=2030,SUMPRODUCT((B92='Landbrugsareal - resultat'!$B$6:$B$19)*(INDEX('Landbrugsareal - resultat'!$F$6:$H$19,,MATCH(E92,'Landbrugsareal - resultat'!$F$5:$H$5,0)))),SUMPRODUCT((B92='Landbrugsareal - resultat'!$B$6:$B$19)*(INDEX('Landbrugsareal - resultat'!$I$6:$K$19,,MATCH(E92,'Landbrugsareal - resultat'!$I$5:$K$5,0)))))),IF(C92=2019,SUMPRODUCT((B92='Landbrugsareal - resultat'!$B$6:$B$19)*(INDEX('Landbrugsareal - resultat'!$L$6:$N$19,,MATCH(E92,'Landbrugsareal - resultat'!$L$5:$N$5,0)))),IF(C92=2030,SUMPRODUCT((B92='Landbrugsareal - resultat'!$B$6:$B$19)*(INDEX('Landbrugsareal - resultat'!$O$6:$Q$19,,MATCH(E92,'Landbrugsareal - resultat'!$O$5:$Q$5,0)))),SUMPRODUCT((B92='Landbrugsareal - resultat'!$B$6:$B$19)*(INDEX('Landbrugsareal - resultat'!$R$6:$T$19,,MATCH(E92,'Landbrugsareal - resultat'!$R$5:$T$5,0))))))),IF(D92="Konventionel",IF(C92=2019,SUMPRODUCT((B92='Landbrugsareal - resultat'!$B$33:$B$46)*(INDEX('Landbrugsareal - resultat'!$C$33:$E$46,,MATCH(E92,'Landbrugsareal - resultat'!$C$5:$E$5,0)))),IF(C92=2030,SUMPRODUCT((B92='Landbrugsareal - resultat'!$B$33:$B$46)*(INDEX('Landbrugsareal - resultat'!$F$33:$H$46,,MATCH(E92,'Landbrugsareal - resultat'!$F$5:$H$5,0)))),SUMPRODUCT((B92='Landbrugsareal - resultat'!$B$33:$B$46)*(INDEX('Landbrugsareal - resultat'!$I$33:$K$46,,MATCH(E92,'Landbrugsareal - resultat'!$I$5:$K$5,0)))))),IF(C92=2019,SUMPRODUCT((B92='Landbrugsareal - resultat'!$B$33:$B$46)*(INDEX('Landbrugsareal - resultat'!$L$33:$N$46,,MATCH(E92,'Landbrugsareal - resultat'!$L$5:$N$5,0)))),IF(C92=2030,SUMPRODUCT((B92='Landbrugsareal - resultat'!$B$33:$B$46)*(INDEX('Landbrugsareal - resultat'!$O$33:$Q$46,,MATCH(E92,'Landbrugsareal - resultat'!$O$5:$Q$5,0)))),SUMPRODUCT((B92='Landbrugsareal - resultat'!$B$33:$B$46)*(INDEX('Landbrugsareal - resultat'!$R$33:$T$46,,MATCH(E92,'Landbrugsareal - resultat'!$R$5:$T$5,0))))))))</f>
        <v>37.144566460621057</v>
      </c>
      <c r="H92" s="168">
        <f>G92*VLOOKUP(B92,[1]Afgrødedata!$A$5:$F$18,2,FALSE)*IF(D92="Økologisk",VLOOKUP(B92,[1]Afgrødedata!$A$5:$F$18,4,FALSE),1)*IF(E92&lt;&gt;Jordbund1,IF(E92=Organ6,VLOOKUP(B92,[1]Afgrødedata!$A$5:$F$18,5,FALSE),VLOOKUP(B92,[1]Afgrødedata!$A$5:$F$18,6,FALSE)),1)*0.1</f>
        <v>3621.7615488648539</v>
      </c>
      <c r="I92" s="168">
        <f>G92*VLOOKUP(B92,[1]Afgrødedata!$A$5:$F$18,3,FALSE)*IF(D92="Økologisk",VLOOKUP(B92,[1]Afgrødedata!$A$5:$F$18,4,FALSE),1)*IF(E92&lt;&gt;Jordbund1,IF(E92=Organ6,VLOOKUP(B92,[1]Afgrødedata!$A$5:$F$18,5,FALSE),VLOOKUP(B92,[1]Afgrødedata!$A$5:$F$18,6,FALSE)),1)*HLOOKUP(C92,Landbrug!$C$15:$E$17,2,FALSE)*HLOOKUP(C92,Landbrug!$C$15:$E$17,3,FALSE)*0.1</f>
        <v>0</v>
      </c>
      <c r="J92" s="76">
        <f t="shared" si="15"/>
        <v>3621.7615488648539</v>
      </c>
    </row>
    <row r="93" spans="1:10" x14ac:dyDescent="0.25">
      <c r="A93" t="s">
        <v>23</v>
      </c>
      <c r="B93" s="1" t="str">
        <f>[1]Afgrødefordeling!$C$9</f>
        <v>Majs</v>
      </c>
      <c r="C93">
        <v>2019</v>
      </c>
      <c r="D93" t="s">
        <v>7</v>
      </c>
      <c r="E93" s="168" t="str">
        <f t="shared" si="18"/>
        <v>OC6</v>
      </c>
      <c r="F93" t="str">
        <f t="shared" si="14"/>
        <v>Majs</v>
      </c>
      <c r="G93" s="76" cm="1">
        <f t="array" ref="G93">IF(A93="Vestdanmark",IF(D93="Konventionel",IF(C93=2019,SUMPRODUCT((B93='Landbrugsareal - resultat'!$B$6:$B$19)*(INDEX('Landbrugsareal - resultat'!$C$6:$E$19,,MATCH(E93,'Landbrugsareal - resultat'!$C$5:$E$5,0)))),IF(C93=2030,SUMPRODUCT((B93='Landbrugsareal - resultat'!$B$6:$B$19)*(INDEX('Landbrugsareal - resultat'!$F$6:$H$19,,MATCH(E93,'Landbrugsareal - resultat'!$F$5:$H$5,0)))),SUMPRODUCT((B93='Landbrugsareal - resultat'!$B$6:$B$19)*(INDEX('Landbrugsareal - resultat'!$I$6:$K$19,,MATCH(E93,'Landbrugsareal - resultat'!$I$5:$K$5,0)))))),IF(C93=2019,SUMPRODUCT((B93='Landbrugsareal - resultat'!$B$6:$B$19)*(INDEX('Landbrugsareal - resultat'!$L$6:$N$19,,MATCH(E93,'Landbrugsareal - resultat'!$L$5:$N$5,0)))),IF(C93=2030,SUMPRODUCT((B93='Landbrugsareal - resultat'!$B$6:$B$19)*(INDEX('Landbrugsareal - resultat'!$O$6:$Q$19,,MATCH(E93,'Landbrugsareal - resultat'!$O$5:$Q$5,0)))),SUMPRODUCT((B93='Landbrugsareal - resultat'!$B$6:$B$19)*(INDEX('Landbrugsareal - resultat'!$R$6:$T$19,,MATCH(E93,'Landbrugsareal - resultat'!$R$5:$T$5,0))))))),IF(D93="Konventionel",IF(C93=2019,SUMPRODUCT((B93='Landbrugsareal - resultat'!$B$33:$B$46)*(INDEX('Landbrugsareal - resultat'!$C$33:$E$46,,MATCH(E93,'Landbrugsareal - resultat'!$C$5:$E$5,0)))),IF(C93=2030,SUMPRODUCT((B93='Landbrugsareal - resultat'!$B$33:$B$46)*(INDEX('Landbrugsareal - resultat'!$F$33:$H$46,,MATCH(E93,'Landbrugsareal - resultat'!$F$5:$H$5,0)))),SUMPRODUCT((B93='Landbrugsareal - resultat'!$B$33:$B$46)*(INDEX('Landbrugsareal - resultat'!$I$33:$K$46,,MATCH(E93,'Landbrugsareal - resultat'!$I$5:$K$5,0)))))),IF(C93=2019,SUMPRODUCT((B93='Landbrugsareal - resultat'!$B$33:$B$46)*(INDEX('Landbrugsareal - resultat'!$L$33:$N$46,,MATCH(E93,'Landbrugsareal - resultat'!$L$5:$N$5,0)))),IF(C93=2030,SUMPRODUCT((B93='Landbrugsareal - resultat'!$B$33:$B$46)*(INDEX('Landbrugsareal - resultat'!$O$33:$Q$46,,MATCH(E93,'Landbrugsareal - resultat'!$O$5:$Q$5,0)))),SUMPRODUCT((B93='Landbrugsareal - resultat'!$B$33:$B$46)*(INDEX('Landbrugsareal - resultat'!$R$33:$T$46,,MATCH(E93,'Landbrugsareal - resultat'!$R$5:$T$5,0))))))))</f>
        <v>4794.8053396620016</v>
      </c>
      <c r="H93" s="168">
        <f>G93*VLOOKUP(B93,[1]Afgrødedata!$A$5:$F$18,2,FALSE)*IF(D93="Økologisk",VLOOKUP(B93,[1]Afgrødedata!$A$5:$F$18,4,FALSE),1)*IF(E93&lt;&gt;Jordbund1,IF(E93=Organ6,VLOOKUP(B93,[1]Afgrødedata!$A$5:$F$18,5,FALSE),VLOOKUP(B93,[1]Afgrødedata!$A$5:$F$18,6,FALSE)),1)*0.1</f>
        <v>256100.14280202682</v>
      </c>
      <c r="I93" s="168">
        <f>G93*VLOOKUP(B93,[1]Afgrødedata!$A$5:$F$18,3,FALSE)*IF(D93="Økologisk",VLOOKUP(B93,[1]Afgrødedata!$A$5:$F$18,4,FALSE),1)*IF(E93&lt;&gt;Jordbund1,IF(E93=Organ6,VLOOKUP(B93,[1]Afgrødedata!$A$5:$F$18,5,FALSE),VLOOKUP(B93,[1]Afgrødedata!$A$5:$F$18,6,FALSE)),1)*HLOOKUP(C93,Landbrug!$C$15:$E$17,2,FALSE)*HLOOKUP(C93,Landbrug!$C$15:$E$17,3,FALSE)*0.1</f>
        <v>0</v>
      </c>
      <c r="J93" s="76">
        <f t="shared" si="15"/>
        <v>256100.14280202682</v>
      </c>
    </row>
    <row r="94" spans="1:10" x14ac:dyDescent="0.25">
      <c r="A94" t="s">
        <v>23</v>
      </c>
      <c r="B94" s="1" t="str">
        <f>[1]Afgrødefordeling!$C$10</f>
        <v>Frugt</v>
      </c>
      <c r="C94">
        <v>2019</v>
      </c>
      <c r="D94" t="s">
        <v>7</v>
      </c>
      <c r="E94" s="168" t="str">
        <f t="shared" si="18"/>
        <v>OC6</v>
      </c>
      <c r="F94" t="str">
        <f t="shared" si="14"/>
        <v>Frugt</v>
      </c>
      <c r="G94" s="76" cm="1">
        <f t="array" ref="G94">IF(A94="Vestdanmark",IF(D94="Konventionel",IF(C94=2019,SUMPRODUCT((B94='Landbrugsareal - resultat'!$B$6:$B$19)*(INDEX('Landbrugsareal - resultat'!$C$6:$E$19,,MATCH(E94,'Landbrugsareal - resultat'!$C$5:$E$5,0)))),IF(C94=2030,SUMPRODUCT((B94='Landbrugsareal - resultat'!$B$6:$B$19)*(INDEX('Landbrugsareal - resultat'!$F$6:$H$19,,MATCH(E94,'Landbrugsareal - resultat'!$F$5:$H$5,0)))),SUMPRODUCT((B94='Landbrugsareal - resultat'!$B$6:$B$19)*(INDEX('Landbrugsareal - resultat'!$I$6:$K$19,,MATCH(E94,'Landbrugsareal - resultat'!$I$5:$K$5,0)))))),IF(C94=2019,SUMPRODUCT((B94='Landbrugsareal - resultat'!$B$6:$B$19)*(INDEX('Landbrugsareal - resultat'!$L$6:$N$19,,MATCH(E94,'Landbrugsareal - resultat'!$L$5:$N$5,0)))),IF(C94=2030,SUMPRODUCT((B94='Landbrugsareal - resultat'!$B$6:$B$19)*(INDEX('Landbrugsareal - resultat'!$O$6:$Q$19,,MATCH(E94,'Landbrugsareal - resultat'!$O$5:$Q$5,0)))),SUMPRODUCT((B94='Landbrugsareal - resultat'!$B$6:$B$19)*(INDEX('Landbrugsareal - resultat'!$R$6:$T$19,,MATCH(E94,'Landbrugsareal - resultat'!$R$5:$T$5,0))))))),IF(D94="Konventionel",IF(C94=2019,SUMPRODUCT((B94='Landbrugsareal - resultat'!$B$33:$B$46)*(INDEX('Landbrugsareal - resultat'!$C$33:$E$46,,MATCH(E94,'Landbrugsareal - resultat'!$C$5:$E$5,0)))),IF(C94=2030,SUMPRODUCT((B94='Landbrugsareal - resultat'!$B$33:$B$46)*(INDEX('Landbrugsareal - resultat'!$F$33:$H$46,,MATCH(E94,'Landbrugsareal - resultat'!$F$5:$H$5,0)))),SUMPRODUCT((B94='Landbrugsareal - resultat'!$B$33:$B$46)*(INDEX('Landbrugsareal - resultat'!$I$33:$K$46,,MATCH(E94,'Landbrugsareal - resultat'!$I$5:$K$5,0)))))),IF(C94=2019,SUMPRODUCT((B94='Landbrugsareal - resultat'!$B$33:$B$46)*(INDEX('Landbrugsareal - resultat'!$L$33:$N$46,,MATCH(E94,'Landbrugsareal - resultat'!$L$5:$N$5,0)))),IF(C94=2030,SUMPRODUCT((B94='Landbrugsareal - resultat'!$B$33:$B$46)*(INDEX('Landbrugsareal - resultat'!$O$33:$Q$46,,MATCH(E94,'Landbrugsareal - resultat'!$O$5:$Q$5,0)))),SUMPRODUCT((B94='Landbrugsareal - resultat'!$B$33:$B$46)*(INDEX('Landbrugsareal - resultat'!$R$33:$T$46,,MATCH(E94,'Landbrugsareal - resultat'!$R$5:$T$5,0))))))))</f>
        <v>81.683630839432524</v>
      </c>
      <c r="H94" s="168">
        <f>G94*VLOOKUP(B94,[1]Afgrødedata!$A$5:$F$18,2,FALSE)*IF(D94="Økologisk",VLOOKUP(B94,[1]Afgrødedata!$A$5:$F$18,4,FALSE),1)*IF(E94&lt;&gt;Jordbund1,IF(E94=Organ6,VLOOKUP(B94,[1]Afgrødedata!$A$5:$F$18,5,FALSE),VLOOKUP(B94,[1]Afgrødedata!$A$5:$F$18,6,FALSE)),1)*0.1</f>
        <v>832.19283099213862</v>
      </c>
      <c r="I94" s="168">
        <f>G94*VLOOKUP(B94,[1]Afgrødedata!$A$5:$F$18,3,FALSE)*IF(D94="Økologisk",VLOOKUP(B94,[1]Afgrødedata!$A$5:$F$18,4,FALSE),1)*IF(E94&lt;&gt;Jordbund1,IF(E94=Organ6,VLOOKUP(B94,[1]Afgrødedata!$A$5:$F$18,5,FALSE),VLOOKUP(B94,[1]Afgrødedata!$A$5:$F$18,6,FALSE)),1)*HLOOKUP(C94,Landbrug!$C$15:$E$17,2,FALSE)*HLOOKUP(C94,Landbrug!$C$15:$E$17,3,FALSE)*0.1</f>
        <v>0</v>
      </c>
      <c r="J94" s="76">
        <f t="shared" si="15"/>
        <v>832.19283099213862</v>
      </c>
    </row>
    <row r="95" spans="1:10" x14ac:dyDescent="0.25">
      <c r="A95" t="s">
        <v>23</v>
      </c>
      <c r="B95" s="1" t="str">
        <f>[1]Afgrødefordeling!$C$11</f>
        <v>Øvrige</v>
      </c>
      <c r="C95">
        <v>2019</v>
      </c>
      <c r="D95" t="s">
        <v>7</v>
      </c>
      <c r="E95" s="168" t="str">
        <f t="shared" si="18"/>
        <v>OC6</v>
      </c>
      <c r="F95" t="str">
        <f t="shared" si="14"/>
        <v>Øvrige</v>
      </c>
      <c r="G95" s="76" cm="1">
        <f t="array" ref="G95">IF(A95="Vestdanmark",IF(D95="Konventionel",IF(C95=2019,SUMPRODUCT((B95='Landbrugsareal - resultat'!$B$6:$B$19)*(INDEX('Landbrugsareal - resultat'!$C$6:$E$19,,MATCH(E95,'Landbrugsareal - resultat'!$C$5:$E$5,0)))),IF(C95=2030,SUMPRODUCT((B95='Landbrugsareal - resultat'!$B$6:$B$19)*(INDEX('Landbrugsareal - resultat'!$F$6:$H$19,,MATCH(E95,'Landbrugsareal - resultat'!$F$5:$H$5,0)))),SUMPRODUCT((B95='Landbrugsareal - resultat'!$B$6:$B$19)*(INDEX('Landbrugsareal - resultat'!$I$6:$K$19,,MATCH(E95,'Landbrugsareal - resultat'!$I$5:$K$5,0)))))),IF(C95=2019,SUMPRODUCT((B95='Landbrugsareal - resultat'!$B$6:$B$19)*(INDEX('Landbrugsareal - resultat'!$L$6:$N$19,,MATCH(E95,'Landbrugsareal - resultat'!$L$5:$N$5,0)))),IF(C95=2030,SUMPRODUCT((B95='Landbrugsareal - resultat'!$B$6:$B$19)*(INDEX('Landbrugsareal - resultat'!$O$6:$Q$19,,MATCH(E95,'Landbrugsareal - resultat'!$O$5:$Q$5,0)))),SUMPRODUCT((B95='Landbrugsareal - resultat'!$B$6:$B$19)*(INDEX('Landbrugsareal - resultat'!$R$6:$T$19,,MATCH(E95,'Landbrugsareal - resultat'!$R$5:$T$5,0))))))),IF(D95="Konventionel",IF(C95=2019,SUMPRODUCT((B95='Landbrugsareal - resultat'!$B$33:$B$46)*(INDEX('Landbrugsareal - resultat'!$C$33:$E$46,,MATCH(E95,'Landbrugsareal - resultat'!$C$5:$E$5,0)))),IF(C95=2030,SUMPRODUCT((B95='Landbrugsareal - resultat'!$B$33:$B$46)*(INDEX('Landbrugsareal - resultat'!$F$33:$H$46,,MATCH(E95,'Landbrugsareal - resultat'!$F$5:$H$5,0)))),SUMPRODUCT((B95='Landbrugsareal - resultat'!$B$33:$B$46)*(INDEX('Landbrugsareal - resultat'!$I$33:$K$46,,MATCH(E95,'Landbrugsareal - resultat'!$I$5:$K$5,0)))))),IF(C95=2019,SUMPRODUCT((B95='Landbrugsareal - resultat'!$B$33:$B$46)*(INDEX('Landbrugsareal - resultat'!$L$33:$N$46,,MATCH(E95,'Landbrugsareal - resultat'!$L$5:$N$5,0)))),IF(C95=2030,SUMPRODUCT((B95='Landbrugsareal - resultat'!$B$33:$B$46)*(INDEX('Landbrugsareal - resultat'!$O$33:$Q$46,,MATCH(E95,'Landbrugsareal - resultat'!$O$5:$Q$5,0)))),SUMPRODUCT((B95='Landbrugsareal - resultat'!$B$33:$B$46)*(INDEX('Landbrugsareal - resultat'!$R$33:$T$46,,MATCH(E95,'Landbrugsareal - resultat'!$R$5:$T$5,0))))))))</f>
        <v>1444.648640496996</v>
      </c>
      <c r="H95" s="168">
        <f>G95*VLOOKUP(B95,[1]Afgrødedata!$A$5:$F$18,2,FALSE)*IF(D95="Økologisk",VLOOKUP(B95,[1]Afgrødedata!$A$5:$F$18,4,FALSE),1)*IF(E95&lt;&gt;Jordbund1,IF(E95=Organ6,VLOOKUP(B95,[1]Afgrødedata!$A$5:$F$18,5,FALSE),VLOOKUP(B95,[1]Afgrødedata!$A$5:$F$18,6,FALSE)),1)*0.1</f>
        <v>51653.603137711965</v>
      </c>
      <c r="I95" s="168">
        <f>G95*VLOOKUP(B95,[1]Afgrødedata!$A$5:$F$18,3,FALSE)*IF(D95="Økologisk",VLOOKUP(B95,[1]Afgrødedata!$A$5:$F$18,4,FALSE),1)*IF(E95&lt;&gt;Jordbund1,IF(E95=Organ6,VLOOKUP(B95,[1]Afgrødedata!$A$5:$F$18,5,FALSE),VLOOKUP(B95,[1]Afgrødedata!$A$5:$F$18,6,FALSE)),1)*HLOOKUP(C95,Landbrug!$C$15:$E$17,2,FALSE)*HLOOKUP(C95,Landbrug!$C$15:$E$17,3,FALSE)*0.1</f>
        <v>0</v>
      </c>
      <c r="J95" s="76">
        <f t="shared" si="15"/>
        <v>51653.603137711965</v>
      </c>
    </row>
    <row r="96" spans="1:10" x14ac:dyDescent="0.25">
      <c r="A96" t="s">
        <v>23</v>
      </c>
      <c r="B96" s="1" t="str">
        <f>[1]Afgrødefordeling!$C$12</f>
        <v>Frø</v>
      </c>
      <c r="C96">
        <v>2019</v>
      </c>
      <c r="D96" t="s">
        <v>7</v>
      </c>
      <c r="E96" s="168" t="str">
        <f t="shared" si="18"/>
        <v>OC6</v>
      </c>
      <c r="F96" t="str">
        <f t="shared" si="14"/>
        <v>Halm</v>
      </c>
      <c r="G96" s="76" cm="1">
        <f t="array" ref="G96">IF(A96="Vestdanmark",IF(D96="Konventionel",IF(C96=2019,SUMPRODUCT((B96='Landbrugsareal - resultat'!$B$6:$B$19)*(INDEX('Landbrugsareal - resultat'!$C$6:$E$19,,MATCH(E96,'Landbrugsareal - resultat'!$C$5:$E$5,0)))),IF(C96=2030,SUMPRODUCT((B96='Landbrugsareal - resultat'!$B$6:$B$19)*(INDEX('Landbrugsareal - resultat'!$F$6:$H$19,,MATCH(E96,'Landbrugsareal - resultat'!$F$5:$H$5,0)))),SUMPRODUCT((B96='Landbrugsareal - resultat'!$B$6:$B$19)*(INDEX('Landbrugsareal - resultat'!$I$6:$K$19,,MATCH(E96,'Landbrugsareal - resultat'!$I$5:$K$5,0)))))),IF(C96=2019,SUMPRODUCT((B96='Landbrugsareal - resultat'!$B$6:$B$19)*(INDEX('Landbrugsareal - resultat'!$L$6:$N$19,,MATCH(E96,'Landbrugsareal - resultat'!$L$5:$N$5,0)))),IF(C96=2030,SUMPRODUCT((B96='Landbrugsareal - resultat'!$B$6:$B$19)*(INDEX('Landbrugsareal - resultat'!$O$6:$Q$19,,MATCH(E96,'Landbrugsareal - resultat'!$O$5:$Q$5,0)))),SUMPRODUCT((B96='Landbrugsareal - resultat'!$B$6:$B$19)*(INDEX('Landbrugsareal - resultat'!$R$6:$T$19,,MATCH(E96,'Landbrugsareal - resultat'!$R$5:$T$5,0))))))),IF(D96="Konventionel",IF(C96=2019,SUMPRODUCT((B96='Landbrugsareal - resultat'!$B$33:$B$46)*(INDEX('Landbrugsareal - resultat'!$C$33:$E$46,,MATCH(E96,'Landbrugsareal - resultat'!$C$5:$E$5,0)))),IF(C96=2030,SUMPRODUCT((B96='Landbrugsareal - resultat'!$B$33:$B$46)*(INDEX('Landbrugsareal - resultat'!$F$33:$H$46,,MATCH(E96,'Landbrugsareal - resultat'!$F$5:$H$5,0)))),SUMPRODUCT((B96='Landbrugsareal - resultat'!$B$33:$B$46)*(INDEX('Landbrugsareal - resultat'!$I$33:$K$46,,MATCH(E96,'Landbrugsareal - resultat'!$I$5:$K$5,0)))))),IF(C96=2019,SUMPRODUCT((B96='Landbrugsareal - resultat'!$B$33:$B$46)*(INDEX('Landbrugsareal - resultat'!$L$33:$N$46,,MATCH(E96,'Landbrugsareal - resultat'!$L$5:$N$5,0)))),IF(C96=2030,SUMPRODUCT((B96='Landbrugsareal - resultat'!$B$33:$B$46)*(INDEX('Landbrugsareal - resultat'!$O$33:$Q$46,,MATCH(E96,'Landbrugsareal - resultat'!$O$5:$Q$5,0)))),SUMPRODUCT((B96='Landbrugsareal - resultat'!$B$33:$B$46)*(INDEX('Landbrugsareal - resultat'!$R$33:$T$46,,MATCH(E96,'Landbrugsareal - resultat'!$R$5:$T$5,0))))))))</f>
        <v>3565.8188704270801</v>
      </c>
      <c r="H96" s="168">
        <f>G96*VLOOKUP(B96,[1]Afgrødedata!$A$5:$F$18,2,FALSE)*IF(D96="Økologisk",VLOOKUP(B96,[1]Afgrødedata!$A$5:$F$18,4,FALSE),1)*IF(E96&lt;&gt;Jordbund1,IF(E96=Organ6,VLOOKUP(B96,[1]Afgrødedata!$A$5:$F$18,5,FALSE),VLOOKUP(B96,[1]Afgrødedata!$A$5:$F$18,6,FALSE)),1)*0.1</f>
        <v>61141.787199729057</v>
      </c>
      <c r="I96" s="168">
        <f>G96*VLOOKUP(B96,[1]Afgrødedata!$A$5:$F$18,3,FALSE)*IF(D96="Økologisk",VLOOKUP(B96,[1]Afgrødedata!$A$5:$F$18,4,FALSE),1)*IF(E96&lt;&gt;Jordbund1,IF(E96=Organ6,VLOOKUP(B96,[1]Afgrødedata!$A$5:$F$18,5,FALSE),VLOOKUP(B96,[1]Afgrødedata!$A$5:$F$18,6,FALSE)),1)*HLOOKUP(C96,Landbrug!$C$15:$E$17,2,FALSE)*HLOOKUP(C96,Landbrug!$C$15:$E$17,3,FALSE)*0.1</f>
        <v>10157.449001543764</v>
      </c>
      <c r="J96" s="76">
        <f t="shared" si="15"/>
        <v>10157.449001543764</v>
      </c>
    </row>
    <row r="97" spans="1:10" x14ac:dyDescent="0.25">
      <c r="A97" t="s">
        <v>23</v>
      </c>
      <c r="B97" s="1" t="str">
        <f>[1]Afgrødefordeling!$C$13</f>
        <v>Juletræer</v>
      </c>
      <c r="C97">
        <v>2019</v>
      </c>
      <c r="D97" t="s">
        <v>7</v>
      </c>
      <c r="E97" s="168" t="str">
        <f t="shared" si="18"/>
        <v>OC6</v>
      </c>
      <c r="F97" t="str">
        <f t="shared" si="14"/>
        <v>Juletræer</v>
      </c>
      <c r="G97" s="76" cm="1">
        <f t="array" ref="G97">IF(A97="Vestdanmark",IF(D97="Konventionel",IF(C97=2019,SUMPRODUCT((B97='Landbrugsareal - resultat'!$B$6:$B$19)*(INDEX('Landbrugsareal - resultat'!$C$6:$E$19,,MATCH(E97,'Landbrugsareal - resultat'!$C$5:$E$5,0)))),IF(C97=2030,SUMPRODUCT((B97='Landbrugsareal - resultat'!$B$6:$B$19)*(INDEX('Landbrugsareal - resultat'!$F$6:$H$19,,MATCH(E97,'Landbrugsareal - resultat'!$F$5:$H$5,0)))),SUMPRODUCT((B97='Landbrugsareal - resultat'!$B$6:$B$19)*(INDEX('Landbrugsareal - resultat'!$I$6:$K$19,,MATCH(E97,'Landbrugsareal - resultat'!$I$5:$K$5,0)))))),IF(C97=2019,SUMPRODUCT((B97='Landbrugsareal - resultat'!$B$6:$B$19)*(INDEX('Landbrugsareal - resultat'!$L$6:$N$19,,MATCH(E97,'Landbrugsareal - resultat'!$L$5:$N$5,0)))),IF(C97=2030,SUMPRODUCT((B97='Landbrugsareal - resultat'!$B$6:$B$19)*(INDEX('Landbrugsareal - resultat'!$O$6:$Q$19,,MATCH(E97,'Landbrugsareal - resultat'!$O$5:$Q$5,0)))),SUMPRODUCT((B97='Landbrugsareal - resultat'!$B$6:$B$19)*(INDEX('Landbrugsareal - resultat'!$R$6:$T$19,,MATCH(E97,'Landbrugsareal - resultat'!$R$5:$T$5,0))))))),IF(D97="Konventionel",IF(C97=2019,SUMPRODUCT((B97='Landbrugsareal - resultat'!$B$33:$B$46)*(INDEX('Landbrugsareal - resultat'!$C$33:$E$46,,MATCH(E97,'Landbrugsareal - resultat'!$C$5:$E$5,0)))),IF(C97=2030,SUMPRODUCT((B97='Landbrugsareal - resultat'!$B$33:$B$46)*(INDEX('Landbrugsareal - resultat'!$F$33:$H$46,,MATCH(E97,'Landbrugsareal - resultat'!$F$5:$H$5,0)))),SUMPRODUCT((B97='Landbrugsareal - resultat'!$B$33:$B$46)*(INDEX('Landbrugsareal - resultat'!$I$33:$K$46,,MATCH(E97,'Landbrugsareal - resultat'!$I$5:$K$5,0)))))),IF(C97=2019,SUMPRODUCT((B97='Landbrugsareal - resultat'!$B$33:$B$46)*(INDEX('Landbrugsareal - resultat'!$L$33:$N$46,,MATCH(E97,'Landbrugsareal - resultat'!$L$5:$N$5,0)))),IF(C97=2030,SUMPRODUCT((B97='Landbrugsareal - resultat'!$B$33:$B$46)*(INDEX('Landbrugsareal - resultat'!$O$33:$Q$46,,MATCH(E97,'Landbrugsareal - resultat'!$O$5:$Q$5,0)))),SUMPRODUCT((B97='Landbrugsareal - resultat'!$B$33:$B$46)*(INDEX('Landbrugsareal - resultat'!$R$33:$T$46,,MATCH(E97,'Landbrugsareal - resultat'!$R$5:$T$5,0))))))))</f>
        <v>409.68784794078073</v>
      </c>
      <c r="H97" s="168">
        <f>G97*VLOOKUP(B97,[1]Afgrødedata!$A$5:$F$18,2,FALSE)*IF(D97="Økologisk",VLOOKUP(B97,[1]Afgrødedata!$A$5:$F$18,4,FALSE),1)*IF(E97&lt;&gt;Jordbund1,IF(E97=Organ6,VLOOKUP(B97,[1]Afgrødedata!$A$5:$F$18,5,FALSE),VLOOKUP(B97,[1]Afgrødedata!$A$5:$F$18,6,FALSE)),1)*0.1</f>
        <v>24581.270876446844</v>
      </c>
      <c r="I97" s="168">
        <f>G97*VLOOKUP(B97,[1]Afgrødedata!$A$5:$F$18,3,FALSE)*IF(D97="Økologisk",VLOOKUP(B97,[1]Afgrødedata!$A$5:$F$18,4,FALSE),1)*IF(E97&lt;&gt;Jordbund1,IF(E97=Organ6,VLOOKUP(B97,[1]Afgrødedata!$A$5:$F$18,5,FALSE),VLOOKUP(B97,[1]Afgrødedata!$A$5:$F$18,6,FALSE)),1)*HLOOKUP(C97,Landbrug!$C$15:$E$17,2,FALSE)*HLOOKUP(C97,Landbrug!$C$15:$E$17,3,FALSE)*0.1</f>
        <v>0</v>
      </c>
      <c r="J97" s="76">
        <f t="shared" si="15"/>
        <v>24581.270876446844</v>
      </c>
    </row>
    <row r="98" spans="1:10" x14ac:dyDescent="0.25">
      <c r="A98" t="s">
        <v>23</v>
      </c>
      <c r="B98" s="1" t="str">
        <f>[1]Afgrødefordeling!$C$14</f>
        <v>Pil &amp; poppel</v>
      </c>
      <c r="C98">
        <v>2019</v>
      </c>
      <c r="D98" t="s">
        <v>7</v>
      </c>
      <c r="E98" s="168" t="str">
        <f t="shared" si="18"/>
        <v>OC6</v>
      </c>
      <c r="F98" t="str">
        <f t="shared" ref="F98" si="19">IF(I98&lt;&gt;0,"Halm",IF(B98&lt;&gt;"Permanent græs",B98,"Græs"))</f>
        <v>Pil &amp; poppel</v>
      </c>
      <c r="G98" s="76" cm="1">
        <f t="array" ref="G98">IF(A98="Vestdanmark",IF(D98="Konventionel",IF(C98=2019,SUMPRODUCT((B98='Landbrugsareal - resultat'!$B$6:$B$19)*(INDEX('Landbrugsareal - resultat'!$C$6:$E$19,,MATCH(E98,'Landbrugsareal - resultat'!$C$5:$E$5,0)))),IF(C98=2030,SUMPRODUCT((B98='Landbrugsareal - resultat'!$B$6:$B$19)*(INDEX('Landbrugsareal - resultat'!$F$6:$H$19,,MATCH(E98,'Landbrugsareal - resultat'!$F$5:$H$5,0)))),SUMPRODUCT((B98='Landbrugsareal - resultat'!$B$6:$B$19)*(INDEX('Landbrugsareal - resultat'!$I$6:$K$19,,MATCH(E98,'Landbrugsareal - resultat'!$I$5:$K$5,0)))))),IF(C98=2019,SUMPRODUCT((B98='Landbrugsareal - resultat'!$B$6:$B$19)*(INDEX('Landbrugsareal - resultat'!$L$6:$N$19,,MATCH(E98,'Landbrugsareal - resultat'!$L$5:$N$5,0)))),IF(C98=2030,SUMPRODUCT((B98='Landbrugsareal - resultat'!$B$6:$B$19)*(INDEX('Landbrugsareal - resultat'!$O$6:$Q$19,,MATCH(E98,'Landbrugsareal - resultat'!$O$5:$Q$5,0)))),SUMPRODUCT((B98='Landbrugsareal - resultat'!$B$6:$B$19)*(INDEX('Landbrugsareal - resultat'!$R$6:$T$19,,MATCH(E98,'Landbrugsareal - resultat'!$R$5:$T$5,0))))))),IF(D98="Konventionel",IF(C98=2019,SUMPRODUCT((B98='Landbrugsareal - resultat'!$B$33:$B$46)*(INDEX('Landbrugsareal - resultat'!$C$33:$E$46,,MATCH(E98,'Landbrugsareal - resultat'!$C$5:$E$5,0)))),IF(C98=2030,SUMPRODUCT((B98='Landbrugsareal - resultat'!$B$33:$B$46)*(INDEX('Landbrugsareal - resultat'!$F$33:$H$46,,MATCH(E98,'Landbrugsareal - resultat'!$F$5:$H$5,0)))),SUMPRODUCT((B98='Landbrugsareal - resultat'!$B$33:$B$46)*(INDEX('Landbrugsareal - resultat'!$I$33:$K$46,,MATCH(E98,'Landbrugsareal - resultat'!$I$5:$K$5,0)))))),IF(C98=2019,SUMPRODUCT((B98='Landbrugsareal - resultat'!$B$33:$B$46)*(INDEX('Landbrugsareal - resultat'!$L$33:$N$46,,MATCH(E98,'Landbrugsareal - resultat'!$L$5:$N$5,0)))),IF(C98=2030,SUMPRODUCT((B98='Landbrugsareal - resultat'!$B$33:$B$46)*(INDEX('Landbrugsareal - resultat'!$O$33:$Q$46,,MATCH(E98,'Landbrugsareal - resultat'!$O$5:$Q$5,0)))),SUMPRODUCT((B98='Landbrugsareal - resultat'!$B$33:$B$46)*(INDEX('Landbrugsareal - resultat'!$R$33:$T$46,,MATCH(E98,'Landbrugsareal - resultat'!$R$5:$T$5,0))))))))</f>
        <v>672.85851532837171</v>
      </c>
      <c r="H98" s="168">
        <f>G98*VLOOKUP(B98,[1]Afgrødedata!$A$5:$F$18,2,FALSE)*IF(D98="Økologisk",VLOOKUP(B98,[1]Afgrødedata!$A$5:$F$18,4,FALSE),1)*IF(E98&lt;&gt;Jordbund1,IF(E98=Organ6,VLOOKUP(B98,[1]Afgrødedata!$A$5:$F$18,5,FALSE),VLOOKUP(B98,[1]Afgrødedata!$A$5:$F$18,6,FALSE)),1)*0.1</f>
        <v>19693.419960830393</v>
      </c>
      <c r="I98" s="168">
        <f>G98*VLOOKUP(B98,[1]Afgrødedata!$A$5:$F$18,3,FALSE)*IF(D98="Økologisk",VLOOKUP(B98,[1]Afgrødedata!$A$5:$F$18,4,FALSE),1)*IF(E98&lt;&gt;Jordbund1,IF(E98=Organ6,VLOOKUP(B98,[1]Afgrødedata!$A$5:$F$18,5,FALSE),VLOOKUP(B98,[1]Afgrødedata!$A$5:$F$18,6,FALSE)),1)*HLOOKUP(C98,Landbrug!$C$15:$E$17,2,FALSE)*HLOOKUP(C98,Landbrug!$C$15:$E$17,3,FALSE)*0.1</f>
        <v>0</v>
      </c>
      <c r="J98" s="76">
        <f t="shared" ref="J98" si="20">IF(I98&lt;&gt;0,I98,H98)</f>
        <v>19693.419960830393</v>
      </c>
    </row>
    <row r="99" spans="1:10" x14ac:dyDescent="0.25">
      <c r="A99" t="s">
        <v>23</v>
      </c>
      <c r="B99" s="1" t="str">
        <f>[1]Afgrødefordeling!$C$15</f>
        <v>Permanent græs</v>
      </c>
      <c r="C99">
        <v>2019</v>
      </c>
      <c r="D99" t="s">
        <v>7</v>
      </c>
      <c r="E99" s="168" t="str">
        <f t="shared" si="18"/>
        <v>OC6</v>
      </c>
      <c r="F99" t="str">
        <f t="shared" si="14"/>
        <v>Græs</v>
      </c>
      <c r="G99" s="76" cm="1">
        <f t="array" ref="G99">IF(A99="Vestdanmark",IF(D99="Konventionel",IF(C99=2019,SUMPRODUCT((B99='Landbrugsareal - resultat'!$B$6:$B$19)*(INDEX('Landbrugsareal - resultat'!$C$6:$E$19,,MATCH(E99,'Landbrugsareal - resultat'!$C$5:$E$5,0)))),IF(C99=2030,SUMPRODUCT((B99='Landbrugsareal - resultat'!$B$6:$B$19)*(INDEX('Landbrugsareal - resultat'!$F$6:$H$19,,MATCH(E99,'Landbrugsareal - resultat'!$F$5:$H$5,0)))),SUMPRODUCT((B99='Landbrugsareal - resultat'!$B$6:$B$19)*(INDEX('Landbrugsareal - resultat'!$I$6:$K$19,,MATCH(E99,'Landbrugsareal - resultat'!$I$5:$K$5,0)))))),IF(C99=2019,SUMPRODUCT((B99='Landbrugsareal - resultat'!$B$6:$B$19)*(INDEX('Landbrugsareal - resultat'!$L$6:$N$19,,MATCH(E99,'Landbrugsareal - resultat'!$L$5:$N$5,0)))),IF(C99=2030,SUMPRODUCT((B99='Landbrugsareal - resultat'!$B$6:$B$19)*(INDEX('Landbrugsareal - resultat'!$O$6:$Q$19,,MATCH(E99,'Landbrugsareal - resultat'!$O$5:$Q$5,0)))),SUMPRODUCT((B99='Landbrugsareal - resultat'!$B$6:$B$19)*(INDEX('Landbrugsareal - resultat'!$R$6:$T$19,,MATCH(E99,'Landbrugsareal - resultat'!$R$5:$T$5,0))))))),IF(D99="Konventionel",IF(C99=2019,SUMPRODUCT((B99='Landbrugsareal - resultat'!$B$33:$B$46)*(INDEX('Landbrugsareal - resultat'!$C$33:$E$46,,MATCH(E99,'Landbrugsareal - resultat'!$C$5:$E$5,0)))),IF(C99=2030,SUMPRODUCT((B99='Landbrugsareal - resultat'!$B$33:$B$46)*(INDEX('Landbrugsareal - resultat'!$F$33:$H$46,,MATCH(E99,'Landbrugsareal - resultat'!$F$5:$H$5,0)))),SUMPRODUCT((B99='Landbrugsareal - resultat'!$B$33:$B$46)*(INDEX('Landbrugsareal - resultat'!$I$33:$K$46,,MATCH(E99,'Landbrugsareal - resultat'!$I$5:$K$5,0)))))),IF(C99=2019,SUMPRODUCT((B99='Landbrugsareal - resultat'!$B$33:$B$46)*(INDEX('Landbrugsareal - resultat'!$L$33:$N$46,,MATCH(E99,'Landbrugsareal - resultat'!$L$5:$N$5,0)))),IF(C99=2030,SUMPRODUCT((B99='Landbrugsareal - resultat'!$B$33:$B$46)*(INDEX('Landbrugsareal - resultat'!$O$33:$Q$46,,MATCH(E99,'Landbrugsareal - resultat'!$O$5:$Q$5,0)))),SUMPRODUCT((B99='Landbrugsareal - resultat'!$B$33:$B$46)*(INDEX('Landbrugsareal - resultat'!$R$33:$T$46,,MATCH(E99,'Landbrugsareal - resultat'!$R$5:$T$5,0))))))))</f>
        <v>19018.389680733297</v>
      </c>
      <c r="H99" s="168">
        <f>G99*VLOOKUP(B99,[1]Afgrødedata!$A$5:$F$18,2,FALSE)*IF(D99="Økologisk",VLOOKUP(B99,[1]Afgrødedata!$A$5:$F$18,4,FALSE),1)*IF(E99&lt;&gt;Jordbund1,IF(E99=Organ6,VLOOKUP(B99,[1]Afgrødedata!$A$5:$F$18,5,FALSE),VLOOKUP(B99,[1]Afgrødedata!$A$5:$F$18,6,FALSE)),1)*0.1</f>
        <v>314716.31243677461</v>
      </c>
      <c r="I99" s="168">
        <f>G99*VLOOKUP(B99,[1]Afgrødedata!$A$5:$F$18,3,FALSE)*IF(D99="Økologisk",VLOOKUP(B99,[1]Afgrødedata!$A$5:$F$18,4,FALSE),1)*IF(E99&lt;&gt;Jordbund1,IF(E99=Organ6,VLOOKUP(B99,[1]Afgrødedata!$A$5:$F$18,5,FALSE),VLOOKUP(B99,[1]Afgrødedata!$A$5:$F$18,6,FALSE)),1)*HLOOKUP(C99,Landbrug!$C$15:$E$17,2,FALSE)*HLOOKUP(C99,Landbrug!$C$15:$E$17,3,FALSE)*0.1</f>
        <v>0</v>
      </c>
      <c r="J99" s="76">
        <f t="shared" si="15"/>
        <v>314716.31243677461</v>
      </c>
    </row>
    <row r="100" spans="1:10" x14ac:dyDescent="0.25">
      <c r="A100" t="s">
        <v>23</v>
      </c>
      <c r="B100" s="1" t="str">
        <f>[1]Afgrødefordeling!$C$2</f>
        <v>Korn</v>
      </c>
      <c r="C100">
        <v>2030</v>
      </c>
      <c r="D100" t="s">
        <v>7</v>
      </c>
      <c r="E100" s="168" t="str">
        <f t="shared" si="18"/>
        <v>OC6</v>
      </c>
      <c r="F100" t="str">
        <f t="shared" si="14"/>
        <v>Halm</v>
      </c>
      <c r="G100" s="76" cm="1">
        <f t="array" ref="G100">IF(A100="Vestdanmark",IF(D100="Konventionel",IF(C100=2019,SUMPRODUCT((B100='Landbrugsareal - resultat'!$B$6:$B$19)*(INDEX('Landbrugsareal - resultat'!$C$6:$E$19,,MATCH(E100,'Landbrugsareal - resultat'!$C$5:$E$5,0)))),IF(C100=2030,SUMPRODUCT((B100='Landbrugsareal - resultat'!$B$6:$B$19)*(INDEX('Landbrugsareal - resultat'!$F$6:$H$19,,MATCH(E100,'Landbrugsareal - resultat'!$F$5:$H$5,0)))),SUMPRODUCT((B100='Landbrugsareal - resultat'!$B$6:$B$19)*(INDEX('Landbrugsareal - resultat'!$I$6:$K$19,,MATCH(E100,'Landbrugsareal - resultat'!$I$5:$K$5,0)))))),IF(C100=2019,SUMPRODUCT((B100='Landbrugsareal - resultat'!$B$6:$B$19)*(INDEX('Landbrugsareal - resultat'!$L$6:$N$19,,MATCH(E100,'Landbrugsareal - resultat'!$L$5:$N$5,0)))),IF(C100=2030,SUMPRODUCT((B100='Landbrugsareal - resultat'!$B$6:$B$19)*(INDEX('Landbrugsareal - resultat'!$O$6:$Q$19,,MATCH(E100,'Landbrugsareal - resultat'!$O$5:$Q$5,0)))),SUMPRODUCT((B100='Landbrugsareal - resultat'!$B$6:$B$19)*(INDEX('Landbrugsareal - resultat'!$R$6:$T$19,,MATCH(E100,'Landbrugsareal - resultat'!$R$5:$T$5,0))))))),IF(D100="Konventionel",IF(C100=2019,SUMPRODUCT((B100='Landbrugsareal - resultat'!$B$33:$B$46)*(INDEX('Landbrugsareal - resultat'!$C$33:$E$46,,MATCH(E100,'Landbrugsareal - resultat'!$C$5:$E$5,0)))),IF(C100=2030,SUMPRODUCT((B100='Landbrugsareal - resultat'!$B$33:$B$46)*(INDEX('Landbrugsareal - resultat'!$F$33:$H$46,,MATCH(E100,'Landbrugsareal - resultat'!$F$5:$H$5,0)))),SUMPRODUCT((B100='Landbrugsareal - resultat'!$B$33:$B$46)*(INDEX('Landbrugsareal - resultat'!$I$33:$K$46,,MATCH(E100,'Landbrugsareal - resultat'!$I$5:$K$5,0)))))),IF(C100=2019,SUMPRODUCT((B100='Landbrugsareal - resultat'!$B$33:$B$46)*(INDEX('Landbrugsareal - resultat'!$L$33:$N$46,,MATCH(E100,'Landbrugsareal - resultat'!$L$5:$N$5,0)))),IF(C100=2030,SUMPRODUCT((B100='Landbrugsareal - resultat'!$B$33:$B$46)*(INDEX('Landbrugsareal - resultat'!$O$33:$Q$46,,MATCH(E100,'Landbrugsareal - resultat'!$O$5:$Q$5,0)))),SUMPRODUCT((B100='Landbrugsareal - resultat'!$B$33:$B$46)*(INDEX('Landbrugsareal - resultat'!$R$33:$T$46,,MATCH(E100,'Landbrugsareal - resultat'!$R$5:$T$5,0))))))))</f>
        <v>20435.609145451021</v>
      </c>
      <c r="H100" s="168">
        <f>G100*VLOOKUP(B100,[1]Afgrødedata!$A$5:$F$18,2,FALSE)*IF(D100="Økologisk",VLOOKUP(B100,[1]Afgrødedata!$A$5:$F$18,4,FALSE),1)*IF(E100&lt;&gt;Jordbund1,IF(E100=Organ6,VLOOKUP(B100,[1]Afgrødedata!$A$5:$F$18,5,FALSE),VLOOKUP(B100,[1]Afgrødedata!$A$5:$F$18,6,FALSE)),1)*0.1</f>
        <v>171904.34413153399</v>
      </c>
      <c r="I100" s="168">
        <f>G100*VLOOKUP(B100,[1]Afgrødedata!$A$5:$F$18,3,FALSE)*IF(D100="Økologisk",VLOOKUP(B100,[1]Afgrødedata!$A$5:$F$18,4,FALSE),1)*IF(E100&lt;&gt;Jordbund1,IF(E100=Organ6,VLOOKUP(B100,[1]Afgrødedata!$A$5:$F$18,5,FALSE),VLOOKUP(B100,[1]Afgrødedata!$A$5:$F$18,6,FALSE)),1)*HLOOKUP(C100,Landbrug!$C$15:$E$17,2,FALSE)*HLOOKUP(C100,Landbrug!$C$15:$E$17,3,FALSE)*0.1</f>
        <v>55782.95967068278</v>
      </c>
      <c r="J100" s="76">
        <f t="shared" si="15"/>
        <v>55782.95967068278</v>
      </c>
    </row>
    <row r="101" spans="1:10" x14ac:dyDescent="0.25">
      <c r="A101" t="s">
        <v>23</v>
      </c>
      <c r="B101" s="1" t="str">
        <f>[1]Afgrødefordeling!$C$3</f>
        <v>Bælgsæd</v>
      </c>
      <c r="C101">
        <v>2030</v>
      </c>
      <c r="D101" t="s">
        <v>7</v>
      </c>
      <c r="E101" s="168" t="str">
        <f t="shared" si="18"/>
        <v>OC6</v>
      </c>
      <c r="F101" t="str">
        <f t="shared" si="14"/>
        <v>Halm</v>
      </c>
      <c r="G101" s="76" cm="1">
        <f t="array" ref="G101">IF(A101="Vestdanmark",IF(D101="Konventionel",IF(C101=2019,SUMPRODUCT((B101='Landbrugsareal - resultat'!$B$6:$B$19)*(INDEX('Landbrugsareal - resultat'!$C$6:$E$19,,MATCH(E101,'Landbrugsareal - resultat'!$C$5:$E$5,0)))),IF(C101=2030,SUMPRODUCT((B101='Landbrugsareal - resultat'!$B$6:$B$19)*(INDEX('Landbrugsareal - resultat'!$F$6:$H$19,,MATCH(E101,'Landbrugsareal - resultat'!$F$5:$H$5,0)))),SUMPRODUCT((B101='Landbrugsareal - resultat'!$B$6:$B$19)*(INDEX('Landbrugsareal - resultat'!$I$6:$K$19,,MATCH(E101,'Landbrugsareal - resultat'!$I$5:$K$5,0)))))),IF(C101=2019,SUMPRODUCT((B101='Landbrugsareal - resultat'!$B$6:$B$19)*(INDEX('Landbrugsareal - resultat'!$L$6:$N$19,,MATCH(E101,'Landbrugsareal - resultat'!$L$5:$N$5,0)))),IF(C101=2030,SUMPRODUCT((B101='Landbrugsareal - resultat'!$B$6:$B$19)*(INDEX('Landbrugsareal - resultat'!$O$6:$Q$19,,MATCH(E101,'Landbrugsareal - resultat'!$O$5:$Q$5,0)))),SUMPRODUCT((B101='Landbrugsareal - resultat'!$B$6:$B$19)*(INDEX('Landbrugsareal - resultat'!$R$6:$T$19,,MATCH(E101,'Landbrugsareal - resultat'!$R$5:$T$5,0))))))),IF(D101="Konventionel",IF(C101=2019,SUMPRODUCT((B101='Landbrugsareal - resultat'!$B$33:$B$46)*(INDEX('Landbrugsareal - resultat'!$C$33:$E$46,,MATCH(E101,'Landbrugsareal - resultat'!$C$5:$E$5,0)))),IF(C101=2030,SUMPRODUCT((B101='Landbrugsareal - resultat'!$B$33:$B$46)*(INDEX('Landbrugsareal - resultat'!$F$33:$H$46,,MATCH(E101,'Landbrugsareal - resultat'!$F$5:$H$5,0)))),SUMPRODUCT((B101='Landbrugsareal - resultat'!$B$33:$B$46)*(INDEX('Landbrugsareal - resultat'!$I$33:$K$46,,MATCH(E101,'Landbrugsareal - resultat'!$I$5:$K$5,0)))))),IF(C101=2019,SUMPRODUCT((B101='Landbrugsareal - resultat'!$B$33:$B$46)*(INDEX('Landbrugsareal - resultat'!$L$33:$N$46,,MATCH(E101,'Landbrugsareal - resultat'!$L$5:$N$5,0)))),IF(C101=2030,SUMPRODUCT((B101='Landbrugsareal - resultat'!$B$33:$B$46)*(INDEX('Landbrugsareal - resultat'!$O$33:$Q$46,,MATCH(E101,'Landbrugsareal - resultat'!$O$5:$Q$5,0)))),SUMPRODUCT((B101='Landbrugsareal - resultat'!$B$33:$B$46)*(INDEX('Landbrugsareal - resultat'!$R$33:$T$46,,MATCH(E101,'Landbrugsareal - resultat'!$R$5:$T$5,0))))))))</f>
        <v>1751.8263067599466</v>
      </c>
      <c r="H101" s="168">
        <f>G101*VLOOKUP(B101,[1]Afgrødedata!$A$5:$F$18,2,FALSE)*IF(D101="Økologisk",VLOOKUP(B101,[1]Afgrødedata!$A$5:$F$18,4,FALSE),1)*IF(E101&lt;&gt;Jordbund1,IF(E101=Organ6,VLOOKUP(B101,[1]Afgrødedata!$A$5:$F$18,5,FALSE),VLOOKUP(B101,[1]Afgrødedata!$A$5:$F$18,6,FALSE)),1)*0.1</f>
        <v>8114.4594529120732</v>
      </c>
      <c r="I101" s="168">
        <f>G101*VLOOKUP(B101,[1]Afgrødedata!$A$5:$F$18,3,FALSE)*IF(D101="Økologisk",VLOOKUP(B101,[1]Afgrødedata!$A$5:$F$18,4,FALSE),1)*IF(E101&lt;&gt;Jordbund1,IF(E101=Organ6,VLOOKUP(B101,[1]Afgrødedata!$A$5:$F$18,5,FALSE),VLOOKUP(B101,[1]Afgrødedata!$A$5:$F$18,6,FALSE)),1)*HLOOKUP(C101,Landbrug!$C$15:$E$17,2,FALSE)*HLOOKUP(C101,Landbrug!$C$15:$E$17,3,FALSE)*0.1</f>
        <v>2395.005831634247</v>
      </c>
      <c r="J101" s="76">
        <f t="shared" si="15"/>
        <v>2395.005831634247</v>
      </c>
    </row>
    <row r="102" spans="1:10" x14ac:dyDescent="0.25">
      <c r="A102" t="s">
        <v>23</v>
      </c>
      <c r="B102" s="1" t="str">
        <f>[1]Afgrødefordeling!$C$4</f>
        <v>Raps</v>
      </c>
      <c r="C102">
        <v>2030</v>
      </c>
      <c r="D102" t="s">
        <v>7</v>
      </c>
      <c r="E102" s="168" t="str">
        <f t="shared" si="18"/>
        <v>OC6</v>
      </c>
      <c r="F102" t="str">
        <f t="shared" si="14"/>
        <v>Halm</v>
      </c>
      <c r="G102" s="76" cm="1">
        <f t="array" ref="G102">IF(A102="Vestdanmark",IF(D102="Konventionel",IF(C102=2019,SUMPRODUCT((B102='Landbrugsareal - resultat'!$B$6:$B$19)*(INDEX('Landbrugsareal - resultat'!$C$6:$E$19,,MATCH(E102,'Landbrugsareal - resultat'!$C$5:$E$5,0)))),IF(C102=2030,SUMPRODUCT((B102='Landbrugsareal - resultat'!$B$6:$B$19)*(INDEX('Landbrugsareal - resultat'!$F$6:$H$19,,MATCH(E102,'Landbrugsareal - resultat'!$F$5:$H$5,0)))),SUMPRODUCT((B102='Landbrugsareal - resultat'!$B$6:$B$19)*(INDEX('Landbrugsareal - resultat'!$I$6:$K$19,,MATCH(E102,'Landbrugsareal - resultat'!$I$5:$K$5,0)))))),IF(C102=2019,SUMPRODUCT((B102='Landbrugsareal - resultat'!$B$6:$B$19)*(INDEX('Landbrugsareal - resultat'!$L$6:$N$19,,MATCH(E102,'Landbrugsareal - resultat'!$L$5:$N$5,0)))),IF(C102=2030,SUMPRODUCT((B102='Landbrugsareal - resultat'!$B$6:$B$19)*(INDEX('Landbrugsareal - resultat'!$O$6:$Q$19,,MATCH(E102,'Landbrugsareal - resultat'!$O$5:$Q$5,0)))),SUMPRODUCT((B102='Landbrugsareal - resultat'!$B$6:$B$19)*(INDEX('Landbrugsareal - resultat'!$R$6:$T$19,,MATCH(E102,'Landbrugsareal - resultat'!$R$5:$T$5,0))))))),IF(D102="Konventionel",IF(C102=2019,SUMPRODUCT((B102='Landbrugsareal - resultat'!$B$33:$B$46)*(INDEX('Landbrugsareal - resultat'!$C$33:$E$46,,MATCH(E102,'Landbrugsareal - resultat'!$C$5:$E$5,0)))),IF(C102=2030,SUMPRODUCT((B102='Landbrugsareal - resultat'!$B$33:$B$46)*(INDEX('Landbrugsareal - resultat'!$F$33:$H$46,,MATCH(E102,'Landbrugsareal - resultat'!$F$5:$H$5,0)))),SUMPRODUCT((B102='Landbrugsareal - resultat'!$B$33:$B$46)*(INDEX('Landbrugsareal - resultat'!$I$33:$K$46,,MATCH(E102,'Landbrugsareal - resultat'!$I$5:$K$5,0)))))),IF(C102=2019,SUMPRODUCT((B102='Landbrugsareal - resultat'!$B$33:$B$46)*(INDEX('Landbrugsareal - resultat'!$L$33:$N$46,,MATCH(E102,'Landbrugsareal - resultat'!$L$5:$N$5,0)))),IF(C102=2030,SUMPRODUCT((B102='Landbrugsareal - resultat'!$B$33:$B$46)*(INDEX('Landbrugsareal - resultat'!$O$33:$Q$46,,MATCH(E102,'Landbrugsareal - resultat'!$O$5:$Q$5,0)))),SUMPRODUCT((B102='Landbrugsareal - resultat'!$B$33:$B$46)*(INDEX('Landbrugsareal - resultat'!$R$33:$T$46,,MATCH(E102,'Landbrugsareal - resultat'!$R$5:$T$5,0))))))))</f>
        <v>1875.8258257056677</v>
      </c>
      <c r="H102" s="168">
        <f>G102*VLOOKUP(B102,[1]Afgrødedata!$A$5:$F$18,2,FALSE)*IF(D102="Økologisk",VLOOKUP(B102,[1]Afgrødedata!$A$5:$F$18,4,FALSE),1)*IF(E102&lt;&gt;Jordbund1,IF(E102=Organ6,VLOOKUP(B102,[1]Afgrødedata!$A$5:$F$18,5,FALSE),VLOOKUP(B102,[1]Afgrødedata!$A$5:$F$18,6,FALSE)),1)*0.1</f>
        <v>9904.360359725928</v>
      </c>
      <c r="I102" s="168">
        <f>G102*VLOOKUP(B102,[1]Afgrødedata!$A$5:$F$18,3,FALSE)*IF(D102="Økologisk",VLOOKUP(B102,[1]Afgrødedata!$A$5:$F$18,4,FALSE),1)*IF(E102&lt;&gt;Jordbund1,IF(E102=Organ6,VLOOKUP(B102,[1]Afgrødedata!$A$5:$F$18,5,FALSE),VLOOKUP(B102,[1]Afgrødedata!$A$5:$F$18,6,FALSE)),1)*HLOOKUP(C102,Landbrug!$C$15:$E$17,2,FALSE)*HLOOKUP(C102,Landbrug!$C$15:$E$17,3,FALSE)*0.1</f>
        <v>5259.2153510144672</v>
      </c>
      <c r="J102" s="76">
        <f t="shared" si="15"/>
        <v>5259.2153510144672</v>
      </c>
    </row>
    <row r="103" spans="1:10" x14ac:dyDescent="0.25">
      <c r="A103" t="s">
        <v>23</v>
      </c>
      <c r="B103" s="1" t="str">
        <f>[1]Afgrødefordeling!$C$5</f>
        <v>Græs</v>
      </c>
      <c r="C103">
        <v>2030</v>
      </c>
      <c r="D103" t="s">
        <v>7</v>
      </c>
      <c r="E103" s="168" t="str">
        <f t="shared" si="18"/>
        <v>OC6</v>
      </c>
      <c r="F103" t="str">
        <f t="shared" si="14"/>
        <v>Græs</v>
      </c>
      <c r="G103" s="76" cm="1">
        <f t="array" ref="G103">IF(A103="Vestdanmark",IF(D103="Konventionel",IF(C103=2019,SUMPRODUCT((B103='Landbrugsareal - resultat'!$B$6:$B$19)*(INDEX('Landbrugsareal - resultat'!$C$6:$E$19,,MATCH(E103,'Landbrugsareal - resultat'!$C$5:$E$5,0)))),IF(C103=2030,SUMPRODUCT((B103='Landbrugsareal - resultat'!$B$6:$B$19)*(INDEX('Landbrugsareal - resultat'!$F$6:$H$19,,MATCH(E103,'Landbrugsareal - resultat'!$F$5:$H$5,0)))),SUMPRODUCT((B103='Landbrugsareal - resultat'!$B$6:$B$19)*(INDEX('Landbrugsareal - resultat'!$I$6:$K$19,,MATCH(E103,'Landbrugsareal - resultat'!$I$5:$K$5,0)))))),IF(C103=2019,SUMPRODUCT((B103='Landbrugsareal - resultat'!$B$6:$B$19)*(INDEX('Landbrugsareal - resultat'!$L$6:$N$19,,MATCH(E103,'Landbrugsareal - resultat'!$L$5:$N$5,0)))),IF(C103=2030,SUMPRODUCT((B103='Landbrugsareal - resultat'!$B$6:$B$19)*(INDEX('Landbrugsareal - resultat'!$O$6:$Q$19,,MATCH(E103,'Landbrugsareal - resultat'!$O$5:$Q$5,0)))),SUMPRODUCT((B103='Landbrugsareal - resultat'!$B$6:$B$19)*(INDEX('Landbrugsareal - resultat'!$R$6:$T$19,,MATCH(E103,'Landbrugsareal - resultat'!$R$5:$T$5,0))))))),IF(D103="Konventionel",IF(C103=2019,SUMPRODUCT((B103='Landbrugsareal - resultat'!$B$33:$B$46)*(INDEX('Landbrugsareal - resultat'!$C$33:$E$46,,MATCH(E103,'Landbrugsareal - resultat'!$C$5:$E$5,0)))),IF(C103=2030,SUMPRODUCT((B103='Landbrugsareal - resultat'!$B$33:$B$46)*(INDEX('Landbrugsareal - resultat'!$F$33:$H$46,,MATCH(E103,'Landbrugsareal - resultat'!$F$5:$H$5,0)))),SUMPRODUCT((B103='Landbrugsareal - resultat'!$B$33:$B$46)*(INDEX('Landbrugsareal - resultat'!$I$33:$K$46,,MATCH(E103,'Landbrugsareal - resultat'!$I$5:$K$5,0)))))),IF(C103=2019,SUMPRODUCT((B103='Landbrugsareal - resultat'!$B$33:$B$46)*(INDEX('Landbrugsareal - resultat'!$L$33:$N$46,,MATCH(E103,'Landbrugsareal - resultat'!$L$5:$N$5,0)))),IF(C103=2030,SUMPRODUCT((B103='Landbrugsareal - resultat'!$B$33:$B$46)*(INDEX('Landbrugsareal - resultat'!$O$33:$Q$46,,MATCH(E103,'Landbrugsareal - resultat'!$O$5:$Q$5,0)))),SUMPRODUCT((B103='Landbrugsareal - resultat'!$B$33:$B$46)*(INDEX('Landbrugsareal - resultat'!$R$33:$T$46,,MATCH(E103,'Landbrugsareal - resultat'!$R$5:$T$5,0))))))))</f>
        <v>17310.782845959839</v>
      </c>
      <c r="H103" s="168">
        <f>G103*VLOOKUP(B103,[1]Afgrødedata!$A$5:$F$18,2,FALSE)*IF(D103="Økologisk",VLOOKUP(B103,[1]Afgrødedata!$A$5:$F$18,4,FALSE),1)*IF(E103&lt;&gt;Jordbund1,IF(E103=Organ6,VLOOKUP(B103,[1]Afgrødedata!$A$5:$F$18,5,FALSE),VLOOKUP(B103,[1]Afgrødedata!$A$5:$F$18,6,FALSE)),1)*0.1</f>
        <v>1030753.2537798325</v>
      </c>
      <c r="I103" s="168">
        <f>G103*VLOOKUP(B103,[1]Afgrødedata!$A$5:$F$18,3,FALSE)*IF(D103="Økologisk",VLOOKUP(B103,[1]Afgrødedata!$A$5:$F$18,4,FALSE),1)*IF(E103&lt;&gt;Jordbund1,IF(E103=Organ6,VLOOKUP(B103,[1]Afgrødedata!$A$5:$F$18,5,FALSE),VLOOKUP(B103,[1]Afgrødedata!$A$5:$F$18,6,FALSE)),1)*HLOOKUP(C103,Landbrug!$C$15:$E$17,2,FALSE)*HLOOKUP(C103,Landbrug!$C$15:$E$17,3,FALSE)*0.1</f>
        <v>0</v>
      </c>
      <c r="J103" s="76">
        <f t="shared" si="15"/>
        <v>1030753.2537798325</v>
      </c>
    </row>
    <row r="104" spans="1:10" x14ac:dyDescent="0.25">
      <c r="A104" t="s">
        <v>23</v>
      </c>
      <c r="B104" s="1" t="str">
        <f>[1]Afgrødefordeling!$C$6</f>
        <v>Grøntsager</v>
      </c>
      <c r="C104">
        <v>2030</v>
      </c>
      <c r="D104" t="s">
        <v>7</v>
      </c>
      <c r="E104" s="168" t="str">
        <f t="shared" si="18"/>
        <v>OC6</v>
      </c>
      <c r="F104" t="str">
        <f t="shared" si="14"/>
        <v>Grøntsager</v>
      </c>
      <c r="G104" s="76" cm="1">
        <f t="array" ref="G104">IF(A104="Vestdanmark",IF(D104="Konventionel",IF(C104=2019,SUMPRODUCT((B104='Landbrugsareal - resultat'!$B$6:$B$19)*(INDEX('Landbrugsareal - resultat'!$C$6:$E$19,,MATCH(E104,'Landbrugsareal - resultat'!$C$5:$E$5,0)))),IF(C104=2030,SUMPRODUCT((B104='Landbrugsareal - resultat'!$B$6:$B$19)*(INDEX('Landbrugsareal - resultat'!$F$6:$H$19,,MATCH(E104,'Landbrugsareal - resultat'!$F$5:$H$5,0)))),SUMPRODUCT((B104='Landbrugsareal - resultat'!$B$6:$B$19)*(INDEX('Landbrugsareal - resultat'!$I$6:$K$19,,MATCH(E104,'Landbrugsareal - resultat'!$I$5:$K$5,0)))))),IF(C104=2019,SUMPRODUCT((B104='Landbrugsareal - resultat'!$B$6:$B$19)*(INDEX('Landbrugsareal - resultat'!$L$6:$N$19,,MATCH(E104,'Landbrugsareal - resultat'!$L$5:$N$5,0)))),IF(C104=2030,SUMPRODUCT((B104='Landbrugsareal - resultat'!$B$6:$B$19)*(INDEX('Landbrugsareal - resultat'!$O$6:$Q$19,,MATCH(E104,'Landbrugsareal - resultat'!$O$5:$Q$5,0)))),SUMPRODUCT((B104='Landbrugsareal - resultat'!$B$6:$B$19)*(INDEX('Landbrugsareal - resultat'!$R$6:$T$19,,MATCH(E104,'Landbrugsareal - resultat'!$R$5:$T$5,0))))))),IF(D104="Konventionel",IF(C104=2019,SUMPRODUCT((B104='Landbrugsareal - resultat'!$B$33:$B$46)*(INDEX('Landbrugsareal - resultat'!$C$33:$E$46,,MATCH(E104,'Landbrugsareal - resultat'!$C$5:$E$5,0)))),IF(C104=2030,SUMPRODUCT((B104='Landbrugsareal - resultat'!$B$33:$B$46)*(INDEX('Landbrugsareal - resultat'!$F$33:$H$46,,MATCH(E104,'Landbrugsareal - resultat'!$F$5:$H$5,0)))),SUMPRODUCT((B104='Landbrugsareal - resultat'!$B$33:$B$46)*(INDEX('Landbrugsareal - resultat'!$I$33:$K$46,,MATCH(E104,'Landbrugsareal - resultat'!$I$5:$K$5,0)))))),IF(C104=2019,SUMPRODUCT((B104='Landbrugsareal - resultat'!$B$33:$B$46)*(INDEX('Landbrugsareal - resultat'!$L$33:$N$46,,MATCH(E104,'Landbrugsareal - resultat'!$L$5:$N$5,0)))),IF(C104=2030,SUMPRODUCT((B104='Landbrugsareal - resultat'!$B$33:$B$46)*(INDEX('Landbrugsareal - resultat'!$O$33:$Q$46,,MATCH(E104,'Landbrugsareal - resultat'!$O$5:$Q$5,0)))),SUMPRODUCT((B104='Landbrugsareal - resultat'!$B$33:$B$46)*(INDEX('Landbrugsareal - resultat'!$R$33:$T$46,,MATCH(E104,'Landbrugsareal - resultat'!$R$5:$T$5,0))))))))</f>
        <v>80.963182498279139</v>
      </c>
      <c r="H104" s="168">
        <f>G104*VLOOKUP(B104,[1]Afgrødedata!$A$5:$F$18,2,FALSE)*IF(D104="Økologisk",VLOOKUP(B104,[1]Afgrødedata!$A$5:$F$18,4,FALSE),1)*IF(E104&lt;&gt;Jordbund1,IF(E104=Organ6,VLOOKUP(B104,[1]Afgrødedata!$A$5:$F$18,5,FALSE),VLOOKUP(B104,[1]Afgrødedata!$A$5:$F$18,6,FALSE)),1)*0.1</f>
        <v>2015.9832442071504</v>
      </c>
      <c r="I104" s="168">
        <f>G104*VLOOKUP(B104,[1]Afgrødedata!$A$5:$F$18,3,FALSE)*IF(D104="Økologisk",VLOOKUP(B104,[1]Afgrødedata!$A$5:$F$18,4,FALSE),1)*IF(E104&lt;&gt;Jordbund1,IF(E104=Organ6,VLOOKUP(B104,[1]Afgrødedata!$A$5:$F$18,5,FALSE),VLOOKUP(B104,[1]Afgrødedata!$A$5:$F$18,6,FALSE)),1)*HLOOKUP(C104,Landbrug!$C$15:$E$17,2,FALSE)*HLOOKUP(C104,Landbrug!$C$15:$E$17,3,FALSE)*0.1</f>
        <v>0</v>
      </c>
      <c r="J104" s="76">
        <f t="shared" si="15"/>
        <v>2015.9832442071504</v>
      </c>
    </row>
    <row r="105" spans="1:10" x14ac:dyDescent="0.25">
      <c r="A105" t="s">
        <v>23</v>
      </c>
      <c r="B105" s="1" t="str">
        <f>[1]Afgrødefordeling!$C$7</f>
        <v>Kartofler</v>
      </c>
      <c r="C105">
        <v>2030</v>
      </c>
      <c r="D105" t="s">
        <v>7</v>
      </c>
      <c r="E105" s="168" t="str">
        <f t="shared" si="18"/>
        <v>OC6</v>
      </c>
      <c r="F105" t="str">
        <f t="shared" si="14"/>
        <v>Kartofler</v>
      </c>
      <c r="G105" s="76" cm="1">
        <f t="array" ref="G105">IF(A105="Vestdanmark",IF(D105="Konventionel",IF(C105=2019,SUMPRODUCT((B105='Landbrugsareal - resultat'!$B$6:$B$19)*(INDEX('Landbrugsareal - resultat'!$C$6:$E$19,,MATCH(E105,'Landbrugsareal - resultat'!$C$5:$E$5,0)))),IF(C105=2030,SUMPRODUCT((B105='Landbrugsareal - resultat'!$B$6:$B$19)*(INDEX('Landbrugsareal - resultat'!$F$6:$H$19,,MATCH(E105,'Landbrugsareal - resultat'!$F$5:$H$5,0)))),SUMPRODUCT((B105='Landbrugsareal - resultat'!$B$6:$B$19)*(INDEX('Landbrugsareal - resultat'!$I$6:$K$19,,MATCH(E105,'Landbrugsareal - resultat'!$I$5:$K$5,0)))))),IF(C105=2019,SUMPRODUCT((B105='Landbrugsareal - resultat'!$B$6:$B$19)*(INDEX('Landbrugsareal - resultat'!$L$6:$N$19,,MATCH(E105,'Landbrugsareal - resultat'!$L$5:$N$5,0)))),IF(C105=2030,SUMPRODUCT((B105='Landbrugsareal - resultat'!$B$6:$B$19)*(INDEX('Landbrugsareal - resultat'!$O$6:$Q$19,,MATCH(E105,'Landbrugsareal - resultat'!$O$5:$Q$5,0)))),SUMPRODUCT((B105='Landbrugsareal - resultat'!$B$6:$B$19)*(INDEX('Landbrugsareal - resultat'!$R$6:$T$19,,MATCH(E105,'Landbrugsareal - resultat'!$R$5:$T$5,0))))))),IF(D105="Konventionel",IF(C105=2019,SUMPRODUCT((B105='Landbrugsareal - resultat'!$B$33:$B$46)*(INDEX('Landbrugsareal - resultat'!$C$33:$E$46,,MATCH(E105,'Landbrugsareal - resultat'!$C$5:$E$5,0)))),IF(C105=2030,SUMPRODUCT((B105='Landbrugsareal - resultat'!$B$33:$B$46)*(INDEX('Landbrugsareal - resultat'!$F$33:$H$46,,MATCH(E105,'Landbrugsareal - resultat'!$F$5:$H$5,0)))),SUMPRODUCT((B105='Landbrugsareal - resultat'!$B$33:$B$46)*(INDEX('Landbrugsareal - resultat'!$I$33:$K$46,,MATCH(E105,'Landbrugsareal - resultat'!$I$5:$K$5,0)))))),IF(C105=2019,SUMPRODUCT((B105='Landbrugsareal - resultat'!$B$33:$B$46)*(INDEX('Landbrugsareal - resultat'!$L$33:$N$46,,MATCH(E105,'Landbrugsareal - resultat'!$L$5:$N$5,0)))),IF(C105=2030,SUMPRODUCT((B105='Landbrugsareal - resultat'!$B$33:$B$46)*(INDEX('Landbrugsareal - resultat'!$O$33:$Q$46,,MATCH(E105,'Landbrugsareal - resultat'!$O$5:$Q$5,0)))),SUMPRODUCT((B105='Landbrugsareal - resultat'!$B$33:$B$46)*(INDEX('Landbrugsareal - resultat'!$R$33:$T$46,,MATCH(E105,'Landbrugsareal - resultat'!$R$5:$T$5,0))))))))</f>
        <v>1278.1988027243244</v>
      </c>
      <c r="H105" s="168">
        <f>G105*VLOOKUP(B105,[1]Afgrødedata!$A$5:$F$18,2,FALSE)*IF(D105="Økologisk",VLOOKUP(B105,[1]Afgrødedata!$A$5:$F$18,4,FALSE),1)*IF(E105&lt;&gt;Jordbund1,IF(E105=Organ6,VLOOKUP(B105,[1]Afgrødedata!$A$5:$F$18,5,FALSE),VLOOKUP(B105,[1]Afgrødedata!$A$5:$F$18,6,FALSE)),1)*0.1</f>
        <v>65143.50342519462</v>
      </c>
      <c r="I105" s="168">
        <f>G105*VLOOKUP(B105,[1]Afgrødedata!$A$5:$F$18,3,FALSE)*IF(D105="Økologisk",VLOOKUP(B105,[1]Afgrødedata!$A$5:$F$18,4,FALSE),1)*IF(E105&lt;&gt;Jordbund1,IF(E105=Organ6,VLOOKUP(B105,[1]Afgrødedata!$A$5:$F$18,5,FALSE),VLOOKUP(B105,[1]Afgrødedata!$A$5:$F$18,6,FALSE)),1)*HLOOKUP(C105,Landbrug!$C$15:$E$17,2,FALSE)*HLOOKUP(C105,Landbrug!$C$15:$E$17,3,FALSE)*0.1</f>
        <v>0</v>
      </c>
      <c r="J105" s="76">
        <f t="shared" si="15"/>
        <v>65143.50342519462</v>
      </c>
    </row>
    <row r="106" spans="1:10" x14ac:dyDescent="0.25">
      <c r="A106" t="s">
        <v>23</v>
      </c>
      <c r="B106" s="1" t="str">
        <f>[1]Afgrødefordeling!$C$8</f>
        <v>Roer</v>
      </c>
      <c r="C106">
        <v>2030</v>
      </c>
      <c r="D106" t="s">
        <v>7</v>
      </c>
      <c r="E106" s="168" t="str">
        <f t="shared" si="18"/>
        <v>OC6</v>
      </c>
      <c r="F106" t="str">
        <f t="shared" si="14"/>
        <v>Roer</v>
      </c>
      <c r="G106" s="76" cm="1">
        <f t="array" ref="G106">IF(A106="Vestdanmark",IF(D106="Konventionel",IF(C106=2019,SUMPRODUCT((B106='Landbrugsareal - resultat'!$B$6:$B$19)*(INDEX('Landbrugsareal - resultat'!$C$6:$E$19,,MATCH(E106,'Landbrugsareal - resultat'!$C$5:$E$5,0)))),IF(C106=2030,SUMPRODUCT((B106='Landbrugsareal - resultat'!$B$6:$B$19)*(INDEX('Landbrugsareal - resultat'!$F$6:$H$19,,MATCH(E106,'Landbrugsareal - resultat'!$F$5:$H$5,0)))),SUMPRODUCT((B106='Landbrugsareal - resultat'!$B$6:$B$19)*(INDEX('Landbrugsareal - resultat'!$I$6:$K$19,,MATCH(E106,'Landbrugsareal - resultat'!$I$5:$K$5,0)))))),IF(C106=2019,SUMPRODUCT((B106='Landbrugsareal - resultat'!$B$6:$B$19)*(INDEX('Landbrugsareal - resultat'!$L$6:$N$19,,MATCH(E106,'Landbrugsareal - resultat'!$L$5:$N$5,0)))),IF(C106=2030,SUMPRODUCT((B106='Landbrugsareal - resultat'!$B$6:$B$19)*(INDEX('Landbrugsareal - resultat'!$O$6:$Q$19,,MATCH(E106,'Landbrugsareal - resultat'!$O$5:$Q$5,0)))),SUMPRODUCT((B106='Landbrugsareal - resultat'!$B$6:$B$19)*(INDEX('Landbrugsareal - resultat'!$R$6:$T$19,,MATCH(E106,'Landbrugsareal - resultat'!$R$5:$T$5,0))))))),IF(D106="Konventionel",IF(C106=2019,SUMPRODUCT((B106='Landbrugsareal - resultat'!$B$33:$B$46)*(INDEX('Landbrugsareal - resultat'!$C$33:$E$46,,MATCH(E106,'Landbrugsareal - resultat'!$C$5:$E$5,0)))),IF(C106=2030,SUMPRODUCT((B106='Landbrugsareal - resultat'!$B$33:$B$46)*(INDEX('Landbrugsareal - resultat'!$F$33:$H$46,,MATCH(E106,'Landbrugsareal - resultat'!$F$5:$H$5,0)))),SUMPRODUCT((B106='Landbrugsareal - resultat'!$B$33:$B$46)*(INDEX('Landbrugsareal - resultat'!$I$33:$K$46,,MATCH(E106,'Landbrugsareal - resultat'!$I$5:$K$5,0)))))),IF(C106=2019,SUMPRODUCT((B106='Landbrugsareal - resultat'!$B$33:$B$46)*(INDEX('Landbrugsareal - resultat'!$L$33:$N$46,,MATCH(E106,'Landbrugsareal - resultat'!$L$5:$N$5,0)))),IF(C106=2030,SUMPRODUCT((B106='Landbrugsareal - resultat'!$B$33:$B$46)*(INDEX('Landbrugsareal - resultat'!$O$33:$Q$46,,MATCH(E106,'Landbrugsareal - resultat'!$O$5:$Q$5,0)))),SUMPRODUCT((B106='Landbrugsareal - resultat'!$B$33:$B$46)*(INDEX('Landbrugsareal - resultat'!$R$33:$T$46,,MATCH(E106,'Landbrugsareal - resultat'!$R$5:$T$5,0))))))))</f>
        <v>33.533953872093285</v>
      </c>
      <c r="H106" s="168">
        <f>G106*VLOOKUP(B106,[1]Afgrødedata!$A$5:$F$18,2,FALSE)*IF(D106="Økologisk",VLOOKUP(B106,[1]Afgrødedata!$A$5:$F$18,4,FALSE),1)*IF(E106&lt;&gt;Jordbund1,IF(E106=Organ6,VLOOKUP(B106,[1]Afgrødedata!$A$5:$F$18,5,FALSE),VLOOKUP(B106,[1]Afgrødedata!$A$5:$F$18,6,FALSE)),1)*0.1</f>
        <v>3269.7106545613583</v>
      </c>
      <c r="I106" s="168">
        <f>G106*VLOOKUP(B106,[1]Afgrødedata!$A$5:$F$18,3,FALSE)*IF(D106="Økologisk",VLOOKUP(B106,[1]Afgrødedata!$A$5:$F$18,4,FALSE),1)*IF(E106&lt;&gt;Jordbund1,IF(E106=Organ6,VLOOKUP(B106,[1]Afgrødedata!$A$5:$F$18,5,FALSE),VLOOKUP(B106,[1]Afgrødedata!$A$5:$F$18,6,FALSE)),1)*HLOOKUP(C106,Landbrug!$C$15:$E$17,2,FALSE)*HLOOKUP(C106,Landbrug!$C$15:$E$17,3,FALSE)*0.1</f>
        <v>0</v>
      </c>
      <c r="J106" s="76">
        <f t="shared" si="15"/>
        <v>3269.7106545613583</v>
      </c>
    </row>
    <row r="107" spans="1:10" x14ac:dyDescent="0.25">
      <c r="A107" t="s">
        <v>23</v>
      </c>
      <c r="B107" s="1" t="str">
        <f>[1]Afgrødefordeling!$C$9</f>
        <v>Majs</v>
      </c>
      <c r="C107">
        <v>2030</v>
      </c>
      <c r="D107" t="s">
        <v>7</v>
      </c>
      <c r="E107" s="168" t="str">
        <f t="shared" si="18"/>
        <v>OC6</v>
      </c>
      <c r="F107" t="str">
        <f t="shared" si="14"/>
        <v>Majs</v>
      </c>
      <c r="G107" s="76" cm="1">
        <f t="array" ref="G107">IF(A107="Vestdanmark",IF(D107="Konventionel",IF(C107=2019,SUMPRODUCT((B107='Landbrugsareal - resultat'!$B$6:$B$19)*(INDEX('Landbrugsareal - resultat'!$C$6:$E$19,,MATCH(E107,'Landbrugsareal - resultat'!$C$5:$E$5,0)))),IF(C107=2030,SUMPRODUCT((B107='Landbrugsareal - resultat'!$B$6:$B$19)*(INDEX('Landbrugsareal - resultat'!$F$6:$H$19,,MATCH(E107,'Landbrugsareal - resultat'!$F$5:$H$5,0)))),SUMPRODUCT((B107='Landbrugsareal - resultat'!$B$6:$B$19)*(INDEX('Landbrugsareal - resultat'!$I$6:$K$19,,MATCH(E107,'Landbrugsareal - resultat'!$I$5:$K$5,0)))))),IF(C107=2019,SUMPRODUCT((B107='Landbrugsareal - resultat'!$B$6:$B$19)*(INDEX('Landbrugsareal - resultat'!$L$6:$N$19,,MATCH(E107,'Landbrugsareal - resultat'!$L$5:$N$5,0)))),IF(C107=2030,SUMPRODUCT((B107='Landbrugsareal - resultat'!$B$6:$B$19)*(INDEX('Landbrugsareal - resultat'!$O$6:$Q$19,,MATCH(E107,'Landbrugsareal - resultat'!$O$5:$Q$5,0)))),SUMPRODUCT((B107='Landbrugsareal - resultat'!$B$6:$B$19)*(INDEX('Landbrugsareal - resultat'!$R$6:$T$19,,MATCH(E107,'Landbrugsareal - resultat'!$R$5:$T$5,0))))))),IF(D107="Konventionel",IF(C107=2019,SUMPRODUCT((B107='Landbrugsareal - resultat'!$B$33:$B$46)*(INDEX('Landbrugsareal - resultat'!$C$33:$E$46,,MATCH(E107,'Landbrugsareal - resultat'!$C$5:$E$5,0)))),IF(C107=2030,SUMPRODUCT((B107='Landbrugsareal - resultat'!$B$33:$B$46)*(INDEX('Landbrugsareal - resultat'!$F$33:$H$46,,MATCH(E107,'Landbrugsareal - resultat'!$F$5:$H$5,0)))),SUMPRODUCT((B107='Landbrugsareal - resultat'!$B$33:$B$46)*(INDEX('Landbrugsareal - resultat'!$I$33:$K$46,,MATCH(E107,'Landbrugsareal - resultat'!$I$5:$K$5,0)))))),IF(C107=2019,SUMPRODUCT((B107='Landbrugsareal - resultat'!$B$33:$B$46)*(INDEX('Landbrugsareal - resultat'!$L$33:$N$46,,MATCH(E107,'Landbrugsareal - resultat'!$L$5:$N$5,0)))),IF(C107=2030,SUMPRODUCT((B107='Landbrugsareal - resultat'!$B$33:$B$46)*(INDEX('Landbrugsareal - resultat'!$O$33:$Q$46,,MATCH(E107,'Landbrugsareal - resultat'!$O$5:$Q$5,0)))),SUMPRODUCT((B107='Landbrugsareal - resultat'!$B$33:$B$46)*(INDEX('Landbrugsareal - resultat'!$R$33:$T$46,,MATCH(E107,'Landbrugsareal - resultat'!$R$5:$T$5,0))))))))</f>
        <v>4328.7295130057018</v>
      </c>
      <c r="H107" s="168">
        <f>G107*VLOOKUP(B107,[1]Afgrødedata!$A$5:$F$18,2,FALSE)*IF(D107="Økologisk",VLOOKUP(B107,[1]Afgrødedata!$A$5:$F$18,4,FALSE),1)*IF(E107&lt;&gt;Jordbund1,IF(E107=Organ6,VLOOKUP(B107,[1]Afgrødedata!$A$5:$F$18,5,FALSE),VLOOKUP(B107,[1]Afgrødedata!$A$5:$F$18,6,FALSE)),1)*0.1</f>
        <v>231206.10074866057</v>
      </c>
      <c r="I107" s="168">
        <f>G107*VLOOKUP(B107,[1]Afgrødedata!$A$5:$F$18,3,FALSE)*IF(D107="Økologisk",VLOOKUP(B107,[1]Afgrødedata!$A$5:$F$18,4,FALSE),1)*IF(E107&lt;&gt;Jordbund1,IF(E107=Organ6,VLOOKUP(B107,[1]Afgrødedata!$A$5:$F$18,5,FALSE),VLOOKUP(B107,[1]Afgrødedata!$A$5:$F$18,6,FALSE)),1)*HLOOKUP(C107,Landbrug!$C$15:$E$17,2,FALSE)*HLOOKUP(C107,Landbrug!$C$15:$E$17,3,FALSE)*0.1</f>
        <v>0</v>
      </c>
      <c r="J107" s="76">
        <f t="shared" si="15"/>
        <v>231206.10074866057</v>
      </c>
    </row>
    <row r="108" spans="1:10" x14ac:dyDescent="0.25">
      <c r="A108" t="s">
        <v>23</v>
      </c>
      <c r="B108" s="1" t="str">
        <f>[1]Afgrødefordeling!$C$10</f>
        <v>Frugt</v>
      </c>
      <c r="C108">
        <v>2030</v>
      </c>
      <c r="D108" t="s">
        <v>7</v>
      </c>
      <c r="E108" s="168" t="str">
        <f t="shared" si="18"/>
        <v>OC6</v>
      </c>
      <c r="F108" t="str">
        <f t="shared" si="14"/>
        <v>Frugt</v>
      </c>
      <c r="G108" s="76" cm="1">
        <f t="array" ref="G108">IF(A108="Vestdanmark",IF(D108="Konventionel",IF(C108=2019,SUMPRODUCT((B108='Landbrugsareal - resultat'!$B$6:$B$19)*(INDEX('Landbrugsareal - resultat'!$C$6:$E$19,,MATCH(E108,'Landbrugsareal - resultat'!$C$5:$E$5,0)))),IF(C108=2030,SUMPRODUCT((B108='Landbrugsareal - resultat'!$B$6:$B$19)*(INDEX('Landbrugsareal - resultat'!$F$6:$H$19,,MATCH(E108,'Landbrugsareal - resultat'!$F$5:$H$5,0)))),SUMPRODUCT((B108='Landbrugsareal - resultat'!$B$6:$B$19)*(INDEX('Landbrugsareal - resultat'!$I$6:$K$19,,MATCH(E108,'Landbrugsareal - resultat'!$I$5:$K$5,0)))))),IF(C108=2019,SUMPRODUCT((B108='Landbrugsareal - resultat'!$B$6:$B$19)*(INDEX('Landbrugsareal - resultat'!$L$6:$N$19,,MATCH(E108,'Landbrugsareal - resultat'!$L$5:$N$5,0)))),IF(C108=2030,SUMPRODUCT((B108='Landbrugsareal - resultat'!$B$6:$B$19)*(INDEX('Landbrugsareal - resultat'!$O$6:$Q$19,,MATCH(E108,'Landbrugsareal - resultat'!$O$5:$Q$5,0)))),SUMPRODUCT((B108='Landbrugsareal - resultat'!$B$6:$B$19)*(INDEX('Landbrugsareal - resultat'!$R$6:$T$19,,MATCH(E108,'Landbrugsareal - resultat'!$R$5:$T$5,0))))))),IF(D108="Konventionel",IF(C108=2019,SUMPRODUCT((B108='Landbrugsareal - resultat'!$B$33:$B$46)*(INDEX('Landbrugsareal - resultat'!$C$33:$E$46,,MATCH(E108,'Landbrugsareal - resultat'!$C$5:$E$5,0)))),IF(C108=2030,SUMPRODUCT((B108='Landbrugsareal - resultat'!$B$33:$B$46)*(INDEX('Landbrugsareal - resultat'!$F$33:$H$46,,MATCH(E108,'Landbrugsareal - resultat'!$F$5:$H$5,0)))),SUMPRODUCT((B108='Landbrugsareal - resultat'!$B$33:$B$46)*(INDEX('Landbrugsareal - resultat'!$I$33:$K$46,,MATCH(E108,'Landbrugsareal - resultat'!$I$5:$K$5,0)))))),IF(C108=2019,SUMPRODUCT((B108='Landbrugsareal - resultat'!$B$33:$B$46)*(INDEX('Landbrugsareal - resultat'!$L$33:$N$46,,MATCH(E108,'Landbrugsareal - resultat'!$L$5:$N$5,0)))),IF(C108=2030,SUMPRODUCT((B108='Landbrugsareal - resultat'!$B$33:$B$46)*(INDEX('Landbrugsareal - resultat'!$O$33:$Q$46,,MATCH(E108,'Landbrugsareal - resultat'!$O$5:$Q$5,0)))),SUMPRODUCT((B108='Landbrugsareal - resultat'!$B$33:$B$46)*(INDEX('Landbrugsareal - resultat'!$R$33:$T$46,,MATCH(E108,'Landbrugsareal - resultat'!$R$5:$T$5,0))))))))</f>
        <v>73.74362846793683</v>
      </c>
      <c r="H108" s="168">
        <f>G108*VLOOKUP(B108,[1]Afgrødedata!$A$5:$F$18,2,FALSE)*IF(D108="Økologisk",VLOOKUP(B108,[1]Afgrødedata!$A$5:$F$18,4,FALSE),1)*IF(E108&lt;&gt;Jordbund1,IF(E108=Organ6,VLOOKUP(B108,[1]Afgrødedata!$A$5:$F$18,5,FALSE),VLOOKUP(B108,[1]Afgrødedata!$A$5:$F$18,6,FALSE)),1)*0.1</f>
        <v>751.30008683134042</v>
      </c>
      <c r="I108" s="168">
        <f>G108*VLOOKUP(B108,[1]Afgrødedata!$A$5:$F$18,3,FALSE)*IF(D108="Økologisk",VLOOKUP(B108,[1]Afgrødedata!$A$5:$F$18,4,FALSE),1)*IF(E108&lt;&gt;Jordbund1,IF(E108=Organ6,VLOOKUP(B108,[1]Afgrødedata!$A$5:$F$18,5,FALSE),VLOOKUP(B108,[1]Afgrødedata!$A$5:$F$18,6,FALSE)),1)*HLOOKUP(C108,Landbrug!$C$15:$E$17,2,FALSE)*HLOOKUP(C108,Landbrug!$C$15:$E$17,3,FALSE)*0.1</f>
        <v>0</v>
      </c>
      <c r="J108" s="76">
        <f t="shared" si="15"/>
        <v>751.30008683134042</v>
      </c>
    </row>
    <row r="109" spans="1:10" x14ac:dyDescent="0.25">
      <c r="A109" t="s">
        <v>23</v>
      </c>
      <c r="B109" s="1" t="str">
        <f>[1]Afgrødefordeling!$C$11</f>
        <v>Øvrige</v>
      </c>
      <c r="C109">
        <v>2030</v>
      </c>
      <c r="D109" t="s">
        <v>7</v>
      </c>
      <c r="E109" s="168" t="str">
        <f t="shared" si="18"/>
        <v>OC6</v>
      </c>
      <c r="F109" t="str">
        <f t="shared" si="14"/>
        <v>Øvrige</v>
      </c>
      <c r="G109" s="76" cm="1">
        <f t="array" ref="G109">IF(A109="Vestdanmark",IF(D109="Konventionel",IF(C109=2019,SUMPRODUCT((B109='Landbrugsareal - resultat'!$B$6:$B$19)*(INDEX('Landbrugsareal - resultat'!$C$6:$E$19,,MATCH(E109,'Landbrugsareal - resultat'!$C$5:$E$5,0)))),IF(C109=2030,SUMPRODUCT((B109='Landbrugsareal - resultat'!$B$6:$B$19)*(INDEX('Landbrugsareal - resultat'!$F$6:$H$19,,MATCH(E109,'Landbrugsareal - resultat'!$F$5:$H$5,0)))),SUMPRODUCT((B109='Landbrugsareal - resultat'!$B$6:$B$19)*(INDEX('Landbrugsareal - resultat'!$I$6:$K$19,,MATCH(E109,'Landbrugsareal - resultat'!$I$5:$K$5,0)))))),IF(C109=2019,SUMPRODUCT((B109='Landbrugsareal - resultat'!$B$6:$B$19)*(INDEX('Landbrugsareal - resultat'!$L$6:$N$19,,MATCH(E109,'Landbrugsareal - resultat'!$L$5:$N$5,0)))),IF(C109=2030,SUMPRODUCT((B109='Landbrugsareal - resultat'!$B$6:$B$19)*(INDEX('Landbrugsareal - resultat'!$O$6:$Q$19,,MATCH(E109,'Landbrugsareal - resultat'!$O$5:$Q$5,0)))),SUMPRODUCT((B109='Landbrugsareal - resultat'!$B$6:$B$19)*(INDEX('Landbrugsareal - resultat'!$R$6:$T$19,,MATCH(E109,'Landbrugsareal - resultat'!$R$5:$T$5,0))))))),IF(D109="Konventionel",IF(C109=2019,SUMPRODUCT((B109='Landbrugsareal - resultat'!$B$33:$B$46)*(INDEX('Landbrugsareal - resultat'!$C$33:$E$46,,MATCH(E109,'Landbrugsareal - resultat'!$C$5:$E$5,0)))),IF(C109=2030,SUMPRODUCT((B109='Landbrugsareal - resultat'!$B$33:$B$46)*(INDEX('Landbrugsareal - resultat'!$F$33:$H$46,,MATCH(E109,'Landbrugsareal - resultat'!$F$5:$H$5,0)))),SUMPRODUCT((B109='Landbrugsareal - resultat'!$B$33:$B$46)*(INDEX('Landbrugsareal - resultat'!$I$33:$K$46,,MATCH(E109,'Landbrugsareal - resultat'!$I$5:$K$5,0)))))),IF(C109=2019,SUMPRODUCT((B109='Landbrugsareal - resultat'!$B$33:$B$46)*(INDEX('Landbrugsareal - resultat'!$L$33:$N$46,,MATCH(E109,'Landbrugsareal - resultat'!$L$5:$N$5,0)))),IF(C109=2030,SUMPRODUCT((B109='Landbrugsareal - resultat'!$B$33:$B$46)*(INDEX('Landbrugsareal - resultat'!$O$33:$Q$46,,MATCH(E109,'Landbrugsareal - resultat'!$O$5:$Q$5,0)))),SUMPRODUCT((B109='Landbrugsareal - resultat'!$B$33:$B$46)*(INDEX('Landbrugsareal - resultat'!$R$33:$T$46,,MATCH(E109,'Landbrugsareal - resultat'!$R$5:$T$5,0))))))))</f>
        <v>1304.2225414898148</v>
      </c>
      <c r="H109" s="168">
        <f>G109*VLOOKUP(B109,[1]Afgrødedata!$A$5:$F$18,2,FALSE)*IF(D109="Økologisk",VLOOKUP(B109,[1]Afgrødedata!$A$5:$F$18,4,FALSE),1)*IF(E109&lt;&gt;Jordbund1,IF(E109=Organ6,VLOOKUP(B109,[1]Afgrødedata!$A$5:$F$18,5,FALSE),VLOOKUP(B109,[1]Afgrødedata!$A$5:$F$18,6,FALSE)),1)*0.1</f>
        <v>46632.649402000425</v>
      </c>
      <c r="I109" s="168">
        <f>G109*VLOOKUP(B109,[1]Afgrødedata!$A$5:$F$18,3,FALSE)*IF(D109="Økologisk",VLOOKUP(B109,[1]Afgrødedata!$A$5:$F$18,4,FALSE),1)*IF(E109&lt;&gt;Jordbund1,IF(E109=Organ6,VLOOKUP(B109,[1]Afgrødedata!$A$5:$F$18,5,FALSE),VLOOKUP(B109,[1]Afgrødedata!$A$5:$F$18,6,FALSE)),1)*HLOOKUP(C109,Landbrug!$C$15:$E$17,2,FALSE)*HLOOKUP(C109,Landbrug!$C$15:$E$17,3,FALSE)*0.1</f>
        <v>0</v>
      </c>
      <c r="J109" s="76">
        <f t="shared" si="15"/>
        <v>46632.649402000425</v>
      </c>
    </row>
    <row r="110" spans="1:10" x14ac:dyDescent="0.25">
      <c r="A110" t="s">
        <v>23</v>
      </c>
      <c r="B110" s="1" t="str">
        <f>[1]Afgrødefordeling!$C$12</f>
        <v>Frø</v>
      </c>
      <c r="C110">
        <v>2030</v>
      </c>
      <c r="D110" t="s">
        <v>7</v>
      </c>
      <c r="E110" s="168" t="str">
        <f t="shared" si="18"/>
        <v>OC6</v>
      </c>
      <c r="F110" t="str">
        <f t="shared" si="14"/>
        <v>Halm</v>
      </c>
      <c r="G110" s="76" cm="1">
        <f t="array" ref="G110">IF(A110="Vestdanmark",IF(D110="Konventionel",IF(C110=2019,SUMPRODUCT((B110='Landbrugsareal - resultat'!$B$6:$B$19)*(INDEX('Landbrugsareal - resultat'!$C$6:$E$19,,MATCH(E110,'Landbrugsareal - resultat'!$C$5:$E$5,0)))),IF(C110=2030,SUMPRODUCT((B110='Landbrugsareal - resultat'!$B$6:$B$19)*(INDEX('Landbrugsareal - resultat'!$F$6:$H$19,,MATCH(E110,'Landbrugsareal - resultat'!$F$5:$H$5,0)))),SUMPRODUCT((B110='Landbrugsareal - resultat'!$B$6:$B$19)*(INDEX('Landbrugsareal - resultat'!$I$6:$K$19,,MATCH(E110,'Landbrugsareal - resultat'!$I$5:$K$5,0)))))),IF(C110=2019,SUMPRODUCT((B110='Landbrugsareal - resultat'!$B$6:$B$19)*(INDEX('Landbrugsareal - resultat'!$L$6:$N$19,,MATCH(E110,'Landbrugsareal - resultat'!$L$5:$N$5,0)))),IF(C110=2030,SUMPRODUCT((B110='Landbrugsareal - resultat'!$B$6:$B$19)*(INDEX('Landbrugsareal - resultat'!$O$6:$Q$19,,MATCH(E110,'Landbrugsareal - resultat'!$O$5:$Q$5,0)))),SUMPRODUCT((B110='Landbrugsareal - resultat'!$B$6:$B$19)*(INDEX('Landbrugsareal - resultat'!$R$6:$T$19,,MATCH(E110,'Landbrugsareal - resultat'!$R$5:$T$5,0))))))),IF(D110="Konventionel",IF(C110=2019,SUMPRODUCT((B110='Landbrugsareal - resultat'!$B$33:$B$46)*(INDEX('Landbrugsareal - resultat'!$C$33:$E$46,,MATCH(E110,'Landbrugsareal - resultat'!$C$5:$E$5,0)))),IF(C110=2030,SUMPRODUCT((B110='Landbrugsareal - resultat'!$B$33:$B$46)*(INDEX('Landbrugsareal - resultat'!$F$33:$H$46,,MATCH(E110,'Landbrugsareal - resultat'!$F$5:$H$5,0)))),SUMPRODUCT((B110='Landbrugsareal - resultat'!$B$33:$B$46)*(INDEX('Landbrugsareal - resultat'!$I$33:$K$46,,MATCH(E110,'Landbrugsareal - resultat'!$I$5:$K$5,0)))))),IF(C110=2019,SUMPRODUCT((B110='Landbrugsareal - resultat'!$B$33:$B$46)*(INDEX('Landbrugsareal - resultat'!$L$33:$N$46,,MATCH(E110,'Landbrugsareal - resultat'!$L$5:$N$5,0)))),IF(C110=2030,SUMPRODUCT((B110='Landbrugsareal - resultat'!$B$33:$B$46)*(INDEX('Landbrugsareal - resultat'!$O$33:$Q$46,,MATCH(E110,'Landbrugsareal - resultat'!$O$5:$Q$5,0)))),SUMPRODUCT((B110='Landbrugsareal - resultat'!$B$33:$B$46)*(INDEX('Landbrugsareal - resultat'!$R$33:$T$46,,MATCH(E110,'Landbrugsareal - resultat'!$R$5:$T$5,0))))))))</f>
        <v>3219.2058465377545</v>
      </c>
      <c r="H110" s="168">
        <f>G110*VLOOKUP(B110,[1]Afgrødedata!$A$5:$F$18,2,FALSE)*IF(D110="Økologisk",VLOOKUP(B110,[1]Afgrødedata!$A$5:$F$18,4,FALSE),1)*IF(E110&lt;&gt;Jordbund1,IF(E110=Organ6,VLOOKUP(B110,[1]Afgrødedata!$A$5:$F$18,5,FALSE),VLOOKUP(B110,[1]Afgrødedata!$A$5:$F$18,6,FALSE)),1)*0.1</f>
        <v>55198.540916791106</v>
      </c>
      <c r="I110" s="168">
        <f>G110*VLOOKUP(B110,[1]Afgrødedata!$A$5:$F$18,3,FALSE)*IF(D110="Økologisk",VLOOKUP(B110,[1]Afgrødedata!$A$5:$F$18,4,FALSE),1)*IF(E110&lt;&gt;Jordbund1,IF(E110=Organ6,VLOOKUP(B110,[1]Afgrødedata!$A$5:$F$18,5,FALSE),VLOOKUP(B110,[1]Afgrødedata!$A$5:$F$18,6,FALSE)),1)*HLOOKUP(C110,Landbrug!$C$15:$E$17,2,FALSE)*HLOOKUP(C110,Landbrug!$C$15:$E$17,3,FALSE)*0.1</f>
        <v>9116.79095739492</v>
      </c>
      <c r="J110" s="76">
        <f t="shared" si="15"/>
        <v>9116.79095739492</v>
      </c>
    </row>
    <row r="111" spans="1:10" x14ac:dyDescent="0.25">
      <c r="A111" t="s">
        <v>23</v>
      </c>
      <c r="B111" s="1" t="str">
        <f>[1]Afgrødefordeling!$C$13</f>
        <v>Juletræer</v>
      </c>
      <c r="C111">
        <v>2030</v>
      </c>
      <c r="D111" t="s">
        <v>7</v>
      </c>
      <c r="E111" s="168" t="str">
        <f t="shared" si="18"/>
        <v>OC6</v>
      </c>
      <c r="F111" t="str">
        <f t="shared" si="14"/>
        <v>Juletræer</v>
      </c>
      <c r="G111" s="76" cm="1">
        <f t="array" ref="G111">IF(A111="Vestdanmark",IF(D111="Konventionel",IF(C111=2019,SUMPRODUCT((B111='Landbrugsareal - resultat'!$B$6:$B$19)*(INDEX('Landbrugsareal - resultat'!$C$6:$E$19,,MATCH(E111,'Landbrugsareal - resultat'!$C$5:$E$5,0)))),IF(C111=2030,SUMPRODUCT((B111='Landbrugsareal - resultat'!$B$6:$B$19)*(INDEX('Landbrugsareal - resultat'!$F$6:$H$19,,MATCH(E111,'Landbrugsareal - resultat'!$F$5:$H$5,0)))),SUMPRODUCT((B111='Landbrugsareal - resultat'!$B$6:$B$19)*(INDEX('Landbrugsareal - resultat'!$I$6:$K$19,,MATCH(E111,'Landbrugsareal - resultat'!$I$5:$K$5,0)))))),IF(C111=2019,SUMPRODUCT((B111='Landbrugsareal - resultat'!$B$6:$B$19)*(INDEX('Landbrugsareal - resultat'!$L$6:$N$19,,MATCH(E111,'Landbrugsareal - resultat'!$L$5:$N$5,0)))),IF(C111=2030,SUMPRODUCT((B111='Landbrugsareal - resultat'!$B$6:$B$19)*(INDEX('Landbrugsareal - resultat'!$O$6:$Q$19,,MATCH(E111,'Landbrugsareal - resultat'!$O$5:$Q$5,0)))),SUMPRODUCT((B111='Landbrugsareal - resultat'!$B$6:$B$19)*(INDEX('Landbrugsareal - resultat'!$R$6:$T$19,,MATCH(E111,'Landbrugsareal - resultat'!$R$5:$T$5,0))))))),IF(D111="Konventionel",IF(C111=2019,SUMPRODUCT((B111='Landbrugsareal - resultat'!$B$33:$B$46)*(INDEX('Landbrugsareal - resultat'!$C$33:$E$46,,MATCH(E111,'Landbrugsareal - resultat'!$C$5:$E$5,0)))),IF(C111=2030,SUMPRODUCT((B111='Landbrugsareal - resultat'!$B$33:$B$46)*(INDEX('Landbrugsareal - resultat'!$F$33:$H$46,,MATCH(E111,'Landbrugsareal - resultat'!$F$5:$H$5,0)))),SUMPRODUCT((B111='Landbrugsareal - resultat'!$B$33:$B$46)*(INDEX('Landbrugsareal - resultat'!$I$33:$K$46,,MATCH(E111,'Landbrugsareal - resultat'!$I$5:$K$5,0)))))),IF(C111=2019,SUMPRODUCT((B111='Landbrugsareal - resultat'!$B$33:$B$46)*(INDEX('Landbrugsareal - resultat'!$L$33:$N$46,,MATCH(E111,'Landbrugsareal - resultat'!$L$5:$N$5,0)))),IF(C111=2030,SUMPRODUCT((B111='Landbrugsareal - resultat'!$B$33:$B$46)*(INDEX('Landbrugsareal - resultat'!$O$33:$Q$46,,MATCH(E111,'Landbrugsareal - resultat'!$O$5:$Q$5,0)))),SUMPRODUCT((B111='Landbrugsareal - resultat'!$B$33:$B$46)*(INDEX('Landbrugsareal - resultat'!$R$33:$T$46,,MATCH(E111,'Landbrugsareal - resultat'!$R$5:$T$5,0))))))))</f>
        <v>369.86441635732047</v>
      </c>
      <c r="H111" s="168">
        <f>G111*VLOOKUP(B111,[1]Afgrødedata!$A$5:$F$18,2,FALSE)*IF(D111="Økologisk",VLOOKUP(B111,[1]Afgrødedata!$A$5:$F$18,4,FALSE),1)*IF(E111&lt;&gt;Jordbund1,IF(E111=Organ6,VLOOKUP(B111,[1]Afgrødedata!$A$5:$F$18,5,FALSE),VLOOKUP(B111,[1]Afgrødedata!$A$5:$F$18,6,FALSE)),1)*0.1</f>
        <v>22191.864981439227</v>
      </c>
      <c r="I111" s="168">
        <f>G111*VLOOKUP(B111,[1]Afgrødedata!$A$5:$F$18,3,FALSE)*IF(D111="Økologisk",VLOOKUP(B111,[1]Afgrødedata!$A$5:$F$18,4,FALSE),1)*IF(E111&lt;&gt;Jordbund1,IF(E111=Organ6,VLOOKUP(B111,[1]Afgrødedata!$A$5:$F$18,5,FALSE),VLOOKUP(B111,[1]Afgrødedata!$A$5:$F$18,6,FALSE)),1)*HLOOKUP(C111,Landbrug!$C$15:$E$17,2,FALSE)*HLOOKUP(C111,Landbrug!$C$15:$E$17,3,FALSE)*0.1</f>
        <v>0</v>
      </c>
      <c r="J111" s="76">
        <f t="shared" si="15"/>
        <v>22191.864981439227</v>
      </c>
    </row>
    <row r="112" spans="1:10" x14ac:dyDescent="0.25">
      <c r="A112" t="s">
        <v>23</v>
      </c>
      <c r="B112" s="1" t="str">
        <f>[1]Afgrødefordeling!$C$14</f>
        <v>Pil &amp; poppel</v>
      </c>
      <c r="C112">
        <v>2030</v>
      </c>
      <c r="D112" t="s">
        <v>7</v>
      </c>
      <c r="E112" s="168" t="str">
        <f t="shared" si="18"/>
        <v>OC6</v>
      </c>
      <c r="F112" t="str">
        <f t="shared" ref="F112" si="21">IF(I112&lt;&gt;0,"Halm",IF(B112&lt;&gt;"Permanent græs",B112,"Græs"))</f>
        <v>Pil &amp; poppel</v>
      </c>
      <c r="G112" s="76" cm="1">
        <f t="array" ref="G112">IF(A112="Vestdanmark",IF(D112="Konventionel",IF(C112=2019,SUMPRODUCT((B112='Landbrugsareal - resultat'!$B$6:$B$19)*(INDEX('Landbrugsareal - resultat'!$C$6:$E$19,,MATCH(E112,'Landbrugsareal - resultat'!$C$5:$E$5,0)))),IF(C112=2030,SUMPRODUCT((B112='Landbrugsareal - resultat'!$B$6:$B$19)*(INDEX('Landbrugsareal - resultat'!$F$6:$H$19,,MATCH(E112,'Landbrugsareal - resultat'!$F$5:$H$5,0)))),SUMPRODUCT((B112='Landbrugsareal - resultat'!$B$6:$B$19)*(INDEX('Landbrugsareal - resultat'!$I$6:$K$19,,MATCH(E112,'Landbrugsareal - resultat'!$I$5:$K$5,0)))))),IF(C112=2019,SUMPRODUCT((B112='Landbrugsareal - resultat'!$B$6:$B$19)*(INDEX('Landbrugsareal - resultat'!$L$6:$N$19,,MATCH(E112,'Landbrugsareal - resultat'!$L$5:$N$5,0)))),IF(C112=2030,SUMPRODUCT((B112='Landbrugsareal - resultat'!$B$6:$B$19)*(INDEX('Landbrugsareal - resultat'!$O$6:$Q$19,,MATCH(E112,'Landbrugsareal - resultat'!$O$5:$Q$5,0)))),SUMPRODUCT((B112='Landbrugsareal - resultat'!$B$6:$B$19)*(INDEX('Landbrugsareal - resultat'!$R$6:$T$19,,MATCH(E112,'Landbrugsareal - resultat'!$R$5:$T$5,0))))))),IF(D112="Konventionel",IF(C112=2019,SUMPRODUCT((B112='Landbrugsareal - resultat'!$B$33:$B$46)*(INDEX('Landbrugsareal - resultat'!$C$33:$E$46,,MATCH(E112,'Landbrugsareal - resultat'!$C$5:$E$5,0)))),IF(C112=2030,SUMPRODUCT((B112='Landbrugsareal - resultat'!$B$33:$B$46)*(INDEX('Landbrugsareal - resultat'!$F$33:$H$46,,MATCH(E112,'Landbrugsareal - resultat'!$F$5:$H$5,0)))),SUMPRODUCT((B112='Landbrugsareal - resultat'!$B$33:$B$46)*(INDEX('Landbrugsareal - resultat'!$I$33:$K$46,,MATCH(E112,'Landbrugsareal - resultat'!$I$5:$K$5,0)))))),IF(C112=2019,SUMPRODUCT((B112='Landbrugsareal - resultat'!$B$33:$B$46)*(INDEX('Landbrugsareal - resultat'!$L$33:$N$46,,MATCH(E112,'Landbrugsareal - resultat'!$L$5:$N$5,0)))),IF(C112=2030,SUMPRODUCT((B112='Landbrugsareal - resultat'!$B$33:$B$46)*(INDEX('Landbrugsareal - resultat'!$O$33:$Q$46,,MATCH(E112,'Landbrugsareal - resultat'!$O$5:$Q$5,0)))),SUMPRODUCT((B112='Landbrugsareal - resultat'!$B$33:$B$46)*(INDEX('Landbrugsareal - resultat'!$R$33:$T$46,,MATCH(E112,'Landbrugsareal - resultat'!$R$5:$T$5,0))))))))</f>
        <v>607.45375610690382</v>
      </c>
      <c r="H112" s="168">
        <f>G112*VLOOKUP(B112,[1]Afgrødedata!$A$5:$F$18,2,FALSE)*IF(D112="Økologisk",VLOOKUP(B112,[1]Afgrødedata!$A$5:$F$18,4,FALSE),1)*IF(E112&lt;&gt;Jordbund1,IF(E112=Organ6,VLOOKUP(B112,[1]Afgrødedata!$A$5:$F$18,5,FALSE),VLOOKUP(B112,[1]Afgrødedata!$A$5:$F$18,6,FALSE)),1)*0.1</f>
        <v>17779.134325080111</v>
      </c>
      <c r="I112" s="168">
        <f>G112*VLOOKUP(B112,[1]Afgrødedata!$A$5:$F$18,3,FALSE)*IF(D112="Økologisk",VLOOKUP(B112,[1]Afgrødedata!$A$5:$F$18,4,FALSE),1)*IF(E112&lt;&gt;Jordbund1,IF(E112=Organ6,VLOOKUP(B112,[1]Afgrødedata!$A$5:$F$18,5,FALSE),VLOOKUP(B112,[1]Afgrødedata!$A$5:$F$18,6,FALSE)),1)*HLOOKUP(C112,Landbrug!$C$15:$E$17,2,FALSE)*HLOOKUP(C112,Landbrug!$C$15:$E$17,3,FALSE)*0.1</f>
        <v>0</v>
      </c>
      <c r="J112" s="76">
        <f t="shared" ref="J112" si="22">IF(I112&lt;&gt;0,I112,H112)</f>
        <v>17779.134325080111</v>
      </c>
    </row>
    <row r="113" spans="1:10" x14ac:dyDescent="0.25">
      <c r="A113" t="s">
        <v>23</v>
      </c>
      <c r="B113" s="1" t="str">
        <f>[1]Afgrødefordeling!$C$15</f>
        <v>Permanent græs</v>
      </c>
      <c r="C113">
        <v>2030</v>
      </c>
      <c r="D113" t="s">
        <v>7</v>
      </c>
      <c r="E113" s="168" t="str">
        <f t="shared" si="18"/>
        <v>OC6</v>
      </c>
      <c r="F113" t="str">
        <f t="shared" si="14"/>
        <v>Græs</v>
      </c>
      <c r="G113" s="76" cm="1">
        <f t="array" ref="G113">IF(A113="Vestdanmark",IF(D113="Konventionel",IF(C113=2019,SUMPRODUCT((B113='Landbrugsareal - resultat'!$B$6:$B$19)*(INDEX('Landbrugsareal - resultat'!$C$6:$E$19,,MATCH(E113,'Landbrugsareal - resultat'!$C$5:$E$5,0)))),IF(C113=2030,SUMPRODUCT((B113='Landbrugsareal - resultat'!$B$6:$B$19)*(INDEX('Landbrugsareal - resultat'!$F$6:$H$19,,MATCH(E113,'Landbrugsareal - resultat'!$F$5:$H$5,0)))),SUMPRODUCT((B113='Landbrugsareal - resultat'!$B$6:$B$19)*(INDEX('Landbrugsareal - resultat'!$I$6:$K$19,,MATCH(E113,'Landbrugsareal - resultat'!$I$5:$K$5,0)))))),IF(C113=2019,SUMPRODUCT((B113='Landbrugsareal - resultat'!$B$6:$B$19)*(INDEX('Landbrugsareal - resultat'!$L$6:$N$19,,MATCH(E113,'Landbrugsareal - resultat'!$L$5:$N$5,0)))),IF(C113=2030,SUMPRODUCT((B113='Landbrugsareal - resultat'!$B$6:$B$19)*(INDEX('Landbrugsareal - resultat'!$O$6:$Q$19,,MATCH(E113,'Landbrugsareal - resultat'!$O$5:$Q$5,0)))),SUMPRODUCT((B113='Landbrugsareal - resultat'!$B$6:$B$19)*(INDEX('Landbrugsareal - resultat'!$R$6:$T$19,,MATCH(E113,'Landbrugsareal - resultat'!$R$5:$T$5,0))))))),IF(D113="Konventionel",IF(C113=2019,SUMPRODUCT((B113='Landbrugsareal - resultat'!$B$33:$B$46)*(INDEX('Landbrugsareal - resultat'!$C$33:$E$46,,MATCH(E113,'Landbrugsareal - resultat'!$C$5:$E$5,0)))),IF(C113=2030,SUMPRODUCT((B113='Landbrugsareal - resultat'!$B$33:$B$46)*(INDEX('Landbrugsareal - resultat'!$F$33:$H$46,,MATCH(E113,'Landbrugsareal - resultat'!$F$5:$H$5,0)))),SUMPRODUCT((B113='Landbrugsareal - resultat'!$B$33:$B$46)*(INDEX('Landbrugsareal - resultat'!$I$33:$K$46,,MATCH(E113,'Landbrugsareal - resultat'!$I$5:$K$5,0)))))),IF(C113=2019,SUMPRODUCT((B113='Landbrugsareal - resultat'!$B$33:$B$46)*(INDEX('Landbrugsareal - resultat'!$L$33:$N$46,,MATCH(E113,'Landbrugsareal - resultat'!$L$5:$N$5,0)))),IF(C113=2030,SUMPRODUCT((B113='Landbrugsareal - resultat'!$B$33:$B$46)*(INDEX('Landbrugsareal - resultat'!$O$33:$Q$46,,MATCH(E113,'Landbrugsareal - resultat'!$O$5:$Q$5,0)))),SUMPRODUCT((B113='Landbrugsareal - resultat'!$B$33:$B$46)*(INDEX('Landbrugsareal - resultat'!$R$33:$T$46,,MATCH(E113,'Landbrugsareal - resultat'!$R$5:$T$5,0))))))))</f>
        <v>17169.719909137468</v>
      </c>
      <c r="H113" s="168">
        <f>G113*VLOOKUP(B113,[1]Afgrødedata!$A$5:$F$18,2,FALSE)*IF(D113="Økologisk",VLOOKUP(B113,[1]Afgrødedata!$A$5:$F$18,4,FALSE),1)*IF(E113&lt;&gt;Jordbund1,IF(E113=Organ6,VLOOKUP(B113,[1]Afgrødedata!$A$5:$F$18,5,FALSE),VLOOKUP(B113,[1]Afgrødedata!$A$5:$F$18,6,FALSE)),1)*0.1</f>
        <v>284124.52505640686</v>
      </c>
      <c r="I113" s="168">
        <f>G113*VLOOKUP(B113,[1]Afgrødedata!$A$5:$F$18,3,FALSE)*IF(D113="Økologisk",VLOOKUP(B113,[1]Afgrødedata!$A$5:$F$18,4,FALSE),1)*IF(E113&lt;&gt;Jordbund1,IF(E113=Organ6,VLOOKUP(B113,[1]Afgrødedata!$A$5:$F$18,5,FALSE),VLOOKUP(B113,[1]Afgrødedata!$A$5:$F$18,6,FALSE)),1)*HLOOKUP(C113,Landbrug!$C$15:$E$17,2,FALSE)*HLOOKUP(C113,Landbrug!$C$15:$E$17,3,FALSE)*0.1</f>
        <v>0</v>
      </c>
      <c r="J113" s="76">
        <f t="shared" si="15"/>
        <v>284124.52505640686</v>
      </c>
    </row>
    <row r="114" spans="1:10" x14ac:dyDescent="0.25">
      <c r="A114" t="s">
        <v>23</v>
      </c>
      <c r="B114" s="1" t="str">
        <f>[1]Afgrødefordeling!$C$2</f>
        <v>Korn</v>
      </c>
      <c r="C114">
        <v>2050</v>
      </c>
      <c r="D114" t="s">
        <v>7</v>
      </c>
      <c r="E114" s="168" t="str">
        <f t="shared" si="18"/>
        <v>OC6</v>
      </c>
      <c r="F114" t="str">
        <f t="shared" si="14"/>
        <v>Halm</v>
      </c>
      <c r="G114" s="76" cm="1">
        <f t="array" ref="G114">IF(A114="Vestdanmark",IF(D114="Konventionel",IF(C114=2019,SUMPRODUCT((B114='Landbrugsareal - resultat'!$B$6:$B$19)*(INDEX('Landbrugsareal - resultat'!$C$6:$E$19,,MATCH(E114,'Landbrugsareal - resultat'!$C$5:$E$5,0)))),IF(C114=2030,SUMPRODUCT((B114='Landbrugsareal - resultat'!$B$6:$B$19)*(INDEX('Landbrugsareal - resultat'!$F$6:$H$19,,MATCH(E114,'Landbrugsareal - resultat'!$F$5:$H$5,0)))),SUMPRODUCT((B114='Landbrugsareal - resultat'!$B$6:$B$19)*(INDEX('Landbrugsareal - resultat'!$I$6:$K$19,,MATCH(E114,'Landbrugsareal - resultat'!$I$5:$K$5,0)))))),IF(C114=2019,SUMPRODUCT((B114='Landbrugsareal - resultat'!$B$6:$B$19)*(INDEX('Landbrugsareal - resultat'!$L$6:$N$19,,MATCH(E114,'Landbrugsareal - resultat'!$L$5:$N$5,0)))),IF(C114=2030,SUMPRODUCT((B114='Landbrugsareal - resultat'!$B$6:$B$19)*(INDEX('Landbrugsareal - resultat'!$O$6:$Q$19,,MATCH(E114,'Landbrugsareal - resultat'!$O$5:$Q$5,0)))),SUMPRODUCT((B114='Landbrugsareal - resultat'!$B$6:$B$19)*(INDEX('Landbrugsareal - resultat'!$R$6:$T$19,,MATCH(E114,'Landbrugsareal - resultat'!$R$5:$T$5,0))))))),IF(D114="Konventionel",IF(C114=2019,SUMPRODUCT((B114='Landbrugsareal - resultat'!$B$33:$B$46)*(INDEX('Landbrugsareal - resultat'!$C$33:$E$46,,MATCH(E114,'Landbrugsareal - resultat'!$C$5:$E$5,0)))),IF(C114=2030,SUMPRODUCT((B114='Landbrugsareal - resultat'!$B$33:$B$46)*(INDEX('Landbrugsareal - resultat'!$F$33:$H$46,,MATCH(E114,'Landbrugsareal - resultat'!$F$5:$H$5,0)))),SUMPRODUCT((B114='Landbrugsareal - resultat'!$B$33:$B$46)*(INDEX('Landbrugsareal - resultat'!$I$33:$K$46,,MATCH(E114,'Landbrugsareal - resultat'!$I$5:$K$5,0)))))),IF(C114=2019,SUMPRODUCT((B114='Landbrugsareal - resultat'!$B$33:$B$46)*(INDEX('Landbrugsareal - resultat'!$L$33:$N$46,,MATCH(E114,'Landbrugsareal - resultat'!$L$5:$N$5,0)))),IF(C114=2030,SUMPRODUCT((B114='Landbrugsareal - resultat'!$B$33:$B$46)*(INDEX('Landbrugsareal - resultat'!$O$33:$Q$46,,MATCH(E114,'Landbrugsareal - resultat'!$O$5:$Q$5,0)))),SUMPRODUCT((B114='Landbrugsareal - resultat'!$B$33:$B$46)*(INDEX('Landbrugsareal - resultat'!$R$33:$T$46,,MATCH(E114,'Landbrugsareal - resultat'!$R$5:$T$5,0))))))))</f>
        <v>19490.609878609357</v>
      </c>
      <c r="H114" s="168">
        <f>G114*VLOOKUP(B114,[1]Afgrødedata!$A$5:$F$18,2,FALSE)*IF(D114="Økologisk",VLOOKUP(B114,[1]Afgrødedata!$A$5:$F$18,4,FALSE),1)*IF(E114&lt;&gt;Jordbund1,IF(E114=Organ6,VLOOKUP(B114,[1]Afgrødedata!$A$5:$F$18,5,FALSE),VLOOKUP(B114,[1]Afgrødedata!$A$5:$F$18,6,FALSE)),1)*0.1</f>
        <v>163955.01029886189</v>
      </c>
      <c r="I114" s="168">
        <f>G114*VLOOKUP(B114,[1]Afgrødedata!$A$5:$F$18,3,FALSE)*IF(D114="Økologisk",VLOOKUP(B114,[1]Afgrødedata!$A$5:$F$18,4,FALSE),1)*IF(E114&lt;&gt;Jordbund1,IF(E114=Organ6,VLOOKUP(B114,[1]Afgrødedata!$A$5:$F$18,5,FALSE),VLOOKUP(B114,[1]Afgrødedata!$A$5:$F$18,6,FALSE)),1)*HLOOKUP(C114,Landbrug!$C$15:$E$17,2,FALSE)*HLOOKUP(C114,Landbrug!$C$15:$E$17,3,FALSE)*0.1</f>
        <v>53203.400841980685</v>
      </c>
      <c r="J114" s="76">
        <f t="shared" si="15"/>
        <v>53203.400841980685</v>
      </c>
    </row>
    <row r="115" spans="1:10" x14ac:dyDescent="0.25">
      <c r="A115" t="s">
        <v>23</v>
      </c>
      <c r="B115" s="1" t="str">
        <f>[1]Afgrødefordeling!$C$3</f>
        <v>Bælgsæd</v>
      </c>
      <c r="C115">
        <v>2050</v>
      </c>
      <c r="D115" t="s">
        <v>7</v>
      </c>
      <c r="E115" s="168" t="str">
        <f t="shared" si="18"/>
        <v>OC6</v>
      </c>
      <c r="F115" t="str">
        <f t="shared" si="14"/>
        <v>Halm</v>
      </c>
      <c r="G115" s="76" cm="1">
        <f t="array" ref="G115">IF(A115="Vestdanmark",IF(D115="Konventionel",IF(C115=2019,SUMPRODUCT((B115='Landbrugsareal - resultat'!$B$6:$B$19)*(INDEX('Landbrugsareal - resultat'!$C$6:$E$19,,MATCH(E115,'Landbrugsareal - resultat'!$C$5:$E$5,0)))),IF(C115=2030,SUMPRODUCT((B115='Landbrugsareal - resultat'!$B$6:$B$19)*(INDEX('Landbrugsareal - resultat'!$F$6:$H$19,,MATCH(E115,'Landbrugsareal - resultat'!$F$5:$H$5,0)))),SUMPRODUCT((B115='Landbrugsareal - resultat'!$B$6:$B$19)*(INDEX('Landbrugsareal - resultat'!$I$6:$K$19,,MATCH(E115,'Landbrugsareal - resultat'!$I$5:$K$5,0)))))),IF(C115=2019,SUMPRODUCT((B115='Landbrugsareal - resultat'!$B$6:$B$19)*(INDEX('Landbrugsareal - resultat'!$L$6:$N$19,,MATCH(E115,'Landbrugsareal - resultat'!$L$5:$N$5,0)))),IF(C115=2030,SUMPRODUCT((B115='Landbrugsareal - resultat'!$B$6:$B$19)*(INDEX('Landbrugsareal - resultat'!$O$6:$Q$19,,MATCH(E115,'Landbrugsareal - resultat'!$O$5:$Q$5,0)))),SUMPRODUCT((B115='Landbrugsareal - resultat'!$B$6:$B$19)*(INDEX('Landbrugsareal - resultat'!$R$6:$T$19,,MATCH(E115,'Landbrugsareal - resultat'!$R$5:$T$5,0))))))),IF(D115="Konventionel",IF(C115=2019,SUMPRODUCT((B115='Landbrugsareal - resultat'!$B$33:$B$46)*(INDEX('Landbrugsareal - resultat'!$C$33:$E$46,,MATCH(E115,'Landbrugsareal - resultat'!$C$5:$E$5,0)))),IF(C115=2030,SUMPRODUCT((B115='Landbrugsareal - resultat'!$B$33:$B$46)*(INDEX('Landbrugsareal - resultat'!$F$33:$H$46,,MATCH(E115,'Landbrugsareal - resultat'!$F$5:$H$5,0)))),SUMPRODUCT((B115='Landbrugsareal - resultat'!$B$33:$B$46)*(INDEX('Landbrugsareal - resultat'!$I$33:$K$46,,MATCH(E115,'Landbrugsareal - resultat'!$I$5:$K$5,0)))))),IF(C115=2019,SUMPRODUCT((B115='Landbrugsareal - resultat'!$B$33:$B$46)*(INDEX('Landbrugsareal - resultat'!$L$33:$N$46,,MATCH(E115,'Landbrugsareal - resultat'!$L$5:$N$5,0)))),IF(C115=2030,SUMPRODUCT((B115='Landbrugsareal - resultat'!$B$33:$B$46)*(INDEX('Landbrugsareal - resultat'!$O$33:$Q$46,,MATCH(E115,'Landbrugsareal - resultat'!$O$5:$Q$5,0)))),SUMPRODUCT((B115='Landbrugsareal - resultat'!$B$33:$B$46)*(INDEX('Landbrugsareal - resultat'!$R$33:$T$46,,MATCH(E115,'Landbrugsareal - resultat'!$R$5:$T$5,0))))))))</f>
        <v>1670.8169977768277</v>
      </c>
      <c r="H115" s="168">
        <f>G115*VLOOKUP(B115,[1]Afgrødedata!$A$5:$F$18,2,FALSE)*IF(D115="Økologisk",VLOOKUP(B115,[1]Afgrødedata!$A$5:$F$18,4,FALSE),1)*IF(E115&lt;&gt;Jordbund1,IF(E115=Organ6,VLOOKUP(B115,[1]Afgrødedata!$A$5:$F$18,5,FALSE),VLOOKUP(B115,[1]Afgrødedata!$A$5:$F$18,6,FALSE)),1)*0.1</f>
        <v>7739.2243337022664</v>
      </c>
      <c r="I115" s="168">
        <f>G115*VLOOKUP(B115,[1]Afgrødedata!$A$5:$F$18,3,FALSE)*IF(D115="Økologisk",VLOOKUP(B115,[1]Afgrødedata!$A$5:$F$18,4,FALSE),1)*IF(E115&lt;&gt;Jordbund1,IF(E115=Organ6,VLOOKUP(B115,[1]Afgrødedata!$A$5:$F$18,5,FALSE),VLOOKUP(B115,[1]Afgrødedata!$A$5:$F$18,6,FALSE)),1)*HLOOKUP(C115,Landbrug!$C$15:$E$17,2,FALSE)*HLOOKUP(C115,Landbrug!$C$15:$E$17,3,FALSE)*0.1</f>
        <v>2284.2541168765943</v>
      </c>
      <c r="J115" s="76">
        <f t="shared" si="15"/>
        <v>2284.2541168765943</v>
      </c>
    </row>
    <row r="116" spans="1:10" x14ac:dyDescent="0.25">
      <c r="A116" t="s">
        <v>23</v>
      </c>
      <c r="B116" s="1" t="str">
        <f>[1]Afgrødefordeling!$C$4</f>
        <v>Raps</v>
      </c>
      <c r="C116">
        <v>2050</v>
      </c>
      <c r="D116" t="s">
        <v>7</v>
      </c>
      <c r="E116" s="168" t="str">
        <f t="shared" si="18"/>
        <v>OC6</v>
      </c>
      <c r="F116" t="str">
        <f t="shared" si="14"/>
        <v>Halm</v>
      </c>
      <c r="G116" s="76" cm="1">
        <f t="array" ref="G116">IF(A116="Vestdanmark",IF(D116="Konventionel",IF(C116=2019,SUMPRODUCT((B116='Landbrugsareal - resultat'!$B$6:$B$19)*(INDEX('Landbrugsareal - resultat'!$C$6:$E$19,,MATCH(E116,'Landbrugsareal - resultat'!$C$5:$E$5,0)))),IF(C116=2030,SUMPRODUCT((B116='Landbrugsareal - resultat'!$B$6:$B$19)*(INDEX('Landbrugsareal - resultat'!$F$6:$H$19,,MATCH(E116,'Landbrugsareal - resultat'!$F$5:$H$5,0)))),SUMPRODUCT((B116='Landbrugsareal - resultat'!$B$6:$B$19)*(INDEX('Landbrugsareal - resultat'!$I$6:$K$19,,MATCH(E116,'Landbrugsareal - resultat'!$I$5:$K$5,0)))))),IF(C116=2019,SUMPRODUCT((B116='Landbrugsareal - resultat'!$B$6:$B$19)*(INDEX('Landbrugsareal - resultat'!$L$6:$N$19,,MATCH(E116,'Landbrugsareal - resultat'!$L$5:$N$5,0)))),IF(C116=2030,SUMPRODUCT((B116='Landbrugsareal - resultat'!$B$6:$B$19)*(INDEX('Landbrugsareal - resultat'!$O$6:$Q$19,,MATCH(E116,'Landbrugsareal - resultat'!$O$5:$Q$5,0)))),SUMPRODUCT((B116='Landbrugsareal - resultat'!$B$6:$B$19)*(INDEX('Landbrugsareal - resultat'!$R$6:$T$19,,MATCH(E116,'Landbrugsareal - resultat'!$R$5:$T$5,0))))))),IF(D116="Konventionel",IF(C116=2019,SUMPRODUCT((B116='Landbrugsareal - resultat'!$B$33:$B$46)*(INDEX('Landbrugsareal - resultat'!$C$33:$E$46,,MATCH(E116,'Landbrugsareal - resultat'!$C$5:$E$5,0)))),IF(C116=2030,SUMPRODUCT((B116='Landbrugsareal - resultat'!$B$33:$B$46)*(INDEX('Landbrugsareal - resultat'!$F$33:$H$46,,MATCH(E116,'Landbrugsareal - resultat'!$F$5:$H$5,0)))),SUMPRODUCT((B116='Landbrugsareal - resultat'!$B$33:$B$46)*(INDEX('Landbrugsareal - resultat'!$I$33:$K$46,,MATCH(E116,'Landbrugsareal - resultat'!$I$5:$K$5,0)))))),IF(C116=2019,SUMPRODUCT((B116='Landbrugsareal - resultat'!$B$33:$B$46)*(INDEX('Landbrugsareal - resultat'!$L$33:$N$46,,MATCH(E116,'Landbrugsareal - resultat'!$L$5:$N$5,0)))),IF(C116=2030,SUMPRODUCT((B116='Landbrugsareal - resultat'!$B$33:$B$46)*(INDEX('Landbrugsareal - resultat'!$O$33:$Q$46,,MATCH(E116,'Landbrugsareal - resultat'!$O$5:$Q$5,0)))),SUMPRODUCT((B116='Landbrugsareal - resultat'!$B$33:$B$46)*(INDEX('Landbrugsareal - resultat'!$R$33:$T$46,,MATCH(E116,'Landbrugsareal - resultat'!$R$5:$T$5,0))))))))</f>
        <v>1789.0824349215904</v>
      </c>
      <c r="H116" s="168">
        <f>G116*VLOOKUP(B116,[1]Afgrødedata!$A$5:$F$18,2,FALSE)*IF(D116="Økologisk",VLOOKUP(B116,[1]Afgrødedata!$A$5:$F$18,4,FALSE),1)*IF(E116&lt;&gt;Jordbund1,IF(E116=Organ6,VLOOKUP(B116,[1]Afgrødedata!$A$5:$F$18,5,FALSE),VLOOKUP(B116,[1]Afgrødedata!$A$5:$F$18,6,FALSE)),1)*0.1</f>
        <v>9446.3552563859976</v>
      </c>
      <c r="I116" s="168">
        <f>G116*VLOOKUP(B116,[1]Afgrødedata!$A$5:$F$18,3,FALSE)*IF(D116="Økologisk",VLOOKUP(B116,[1]Afgrødedata!$A$5:$F$18,4,FALSE),1)*IF(E116&lt;&gt;Jordbund1,IF(E116=Organ6,VLOOKUP(B116,[1]Afgrødedata!$A$5:$F$18,5,FALSE),VLOOKUP(B116,[1]Afgrødedata!$A$5:$F$18,6,FALSE)),1)*HLOOKUP(C116,Landbrug!$C$15:$E$17,2,FALSE)*HLOOKUP(C116,Landbrug!$C$15:$E$17,3,FALSE)*0.1</f>
        <v>5016.0146411409651</v>
      </c>
      <c r="J116" s="76">
        <f t="shared" si="15"/>
        <v>5016.0146411409651</v>
      </c>
    </row>
    <row r="117" spans="1:10" x14ac:dyDescent="0.25">
      <c r="A117" t="s">
        <v>23</v>
      </c>
      <c r="B117" s="1" t="str">
        <f>[1]Afgrødefordeling!$C$5</f>
        <v>Græs</v>
      </c>
      <c r="C117">
        <v>2050</v>
      </c>
      <c r="D117" t="s">
        <v>7</v>
      </c>
      <c r="E117" s="168" t="str">
        <f t="shared" si="18"/>
        <v>OC6</v>
      </c>
      <c r="F117" t="str">
        <f t="shared" si="14"/>
        <v>Græs</v>
      </c>
      <c r="G117" s="76" cm="1">
        <f t="array" ref="G117">IF(A117="Vestdanmark",IF(D117="Konventionel",IF(C117=2019,SUMPRODUCT((B117='Landbrugsareal - resultat'!$B$6:$B$19)*(INDEX('Landbrugsareal - resultat'!$C$6:$E$19,,MATCH(E117,'Landbrugsareal - resultat'!$C$5:$E$5,0)))),IF(C117=2030,SUMPRODUCT((B117='Landbrugsareal - resultat'!$B$6:$B$19)*(INDEX('Landbrugsareal - resultat'!$F$6:$H$19,,MATCH(E117,'Landbrugsareal - resultat'!$F$5:$H$5,0)))),SUMPRODUCT((B117='Landbrugsareal - resultat'!$B$6:$B$19)*(INDEX('Landbrugsareal - resultat'!$I$6:$K$19,,MATCH(E117,'Landbrugsareal - resultat'!$I$5:$K$5,0)))))),IF(C117=2019,SUMPRODUCT((B117='Landbrugsareal - resultat'!$B$6:$B$19)*(INDEX('Landbrugsareal - resultat'!$L$6:$N$19,,MATCH(E117,'Landbrugsareal - resultat'!$L$5:$N$5,0)))),IF(C117=2030,SUMPRODUCT((B117='Landbrugsareal - resultat'!$B$6:$B$19)*(INDEX('Landbrugsareal - resultat'!$O$6:$Q$19,,MATCH(E117,'Landbrugsareal - resultat'!$O$5:$Q$5,0)))),SUMPRODUCT((B117='Landbrugsareal - resultat'!$B$6:$B$19)*(INDEX('Landbrugsareal - resultat'!$R$6:$T$19,,MATCH(E117,'Landbrugsareal - resultat'!$R$5:$T$5,0))))))),IF(D117="Konventionel",IF(C117=2019,SUMPRODUCT((B117='Landbrugsareal - resultat'!$B$33:$B$46)*(INDEX('Landbrugsareal - resultat'!$C$33:$E$46,,MATCH(E117,'Landbrugsareal - resultat'!$C$5:$E$5,0)))),IF(C117=2030,SUMPRODUCT((B117='Landbrugsareal - resultat'!$B$33:$B$46)*(INDEX('Landbrugsareal - resultat'!$F$33:$H$46,,MATCH(E117,'Landbrugsareal - resultat'!$F$5:$H$5,0)))),SUMPRODUCT((B117='Landbrugsareal - resultat'!$B$33:$B$46)*(INDEX('Landbrugsareal - resultat'!$I$33:$K$46,,MATCH(E117,'Landbrugsareal - resultat'!$I$5:$K$5,0)))))),IF(C117=2019,SUMPRODUCT((B117='Landbrugsareal - resultat'!$B$33:$B$46)*(INDEX('Landbrugsareal - resultat'!$L$33:$N$46,,MATCH(E117,'Landbrugsareal - resultat'!$L$5:$N$5,0)))),IF(C117=2030,SUMPRODUCT((B117='Landbrugsareal - resultat'!$B$33:$B$46)*(INDEX('Landbrugsareal - resultat'!$O$33:$Q$46,,MATCH(E117,'Landbrugsareal - resultat'!$O$5:$Q$5,0)))),SUMPRODUCT((B117='Landbrugsareal - resultat'!$B$33:$B$46)*(INDEX('Landbrugsareal - resultat'!$R$33:$T$46,,MATCH(E117,'Landbrugsareal - resultat'!$R$5:$T$5,0))))))))</f>
        <v>16510.284217244931</v>
      </c>
      <c r="H117" s="168">
        <f>G117*VLOOKUP(B117,[1]Afgrødedata!$A$5:$F$18,2,FALSE)*IF(D117="Økologisk",VLOOKUP(B117,[1]Afgrødedata!$A$5:$F$18,4,FALSE),1)*IF(E117&lt;&gt;Jordbund1,IF(E117=Organ6,VLOOKUP(B117,[1]Afgrødedata!$A$5:$F$18,5,FALSE),VLOOKUP(B117,[1]Afgrødedata!$A$5:$F$18,6,FALSE)),1)*0.1</f>
        <v>983088.36343163217</v>
      </c>
      <c r="I117" s="168">
        <f>G117*VLOOKUP(B117,[1]Afgrødedata!$A$5:$F$18,3,FALSE)*IF(D117="Økologisk",VLOOKUP(B117,[1]Afgrødedata!$A$5:$F$18,4,FALSE),1)*IF(E117&lt;&gt;Jordbund1,IF(E117=Organ6,VLOOKUP(B117,[1]Afgrødedata!$A$5:$F$18,5,FALSE),VLOOKUP(B117,[1]Afgrødedata!$A$5:$F$18,6,FALSE)),1)*HLOOKUP(C117,Landbrug!$C$15:$E$17,2,FALSE)*HLOOKUP(C117,Landbrug!$C$15:$E$17,3,FALSE)*0.1</f>
        <v>0</v>
      </c>
      <c r="J117" s="76">
        <f t="shared" si="15"/>
        <v>983088.36343163217</v>
      </c>
    </row>
    <row r="118" spans="1:10" x14ac:dyDescent="0.25">
      <c r="A118" t="s">
        <v>23</v>
      </c>
      <c r="B118" s="1" t="str">
        <f>[1]Afgrødefordeling!$C$6</f>
        <v>Grøntsager</v>
      </c>
      <c r="C118">
        <v>2050</v>
      </c>
      <c r="D118" t="s">
        <v>7</v>
      </c>
      <c r="E118" s="168" t="str">
        <f t="shared" ref="E118:E149" si="23">Organ6</f>
        <v>OC6</v>
      </c>
      <c r="F118" t="str">
        <f t="shared" si="14"/>
        <v>Grøntsager</v>
      </c>
      <c r="G118" s="76" cm="1">
        <f t="array" ref="G118">IF(A118="Vestdanmark",IF(D118="Konventionel",IF(C118=2019,SUMPRODUCT((B118='Landbrugsareal - resultat'!$B$6:$B$19)*(INDEX('Landbrugsareal - resultat'!$C$6:$E$19,,MATCH(E118,'Landbrugsareal - resultat'!$C$5:$E$5,0)))),IF(C118=2030,SUMPRODUCT((B118='Landbrugsareal - resultat'!$B$6:$B$19)*(INDEX('Landbrugsareal - resultat'!$F$6:$H$19,,MATCH(E118,'Landbrugsareal - resultat'!$F$5:$H$5,0)))),SUMPRODUCT((B118='Landbrugsareal - resultat'!$B$6:$B$19)*(INDEX('Landbrugsareal - resultat'!$I$6:$K$19,,MATCH(E118,'Landbrugsareal - resultat'!$I$5:$K$5,0)))))),IF(C118=2019,SUMPRODUCT((B118='Landbrugsareal - resultat'!$B$6:$B$19)*(INDEX('Landbrugsareal - resultat'!$L$6:$N$19,,MATCH(E118,'Landbrugsareal - resultat'!$L$5:$N$5,0)))),IF(C118=2030,SUMPRODUCT((B118='Landbrugsareal - resultat'!$B$6:$B$19)*(INDEX('Landbrugsareal - resultat'!$O$6:$Q$19,,MATCH(E118,'Landbrugsareal - resultat'!$O$5:$Q$5,0)))),SUMPRODUCT((B118='Landbrugsareal - resultat'!$B$6:$B$19)*(INDEX('Landbrugsareal - resultat'!$R$6:$T$19,,MATCH(E118,'Landbrugsareal - resultat'!$R$5:$T$5,0))))))),IF(D118="Konventionel",IF(C118=2019,SUMPRODUCT((B118='Landbrugsareal - resultat'!$B$33:$B$46)*(INDEX('Landbrugsareal - resultat'!$C$33:$E$46,,MATCH(E118,'Landbrugsareal - resultat'!$C$5:$E$5,0)))),IF(C118=2030,SUMPRODUCT((B118='Landbrugsareal - resultat'!$B$33:$B$46)*(INDEX('Landbrugsareal - resultat'!$F$33:$H$46,,MATCH(E118,'Landbrugsareal - resultat'!$F$5:$H$5,0)))),SUMPRODUCT((B118='Landbrugsareal - resultat'!$B$33:$B$46)*(INDEX('Landbrugsareal - resultat'!$I$33:$K$46,,MATCH(E118,'Landbrugsareal - resultat'!$I$5:$K$5,0)))))),IF(C118=2019,SUMPRODUCT((B118='Landbrugsareal - resultat'!$B$33:$B$46)*(INDEX('Landbrugsareal - resultat'!$L$33:$N$46,,MATCH(E118,'Landbrugsareal - resultat'!$L$5:$N$5,0)))),IF(C118=2030,SUMPRODUCT((B118='Landbrugsareal - resultat'!$B$33:$B$46)*(INDEX('Landbrugsareal - resultat'!$O$33:$Q$46,,MATCH(E118,'Landbrugsareal - resultat'!$O$5:$Q$5,0)))),SUMPRODUCT((B118='Landbrugsareal - resultat'!$B$33:$B$46)*(INDEX('Landbrugsareal - resultat'!$R$33:$T$46,,MATCH(E118,'Landbrugsareal - resultat'!$R$5:$T$5,0))))))))</f>
        <v>77.219220301826923</v>
      </c>
      <c r="H118" s="168">
        <f>G118*VLOOKUP(B118,[1]Afgrødedata!$A$5:$F$18,2,FALSE)*IF(D118="Økologisk",VLOOKUP(B118,[1]Afgrødedata!$A$5:$F$18,4,FALSE),1)*IF(E118&lt;&gt;Jordbund1,IF(E118=Organ6,VLOOKUP(B118,[1]Afgrødedata!$A$5:$F$18,5,FALSE),VLOOKUP(B118,[1]Afgrødedata!$A$5:$F$18,6,FALSE)),1)*0.1</f>
        <v>1922.7585855154903</v>
      </c>
      <c r="I118" s="168">
        <f>G118*VLOOKUP(B118,[1]Afgrødedata!$A$5:$F$18,3,FALSE)*IF(D118="Økologisk",VLOOKUP(B118,[1]Afgrødedata!$A$5:$F$18,4,FALSE),1)*IF(E118&lt;&gt;Jordbund1,IF(E118=Organ6,VLOOKUP(B118,[1]Afgrødedata!$A$5:$F$18,5,FALSE),VLOOKUP(B118,[1]Afgrødedata!$A$5:$F$18,6,FALSE)),1)*HLOOKUP(C118,Landbrug!$C$15:$E$17,2,FALSE)*HLOOKUP(C118,Landbrug!$C$15:$E$17,3,FALSE)*0.1</f>
        <v>0</v>
      </c>
      <c r="J118" s="76">
        <f t="shared" si="15"/>
        <v>1922.7585855154903</v>
      </c>
    </row>
    <row r="119" spans="1:10" x14ac:dyDescent="0.25">
      <c r="A119" t="s">
        <v>23</v>
      </c>
      <c r="B119" s="1" t="str">
        <f>[1]Afgrødefordeling!$C$7</f>
        <v>Kartofler</v>
      </c>
      <c r="C119">
        <v>2050</v>
      </c>
      <c r="D119" t="s">
        <v>7</v>
      </c>
      <c r="E119" s="168" t="str">
        <f t="shared" si="23"/>
        <v>OC6</v>
      </c>
      <c r="F119" t="str">
        <f t="shared" si="14"/>
        <v>Kartofler</v>
      </c>
      <c r="G119" s="76" cm="1">
        <f t="array" ref="G119">IF(A119="Vestdanmark",IF(D119="Konventionel",IF(C119=2019,SUMPRODUCT((B119='Landbrugsareal - resultat'!$B$6:$B$19)*(INDEX('Landbrugsareal - resultat'!$C$6:$E$19,,MATCH(E119,'Landbrugsareal - resultat'!$C$5:$E$5,0)))),IF(C119=2030,SUMPRODUCT((B119='Landbrugsareal - resultat'!$B$6:$B$19)*(INDEX('Landbrugsareal - resultat'!$F$6:$H$19,,MATCH(E119,'Landbrugsareal - resultat'!$F$5:$H$5,0)))),SUMPRODUCT((B119='Landbrugsareal - resultat'!$B$6:$B$19)*(INDEX('Landbrugsareal - resultat'!$I$6:$K$19,,MATCH(E119,'Landbrugsareal - resultat'!$I$5:$K$5,0)))))),IF(C119=2019,SUMPRODUCT((B119='Landbrugsareal - resultat'!$B$6:$B$19)*(INDEX('Landbrugsareal - resultat'!$L$6:$N$19,,MATCH(E119,'Landbrugsareal - resultat'!$L$5:$N$5,0)))),IF(C119=2030,SUMPRODUCT((B119='Landbrugsareal - resultat'!$B$6:$B$19)*(INDEX('Landbrugsareal - resultat'!$O$6:$Q$19,,MATCH(E119,'Landbrugsareal - resultat'!$O$5:$Q$5,0)))),SUMPRODUCT((B119='Landbrugsareal - resultat'!$B$6:$B$19)*(INDEX('Landbrugsareal - resultat'!$R$6:$T$19,,MATCH(E119,'Landbrugsareal - resultat'!$R$5:$T$5,0))))))),IF(D119="Konventionel",IF(C119=2019,SUMPRODUCT((B119='Landbrugsareal - resultat'!$B$33:$B$46)*(INDEX('Landbrugsareal - resultat'!$C$33:$E$46,,MATCH(E119,'Landbrugsareal - resultat'!$C$5:$E$5,0)))),IF(C119=2030,SUMPRODUCT((B119='Landbrugsareal - resultat'!$B$33:$B$46)*(INDEX('Landbrugsareal - resultat'!$F$33:$H$46,,MATCH(E119,'Landbrugsareal - resultat'!$F$5:$H$5,0)))),SUMPRODUCT((B119='Landbrugsareal - resultat'!$B$33:$B$46)*(INDEX('Landbrugsareal - resultat'!$I$33:$K$46,,MATCH(E119,'Landbrugsareal - resultat'!$I$5:$K$5,0)))))),IF(C119=2019,SUMPRODUCT((B119='Landbrugsareal - resultat'!$B$33:$B$46)*(INDEX('Landbrugsareal - resultat'!$L$33:$N$46,,MATCH(E119,'Landbrugsareal - resultat'!$L$5:$N$5,0)))),IF(C119=2030,SUMPRODUCT((B119='Landbrugsareal - resultat'!$B$33:$B$46)*(INDEX('Landbrugsareal - resultat'!$O$33:$Q$46,,MATCH(E119,'Landbrugsareal - resultat'!$O$5:$Q$5,0)))),SUMPRODUCT((B119='Landbrugsareal - resultat'!$B$33:$B$46)*(INDEX('Landbrugsareal - resultat'!$R$33:$T$46,,MATCH(E119,'Landbrugsareal - resultat'!$R$5:$T$5,0))))))))</f>
        <v>1219.0913436388062</v>
      </c>
      <c r="H119" s="168">
        <f>G119*VLOOKUP(B119,[1]Afgrødedata!$A$5:$F$18,2,FALSE)*IF(D119="Økologisk",VLOOKUP(B119,[1]Afgrødedata!$A$5:$F$18,4,FALSE),1)*IF(E119&lt;&gt;Jordbund1,IF(E119=Organ6,VLOOKUP(B119,[1]Afgrødedata!$A$5:$F$18,5,FALSE),VLOOKUP(B119,[1]Afgrødedata!$A$5:$F$18,6,FALSE)),1)*0.1</f>
        <v>62131.087081832986</v>
      </c>
      <c r="I119" s="168">
        <f>G119*VLOOKUP(B119,[1]Afgrødedata!$A$5:$F$18,3,FALSE)*IF(D119="Økologisk",VLOOKUP(B119,[1]Afgrødedata!$A$5:$F$18,4,FALSE),1)*IF(E119&lt;&gt;Jordbund1,IF(E119=Organ6,VLOOKUP(B119,[1]Afgrødedata!$A$5:$F$18,5,FALSE),VLOOKUP(B119,[1]Afgrødedata!$A$5:$F$18,6,FALSE)),1)*HLOOKUP(C119,Landbrug!$C$15:$E$17,2,FALSE)*HLOOKUP(C119,Landbrug!$C$15:$E$17,3,FALSE)*0.1</f>
        <v>0</v>
      </c>
      <c r="J119" s="76">
        <f t="shared" si="15"/>
        <v>62131.087081832986</v>
      </c>
    </row>
    <row r="120" spans="1:10" x14ac:dyDescent="0.25">
      <c r="A120" t="s">
        <v>23</v>
      </c>
      <c r="B120" s="1" t="str">
        <f>[1]Afgrødefordeling!$C$8</f>
        <v>Roer</v>
      </c>
      <c r="C120">
        <v>2050</v>
      </c>
      <c r="D120" t="s">
        <v>7</v>
      </c>
      <c r="E120" s="168" t="str">
        <f t="shared" si="23"/>
        <v>OC6</v>
      </c>
      <c r="F120" t="str">
        <f t="shared" si="14"/>
        <v>Roer</v>
      </c>
      <c r="G120" s="76" cm="1">
        <f t="array" ref="G120">IF(A120="Vestdanmark",IF(D120="Konventionel",IF(C120=2019,SUMPRODUCT((B120='Landbrugsareal - resultat'!$B$6:$B$19)*(INDEX('Landbrugsareal - resultat'!$C$6:$E$19,,MATCH(E120,'Landbrugsareal - resultat'!$C$5:$E$5,0)))),IF(C120=2030,SUMPRODUCT((B120='Landbrugsareal - resultat'!$B$6:$B$19)*(INDEX('Landbrugsareal - resultat'!$F$6:$H$19,,MATCH(E120,'Landbrugsareal - resultat'!$F$5:$H$5,0)))),SUMPRODUCT((B120='Landbrugsareal - resultat'!$B$6:$B$19)*(INDEX('Landbrugsareal - resultat'!$I$6:$K$19,,MATCH(E120,'Landbrugsareal - resultat'!$I$5:$K$5,0)))))),IF(C120=2019,SUMPRODUCT((B120='Landbrugsareal - resultat'!$B$6:$B$19)*(INDEX('Landbrugsareal - resultat'!$L$6:$N$19,,MATCH(E120,'Landbrugsareal - resultat'!$L$5:$N$5,0)))),IF(C120=2030,SUMPRODUCT((B120='Landbrugsareal - resultat'!$B$6:$B$19)*(INDEX('Landbrugsareal - resultat'!$O$6:$Q$19,,MATCH(E120,'Landbrugsareal - resultat'!$O$5:$Q$5,0)))),SUMPRODUCT((B120='Landbrugsareal - resultat'!$B$6:$B$19)*(INDEX('Landbrugsareal - resultat'!$R$6:$T$19,,MATCH(E120,'Landbrugsareal - resultat'!$R$5:$T$5,0))))))),IF(D120="Konventionel",IF(C120=2019,SUMPRODUCT((B120='Landbrugsareal - resultat'!$B$33:$B$46)*(INDEX('Landbrugsareal - resultat'!$C$33:$E$46,,MATCH(E120,'Landbrugsareal - resultat'!$C$5:$E$5,0)))),IF(C120=2030,SUMPRODUCT((B120='Landbrugsareal - resultat'!$B$33:$B$46)*(INDEX('Landbrugsareal - resultat'!$F$33:$H$46,,MATCH(E120,'Landbrugsareal - resultat'!$F$5:$H$5,0)))),SUMPRODUCT((B120='Landbrugsareal - resultat'!$B$33:$B$46)*(INDEX('Landbrugsareal - resultat'!$I$33:$K$46,,MATCH(E120,'Landbrugsareal - resultat'!$I$5:$K$5,0)))))),IF(C120=2019,SUMPRODUCT((B120='Landbrugsareal - resultat'!$B$33:$B$46)*(INDEX('Landbrugsareal - resultat'!$L$33:$N$46,,MATCH(E120,'Landbrugsareal - resultat'!$L$5:$N$5,0)))),IF(C120=2030,SUMPRODUCT((B120='Landbrugsareal - resultat'!$B$33:$B$46)*(INDEX('Landbrugsareal - resultat'!$O$33:$Q$46,,MATCH(E120,'Landbrugsareal - resultat'!$O$5:$Q$5,0)))),SUMPRODUCT((B120='Landbrugsareal - resultat'!$B$33:$B$46)*(INDEX('Landbrugsareal - resultat'!$R$33:$T$46,,MATCH(E120,'Landbrugsareal - resultat'!$R$5:$T$5,0))))))))</f>
        <v>31.983250802863537</v>
      </c>
      <c r="H120" s="168">
        <f>G120*VLOOKUP(B120,[1]Afgrødedata!$A$5:$F$18,2,FALSE)*IF(D120="Økologisk",VLOOKUP(B120,[1]Afgrødedata!$A$5:$F$18,4,FALSE),1)*IF(E120&lt;&gt;Jordbund1,IF(E120=Organ6,VLOOKUP(B120,[1]Afgrødedata!$A$5:$F$18,5,FALSE),VLOOKUP(B120,[1]Afgrødedata!$A$5:$F$18,6,FALSE)),1)*0.1</f>
        <v>3118.5101618648791</v>
      </c>
      <c r="I120" s="168">
        <f>G120*VLOOKUP(B120,[1]Afgrødedata!$A$5:$F$18,3,FALSE)*IF(D120="Økologisk",VLOOKUP(B120,[1]Afgrødedata!$A$5:$F$18,4,FALSE),1)*IF(E120&lt;&gt;Jordbund1,IF(E120=Organ6,VLOOKUP(B120,[1]Afgrødedata!$A$5:$F$18,5,FALSE),VLOOKUP(B120,[1]Afgrødedata!$A$5:$F$18,6,FALSE)),1)*HLOOKUP(C120,Landbrug!$C$15:$E$17,2,FALSE)*HLOOKUP(C120,Landbrug!$C$15:$E$17,3,FALSE)*0.1</f>
        <v>0</v>
      </c>
      <c r="J120" s="76">
        <f t="shared" si="15"/>
        <v>3118.5101618648791</v>
      </c>
    </row>
    <row r="121" spans="1:10" x14ac:dyDescent="0.25">
      <c r="A121" t="s">
        <v>23</v>
      </c>
      <c r="B121" s="1" t="str">
        <f>[1]Afgrødefordeling!$C$9</f>
        <v>Majs</v>
      </c>
      <c r="C121">
        <v>2050</v>
      </c>
      <c r="D121" t="s">
        <v>7</v>
      </c>
      <c r="E121" s="168" t="str">
        <f t="shared" si="23"/>
        <v>OC6</v>
      </c>
      <c r="F121" t="str">
        <f t="shared" si="14"/>
        <v>Majs</v>
      </c>
      <c r="G121" s="76" cm="1">
        <f t="array" ref="G121">IF(A121="Vestdanmark",IF(D121="Konventionel",IF(C121=2019,SUMPRODUCT((B121='Landbrugsareal - resultat'!$B$6:$B$19)*(INDEX('Landbrugsareal - resultat'!$C$6:$E$19,,MATCH(E121,'Landbrugsareal - resultat'!$C$5:$E$5,0)))),IF(C121=2030,SUMPRODUCT((B121='Landbrugsareal - resultat'!$B$6:$B$19)*(INDEX('Landbrugsareal - resultat'!$F$6:$H$19,,MATCH(E121,'Landbrugsareal - resultat'!$F$5:$H$5,0)))),SUMPRODUCT((B121='Landbrugsareal - resultat'!$B$6:$B$19)*(INDEX('Landbrugsareal - resultat'!$I$6:$K$19,,MATCH(E121,'Landbrugsareal - resultat'!$I$5:$K$5,0)))))),IF(C121=2019,SUMPRODUCT((B121='Landbrugsareal - resultat'!$B$6:$B$19)*(INDEX('Landbrugsareal - resultat'!$L$6:$N$19,,MATCH(E121,'Landbrugsareal - resultat'!$L$5:$N$5,0)))),IF(C121=2030,SUMPRODUCT((B121='Landbrugsareal - resultat'!$B$6:$B$19)*(INDEX('Landbrugsareal - resultat'!$O$6:$Q$19,,MATCH(E121,'Landbrugsareal - resultat'!$O$5:$Q$5,0)))),SUMPRODUCT((B121='Landbrugsareal - resultat'!$B$6:$B$19)*(INDEX('Landbrugsareal - resultat'!$R$6:$T$19,,MATCH(E121,'Landbrugsareal - resultat'!$R$5:$T$5,0))))))),IF(D121="Konventionel",IF(C121=2019,SUMPRODUCT((B121='Landbrugsareal - resultat'!$B$33:$B$46)*(INDEX('Landbrugsareal - resultat'!$C$33:$E$46,,MATCH(E121,'Landbrugsareal - resultat'!$C$5:$E$5,0)))),IF(C121=2030,SUMPRODUCT((B121='Landbrugsareal - resultat'!$B$33:$B$46)*(INDEX('Landbrugsareal - resultat'!$F$33:$H$46,,MATCH(E121,'Landbrugsareal - resultat'!$F$5:$H$5,0)))),SUMPRODUCT((B121='Landbrugsareal - resultat'!$B$33:$B$46)*(INDEX('Landbrugsareal - resultat'!$I$33:$K$46,,MATCH(E121,'Landbrugsareal - resultat'!$I$5:$K$5,0)))))),IF(C121=2019,SUMPRODUCT((B121='Landbrugsareal - resultat'!$B$33:$B$46)*(INDEX('Landbrugsareal - resultat'!$L$33:$N$46,,MATCH(E121,'Landbrugsareal - resultat'!$L$5:$N$5,0)))),IF(C121=2030,SUMPRODUCT((B121='Landbrugsareal - resultat'!$B$33:$B$46)*(INDEX('Landbrugsareal - resultat'!$O$33:$Q$46,,MATCH(E121,'Landbrugsareal - resultat'!$O$5:$Q$5,0)))),SUMPRODUCT((B121='Landbrugsareal - resultat'!$B$33:$B$46)*(INDEX('Landbrugsareal - resultat'!$R$33:$T$46,,MATCH(E121,'Landbrugsareal - resultat'!$R$5:$T$5,0))))))))</f>
        <v>4128.5570499765372</v>
      </c>
      <c r="H121" s="168">
        <f>G121*VLOOKUP(B121,[1]Afgrødedata!$A$5:$F$18,2,FALSE)*IF(D121="Økologisk",VLOOKUP(B121,[1]Afgrødedata!$A$5:$F$18,4,FALSE),1)*IF(E121&lt;&gt;Jordbund1,IF(E121=Organ6,VLOOKUP(B121,[1]Afgrødedata!$A$5:$F$18,5,FALSE),VLOOKUP(B121,[1]Afgrødedata!$A$5:$F$18,6,FALSE)),1)*0.1</f>
        <v>220514.4891533468</v>
      </c>
      <c r="I121" s="168">
        <f>G121*VLOOKUP(B121,[1]Afgrødedata!$A$5:$F$18,3,FALSE)*IF(D121="Økologisk",VLOOKUP(B121,[1]Afgrødedata!$A$5:$F$18,4,FALSE),1)*IF(E121&lt;&gt;Jordbund1,IF(E121=Organ6,VLOOKUP(B121,[1]Afgrødedata!$A$5:$F$18,5,FALSE),VLOOKUP(B121,[1]Afgrødedata!$A$5:$F$18,6,FALSE)),1)*HLOOKUP(C121,Landbrug!$C$15:$E$17,2,FALSE)*HLOOKUP(C121,Landbrug!$C$15:$E$17,3,FALSE)*0.1</f>
        <v>0</v>
      </c>
      <c r="J121" s="76">
        <f t="shared" si="15"/>
        <v>220514.4891533468</v>
      </c>
    </row>
    <row r="122" spans="1:10" x14ac:dyDescent="0.25">
      <c r="A122" t="s">
        <v>23</v>
      </c>
      <c r="B122" s="1" t="str">
        <f>[1]Afgrødefordeling!$C$10</f>
        <v>Frugt</v>
      </c>
      <c r="C122">
        <v>2050</v>
      </c>
      <c r="D122" t="s">
        <v>7</v>
      </c>
      <c r="E122" s="168" t="str">
        <f t="shared" si="23"/>
        <v>OC6</v>
      </c>
      <c r="F122" t="str">
        <f t="shared" si="14"/>
        <v>Frugt</v>
      </c>
      <c r="G122" s="76" cm="1">
        <f t="array" ref="G122">IF(A122="Vestdanmark",IF(D122="Konventionel",IF(C122=2019,SUMPRODUCT((B122='Landbrugsareal - resultat'!$B$6:$B$19)*(INDEX('Landbrugsareal - resultat'!$C$6:$E$19,,MATCH(E122,'Landbrugsareal - resultat'!$C$5:$E$5,0)))),IF(C122=2030,SUMPRODUCT((B122='Landbrugsareal - resultat'!$B$6:$B$19)*(INDEX('Landbrugsareal - resultat'!$F$6:$H$19,,MATCH(E122,'Landbrugsareal - resultat'!$F$5:$H$5,0)))),SUMPRODUCT((B122='Landbrugsareal - resultat'!$B$6:$B$19)*(INDEX('Landbrugsareal - resultat'!$I$6:$K$19,,MATCH(E122,'Landbrugsareal - resultat'!$I$5:$K$5,0)))))),IF(C122=2019,SUMPRODUCT((B122='Landbrugsareal - resultat'!$B$6:$B$19)*(INDEX('Landbrugsareal - resultat'!$L$6:$N$19,,MATCH(E122,'Landbrugsareal - resultat'!$L$5:$N$5,0)))),IF(C122=2030,SUMPRODUCT((B122='Landbrugsareal - resultat'!$B$6:$B$19)*(INDEX('Landbrugsareal - resultat'!$O$6:$Q$19,,MATCH(E122,'Landbrugsareal - resultat'!$O$5:$Q$5,0)))),SUMPRODUCT((B122='Landbrugsareal - resultat'!$B$6:$B$19)*(INDEX('Landbrugsareal - resultat'!$R$6:$T$19,,MATCH(E122,'Landbrugsareal - resultat'!$R$5:$T$5,0))))))),IF(D122="Konventionel",IF(C122=2019,SUMPRODUCT((B122='Landbrugsareal - resultat'!$B$33:$B$46)*(INDEX('Landbrugsareal - resultat'!$C$33:$E$46,,MATCH(E122,'Landbrugsareal - resultat'!$C$5:$E$5,0)))),IF(C122=2030,SUMPRODUCT((B122='Landbrugsareal - resultat'!$B$33:$B$46)*(INDEX('Landbrugsareal - resultat'!$F$33:$H$46,,MATCH(E122,'Landbrugsareal - resultat'!$F$5:$H$5,0)))),SUMPRODUCT((B122='Landbrugsareal - resultat'!$B$33:$B$46)*(INDEX('Landbrugsareal - resultat'!$I$33:$K$46,,MATCH(E122,'Landbrugsareal - resultat'!$I$5:$K$5,0)))))),IF(C122=2019,SUMPRODUCT((B122='Landbrugsareal - resultat'!$B$33:$B$46)*(INDEX('Landbrugsareal - resultat'!$L$33:$N$46,,MATCH(E122,'Landbrugsareal - resultat'!$L$5:$N$5,0)))),IF(C122=2030,SUMPRODUCT((B122='Landbrugsareal - resultat'!$B$33:$B$46)*(INDEX('Landbrugsareal - resultat'!$O$33:$Q$46,,MATCH(E122,'Landbrugsareal - resultat'!$O$5:$Q$5,0)))),SUMPRODUCT((B122='Landbrugsareal - resultat'!$B$33:$B$46)*(INDEX('Landbrugsareal - resultat'!$R$33:$T$46,,MATCH(E122,'Landbrugsareal - resultat'!$R$5:$T$5,0))))))))</f>
        <v>70.333518480980217</v>
      </c>
      <c r="H122" s="168">
        <f>G122*VLOOKUP(B122,[1]Afgrødedata!$A$5:$F$18,2,FALSE)*IF(D122="Økologisk",VLOOKUP(B122,[1]Afgrødedata!$A$5:$F$18,4,FALSE),1)*IF(E122&lt;&gt;Jordbund1,IF(E122=Organ6,VLOOKUP(B122,[1]Afgrødedata!$A$5:$F$18,5,FALSE),VLOOKUP(B122,[1]Afgrødedata!$A$5:$F$18,6,FALSE)),1)*0.1</f>
        <v>716.55788628422658</v>
      </c>
      <c r="I122" s="168">
        <f>G122*VLOOKUP(B122,[1]Afgrødedata!$A$5:$F$18,3,FALSE)*IF(D122="Økologisk",VLOOKUP(B122,[1]Afgrødedata!$A$5:$F$18,4,FALSE),1)*IF(E122&lt;&gt;Jordbund1,IF(E122=Organ6,VLOOKUP(B122,[1]Afgrødedata!$A$5:$F$18,5,FALSE),VLOOKUP(B122,[1]Afgrødedata!$A$5:$F$18,6,FALSE)),1)*HLOOKUP(C122,Landbrug!$C$15:$E$17,2,FALSE)*HLOOKUP(C122,Landbrug!$C$15:$E$17,3,FALSE)*0.1</f>
        <v>0</v>
      </c>
      <c r="J122" s="76">
        <f t="shared" si="15"/>
        <v>716.55788628422658</v>
      </c>
    </row>
    <row r="123" spans="1:10" x14ac:dyDescent="0.25">
      <c r="A123" t="s">
        <v>23</v>
      </c>
      <c r="B123" s="1" t="str">
        <f>[1]Afgrødefordeling!$C$11</f>
        <v>Øvrige</v>
      </c>
      <c r="C123">
        <v>2050</v>
      </c>
      <c r="D123" t="s">
        <v>7</v>
      </c>
      <c r="E123" s="168" t="str">
        <f t="shared" si="23"/>
        <v>OC6</v>
      </c>
      <c r="F123" t="str">
        <f t="shared" si="14"/>
        <v>Øvrige</v>
      </c>
      <c r="G123" s="76" cm="1">
        <f t="array" ref="G123">IF(A123="Vestdanmark",IF(D123="Konventionel",IF(C123=2019,SUMPRODUCT((B123='Landbrugsareal - resultat'!$B$6:$B$19)*(INDEX('Landbrugsareal - resultat'!$C$6:$E$19,,MATCH(E123,'Landbrugsareal - resultat'!$C$5:$E$5,0)))),IF(C123=2030,SUMPRODUCT((B123='Landbrugsareal - resultat'!$B$6:$B$19)*(INDEX('Landbrugsareal - resultat'!$F$6:$H$19,,MATCH(E123,'Landbrugsareal - resultat'!$F$5:$H$5,0)))),SUMPRODUCT((B123='Landbrugsareal - resultat'!$B$6:$B$19)*(INDEX('Landbrugsareal - resultat'!$I$6:$K$19,,MATCH(E123,'Landbrugsareal - resultat'!$I$5:$K$5,0)))))),IF(C123=2019,SUMPRODUCT((B123='Landbrugsareal - resultat'!$B$6:$B$19)*(INDEX('Landbrugsareal - resultat'!$L$6:$N$19,,MATCH(E123,'Landbrugsareal - resultat'!$L$5:$N$5,0)))),IF(C123=2030,SUMPRODUCT((B123='Landbrugsareal - resultat'!$B$6:$B$19)*(INDEX('Landbrugsareal - resultat'!$O$6:$Q$19,,MATCH(E123,'Landbrugsareal - resultat'!$O$5:$Q$5,0)))),SUMPRODUCT((B123='Landbrugsareal - resultat'!$B$6:$B$19)*(INDEX('Landbrugsareal - resultat'!$R$6:$T$19,,MATCH(E123,'Landbrugsareal - resultat'!$R$5:$T$5,0))))))),IF(D123="Konventionel",IF(C123=2019,SUMPRODUCT((B123='Landbrugsareal - resultat'!$B$33:$B$46)*(INDEX('Landbrugsareal - resultat'!$C$33:$E$46,,MATCH(E123,'Landbrugsareal - resultat'!$C$5:$E$5,0)))),IF(C123=2030,SUMPRODUCT((B123='Landbrugsareal - resultat'!$B$33:$B$46)*(INDEX('Landbrugsareal - resultat'!$F$33:$H$46,,MATCH(E123,'Landbrugsareal - resultat'!$F$5:$H$5,0)))),SUMPRODUCT((B123='Landbrugsareal - resultat'!$B$33:$B$46)*(INDEX('Landbrugsareal - resultat'!$I$33:$K$46,,MATCH(E123,'Landbrugsareal - resultat'!$I$5:$K$5,0)))))),IF(C123=2019,SUMPRODUCT((B123='Landbrugsareal - resultat'!$B$33:$B$46)*(INDEX('Landbrugsareal - resultat'!$L$33:$N$46,,MATCH(E123,'Landbrugsareal - resultat'!$L$5:$N$5,0)))),IF(C123=2030,SUMPRODUCT((B123='Landbrugsareal - resultat'!$B$33:$B$46)*(INDEX('Landbrugsareal - resultat'!$O$33:$Q$46,,MATCH(E123,'Landbrugsareal - resultat'!$O$5:$Q$5,0)))),SUMPRODUCT((B123='Landbrugsareal - resultat'!$B$33:$B$46)*(INDEX('Landbrugsareal - resultat'!$R$33:$T$46,,MATCH(E123,'Landbrugsareal - resultat'!$R$5:$T$5,0))))))))</f>
        <v>1243.9116725191875</v>
      </c>
      <c r="H123" s="168">
        <f>G123*VLOOKUP(B123,[1]Afgrødedata!$A$5:$F$18,2,FALSE)*IF(D123="Økologisk",VLOOKUP(B123,[1]Afgrødedata!$A$5:$F$18,4,FALSE),1)*IF(E123&lt;&gt;Jordbund1,IF(E123=Organ6,VLOOKUP(B123,[1]Afgrødedata!$A$5:$F$18,5,FALSE),VLOOKUP(B123,[1]Afgrødedata!$A$5:$F$18,6,FALSE)),1)*0.1</f>
        <v>44476.226308266305</v>
      </c>
      <c r="I123" s="168">
        <f>G123*VLOOKUP(B123,[1]Afgrødedata!$A$5:$F$18,3,FALSE)*IF(D123="Økologisk",VLOOKUP(B123,[1]Afgrødedata!$A$5:$F$18,4,FALSE),1)*IF(E123&lt;&gt;Jordbund1,IF(E123=Organ6,VLOOKUP(B123,[1]Afgrødedata!$A$5:$F$18,5,FALSE),VLOOKUP(B123,[1]Afgrødedata!$A$5:$F$18,6,FALSE)),1)*HLOOKUP(C123,Landbrug!$C$15:$E$17,2,FALSE)*HLOOKUP(C123,Landbrug!$C$15:$E$17,3,FALSE)*0.1</f>
        <v>0</v>
      </c>
      <c r="J123" s="76">
        <f t="shared" si="15"/>
        <v>44476.226308266305</v>
      </c>
    </row>
    <row r="124" spans="1:10" x14ac:dyDescent="0.25">
      <c r="A124" t="s">
        <v>23</v>
      </c>
      <c r="B124" s="1" t="str">
        <f>[1]Afgrødefordeling!$C$12</f>
        <v>Frø</v>
      </c>
      <c r="C124">
        <v>2050</v>
      </c>
      <c r="D124" t="s">
        <v>7</v>
      </c>
      <c r="E124" s="168" t="str">
        <f t="shared" si="23"/>
        <v>OC6</v>
      </c>
      <c r="F124" t="str">
        <f t="shared" si="14"/>
        <v>Halm</v>
      </c>
      <c r="G124" s="76" cm="1">
        <f t="array" ref="G124">IF(A124="Vestdanmark",IF(D124="Konventionel",IF(C124=2019,SUMPRODUCT((B124='Landbrugsareal - resultat'!$B$6:$B$19)*(INDEX('Landbrugsareal - resultat'!$C$6:$E$19,,MATCH(E124,'Landbrugsareal - resultat'!$C$5:$E$5,0)))),IF(C124=2030,SUMPRODUCT((B124='Landbrugsareal - resultat'!$B$6:$B$19)*(INDEX('Landbrugsareal - resultat'!$F$6:$H$19,,MATCH(E124,'Landbrugsareal - resultat'!$F$5:$H$5,0)))),SUMPRODUCT((B124='Landbrugsareal - resultat'!$B$6:$B$19)*(INDEX('Landbrugsareal - resultat'!$I$6:$K$19,,MATCH(E124,'Landbrugsareal - resultat'!$I$5:$K$5,0)))))),IF(C124=2019,SUMPRODUCT((B124='Landbrugsareal - resultat'!$B$6:$B$19)*(INDEX('Landbrugsareal - resultat'!$L$6:$N$19,,MATCH(E124,'Landbrugsareal - resultat'!$L$5:$N$5,0)))),IF(C124=2030,SUMPRODUCT((B124='Landbrugsareal - resultat'!$B$6:$B$19)*(INDEX('Landbrugsareal - resultat'!$O$6:$Q$19,,MATCH(E124,'Landbrugsareal - resultat'!$O$5:$Q$5,0)))),SUMPRODUCT((B124='Landbrugsareal - resultat'!$B$6:$B$19)*(INDEX('Landbrugsareal - resultat'!$R$6:$T$19,,MATCH(E124,'Landbrugsareal - resultat'!$R$5:$T$5,0))))))),IF(D124="Konventionel",IF(C124=2019,SUMPRODUCT((B124='Landbrugsareal - resultat'!$B$33:$B$46)*(INDEX('Landbrugsareal - resultat'!$C$33:$E$46,,MATCH(E124,'Landbrugsareal - resultat'!$C$5:$E$5,0)))),IF(C124=2030,SUMPRODUCT((B124='Landbrugsareal - resultat'!$B$33:$B$46)*(INDEX('Landbrugsareal - resultat'!$F$33:$H$46,,MATCH(E124,'Landbrugsareal - resultat'!$F$5:$H$5,0)))),SUMPRODUCT((B124='Landbrugsareal - resultat'!$B$33:$B$46)*(INDEX('Landbrugsareal - resultat'!$I$33:$K$46,,MATCH(E124,'Landbrugsareal - resultat'!$I$5:$K$5,0)))))),IF(C124=2019,SUMPRODUCT((B124='Landbrugsareal - resultat'!$B$33:$B$46)*(INDEX('Landbrugsareal - resultat'!$L$33:$N$46,,MATCH(E124,'Landbrugsareal - resultat'!$L$5:$N$5,0)))),IF(C124=2030,SUMPRODUCT((B124='Landbrugsareal - resultat'!$B$33:$B$46)*(INDEX('Landbrugsareal - resultat'!$O$33:$Q$46,,MATCH(E124,'Landbrugsareal - resultat'!$O$5:$Q$5,0)))),SUMPRODUCT((B124='Landbrugsareal - resultat'!$B$33:$B$46)*(INDEX('Landbrugsareal - resultat'!$R$33:$T$46,,MATCH(E124,'Landbrugsareal - resultat'!$R$5:$T$5,0))))))))</f>
        <v>3070.3408362932341</v>
      </c>
      <c r="H124" s="168">
        <f>G124*VLOOKUP(B124,[1]Afgrødedata!$A$5:$F$18,2,FALSE)*IF(D124="Økologisk",VLOOKUP(B124,[1]Afgrødedata!$A$5:$F$18,4,FALSE),1)*IF(E124&lt;&gt;Jordbund1,IF(E124=Organ6,VLOOKUP(B124,[1]Afgrødedata!$A$5:$F$18,5,FALSE),VLOOKUP(B124,[1]Afgrødedata!$A$5:$F$18,6,FALSE)),1)*0.1</f>
        <v>52646.007232777651</v>
      </c>
      <c r="I124" s="168">
        <f>G124*VLOOKUP(B124,[1]Afgrødedata!$A$5:$F$18,3,FALSE)*IF(D124="Økologisk",VLOOKUP(B124,[1]Afgrødedata!$A$5:$F$18,4,FALSE),1)*IF(E124&lt;&gt;Jordbund1,IF(E124=Organ6,VLOOKUP(B124,[1]Afgrødedata!$A$5:$F$18,5,FALSE),VLOOKUP(B124,[1]Afgrødedata!$A$5:$F$18,6,FALSE)),1)*HLOOKUP(C124,Landbrug!$C$15:$E$17,2,FALSE)*HLOOKUP(C124,Landbrug!$C$15:$E$17,3,FALSE)*0.1</f>
        <v>8695.2052483824409</v>
      </c>
      <c r="J124" s="76">
        <f t="shared" si="15"/>
        <v>8695.2052483824409</v>
      </c>
    </row>
    <row r="125" spans="1:10" x14ac:dyDescent="0.25">
      <c r="A125" t="s">
        <v>23</v>
      </c>
      <c r="B125" s="1" t="str">
        <f>[1]Afgrødefordeling!$C$13</f>
        <v>Juletræer</v>
      </c>
      <c r="C125">
        <v>2050</v>
      </c>
      <c r="D125" t="s">
        <v>7</v>
      </c>
      <c r="E125" s="168" t="str">
        <f t="shared" si="23"/>
        <v>OC6</v>
      </c>
      <c r="F125" t="str">
        <f t="shared" si="14"/>
        <v>Juletræer</v>
      </c>
      <c r="G125" s="76" cm="1">
        <f t="array" ref="G125">IF(A125="Vestdanmark",IF(D125="Konventionel",IF(C125=2019,SUMPRODUCT((B125='Landbrugsareal - resultat'!$B$6:$B$19)*(INDEX('Landbrugsareal - resultat'!$C$6:$E$19,,MATCH(E125,'Landbrugsareal - resultat'!$C$5:$E$5,0)))),IF(C125=2030,SUMPRODUCT((B125='Landbrugsareal - resultat'!$B$6:$B$19)*(INDEX('Landbrugsareal - resultat'!$F$6:$H$19,,MATCH(E125,'Landbrugsareal - resultat'!$F$5:$H$5,0)))),SUMPRODUCT((B125='Landbrugsareal - resultat'!$B$6:$B$19)*(INDEX('Landbrugsareal - resultat'!$I$6:$K$19,,MATCH(E125,'Landbrugsareal - resultat'!$I$5:$K$5,0)))))),IF(C125=2019,SUMPRODUCT((B125='Landbrugsareal - resultat'!$B$6:$B$19)*(INDEX('Landbrugsareal - resultat'!$L$6:$N$19,,MATCH(E125,'Landbrugsareal - resultat'!$L$5:$N$5,0)))),IF(C125=2030,SUMPRODUCT((B125='Landbrugsareal - resultat'!$B$6:$B$19)*(INDEX('Landbrugsareal - resultat'!$O$6:$Q$19,,MATCH(E125,'Landbrugsareal - resultat'!$O$5:$Q$5,0)))),SUMPRODUCT((B125='Landbrugsareal - resultat'!$B$6:$B$19)*(INDEX('Landbrugsareal - resultat'!$R$6:$T$19,,MATCH(E125,'Landbrugsareal - resultat'!$R$5:$T$5,0))))))),IF(D125="Konventionel",IF(C125=2019,SUMPRODUCT((B125='Landbrugsareal - resultat'!$B$33:$B$46)*(INDEX('Landbrugsareal - resultat'!$C$33:$E$46,,MATCH(E125,'Landbrugsareal - resultat'!$C$5:$E$5,0)))),IF(C125=2030,SUMPRODUCT((B125='Landbrugsareal - resultat'!$B$33:$B$46)*(INDEX('Landbrugsareal - resultat'!$F$33:$H$46,,MATCH(E125,'Landbrugsareal - resultat'!$F$5:$H$5,0)))),SUMPRODUCT((B125='Landbrugsareal - resultat'!$B$33:$B$46)*(INDEX('Landbrugsareal - resultat'!$I$33:$K$46,,MATCH(E125,'Landbrugsareal - resultat'!$I$5:$K$5,0)))))),IF(C125=2019,SUMPRODUCT((B125='Landbrugsareal - resultat'!$B$33:$B$46)*(INDEX('Landbrugsareal - resultat'!$L$33:$N$46,,MATCH(E125,'Landbrugsareal - resultat'!$L$5:$N$5,0)))),IF(C125=2030,SUMPRODUCT((B125='Landbrugsareal - resultat'!$B$33:$B$46)*(INDEX('Landbrugsareal - resultat'!$O$33:$Q$46,,MATCH(E125,'Landbrugsareal - resultat'!$O$5:$Q$5,0)))),SUMPRODUCT((B125='Landbrugsareal - resultat'!$B$33:$B$46)*(INDEX('Landbrugsareal - resultat'!$R$33:$T$46,,MATCH(E125,'Landbrugsareal - resultat'!$R$5:$T$5,0))))))))</f>
        <v>352.76085953154842</v>
      </c>
      <c r="H125" s="168">
        <f>G125*VLOOKUP(B125,[1]Afgrødedata!$A$5:$F$18,2,FALSE)*IF(D125="Økologisk",VLOOKUP(B125,[1]Afgrødedata!$A$5:$F$18,4,FALSE),1)*IF(E125&lt;&gt;Jordbund1,IF(E125=Organ6,VLOOKUP(B125,[1]Afgrødedata!$A$5:$F$18,5,FALSE),VLOOKUP(B125,[1]Afgrødedata!$A$5:$F$18,6,FALSE)),1)*0.1</f>
        <v>21165.651571892904</v>
      </c>
      <c r="I125" s="168">
        <f>G125*VLOOKUP(B125,[1]Afgrødedata!$A$5:$F$18,3,FALSE)*IF(D125="Økologisk",VLOOKUP(B125,[1]Afgrødedata!$A$5:$F$18,4,FALSE),1)*IF(E125&lt;&gt;Jordbund1,IF(E125=Organ6,VLOOKUP(B125,[1]Afgrødedata!$A$5:$F$18,5,FALSE),VLOOKUP(B125,[1]Afgrødedata!$A$5:$F$18,6,FALSE)),1)*HLOOKUP(C125,Landbrug!$C$15:$E$17,2,FALSE)*HLOOKUP(C125,Landbrug!$C$15:$E$17,3,FALSE)*0.1</f>
        <v>0</v>
      </c>
      <c r="J125" s="76">
        <f t="shared" si="15"/>
        <v>21165.651571892904</v>
      </c>
    </row>
    <row r="126" spans="1:10" x14ac:dyDescent="0.25">
      <c r="A126" t="s">
        <v>23</v>
      </c>
      <c r="B126" s="1" t="str">
        <f>[1]Afgrødefordeling!$C$14</f>
        <v>Pil &amp; poppel</v>
      </c>
      <c r="C126">
        <v>2050</v>
      </c>
      <c r="D126" t="s">
        <v>7</v>
      </c>
      <c r="E126" s="168" t="str">
        <f t="shared" si="23"/>
        <v>OC6</v>
      </c>
      <c r="F126" t="str">
        <f t="shared" ref="F126" si="24">IF(I126&lt;&gt;0,"Halm",IF(B126&lt;&gt;"Permanent græs",B126,"Græs"))</f>
        <v>Pil &amp; poppel</v>
      </c>
      <c r="G126" s="76" cm="1">
        <f t="array" ref="G126">IF(A126="Vestdanmark",IF(D126="Konventionel",IF(C126=2019,SUMPRODUCT((B126='Landbrugsareal - resultat'!$B$6:$B$19)*(INDEX('Landbrugsareal - resultat'!$C$6:$E$19,,MATCH(E126,'Landbrugsareal - resultat'!$C$5:$E$5,0)))),IF(C126=2030,SUMPRODUCT((B126='Landbrugsareal - resultat'!$B$6:$B$19)*(INDEX('Landbrugsareal - resultat'!$F$6:$H$19,,MATCH(E126,'Landbrugsareal - resultat'!$F$5:$H$5,0)))),SUMPRODUCT((B126='Landbrugsareal - resultat'!$B$6:$B$19)*(INDEX('Landbrugsareal - resultat'!$I$6:$K$19,,MATCH(E126,'Landbrugsareal - resultat'!$I$5:$K$5,0)))))),IF(C126=2019,SUMPRODUCT((B126='Landbrugsareal - resultat'!$B$6:$B$19)*(INDEX('Landbrugsareal - resultat'!$L$6:$N$19,,MATCH(E126,'Landbrugsareal - resultat'!$L$5:$N$5,0)))),IF(C126=2030,SUMPRODUCT((B126='Landbrugsareal - resultat'!$B$6:$B$19)*(INDEX('Landbrugsareal - resultat'!$O$6:$Q$19,,MATCH(E126,'Landbrugsareal - resultat'!$O$5:$Q$5,0)))),SUMPRODUCT((B126='Landbrugsareal - resultat'!$B$6:$B$19)*(INDEX('Landbrugsareal - resultat'!$R$6:$T$19,,MATCH(E126,'Landbrugsareal - resultat'!$R$5:$T$5,0))))))),IF(D126="Konventionel",IF(C126=2019,SUMPRODUCT((B126='Landbrugsareal - resultat'!$B$33:$B$46)*(INDEX('Landbrugsareal - resultat'!$C$33:$E$46,,MATCH(E126,'Landbrugsareal - resultat'!$C$5:$E$5,0)))),IF(C126=2030,SUMPRODUCT((B126='Landbrugsareal - resultat'!$B$33:$B$46)*(INDEX('Landbrugsareal - resultat'!$F$33:$H$46,,MATCH(E126,'Landbrugsareal - resultat'!$F$5:$H$5,0)))),SUMPRODUCT((B126='Landbrugsareal - resultat'!$B$33:$B$46)*(INDEX('Landbrugsareal - resultat'!$I$33:$K$46,,MATCH(E126,'Landbrugsareal - resultat'!$I$5:$K$5,0)))))),IF(C126=2019,SUMPRODUCT((B126='Landbrugsareal - resultat'!$B$33:$B$46)*(INDEX('Landbrugsareal - resultat'!$L$33:$N$46,,MATCH(E126,'Landbrugsareal - resultat'!$L$5:$N$5,0)))),IF(C126=2030,SUMPRODUCT((B126='Landbrugsareal - resultat'!$B$33:$B$46)*(INDEX('Landbrugsareal - resultat'!$O$33:$Q$46,,MATCH(E126,'Landbrugsareal - resultat'!$O$5:$Q$5,0)))),SUMPRODUCT((B126='Landbrugsareal - resultat'!$B$33:$B$46)*(INDEX('Landbrugsareal - resultat'!$R$33:$T$46,,MATCH(E126,'Landbrugsareal - resultat'!$R$5:$T$5,0))))))))</f>
        <v>579.36340900369441</v>
      </c>
      <c r="H126" s="168">
        <f>G126*VLOOKUP(B126,[1]Afgrødedata!$A$5:$F$18,2,FALSE)*IF(D126="Økologisk",VLOOKUP(B126,[1]Afgrødedata!$A$5:$F$18,4,FALSE),1)*IF(E126&lt;&gt;Jordbund1,IF(E126=Organ6,VLOOKUP(B126,[1]Afgrødedata!$A$5:$F$18,5,FALSE),VLOOKUP(B126,[1]Afgrødedata!$A$5:$F$18,6,FALSE)),1)*0.1</f>
        <v>16956.977824498372</v>
      </c>
      <c r="I126" s="168">
        <f>G126*VLOOKUP(B126,[1]Afgrødedata!$A$5:$F$18,3,FALSE)*IF(D126="Økologisk",VLOOKUP(B126,[1]Afgrødedata!$A$5:$F$18,4,FALSE),1)*IF(E126&lt;&gt;Jordbund1,IF(E126=Organ6,VLOOKUP(B126,[1]Afgrødedata!$A$5:$F$18,5,FALSE),VLOOKUP(B126,[1]Afgrødedata!$A$5:$F$18,6,FALSE)),1)*HLOOKUP(C126,Landbrug!$C$15:$E$17,2,FALSE)*HLOOKUP(C126,Landbrug!$C$15:$E$17,3,FALSE)*0.1</f>
        <v>0</v>
      </c>
      <c r="J126" s="76">
        <f t="shared" ref="J126" si="25">IF(I126&lt;&gt;0,I126,H126)</f>
        <v>16956.977824498372</v>
      </c>
    </row>
    <row r="127" spans="1:10" x14ac:dyDescent="0.25">
      <c r="A127" t="s">
        <v>23</v>
      </c>
      <c r="B127" s="1" t="str">
        <f>[1]Afgrødefordeling!$C$15</f>
        <v>Permanent græs</v>
      </c>
      <c r="C127">
        <v>2050</v>
      </c>
      <c r="D127" t="s">
        <v>7</v>
      </c>
      <c r="E127" s="168" t="str">
        <f t="shared" si="23"/>
        <v>OC6</v>
      </c>
      <c r="F127" t="str">
        <f t="shared" si="14"/>
        <v>Græs</v>
      </c>
      <c r="G127" s="76" cm="1">
        <f t="array" ref="G127">IF(A127="Vestdanmark",IF(D127="Konventionel",IF(C127=2019,SUMPRODUCT((B127='Landbrugsareal - resultat'!$B$6:$B$19)*(INDEX('Landbrugsareal - resultat'!$C$6:$E$19,,MATCH(E127,'Landbrugsareal - resultat'!$C$5:$E$5,0)))),IF(C127=2030,SUMPRODUCT((B127='Landbrugsareal - resultat'!$B$6:$B$19)*(INDEX('Landbrugsareal - resultat'!$F$6:$H$19,,MATCH(E127,'Landbrugsareal - resultat'!$F$5:$H$5,0)))),SUMPRODUCT((B127='Landbrugsareal - resultat'!$B$6:$B$19)*(INDEX('Landbrugsareal - resultat'!$I$6:$K$19,,MATCH(E127,'Landbrugsareal - resultat'!$I$5:$K$5,0)))))),IF(C127=2019,SUMPRODUCT((B127='Landbrugsareal - resultat'!$B$6:$B$19)*(INDEX('Landbrugsareal - resultat'!$L$6:$N$19,,MATCH(E127,'Landbrugsareal - resultat'!$L$5:$N$5,0)))),IF(C127=2030,SUMPRODUCT((B127='Landbrugsareal - resultat'!$B$6:$B$19)*(INDEX('Landbrugsareal - resultat'!$O$6:$Q$19,,MATCH(E127,'Landbrugsareal - resultat'!$O$5:$Q$5,0)))),SUMPRODUCT((B127='Landbrugsareal - resultat'!$B$6:$B$19)*(INDEX('Landbrugsareal - resultat'!$R$6:$T$19,,MATCH(E127,'Landbrugsareal - resultat'!$R$5:$T$5,0))))))),IF(D127="Konventionel",IF(C127=2019,SUMPRODUCT((B127='Landbrugsareal - resultat'!$B$33:$B$46)*(INDEX('Landbrugsareal - resultat'!$C$33:$E$46,,MATCH(E127,'Landbrugsareal - resultat'!$C$5:$E$5,0)))),IF(C127=2030,SUMPRODUCT((B127='Landbrugsareal - resultat'!$B$33:$B$46)*(INDEX('Landbrugsareal - resultat'!$F$33:$H$46,,MATCH(E127,'Landbrugsareal - resultat'!$F$5:$H$5,0)))),SUMPRODUCT((B127='Landbrugsareal - resultat'!$B$33:$B$46)*(INDEX('Landbrugsareal - resultat'!$I$33:$K$46,,MATCH(E127,'Landbrugsareal - resultat'!$I$5:$K$5,0)))))),IF(C127=2019,SUMPRODUCT((B127='Landbrugsareal - resultat'!$B$33:$B$46)*(INDEX('Landbrugsareal - resultat'!$L$33:$N$46,,MATCH(E127,'Landbrugsareal - resultat'!$L$5:$N$5,0)))),IF(C127=2030,SUMPRODUCT((B127='Landbrugsareal - resultat'!$B$33:$B$46)*(INDEX('Landbrugsareal - resultat'!$O$33:$Q$46,,MATCH(E127,'Landbrugsareal - resultat'!$O$5:$Q$5,0)))),SUMPRODUCT((B127='Landbrugsareal - resultat'!$B$33:$B$46)*(INDEX('Landbrugsareal - resultat'!$R$33:$T$46,,MATCH(E127,'Landbrugsareal - resultat'!$R$5:$T$5,0))))))))</f>
        <v>16375.744422009724</v>
      </c>
      <c r="H127" s="168">
        <f>G127*VLOOKUP(B127,[1]Afgrødedata!$A$5:$F$18,2,FALSE)*IF(D127="Økologisk",VLOOKUP(B127,[1]Afgrødedata!$A$5:$F$18,4,FALSE),1)*IF(E127&lt;&gt;Jordbund1,IF(E127=Organ6,VLOOKUP(B127,[1]Afgrødedata!$A$5:$F$18,5,FALSE),VLOOKUP(B127,[1]Afgrødedata!$A$5:$F$18,6,FALSE)),1)*0.1</f>
        <v>270985.81869541691</v>
      </c>
      <c r="I127" s="168">
        <f>G127*VLOOKUP(B127,[1]Afgrødedata!$A$5:$F$18,3,FALSE)*IF(D127="Økologisk",VLOOKUP(B127,[1]Afgrødedata!$A$5:$F$18,4,FALSE),1)*IF(E127&lt;&gt;Jordbund1,IF(E127=Organ6,VLOOKUP(B127,[1]Afgrødedata!$A$5:$F$18,5,FALSE),VLOOKUP(B127,[1]Afgrødedata!$A$5:$F$18,6,FALSE)),1)*HLOOKUP(C127,Landbrug!$C$15:$E$17,2,FALSE)*HLOOKUP(C127,Landbrug!$C$15:$E$17,3,FALSE)*0.1</f>
        <v>0</v>
      </c>
      <c r="J127" s="76">
        <f t="shared" si="15"/>
        <v>270985.81869541691</v>
      </c>
    </row>
    <row r="128" spans="1:10" x14ac:dyDescent="0.25">
      <c r="A128" t="s">
        <v>23</v>
      </c>
      <c r="B128" s="1" t="str">
        <f>[1]Afgrødefordeling!$C$2</f>
        <v>Korn</v>
      </c>
      <c r="C128">
        <v>2019</v>
      </c>
      <c r="D128" t="s">
        <v>8</v>
      </c>
      <c r="E128" s="168" t="str">
        <f t="shared" si="23"/>
        <v>OC6</v>
      </c>
      <c r="F128" t="str">
        <f t="shared" si="14"/>
        <v>Halm</v>
      </c>
      <c r="G128" s="76" cm="1">
        <f t="array" ref="G128">IF(A128="Vestdanmark",IF(D128="Konventionel",IF(C128=2019,SUMPRODUCT((B128='Landbrugsareal - resultat'!$B$6:$B$19)*(INDEX('Landbrugsareal - resultat'!$C$6:$E$19,,MATCH(E128,'Landbrugsareal - resultat'!$C$5:$E$5,0)))),IF(C128=2030,SUMPRODUCT((B128='Landbrugsareal - resultat'!$B$6:$B$19)*(INDEX('Landbrugsareal - resultat'!$F$6:$H$19,,MATCH(E128,'Landbrugsareal - resultat'!$F$5:$H$5,0)))),SUMPRODUCT((B128='Landbrugsareal - resultat'!$B$6:$B$19)*(INDEX('Landbrugsareal - resultat'!$I$6:$K$19,,MATCH(E128,'Landbrugsareal - resultat'!$I$5:$K$5,0)))))),IF(C128=2019,SUMPRODUCT((B128='Landbrugsareal - resultat'!$B$6:$B$19)*(INDEX('Landbrugsareal - resultat'!$L$6:$N$19,,MATCH(E128,'Landbrugsareal - resultat'!$L$5:$N$5,0)))),IF(C128=2030,SUMPRODUCT((B128='Landbrugsareal - resultat'!$B$6:$B$19)*(INDEX('Landbrugsareal - resultat'!$O$6:$Q$19,,MATCH(E128,'Landbrugsareal - resultat'!$O$5:$Q$5,0)))),SUMPRODUCT((B128='Landbrugsareal - resultat'!$B$6:$B$19)*(INDEX('Landbrugsareal - resultat'!$R$6:$T$19,,MATCH(E128,'Landbrugsareal - resultat'!$R$5:$T$5,0))))))),IF(D128="Konventionel",IF(C128=2019,SUMPRODUCT((B128='Landbrugsareal - resultat'!$B$33:$B$46)*(INDEX('Landbrugsareal - resultat'!$C$33:$E$46,,MATCH(E128,'Landbrugsareal - resultat'!$C$5:$E$5,0)))),IF(C128=2030,SUMPRODUCT((B128='Landbrugsareal - resultat'!$B$33:$B$46)*(INDEX('Landbrugsareal - resultat'!$F$33:$H$46,,MATCH(E128,'Landbrugsareal - resultat'!$F$5:$H$5,0)))),SUMPRODUCT((B128='Landbrugsareal - resultat'!$B$33:$B$46)*(INDEX('Landbrugsareal - resultat'!$I$33:$K$46,,MATCH(E128,'Landbrugsareal - resultat'!$I$5:$K$5,0)))))),IF(C128=2019,SUMPRODUCT((B128='Landbrugsareal - resultat'!$B$33:$B$46)*(INDEX('Landbrugsareal - resultat'!$L$33:$N$46,,MATCH(E128,'Landbrugsareal - resultat'!$L$5:$N$5,0)))),IF(C128=2030,SUMPRODUCT((B128='Landbrugsareal - resultat'!$B$33:$B$46)*(INDEX('Landbrugsareal - resultat'!$O$33:$Q$46,,MATCH(E128,'Landbrugsareal - resultat'!$O$5:$Q$5,0)))),SUMPRODUCT((B128='Landbrugsareal - resultat'!$B$33:$B$46)*(INDEX('Landbrugsareal - resultat'!$R$33:$T$46,,MATCH(E128,'Landbrugsareal - resultat'!$R$5:$T$5,0))))))))</f>
        <v>2894.2627984460178</v>
      </c>
      <c r="H128" s="168">
        <f>G128*VLOOKUP(B128,[1]Afgrødedata!$A$5:$F$18,2,FALSE)*IF(D128="Økologisk",VLOOKUP(B128,[1]Afgrødedata!$A$5:$F$18,4,FALSE),1)*IF(E128&lt;&gt;Jordbund1,IF(E128=Organ6,VLOOKUP(B128,[1]Afgrødedata!$A$5:$F$18,5,FALSE),VLOOKUP(B128,[1]Afgrødedata!$A$5:$F$18,6,FALSE)),1)*0.1</f>
        <v>16312.180902553697</v>
      </c>
      <c r="I128" s="168">
        <f>G128*VLOOKUP(B128,[1]Afgrødedata!$A$5:$F$18,3,FALSE)*IF(D128="Økologisk",VLOOKUP(B128,[1]Afgrødedata!$A$5:$F$18,4,FALSE),1)*IF(E128&lt;&gt;Jordbund1,IF(E128=Organ6,VLOOKUP(B128,[1]Afgrødedata!$A$5:$F$18,5,FALSE),VLOOKUP(B128,[1]Afgrødedata!$A$5:$F$18,6,FALSE)),1)*HLOOKUP(C128,Landbrug!$C$15:$E$17,2,FALSE)*HLOOKUP(C128,Landbrug!$C$15:$E$17,3,FALSE)*0.1</f>
        <v>5324.2550661412697</v>
      </c>
      <c r="J128" s="76">
        <f t="shared" si="15"/>
        <v>5324.2550661412697</v>
      </c>
    </row>
    <row r="129" spans="1:10" x14ac:dyDescent="0.25">
      <c r="A129" t="s">
        <v>23</v>
      </c>
      <c r="B129" s="1" t="str">
        <f>[1]Afgrødefordeling!$C$3</f>
        <v>Bælgsæd</v>
      </c>
      <c r="C129">
        <v>2019</v>
      </c>
      <c r="D129" t="s">
        <v>8</v>
      </c>
      <c r="E129" s="168" t="str">
        <f t="shared" si="23"/>
        <v>OC6</v>
      </c>
      <c r="F129" t="str">
        <f t="shared" si="14"/>
        <v>Halm</v>
      </c>
      <c r="G129" s="76" cm="1">
        <f t="array" ref="G129">IF(A129="Vestdanmark",IF(D129="Konventionel",IF(C129=2019,SUMPRODUCT((B129='Landbrugsareal - resultat'!$B$6:$B$19)*(INDEX('Landbrugsareal - resultat'!$C$6:$E$19,,MATCH(E129,'Landbrugsareal - resultat'!$C$5:$E$5,0)))),IF(C129=2030,SUMPRODUCT((B129='Landbrugsareal - resultat'!$B$6:$B$19)*(INDEX('Landbrugsareal - resultat'!$F$6:$H$19,,MATCH(E129,'Landbrugsareal - resultat'!$F$5:$H$5,0)))),SUMPRODUCT((B129='Landbrugsareal - resultat'!$B$6:$B$19)*(INDEX('Landbrugsareal - resultat'!$I$6:$K$19,,MATCH(E129,'Landbrugsareal - resultat'!$I$5:$K$5,0)))))),IF(C129=2019,SUMPRODUCT((B129='Landbrugsareal - resultat'!$B$6:$B$19)*(INDEX('Landbrugsareal - resultat'!$L$6:$N$19,,MATCH(E129,'Landbrugsareal - resultat'!$L$5:$N$5,0)))),IF(C129=2030,SUMPRODUCT((B129='Landbrugsareal - resultat'!$B$6:$B$19)*(INDEX('Landbrugsareal - resultat'!$O$6:$Q$19,,MATCH(E129,'Landbrugsareal - resultat'!$O$5:$Q$5,0)))),SUMPRODUCT((B129='Landbrugsareal - resultat'!$B$6:$B$19)*(INDEX('Landbrugsareal - resultat'!$R$6:$T$19,,MATCH(E129,'Landbrugsareal - resultat'!$R$5:$T$5,0))))))),IF(D129="Konventionel",IF(C129=2019,SUMPRODUCT((B129='Landbrugsareal - resultat'!$B$33:$B$46)*(INDEX('Landbrugsareal - resultat'!$C$33:$E$46,,MATCH(E129,'Landbrugsareal - resultat'!$C$5:$E$5,0)))),IF(C129=2030,SUMPRODUCT((B129='Landbrugsareal - resultat'!$B$33:$B$46)*(INDEX('Landbrugsareal - resultat'!$F$33:$H$46,,MATCH(E129,'Landbrugsareal - resultat'!$F$5:$H$5,0)))),SUMPRODUCT((B129='Landbrugsareal - resultat'!$B$33:$B$46)*(INDEX('Landbrugsareal - resultat'!$I$33:$K$46,,MATCH(E129,'Landbrugsareal - resultat'!$I$5:$K$5,0)))))),IF(C129=2019,SUMPRODUCT((B129='Landbrugsareal - resultat'!$B$33:$B$46)*(INDEX('Landbrugsareal - resultat'!$L$33:$N$46,,MATCH(E129,'Landbrugsareal - resultat'!$L$5:$N$5,0)))),IF(C129=2030,SUMPRODUCT((B129='Landbrugsareal - resultat'!$B$33:$B$46)*(INDEX('Landbrugsareal - resultat'!$O$33:$Q$46,,MATCH(E129,'Landbrugsareal - resultat'!$O$5:$Q$5,0)))),SUMPRODUCT((B129='Landbrugsareal - resultat'!$B$33:$B$46)*(INDEX('Landbrugsareal - resultat'!$R$33:$T$46,,MATCH(E129,'Landbrugsareal - resultat'!$R$5:$T$5,0))))))))</f>
        <v>248.10837166177816</v>
      </c>
      <c r="H129" s="168">
        <f>G129*VLOOKUP(B129,[1]Afgrødedata!$A$5:$F$18,2,FALSE)*IF(D129="Økologisk",VLOOKUP(B129,[1]Afgrødedata!$A$5:$F$18,4,FALSE),1)*IF(E129&lt;&gt;Jordbund1,IF(E129=Organ6,VLOOKUP(B129,[1]Afgrødedata!$A$5:$F$18,5,FALSE),VLOOKUP(B129,[1]Afgrødedata!$A$5:$F$18,6,FALSE)),1)*0.1</f>
        <v>655.06564719629318</v>
      </c>
      <c r="I129" s="168">
        <f>G129*VLOOKUP(B129,[1]Afgrødedata!$A$5:$F$18,3,FALSE)*IF(D129="Økologisk",VLOOKUP(B129,[1]Afgrødedata!$A$5:$F$18,4,FALSE),1)*IF(E129&lt;&gt;Jordbund1,IF(E129=Organ6,VLOOKUP(B129,[1]Afgrødedata!$A$5:$F$18,5,FALSE),VLOOKUP(B129,[1]Afgrødedata!$A$5:$F$18,6,FALSE)),1)*HLOOKUP(C129,Landbrug!$C$15:$E$17,2,FALSE)*HLOOKUP(C129,Landbrug!$C$15:$E$17,3,FALSE)*0.1</f>
        <v>194.47506626492333</v>
      </c>
      <c r="J129" s="76">
        <f t="shared" si="15"/>
        <v>194.47506626492333</v>
      </c>
    </row>
    <row r="130" spans="1:10" x14ac:dyDescent="0.25">
      <c r="A130" t="s">
        <v>23</v>
      </c>
      <c r="B130" s="1" t="str">
        <f>[1]Afgrødefordeling!$C$4</f>
        <v>Raps</v>
      </c>
      <c r="C130">
        <v>2019</v>
      </c>
      <c r="D130" t="s">
        <v>8</v>
      </c>
      <c r="E130" s="168" t="str">
        <f t="shared" si="23"/>
        <v>OC6</v>
      </c>
      <c r="F130" t="str">
        <f t="shared" si="14"/>
        <v>Halm</v>
      </c>
      <c r="G130" s="76" cm="1">
        <f t="array" ref="G130">IF(A130="Vestdanmark",IF(D130="Konventionel",IF(C130=2019,SUMPRODUCT((B130='Landbrugsareal - resultat'!$B$6:$B$19)*(INDEX('Landbrugsareal - resultat'!$C$6:$E$19,,MATCH(E130,'Landbrugsareal - resultat'!$C$5:$E$5,0)))),IF(C130=2030,SUMPRODUCT((B130='Landbrugsareal - resultat'!$B$6:$B$19)*(INDEX('Landbrugsareal - resultat'!$F$6:$H$19,,MATCH(E130,'Landbrugsareal - resultat'!$F$5:$H$5,0)))),SUMPRODUCT((B130='Landbrugsareal - resultat'!$B$6:$B$19)*(INDEX('Landbrugsareal - resultat'!$I$6:$K$19,,MATCH(E130,'Landbrugsareal - resultat'!$I$5:$K$5,0)))))),IF(C130=2019,SUMPRODUCT((B130='Landbrugsareal - resultat'!$B$6:$B$19)*(INDEX('Landbrugsareal - resultat'!$L$6:$N$19,,MATCH(E130,'Landbrugsareal - resultat'!$L$5:$N$5,0)))),IF(C130=2030,SUMPRODUCT((B130='Landbrugsareal - resultat'!$B$6:$B$19)*(INDEX('Landbrugsareal - resultat'!$O$6:$Q$19,,MATCH(E130,'Landbrugsareal - resultat'!$O$5:$Q$5,0)))),SUMPRODUCT((B130='Landbrugsareal - resultat'!$B$6:$B$19)*(INDEX('Landbrugsareal - resultat'!$R$6:$T$19,,MATCH(E130,'Landbrugsareal - resultat'!$R$5:$T$5,0))))))),IF(D130="Konventionel",IF(C130=2019,SUMPRODUCT((B130='Landbrugsareal - resultat'!$B$33:$B$46)*(INDEX('Landbrugsareal - resultat'!$C$33:$E$46,,MATCH(E130,'Landbrugsareal - resultat'!$C$5:$E$5,0)))),IF(C130=2030,SUMPRODUCT((B130='Landbrugsareal - resultat'!$B$33:$B$46)*(INDEX('Landbrugsareal - resultat'!$F$33:$H$46,,MATCH(E130,'Landbrugsareal - resultat'!$F$5:$H$5,0)))),SUMPRODUCT((B130='Landbrugsareal - resultat'!$B$33:$B$46)*(INDEX('Landbrugsareal - resultat'!$I$33:$K$46,,MATCH(E130,'Landbrugsareal - resultat'!$I$5:$K$5,0)))))),IF(C130=2019,SUMPRODUCT((B130='Landbrugsareal - resultat'!$B$33:$B$46)*(INDEX('Landbrugsareal - resultat'!$L$33:$N$46,,MATCH(E130,'Landbrugsareal - resultat'!$L$5:$N$5,0)))),IF(C130=2030,SUMPRODUCT((B130='Landbrugsareal - resultat'!$B$33:$B$46)*(INDEX('Landbrugsareal - resultat'!$O$33:$Q$46,,MATCH(E130,'Landbrugsareal - resultat'!$O$5:$Q$5,0)))),SUMPRODUCT((B130='Landbrugsareal - resultat'!$B$33:$B$46)*(INDEX('Landbrugsareal - resultat'!$R$33:$T$46,,MATCH(E130,'Landbrugsareal - resultat'!$R$5:$T$5,0))))))))</f>
        <v>265.67022617540744</v>
      </c>
      <c r="H130" s="168">
        <f>G130*VLOOKUP(B130,[1]Afgrødedata!$A$5:$F$18,2,FALSE)*IF(D130="Økologisk",VLOOKUP(B130,[1]Afgrødedata!$A$5:$F$18,4,FALSE),1)*IF(E130&lt;&gt;Jordbund1,IF(E130=Organ6,VLOOKUP(B130,[1]Afgrødedata!$A$5:$F$18,5,FALSE),VLOOKUP(B130,[1]Afgrødedata!$A$5:$F$18,6,FALSE)),1)*0.1</f>
        <v>771.50633681338331</v>
      </c>
      <c r="I130" s="168">
        <f>G130*VLOOKUP(B130,[1]Afgrødedata!$A$5:$F$18,3,FALSE)*IF(D130="Økologisk",VLOOKUP(B130,[1]Afgrødedata!$A$5:$F$18,4,FALSE),1)*IF(E130&lt;&gt;Jordbund1,IF(E130=Organ6,VLOOKUP(B130,[1]Afgrødedata!$A$5:$F$18,5,FALSE),VLOOKUP(B130,[1]Afgrødedata!$A$5:$F$18,6,FALSE)),1)*HLOOKUP(C130,Landbrug!$C$15:$E$17,2,FALSE)*HLOOKUP(C130,Landbrug!$C$15:$E$17,3,FALSE)*0.1</f>
        <v>412.06539202371209</v>
      </c>
      <c r="J130" s="76">
        <f t="shared" si="15"/>
        <v>412.06539202371209</v>
      </c>
    </row>
    <row r="131" spans="1:10" x14ac:dyDescent="0.25">
      <c r="A131" t="s">
        <v>23</v>
      </c>
      <c r="B131" s="1" t="str">
        <f>[1]Afgrødefordeling!$C$5</f>
        <v>Græs</v>
      </c>
      <c r="C131">
        <v>2019</v>
      </c>
      <c r="D131" t="s">
        <v>8</v>
      </c>
      <c r="E131" s="168" t="str">
        <f t="shared" si="23"/>
        <v>OC6</v>
      </c>
      <c r="F131" t="str">
        <f t="shared" si="14"/>
        <v>Græs</v>
      </c>
      <c r="G131" s="76" cm="1">
        <f t="array" ref="G131">IF(A131="Vestdanmark",IF(D131="Konventionel",IF(C131=2019,SUMPRODUCT((B131='Landbrugsareal - resultat'!$B$6:$B$19)*(INDEX('Landbrugsareal - resultat'!$C$6:$E$19,,MATCH(E131,'Landbrugsareal - resultat'!$C$5:$E$5,0)))),IF(C131=2030,SUMPRODUCT((B131='Landbrugsareal - resultat'!$B$6:$B$19)*(INDEX('Landbrugsareal - resultat'!$F$6:$H$19,,MATCH(E131,'Landbrugsareal - resultat'!$F$5:$H$5,0)))),SUMPRODUCT((B131='Landbrugsareal - resultat'!$B$6:$B$19)*(INDEX('Landbrugsareal - resultat'!$I$6:$K$19,,MATCH(E131,'Landbrugsareal - resultat'!$I$5:$K$5,0)))))),IF(C131=2019,SUMPRODUCT((B131='Landbrugsareal - resultat'!$B$6:$B$19)*(INDEX('Landbrugsareal - resultat'!$L$6:$N$19,,MATCH(E131,'Landbrugsareal - resultat'!$L$5:$N$5,0)))),IF(C131=2030,SUMPRODUCT((B131='Landbrugsareal - resultat'!$B$6:$B$19)*(INDEX('Landbrugsareal - resultat'!$O$6:$Q$19,,MATCH(E131,'Landbrugsareal - resultat'!$O$5:$Q$5,0)))),SUMPRODUCT((B131='Landbrugsareal - resultat'!$B$6:$B$19)*(INDEX('Landbrugsareal - resultat'!$R$6:$T$19,,MATCH(E131,'Landbrugsareal - resultat'!$R$5:$T$5,0))))))),IF(D131="Konventionel",IF(C131=2019,SUMPRODUCT((B131='Landbrugsareal - resultat'!$B$33:$B$46)*(INDEX('Landbrugsareal - resultat'!$C$33:$E$46,,MATCH(E131,'Landbrugsareal - resultat'!$C$5:$E$5,0)))),IF(C131=2030,SUMPRODUCT((B131='Landbrugsareal - resultat'!$B$33:$B$46)*(INDEX('Landbrugsareal - resultat'!$F$33:$H$46,,MATCH(E131,'Landbrugsareal - resultat'!$F$5:$H$5,0)))),SUMPRODUCT((B131='Landbrugsareal - resultat'!$B$33:$B$46)*(INDEX('Landbrugsareal - resultat'!$I$33:$K$46,,MATCH(E131,'Landbrugsareal - resultat'!$I$5:$K$5,0)))))),IF(C131=2019,SUMPRODUCT((B131='Landbrugsareal - resultat'!$B$33:$B$46)*(INDEX('Landbrugsareal - resultat'!$L$33:$N$46,,MATCH(E131,'Landbrugsareal - resultat'!$L$5:$N$5,0)))),IF(C131=2030,SUMPRODUCT((B131='Landbrugsareal - resultat'!$B$33:$B$46)*(INDEX('Landbrugsareal - resultat'!$O$33:$Q$46,,MATCH(E131,'Landbrugsareal - resultat'!$O$5:$Q$5,0)))),SUMPRODUCT((B131='Landbrugsareal - resultat'!$B$33:$B$46)*(INDEX('Landbrugsareal - resultat'!$R$33:$T$46,,MATCH(E131,'Landbrugsareal - resultat'!$R$5:$T$5,0))))))))</f>
        <v>2451.6986230474936</v>
      </c>
      <c r="H131" s="168">
        <f>G131*VLOOKUP(B131,[1]Afgrødedata!$A$5:$F$18,2,FALSE)*IF(D131="Økologisk",VLOOKUP(B131,[1]Afgrødedata!$A$5:$F$18,4,FALSE),1)*IF(E131&lt;&gt;Jordbund1,IF(E131=Organ6,VLOOKUP(B131,[1]Afgrødedata!$A$5:$F$18,5,FALSE),VLOOKUP(B131,[1]Afgrødedata!$A$5:$F$18,6,FALSE)),1)*0.1</f>
        <v>113867.47539237718</v>
      </c>
      <c r="I131" s="168">
        <f>G131*VLOOKUP(B131,[1]Afgrødedata!$A$5:$F$18,3,FALSE)*IF(D131="Økologisk",VLOOKUP(B131,[1]Afgrødedata!$A$5:$F$18,4,FALSE),1)*IF(E131&lt;&gt;Jordbund1,IF(E131=Organ6,VLOOKUP(B131,[1]Afgrødedata!$A$5:$F$18,5,FALSE),VLOOKUP(B131,[1]Afgrødedata!$A$5:$F$18,6,FALSE)),1)*HLOOKUP(C131,Landbrug!$C$15:$E$17,2,FALSE)*HLOOKUP(C131,Landbrug!$C$15:$E$17,3,FALSE)*0.1</f>
        <v>0</v>
      </c>
      <c r="J131" s="76">
        <f t="shared" si="15"/>
        <v>113867.47539237718</v>
      </c>
    </row>
    <row r="132" spans="1:10" x14ac:dyDescent="0.25">
      <c r="A132" t="s">
        <v>23</v>
      </c>
      <c r="B132" s="1" t="str">
        <f>[1]Afgrødefordeling!$C$6</f>
        <v>Grøntsager</v>
      </c>
      <c r="C132">
        <v>2019</v>
      </c>
      <c r="D132" t="s">
        <v>8</v>
      </c>
      <c r="E132" s="168" t="str">
        <f t="shared" si="23"/>
        <v>OC6</v>
      </c>
      <c r="F132" t="str">
        <f t="shared" si="14"/>
        <v>Grøntsager</v>
      </c>
      <c r="G132" s="76" cm="1">
        <f t="array" ref="G132">IF(A132="Vestdanmark",IF(D132="Konventionel",IF(C132=2019,SUMPRODUCT((B132='Landbrugsareal - resultat'!$B$6:$B$19)*(INDEX('Landbrugsareal - resultat'!$C$6:$E$19,,MATCH(E132,'Landbrugsareal - resultat'!$C$5:$E$5,0)))),IF(C132=2030,SUMPRODUCT((B132='Landbrugsareal - resultat'!$B$6:$B$19)*(INDEX('Landbrugsareal - resultat'!$F$6:$H$19,,MATCH(E132,'Landbrugsareal - resultat'!$F$5:$H$5,0)))),SUMPRODUCT((B132='Landbrugsareal - resultat'!$B$6:$B$19)*(INDEX('Landbrugsareal - resultat'!$I$6:$K$19,,MATCH(E132,'Landbrugsareal - resultat'!$I$5:$K$5,0)))))),IF(C132=2019,SUMPRODUCT((B132='Landbrugsareal - resultat'!$B$6:$B$19)*(INDEX('Landbrugsareal - resultat'!$L$6:$N$19,,MATCH(E132,'Landbrugsareal - resultat'!$L$5:$N$5,0)))),IF(C132=2030,SUMPRODUCT((B132='Landbrugsareal - resultat'!$B$6:$B$19)*(INDEX('Landbrugsareal - resultat'!$O$6:$Q$19,,MATCH(E132,'Landbrugsareal - resultat'!$O$5:$Q$5,0)))),SUMPRODUCT((B132='Landbrugsareal - resultat'!$B$6:$B$19)*(INDEX('Landbrugsareal - resultat'!$R$6:$T$19,,MATCH(E132,'Landbrugsareal - resultat'!$R$5:$T$5,0))))))),IF(D132="Konventionel",IF(C132=2019,SUMPRODUCT((B132='Landbrugsareal - resultat'!$B$33:$B$46)*(INDEX('Landbrugsareal - resultat'!$C$33:$E$46,,MATCH(E132,'Landbrugsareal - resultat'!$C$5:$E$5,0)))),IF(C132=2030,SUMPRODUCT((B132='Landbrugsareal - resultat'!$B$33:$B$46)*(INDEX('Landbrugsareal - resultat'!$F$33:$H$46,,MATCH(E132,'Landbrugsareal - resultat'!$F$5:$H$5,0)))),SUMPRODUCT((B132='Landbrugsareal - resultat'!$B$33:$B$46)*(INDEX('Landbrugsareal - resultat'!$I$33:$K$46,,MATCH(E132,'Landbrugsareal - resultat'!$I$5:$K$5,0)))))),IF(C132=2019,SUMPRODUCT((B132='Landbrugsareal - resultat'!$B$33:$B$46)*(INDEX('Landbrugsareal - resultat'!$L$33:$N$46,,MATCH(E132,'Landbrugsareal - resultat'!$L$5:$N$5,0)))),IF(C132=2030,SUMPRODUCT((B132='Landbrugsareal - resultat'!$B$33:$B$46)*(INDEX('Landbrugsareal - resultat'!$O$33:$Q$46,,MATCH(E132,'Landbrugsareal - resultat'!$O$5:$Q$5,0)))),SUMPRODUCT((B132='Landbrugsareal - resultat'!$B$33:$B$46)*(INDEX('Landbrugsareal - resultat'!$R$33:$T$46,,MATCH(E132,'Landbrugsareal - resultat'!$R$5:$T$5,0))))))))</f>
        <v>11.466686678176497</v>
      </c>
      <c r="H132" s="168">
        <f>G132*VLOOKUP(B132,[1]Afgrødedata!$A$5:$F$18,2,FALSE)*IF(D132="Økologisk",VLOOKUP(B132,[1]Afgrødedata!$A$5:$F$18,4,FALSE),1)*IF(E132&lt;&gt;Jordbund1,IF(E132=Organ6,VLOOKUP(B132,[1]Afgrødedata!$A$5:$F$18,5,FALSE),VLOOKUP(B132,[1]Afgrødedata!$A$5:$F$18,6,FALSE)),1)*0.1</f>
        <v>162.74668402335902</v>
      </c>
      <c r="I132" s="168">
        <f>G132*VLOOKUP(B132,[1]Afgrødedata!$A$5:$F$18,3,FALSE)*IF(D132="Økologisk",VLOOKUP(B132,[1]Afgrødedata!$A$5:$F$18,4,FALSE),1)*IF(E132&lt;&gt;Jordbund1,IF(E132=Organ6,VLOOKUP(B132,[1]Afgrødedata!$A$5:$F$18,5,FALSE),VLOOKUP(B132,[1]Afgrødedata!$A$5:$F$18,6,FALSE)),1)*HLOOKUP(C132,Landbrug!$C$15:$E$17,2,FALSE)*HLOOKUP(C132,Landbrug!$C$15:$E$17,3,FALSE)*0.1</f>
        <v>0</v>
      </c>
      <c r="J132" s="76">
        <f t="shared" si="15"/>
        <v>162.74668402335902</v>
      </c>
    </row>
    <row r="133" spans="1:10" x14ac:dyDescent="0.25">
      <c r="A133" t="s">
        <v>23</v>
      </c>
      <c r="B133" s="1" t="str">
        <f>[1]Afgrødefordeling!$C$7</f>
        <v>Kartofler</v>
      </c>
      <c r="C133">
        <v>2019</v>
      </c>
      <c r="D133" t="s">
        <v>8</v>
      </c>
      <c r="E133" s="168" t="str">
        <f t="shared" si="23"/>
        <v>OC6</v>
      </c>
      <c r="F133" t="str">
        <f t="shared" si="14"/>
        <v>Kartofler</v>
      </c>
      <c r="G133" s="76" cm="1">
        <f t="array" ref="G133">IF(A133="Vestdanmark",IF(D133="Konventionel",IF(C133=2019,SUMPRODUCT((B133='Landbrugsareal - resultat'!$B$6:$B$19)*(INDEX('Landbrugsareal - resultat'!$C$6:$E$19,,MATCH(E133,'Landbrugsareal - resultat'!$C$5:$E$5,0)))),IF(C133=2030,SUMPRODUCT((B133='Landbrugsareal - resultat'!$B$6:$B$19)*(INDEX('Landbrugsareal - resultat'!$F$6:$H$19,,MATCH(E133,'Landbrugsareal - resultat'!$F$5:$H$5,0)))),SUMPRODUCT((B133='Landbrugsareal - resultat'!$B$6:$B$19)*(INDEX('Landbrugsareal - resultat'!$I$6:$K$19,,MATCH(E133,'Landbrugsareal - resultat'!$I$5:$K$5,0)))))),IF(C133=2019,SUMPRODUCT((B133='Landbrugsareal - resultat'!$B$6:$B$19)*(INDEX('Landbrugsareal - resultat'!$L$6:$N$19,,MATCH(E133,'Landbrugsareal - resultat'!$L$5:$N$5,0)))),IF(C133=2030,SUMPRODUCT((B133='Landbrugsareal - resultat'!$B$6:$B$19)*(INDEX('Landbrugsareal - resultat'!$O$6:$Q$19,,MATCH(E133,'Landbrugsareal - resultat'!$O$5:$Q$5,0)))),SUMPRODUCT((B133='Landbrugsareal - resultat'!$B$6:$B$19)*(INDEX('Landbrugsareal - resultat'!$R$6:$T$19,,MATCH(E133,'Landbrugsareal - resultat'!$R$5:$T$5,0))))))),IF(D133="Konventionel",IF(C133=2019,SUMPRODUCT((B133='Landbrugsareal - resultat'!$B$33:$B$46)*(INDEX('Landbrugsareal - resultat'!$C$33:$E$46,,MATCH(E133,'Landbrugsareal - resultat'!$C$5:$E$5,0)))),IF(C133=2030,SUMPRODUCT((B133='Landbrugsareal - resultat'!$B$33:$B$46)*(INDEX('Landbrugsareal - resultat'!$F$33:$H$46,,MATCH(E133,'Landbrugsareal - resultat'!$F$5:$H$5,0)))),SUMPRODUCT((B133='Landbrugsareal - resultat'!$B$33:$B$46)*(INDEX('Landbrugsareal - resultat'!$I$33:$K$46,,MATCH(E133,'Landbrugsareal - resultat'!$I$5:$K$5,0)))))),IF(C133=2019,SUMPRODUCT((B133='Landbrugsareal - resultat'!$B$33:$B$46)*(INDEX('Landbrugsareal - resultat'!$L$33:$N$46,,MATCH(E133,'Landbrugsareal - resultat'!$L$5:$N$5,0)))),IF(C133=2030,SUMPRODUCT((B133='Landbrugsareal - resultat'!$B$33:$B$46)*(INDEX('Landbrugsareal - resultat'!$O$33:$Q$46,,MATCH(E133,'Landbrugsareal - resultat'!$O$5:$Q$5,0)))),SUMPRODUCT((B133='Landbrugsareal - resultat'!$B$33:$B$46)*(INDEX('Landbrugsareal - resultat'!$R$33:$T$46,,MATCH(E133,'Landbrugsareal - resultat'!$R$5:$T$5,0))))))))</f>
        <v>181.02926207936162</v>
      </c>
      <c r="H133" s="168">
        <f>G133*VLOOKUP(B133,[1]Afgrødedata!$A$5:$F$18,2,FALSE)*IF(D133="Økologisk",VLOOKUP(B133,[1]Afgrødedata!$A$5:$F$18,4,FALSE),1)*IF(E133&lt;&gt;Jordbund1,IF(E133=Organ6,VLOOKUP(B133,[1]Afgrødedata!$A$5:$F$18,5,FALSE),VLOOKUP(B133,[1]Afgrødedata!$A$5:$F$18,6,FALSE)),1)*0.1</f>
        <v>5258.9173042875573</v>
      </c>
      <c r="I133" s="168">
        <f>G133*VLOOKUP(B133,[1]Afgrødedata!$A$5:$F$18,3,FALSE)*IF(D133="Økologisk",VLOOKUP(B133,[1]Afgrødedata!$A$5:$F$18,4,FALSE),1)*IF(E133&lt;&gt;Jordbund1,IF(E133=Organ6,VLOOKUP(B133,[1]Afgrødedata!$A$5:$F$18,5,FALSE),VLOOKUP(B133,[1]Afgrødedata!$A$5:$F$18,6,FALSE)),1)*HLOOKUP(C133,Landbrug!$C$15:$E$17,2,FALSE)*HLOOKUP(C133,Landbrug!$C$15:$E$17,3,FALSE)*0.1</f>
        <v>0</v>
      </c>
      <c r="J133" s="76">
        <f t="shared" si="15"/>
        <v>5258.9173042875573</v>
      </c>
    </row>
    <row r="134" spans="1:10" x14ac:dyDescent="0.25">
      <c r="A134" t="s">
        <v>23</v>
      </c>
      <c r="B134" s="1" t="str">
        <f>[1]Afgrødefordeling!$C$8</f>
        <v>Roer</v>
      </c>
      <c r="C134">
        <v>2019</v>
      </c>
      <c r="D134" t="s">
        <v>8</v>
      </c>
      <c r="E134" s="168" t="str">
        <f t="shared" si="23"/>
        <v>OC6</v>
      </c>
      <c r="F134" t="str">
        <f t="shared" si="14"/>
        <v>Roer</v>
      </c>
      <c r="G134" s="76" cm="1">
        <f t="array" ref="G134">IF(A134="Vestdanmark",IF(D134="Konventionel",IF(C134=2019,SUMPRODUCT((B134='Landbrugsareal - resultat'!$B$6:$B$19)*(INDEX('Landbrugsareal - resultat'!$C$6:$E$19,,MATCH(E134,'Landbrugsareal - resultat'!$C$5:$E$5,0)))),IF(C134=2030,SUMPRODUCT((B134='Landbrugsareal - resultat'!$B$6:$B$19)*(INDEX('Landbrugsareal - resultat'!$F$6:$H$19,,MATCH(E134,'Landbrugsareal - resultat'!$F$5:$H$5,0)))),SUMPRODUCT((B134='Landbrugsareal - resultat'!$B$6:$B$19)*(INDEX('Landbrugsareal - resultat'!$I$6:$K$19,,MATCH(E134,'Landbrugsareal - resultat'!$I$5:$K$5,0)))))),IF(C134=2019,SUMPRODUCT((B134='Landbrugsareal - resultat'!$B$6:$B$19)*(INDEX('Landbrugsareal - resultat'!$L$6:$N$19,,MATCH(E134,'Landbrugsareal - resultat'!$L$5:$N$5,0)))),IF(C134=2030,SUMPRODUCT((B134='Landbrugsareal - resultat'!$B$6:$B$19)*(INDEX('Landbrugsareal - resultat'!$O$6:$Q$19,,MATCH(E134,'Landbrugsareal - resultat'!$O$5:$Q$5,0)))),SUMPRODUCT((B134='Landbrugsareal - resultat'!$B$6:$B$19)*(INDEX('Landbrugsareal - resultat'!$R$6:$T$19,,MATCH(E134,'Landbrugsareal - resultat'!$R$5:$T$5,0))))))),IF(D134="Konventionel",IF(C134=2019,SUMPRODUCT((B134='Landbrugsareal - resultat'!$B$33:$B$46)*(INDEX('Landbrugsareal - resultat'!$C$33:$E$46,,MATCH(E134,'Landbrugsareal - resultat'!$C$5:$E$5,0)))),IF(C134=2030,SUMPRODUCT((B134='Landbrugsareal - resultat'!$B$33:$B$46)*(INDEX('Landbrugsareal - resultat'!$F$33:$H$46,,MATCH(E134,'Landbrugsareal - resultat'!$F$5:$H$5,0)))),SUMPRODUCT((B134='Landbrugsareal - resultat'!$B$33:$B$46)*(INDEX('Landbrugsareal - resultat'!$I$33:$K$46,,MATCH(E134,'Landbrugsareal - resultat'!$I$5:$K$5,0)))))),IF(C134=2019,SUMPRODUCT((B134='Landbrugsareal - resultat'!$B$33:$B$46)*(INDEX('Landbrugsareal - resultat'!$L$33:$N$46,,MATCH(E134,'Landbrugsareal - resultat'!$L$5:$N$5,0)))),IF(C134=2030,SUMPRODUCT((B134='Landbrugsareal - resultat'!$B$33:$B$46)*(INDEX('Landbrugsareal - resultat'!$O$33:$Q$46,,MATCH(E134,'Landbrugsareal - resultat'!$O$5:$Q$5,0)))),SUMPRODUCT((B134='Landbrugsareal - resultat'!$B$33:$B$46)*(INDEX('Landbrugsareal - resultat'!$R$33:$T$46,,MATCH(E134,'Landbrugsareal - resultat'!$R$5:$T$5,0))))))))</f>
        <v>4.7493605150697995</v>
      </c>
      <c r="H134" s="168">
        <f>G134*VLOOKUP(B134,[1]Afgrødedata!$A$5:$F$18,2,FALSE)*IF(D134="Økologisk",VLOOKUP(B134,[1]Afgrødedata!$A$5:$F$18,4,FALSE),1)*IF(E134&lt;&gt;Jordbund1,IF(E134=Organ6,VLOOKUP(B134,[1]Afgrødedata!$A$5:$F$18,5,FALSE),VLOOKUP(B134,[1]Afgrødedata!$A$5:$F$18,6,FALSE)),1)*0.1</f>
        <v>263.95783212721415</v>
      </c>
      <c r="I134" s="168">
        <f>G134*VLOOKUP(B134,[1]Afgrødedata!$A$5:$F$18,3,FALSE)*IF(D134="Økologisk",VLOOKUP(B134,[1]Afgrødedata!$A$5:$F$18,4,FALSE),1)*IF(E134&lt;&gt;Jordbund1,IF(E134=Organ6,VLOOKUP(B134,[1]Afgrødedata!$A$5:$F$18,5,FALSE),VLOOKUP(B134,[1]Afgrødedata!$A$5:$F$18,6,FALSE)),1)*HLOOKUP(C134,Landbrug!$C$15:$E$17,2,FALSE)*HLOOKUP(C134,Landbrug!$C$15:$E$17,3,FALSE)*0.1</f>
        <v>0</v>
      </c>
      <c r="J134" s="76">
        <f t="shared" si="15"/>
        <v>263.95783212721415</v>
      </c>
    </row>
    <row r="135" spans="1:10" x14ac:dyDescent="0.25">
      <c r="A135" t="s">
        <v>23</v>
      </c>
      <c r="B135" s="1" t="str">
        <f>[1]Afgrødefordeling!$C$9</f>
        <v>Majs</v>
      </c>
      <c r="C135">
        <v>2019</v>
      </c>
      <c r="D135" t="s">
        <v>8</v>
      </c>
      <c r="E135" s="168" t="str">
        <f t="shared" si="23"/>
        <v>OC6</v>
      </c>
      <c r="F135" t="str">
        <f t="shared" si="14"/>
        <v>Majs</v>
      </c>
      <c r="G135" s="76" cm="1">
        <f t="array" ref="G135">IF(A135="Vestdanmark",IF(D135="Konventionel",IF(C135=2019,SUMPRODUCT((B135='Landbrugsareal - resultat'!$B$6:$B$19)*(INDEX('Landbrugsareal - resultat'!$C$6:$E$19,,MATCH(E135,'Landbrugsareal - resultat'!$C$5:$E$5,0)))),IF(C135=2030,SUMPRODUCT((B135='Landbrugsareal - resultat'!$B$6:$B$19)*(INDEX('Landbrugsareal - resultat'!$F$6:$H$19,,MATCH(E135,'Landbrugsareal - resultat'!$F$5:$H$5,0)))),SUMPRODUCT((B135='Landbrugsareal - resultat'!$B$6:$B$19)*(INDEX('Landbrugsareal - resultat'!$I$6:$K$19,,MATCH(E135,'Landbrugsareal - resultat'!$I$5:$K$5,0)))))),IF(C135=2019,SUMPRODUCT((B135='Landbrugsareal - resultat'!$B$6:$B$19)*(INDEX('Landbrugsareal - resultat'!$L$6:$N$19,,MATCH(E135,'Landbrugsareal - resultat'!$L$5:$N$5,0)))),IF(C135=2030,SUMPRODUCT((B135='Landbrugsareal - resultat'!$B$6:$B$19)*(INDEX('Landbrugsareal - resultat'!$O$6:$Q$19,,MATCH(E135,'Landbrugsareal - resultat'!$O$5:$Q$5,0)))),SUMPRODUCT((B135='Landbrugsareal - resultat'!$B$6:$B$19)*(INDEX('Landbrugsareal - resultat'!$R$6:$T$19,,MATCH(E135,'Landbrugsareal - resultat'!$R$5:$T$5,0))))))),IF(D135="Konventionel",IF(C135=2019,SUMPRODUCT((B135='Landbrugsareal - resultat'!$B$33:$B$46)*(INDEX('Landbrugsareal - resultat'!$C$33:$E$46,,MATCH(E135,'Landbrugsareal - resultat'!$C$5:$E$5,0)))),IF(C135=2030,SUMPRODUCT((B135='Landbrugsareal - resultat'!$B$33:$B$46)*(INDEX('Landbrugsareal - resultat'!$F$33:$H$46,,MATCH(E135,'Landbrugsareal - resultat'!$F$5:$H$5,0)))),SUMPRODUCT((B135='Landbrugsareal - resultat'!$B$33:$B$46)*(INDEX('Landbrugsareal - resultat'!$I$33:$K$46,,MATCH(E135,'Landbrugsareal - resultat'!$I$5:$K$5,0)))))),IF(C135=2019,SUMPRODUCT((B135='Landbrugsareal - resultat'!$B$33:$B$46)*(INDEX('Landbrugsareal - resultat'!$L$33:$N$46,,MATCH(E135,'Landbrugsareal - resultat'!$L$5:$N$5,0)))),IF(C135=2030,SUMPRODUCT((B135='Landbrugsareal - resultat'!$B$33:$B$46)*(INDEX('Landbrugsareal - resultat'!$O$33:$Q$46,,MATCH(E135,'Landbrugsareal - resultat'!$O$5:$Q$5,0)))),SUMPRODUCT((B135='Landbrugsareal - resultat'!$B$33:$B$46)*(INDEX('Landbrugsareal - resultat'!$R$33:$T$46,,MATCH(E135,'Landbrugsareal - resultat'!$R$5:$T$5,0))))))))</f>
        <v>613.07107142517441</v>
      </c>
      <c r="H135" s="168">
        <f>G135*VLOOKUP(B135,[1]Afgrødedata!$A$5:$F$18,2,FALSE)*IF(D135="Økologisk",VLOOKUP(B135,[1]Afgrødedata!$A$5:$F$18,4,FALSE),1)*IF(E135&lt;&gt;Jordbund1,IF(E135=Organ6,VLOOKUP(B135,[1]Afgrødedata!$A$5:$F$18,5,FALSE),VLOOKUP(B135,[1]Afgrødedata!$A$5:$F$18,6,FALSE)),1)*0.1</f>
        <v>27178.642215577973</v>
      </c>
      <c r="I135" s="168">
        <f>G135*VLOOKUP(B135,[1]Afgrødedata!$A$5:$F$18,3,FALSE)*IF(D135="Økologisk",VLOOKUP(B135,[1]Afgrødedata!$A$5:$F$18,4,FALSE),1)*IF(E135&lt;&gt;Jordbund1,IF(E135=Organ6,VLOOKUP(B135,[1]Afgrødedata!$A$5:$F$18,5,FALSE),VLOOKUP(B135,[1]Afgrødedata!$A$5:$F$18,6,FALSE)),1)*HLOOKUP(C135,Landbrug!$C$15:$E$17,2,FALSE)*HLOOKUP(C135,Landbrug!$C$15:$E$17,3,FALSE)*0.1</f>
        <v>0</v>
      </c>
      <c r="J135" s="76">
        <f t="shared" si="15"/>
        <v>27178.642215577973</v>
      </c>
    </row>
    <row r="136" spans="1:10" x14ac:dyDescent="0.25">
      <c r="A136" t="s">
        <v>23</v>
      </c>
      <c r="B136" s="1" t="str">
        <f>[1]Afgrødefordeling!$C$10</f>
        <v>Frugt</v>
      </c>
      <c r="C136">
        <v>2019</v>
      </c>
      <c r="D136" t="s">
        <v>8</v>
      </c>
      <c r="E136" s="168" t="str">
        <f t="shared" si="23"/>
        <v>OC6</v>
      </c>
      <c r="F136" t="str">
        <f t="shared" si="14"/>
        <v>Frugt</v>
      </c>
      <c r="G136" s="76" cm="1">
        <f t="array" ref="G136">IF(A136="Vestdanmark",IF(D136="Konventionel",IF(C136=2019,SUMPRODUCT((B136='Landbrugsareal - resultat'!$B$6:$B$19)*(INDEX('Landbrugsareal - resultat'!$C$6:$E$19,,MATCH(E136,'Landbrugsareal - resultat'!$C$5:$E$5,0)))),IF(C136=2030,SUMPRODUCT((B136='Landbrugsareal - resultat'!$B$6:$B$19)*(INDEX('Landbrugsareal - resultat'!$F$6:$H$19,,MATCH(E136,'Landbrugsareal - resultat'!$F$5:$H$5,0)))),SUMPRODUCT((B136='Landbrugsareal - resultat'!$B$6:$B$19)*(INDEX('Landbrugsareal - resultat'!$I$6:$K$19,,MATCH(E136,'Landbrugsareal - resultat'!$I$5:$K$5,0)))))),IF(C136=2019,SUMPRODUCT((B136='Landbrugsareal - resultat'!$B$6:$B$19)*(INDEX('Landbrugsareal - resultat'!$L$6:$N$19,,MATCH(E136,'Landbrugsareal - resultat'!$L$5:$N$5,0)))),IF(C136=2030,SUMPRODUCT((B136='Landbrugsareal - resultat'!$B$6:$B$19)*(INDEX('Landbrugsareal - resultat'!$O$6:$Q$19,,MATCH(E136,'Landbrugsareal - resultat'!$O$5:$Q$5,0)))),SUMPRODUCT((B136='Landbrugsareal - resultat'!$B$6:$B$19)*(INDEX('Landbrugsareal - resultat'!$R$6:$T$19,,MATCH(E136,'Landbrugsareal - resultat'!$R$5:$T$5,0))))))),IF(D136="Konventionel",IF(C136=2019,SUMPRODUCT((B136='Landbrugsareal - resultat'!$B$33:$B$46)*(INDEX('Landbrugsareal - resultat'!$C$33:$E$46,,MATCH(E136,'Landbrugsareal - resultat'!$C$5:$E$5,0)))),IF(C136=2030,SUMPRODUCT((B136='Landbrugsareal - resultat'!$B$33:$B$46)*(INDEX('Landbrugsareal - resultat'!$F$33:$H$46,,MATCH(E136,'Landbrugsareal - resultat'!$F$5:$H$5,0)))),SUMPRODUCT((B136='Landbrugsareal - resultat'!$B$33:$B$46)*(INDEX('Landbrugsareal - resultat'!$I$33:$K$46,,MATCH(E136,'Landbrugsareal - resultat'!$I$5:$K$5,0)))))),IF(C136=2019,SUMPRODUCT((B136='Landbrugsareal - resultat'!$B$33:$B$46)*(INDEX('Landbrugsareal - resultat'!$L$33:$N$46,,MATCH(E136,'Landbrugsareal - resultat'!$L$5:$N$5,0)))),IF(C136=2030,SUMPRODUCT((B136='Landbrugsareal - resultat'!$B$33:$B$46)*(INDEX('Landbrugsareal - resultat'!$O$33:$Q$46,,MATCH(E136,'Landbrugsareal - resultat'!$O$5:$Q$5,0)))),SUMPRODUCT((B136='Landbrugsareal - resultat'!$B$33:$B$46)*(INDEX('Landbrugsareal - resultat'!$R$33:$T$46,,MATCH(E136,'Landbrugsareal - resultat'!$R$5:$T$5,0))))))))</f>
        <v>10.444192731327741</v>
      </c>
      <c r="H136" s="168">
        <f>G136*VLOOKUP(B136,[1]Afgrødedata!$A$5:$F$18,2,FALSE)*IF(D136="Økologisk",VLOOKUP(B136,[1]Afgrødedata!$A$5:$F$18,4,FALSE),1)*IF(E136&lt;&gt;Jordbund1,IF(E136=Organ6,VLOOKUP(B136,[1]Afgrødedata!$A$5:$F$18,5,FALSE),VLOOKUP(B136,[1]Afgrødedata!$A$5:$F$18,6,FALSE)),1)*0.1</f>
        <v>60.651098261657197</v>
      </c>
      <c r="I136" s="168">
        <f>G136*VLOOKUP(B136,[1]Afgrødedata!$A$5:$F$18,3,FALSE)*IF(D136="Økologisk",VLOOKUP(B136,[1]Afgrødedata!$A$5:$F$18,4,FALSE),1)*IF(E136&lt;&gt;Jordbund1,IF(E136=Organ6,VLOOKUP(B136,[1]Afgrødedata!$A$5:$F$18,5,FALSE),VLOOKUP(B136,[1]Afgrødedata!$A$5:$F$18,6,FALSE)),1)*HLOOKUP(C136,Landbrug!$C$15:$E$17,2,FALSE)*HLOOKUP(C136,Landbrug!$C$15:$E$17,3,FALSE)*0.1</f>
        <v>0</v>
      </c>
      <c r="J136" s="76">
        <f t="shared" si="15"/>
        <v>60.651098261657197</v>
      </c>
    </row>
    <row r="137" spans="1:10" x14ac:dyDescent="0.25">
      <c r="A137" t="s">
        <v>23</v>
      </c>
      <c r="B137" s="1" t="str">
        <f>[1]Afgrødefordeling!$C$11</f>
        <v>Øvrige</v>
      </c>
      <c r="C137">
        <v>2019</v>
      </c>
      <c r="D137" t="s">
        <v>8</v>
      </c>
      <c r="E137" s="168" t="str">
        <f t="shared" si="23"/>
        <v>OC6</v>
      </c>
      <c r="F137" t="str">
        <f t="shared" si="14"/>
        <v>Øvrige</v>
      </c>
      <c r="G137" s="76" cm="1">
        <f t="array" ref="G137">IF(A137="Vestdanmark",IF(D137="Konventionel",IF(C137=2019,SUMPRODUCT((B137='Landbrugsareal - resultat'!$B$6:$B$19)*(INDEX('Landbrugsareal - resultat'!$C$6:$E$19,,MATCH(E137,'Landbrugsareal - resultat'!$C$5:$E$5,0)))),IF(C137=2030,SUMPRODUCT((B137='Landbrugsareal - resultat'!$B$6:$B$19)*(INDEX('Landbrugsareal - resultat'!$F$6:$H$19,,MATCH(E137,'Landbrugsareal - resultat'!$F$5:$H$5,0)))),SUMPRODUCT((B137='Landbrugsareal - resultat'!$B$6:$B$19)*(INDEX('Landbrugsareal - resultat'!$I$6:$K$19,,MATCH(E137,'Landbrugsareal - resultat'!$I$5:$K$5,0)))))),IF(C137=2019,SUMPRODUCT((B137='Landbrugsareal - resultat'!$B$6:$B$19)*(INDEX('Landbrugsareal - resultat'!$L$6:$N$19,,MATCH(E137,'Landbrugsareal - resultat'!$L$5:$N$5,0)))),IF(C137=2030,SUMPRODUCT((B137='Landbrugsareal - resultat'!$B$6:$B$19)*(INDEX('Landbrugsareal - resultat'!$O$6:$Q$19,,MATCH(E137,'Landbrugsareal - resultat'!$O$5:$Q$5,0)))),SUMPRODUCT((B137='Landbrugsareal - resultat'!$B$6:$B$19)*(INDEX('Landbrugsareal - resultat'!$R$6:$T$19,,MATCH(E137,'Landbrugsareal - resultat'!$R$5:$T$5,0))))))),IF(D137="Konventionel",IF(C137=2019,SUMPRODUCT((B137='Landbrugsareal - resultat'!$B$33:$B$46)*(INDEX('Landbrugsareal - resultat'!$C$33:$E$46,,MATCH(E137,'Landbrugsareal - resultat'!$C$5:$E$5,0)))),IF(C137=2030,SUMPRODUCT((B137='Landbrugsareal - resultat'!$B$33:$B$46)*(INDEX('Landbrugsareal - resultat'!$F$33:$H$46,,MATCH(E137,'Landbrugsareal - resultat'!$F$5:$H$5,0)))),SUMPRODUCT((B137='Landbrugsareal - resultat'!$B$33:$B$46)*(INDEX('Landbrugsareal - resultat'!$I$33:$K$46,,MATCH(E137,'Landbrugsareal - resultat'!$I$5:$K$5,0)))))),IF(C137=2019,SUMPRODUCT((B137='Landbrugsareal - resultat'!$B$33:$B$46)*(INDEX('Landbrugsareal - resultat'!$L$33:$N$46,,MATCH(E137,'Landbrugsareal - resultat'!$L$5:$N$5,0)))),IF(C137=2030,SUMPRODUCT((B137='Landbrugsareal - resultat'!$B$33:$B$46)*(INDEX('Landbrugsareal - resultat'!$O$33:$Q$46,,MATCH(E137,'Landbrugsareal - resultat'!$O$5:$Q$5,0)))),SUMPRODUCT((B137='Landbrugsareal - resultat'!$B$33:$B$46)*(INDEX('Landbrugsareal - resultat'!$R$33:$T$46,,MATCH(E137,'Landbrugsareal - resultat'!$R$5:$T$5,0))))))))</f>
        <v>184.71496278196111</v>
      </c>
      <c r="H137" s="168">
        <f>G137*VLOOKUP(B137,[1]Afgrødedata!$A$5:$F$18,2,FALSE)*IF(D137="Økologisk",VLOOKUP(B137,[1]Afgrødedata!$A$5:$F$18,4,FALSE),1)*IF(E137&lt;&gt;Jordbund1,IF(E137=Organ6,VLOOKUP(B137,[1]Afgrødedata!$A$5:$F$18,5,FALSE),VLOOKUP(B137,[1]Afgrødedata!$A$5:$F$18,6,FALSE)),1)*0.1</f>
        <v>3764.5695117789446</v>
      </c>
      <c r="I137" s="168">
        <f>G137*VLOOKUP(B137,[1]Afgrødedata!$A$5:$F$18,3,FALSE)*IF(D137="Økologisk",VLOOKUP(B137,[1]Afgrødedata!$A$5:$F$18,4,FALSE),1)*IF(E137&lt;&gt;Jordbund1,IF(E137=Organ6,VLOOKUP(B137,[1]Afgrødedata!$A$5:$F$18,5,FALSE),VLOOKUP(B137,[1]Afgrødedata!$A$5:$F$18,6,FALSE)),1)*HLOOKUP(C137,Landbrug!$C$15:$E$17,2,FALSE)*HLOOKUP(C137,Landbrug!$C$15:$E$17,3,FALSE)*0.1</f>
        <v>0</v>
      </c>
      <c r="J137" s="76">
        <f t="shared" si="15"/>
        <v>3764.5695117789446</v>
      </c>
    </row>
    <row r="138" spans="1:10" x14ac:dyDescent="0.25">
      <c r="A138" t="s">
        <v>23</v>
      </c>
      <c r="B138" s="1" t="str">
        <f>[1]Afgrødefordeling!$C$12</f>
        <v>Frø</v>
      </c>
      <c r="C138">
        <v>2019</v>
      </c>
      <c r="D138" t="s">
        <v>8</v>
      </c>
      <c r="E138" s="168" t="str">
        <f t="shared" si="23"/>
        <v>OC6</v>
      </c>
      <c r="F138" t="str">
        <f t="shared" si="14"/>
        <v>Halm</v>
      </c>
      <c r="G138" s="76" cm="1">
        <f t="array" ref="G138">IF(A138="Vestdanmark",IF(D138="Konventionel",IF(C138=2019,SUMPRODUCT((B138='Landbrugsareal - resultat'!$B$6:$B$19)*(INDEX('Landbrugsareal - resultat'!$C$6:$E$19,,MATCH(E138,'Landbrugsareal - resultat'!$C$5:$E$5,0)))),IF(C138=2030,SUMPRODUCT((B138='Landbrugsareal - resultat'!$B$6:$B$19)*(INDEX('Landbrugsareal - resultat'!$F$6:$H$19,,MATCH(E138,'Landbrugsareal - resultat'!$F$5:$H$5,0)))),SUMPRODUCT((B138='Landbrugsareal - resultat'!$B$6:$B$19)*(INDEX('Landbrugsareal - resultat'!$I$6:$K$19,,MATCH(E138,'Landbrugsareal - resultat'!$I$5:$K$5,0)))))),IF(C138=2019,SUMPRODUCT((B138='Landbrugsareal - resultat'!$B$6:$B$19)*(INDEX('Landbrugsareal - resultat'!$L$6:$N$19,,MATCH(E138,'Landbrugsareal - resultat'!$L$5:$N$5,0)))),IF(C138=2030,SUMPRODUCT((B138='Landbrugsareal - resultat'!$B$6:$B$19)*(INDEX('Landbrugsareal - resultat'!$O$6:$Q$19,,MATCH(E138,'Landbrugsareal - resultat'!$O$5:$Q$5,0)))),SUMPRODUCT((B138='Landbrugsareal - resultat'!$B$6:$B$19)*(INDEX('Landbrugsareal - resultat'!$R$6:$T$19,,MATCH(E138,'Landbrugsareal - resultat'!$R$5:$T$5,0))))))),IF(D138="Konventionel",IF(C138=2019,SUMPRODUCT((B138='Landbrugsareal - resultat'!$B$33:$B$46)*(INDEX('Landbrugsareal - resultat'!$C$33:$E$46,,MATCH(E138,'Landbrugsareal - resultat'!$C$5:$E$5,0)))),IF(C138=2030,SUMPRODUCT((B138='Landbrugsareal - resultat'!$B$33:$B$46)*(INDEX('Landbrugsareal - resultat'!$F$33:$H$46,,MATCH(E138,'Landbrugsareal - resultat'!$F$5:$H$5,0)))),SUMPRODUCT((B138='Landbrugsareal - resultat'!$B$33:$B$46)*(INDEX('Landbrugsareal - resultat'!$I$33:$K$46,,MATCH(E138,'Landbrugsareal - resultat'!$I$5:$K$5,0)))))),IF(C138=2019,SUMPRODUCT((B138='Landbrugsareal - resultat'!$B$33:$B$46)*(INDEX('Landbrugsareal - resultat'!$L$33:$N$46,,MATCH(E138,'Landbrugsareal - resultat'!$L$5:$N$5,0)))),IF(C138=2030,SUMPRODUCT((B138='Landbrugsareal - resultat'!$B$33:$B$46)*(INDEX('Landbrugsareal - resultat'!$O$33:$Q$46,,MATCH(E138,'Landbrugsareal - resultat'!$O$5:$Q$5,0)))),SUMPRODUCT((B138='Landbrugsareal - resultat'!$B$33:$B$46)*(INDEX('Landbrugsareal - resultat'!$R$33:$T$46,,MATCH(E138,'Landbrugsareal - resultat'!$R$5:$T$5,0))))))))</f>
        <v>455.9310004345117</v>
      </c>
      <c r="H138" s="168">
        <f>G138*VLOOKUP(B138,[1]Afgrødedata!$A$5:$F$18,2,FALSE)*IF(D138="Økologisk",VLOOKUP(B138,[1]Afgrødedata!$A$5:$F$18,4,FALSE),1)*IF(E138&lt;&gt;Jordbund1,IF(E138=Organ6,VLOOKUP(B138,[1]Afgrødedata!$A$5:$F$18,5,FALSE),VLOOKUP(B138,[1]Afgrødedata!$A$5:$F$18,6,FALSE)),1)*0.1</f>
        <v>4456.0784535034436</v>
      </c>
      <c r="I138" s="168">
        <f>G138*VLOOKUP(B138,[1]Afgrødedata!$A$5:$F$18,3,FALSE)*IF(D138="Økologisk",VLOOKUP(B138,[1]Afgrødedata!$A$5:$F$18,4,FALSE),1)*IF(E138&lt;&gt;Jordbund1,IF(E138=Organ6,VLOOKUP(B138,[1]Afgrødedata!$A$5:$F$18,5,FALSE),VLOOKUP(B138,[1]Afgrødedata!$A$5:$F$18,6,FALSE)),1)*HLOOKUP(C138,Landbrug!$C$15:$E$17,2,FALSE)*HLOOKUP(C138,Landbrug!$C$15:$E$17,3,FALSE)*0.1</f>
        <v>740.28568204070757</v>
      </c>
      <c r="J138" s="76">
        <f t="shared" si="15"/>
        <v>740.28568204070757</v>
      </c>
    </row>
    <row r="139" spans="1:10" x14ac:dyDescent="0.25">
      <c r="A139" t="s">
        <v>23</v>
      </c>
      <c r="B139" s="1" t="str">
        <f>[1]Afgrødefordeling!$C$13</f>
        <v>Juletræer</v>
      </c>
      <c r="C139">
        <v>2019</v>
      </c>
      <c r="D139" t="s">
        <v>8</v>
      </c>
      <c r="E139" s="168" t="str">
        <f t="shared" si="23"/>
        <v>OC6</v>
      </c>
      <c r="F139" t="str">
        <f t="shared" si="14"/>
        <v>Juletræer</v>
      </c>
      <c r="G139" s="76" cm="1">
        <f t="array" ref="G139">IF(A139="Vestdanmark",IF(D139="Konventionel",IF(C139=2019,SUMPRODUCT((B139='Landbrugsareal - resultat'!$B$6:$B$19)*(INDEX('Landbrugsareal - resultat'!$C$6:$E$19,,MATCH(E139,'Landbrugsareal - resultat'!$C$5:$E$5,0)))),IF(C139=2030,SUMPRODUCT((B139='Landbrugsareal - resultat'!$B$6:$B$19)*(INDEX('Landbrugsareal - resultat'!$F$6:$H$19,,MATCH(E139,'Landbrugsareal - resultat'!$F$5:$H$5,0)))),SUMPRODUCT((B139='Landbrugsareal - resultat'!$B$6:$B$19)*(INDEX('Landbrugsareal - resultat'!$I$6:$K$19,,MATCH(E139,'Landbrugsareal - resultat'!$I$5:$K$5,0)))))),IF(C139=2019,SUMPRODUCT((B139='Landbrugsareal - resultat'!$B$6:$B$19)*(INDEX('Landbrugsareal - resultat'!$L$6:$N$19,,MATCH(E139,'Landbrugsareal - resultat'!$L$5:$N$5,0)))),IF(C139=2030,SUMPRODUCT((B139='Landbrugsareal - resultat'!$B$6:$B$19)*(INDEX('Landbrugsareal - resultat'!$O$6:$Q$19,,MATCH(E139,'Landbrugsareal - resultat'!$O$5:$Q$5,0)))),SUMPRODUCT((B139='Landbrugsareal - resultat'!$B$6:$B$19)*(INDEX('Landbrugsareal - resultat'!$R$6:$T$19,,MATCH(E139,'Landbrugsareal - resultat'!$R$5:$T$5,0))))))),IF(D139="Konventionel",IF(C139=2019,SUMPRODUCT((B139='Landbrugsareal - resultat'!$B$33:$B$46)*(INDEX('Landbrugsareal - resultat'!$C$33:$E$46,,MATCH(E139,'Landbrugsareal - resultat'!$C$5:$E$5,0)))),IF(C139=2030,SUMPRODUCT((B139='Landbrugsareal - resultat'!$B$33:$B$46)*(INDEX('Landbrugsareal - resultat'!$F$33:$H$46,,MATCH(E139,'Landbrugsareal - resultat'!$F$5:$H$5,0)))),SUMPRODUCT((B139='Landbrugsareal - resultat'!$B$33:$B$46)*(INDEX('Landbrugsareal - resultat'!$I$33:$K$46,,MATCH(E139,'Landbrugsareal - resultat'!$I$5:$K$5,0)))))),IF(C139=2019,SUMPRODUCT((B139='Landbrugsareal - resultat'!$B$33:$B$46)*(INDEX('Landbrugsareal - resultat'!$L$33:$N$46,,MATCH(E139,'Landbrugsareal - resultat'!$L$5:$N$5,0)))),IF(C139=2030,SUMPRODUCT((B139='Landbrugsareal - resultat'!$B$33:$B$46)*(INDEX('Landbrugsareal - resultat'!$O$33:$Q$46,,MATCH(E139,'Landbrugsareal - resultat'!$O$5:$Q$5,0)))),SUMPRODUCT((B139='Landbrugsareal - resultat'!$B$33:$B$46)*(INDEX('Landbrugsareal - resultat'!$R$33:$T$46,,MATCH(E139,'Landbrugsareal - resultat'!$R$5:$T$5,0))))))))</f>
        <v>52.383308621374375</v>
      </c>
      <c r="H139" s="168">
        <f>G139*VLOOKUP(B139,[1]Afgrødedata!$A$5:$F$18,2,FALSE)*IF(D139="Økologisk",VLOOKUP(B139,[1]Afgrødedata!$A$5:$F$18,4,FALSE),1)*IF(E139&lt;&gt;Jordbund1,IF(E139=Organ6,VLOOKUP(B139,[1]Afgrødedata!$A$5:$F$18,5,FALSE),VLOOKUP(B139,[1]Afgrødedata!$A$5:$F$18,6,FALSE)),1)*0.1</f>
        <v>1791.5091548510036</v>
      </c>
      <c r="I139" s="168">
        <f>G139*VLOOKUP(B139,[1]Afgrødedata!$A$5:$F$18,3,FALSE)*IF(D139="Økologisk",VLOOKUP(B139,[1]Afgrødedata!$A$5:$F$18,4,FALSE),1)*IF(E139&lt;&gt;Jordbund1,IF(E139=Organ6,VLOOKUP(B139,[1]Afgrødedata!$A$5:$F$18,5,FALSE),VLOOKUP(B139,[1]Afgrødedata!$A$5:$F$18,6,FALSE)),1)*HLOOKUP(C139,Landbrug!$C$15:$E$17,2,FALSE)*HLOOKUP(C139,Landbrug!$C$15:$E$17,3,FALSE)*0.1</f>
        <v>0</v>
      </c>
      <c r="J139" s="76">
        <f t="shared" si="15"/>
        <v>1791.5091548510036</v>
      </c>
    </row>
    <row r="140" spans="1:10" x14ac:dyDescent="0.25">
      <c r="A140" t="s">
        <v>23</v>
      </c>
      <c r="B140" s="1" t="str">
        <f>[1]Afgrødefordeling!$C$14</f>
        <v>Pil &amp; poppel</v>
      </c>
      <c r="C140">
        <v>2019</v>
      </c>
      <c r="D140" t="s">
        <v>8</v>
      </c>
      <c r="E140" s="168" t="str">
        <f t="shared" si="23"/>
        <v>OC6</v>
      </c>
      <c r="F140" t="str">
        <f t="shared" ref="F140" si="26">IF(I140&lt;&gt;0,"Halm",IF(B140&lt;&gt;"Permanent græs",B140,"Græs"))</f>
        <v>Pil &amp; poppel</v>
      </c>
      <c r="G140" s="76" cm="1">
        <f t="array" ref="G140">IF(A140="Vestdanmark",IF(D140="Konventionel",IF(C140=2019,SUMPRODUCT((B140='Landbrugsareal - resultat'!$B$6:$B$19)*(INDEX('Landbrugsareal - resultat'!$C$6:$E$19,,MATCH(E140,'Landbrugsareal - resultat'!$C$5:$E$5,0)))),IF(C140=2030,SUMPRODUCT((B140='Landbrugsareal - resultat'!$B$6:$B$19)*(INDEX('Landbrugsareal - resultat'!$F$6:$H$19,,MATCH(E140,'Landbrugsareal - resultat'!$F$5:$H$5,0)))),SUMPRODUCT((B140='Landbrugsareal - resultat'!$B$6:$B$19)*(INDEX('Landbrugsareal - resultat'!$I$6:$K$19,,MATCH(E140,'Landbrugsareal - resultat'!$I$5:$K$5,0)))))),IF(C140=2019,SUMPRODUCT((B140='Landbrugsareal - resultat'!$B$6:$B$19)*(INDEX('Landbrugsareal - resultat'!$L$6:$N$19,,MATCH(E140,'Landbrugsareal - resultat'!$L$5:$N$5,0)))),IF(C140=2030,SUMPRODUCT((B140='Landbrugsareal - resultat'!$B$6:$B$19)*(INDEX('Landbrugsareal - resultat'!$O$6:$Q$19,,MATCH(E140,'Landbrugsareal - resultat'!$O$5:$Q$5,0)))),SUMPRODUCT((B140='Landbrugsareal - resultat'!$B$6:$B$19)*(INDEX('Landbrugsareal - resultat'!$R$6:$T$19,,MATCH(E140,'Landbrugsareal - resultat'!$R$5:$T$5,0))))))),IF(D140="Konventionel",IF(C140=2019,SUMPRODUCT((B140='Landbrugsareal - resultat'!$B$33:$B$46)*(INDEX('Landbrugsareal - resultat'!$C$33:$E$46,,MATCH(E140,'Landbrugsareal - resultat'!$C$5:$E$5,0)))),IF(C140=2030,SUMPRODUCT((B140='Landbrugsareal - resultat'!$B$33:$B$46)*(INDEX('Landbrugsareal - resultat'!$F$33:$H$46,,MATCH(E140,'Landbrugsareal - resultat'!$F$5:$H$5,0)))),SUMPRODUCT((B140='Landbrugsareal - resultat'!$B$33:$B$46)*(INDEX('Landbrugsareal - resultat'!$I$33:$K$46,,MATCH(E140,'Landbrugsareal - resultat'!$I$5:$K$5,0)))))),IF(C140=2019,SUMPRODUCT((B140='Landbrugsareal - resultat'!$B$33:$B$46)*(INDEX('Landbrugsareal - resultat'!$L$33:$N$46,,MATCH(E140,'Landbrugsareal - resultat'!$L$5:$N$5,0)))),IF(C140=2030,SUMPRODUCT((B140='Landbrugsareal - resultat'!$B$33:$B$46)*(INDEX('Landbrugsareal - resultat'!$O$33:$Q$46,,MATCH(E140,'Landbrugsareal - resultat'!$O$5:$Q$5,0)))),SUMPRODUCT((B140='Landbrugsareal - resultat'!$B$33:$B$46)*(INDEX('Landbrugsareal - resultat'!$R$33:$T$46,,MATCH(E140,'Landbrugsareal - resultat'!$R$5:$T$5,0))))))))</f>
        <v>86.032708668626768</v>
      </c>
      <c r="H140" s="168">
        <f>G140*VLOOKUP(B140,[1]Afgrødedata!$A$5:$F$18,2,FALSE)*IF(D140="Økologisk",VLOOKUP(B140,[1]Afgrødedata!$A$5:$F$18,4,FALSE),1)*IF(E140&lt;&gt;Jordbund1,IF(E140=Organ6,VLOOKUP(B140,[1]Afgrødedata!$A$5:$F$18,5,FALSE),VLOOKUP(B140,[1]Afgrødedata!$A$5:$F$18,6,FALSE)),1)*0.1</f>
        <v>1435.2773836424562</v>
      </c>
      <c r="I140" s="168">
        <f>G140*VLOOKUP(B140,[1]Afgrødedata!$A$5:$F$18,3,FALSE)*IF(D140="Økologisk",VLOOKUP(B140,[1]Afgrødedata!$A$5:$F$18,4,FALSE),1)*IF(E140&lt;&gt;Jordbund1,IF(E140=Organ6,VLOOKUP(B140,[1]Afgrødedata!$A$5:$F$18,5,FALSE),VLOOKUP(B140,[1]Afgrødedata!$A$5:$F$18,6,FALSE)),1)*HLOOKUP(C140,Landbrug!$C$15:$E$17,2,FALSE)*HLOOKUP(C140,Landbrug!$C$15:$E$17,3,FALSE)*0.1</f>
        <v>0</v>
      </c>
      <c r="J140" s="76">
        <f t="shared" ref="J140" si="27">IF(I140&lt;&gt;0,I140,H140)</f>
        <v>1435.2773836424562</v>
      </c>
    </row>
    <row r="141" spans="1:10" x14ac:dyDescent="0.25">
      <c r="A141" t="s">
        <v>23</v>
      </c>
      <c r="B141" s="1" t="str">
        <f>[1]Afgrødefordeling!$C$15</f>
        <v>Permanent græs</v>
      </c>
      <c r="C141">
        <v>2019</v>
      </c>
      <c r="D141" t="s">
        <v>8</v>
      </c>
      <c r="E141" s="168" t="str">
        <f t="shared" si="23"/>
        <v>OC6</v>
      </c>
      <c r="F141" t="str">
        <f t="shared" ref="F141:F208" si="28">IF(I141&lt;&gt;0,"Halm",IF(B141&lt;&gt;"Permanent græs",B141,"Græs"))</f>
        <v>Græs</v>
      </c>
      <c r="G141" s="76" cm="1">
        <f t="array" ref="G141">IF(A141="Vestdanmark",IF(D141="Konventionel",IF(C141=2019,SUMPRODUCT((B141='Landbrugsareal - resultat'!$B$6:$B$19)*(INDEX('Landbrugsareal - resultat'!$C$6:$E$19,,MATCH(E141,'Landbrugsareal - resultat'!$C$5:$E$5,0)))),IF(C141=2030,SUMPRODUCT((B141='Landbrugsareal - resultat'!$B$6:$B$19)*(INDEX('Landbrugsareal - resultat'!$F$6:$H$19,,MATCH(E141,'Landbrugsareal - resultat'!$F$5:$H$5,0)))),SUMPRODUCT((B141='Landbrugsareal - resultat'!$B$6:$B$19)*(INDEX('Landbrugsareal - resultat'!$I$6:$K$19,,MATCH(E141,'Landbrugsareal - resultat'!$I$5:$K$5,0)))))),IF(C141=2019,SUMPRODUCT((B141='Landbrugsareal - resultat'!$B$6:$B$19)*(INDEX('Landbrugsareal - resultat'!$L$6:$N$19,,MATCH(E141,'Landbrugsareal - resultat'!$L$5:$N$5,0)))),IF(C141=2030,SUMPRODUCT((B141='Landbrugsareal - resultat'!$B$6:$B$19)*(INDEX('Landbrugsareal - resultat'!$O$6:$Q$19,,MATCH(E141,'Landbrugsareal - resultat'!$O$5:$Q$5,0)))),SUMPRODUCT((B141='Landbrugsareal - resultat'!$B$6:$B$19)*(INDEX('Landbrugsareal - resultat'!$R$6:$T$19,,MATCH(E141,'Landbrugsareal - resultat'!$R$5:$T$5,0))))))),IF(D141="Konventionel",IF(C141=2019,SUMPRODUCT((B141='Landbrugsareal - resultat'!$B$33:$B$46)*(INDEX('Landbrugsareal - resultat'!$C$33:$E$46,,MATCH(E141,'Landbrugsareal - resultat'!$C$5:$E$5,0)))),IF(C141=2030,SUMPRODUCT((B141='Landbrugsareal - resultat'!$B$33:$B$46)*(INDEX('Landbrugsareal - resultat'!$F$33:$H$46,,MATCH(E141,'Landbrugsareal - resultat'!$F$5:$H$5,0)))),SUMPRODUCT((B141='Landbrugsareal - resultat'!$B$33:$B$46)*(INDEX('Landbrugsareal - resultat'!$I$33:$K$46,,MATCH(E141,'Landbrugsareal - resultat'!$I$5:$K$5,0)))))),IF(C141=2019,SUMPRODUCT((B141='Landbrugsareal - resultat'!$B$33:$B$46)*(INDEX('Landbrugsareal - resultat'!$L$33:$N$46,,MATCH(E141,'Landbrugsareal - resultat'!$L$5:$N$5,0)))),IF(C141=2030,SUMPRODUCT((B141='Landbrugsareal - resultat'!$B$33:$B$46)*(INDEX('Landbrugsareal - resultat'!$O$33:$Q$46,,MATCH(E141,'Landbrugsareal - resultat'!$O$5:$Q$5,0)))),SUMPRODUCT((B141='Landbrugsareal - resultat'!$B$33:$B$46)*(INDEX('Landbrugsareal - resultat'!$R$33:$T$46,,MATCH(E141,'Landbrugsareal - resultat'!$R$5:$T$5,0))))))))</f>
        <v>2431.7201038177204</v>
      </c>
      <c r="H141" s="168">
        <f>G141*VLOOKUP(B141,[1]Afgrødedata!$A$5:$F$18,2,FALSE)*IF(D141="Økologisk",VLOOKUP(B141,[1]Afgrødedata!$A$5:$F$18,4,FALSE),1)*IF(E141&lt;&gt;Jordbund1,IF(E141=Organ6,VLOOKUP(B141,[1]Afgrødedata!$A$5:$F$18,5,FALSE),VLOOKUP(B141,[1]Afgrødedata!$A$5:$F$18,6,FALSE)),1)*0.1</f>
        <v>40240.104277975639</v>
      </c>
      <c r="I141" s="168">
        <f>G141*VLOOKUP(B141,[1]Afgrødedata!$A$5:$F$18,3,FALSE)*IF(D141="Økologisk",VLOOKUP(B141,[1]Afgrødedata!$A$5:$F$18,4,FALSE),1)*IF(E141&lt;&gt;Jordbund1,IF(E141=Organ6,VLOOKUP(B141,[1]Afgrødedata!$A$5:$F$18,5,FALSE),VLOOKUP(B141,[1]Afgrødedata!$A$5:$F$18,6,FALSE)),1)*HLOOKUP(C141,Landbrug!$C$15:$E$17,2,FALSE)*HLOOKUP(C141,Landbrug!$C$15:$E$17,3,FALSE)*0.1</f>
        <v>0</v>
      </c>
      <c r="J141" s="76">
        <f t="shared" ref="J141:J208" si="29">IF(I141&lt;&gt;0,I141,H141)</f>
        <v>40240.104277975639</v>
      </c>
    </row>
    <row r="142" spans="1:10" x14ac:dyDescent="0.25">
      <c r="A142" t="s">
        <v>23</v>
      </c>
      <c r="B142" s="1" t="str">
        <f>[1]Afgrødefordeling!$C$2</f>
        <v>Korn</v>
      </c>
      <c r="C142">
        <v>2030</v>
      </c>
      <c r="D142" t="s">
        <v>8</v>
      </c>
      <c r="E142" s="168" t="str">
        <f t="shared" si="23"/>
        <v>OC6</v>
      </c>
      <c r="F142" t="str">
        <f t="shared" si="28"/>
        <v>Halm</v>
      </c>
      <c r="G142" s="76" cm="1">
        <f t="array" ref="G142">IF(A142="Vestdanmark",IF(D142="Konventionel",IF(C142=2019,SUMPRODUCT((B142='Landbrugsareal - resultat'!$B$6:$B$19)*(INDEX('Landbrugsareal - resultat'!$C$6:$E$19,,MATCH(E142,'Landbrugsareal - resultat'!$C$5:$E$5,0)))),IF(C142=2030,SUMPRODUCT((B142='Landbrugsareal - resultat'!$B$6:$B$19)*(INDEX('Landbrugsareal - resultat'!$F$6:$H$19,,MATCH(E142,'Landbrugsareal - resultat'!$F$5:$H$5,0)))),SUMPRODUCT((B142='Landbrugsareal - resultat'!$B$6:$B$19)*(INDEX('Landbrugsareal - resultat'!$I$6:$K$19,,MATCH(E142,'Landbrugsareal - resultat'!$I$5:$K$5,0)))))),IF(C142=2019,SUMPRODUCT((B142='Landbrugsareal - resultat'!$B$6:$B$19)*(INDEX('Landbrugsareal - resultat'!$L$6:$N$19,,MATCH(E142,'Landbrugsareal - resultat'!$L$5:$N$5,0)))),IF(C142=2030,SUMPRODUCT((B142='Landbrugsareal - resultat'!$B$6:$B$19)*(INDEX('Landbrugsareal - resultat'!$O$6:$Q$19,,MATCH(E142,'Landbrugsareal - resultat'!$O$5:$Q$5,0)))),SUMPRODUCT((B142='Landbrugsareal - resultat'!$B$6:$B$19)*(INDEX('Landbrugsareal - resultat'!$R$6:$T$19,,MATCH(E142,'Landbrugsareal - resultat'!$R$5:$T$5,0))))))),IF(D142="Konventionel",IF(C142=2019,SUMPRODUCT((B142='Landbrugsareal - resultat'!$B$33:$B$46)*(INDEX('Landbrugsareal - resultat'!$C$33:$E$46,,MATCH(E142,'Landbrugsareal - resultat'!$C$5:$E$5,0)))),IF(C142=2030,SUMPRODUCT((B142='Landbrugsareal - resultat'!$B$33:$B$46)*(INDEX('Landbrugsareal - resultat'!$F$33:$H$46,,MATCH(E142,'Landbrugsareal - resultat'!$F$5:$H$5,0)))),SUMPRODUCT((B142='Landbrugsareal - resultat'!$B$33:$B$46)*(INDEX('Landbrugsareal - resultat'!$I$33:$K$46,,MATCH(E142,'Landbrugsareal - resultat'!$I$5:$K$5,0)))))),IF(C142=2019,SUMPRODUCT((B142='Landbrugsareal - resultat'!$B$33:$B$46)*(INDEX('Landbrugsareal - resultat'!$L$33:$N$46,,MATCH(E142,'Landbrugsareal - resultat'!$L$5:$N$5,0)))),IF(C142=2030,SUMPRODUCT((B142='Landbrugsareal - resultat'!$B$33:$B$46)*(INDEX('Landbrugsareal - resultat'!$O$33:$Q$46,,MATCH(E142,'Landbrugsareal - resultat'!$O$5:$Q$5,0)))),SUMPRODUCT((B142='Landbrugsareal - resultat'!$B$33:$B$46)*(INDEX('Landbrugsareal - resultat'!$R$33:$T$46,,MATCH(E142,'Landbrugsareal - resultat'!$R$5:$T$5,0))))))))</f>
        <v>3189.372525590622</v>
      </c>
      <c r="H142" s="168">
        <f>G142*VLOOKUP(B142,[1]Afgrødedata!$A$5:$F$18,2,FALSE)*IF(D142="Økologisk",VLOOKUP(B142,[1]Afgrødedata!$A$5:$F$18,4,FALSE),1)*IF(E142&lt;&gt;Jordbund1,IF(E142=Organ6,VLOOKUP(B142,[1]Afgrødedata!$A$5:$F$18,5,FALSE),VLOOKUP(B142,[1]Afgrødedata!$A$5:$F$18,6,FALSE)),1)*0.1</f>
        <v>17975.431129129767</v>
      </c>
      <c r="I142" s="168">
        <f>G142*VLOOKUP(B142,[1]Afgrødedata!$A$5:$F$18,3,FALSE)*IF(D142="Økologisk",VLOOKUP(B142,[1]Afgrødedata!$A$5:$F$18,4,FALSE),1)*IF(E142&lt;&gt;Jordbund1,IF(E142=Organ6,VLOOKUP(B142,[1]Afgrødedata!$A$5:$F$18,5,FALSE),VLOOKUP(B142,[1]Afgrødedata!$A$5:$F$18,6,FALSE)),1)*HLOOKUP(C142,Landbrug!$C$15:$E$17,2,FALSE)*HLOOKUP(C142,Landbrug!$C$15:$E$17,3,FALSE)*0.1</f>
        <v>5833.0274014026108</v>
      </c>
      <c r="J142" s="76">
        <f t="shared" si="29"/>
        <v>5833.0274014026108</v>
      </c>
    </row>
    <row r="143" spans="1:10" x14ac:dyDescent="0.25">
      <c r="A143" t="s">
        <v>23</v>
      </c>
      <c r="B143" s="1" t="str">
        <f>[1]Afgrødefordeling!$C$3</f>
        <v>Bælgsæd</v>
      </c>
      <c r="C143">
        <v>2030</v>
      </c>
      <c r="D143" t="s">
        <v>8</v>
      </c>
      <c r="E143" s="168" t="str">
        <f t="shared" si="23"/>
        <v>OC6</v>
      </c>
      <c r="F143" t="str">
        <f t="shared" si="28"/>
        <v>Halm</v>
      </c>
      <c r="G143" s="76" cm="1">
        <f t="array" ref="G143">IF(A143="Vestdanmark",IF(D143="Konventionel",IF(C143=2019,SUMPRODUCT((B143='Landbrugsareal - resultat'!$B$6:$B$19)*(INDEX('Landbrugsareal - resultat'!$C$6:$E$19,,MATCH(E143,'Landbrugsareal - resultat'!$C$5:$E$5,0)))),IF(C143=2030,SUMPRODUCT((B143='Landbrugsareal - resultat'!$B$6:$B$19)*(INDEX('Landbrugsareal - resultat'!$F$6:$H$19,,MATCH(E143,'Landbrugsareal - resultat'!$F$5:$H$5,0)))),SUMPRODUCT((B143='Landbrugsareal - resultat'!$B$6:$B$19)*(INDEX('Landbrugsareal - resultat'!$I$6:$K$19,,MATCH(E143,'Landbrugsareal - resultat'!$I$5:$K$5,0)))))),IF(C143=2019,SUMPRODUCT((B143='Landbrugsareal - resultat'!$B$6:$B$19)*(INDEX('Landbrugsareal - resultat'!$L$6:$N$19,,MATCH(E143,'Landbrugsareal - resultat'!$L$5:$N$5,0)))),IF(C143=2030,SUMPRODUCT((B143='Landbrugsareal - resultat'!$B$6:$B$19)*(INDEX('Landbrugsareal - resultat'!$O$6:$Q$19,,MATCH(E143,'Landbrugsareal - resultat'!$O$5:$Q$5,0)))),SUMPRODUCT((B143='Landbrugsareal - resultat'!$B$6:$B$19)*(INDEX('Landbrugsareal - resultat'!$R$6:$T$19,,MATCH(E143,'Landbrugsareal - resultat'!$R$5:$T$5,0))))))),IF(D143="Konventionel",IF(C143=2019,SUMPRODUCT((B143='Landbrugsareal - resultat'!$B$33:$B$46)*(INDEX('Landbrugsareal - resultat'!$C$33:$E$46,,MATCH(E143,'Landbrugsareal - resultat'!$C$5:$E$5,0)))),IF(C143=2030,SUMPRODUCT((B143='Landbrugsareal - resultat'!$B$33:$B$46)*(INDEX('Landbrugsareal - resultat'!$F$33:$H$46,,MATCH(E143,'Landbrugsareal - resultat'!$F$5:$H$5,0)))),SUMPRODUCT((B143='Landbrugsareal - resultat'!$B$33:$B$46)*(INDEX('Landbrugsareal - resultat'!$I$33:$K$46,,MATCH(E143,'Landbrugsareal - resultat'!$I$5:$K$5,0)))))),IF(C143=2019,SUMPRODUCT((B143='Landbrugsareal - resultat'!$B$33:$B$46)*(INDEX('Landbrugsareal - resultat'!$L$33:$N$46,,MATCH(E143,'Landbrugsareal - resultat'!$L$5:$N$5,0)))),IF(C143=2030,SUMPRODUCT((B143='Landbrugsareal - resultat'!$B$33:$B$46)*(INDEX('Landbrugsareal - resultat'!$O$33:$Q$46,,MATCH(E143,'Landbrugsareal - resultat'!$O$5:$Q$5,0)))),SUMPRODUCT((B143='Landbrugsareal - resultat'!$B$33:$B$46)*(INDEX('Landbrugsareal - resultat'!$R$33:$T$46,,MATCH(E143,'Landbrugsareal - resultat'!$R$5:$T$5,0))))))))</f>
        <v>273.4064178180264</v>
      </c>
      <c r="H143" s="168">
        <f>G143*VLOOKUP(B143,[1]Afgrødedata!$A$5:$F$18,2,FALSE)*IF(D143="Økologisk",VLOOKUP(B143,[1]Afgrødedata!$A$5:$F$18,4,FALSE),1)*IF(E143&lt;&gt;Jordbund1,IF(E143=Organ6,VLOOKUP(B143,[1]Afgrødedata!$A$5:$F$18,5,FALSE),VLOOKUP(B143,[1]Afgrødedata!$A$5:$F$18,6,FALSE)),1)*0.1</f>
        <v>721.85856057986598</v>
      </c>
      <c r="I143" s="168">
        <f>G143*VLOOKUP(B143,[1]Afgrødedata!$A$5:$F$18,3,FALSE)*IF(D143="Økologisk",VLOOKUP(B143,[1]Afgrødedata!$A$5:$F$18,4,FALSE),1)*IF(E143&lt;&gt;Jordbund1,IF(E143=Organ6,VLOOKUP(B143,[1]Afgrødedata!$A$5:$F$18,5,FALSE),VLOOKUP(B143,[1]Afgrødedata!$A$5:$F$18,6,FALSE)),1)*HLOOKUP(C143,Landbrug!$C$15:$E$17,2,FALSE)*HLOOKUP(C143,Landbrug!$C$15:$E$17,3,FALSE)*0.1</f>
        <v>213.0586112650351</v>
      </c>
      <c r="J143" s="76">
        <f t="shared" si="29"/>
        <v>213.0586112650351</v>
      </c>
    </row>
    <row r="144" spans="1:10" x14ac:dyDescent="0.25">
      <c r="A144" t="s">
        <v>23</v>
      </c>
      <c r="B144" s="1" t="str">
        <f>[1]Afgrødefordeling!$C$4</f>
        <v>Raps</v>
      </c>
      <c r="C144">
        <v>2030</v>
      </c>
      <c r="D144" t="s">
        <v>8</v>
      </c>
      <c r="E144" s="168" t="str">
        <f t="shared" si="23"/>
        <v>OC6</v>
      </c>
      <c r="F144" t="str">
        <f t="shared" si="28"/>
        <v>Halm</v>
      </c>
      <c r="G144" s="76" cm="1">
        <f t="array" ref="G144">IF(A144="Vestdanmark",IF(D144="Konventionel",IF(C144=2019,SUMPRODUCT((B144='Landbrugsareal - resultat'!$B$6:$B$19)*(INDEX('Landbrugsareal - resultat'!$C$6:$E$19,,MATCH(E144,'Landbrugsareal - resultat'!$C$5:$E$5,0)))),IF(C144=2030,SUMPRODUCT((B144='Landbrugsareal - resultat'!$B$6:$B$19)*(INDEX('Landbrugsareal - resultat'!$F$6:$H$19,,MATCH(E144,'Landbrugsareal - resultat'!$F$5:$H$5,0)))),SUMPRODUCT((B144='Landbrugsareal - resultat'!$B$6:$B$19)*(INDEX('Landbrugsareal - resultat'!$I$6:$K$19,,MATCH(E144,'Landbrugsareal - resultat'!$I$5:$K$5,0)))))),IF(C144=2019,SUMPRODUCT((B144='Landbrugsareal - resultat'!$B$6:$B$19)*(INDEX('Landbrugsareal - resultat'!$L$6:$N$19,,MATCH(E144,'Landbrugsareal - resultat'!$L$5:$N$5,0)))),IF(C144=2030,SUMPRODUCT((B144='Landbrugsareal - resultat'!$B$6:$B$19)*(INDEX('Landbrugsareal - resultat'!$O$6:$Q$19,,MATCH(E144,'Landbrugsareal - resultat'!$O$5:$Q$5,0)))),SUMPRODUCT((B144='Landbrugsareal - resultat'!$B$6:$B$19)*(INDEX('Landbrugsareal - resultat'!$R$6:$T$19,,MATCH(E144,'Landbrugsareal - resultat'!$R$5:$T$5,0))))))),IF(D144="Konventionel",IF(C144=2019,SUMPRODUCT((B144='Landbrugsareal - resultat'!$B$33:$B$46)*(INDEX('Landbrugsareal - resultat'!$C$33:$E$46,,MATCH(E144,'Landbrugsareal - resultat'!$C$5:$E$5,0)))),IF(C144=2030,SUMPRODUCT((B144='Landbrugsareal - resultat'!$B$33:$B$46)*(INDEX('Landbrugsareal - resultat'!$F$33:$H$46,,MATCH(E144,'Landbrugsareal - resultat'!$F$5:$H$5,0)))),SUMPRODUCT((B144='Landbrugsareal - resultat'!$B$33:$B$46)*(INDEX('Landbrugsareal - resultat'!$I$33:$K$46,,MATCH(E144,'Landbrugsareal - resultat'!$I$5:$K$5,0)))))),IF(C144=2019,SUMPRODUCT((B144='Landbrugsareal - resultat'!$B$33:$B$46)*(INDEX('Landbrugsareal - resultat'!$L$33:$N$46,,MATCH(E144,'Landbrugsareal - resultat'!$L$5:$N$5,0)))),IF(C144=2030,SUMPRODUCT((B144='Landbrugsareal - resultat'!$B$33:$B$46)*(INDEX('Landbrugsareal - resultat'!$O$33:$Q$46,,MATCH(E144,'Landbrugsareal - resultat'!$O$5:$Q$5,0)))),SUMPRODUCT((B144='Landbrugsareal - resultat'!$B$33:$B$46)*(INDEX('Landbrugsareal - resultat'!$R$33:$T$46,,MATCH(E144,'Landbrugsareal - resultat'!$R$5:$T$5,0))))))))</f>
        <v>292.75894389626029</v>
      </c>
      <c r="H144" s="168">
        <f>G144*VLOOKUP(B144,[1]Afgrødedata!$A$5:$F$18,2,FALSE)*IF(D144="Økologisk",VLOOKUP(B144,[1]Afgrødedata!$A$5:$F$18,4,FALSE),1)*IF(E144&lt;&gt;Jordbund1,IF(E144=Organ6,VLOOKUP(B144,[1]Afgrødedata!$A$5:$F$18,5,FALSE),VLOOKUP(B144,[1]Afgrødedata!$A$5:$F$18,6,FALSE)),1)*0.1</f>
        <v>850.17197307473998</v>
      </c>
      <c r="I144" s="168">
        <f>G144*VLOOKUP(B144,[1]Afgrødedata!$A$5:$F$18,3,FALSE)*IF(D144="Økologisk",VLOOKUP(B144,[1]Afgrødedata!$A$5:$F$18,4,FALSE),1)*IF(E144&lt;&gt;Jordbund1,IF(E144=Organ6,VLOOKUP(B144,[1]Afgrødedata!$A$5:$F$18,5,FALSE),VLOOKUP(B144,[1]Afgrødedata!$A$5:$F$18,6,FALSE)),1)*HLOOKUP(C144,Landbrug!$C$15:$E$17,2,FALSE)*HLOOKUP(C144,Landbrug!$C$15:$E$17,3,FALSE)*0.1</f>
        <v>451.44131770268689</v>
      </c>
      <c r="J144" s="76">
        <f t="shared" si="29"/>
        <v>451.44131770268689</v>
      </c>
    </row>
    <row r="145" spans="1:10" x14ac:dyDescent="0.25">
      <c r="A145" t="s">
        <v>23</v>
      </c>
      <c r="B145" s="1" t="str">
        <f>[1]Afgrødefordeling!$C$5</f>
        <v>Græs</v>
      </c>
      <c r="C145">
        <v>2030</v>
      </c>
      <c r="D145" t="s">
        <v>8</v>
      </c>
      <c r="E145" s="168" t="str">
        <f t="shared" si="23"/>
        <v>OC6</v>
      </c>
      <c r="F145" t="str">
        <f t="shared" si="28"/>
        <v>Græs</v>
      </c>
      <c r="G145" s="76" cm="1">
        <f t="array" ref="G145">IF(A145="Vestdanmark",IF(D145="Konventionel",IF(C145=2019,SUMPRODUCT((B145='Landbrugsareal - resultat'!$B$6:$B$19)*(INDEX('Landbrugsareal - resultat'!$C$6:$E$19,,MATCH(E145,'Landbrugsareal - resultat'!$C$5:$E$5,0)))),IF(C145=2030,SUMPRODUCT((B145='Landbrugsareal - resultat'!$B$6:$B$19)*(INDEX('Landbrugsareal - resultat'!$F$6:$H$19,,MATCH(E145,'Landbrugsareal - resultat'!$F$5:$H$5,0)))),SUMPRODUCT((B145='Landbrugsareal - resultat'!$B$6:$B$19)*(INDEX('Landbrugsareal - resultat'!$I$6:$K$19,,MATCH(E145,'Landbrugsareal - resultat'!$I$5:$K$5,0)))))),IF(C145=2019,SUMPRODUCT((B145='Landbrugsareal - resultat'!$B$6:$B$19)*(INDEX('Landbrugsareal - resultat'!$L$6:$N$19,,MATCH(E145,'Landbrugsareal - resultat'!$L$5:$N$5,0)))),IF(C145=2030,SUMPRODUCT((B145='Landbrugsareal - resultat'!$B$6:$B$19)*(INDEX('Landbrugsareal - resultat'!$O$6:$Q$19,,MATCH(E145,'Landbrugsareal - resultat'!$O$5:$Q$5,0)))),SUMPRODUCT((B145='Landbrugsareal - resultat'!$B$6:$B$19)*(INDEX('Landbrugsareal - resultat'!$R$6:$T$19,,MATCH(E145,'Landbrugsareal - resultat'!$R$5:$T$5,0))))))),IF(D145="Konventionel",IF(C145=2019,SUMPRODUCT((B145='Landbrugsareal - resultat'!$B$33:$B$46)*(INDEX('Landbrugsareal - resultat'!$C$33:$E$46,,MATCH(E145,'Landbrugsareal - resultat'!$C$5:$E$5,0)))),IF(C145=2030,SUMPRODUCT((B145='Landbrugsareal - resultat'!$B$33:$B$46)*(INDEX('Landbrugsareal - resultat'!$F$33:$H$46,,MATCH(E145,'Landbrugsareal - resultat'!$F$5:$H$5,0)))),SUMPRODUCT((B145='Landbrugsareal - resultat'!$B$33:$B$46)*(INDEX('Landbrugsareal - resultat'!$I$33:$K$46,,MATCH(E145,'Landbrugsareal - resultat'!$I$5:$K$5,0)))))),IF(C145=2019,SUMPRODUCT((B145='Landbrugsareal - resultat'!$B$33:$B$46)*(INDEX('Landbrugsareal - resultat'!$L$33:$N$46,,MATCH(E145,'Landbrugsareal - resultat'!$L$5:$N$5,0)))),IF(C145=2030,SUMPRODUCT((B145='Landbrugsareal - resultat'!$B$33:$B$46)*(INDEX('Landbrugsareal - resultat'!$O$33:$Q$46,,MATCH(E145,'Landbrugsareal - resultat'!$O$5:$Q$5,0)))),SUMPRODUCT((B145='Landbrugsareal - resultat'!$B$33:$B$46)*(INDEX('Landbrugsareal - resultat'!$R$33:$T$46,,MATCH(E145,'Landbrugsareal - resultat'!$R$5:$T$5,0))))))))</f>
        <v>2701.6828719128071</v>
      </c>
      <c r="H145" s="168">
        <f>G145*VLOOKUP(B145,[1]Afgrødedata!$A$5:$F$18,2,FALSE)*IF(D145="Økologisk",VLOOKUP(B145,[1]Afgrødedata!$A$5:$F$18,4,FALSE),1)*IF(E145&lt;&gt;Jordbund1,IF(E145=Organ6,VLOOKUP(B145,[1]Afgrødedata!$A$5:$F$18,5,FALSE),VLOOKUP(B145,[1]Afgrødedata!$A$5:$F$18,6,FALSE)),1)*0.1</f>
        <v>125477.82384163742</v>
      </c>
      <c r="I145" s="168">
        <f>G145*VLOOKUP(B145,[1]Afgrødedata!$A$5:$F$18,3,FALSE)*IF(D145="Økologisk",VLOOKUP(B145,[1]Afgrødedata!$A$5:$F$18,4,FALSE),1)*IF(E145&lt;&gt;Jordbund1,IF(E145=Organ6,VLOOKUP(B145,[1]Afgrødedata!$A$5:$F$18,5,FALSE),VLOOKUP(B145,[1]Afgrødedata!$A$5:$F$18,6,FALSE)),1)*HLOOKUP(C145,Landbrug!$C$15:$E$17,2,FALSE)*HLOOKUP(C145,Landbrug!$C$15:$E$17,3,FALSE)*0.1</f>
        <v>0</v>
      </c>
      <c r="J145" s="76">
        <f t="shared" si="29"/>
        <v>125477.82384163742</v>
      </c>
    </row>
    <row r="146" spans="1:10" x14ac:dyDescent="0.25">
      <c r="A146" t="s">
        <v>23</v>
      </c>
      <c r="B146" s="1" t="str">
        <f>[1]Afgrødefordeling!$C$6</f>
        <v>Grøntsager</v>
      </c>
      <c r="C146">
        <v>2030</v>
      </c>
      <c r="D146" t="s">
        <v>8</v>
      </c>
      <c r="E146" s="168" t="str">
        <f t="shared" si="23"/>
        <v>OC6</v>
      </c>
      <c r="F146" t="str">
        <f t="shared" si="28"/>
        <v>Grøntsager</v>
      </c>
      <c r="G146" s="76" cm="1">
        <f t="array" ref="G146">IF(A146="Vestdanmark",IF(D146="Konventionel",IF(C146=2019,SUMPRODUCT((B146='Landbrugsareal - resultat'!$B$6:$B$19)*(INDEX('Landbrugsareal - resultat'!$C$6:$E$19,,MATCH(E146,'Landbrugsareal - resultat'!$C$5:$E$5,0)))),IF(C146=2030,SUMPRODUCT((B146='Landbrugsareal - resultat'!$B$6:$B$19)*(INDEX('Landbrugsareal - resultat'!$F$6:$H$19,,MATCH(E146,'Landbrugsareal - resultat'!$F$5:$H$5,0)))),SUMPRODUCT((B146='Landbrugsareal - resultat'!$B$6:$B$19)*(INDEX('Landbrugsareal - resultat'!$I$6:$K$19,,MATCH(E146,'Landbrugsareal - resultat'!$I$5:$K$5,0)))))),IF(C146=2019,SUMPRODUCT((B146='Landbrugsareal - resultat'!$B$6:$B$19)*(INDEX('Landbrugsareal - resultat'!$L$6:$N$19,,MATCH(E146,'Landbrugsareal - resultat'!$L$5:$N$5,0)))),IF(C146=2030,SUMPRODUCT((B146='Landbrugsareal - resultat'!$B$6:$B$19)*(INDEX('Landbrugsareal - resultat'!$O$6:$Q$19,,MATCH(E146,'Landbrugsareal - resultat'!$O$5:$Q$5,0)))),SUMPRODUCT((B146='Landbrugsareal - resultat'!$B$6:$B$19)*(INDEX('Landbrugsareal - resultat'!$R$6:$T$19,,MATCH(E146,'Landbrugsareal - resultat'!$R$5:$T$5,0))))))),IF(D146="Konventionel",IF(C146=2019,SUMPRODUCT((B146='Landbrugsareal - resultat'!$B$33:$B$46)*(INDEX('Landbrugsareal - resultat'!$C$33:$E$46,,MATCH(E146,'Landbrugsareal - resultat'!$C$5:$E$5,0)))),IF(C146=2030,SUMPRODUCT((B146='Landbrugsareal - resultat'!$B$33:$B$46)*(INDEX('Landbrugsareal - resultat'!$F$33:$H$46,,MATCH(E146,'Landbrugsareal - resultat'!$F$5:$H$5,0)))),SUMPRODUCT((B146='Landbrugsareal - resultat'!$B$33:$B$46)*(INDEX('Landbrugsareal - resultat'!$I$33:$K$46,,MATCH(E146,'Landbrugsareal - resultat'!$I$5:$K$5,0)))))),IF(C146=2019,SUMPRODUCT((B146='Landbrugsareal - resultat'!$B$33:$B$46)*(INDEX('Landbrugsareal - resultat'!$L$33:$N$46,,MATCH(E146,'Landbrugsareal - resultat'!$L$5:$N$5,0)))),IF(C146=2030,SUMPRODUCT((B146='Landbrugsareal - resultat'!$B$33:$B$46)*(INDEX('Landbrugsareal - resultat'!$O$33:$Q$46,,MATCH(E146,'Landbrugsareal - resultat'!$O$5:$Q$5,0)))),SUMPRODUCT((B146='Landbrugsareal - resultat'!$B$33:$B$46)*(INDEX('Landbrugsareal - resultat'!$R$33:$T$46,,MATCH(E146,'Landbrugsareal - resultat'!$R$5:$T$5,0))))))))</f>
        <v>12.635872413026226</v>
      </c>
      <c r="H146" s="168">
        <f>G146*VLOOKUP(B146,[1]Afgrødedata!$A$5:$F$18,2,FALSE)*IF(D146="Økologisk",VLOOKUP(B146,[1]Afgrødedata!$A$5:$F$18,4,FALSE),1)*IF(E146&lt;&gt;Jordbund1,IF(E146=Organ6,VLOOKUP(B146,[1]Afgrødedata!$A$5:$F$18,5,FALSE),VLOOKUP(B146,[1]Afgrødedata!$A$5:$F$18,6,FALSE)),1)*0.1</f>
        <v>179.34093715808123</v>
      </c>
      <c r="I146" s="168">
        <f>G146*VLOOKUP(B146,[1]Afgrødedata!$A$5:$F$18,3,FALSE)*IF(D146="Økologisk",VLOOKUP(B146,[1]Afgrødedata!$A$5:$F$18,4,FALSE),1)*IF(E146&lt;&gt;Jordbund1,IF(E146=Organ6,VLOOKUP(B146,[1]Afgrødedata!$A$5:$F$18,5,FALSE),VLOOKUP(B146,[1]Afgrødedata!$A$5:$F$18,6,FALSE)),1)*HLOOKUP(C146,Landbrug!$C$15:$E$17,2,FALSE)*HLOOKUP(C146,Landbrug!$C$15:$E$17,3,FALSE)*0.1</f>
        <v>0</v>
      </c>
      <c r="J146" s="76">
        <f t="shared" si="29"/>
        <v>179.34093715808123</v>
      </c>
    </row>
    <row r="147" spans="1:10" x14ac:dyDescent="0.25">
      <c r="A147" t="s">
        <v>23</v>
      </c>
      <c r="B147" s="1" t="str">
        <f>[1]Afgrødefordeling!$C$7</f>
        <v>Kartofler</v>
      </c>
      <c r="C147">
        <v>2030</v>
      </c>
      <c r="D147" t="s">
        <v>8</v>
      </c>
      <c r="E147" s="168" t="str">
        <f t="shared" si="23"/>
        <v>OC6</v>
      </c>
      <c r="F147" t="str">
        <f t="shared" si="28"/>
        <v>Kartofler</v>
      </c>
      <c r="G147" s="76" cm="1">
        <f t="array" ref="G147">IF(A147="Vestdanmark",IF(D147="Konventionel",IF(C147=2019,SUMPRODUCT((B147='Landbrugsareal - resultat'!$B$6:$B$19)*(INDEX('Landbrugsareal - resultat'!$C$6:$E$19,,MATCH(E147,'Landbrugsareal - resultat'!$C$5:$E$5,0)))),IF(C147=2030,SUMPRODUCT((B147='Landbrugsareal - resultat'!$B$6:$B$19)*(INDEX('Landbrugsareal - resultat'!$F$6:$H$19,,MATCH(E147,'Landbrugsareal - resultat'!$F$5:$H$5,0)))),SUMPRODUCT((B147='Landbrugsareal - resultat'!$B$6:$B$19)*(INDEX('Landbrugsareal - resultat'!$I$6:$K$19,,MATCH(E147,'Landbrugsareal - resultat'!$I$5:$K$5,0)))))),IF(C147=2019,SUMPRODUCT((B147='Landbrugsareal - resultat'!$B$6:$B$19)*(INDEX('Landbrugsareal - resultat'!$L$6:$N$19,,MATCH(E147,'Landbrugsareal - resultat'!$L$5:$N$5,0)))),IF(C147=2030,SUMPRODUCT((B147='Landbrugsareal - resultat'!$B$6:$B$19)*(INDEX('Landbrugsareal - resultat'!$O$6:$Q$19,,MATCH(E147,'Landbrugsareal - resultat'!$O$5:$Q$5,0)))),SUMPRODUCT((B147='Landbrugsareal - resultat'!$B$6:$B$19)*(INDEX('Landbrugsareal - resultat'!$R$6:$T$19,,MATCH(E147,'Landbrugsareal - resultat'!$R$5:$T$5,0))))))),IF(D147="Konventionel",IF(C147=2019,SUMPRODUCT((B147='Landbrugsareal - resultat'!$B$33:$B$46)*(INDEX('Landbrugsareal - resultat'!$C$33:$E$46,,MATCH(E147,'Landbrugsareal - resultat'!$C$5:$E$5,0)))),IF(C147=2030,SUMPRODUCT((B147='Landbrugsareal - resultat'!$B$33:$B$46)*(INDEX('Landbrugsareal - resultat'!$F$33:$H$46,,MATCH(E147,'Landbrugsareal - resultat'!$F$5:$H$5,0)))),SUMPRODUCT((B147='Landbrugsareal - resultat'!$B$33:$B$46)*(INDEX('Landbrugsareal - resultat'!$I$33:$K$46,,MATCH(E147,'Landbrugsareal - resultat'!$I$5:$K$5,0)))))),IF(C147=2019,SUMPRODUCT((B147='Landbrugsareal - resultat'!$B$33:$B$46)*(INDEX('Landbrugsareal - resultat'!$L$33:$N$46,,MATCH(E147,'Landbrugsareal - resultat'!$L$5:$N$5,0)))),IF(C147=2030,SUMPRODUCT((B147='Landbrugsareal - resultat'!$B$33:$B$46)*(INDEX('Landbrugsareal - resultat'!$O$33:$Q$46,,MATCH(E147,'Landbrugsareal - resultat'!$O$5:$Q$5,0)))),SUMPRODUCT((B147='Landbrugsareal - resultat'!$B$33:$B$46)*(INDEX('Landbrugsareal - resultat'!$R$33:$T$46,,MATCH(E147,'Landbrugsareal - resultat'!$R$5:$T$5,0))))))))</f>
        <v>199.48767441362287</v>
      </c>
      <c r="H147" s="168">
        <f>G147*VLOOKUP(B147,[1]Afgrødedata!$A$5:$F$18,2,FALSE)*IF(D147="Økologisk",VLOOKUP(B147,[1]Afgrødedata!$A$5:$F$18,4,FALSE),1)*IF(E147&lt;&gt;Jordbund1,IF(E147=Organ6,VLOOKUP(B147,[1]Afgrødedata!$A$5:$F$18,5,FALSE),VLOOKUP(B147,[1]Afgrødedata!$A$5:$F$18,6,FALSE)),1)*0.1</f>
        <v>5795.135940541878</v>
      </c>
      <c r="I147" s="168">
        <f>G147*VLOOKUP(B147,[1]Afgrødedata!$A$5:$F$18,3,FALSE)*IF(D147="Økologisk",VLOOKUP(B147,[1]Afgrødedata!$A$5:$F$18,4,FALSE),1)*IF(E147&lt;&gt;Jordbund1,IF(E147=Organ6,VLOOKUP(B147,[1]Afgrødedata!$A$5:$F$18,5,FALSE),VLOOKUP(B147,[1]Afgrødedata!$A$5:$F$18,6,FALSE)),1)*HLOOKUP(C147,Landbrug!$C$15:$E$17,2,FALSE)*HLOOKUP(C147,Landbrug!$C$15:$E$17,3,FALSE)*0.1</f>
        <v>0</v>
      </c>
      <c r="J147" s="76">
        <f t="shared" si="29"/>
        <v>5795.135940541878</v>
      </c>
    </row>
    <row r="148" spans="1:10" x14ac:dyDescent="0.25">
      <c r="A148" t="s">
        <v>23</v>
      </c>
      <c r="B148" s="1" t="str">
        <f>[1]Afgrødefordeling!$C$8</f>
        <v>Roer</v>
      </c>
      <c r="C148">
        <v>2030</v>
      </c>
      <c r="D148" t="s">
        <v>8</v>
      </c>
      <c r="E148" s="168" t="str">
        <f t="shared" si="23"/>
        <v>OC6</v>
      </c>
      <c r="F148" t="str">
        <f t="shared" si="28"/>
        <v>Roer</v>
      </c>
      <c r="G148" s="76" cm="1">
        <f t="array" ref="G148">IF(A148="Vestdanmark",IF(D148="Konventionel",IF(C148=2019,SUMPRODUCT((B148='Landbrugsareal - resultat'!$B$6:$B$19)*(INDEX('Landbrugsareal - resultat'!$C$6:$E$19,,MATCH(E148,'Landbrugsareal - resultat'!$C$5:$E$5,0)))),IF(C148=2030,SUMPRODUCT((B148='Landbrugsareal - resultat'!$B$6:$B$19)*(INDEX('Landbrugsareal - resultat'!$F$6:$H$19,,MATCH(E148,'Landbrugsareal - resultat'!$F$5:$H$5,0)))),SUMPRODUCT((B148='Landbrugsareal - resultat'!$B$6:$B$19)*(INDEX('Landbrugsareal - resultat'!$I$6:$K$19,,MATCH(E148,'Landbrugsareal - resultat'!$I$5:$K$5,0)))))),IF(C148=2019,SUMPRODUCT((B148='Landbrugsareal - resultat'!$B$6:$B$19)*(INDEX('Landbrugsareal - resultat'!$L$6:$N$19,,MATCH(E148,'Landbrugsareal - resultat'!$L$5:$N$5,0)))),IF(C148=2030,SUMPRODUCT((B148='Landbrugsareal - resultat'!$B$6:$B$19)*(INDEX('Landbrugsareal - resultat'!$O$6:$Q$19,,MATCH(E148,'Landbrugsareal - resultat'!$O$5:$Q$5,0)))),SUMPRODUCT((B148='Landbrugsareal - resultat'!$B$6:$B$19)*(INDEX('Landbrugsareal - resultat'!$R$6:$T$19,,MATCH(E148,'Landbrugsareal - resultat'!$R$5:$T$5,0))))))),IF(D148="Konventionel",IF(C148=2019,SUMPRODUCT((B148='Landbrugsareal - resultat'!$B$33:$B$46)*(INDEX('Landbrugsareal - resultat'!$C$33:$E$46,,MATCH(E148,'Landbrugsareal - resultat'!$C$5:$E$5,0)))),IF(C148=2030,SUMPRODUCT((B148='Landbrugsareal - resultat'!$B$33:$B$46)*(INDEX('Landbrugsareal - resultat'!$F$33:$H$46,,MATCH(E148,'Landbrugsareal - resultat'!$F$5:$H$5,0)))),SUMPRODUCT((B148='Landbrugsareal - resultat'!$B$33:$B$46)*(INDEX('Landbrugsareal - resultat'!$I$33:$K$46,,MATCH(E148,'Landbrugsareal - resultat'!$I$5:$K$5,0)))))),IF(C148=2019,SUMPRODUCT((B148='Landbrugsareal - resultat'!$B$33:$B$46)*(INDEX('Landbrugsareal - resultat'!$L$33:$N$46,,MATCH(E148,'Landbrugsareal - resultat'!$L$5:$N$5,0)))),IF(C148=2030,SUMPRODUCT((B148='Landbrugsareal - resultat'!$B$33:$B$46)*(INDEX('Landbrugsareal - resultat'!$O$33:$Q$46,,MATCH(E148,'Landbrugsareal - resultat'!$O$5:$Q$5,0)))),SUMPRODUCT((B148='Landbrugsareal - resultat'!$B$33:$B$46)*(INDEX('Landbrugsareal - resultat'!$R$33:$T$46,,MATCH(E148,'Landbrugsareal - resultat'!$R$5:$T$5,0))))))))</f>
        <v>5.2336228586503974</v>
      </c>
      <c r="H148" s="168">
        <f>G148*VLOOKUP(B148,[1]Afgrødedata!$A$5:$F$18,2,FALSE)*IF(D148="Økologisk",VLOOKUP(B148,[1]Afgrødedata!$A$5:$F$18,4,FALSE),1)*IF(E148&lt;&gt;Jordbund1,IF(E148=Organ6,VLOOKUP(B148,[1]Afgrødedata!$A$5:$F$18,5,FALSE),VLOOKUP(B148,[1]Afgrødedata!$A$5:$F$18,6,FALSE)),1)*0.1</f>
        <v>290.87194782485147</v>
      </c>
      <c r="I148" s="168">
        <f>G148*VLOOKUP(B148,[1]Afgrødedata!$A$5:$F$18,3,FALSE)*IF(D148="Økologisk",VLOOKUP(B148,[1]Afgrødedata!$A$5:$F$18,4,FALSE),1)*IF(E148&lt;&gt;Jordbund1,IF(E148=Organ6,VLOOKUP(B148,[1]Afgrødedata!$A$5:$F$18,5,FALSE),VLOOKUP(B148,[1]Afgrødedata!$A$5:$F$18,6,FALSE)),1)*HLOOKUP(C148,Landbrug!$C$15:$E$17,2,FALSE)*HLOOKUP(C148,Landbrug!$C$15:$E$17,3,FALSE)*0.1</f>
        <v>0</v>
      </c>
      <c r="J148" s="76">
        <f t="shared" si="29"/>
        <v>290.87194782485147</v>
      </c>
    </row>
    <row r="149" spans="1:10" x14ac:dyDescent="0.25">
      <c r="A149" t="s">
        <v>23</v>
      </c>
      <c r="B149" s="1" t="str">
        <f>[1]Afgrødefordeling!$C$9</f>
        <v>Majs</v>
      </c>
      <c r="C149">
        <v>2030</v>
      </c>
      <c r="D149" t="s">
        <v>8</v>
      </c>
      <c r="E149" s="168" t="str">
        <f t="shared" si="23"/>
        <v>OC6</v>
      </c>
      <c r="F149" t="str">
        <f t="shared" si="28"/>
        <v>Majs</v>
      </c>
      <c r="G149" s="76" cm="1">
        <f t="array" ref="G149">IF(A149="Vestdanmark",IF(D149="Konventionel",IF(C149=2019,SUMPRODUCT((B149='Landbrugsareal - resultat'!$B$6:$B$19)*(INDEX('Landbrugsareal - resultat'!$C$6:$E$19,,MATCH(E149,'Landbrugsareal - resultat'!$C$5:$E$5,0)))),IF(C149=2030,SUMPRODUCT((B149='Landbrugsareal - resultat'!$B$6:$B$19)*(INDEX('Landbrugsareal - resultat'!$F$6:$H$19,,MATCH(E149,'Landbrugsareal - resultat'!$F$5:$H$5,0)))),SUMPRODUCT((B149='Landbrugsareal - resultat'!$B$6:$B$19)*(INDEX('Landbrugsareal - resultat'!$I$6:$K$19,,MATCH(E149,'Landbrugsareal - resultat'!$I$5:$K$5,0)))))),IF(C149=2019,SUMPRODUCT((B149='Landbrugsareal - resultat'!$B$6:$B$19)*(INDEX('Landbrugsareal - resultat'!$L$6:$N$19,,MATCH(E149,'Landbrugsareal - resultat'!$L$5:$N$5,0)))),IF(C149=2030,SUMPRODUCT((B149='Landbrugsareal - resultat'!$B$6:$B$19)*(INDEX('Landbrugsareal - resultat'!$O$6:$Q$19,,MATCH(E149,'Landbrugsareal - resultat'!$O$5:$Q$5,0)))),SUMPRODUCT((B149='Landbrugsareal - resultat'!$B$6:$B$19)*(INDEX('Landbrugsareal - resultat'!$R$6:$T$19,,MATCH(E149,'Landbrugsareal - resultat'!$R$5:$T$5,0))))))),IF(D149="Konventionel",IF(C149=2019,SUMPRODUCT((B149='Landbrugsareal - resultat'!$B$33:$B$46)*(INDEX('Landbrugsareal - resultat'!$C$33:$E$46,,MATCH(E149,'Landbrugsareal - resultat'!$C$5:$E$5,0)))),IF(C149=2030,SUMPRODUCT((B149='Landbrugsareal - resultat'!$B$33:$B$46)*(INDEX('Landbrugsareal - resultat'!$F$33:$H$46,,MATCH(E149,'Landbrugsareal - resultat'!$F$5:$H$5,0)))),SUMPRODUCT((B149='Landbrugsareal - resultat'!$B$33:$B$46)*(INDEX('Landbrugsareal - resultat'!$I$33:$K$46,,MATCH(E149,'Landbrugsareal - resultat'!$I$5:$K$5,0)))))),IF(C149=2019,SUMPRODUCT((B149='Landbrugsareal - resultat'!$B$33:$B$46)*(INDEX('Landbrugsareal - resultat'!$L$33:$N$46,,MATCH(E149,'Landbrugsareal - resultat'!$L$5:$N$5,0)))),IF(C149=2030,SUMPRODUCT((B149='Landbrugsareal - resultat'!$B$33:$B$46)*(INDEX('Landbrugsareal - resultat'!$O$33:$Q$46,,MATCH(E149,'Landbrugsareal - resultat'!$O$5:$Q$5,0)))),SUMPRODUCT((B149='Landbrugsareal - resultat'!$B$33:$B$46)*(INDEX('Landbrugsareal - resultat'!$R$33:$T$46,,MATCH(E149,'Landbrugsareal - resultat'!$R$5:$T$5,0))))))))</f>
        <v>675.58206272343341</v>
      </c>
      <c r="H149" s="168">
        <f>G149*VLOOKUP(B149,[1]Afgrødedata!$A$5:$F$18,2,FALSE)*IF(D149="Økologisk",VLOOKUP(B149,[1]Afgrødedata!$A$5:$F$18,4,FALSE),1)*IF(E149&lt;&gt;Jordbund1,IF(E149=Organ6,VLOOKUP(B149,[1]Afgrødedata!$A$5:$F$18,5,FALSE),VLOOKUP(B149,[1]Afgrødedata!$A$5:$F$18,6,FALSE)),1)*0.1</f>
        <v>29949.876981372738</v>
      </c>
      <c r="I149" s="168">
        <f>G149*VLOOKUP(B149,[1]Afgrødedata!$A$5:$F$18,3,FALSE)*IF(D149="Økologisk",VLOOKUP(B149,[1]Afgrødedata!$A$5:$F$18,4,FALSE),1)*IF(E149&lt;&gt;Jordbund1,IF(E149=Organ6,VLOOKUP(B149,[1]Afgrødedata!$A$5:$F$18,5,FALSE),VLOOKUP(B149,[1]Afgrødedata!$A$5:$F$18,6,FALSE)),1)*HLOOKUP(C149,Landbrug!$C$15:$E$17,2,FALSE)*HLOOKUP(C149,Landbrug!$C$15:$E$17,3,FALSE)*0.1</f>
        <v>0</v>
      </c>
      <c r="J149" s="76">
        <f t="shared" si="29"/>
        <v>29949.876981372738</v>
      </c>
    </row>
    <row r="150" spans="1:10" x14ac:dyDescent="0.25">
      <c r="A150" t="s">
        <v>23</v>
      </c>
      <c r="B150" s="1" t="str">
        <f>[1]Afgrødefordeling!$C$10</f>
        <v>Frugt</v>
      </c>
      <c r="C150">
        <v>2030</v>
      </c>
      <c r="D150" t="s">
        <v>8</v>
      </c>
      <c r="E150" s="168" t="str">
        <f t="shared" ref="E150:E169" si="30">Organ6</f>
        <v>OC6</v>
      </c>
      <c r="F150" t="str">
        <f t="shared" si="28"/>
        <v>Frugt</v>
      </c>
      <c r="G150" s="76" cm="1">
        <f t="array" ref="G150">IF(A150="Vestdanmark",IF(D150="Konventionel",IF(C150=2019,SUMPRODUCT((B150='Landbrugsareal - resultat'!$B$6:$B$19)*(INDEX('Landbrugsareal - resultat'!$C$6:$E$19,,MATCH(E150,'Landbrugsareal - resultat'!$C$5:$E$5,0)))),IF(C150=2030,SUMPRODUCT((B150='Landbrugsareal - resultat'!$B$6:$B$19)*(INDEX('Landbrugsareal - resultat'!$F$6:$H$19,,MATCH(E150,'Landbrugsareal - resultat'!$F$5:$H$5,0)))),SUMPRODUCT((B150='Landbrugsareal - resultat'!$B$6:$B$19)*(INDEX('Landbrugsareal - resultat'!$I$6:$K$19,,MATCH(E150,'Landbrugsareal - resultat'!$I$5:$K$5,0)))))),IF(C150=2019,SUMPRODUCT((B150='Landbrugsareal - resultat'!$B$6:$B$19)*(INDEX('Landbrugsareal - resultat'!$L$6:$N$19,,MATCH(E150,'Landbrugsareal - resultat'!$L$5:$N$5,0)))),IF(C150=2030,SUMPRODUCT((B150='Landbrugsareal - resultat'!$B$6:$B$19)*(INDEX('Landbrugsareal - resultat'!$O$6:$Q$19,,MATCH(E150,'Landbrugsareal - resultat'!$O$5:$Q$5,0)))),SUMPRODUCT((B150='Landbrugsareal - resultat'!$B$6:$B$19)*(INDEX('Landbrugsareal - resultat'!$R$6:$T$19,,MATCH(E150,'Landbrugsareal - resultat'!$R$5:$T$5,0))))))),IF(D150="Konventionel",IF(C150=2019,SUMPRODUCT((B150='Landbrugsareal - resultat'!$B$33:$B$46)*(INDEX('Landbrugsareal - resultat'!$C$33:$E$46,,MATCH(E150,'Landbrugsareal - resultat'!$C$5:$E$5,0)))),IF(C150=2030,SUMPRODUCT((B150='Landbrugsareal - resultat'!$B$33:$B$46)*(INDEX('Landbrugsareal - resultat'!$F$33:$H$46,,MATCH(E150,'Landbrugsareal - resultat'!$F$5:$H$5,0)))),SUMPRODUCT((B150='Landbrugsareal - resultat'!$B$33:$B$46)*(INDEX('Landbrugsareal - resultat'!$I$33:$K$46,,MATCH(E150,'Landbrugsareal - resultat'!$I$5:$K$5,0)))))),IF(C150=2019,SUMPRODUCT((B150='Landbrugsareal - resultat'!$B$33:$B$46)*(INDEX('Landbrugsareal - resultat'!$L$33:$N$46,,MATCH(E150,'Landbrugsareal - resultat'!$L$5:$N$5,0)))),IF(C150=2030,SUMPRODUCT((B150='Landbrugsareal - resultat'!$B$33:$B$46)*(INDEX('Landbrugsareal - resultat'!$O$33:$Q$46,,MATCH(E150,'Landbrugsareal - resultat'!$O$5:$Q$5,0)))),SUMPRODUCT((B150='Landbrugsareal - resultat'!$B$33:$B$46)*(INDEX('Landbrugsareal - resultat'!$R$33:$T$46,,MATCH(E150,'Landbrugsareal - resultat'!$R$5:$T$5,0))))))))</f>
        <v>11.509121205978582</v>
      </c>
      <c r="H150" s="168">
        <f>G150*VLOOKUP(B150,[1]Afgrødedata!$A$5:$F$18,2,FALSE)*IF(D150="Økologisk",VLOOKUP(B150,[1]Afgrødedata!$A$5:$F$18,4,FALSE),1)*IF(E150&lt;&gt;Jordbund1,IF(E150=Organ6,VLOOKUP(B150,[1]Afgrødedata!$A$5:$F$18,5,FALSE),VLOOKUP(B150,[1]Afgrødedata!$A$5:$F$18,6,FALSE)),1)*0.1</f>
        <v>66.835308302510583</v>
      </c>
      <c r="I150" s="168">
        <f>G150*VLOOKUP(B150,[1]Afgrødedata!$A$5:$F$18,3,FALSE)*IF(D150="Økologisk",VLOOKUP(B150,[1]Afgrødedata!$A$5:$F$18,4,FALSE),1)*IF(E150&lt;&gt;Jordbund1,IF(E150=Organ6,VLOOKUP(B150,[1]Afgrødedata!$A$5:$F$18,5,FALSE),VLOOKUP(B150,[1]Afgrødedata!$A$5:$F$18,6,FALSE)),1)*HLOOKUP(C150,Landbrug!$C$15:$E$17,2,FALSE)*HLOOKUP(C150,Landbrug!$C$15:$E$17,3,FALSE)*0.1</f>
        <v>0</v>
      </c>
      <c r="J150" s="76">
        <f t="shared" si="29"/>
        <v>66.835308302510583</v>
      </c>
    </row>
    <row r="151" spans="1:10" x14ac:dyDescent="0.25">
      <c r="A151" t="s">
        <v>23</v>
      </c>
      <c r="B151" s="1" t="str">
        <f>[1]Afgrødefordeling!$C$11</f>
        <v>Øvrige</v>
      </c>
      <c r="C151">
        <v>2030</v>
      </c>
      <c r="D151" t="s">
        <v>8</v>
      </c>
      <c r="E151" s="168" t="str">
        <f t="shared" si="30"/>
        <v>OC6</v>
      </c>
      <c r="F151" t="str">
        <f t="shared" si="28"/>
        <v>Øvrige</v>
      </c>
      <c r="G151" s="76" cm="1">
        <f t="array" ref="G151">IF(A151="Vestdanmark",IF(D151="Konventionel",IF(C151=2019,SUMPRODUCT((B151='Landbrugsareal - resultat'!$B$6:$B$19)*(INDEX('Landbrugsareal - resultat'!$C$6:$E$19,,MATCH(E151,'Landbrugsareal - resultat'!$C$5:$E$5,0)))),IF(C151=2030,SUMPRODUCT((B151='Landbrugsareal - resultat'!$B$6:$B$19)*(INDEX('Landbrugsareal - resultat'!$F$6:$H$19,,MATCH(E151,'Landbrugsareal - resultat'!$F$5:$H$5,0)))),SUMPRODUCT((B151='Landbrugsareal - resultat'!$B$6:$B$19)*(INDEX('Landbrugsareal - resultat'!$I$6:$K$19,,MATCH(E151,'Landbrugsareal - resultat'!$I$5:$K$5,0)))))),IF(C151=2019,SUMPRODUCT((B151='Landbrugsareal - resultat'!$B$6:$B$19)*(INDEX('Landbrugsareal - resultat'!$L$6:$N$19,,MATCH(E151,'Landbrugsareal - resultat'!$L$5:$N$5,0)))),IF(C151=2030,SUMPRODUCT((B151='Landbrugsareal - resultat'!$B$6:$B$19)*(INDEX('Landbrugsareal - resultat'!$O$6:$Q$19,,MATCH(E151,'Landbrugsareal - resultat'!$O$5:$Q$5,0)))),SUMPRODUCT((B151='Landbrugsareal - resultat'!$B$6:$B$19)*(INDEX('Landbrugsareal - resultat'!$R$6:$T$19,,MATCH(E151,'Landbrugsareal - resultat'!$R$5:$T$5,0))))))),IF(D151="Konventionel",IF(C151=2019,SUMPRODUCT((B151='Landbrugsareal - resultat'!$B$33:$B$46)*(INDEX('Landbrugsareal - resultat'!$C$33:$E$46,,MATCH(E151,'Landbrugsareal - resultat'!$C$5:$E$5,0)))),IF(C151=2030,SUMPRODUCT((B151='Landbrugsareal - resultat'!$B$33:$B$46)*(INDEX('Landbrugsareal - resultat'!$F$33:$H$46,,MATCH(E151,'Landbrugsareal - resultat'!$F$5:$H$5,0)))),SUMPRODUCT((B151='Landbrugsareal - resultat'!$B$33:$B$46)*(INDEX('Landbrugsareal - resultat'!$I$33:$K$46,,MATCH(E151,'Landbrugsareal - resultat'!$I$5:$K$5,0)))))),IF(C151=2019,SUMPRODUCT((B151='Landbrugsareal - resultat'!$B$33:$B$46)*(INDEX('Landbrugsareal - resultat'!$L$33:$N$46,,MATCH(E151,'Landbrugsareal - resultat'!$L$5:$N$5,0)))),IF(C151=2030,SUMPRODUCT((B151='Landbrugsareal - resultat'!$B$33:$B$46)*(INDEX('Landbrugsareal - resultat'!$O$33:$Q$46,,MATCH(E151,'Landbrugsareal - resultat'!$O$5:$Q$5,0)))),SUMPRODUCT((B151='Landbrugsareal - resultat'!$B$33:$B$46)*(INDEX('Landbrugsareal - resultat'!$R$33:$T$46,,MATCH(E151,'Landbrugsareal - resultat'!$R$5:$T$5,0))))))))</f>
        <v>203.54918277586708</v>
      </c>
      <c r="H151" s="168">
        <f>G151*VLOOKUP(B151,[1]Afgrødedata!$A$5:$F$18,2,FALSE)*IF(D151="Økologisk",VLOOKUP(B151,[1]Afgrødedata!$A$5:$F$18,4,FALSE),1)*IF(E151&lt;&gt;Jordbund1,IF(E151=Organ6,VLOOKUP(B151,[1]Afgrødedata!$A$5:$F$18,5,FALSE),VLOOKUP(B151,[1]Afgrødedata!$A$5:$F$18,6,FALSE)),1)*0.1</f>
        <v>4148.4189265710211</v>
      </c>
      <c r="I151" s="168">
        <f>G151*VLOOKUP(B151,[1]Afgrødedata!$A$5:$F$18,3,FALSE)*IF(D151="Økologisk",VLOOKUP(B151,[1]Afgrødedata!$A$5:$F$18,4,FALSE),1)*IF(E151&lt;&gt;Jordbund1,IF(E151=Organ6,VLOOKUP(B151,[1]Afgrødedata!$A$5:$F$18,5,FALSE),VLOOKUP(B151,[1]Afgrødedata!$A$5:$F$18,6,FALSE)),1)*HLOOKUP(C151,Landbrug!$C$15:$E$17,2,FALSE)*HLOOKUP(C151,Landbrug!$C$15:$E$17,3,FALSE)*0.1</f>
        <v>0</v>
      </c>
      <c r="J151" s="76">
        <f t="shared" si="29"/>
        <v>4148.4189265710211</v>
      </c>
    </row>
    <row r="152" spans="1:10" x14ac:dyDescent="0.25">
      <c r="A152" t="s">
        <v>23</v>
      </c>
      <c r="B152" s="1" t="str">
        <f>[1]Afgrødefordeling!$C$12</f>
        <v>Frø</v>
      </c>
      <c r="C152">
        <v>2030</v>
      </c>
      <c r="D152" t="s">
        <v>8</v>
      </c>
      <c r="E152" s="168" t="str">
        <f t="shared" si="30"/>
        <v>OC6</v>
      </c>
      <c r="F152" t="str">
        <f t="shared" si="28"/>
        <v>Halm</v>
      </c>
      <c r="G152" s="76" cm="1">
        <f t="array" ref="G152">IF(A152="Vestdanmark",IF(D152="Konventionel",IF(C152=2019,SUMPRODUCT((B152='Landbrugsareal - resultat'!$B$6:$B$19)*(INDEX('Landbrugsareal - resultat'!$C$6:$E$19,,MATCH(E152,'Landbrugsareal - resultat'!$C$5:$E$5,0)))),IF(C152=2030,SUMPRODUCT((B152='Landbrugsareal - resultat'!$B$6:$B$19)*(INDEX('Landbrugsareal - resultat'!$F$6:$H$19,,MATCH(E152,'Landbrugsareal - resultat'!$F$5:$H$5,0)))),SUMPRODUCT((B152='Landbrugsareal - resultat'!$B$6:$B$19)*(INDEX('Landbrugsareal - resultat'!$I$6:$K$19,,MATCH(E152,'Landbrugsareal - resultat'!$I$5:$K$5,0)))))),IF(C152=2019,SUMPRODUCT((B152='Landbrugsareal - resultat'!$B$6:$B$19)*(INDEX('Landbrugsareal - resultat'!$L$6:$N$19,,MATCH(E152,'Landbrugsareal - resultat'!$L$5:$N$5,0)))),IF(C152=2030,SUMPRODUCT((B152='Landbrugsareal - resultat'!$B$6:$B$19)*(INDEX('Landbrugsareal - resultat'!$O$6:$Q$19,,MATCH(E152,'Landbrugsareal - resultat'!$O$5:$Q$5,0)))),SUMPRODUCT((B152='Landbrugsareal - resultat'!$B$6:$B$19)*(INDEX('Landbrugsareal - resultat'!$R$6:$T$19,,MATCH(E152,'Landbrugsareal - resultat'!$R$5:$T$5,0))))))),IF(D152="Konventionel",IF(C152=2019,SUMPRODUCT((B152='Landbrugsareal - resultat'!$B$33:$B$46)*(INDEX('Landbrugsareal - resultat'!$C$33:$E$46,,MATCH(E152,'Landbrugsareal - resultat'!$C$5:$E$5,0)))),IF(C152=2030,SUMPRODUCT((B152='Landbrugsareal - resultat'!$B$33:$B$46)*(INDEX('Landbrugsareal - resultat'!$F$33:$H$46,,MATCH(E152,'Landbrugsareal - resultat'!$F$5:$H$5,0)))),SUMPRODUCT((B152='Landbrugsareal - resultat'!$B$33:$B$46)*(INDEX('Landbrugsareal - resultat'!$I$33:$K$46,,MATCH(E152,'Landbrugsareal - resultat'!$I$5:$K$5,0)))))),IF(C152=2019,SUMPRODUCT((B152='Landbrugsareal - resultat'!$B$33:$B$46)*(INDEX('Landbrugsareal - resultat'!$L$33:$N$46,,MATCH(E152,'Landbrugsareal - resultat'!$L$5:$N$5,0)))),IF(C152=2030,SUMPRODUCT((B152='Landbrugsareal - resultat'!$B$33:$B$46)*(INDEX('Landbrugsareal - resultat'!$O$33:$Q$46,,MATCH(E152,'Landbrugsareal - resultat'!$O$5:$Q$5,0)))),SUMPRODUCT((B152='Landbrugsareal - resultat'!$B$33:$B$46)*(INDEX('Landbrugsareal - resultat'!$R$33:$T$46,,MATCH(E152,'Landbrugsareal - resultat'!$R$5:$T$5,0))))))))</f>
        <v>502.41940957525651</v>
      </c>
      <c r="H152" s="168">
        <f>G152*VLOOKUP(B152,[1]Afgrødedata!$A$5:$F$18,2,FALSE)*IF(D152="Økologisk",VLOOKUP(B152,[1]Afgrødedata!$A$5:$F$18,4,FALSE),1)*IF(E152&lt;&gt;Jordbund1,IF(E152=Organ6,VLOOKUP(B152,[1]Afgrødedata!$A$5:$F$18,5,FALSE),VLOOKUP(B152,[1]Afgrødedata!$A$5:$F$18,6,FALSE)),1)*0.1</f>
        <v>4910.4366746208962</v>
      </c>
      <c r="I152" s="168">
        <f>G152*VLOOKUP(B152,[1]Afgrødedata!$A$5:$F$18,3,FALSE)*IF(D152="Økologisk",VLOOKUP(B152,[1]Afgrødedata!$A$5:$F$18,4,FALSE),1)*IF(E152&lt;&gt;Jordbund1,IF(E152=Organ6,VLOOKUP(B152,[1]Afgrødedata!$A$5:$F$18,5,FALSE),VLOOKUP(B152,[1]Afgrødedata!$A$5:$F$18,6,FALSE)),1)*HLOOKUP(C152,Landbrug!$C$15:$E$17,2,FALSE)*HLOOKUP(C152,Landbrug!$C$15:$E$17,3,FALSE)*0.1</f>
        <v>811.02550771276185</v>
      </c>
      <c r="J152" s="76">
        <f t="shared" si="29"/>
        <v>811.02550771276185</v>
      </c>
    </row>
    <row r="153" spans="1:10" x14ac:dyDescent="0.25">
      <c r="A153" t="s">
        <v>23</v>
      </c>
      <c r="B153" s="1" t="str">
        <f>[1]Afgrødefordeling!$C$13</f>
        <v>Juletræer</v>
      </c>
      <c r="C153">
        <v>2030</v>
      </c>
      <c r="D153" t="s">
        <v>8</v>
      </c>
      <c r="E153" s="168" t="str">
        <f t="shared" si="30"/>
        <v>OC6</v>
      </c>
      <c r="F153" t="str">
        <f t="shared" si="28"/>
        <v>Juletræer</v>
      </c>
      <c r="G153" s="76" cm="1">
        <f t="array" ref="G153">IF(A153="Vestdanmark",IF(D153="Konventionel",IF(C153=2019,SUMPRODUCT((B153='Landbrugsareal - resultat'!$B$6:$B$19)*(INDEX('Landbrugsareal - resultat'!$C$6:$E$19,,MATCH(E153,'Landbrugsareal - resultat'!$C$5:$E$5,0)))),IF(C153=2030,SUMPRODUCT((B153='Landbrugsareal - resultat'!$B$6:$B$19)*(INDEX('Landbrugsareal - resultat'!$F$6:$H$19,,MATCH(E153,'Landbrugsareal - resultat'!$F$5:$H$5,0)))),SUMPRODUCT((B153='Landbrugsareal - resultat'!$B$6:$B$19)*(INDEX('Landbrugsareal - resultat'!$I$6:$K$19,,MATCH(E153,'Landbrugsareal - resultat'!$I$5:$K$5,0)))))),IF(C153=2019,SUMPRODUCT((B153='Landbrugsareal - resultat'!$B$6:$B$19)*(INDEX('Landbrugsareal - resultat'!$L$6:$N$19,,MATCH(E153,'Landbrugsareal - resultat'!$L$5:$N$5,0)))),IF(C153=2030,SUMPRODUCT((B153='Landbrugsareal - resultat'!$B$6:$B$19)*(INDEX('Landbrugsareal - resultat'!$O$6:$Q$19,,MATCH(E153,'Landbrugsareal - resultat'!$O$5:$Q$5,0)))),SUMPRODUCT((B153='Landbrugsareal - resultat'!$B$6:$B$19)*(INDEX('Landbrugsareal - resultat'!$R$6:$T$19,,MATCH(E153,'Landbrugsareal - resultat'!$R$5:$T$5,0))))))),IF(D153="Konventionel",IF(C153=2019,SUMPRODUCT((B153='Landbrugsareal - resultat'!$B$33:$B$46)*(INDEX('Landbrugsareal - resultat'!$C$33:$E$46,,MATCH(E153,'Landbrugsareal - resultat'!$C$5:$E$5,0)))),IF(C153=2030,SUMPRODUCT((B153='Landbrugsareal - resultat'!$B$33:$B$46)*(INDEX('Landbrugsareal - resultat'!$F$33:$H$46,,MATCH(E153,'Landbrugsareal - resultat'!$F$5:$H$5,0)))),SUMPRODUCT((B153='Landbrugsareal - resultat'!$B$33:$B$46)*(INDEX('Landbrugsareal - resultat'!$I$33:$K$46,,MATCH(E153,'Landbrugsareal - resultat'!$I$5:$K$5,0)))))),IF(C153=2019,SUMPRODUCT((B153='Landbrugsareal - resultat'!$B$33:$B$46)*(INDEX('Landbrugsareal - resultat'!$L$33:$N$46,,MATCH(E153,'Landbrugsareal - resultat'!$L$5:$N$5,0)))),IF(C153=2030,SUMPRODUCT((B153='Landbrugsareal - resultat'!$B$33:$B$46)*(INDEX('Landbrugsareal - resultat'!$O$33:$Q$46,,MATCH(E153,'Landbrugsareal - resultat'!$O$5:$Q$5,0)))),SUMPRODUCT((B153='Landbrugsareal - resultat'!$B$33:$B$46)*(INDEX('Landbrugsareal - resultat'!$R$33:$T$46,,MATCH(E153,'Landbrugsareal - resultat'!$R$5:$T$5,0))))))))</f>
        <v>57.724504286980661</v>
      </c>
      <c r="H153" s="168">
        <f>G153*VLOOKUP(B153,[1]Afgrødedata!$A$5:$F$18,2,FALSE)*IF(D153="Økologisk",VLOOKUP(B153,[1]Afgrødedata!$A$5:$F$18,4,FALSE),1)*IF(E153&lt;&gt;Jordbund1,IF(E153=Organ6,VLOOKUP(B153,[1]Afgrødedata!$A$5:$F$18,5,FALSE),VLOOKUP(B153,[1]Afgrødedata!$A$5:$F$18,6,FALSE)),1)*0.1</f>
        <v>1974.1780466147386</v>
      </c>
      <c r="I153" s="168">
        <f>G153*VLOOKUP(B153,[1]Afgrødedata!$A$5:$F$18,3,FALSE)*IF(D153="Økologisk",VLOOKUP(B153,[1]Afgrødedata!$A$5:$F$18,4,FALSE),1)*IF(E153&lt;&gt;Jordbund1,IF(E153=Organ6,VLOOKUP(B153,[1]Afgrødedata!$A$5:$F$18,5,FALSE),VLOOKUP(B153,[1]Afgrødedata!$A$5:$F$18,6,FALSE)),1)*HLOOKUP(C153,Landbrug!$C$15:$E$17,2,FALSE)*HLOOKUP(C153,Landbrug!$C$15:$E$17,3,FALSE)*0.1</f>
        <v>0</v>
      </c>
      <c r="J153" s="76">
        <f t="shared" si="29"/>
        <v>1974.1780466147386</v>
      </c>
    </row>
    <row r="154" spans="1:10" x14ac:dyDescent="0.25">
      <c r="A154" t="s">
        <v>23</v>
      </c>
      <c r="B154" s="1" t="str">
        <f>[1]Afgrødefordeling!$C$14</f>
        <v>Pil &amp; poppel</v>
      </c>
      <c r="C154">
        <v>2030</v>
      </c>
      <c r="D154" t="s">
        <v>8</v>
      </c>
      <c r="E154" s="168" t="str">
        <f t="shared" si="30"/>
        <v>OC6</v>
      </c>
      <c r="F154" t="str">
        <f t="shared" ref="F154" si="31">IF(I154&lt;&gt;0,"Halm",IF(B154&lt;&gt;"Permanent græs",B154,"Græs"))</f>
        <v>Pil &amp; poppel</v>
      </c>
      <c r="G154" s="76" cm="1">
        <f t="array" ref="G154">IF(A154="Vestdanmark",IF(D154="Konventionel",IF(C154=2019,SUMPRODUCT((B154='Landbrugsareal - resultat'!$B$6:$B$19)*(INDEX('Landbrugsareal - resultat'!$C$6:$E$19,,MATCH(E154,'Landbrugsareal - resultat'!$C$5:$E$5,0)))),IF(C154=2030,SUMPRODUCT((B154='Landbrugsareal - resultat'!$B$6:$B$19)*(INDEX('Landbrugsareal - resultat'!$F$6:$H$19,,MATCH(E154,'Landbrugsareal - resultat'!$F$5:$H$5,0)))),SUMPRODUCT((B154='Landbrugsareal - resultat'!$B$6:$B$19)*(INDEX('Landbrugsareal - resultat'!$I$6:$K$19,,MATCH(E154,'Landbrugsareal - resultat'!$I$5:$K$5,0)))))),IF(C154=2019,SUMPRODUCT((B154='Landbrugsareal - resultat'!$B$6:$B$19)*(INDEX('Landbrugsareal - resultat'!$L$6:$N$19,,MATCH(E154,'Landbrugsareal - resultat'!$L$5:$N$5,0)))),IF(C154=2030,SUMPRODUCT((B154='Landbrugsareal - resultat'!$B$6:$B$19)*(INDEX('Landbrugsareal - resultat'!$O$6:$Q$19,,MATCH(E154,'Landbrugsareal - resultat'!$O$5:$Q$5,0)))),SUMPRODUCT((B154='Landbrugsareal - resultat'!$B$6:$B$19)*(INDEX('Landbrugsareal - resultat'!$R$6:$T$19,,MATCH(E154,'Landbrugsareal - resultat'!$R$5:$T$5,0))))))),IF(D154="Konventionel",IF(C154=2019,SUMPRODUCT((B154='Landbrugsareal - resultat'!$B$33:$B$46)*(INDEX('Landbrugsareal - resultat'!$C$33:$E$46,,MATCH(E154,'Landbrugsareal - resultat'!$C$5:$E$5,0)))),IF(C154=2030,SUMPRODUCT((B154='Landbrugsareal - resultat'!$B$33:$B$46)*(INDEX('Landbrugsareal - resultat'!$F$33:$H$46,,MATCH(E154,'Landbrugsareal - resultat'!$F$5:$H$5,0)))),SUMPRODUCT((B154='Landbrugsareal - resultat'!$B$33:$B$46)*(INDEX('Landbrugsareal - resultat'!$I$33:$K$46,,MATCH(E154,'Landbrugsareal - resultat'!$I$5:$K$5,0)))))),IF(C154=2019,SUMPRODUCT((B154='Landbrugsareal - resultat'!$B$33:$B$46)*(INDEX('Landbrugsareal - resultat'!$L$33:$N$46,,MATCH(E154,'Landbrugsareal - resultat'!$L$5:$N$5,0)))),IF(C154=2030,SUMPRODUCT((B154='Landbrugsareal - resultat'!$B$33:$B$46)*(INDEX('Landbrugsareal - resultat'!$O$33:$Q$46,,MATCH(E154,'Landbrugsareal - resultat'!$O$5:$Q$5,0)))),SUMPRODUCT((B154='Landbrugsareal - resultat'!$B$33:$B$46)*(INDEX('Landbrugsareal - resultat'!$R$33:$T$46,,MATCH(E154,'Landbrugsareal - resultat'!$R$5:$T$5,0))))))))</f>
        <v>94.804921473331831</v>
      </c>
      <c r="H154" s="168">
        <f>G154*VLOOKUP(B154,[1]Afgrødedata!$A$5:$F$18,2,FALSE)*IF(D154="Økologisk",VLOOKUP(B154,[1]Afgrødedata!$A$5:$F$18,4,FALSE),1)*IF(E154&lt;&gt;Jordbund1,IF(E154=Organ6,VLOOKUP(B154,[1]Afgrødedata!$A$5:$F$18,5,FALSE),VLOOKUP(B154,[1]Afgrødedata!$A$5:$F$18,6,FALSE)),1)*0.1</f>
        <v>1581.6235679941212</v>
      </c>
      <c r="I154" s="168">
        <f>G154*VLOOKUP(B154,[1]Afgrødedata!$A$5:$F$18,3,FALSE)*IF(D154="Økologisk",VLOOKUP(B154,[1]Afgrødedata!$A$5:$F$18,4,FALSE),1)*IF(E154&lt;&gt;Jordbund1,IF(E154=Organ6,VLOOKUP(B154,[1]Afgrødedata!$A$5:$F$18,5,FALSE),VLOOKUP(B154,[1]Afgrødedata!$A$5:$F$18,6,FALSE)),1)*HLOOKUP(C154,Landbrug!$C$15:$E$17,2,FALSE)*HLOOKUP(C154,Landbrug!$C$15:$E$17,3,FALSE)*0.1</f>
        <v>0</v>
      </c>
      <c r="J154" s="76">
        <f t="shared" ref="J154" si="32">IF(I154&lt;&gt;0,I154,H154)</f>
        <v>1581.6235679941212</v>
      </c>
    </row>
    <row r="155" spans="1:10" x14ac:dyDescent="0.25">
      <c r="A155" t="s">
        <v>23</v>
      </c>
      <c r="B155" s="1" t="str">
        <f>[1]Afgrødefordeling!$C$15</f>
        <v>Permanent græs</v>
      </c>
      <c r="C155">
        <v>2030</v>
      </c>
      <c r="D155" t="s">
        <v>8</v>
      </c>
      <c r="E155" s="168" t="str">
        <f t="shared" si="30"/>
        <v>OC6</v>
      </c>
      <c r="F155" t="str">
        <f t="shared" si="28"/>
        <v>Græs</v>
      </c>
      <c r="G155" s="76" cm="1">
        <f t="array" ref="G155">IF(A155="Vestdanmark",IF(D155="Konventionel",IF(C155=2019,SUMPRODUCT((B155='Landbrugsareal - resultat'!$B$6:$B$19)*(INDEX('Landbrugsareal - resultat'!$C$6:$E$19,,MATCH(E155,'Landbrugsareal - resultat'!$C$5:$E$5,0)))),IF(C155=2030,SUMPRODUCT((B155='Landbrugsareal - resultat'!$B$6:$B$19)*(INDEX('Landbrugsareal - resultat'!$F$6:$H$19,,MATCH(E155,'Landbrugsareal - resultat'!$F$5:$H$5,0)))),SUMPRODUCT((B155='Landbrugsareal - resultat'!$B$6:$B$19)*(INDEX('Landbrugsareal - resultat'!$I$6:$K$19,,MATCH(E155,'Landbrugsareal - resultat'!$I$5:$K$5,0)))))),IF(C155=2019,SUMPRODUCT((B155='Landbrugsareal - resultat'!$B$6:$B$19)*(INDEX('Landbrugsareal - resultat'!$L$6:$N$19,,MATCH(E155,'Landbrugsareal - resultat'!$L$5:$N$5,0)))),IF(C155=2030,SUMPRODUCT((B155='Landbrugsareal - resultat'!$B$6:$B$19)*(INDEX('Landbrugsareal - resultat'!$O$6:$Q$19,,MATCH(E155,'Landbrugsareal - resultat'!$O$5:$Q$5,0)))),SUMPRODUCT((B155='Landbrugsareal - resultat'!$B$6:$B$19)*(INDEX('Landbrugsareal - resultat'!$R$6:$T$19,,MATCH(E155,'Landbrugsareal - resultat'!$R$5:$T$5,0))))))),IF(D155="Konventionel",IF(C155=2019,SUMPRODUCT((B155='Landbrugsareal - resultat'!$B$33:$B$46)*(INDEX('Landbrugsareal - resultat'!$C$33:$E$46,,MATCH(E155,'Landbrugsareal - resultat'!$C$5:$E$5,0)))),IF(C155=2030,SUMPRODUCT((B155='Landbrugsareal - resultat'!$B$33:$B$46)*(INDEX('Landbrugsareal - resultat'!$F$33:$H$46,,MATCH(E155,'Landbrugsareal - resultat'!$F$5:$H$5,0)))),SUMPRODUCT((B155='Landbrugsareal - resultat'!$B$33:$B$46)*(INDEX('Landbrugsareal - resultat'!$I$33:$K$46,,MATCH(E155,'Landbrugsareal - resultat'!$I$5:$K$5,0)))))),IF(C155=2019,SUMPRODUCT((B155='Landbrugsareal - resultat'!$B$33:$B$46)*(INDEX('Landbrugsareal - resultat'!$L$33:$N$46,,MATCH(E155,'Landbrugsareal - resultat'!$L$5:$N$5,0)))),IF(C155=2030,SUMPRODUCT((B155='Landbrugsareal - resultat'!$B$33:$B$46)*(INDEX('Landbrugsareal - resultat'!$O$33:$Q$46,,MATCH(E155,'Landbrugsareal - resultat'!$O$5:$Q$5,0)))),SUMPRODUCT((B155='Landbrugsareal - resultat'!$B$33:$B$46)*(INDEX('Landbrugsareal - resultat'!$R$33:$T$46,,MATCH(E155,'Landbrugsareal - resultat'!$R$5:$T$5,0))))))))</f>
        <v>2679.6672690561372</v>
      </c>
      <c r="H155" s="168">
        <f>G155*VLOOKUP(B155,[1]Afgrødedata!$A$5:$F$18,2,FALSE)*IF(D155="Økologisk",VLOOKUP(B155,[1]Afgrødedata!$A$5:$F$18,4,FALSE),1)*IF(E155&lt;&gt;Jordbund1,IF(E155=Organ6,VLOOKUP(B155,[1]Afgrødedata!$A$5:$F$18,5,FALSE),VLOOKUP(B155,[1]Afgrødedata!$A$5:$F$18,6,FALSE)),1)*0.1</f>
        <v>44343.133968340961</v>
      </c>
      <c r="I155" s="168">
        <f>G155*VLOOKUP(B155,[1]Afgrødedata!$A$5:$F$18,3,FALSE)*IF(D155="Økologisk",VLOOKUP(B155,[1]Afgrødedata!$A$5:$F$18,4,FALSE),1)*IF(E155&lt;&gt;Jordbund1,IF(E155=Organ6,VLOOKUP(B155,[1]Afgrødedata!$A$5:$F$18,5,FALSE),VLOOKUP(B155,[1]Afgrødedata!$A$5:$F$18,6,FALSE)),1)*HLOOKUP(C155,Landbrug!$C$15:$E$17,2,FALSE)*HLOOKUP(C155,Landbrug!$C$15:$E$17,3,FALSE)*0.1</f>
        <v>0</v>
      </c>
      <c r="J155" s="76">
        <f t="shared" si="29"/>
        <v>44343.133968340961</v>
      </c>
    </row>
    <row r="156" spans="1:10" x14ac:dyDescent="0.25">
      <c r="A156" t="s">
        <v>23</v>
      </c>
      <c r="B156" s="1" t="str">
        <f>[1]Afgrødefordeling!$C$2</f>
        <v>Korn</v>
      </c>
      <c r="C156">
        <v>2050</v>
      </c>
      <c r="D156" t="s">
        <v>8</v>
      </c>
      <c r="E156" s="168" t="str">
        <f t="shared" si="30"/>
        <v>OC6</v>
      </c>
      <c r="F156" t="str">
        <f t="shared" si="28"/>
        <v>Halm</v>
      </c>
      <c r="G156" s="76" cm="1">
        <f t="array" ref="G156">IF(A156="Vestdanmark",IF(D156="Konventionel",IF(C156=2019,SUMPRODUCT((B156='Landbrugsareal - resultat'!$B$6:$B$19)*(INDEX('Landbrugsareal - resultat'!$C$6:$E$19,,MATCH(E156,'Landbrugsareal - resultat'!$C$5:$E$5,0)))),IF(C156=2030,SUMPRODUCT((B156='Landbrugsareal - resultat'!$B$6:$B$19)*(INDEX('Landbrugsareal - resultat'!$F$6:$H$19,,MATCH(E156,'Landbrugsareal - resultat'!$F$5:$H$5,0)))),SUMPRODUCT((B156='Landbrugsareal - resultat'!$B$6:$B$19)*(INDEX('Landbrugsareal - resultat'!$I$6:$K$19,,MATCH(E156,'Landbrugsareal - resultat'!$I$5:$K$5,0)))))),IF(C156=2019,SUMPRODUCT((B156='Landbrugsareal - resultat'!$B$6:$B$19)*(INDEX('Landbrugsareal - resultat'!$L$6:$N$19,,MATCH(E156,'Landbrugsareal - resultat'!$L$5:$N$5,0)))),IF(C156=2030,SUMPRODUCT((B156='Landbrugsareal - resultat'!$B$6:$B$19)*(INDEX('Landbrugsareal - resultat'!$O$6:$Q$19,,MATCH(E156,'Landbrugsareal - resultat'!$O$5:$Q$5,0)))),SUMPRODUCT((B156='Landbrugsareal - resultat'!$B$6:$B$19)*(INDEX('Landbrugsareal - resultat'!$R$6:$T$19,,MATCH(E156,'Landbrugsareal - resultat'!$R$5:$T$5,0))))))),IF(D156="Konventionel",IF(C156=2019,SUMPRODUCT((B156='Landbrugsareal - resultat'!$B$33:$B$46)*(INDEX('Landbrugsareal - resultat'!$C$33:$E$46,,MATCH(E156,'Landbrugsareal - resultat'!$C$5:$E$5,0)))),IF(C156=2030,SUMPRODUCT((B156='Landbrugsareal - resultat'!$B$33:$B$46)*(INDEX('Landbrugsareal - resultat'!$F$33:$H$46,,MATCH(E156,'Landbrugsareal - resultat'!$F$5:$H$5,0)))),SUMPRODUCT((B156='Landbrugsareal - resultat'!$B$33:$B$46)*(INDEX('Landbrugsareal - resultat'!$I$33:$K$46,,MATCH(E156,'Landbrugsareal - resultat'!$I$5:$K$5,0)))))),IF(C156=2019,SUMPRODUCT((B156='Landbrugsareal - resultat'!$B$33:$B$46)*(INDEX('Landbrugsareal - resultat'!$L$33:$N$46,,MATCH(E156,'Landbrugsareal - resultat'!$L$5:$N$5,0)))),IF(C156=2030,SUMPRODUCT((B156='Landbrugsareal - resultat'!$B$33:$B$46)*(INDEX('Landbrugsareal - resultat'!$O$33:$Q$46,,MATCH(E156,'Landbrugsareal - resultat'!$O$5:$Q$5,0)))),SUMPRODUCT((B156='Landbrugsareal - resultat'!$B$33:$B$46)*(INDEX('Landbrugsareal - resultat'!$R$33:$T$46,,MATCH(E156,'Landbrugsareal - resultat'!$R$5:$T$5,0))))))))</f>
        <v>4134.3717924322873</v>
      </c>
      <c r="H156" s="168">
        <f>G156*VLOOKUP(B156,[1]Afgrødedata!$A$5:$F$18,2,FALSE)*IF(D156="Økologisk",VLOOKUP(B156,[1]Afgrødedata!$A$5:$F$18,4,FALSE),1)*IF(E156&lt;&gt;Jordbund1,IF(E156=Organ6,VLOOKUP(B156,[1]Afgrødedata!$A$5:$F$18,5,FALSE),VLOOKUP(B156,[1]Afgrødedata!$A$5:$F$18,6,FALSE)),1)*0.1</f>
        <v>23301.484797020068</v>
      </c>
      <c r="I156" s="168">
        <f>G156*VLOOKUP(B156,[1]Afgrødedata!$A$5:$F$18,3,FALSE)*IF(D156="Økologisk",VLOOKUP(B156,[1]Afgrødedata!$A$5:$F$18,4,FALSE),1)*IF(E156&lt;&gt;Jordbund1,IF(E156=Organ6,VLOOKUP(B156,[1]Afgrødedata!$A$5:$F$18,5,FALSE),VLOOKUP(B156,[1]Afgrødedata!$A$5:$F$18,6,FALSE)),1)*HLOOKUP(C156,Landbrug!$C$15:$E$17,2,FALSE)*HLOOKUP(C156,Landbrug!$C$15:$E$17,3,FALSE)*0.1</f>
        <v>7561.3318166330127</v>
      </c>
      <c r="J156" s="76">
        <f t="shared" si="29"/>
        <v>7561.3318166330127</v>
      </c>
    </row>
    <row r="157" spans="1:10" x14ac:dyDescent="0.25">
      <c r="A157" t="s">
        <v>23</v>
      </c>
      <c r="B157" s="1" t="str">
        <f>[1]Afgrødefordeling!$C$3</f>
        <v>Bælgsæd</v>
      </c>
      <c r="C157">
        <v>2050</v>
      </c>
      <c r="D157" t="s">
        <v>8</v>
      </c>
      <c r="E157" s="168" t="str">
        <f t="shared" si="30"/>
        <v>OC6</v>
      </c>
      <c r="F157" t="str">
        <f t="shared" si="28"/>
        <v>Halm</v>
      </c>
      <c r="G157" s="76" cm="1">
        <f t="array" ref="G157">IF(A157="Vestdanmark",IF(D157="Konventionel",IF(C157=2019,SUMPRODUCT((B157='Landbrugsareal - resultat'!$B$6:$B$19)*(INDEX('Landbrugsareal - resultat'!$C$6:$E$19,,MATCH(E157,'Landbrugsareal - resultat'!$C$5:$E$5,0)))),IF(C157=2030,SUMPRODUCT((B157='Landbrugsareal - resultat'!$B$6:$B$19)*(INDEX('Landbrugsareal - resultat'!$F$6:$H$19,,MATCH(E157,'Landbrugsareal - resultat'!$F$5:$H$5,0)))),SUMPRODUCT((B157='Landbrugsareal - resultat'!$B$6:$B$19)*(INDEX('Landbrugsareal - resultat'!$I$6:$K$19,,MATCH(E157,'Landbrugsareal - resultat'!$I$5:$K$5,0)))))),IF(C157=2019,SUMPRODUCT((B157='Landbrugsareal - resultat'!$B$6:$B$19)*(INDEX('Landbrugsareal - resultat'!$L$6:$N$19,,MATCH(E157,'Landbrugsareal - resultat'!$L$5:$N$5,0)))),IF(C157=2030,SUMPRODUCT((B157='Landbrugsareal - resultat'!$B$6:$B$19)*(INDEX('Landbrugsareal - resultat'!$O$6:$Q$19,,MATCH(E157,'Landbrugsareal - resultat'!$O$5:$Q$5,0)))),SUMPRODUCT((B157='Landbrugsareal - resultat'!$B$6:$B$19)*(INDEX('Landbrugsareal - resultat'!$R$6:$T$19,,MATCH(E157,'Landbrugsareal - resultat'!$R$5:$T$5,0))))))),IF(D157="Konventionel",IF(C157=2019,SUMPRODUCT((B157='Landbrugsareal - resultat'!$B$33:$B$46)*(INDEX('Landbrugsareal - resultat'!$C$33:$E$46,,MATCH(E157,'Landbrugsareal - resultat'!$C$5:$E$5,0)))),IF(C157=2030,SUMPRODUCT((B157='Landbrugsareal - resultat'!$B$33:$B$46)*(INDEX('Landbrugsareal - resultat'!$F$33:$H$46,,MATCH(E157,'Landbrugsareal - resultat'!$F$5:$H$5,0)))),SUMPRODUCT((B157='Landbrugsareal - resultat'!$B$33:$B$46)*(INDEX('Landbrugsareal - resultat'!$I$33:$K$46,,MATCH(E157,'Landbrugsareal - resultat'!$I$5:$K$5,0)))))),IF(C157=2019,SUMPRODUCT((B157='Landbrugsareal - resultat'!$B$33:$B$46)*(INDEX('Landbrugsareal - resultat'!$L$33:$N$46,,MATCH(E157,'Landbrugsareal - resultat'!$L$5:$N$5,0)))),IF(C157=2030,SUMPRODUCT((B157='Landbrugsareal - resultat'!$B$33:$B$46)*(INDEX('Landbrugsareal - resultat'!$O$33:$Q$46,,MATCH(E157,'Landbrugsareal - resultat'!$O$5:$Q$5,0)))),SUMPRODUCT((B157='Landbrugsareal - resultat'!$B$33:$B$46)*(INDEX('Landbrugsareal - resultat'!$R$33:$T$46,,MATCH(E157,'Landbrugsareal - resultat'!$R$5:$T$5,0))))))))</f>
        <v>354.41572680114524</v>
      </c>
      <c r="H157" s="168">
        <f>G157*VLOOKUP(B157,[1]Afgrødedata!$A$5:$F$18,2,FALSE)*IF(D157="Økologisk",VLOOKUP(B157,[1]Afgrødedata!$A$5:$F$18,4,FALSE),1)*IF(E157&lt;&gt;Jordbund1,IF(E157=Organ6,VLOOKUP(B157,[1]Afgrødedata!$A$5:$F$18,5,FALSE),VLOOKUP(B157,[1]Afgrødedata!$A$5:$F$18,6,FALSE)),1)*0.1</f>
        <v>935.74257852945584</v>
      </c>
      <c r="I157" s="168">
        <f>G157*VLOOKUP(B157,[1]Afgrødedata!$A$5:$F$18,3,FALSE)*IF(D157="Økologisk",VLOOKUP(B157,[1]Afgrødedata!$A$5:$F$18,4,FALSE),1)*IF(E157&lt;&gt;Jordbund1,IF(E157=Organ6,VLOOKUP(B157,[1]Afgrødedata!$A$5:$F$18,5,FALSE),VLOOKUP(B157,[1]Afgrødedata!$A$5:$F$18,6,FALSE)),1)*HLOOKUP(C157,Landbrug!$C$15:$E$17,2,FALSE)*HLOOKUP(C157,Landbrug!$C$15:$E$17,3,FALSE)*0.1</f>
        <v>276.18708867689725</v>
      </c>
      <c r="J157" s="76">
        <f t="shared" si="29"/>
        <v>276.18708867689725</v>
      </c>
    </row>
    <row r="158" spans="1:10" x14ac:dyDescent="0.25">
      <c r="A158" t="s">
        <v>23</v>
      </c>
      <c r="B158" s="1" t="str">
        <f>[1]Afgrødefordeling!$C$4</f>
        <v>Raps</v>
      </c>
      <c r="C158">
        <v>2050</v>
      </c>
      <c r="D158" t="s">
        <v>8</v>
      </c>
      <c r="E158" s="168" t="str">
        <f t="shared" si="30"/>
        <v>OC6</v>
      </c>
      <c r="F158" t="str">
        <f t="shared" si="28"/>
        <v>Halm</v>
      </c>
      <c r="G158" s="76" cm="1">
        <f t="array" ref="G158">IF(A158="Vestdanmark",IF(D158="Konventionel",IF(C158=2019,SUMPRODUCT((B158='Landbrugsareal - resultat'!$B$6:$B$19)*(INDEX('Landbrugsareal - resultat'!$C$6:$E$19,,MATCH(E158,'Landbrugsareal - resultat'!$C$5:$E$5,0)))),IF(C158=2030,SUMPRODUCT((B158='Landbrugsareal - resultat'!$B$6:$B$19)*(INDEX('Landbrugsareal - resultat'!$F$6:$H$19,,MATCH(E158,'Landbrugsareal - resultat'!$F$5:$H$5,0)))),SUMPRODUCT((B158='Landbrugsareal - resultat'!$B$6:$B$19)*(INDEX('Landbrugsareal - resultat'!$I$6:$K$19,,MATCH(E158,'Landbrugsareal - resultat'!$I$5:$K$5,0)))))),IF(C158=2019,SUMPRODUCT((B158='Landbrugsareal - resultat'!$B$6:$B$19)*(INDEX('Landbrugsareal - resultat'!$L$6:$N$19,,MATCH(E158,'Landbrugsareal - resultat'!$L$5:$N$5,0)))),IF(C158=2030,SUMPRODUCT((B158='Landbrugsareal - resultat'!$B$6:$B$19)*(INDEX('Landbrugsareal - resultat'!$O$6:$Q$19,,MATCH(E158,'Landbrugsareal - resultat'!$O$5:$Q$5,0)))),SUMPRODUCT((B158='Landbrugsareal - resultat'!$B$6:$B$19)*(INDEX('Landbrugsareal - resultat'!$R$6:$T$19,,MATCH(E158,'Landbrugsareal - resultat'!$R$5:$T$5,0))))))),IF(D158="Konventionel",IF(C158=2019,SUMPRODUCT((B158='Landbrugsareal - resultat'!$B$33:$B$46)*(INDEX('Landbrugsareal - resultat'!$C$33:$E$46,,MATCH(E158,'Landbrugsareal - resultat'!$C$5:$E$5,0)))),IF(C158=2030,SUMPRODUCT((B158='Landbrugsareal - resultat'!$B$33:$B$46)*(INDEX('Landbrugsareal - resultat'!$F$33:$H$46,,MATCH(E158,'Landbrugsareal - resultat'!$F$5:$H$5,0)))),SUMPRODUCT((B158='Landbrugsareal - resultat'!$B$33:$B$46)*(INDEX('Landbrugsareal - resultat'!$I$33:$K$46,,MATCH(E158,'Landbrugsareal - resultat'!$I$5:$K$5,0)))))),IF(C158=2019,SUMPRODUCT((B158='Landbrugsareal - resultat'!$B$33:$B$46)*(INDEX('Landbrugsareal - resultat'!$L$33:$N$46,,MATCH(E158,'Landbrugsareal - resultat'!$L$5:$N$5,0)))),IF(C158=2030,SUMPRODUCT((B158='Landbrugsareal - resultat'!$B$33:$B$46)*(INDEX('Landbrugsareal - resultat'!$O$33:$Q$46,,MATCH(E158,'Landbrugsareal - resultat'!$O$5:$Q$5,0)))),SUMPRODUCT((B158='Landbrugsareal - resultat'!$B$33:$B$46)*(INDEX('Landbrugsareal - resultat'!$R$33:$T$46,,MATCH(E158,'Landbrugsareal - resultat'!$R$5:$T$5,0))))))))</f>
        <v>379.50233468033741</v>
      </c>
      <c r="H158" s="168">
        <f>G158*VLOOKUP(B158,[1]Afgrødedata!$A$5:$F$18,2,FALSE)*IF(D158="Økologisk",VLOOKUP(B158,[1]Afgrødedata!$A$5:$F$18,4,FALSE),1)*IF(E158&lt;&gt;Jordbund1,IF(E158=Organ6,VLOOKUP(B158,[1]Afgrødedata!$A$5:$F$18,5,FALSE),VLOOKUP(B158,[1]Afgrødedata!$A$5:$F$18,6,FALSE)),1)*0.1</f>
        <v>1102.0747799117</v>
      </c>
      <c r="I158" s="168">
        <f>G158*VLOOKUP(B158,[1]Afgrødedata!$A$5:$F$18,3,FALSE)*IF(D158="Økologisk",VLOOKUP(B158,[1]Afgrødedata!$A$5:$F$18,4,FALSE),1)*IF(E158&lt;&gt;Jordbund1,IF(E158=Organ6,VLOOKUP(B158,[1]Afgrødedata!$A$5:$F$18,5,FALSE),VLOOKUP(B158,[1]Afgrødedata!$A$5:$F$18,6,FALSE)),1)*HLOOKUP(C158,Landbrug!$C$15:$E$17,2,FALSE)*HLOOKUP(C158,Landbrug!$C$15:$E$17,3,FALSE)*0.1</f>
        <v>585.20170813311267</v>
      </c>
      <c r="J158" s="76">
        <f t="shared" si="29"/>
        <v>585.20170813311267</v>
      </c>
    </row>
    <row r="159" spans="1:10" x14ac:dyDescent="0.25">
      <c r="A159" t="s">
        <v>23</v>
      </c>
      <c r="B159" s="1" t="str">
        <f>[1]Afgrødefordeling!$C$5</f>
        <v>Græs</v>
      </c>
      <c r="C159">
        <v>2050</v>
      </c>
      <c r="D159" t="s">
        <v>8</v>
      </c>
      <c r="E159" s="168" t="str">
        <f t="shared" si="30"/>
        <v>OC6</v>
      </c>
      <c r="F159" t="str">
        <f t="shared" si="28"/>
        <v>Græs</v>
      </c>
      <c r="G159" s="76" cm="1">
        <f t="array" ref="G159">IF(A159="Vestdanmark",IF(D159="Konventionel",IF(C159=2019,SUMPRODUCT((B159='Landbrugsareal - resultat'!$B$6:$B$19)*(INDEX('Landbrugsareal - resultat'!$C$6:$E$19,,MATCH(E159,'Landbrugsareal - resultat'!$C$5:$E$5,0)))),IF(C159=2030,SUMPRODUCT((B159='Landbrugsareal - resultat'!$B$6:$B$19)*(INDEX('Landbrugsareal - resultat'!$F$6:$H$19,,MATCH(E159,'Landbrugsareal - resultat'!$F$5:$H$5,0)))),SUMPRODUCT((B159='Landbrugsareal - resultat'!$B$6:$B$19)*(INDEX('Landbrugsareal - resultat'!$I$6:$K$19,,MATCH(E159,'Landbrugsareal - resultat'!$I$5:$K$5,0)))))),IF(C159=2019,SUMPRODUCT((B159='Landbrugsareal - resultat'!$B$6:$B$19)*(INDEX('Landbrugsareal - resultat'!$L$6:$N$19,,MATCH(E159,'Landbrugsareal - resultat'!$L$5:$N$5,0)))),IF(C159=2030,SUMPRODUCT((B159='Landbrugsareal - resultat'!$B$6:$B$19)*(INDEX('Landbrugsareal - resultat'!$O$6:$Q$19,,MATCH(E159,'Landbrugsareal - resultat'!$O$5:$Q$5,0)))),SUMPRODUCT((B159='Landbrugsareal - resultat'!$B$6:$B$19)*(INDEX('Landbrugsareal - resultat'!$R$6:$T$19,,MATCH(E159,'Landbrugsareal - resultat'!$R$5:$T$5,0))))))),IF(D159="Konventionel",IF(C159=2019,SUMPRODUCT((B159='Landbrugsareal - resultat'!$B$33:$B$46)*(INDEX('Landbrugsareal - resultat'!$C$33:$E$46,,MATCH(E159,'Landbrugsareal - resultat'!$C$5:$E$5,0)))),IF(C159=2030,SUMPRODUCT((B159='Landbrugsareal - resultat'!$B$33:$B$46)*(INDEX('Landbrugsareal - resultat'!$F$33:$H$46,,MATCH(E159,'Landbrugsareal - resultat'!$F$5:$H$5,0)))),SUMPRODUCT((B159='Landbrugsareal - resultat'!$B$33:$B$46)*(INDEX('Landbrugsareal - resultat'!$I$33:$K$46,,MATCH(E159,'Landbrugsareal - resultat'!$I$5:$K$5,0)))))),IF(C159=2019,SUMPRODUCT((B159='Landbrugsareal - resultat'!$B$33:$B$46)*(INDEX('Landbrugsareal - resultat'!$L$33:$N$46,,MATCH(E159,'Landbrugsareal - resultat'!$L$5:$N$5,0)))),IF(C159=2030,SUMPRODUCT((B159='Landbrugsareal - resultat'!$B$33:$B$46)*(INDEX('Landbrugsareal - resultat'!$O$33:$Q$46,,MATCH(E159,'Landbrugsareal - resultat'!$O$5:$Q$5,0)))),SUMPRODUCT((B159='Landbrugsareal - resultat'!$B$33:$B$46)*(INDEX('Landbrugsareal - resultat'!$R$33:$T$46,,MATCH(E159,'Landbrugsareal - resultat'!$R$5:$T$5,0))))))))</f>
        <v>3502.1815006277125</v>
      </c>
      <c r="H159" s="168">
        <f>G159*VLOOKUP(B159,[1]Afgrødedata!$A$5:$F$18,2,FALSE)*IF(D159="Økologisk",VLOOKUP(B159,[1]Afgrødedata!$A$5:$F$18,4,FALSE),1)*IF(E159&lt;&gt;Jordbund1,IF(E159=Organ6,VLOOKUP(B159,[1]Afgrødedata!$A$5:$F$18,5,FALSE),VLOOKUP(B159,[1]Afgrødedata!$A$5:$F$18,6,FALSE)),1)*0.1</f>
        <v>162656.43831323367</v>
      </c>
      <c r="I159" s="168">
        <f>G159*VLOOKUP(B159,[1]Afgrødedata!$A$5:$F$18,3,FALSE)*IF(D159="Økologisk",VLOOKUP(B159,[1]Afgrødedata!$A$5:$F$18,4,FALSE),1)*IF(E159&lt;&gt;Jordbund1,IF(E159=Organ6,VLOOKUP(B159,[1]Afgrødedata!$A$5:$F$18,5,FALSE),VLOOKUP(B159,[1]Afgrødedata!$A$5:$F$18,6,FALSE)),1)*HLOOKUP(C159,Landbrug!$C$15:$E$17,2,FALSE)*HLOOKUP(C159,Landbrug!$C$15:$E$17,3,FALSE)*0.1</f>
        <v>0</v>
      </c>
      <c r="J159" s="76">
        <f t="shared" si="29"/>
        <v>162656.43831323367</v>
      </c>
    </row>
    <row r="160" spans="1:10" x14ac:dyDescent="0.25">
      <c r="A160" t="s">
        <v>23</v>
      </c>
      <c r="B160" s="1" t="str">
        <f>[1]Afgrødefordeling!$C$6</f>
        <v>Grøntsager</v>
      </c>
      <c r="C160">
        <v>2050</v>
      </c>
      <c r="D160" t="s">
        <v>8</v>
      </c>
      <c r="E160" s="168" t="str">
        <f t="shared" si="30"/>
        <v>OC6</v>
      </c>
      <c r="F160" t="str">
        <f t="shared" si="28"/>
        <v>Grøntsager</v>
      </c>
      <c r="G160" s="76" cm="1">
        <f t="array" ref="G160">IF(A160="Vestdanmark",IF(D160="Konventionel",IF(C160=2019,SUMPRODUCT((B160='Landbrugsareal - resultat'!$B$6:$B$19)*(INDEX('Landbrugsareal - resultat'!$C$6:$E$19,,MATCH(E160,'Landbrugsareal - resultat'!$C$5:$E$5,0)))),IF(C160=2030,SUMPRODUCT((B160='Landbrugsareal - resultat'!$B$6:$B$19)*(INDEX('Landbrugsareal - resultat'!$F$6:$H$19,,MATCH(E160,'Landbrugsareal - resultat'!$F$5:$H$5,0)))),SUMPRODUCT((B160='Landbrugsareal - resultat'!$B$6:$B$19)*(INDEX('Landbrugsareal - resultat'!$I$6:$K$19,,MATCH(E160,'Landbrugsareal - resultat'!$I$5:$K$5,0)))))),IF(C160=2019,SUMPRODUCT((B160='Landbrugsareal - resultat'!$B$6:$B$19)*(INDEX('Landbrugsareal - resultat'!$L$6:$N$19,,MATCH(E160,'Landbrugsareal - resultat'!$L$5:$N$5,0)))),IF(C160=2030,SUMPRODUCT((B160='Landbrugsareal - resultat'!$B$6:$B$19)*(INDEX('Landbrugsareal - resultat'!$O$6:$Q$19,,MATCH(E160,'Landbrugsareal - resultat'!$O$5:$Q$5,0)))),SUMPRODUCT((B160='Landbrugsareal - resultat'!$B$6:$B$19)*(INDEX('Landbrugsareal - resultat'!$R$6:$T$19,,MATCH(E160,'Landbrugsareal - resultat'!$R$5:$T$5,0))))))),IF(D160="Konventionel",IF(C160=2019,SUMPRODUCT((B160='Landbrugsareal - resultat'!$B$33:$B$46)*(INDEX('Landbrugsareal - resultat'!$C$33:$E$46,,MATCH(E160,'Landbrugsareal - resultat'!$C$5:$E$5,0)))),IF(C160=2030,SUMPRODUCT((B160='Landbrugsareal - resultat'!$B$33:$B$46)*(INDEX('Landbrugsareal - resultat'!$F$33:$H$46,,MATCH(E160,'Landbrugsareal - resultat'!$F$5:$H$5,0)))),SUMPRODUCT((B160='Landbrugsareal - resultat'!$B$33:$B$46)*(INDEX('Landbrugsareal - resultat'!$I$33:$K$46,,MATCH(E160,'Landbrugsareal - resultat'!$I$5:$K$5,0)))))),IF(C160=2019,SUMPRODUCT((B160='Landbrugsareal - resultat'!$B$33:$B$46)*(INDEX('Landbrugsareal - resultat'!$L$33:$N$46,,MATCH(E160,'Landbrugsareal - resultat'!$L$5:$N$5,0)))),IF(C160=2030,SUMPRODUCT((B160='Landbrugsareal - resultat'!$B$33:$B$46)*(INDEX('Landbrugsareal - resultat'!$O$33:$Q$46,,MATCH(E160,'Landbrugsareal - resultat'!$O$5:$Q$5,0)))),SUMPRODUCT((B160='Landbrugsareal - resultat'!$B$33:$B$46)*(INDEX('Landbrugsareal - resultat'!$R$33:$T$46,,MATCH(E160,'Landbrugsareal - resultat'!$R$5:$T$5,0))))))))</f>
        <v>16.37983460947844</v>
      </c>
      <c r="H160" s="168">
        <f>G160*VLOOKUP(B160,[1]Afgrødedata!$A$5:$F$18,2,FALSE)*IF(D160="Økologisk",VLOOKUP(B160,[1]Afgrødedata!$A$5:$F$18,4,FALSE),1)*IF(E160&lt;&gt;Jordbund1,IF(E160=Organ6,VLOOKUP(B160,[1]Afgrødedata!$A$5:$F$18,5,FALSE),VLOOKUP(B160,[1]Afgrødedata!$A$5:$F$18,6,FALSE)),1)*0.1</f>
        <v>232.47899261232749</v>
      </c>
      <c r="I160" s="168">
        <f>G160*VLOOKUP(B160,[1]Afgrødedata!$A$5:$F$18,3,FALSE)*IF(D160="Økologisk",VLOOKUP(B160,[1]Afgrødedata!$A$5:$F$18,4,FALSE),1)*IF(E160&lt;&gt;Jordbund1,IF(E160=Organ6,VLOOKUP(B160,[1]Afgrødedata!$A$5:$F$18,5,FALSE),VLOOKUP(B160,[1]Afgrødedata!$A$5:$F$18,6,FALSE)),1)*HLOOKUP(C160,Landbrug!$C$15:$E$17,2,FALSE)*HLOOKUP(C160,Landbrug!$C$15:$E$17,3,FALSE)*0.1</f>
        <v>0</v>
      </c>
      <c r="J160" s="76">
        <f t="shared" si="29"/>
        <v>232.47899261232749</v>
      </c>
    </row>
    <row r="161" spans="1:10" x14ac:dyDescent="0.25">
      <c r="A161" t="s">
        <v>23</v>
      </c>
      <c r="B161" s="1" t="str">
        <f>[1]Afgrødefordeling!$C$7</f>
        <v>Kartofler</v>
      </c>
      <c r="C161">
        <v>2050</v>
      </c>
      <c r="D161" t="s">
        <v>8</v>
      </c>
      <c r="E161" s="168" t="str">
        <f t="shared" si="30"/>
        <v>OC6</v>
      </c>
      <c r="F161" t="str">
        <f t="shared" si="28"/>
        <v>Kartofler</v>
      </c>
      <c r="G161" s="76" cm="1">
        <f t="array" ref="G161">IF(A161="Vestdanmark",IF(D161="Konventionel",IF(C161=2019,SUMPRODUCT((B161='Landbrugsareal - resultat'!$B$6:$B$19)*(INDEX('Landbrugsareal - resultat'!$C$6:$E$19,,MATCH(E161,'Landbrugsareal - resultat'!$C$5:$E$5,0)))),IF(C161=2030,SUMPRODUCT((B161='Landbrugsareal - resultat'!$B$6:$B$19)*(INDEX('Landbrugsareal - resultat'!$F$6:$H$19,,MATCH(E161,'Landbrugsareal - resultat'!$F$5:$H$5,0)))),SUMPRODUCT((B161='Landbrugsareal - resultat'!$B$6:$B$19)*(INDEX('Landbrugsareal - resultat'!$I$6:$K$19,,MATCH(E161,'Landbrugsareal - resultat'!$I$5:$K$5,0)))))),IF(C161=2019,SUMPRODUCT((B161='Landbrugsareal - resultat'!$B$6:$B$19)*(INDEX('Landbrugsareal - resultat'!$L$6:$N$19,,MATCH(E161,'Landbrugsareal - resultat'!$L$5:$N$5,0)))),IF(C161=2030,SUMPRODUCT((B161='Landbrugsareal - resultat'!$B$6:$B$19)*(INDEX('Landbrugsareal - resultat'!$O$6:$Q$19,,MATCH(E161,'Landbrugsareal - resultat'!$O$5:$Q$5,0)))),SUMPRODUCT((B161='Landbrugsareal - resultat'!$B$6:$B$19)*(INDEX('Landbrugsareal - resultat'!$R$6:$T$19,,MATCH(E161,'Landbrugsareal - resultat'!$R$5:$T$5,0))))))),IF(D161="Konventionel",IF(C161=2019,SUMPRODUCT((B161='Landbrugsareal - resultat'!$B$33:$B$46)*(INDEX('Landbrugsareal - resultat'!$C$33:$E$46,,MATCH(E161,'Landbrugsareal - resultat'!$C$5:$E$5,0)))),IF(C161=2030,SUMPRODUCT((B161='Landbrugsareal - resultat'!$B$33:$B$46)*(INDEX('Landbrugsareal - resultat'!$F$33:$H$46,,MATCH(E161,'Landbrugsareal - resultat'!$F$5:$H$5,0)))),SUMPRODUCT((B161='Landbrugsareal - resultat'!$B$33:$B$46)*(INDEX('Landbrugsareal - resultat'!$I$33:$K$46,,MATCH(E161,'Landbrugsareal - resultat'!$I$5:$K$5,0)))))),IF(C161=2019,SUMPRODUCT((B161='Landbrugsareal - resultat'!$B$33:$B$46)*(INDEX('Landbrugsareal - resultat'!$L$33:$N$46,,MATCH(E161,'Landbrugsareal - resultat'!$L$5:$N$5,0)))),IF(C161=2030,SUMPRODUCT((B161='Landbrugsareal - resultat'!$B$33:$B$46)*(INDEX('Landbrugsareal - resultat'!$O$33:$Q$46,,MATCH(E161,'Landbrugsareal - resultat'!$O$5:$Q$5,0)))),SUMPRODUCT((B161='Landbrugsareal - resultat'!$B$33:$B$46)*(INDEX('Landbrugsareal - resultat'!$R$33:$T$46,,MATCH(E161,'Landbrugsareal - resultat'!$R$5:$T$5,0))))))))</f>
        <v>258.59513349914073</v>
      </c>
      <c r="H161" s="168">
        <f>G161*VLOOKUP(B161,[1]Afgrødedata!$A$5:$F$18,2,FALSE)*IF(D161="Økologisk",VLOOKUP(B161,[1]Afgrødedata!$A$5:$F$18,4,FALSE),1)*IF(E161&lt;&gt;Jordbund1,IF(E161=Organ6,VLOOKUP(B161,[1]Afgrødedata!$A$5:$F$18,5,FALSE),VLOOKUP(B161,[1]Afgrødedata!$A$5:$F$18,6,FALSE)),1)*0.1</f>
        <v>7512.21325625799</v>
      </c>
      <c r="I161" s="168">
        <f>G161*VLOOKUP(B161,[1]Afgrødedata!$A$5:$F$18,3,FALSE)*IF(D161="Økologisk",VLOOKUP(B161,[1]Afgrødedata!$A$5:$F$18,4,FALSE),1)*IF(E161&lt;&gt;Jordbund1,IF(E161=Organ6,VLOOKUP(B161,[1]Afgrødedata!$A$5:$F$18,5,FALSE),VLOOKUP(B161,[1]Afgrødedata!$A$5:$F$18,6,FALSE)),1)*HLOOKUP(C161,Landbrug!$C$15:$E$17,2,FALSE)*HLOOKUP(C161,Landbrug!$C$15:$E$17,3,FALSE)*0.1</f>
        <v>0</v>
      </c>
      <c r="J161" s="76">
        <f t="shared" si="29"/>
        <v>7512.21325625799</v>
      </c>
    </row>
    <row r="162" spans="1:10" x14ac:dyDescent="0.25">
      <c r="A162" t="s">
        <v>23</v>
      </c>
      <c r="B162" s="1" t="str">
        <f>[1]Afgrødefordeling!$C$8</f>
        <v>Roer</v>
      </c>
      <c r="C162">
        <v>2050</v>
      </c>
      <c r="D162" t="s">
        <v>8</v>
      </c>
      <c r="E162" s="168" t="str">
        <f t="shared" si="30"/>
        <v>OC6</v>
      </c>
      <c r="F162" t="str">
        <f t="shared" si="28"/>
        <v>Roer</v>
      </c>
      <c r="G162" s="76" cm="1">
        <f t="array" ref="G162">IF(A162="Vestdanmark",IF(D162="Konventionel",IF(C162=2019,SUMPRODUCT((B162='Landbrugsareal - resultat'!$B$6:$B$19)*(INDEX('Landbrugsareal - resultat'!$C$6:$E$19,,MATCH(E162,'Landbrugsareal - resultat'!$C$5:$E$5,0)))),IF(C162=2030,SUMPRODUCT((B162='Landbrugsareal - resultat'!$B$6:$B$19)*(INDEX('Landbrugsareal - resultat'!$F$6:$H$19,,MATCH(E162,'Landbrugsareal - resultat'!$F$5:$H$5,0)))),SUMPRODUCT((B162='Landbrugsareal - resultat'!$B$6:$B$19)*(INDEX('Landbrugsareal - resultat'!$I$6:$K$19,,MATCH(E162,'Landbrugsareal - resultat'!$I$5:$K$5,0)))))),IF(C162=2019,SUMPRODUCT((B162='Landbrugsareal - resultat'!$B$6:$B$19)*(INDEX('Landbrugsareal - resultat'!$L$6:$N$19,,MATCH(E162,'Landbrugsareal - resultat'!$L$5:$N$5,0)))),IF(C162=2030,SUMPRODUCT((B162='Landbrugsareal - resultat'!$B$6:$B$19)*(INDEX('Landbrugsareal - resultat'!$O$6:$Q$19,,MATCH(E162,'Landbrugsareal - resultat'!$O$5:$Q$5,0)))),SUMPRODUCT((B162='Landbrugsareal - resultat'!$B$6:$B$19)*(INDEX('Landbrugsareal - resultat'!$R$6:$T$19,,MATCH(E162,'Landbrugsareal - resultat'!$R$5:$T$5,0))))))),IF(D162="Konventionel",IF(C162=2019,SUMPRODUCT((B162='Landbrugsareal - resultat'!$B$33:$B$46)*(INDEX('Landbrugsareal - resultat'!$C$33:$E$46,,MATCH(E162,'Landbrugsareal - resultat'!$C$5:$E$5,0)))),IF(C162=2030,SUMPRODUCT((B162='Landbrugsareal - resultat'!$B$33:$B$46)*(INDEX('Landbrugsareal - resultat'!$F$33:$H$46,,MATCH(E162,'Landbrugsareal - resultat'!$F$5:$H$5,0)))),SUMPRODUCT((B162='Landbrugsareal - resultat'!$B$33:$B$46)*(INDEX('Landbrugsareal - resultat'!$I$33:$K$46,,MATCH(E162,'Landbrugsareal - resultat'!$I$5:$K$5,0)))))),IF(C162=2019,SUMPRODUCT((B162='Landbrugsareal - resultat'!$B$33:$B$46)*(INDEX('Landbrugsareal - resultat'!$L$33:$N$46,,MATCH(E162,'Landbrugsareal - resultat'!$L$5:$N$5,0)))),IF(C162=2030,SUMPRODUCT((B162='Landbrugsareal - resultat'!$B$33:$B$46)*(INDEX('Landbrugsareal - resultat'!$O$33:$Q$46,,MATCH(E162,'Landbrugsareal - resultat'!$O$5:$Q$5,0)))),SUMPRODUCT((B162='Landbrugsareal - resultat'!$B$33:$B$46)*(INDEX('Landbrugsareal - resultat'!$R$33:$T$46,,MATCH(E162,'Landbrugsareal - resultat'!$R$5:$T$5,0))))))))</f>
        <v>6.7843259278801451</v>
      </c>
      <c r="H162" s="168">
        <f>G162*VLOOKUP(B162,[1]Afgrødedata!$A$5:$F$18,2,FALSE)*IF(D162="Økologisk",VLOOKUP(B162,[1]Afgrødedata!$A$5:$F$18,4,FALSE),1)*IF(E162&lt;&gt;Jordbund1,IF(E162=Organ6,VLOOKUP(B162,[1]Afgrødedata!$A$5:$F$18,5,FALSE),VLOOKUP(B162,[1]Afgrødedata!$A$5:$F$18,6,FALSE)),1)*0.1</f>
        <v>377.05622866184444</v>
      </c>
      <c r="I162" s="168">
        <f>G162*VLOOKUP(B162,[1]Afgrødedata!$A$5:$F$18,3,FALSE)*IF(D162="Økologisk",VLOOKUP(B162,[1]Afgrødedata!$A$5:$F$18,4,FALSE),1)*IF(E162&lt;&gt;Jordbund1,IF(E162=Organ6,VLOOKUP(B162,[1]Afgrødedata!$A$5:$F$18,5,FALSE),VLOOKUP(B162,[1]Afgrødedata!$A$5:$F$18,6,FALSE)),1)*HLOOKUP(C162,Landbrug!$C$15:$E$17,2,FALSE)*HLOOKUP(C162,Landbrug!$C$15:$E$17,3,FALSE)*0.1</f>
        <v>0</v>
      </c>
      <c r="J162" s="76">
        <f t="shared" si="29"/>
        <v>377.05622866184444</v>
      </c>
    </row>
    <row r="163" spans="1:10" x14ac:dyDescent="0.25">
      <c r="A163" t="s">
        <v>23</v>
      </c>
      <c r="B163" s="1" t="str">
        <f>[1]Afgrødefordeling!$C$9</f>
        <v>Majs</v>
      </c>
      <c r="C163">
        <v>2050</v>
      </c>
      <c r="D163" t="s">
        <v>8</v>
      </c>
      <c r="E163" s="168" t="str">
        <f t="shared" si="30"/>
        <v>OC6</v>
      </c>
      <c r="F163" t="str">
        <f t="shared" si="28"/>
        <v>Majs</v>
      </c>
      <c r="G163" s="76" cm="1">
        <f t="array" ref="G163">IF(A163="Vestdanmark",IF(D163="Konventionel",IF(C163=2019,SUMPRODUCT((B163='Landbrugsareal - resultat'!$B$6:$B$19)*(INDEX('Landbrugsareal - resultat'!$C$6:$E$19,,MATCH(E163,'Landbrugsareal - resultat'!$C$5:$E$5,0)))),IF(C163=2030,SUMPRODUCT((B163='Landbrugsareal - resultat'!$B$6:$B$19)*(INDEX('Landbrugsareal - resultat'!$F$6:$H$19,,MATCH(E163,'Landbrugsareal - resultat'!$F$5:$H$5,0)))),SUMPRODUCT((B163='Landbrugsareal - resultat'!$B$6:$B$19)*(INDEX('Landbrugsareal - resultat'!$I$6:$K$19,,MATCH(E163,'Landbrugsareal - resultat'!$I$5:$K$5,0)))))),IF(C163=2019,SUMPRODUCT((B163='Landbrugsareal - resultat'!$B$6:$B$19)*(INDEX('Landbrugsareal - resultat'!$L$6:$N$19,,MATCH(E163,'Landbrugsareal - resultat'!$L$5:$N$5,0)))),IF(C163=2030,SUMPRODUCT((B163='Landbrugsareal - resultat'!$B$6:$B$19)*(INDEX('Landbrugsareal - resultat'!$O$6:$Q$19,,MATCH(E163,'Landbrugsareal - resultat'!$O$5:$Q$5,0)))),SUMPRODUCT((B163='Landbrugsareal - resultat'!$B$6:$B$19)*(INDEX('Landbrugsareal - resultat'!$R$6:$T$19,,MATCH(E163,'Landbrugsareal - resultat'!$R$5:$T$5,0))))))),IF(D163="Konventionel",IF(C163=2019,SUMPRODUCT((B163='Landbrugsareal - resultat'!$B$33:$B$46)*(INDEX('Landbrugsareal - resultat'!$C$33:$E$46,,MATCH(E163,'Landbrugsareal - resultat'!$C$5:$E$5,0)))),IF(C163=2030,SUMPRODUCT((B163='Landbrugsareal - resultat'!$B$33:$B$46)*(INDEX('Landbrugsareal - resultat'!$F$33:$H$46,,MATCH(E163,'Landbrugsareal - resultat'!$F$5:$H$5,0)))),SUMPRODUCT((B163='Landbrugsareal - resultat'!$B$33:$B$46)*(INDEX('Landbrugsareal - resultat'!$I$33:$K$46,,MATCH(E163,'Landbrugsareal - resultat'!$I$5:$K$5,0)))))),IF(C163=2019,SUMPRODUCT((B163='Landbrugsareal - resultat'!$B$33:$B$46)*(INDEX('Landbrugsareal - resultat'!$L$33:$N$46,,MATCH(E163,'Landbrugsareal - resultat'!$L$5:$N$5,0)))),IF(C163=2030,SUMPRODUCT((B163='Landbrugsareal - resultat'!$B$33:$B$46)*(INDEX('Landbrugsareal - resultat'!$O$33:$Q$46,,MATCH(E163,'Landbrugsareal - resultat'!$O$5:$Q$5,0)))),SUMPRODUCT((B163='Landbrugsareal - resultat'!$B$33:$B$46)*(INDEX('Landbrugsareal - resultat'!$R$33:$T$46,,MATCH(E163,'Landbrugsareal - resultat'!$R$5:$T$5,0))))))))</f>
        <v>875.75452575259862</v>
      </c>
      <c r="H163" s="168">
        <f>G163*VLOOKUP(B163,[1]Afgrødedata!$A$5:$F$18,2,FALSE)*IF(D163="Økologisk",VLOOKUP(B163,[1]Afgrødedata!$A$5:$F$18,4,FALSE),1)*IF(E163&lt;&gt;Jordbund1,IF(E163=Organ6,VLOOKUP(B163,[1]Afgrødedata!$A$5:$F$18,5,FALSE),VLOOKUP(B163,[1]Afgrødedata!$A$5:$F$18,6,FALSE)),1)*0.1</f>
        <v>38823.914605483173</v>
      </c>
      <c r="I163" s="168">
        <f>G163*VLOOKUP(B163,[1]Afgrødedata!$A$5:$F$18,3,FALSE)*IF(D163="Økologisk",VLOOKUP(B163,[1]Afgrødedata!$A$5:$F$18,4,FALSE),1)*IF(E163&lt;&gt;Jordbund1,IF(E163=Organ6,VLOOKUP(B163,[1]Afgrødedata!$A$5:$F$18,5,FALSE),VLOOKUP(B163,[1]Afgrødedata!$A$5:$F$18,6,FALSE)),1)*HLOOKUP(C163,Landbrug!$C$15:$E$17,2,FALSE)*HLOOKUP(C163,Landbrug!$C$15:$E$17,3,FALSE)*0.1</f>
        <v>0</v>
      </c>
      <c r="J163" s="76">
        <f t="shared" si="29"/>
        <v>38823.914605483173</v>
      </c>
    </row>
    <row r="164" spans="1:10" x14ac:dyDescent="0.25">
      <c r="A164" t="s">
        <v>23</v>
      </c>
      <c r="B164" s="1" t="str">
        <f>[1]Afgrødefordeling!$C$10</f>
        <v>Frugt</v>
      </c>
      <c r="C164">
        <v>2050</v>
      </c>
      <c r="D164" t="s">
        <v>8</v>
      </c>
      <c r="E164" s="168" t="str">
        <f t="shared" si="30"/>
        <v>OC6</v>
      </c>
      <c r="F164" t="str">
        <f t="shared" si="28"/>
        <v>Frugt</v>
      </c>
      <c r="G164" s="76" cm="1">
        <f t="array" ref="G164">IF(A164="Vestdanmark",IF(D164="Konventionel",IF(C164=2019,SUMPRODUCT((B164='Landbrugsareal - resultat'!$B$6:$B$19)*(INDEX('Landbrugsareal - resultat'!$C$6:$E$19,,MATCH(E164,'Landbrugsareal - resultat'!$C$5:$E$5,0)))),IF(C164=2030,SUMPRODUCT((B164='Landbrugsareal - resultat'!$B$6:$B$19)*(INDEX('Landbrugsareal - resultat'!$F$6:$H$19,,MATCH(E164,'Landbrugsareal - resultat'!$F$5:$H$5,0)))),SUMPRODUCT((B164='Landbrugsareal - resultat'!$B$6:$B$19)*(INDEX('Landbrugsareal - resultat'!$I$6:$K$19,,MATCH(E164,'Landbrugsareal - resultat'!$I$5:$K$5,0)))))),IF(C164=2019,SUMPRODUCT((B164='Landbrugsareal - resultat'!$B$6:$B$19)*(INDEX('Landbrugsareal - resultat'!$L$6:$N$19,,MATCH(E164,'Landbrugsareal - resultat'!$L$5:$N$5,0)))),IF(C164=2030,SUMPRODUCT((B164='Landbrugsareal - resultat'!$B$6:$B$19)*(INDEX('Landbrugsareal - resultat'!$O$6:$Q$19,,MATCH(E164,'Landbrugsareal - resultat'!$O$5:$Q$5,0)))),SUMPRODUCT((B164='Landbrugsareal - resultat'!$B$6:$B$19)*(INDEX('Landbrugsareal - resultat'!$R$6:$T$19,,MATCH(E164,'Landbrugsareal - resultat'!$R$5:$T$5,0))))))),IF(D164="Konventionel",IF(C164=2019,SUMPRODUCT((B164='Landbrugsareal - resultat'!$B$33:$B$46)*(INDEX('Landbrugsareal - resultat'!$C$33:$E$46,,MATCH(E164,'Landbrugsareal - resultat'!$C$5:$E$5,0)))),IF(C164=2030,SUMPRODUCT((B164='Landbrugsareal - resultat'!$B$33:$B$46)*(INDEX('Landbrugsareal - resultat'!$F$33:$H$46,,MATCH(E164,'Landbrugsareal - resultat'!$F$5:$H$5,0)))),SUMPRODUCT((B164='Landbrugsareal - resultat'!$B$33:$B$46)*(INDEX('Landbrugsareal - resultat'!$I$33:$K$46,,MATCH(E164,'Landbrugsareal - resultat'!$I$5:$K$5,0)))))),IF(C164=2019,SUMPRODUCT((B164='Landbrugsareal - resultat'!$B$33:$B$46)*(INDEX('Landbrugsareal - resultat'!$L$33:$N$46,,MATCH(E164,'Landbrugsareal - resultat'!$L$5:$N$5,0)))),IF(C164=2030,SUMPRODUCT((B164='Landbrugsareal - resultat'!$B$33:$B$46)*(INDEX('Landbrugsareal - resultat'!$O$33:$Q$46,,MATCH(E164,'Landbrugsareal - resultat'!$O$5:$Q$5,0)))),SUMPRODUCT((B164='Landbrugsareal - resultat'!$B$33:$B$46)*(INDEX('Landbrugsareal - resultat'!$R$33:$T$46,,MATCH(E164,'Landbrugsareal - resultat'!$R$5:$T$5,0))))))))</f>
        <v>14.919231192935195</v>
      </c>
      <c r="H164" s="168">
        <f>G164*VLOOKUP(B164,[1]Afgrødedata!$A$5:$F$18,2,FALSE)*IF(D164="Økologisk",VLOOKUP(B164,[1]Afgrødedata!$A$5:$F$18,4,FALSE),1)*IF(E164&lt;&gt;Jordbund1,IF(E164=Organ6,VLOOKUP(B164,[1]Afgrødedata!$A$5:$F$18,5,FALSE),VLOOKUP(B164,[1]Afgrødedata!$A$5:$F$18,6,FALSE)),1)*0.1</f>
        <v>86.638362614365533</v>
      </c>
      <c r="I164" s="168">
        <f>G164*VLOOKUP(B164,[1]Afgrødedata!$A$5:$F$18,3,FALSE)*IF(D164="Økologisk",VLOOKUP(B164,[1]Afgrødedata!$A$5:$F$18,4,FALSE),1)*IF(E164&lt;&gt;Jordbund1,IF(E164=Organ6,VLOOKUP(B164,[1]Afgrødedata!$A$5:$F$18,5,FALSE),VLOOKUP(B164,[1]Afgrødedata!$A$5:$F$18,6,FALSE)),1)*HLOOKUP(C164,Landbrug!$C$15:$E$17,2,FALSE)*HLOOKUP(C164,Landbrug!$C$15:$E$17,3,FALSE)*0.1</f>
        <v>0</v>
      </c>
      <c r="J164" s="76">
        <f t="shared" si="29"/>
        <v>86.638362614365533</v>
      </c>
    </row>
    <row r="165" spans="1:10" x14ac:dyDescent="0.25">
      <c r="A165" t="s">
        <v>23</v>
      </c>
      <c r="B165" s="1" t="str">
        <f>[1]Afgrødefordeling!$C$11</f>
        <v>Øvrige</v>
      </c>
      <c r="C165">
        <v>2050</v>
      </c>
      <c r="D165" t="s">
        <v>8</v>
      </c>
      <c r="E165" s="168" t="str">
        <f t="shared" si="30"/>
        <v>OC6</v>
      </c>
      <c r="F165" t="str">
        <f t="shared" si="28"/>
        <v>Øvrige</v>
      </c>
      <c r="G165" s="76" cm="1">
        <f t="array" ref="G165">IF(A165="Vestdanmark",IF(D165="Konventionel",IF(C165=2019,SUMPRODUCT((B165='Landbrugsareal - resultat'!$B$6:$B$19)*(INDEX('Landbrugsareal - resultat'!$C$6:$E$19,,MATCH(E165,'Landbrugsareal - resultat'!$C$5:$E$5,0)))),IF(C165=2030,SUMPRODUCT((B165='Landbrugsareal - resultat'!$B$6:$B$19)*(INDEX('Landbrugsareal - resultat'!$F$6:$H$19,,MATCH(E165,'Landbrugsareal - resultat'!$F$5:$H$5,0)))),SUMPRODUCT((B165='Landbrugsareal - resultat'!$B$6:$B$19)*(INDEX('Landbrugsareal - resultat'!$I$6:$K$19,,MATCH(E165,'Landbrugsareal - resultat'!$I$5:$K$5,0)))))),IF(C165=2019,SUMPRODUCT((B165='Landbrugsareal - resultat'!$B$6:$B$19)*(INDEX('Landbrugsareal - resultat'!$L$6:$N$19,,MATCH(E165,'Landbrugsareal - resultat'!$L$5:$N$5,0)))),IF(C165=2030,SUMPRODUCT((B165='Landbrugsareal - resultat'!$B$6:$B$19)*(INDEX('Landbrugsareal - resultat'!$O$6:$Q$19,,MATCH(E165,'Landbrugsareal - resultat'!$O$5:$Q$5,0)))),SUMPRODUCT((B165='Landbrugsareal - resultat'!$B$6:$B$19)*(INDEX('Landbrugsareal - resultat'!$R$6:$T$19,,MATCH(E165,'Landbrugsareal - resultat'!$R$5:$T$5,0))))))),IF(D165="Konventionel",IF(C165=2019,SUMPRODUCT((B165='Landbrugsareal - resultat'!$B$33:$B$46)*(INDEX('Landbrugsareal - resultat'!$C$33:$E$46,,MATCH(E165,'Landbrugsareal - resultat'!$C$5:$E$5,0)))),IF(C165=2030,SUMPRODUCT((B165='Landbrugsareal - resultat'!$B$33:$B$46)*(INDEX('Landbrugsareal - resultat'!$F$33:$H$46,,MATCH(E165,'Landbrugsareal - resultat'!$F$5:$H$5,0)))),SUMPRODUCT((B165='Landbrugsareal - resultat'!$B$33:$B$46)*(INDEX('Landbrugsareal - resultat'!$I$33:$K$46,,MATCH(E165,'Landbrugsareal - resultat'!$I$5:$K$5,0)))))),IF(C165=2019,SUMPRODUCT((B165='Landbrugsareal - resultat'!$B$33:$B$46)*(INDEX('Landbrugsareal - resultat'!$L$33:$N$46,,MATCH(E165,'Landbrugsareal - resultat'!$L$5:$N$5,0)))),IF(C165=2030,SUMPRODUCT((B165='Landbrugsareal - resultat'!$B$33:$B$46)*(INDEX('Landbrugsareal - resultat'!$O$33:$Q$46,,MATCH(E165,'Landbrugsareal - resultat'!$O$5:$Q$5,0)))),SUMPRODUCT((B165='Landbrugsareal - resultat'!$B$33:$B$46)*(INDEX('Landbrugsareal - resultat'!$R$33:$T$46,,MATCH(E165,'Landbrugsareal - resultat'!$R$5:$T$5,0))))))))</f>
        <v>263.86005174649438</v>
      </c>
      <c r="H165" s="168">
        <f>G165*VLOOKUP(B165,[1]Afgrødedata!$A$5:$F$18,2,FALSE)*IF(D165="Økologisk",VLOOKUP(B165,[1]Afgrødedata!$A$5:$F$18,4,FALSE),1)*IF(E165&lt;&gt;Jordbund1,IF(E165=Organ6,VLOOKUP(B165,[1]Afgrødedata!$A$5:$F$18,5,FALSE),VLOOKUP(B165,[1]Afgrødedata!$A$5:$F$18,6,FALSE)),1)*0.1</f>
        <v>5377.580089999472</v>
      </c>
      <c r="I165" s="168">
        <f>G165*VLOOKUP(B165,[1]Afgrødedata!$A$5:$F$18,3,FALSE)*IF(D165="Økologisk",VLOOKUP(B165,[1]Afgrødedata!$A$5:$F$18,4,FALSE),1)*IF(E165&lt;&gt;Jordbund1,IF(E165=Organ6,VLOOKUP(B165,[1]Afgrødedata!$A$5:$F$18,5,FALSE),VLOOKUP(B165,[1]Afgrødedata!$A$5:$F$18,6,FALSE)),1)*HLOOKUP(C165,Landbrug!$C$15:$E$17,2,FALSE)*HLOOKUP(C165,Landbrug!$C$15:$E$17,3,FALSE)*0.1</f>
        <v>0</v>
      </c>
      <c r="J165" s="76">
        <f t="shared" si="29"/>
        <v>5377.580089999472</v>
      </c>
    </row>
    <row r="166" spans="1:10" x14ac:dyDescent="0.25">
      <c r="A166" t="s">
        <v>23</v>
      </c>
      <c r="B166" s="1" t="str">
        <f>[1]Afgrødefordeling!$C$12</f>
        <v>Frø</v>
      </c>
      <c r="C166">
        <v>2050</v>
      </c>
      <c r="D166" t="s">
        <v>8</v>
      </c>
      <c r="E166" s="168" t="str">
        <f t="shared" si="30"/>
        <v>OC6</v>
      </c>
      <c r="F166" t="str">
        <f t="shared" si="28"/>
        <v>Halm</v>
      </c>
      <c r="G166" s="76" cm="1">
        <f t="array" ref="G166">IF(A166="Vestdanmark",IF(D166="Konventionel",IF(C166=2019,SUMPRODUCT((B166='Landbrugsareal - resultat'!$B$6:$B$19)*(INDEX('Landbrugsareal - resultat'!$C$6:$E$19,,MATCH(E166,'Landbrugsareal - resultat'!$C$5:$E$5,0)))),IF(C166=2030,SUMPRODUCT((B166='Landbrugsareal - resultat'!$B$6:$B$19)*(INDEX('Landbrugsareal - resultat'!$F$6:$H$19,,MATCH(E166,'Landbrugsareal - resultat'!$F$5:$H$5,0)))),SUMPRODUCT((B166='Landbrugsareal - resultat'!$B$6:$B$19)*(INDEX('Landbrugsareal - resultat'!$I$6:$K$19,,MATCH(E166,'Landbrugsareal - resultat'!$I$5:$K$5,0)))))),IF(C166=2019,SUMPRODUCT((B166='Landbrugsareal - resultat'!$B$6:$B$19)*(INDEX('Landbrugsareal - resultat'!$L$6:$N$19,,MATCH(E166,'Landbrugsareal - resultat'!$L$5:$N$5,0)))),IF(C166=2030,SUMPRODUCT((B166='Landbrugsareal - resultat'!$B$6:$B$19)*(INDEX('Landbrugsareal - resultat'!$O$6:$Q$19,,MATCH(E166,'Landbrugsareal - resultat'!$O$5:$Q$5,0)))),SUMPRODUCT((B166='Landbrugsareal - resultat'!$B$6:$B$19)*(INDEX('Landbrugsareal - resultat'!$R$6:$T$19,,MATCH(E166,'Landbrugsareal - resultat'!$R$5:$T$5,0))))))),IF(D166="Konventionel",IF(C166=2019,SUMPRODUCT((B166='Landbrugsareal - resultat'!$B$33:$B$46)*(INDEX('Landbrugsareal - resultat'!$C$33:$E$46,,MATCH(E166,'Landbrugsareal - resultat'!$C$5:$E$5,0)))),IF(C166=2030,SUMPRODUCT((B166='Landbrugsareal - resultat'!$B$33:$B$46)*(INDEX('Landbrugsareal - resultat'!$F$33:$H$46,,MATCH(E166,'Landbrugsareal - resultat'!$F$5:$H$5,0)))),SUMPRODUCT((B166='Landbrugsareal - resultat'!$B$33:$B$46)*(INDEX('Landbrugsareal - resultat'!$I$33:$K$46,,MATCH(E166,'Landbrugsareal - resultat'!$I$5:$K$5,0)))))),IF(C166=2019,SUMPRODUCT((B166='Landbrugsareal - resultat'!$B$33:$B$46)*(INDEX('Landbrugsareal - resultat'!$L$33:$N$46,,MATCH(E166,'Landbrugsareal - resultat'!$L$5:$N$5,0)))),IF(C166=2030,SUMPRODUCT((B166='Landbrugsareal - resultat'!$B$33:$B$46)*(INDEX('Landbrugsareal - resultat'!$O$33:$Q$46,,MATCH(E166,'Landbrugsareal - resultat'!$O$5:$Q$5,0)))),SUMPRODUCT((B166='Landbrugsareal - resultat'!$B$33:$B$46)*(INDEX('Landbrugsareal - resultat'!$R$33:$T$46,,MATCH(E166,'Landbrugsareal - resultat'!$R$5:$T$5,0))))))))</f>
        <v>651.28441981977687</v>
      </c>
      <c r="H166" s="168">
        <f>G166*VLOOKUP(B166,[1]Afgrødedata!$A$5:$F$18,2,FALSE)*IF(D166="Økologisk",VLOOKUP(B166,[1]Afgrødedata!$A$5:$F$18,4,FALSE),1)*IF(E166&lt;&gt;Jordbund1,IF(E166=Organ6,VLOOKUP(B166,[1]Afgrødedata!$A$5:$F$18,5,FALSE),VLOOKUP(B166,[1]Afgrødedata!$A$5:$F$18,6,FALSE)),1)*0.1</f>
        <v>6365.3808745085698</v>
      </c>
      <c r="I166" s="168">
        <f>G166*VLOOKUP(B166,[1]Afgrødedata!$A$5:$F$18,3,FALSE)*IF(D166="Økologisk",VLOOKUP(B166,[1]Afgrødedata!$A$5:$F$18,4,FALSE),1)*IF(E166&lt;&gt;Jordbund1,IF(E166=Organ6,VLOOKUP(B166,[1]Afgrødedata!$A$5:$F$18,5,FALSE),VLOOKUP(B166,[1]Afgrødedata!$A$5:$F$18,6,FALSE)),1)*HLOOKUP(C166,Landbrug!$C$15:$E$17,2,FALSE)*HLOOKUP(C166,Landbrug!$C$15:$E$17,3,FALSE)*0.1</f>
        <v>1051.3293618498762</v>
      </c>
      <c r="J166" s="76">
        <f t="shared" si="29"/>
        <v>1051.3293618498762</v>
      </c>
    </row>
    <row r="167" spans="1:10" x14ac:dyDescent="0.25">
      <c r="A167" t="s">
        <v>23</v>
      </c>
      <c r="B167" s="1" t="str">
        <f>[1]Afgrødefordeling!$C$13</f>
        <v>Juletræer</v>
      </c>
      <c r="C167">
        <v>2050</v>
      </c>
      <c r="D167" t="s">
        <v>8</v>
      </c>
      <c r="E167" s="168" t="str">
        <f t="shared" si="30"/>
        <v>OC6</v>
      </c>
      <c r="F167" t="str">
        <f t="shared" si="28"/>
        <v>Juletræer</v>
      </c>
      <c r="G167" s="76" cm="1">
        <f t="array" ref="G167">IF(A167="Vestdanmark",IF(D167="Konventionel",IF(C167=2019,SUMPRODUCT((B167='Landbrugsareal - resultat'!$B$6:$B$19)*(INDEX('Landbrugsareal - resultat'!$C$6:$E$19,,MATCH(E167,'Landbrugsareal - resultat'!$C$5:$E$5,0)))),IF(C167=2030,SUMPRODUCT((B167='Landbrugsareal - resultat'!$B$6:$B$19)*(INDEX('Landbrugsareal - resultat'!$F$6:$H$19,,MATCH(E167,'Landbrugsareal - resultat'!$F$5:$H$5,0)))),SUMPRODUCT((B167='Landbrugsareal - resultat'!$B$6:$B$19)*(INDEX('Landbrugsareal - resultat'!$I$6:$K$19,,MATCH(E167,'Landbrugsareal - resultat'!$I$5:$K$5,0)))))),IF(C167=2019,SUMPRODUCT((B167='Landbrugsareal - resultat'!$B$6:$B$19)*(INDEX('Landbrugsareal - resultat'!$L$6:$N$19,,MATCH(E167,'Landbrugsareal - resultat'!$L$5:$N$5,0)))),IF(C167=2030,SUMPRODUCT((B167='Landbrugsareal - resultat'!$B$6:$B$19)*(INDEX('Landbrugsareal - resultat'!$O$6:$Q$19,,MATCH(E167,'Landbrugsareal - resultat'!$O$5:$Q$5,0)))),SUMPRODUCT((B167='Landbrugsareal - resultat'!$B$6:$B$19)*(INDEX('Landbrugsareal - resultat'!$R$6:$T$19,,MATCH(E167,'Landbrugsareal - resultat'!$R$5:$T$5,0))))))),IF(D167="Konventionel",IF(C167=2019,SUMPRODUCT((B167='Landbrugsareal - resultat'!$B$33:$B$46)*(INDEX('Landbrugsareal - resultat'!$C$33:$E$46,,MATCH(E167,'Landbrugsareal - resultat'!$C$5:$E$5,0)))),IF(C167=2030,SUMPRODUCT((B167='Landbrugsareal - resultat'!$B$33:$B$46)*(INDEX('Landbrugsareal - resultat'!$F$33:$H$46,,MATCH(E167,'Landbrugsareal - resultat'!$F$5:$H$5,0)))),SUMPRODUCT((B167='Landbrugsareal - resultat'!$B$33:$B$46)*(INDEX('Landbrugsareal - resultat'!$I$33:$K$46,,MATCH(E167,'Landbrugsareal - resultat'!$I$5:$K$5,0)))))),IF(C167=2019,SUMPRODUCT((B167='Landbrugsareal - resultat'!$B$33:$B$46)*(INDEX('Landbrugsareal - resultat'!$L$33:$N$46,,MATCH(E167,'Landbrugsareal - resultat'!$L$5:$N$5,0)))),IF(C167=2030,SUMPRODUCT((B167='Landbrugsareal - resultat'!$B$33:$B$46)*(INDEX('Landbrugsareal - resultat'!$O$33:$Q$46,,MATCH(E167,'Landbrugsareal - resultat'!$O$5:$Q$5,0)))),SUMPRODUCT((B167='Landbrugsareal - resultat'!$B$33:$B$46)*(INDEX('Landbrugsareal - resultat'!$R$33:$T$46,,MATCH(E167,'Landbrugsareal - resultat'!$R$5:$T$5,0))))))))</f>
        <v>74.828061112752692</v>
      </c>
      <c r="H167" s="168">
        <f>G167*VLOOKUP(B167,[1]Afgrødedata!$A$5:$F$18,2,FALSE)*IF(D167="Økologisk",VLOOKUP(B167,[1]Afgrødedata!$A$5:$F$18,4,FALSE),1)*IF(E167&lt;&gt;Jordbund1,IF(E167=Organ6,VLOOKUP(B167,[1]Afgrødedata!$A$5:$F$18,5,FALSE),VLOOKUP(B167,[1]Afgrødedata!$A$5:$F$18,6,FALSE)),1)*0.1</f>
        <v>2559.1196900561422</v>
      </c>
      <c r="I167" s="168">
        <f>G167*VLOOKUP(B167,[1]Afgrødedata!$A$5:$F$18,3,FALSE)*IF(D167="Økologisk",VLOOKUP(B167,[1]Afgrødedata!$A$5:$F$18,4,FALSE),1)*IF(E167&lt;&gt;Jordbund1,IF(E167=Organ6,VLOOKUP(B167,[1]Afgrødedata!$A$5:$F$18,5,FALSE),VLOOKUP(B167,[1]Afgrødedata!$A$5:$F$18,6,FALSE)),1)*HLOOKUP(C167,Landbrug!$C$15:$E$17,2,FALSE)*HLOOKUP(C167,Landbrug!$C$15:$E$17,3,FALSE)*0.1</f>
        <v>0</v>
      </c>
      <c r="J167" s="76">
        <f t="shared" si="29"/>
        <v>2559.1196900561422</v>
      </c>
    </row>
    <row r="168" spans="1:10" x14ac:dyDescent="0.25">
      <c r="A168" t="s">
        <v>23</v>
      </c>
      <c r="B168" s="1" t="str">
        <f>[1]Afgrødefordeling!$C$14</f>
        <v>Pil &amp; poppel</v>
      </c>
      <c r="C168">
        <v>2050</v>
      </c>
      <c r="D168" t="s">
        <v>8</v>
      </c>
      <c r="E168" s="168" t="str">
        <f t="shared" si="30"/>
        <v>OC6</v>
      </c>
      <c r="F168" t="str">
        <f t="shared" ref="F168" si="33">IF(I168&lt;&gt;0,"Halm",IF(B168&lt;&gt;"Permanent græs",B168,"Græs"))</f>
        <v>Pil &amp; poppel</v>
      </c>
      <c r="G168" s="76" cm="1">
        <f t="array" ref="G168">IF(A168="Vestdanmark",IF(D168="Konventionel",IF(C168=2019,SUMPRODUCT((B168='Landbrugsareal - resultat'!$B$6:$B$19)*(INDEX('Landbrugsareal - resultat'!$C$6:$E$19,,MATCH(E168,'Landbrugsareal - resultat'!$C$5:$E$5,0)))),IF(C168=2030,SUMPRODUCT((B168='Landbrugsareal - resultat'!$B$6:$B$19)*(INDEX('Landbrugsareal - resultat'!$F$6:$H$19,,MATCH(E168,'Landbrugsareal - resultat'!$F$5:$H$5,0)))),SUMPRODUCT((B168='Landbrugsareal - resultat'!$B$6:$B$19)*(INDEX('Landbrugsareal - resultat'!$I$6:$K$19,,MATCH(E168,'Landbrugsareal - resultat'!$I$5:$K$5,0)))))),IF(C168=2019,SUMPRODUCT((B168='Landbrugsareal - resultat'!$B$6:$B$19)*(INDEX('Landbrugsareal - resultat'!$L$6:$N$19,,MATCH(E168,'Landbrugsareal - resultat'!$L$5:$N$5,0)))),IF(C168=2030,SUMPRODUCT((B168='Landbrugsareal - resultat'!$B$6:$B$19)*(INDEX('Landbrugsareal - resultat'!$O$6:$Q$19,,MATCH(E168,'Landbrugsareal - resultat'!$O$5:$Q$5,0)))),SUMPRODUCT((B168='Landbrugsareal - resultat'!$B$6:$B$19)*(INDEX('Landbrugsareal - resultat'!$R$6:$T$19,,MATCH(E168,'Landbrugsareal - resultat'!$R$5:$T$5,0))))))),IF(D168="Konventionel",IF(C168=2019,SUMPRODUCT((B168='Landbrugsareal - resultat'!$B$33:$B$46)*(INDEX('Landbrugsareal - resultat'!$C$33:$E$46,,MATCH(E168,'Landbrugsareal - resultat'!$C$5:$E$5,0)))),IF(C168=2030,SUMPRODUCT((B168='Landbrugsareal - resultat'!$B$33:$B$46)*(INDEX('Landbrugsareal - resultat'!$F$33:$H$46,,MATCH(E168,'Landbrugsareal - resultat'!$F$5:$H$5,0)))),SUMPRODUCT((B168='Landbrugsareal - resultat'!$B$33:$B$46)*(INDEX('Landbrugsareal - resultat'!$I$33:$K$46,,MATCH(E168,'Landbrugsareal - resultat'!$I$5:$K$5,0)))))),IF(C168=2019,SUMPRODUCT((B168='Landbrugsareal - resultat'!$B$33:$B$46)*(INDEX('Landbrugsareal - resultat'!$L$33:$N$46,,MATCH(E168,'Landbrugsareal - resultat'!$L$5:$N$5,0)))),IF(C168=2030,SUMPRODUCT((B168='Landbrugsareal - resultat'!$B$33:$B$46)*(INDEX('Landbrugsareal - resultat'!$O$33:$Q$46,,MATCH(E168,'Landbrugsareal - resultat'!$O$5:$Q$5,0)))),SUMPRODUCT((B168='Landbrugsareal - resultat'!$B$33:$B$46)*(INDEX('Landbrugsareal - resultat'!$R$33:$T$46,,MATCH(E168,'Landbrugsareal - resultat'!$R$5:$T$5,0))))))))</f>
        <v>122.89526857654124</v>
      </c>
      <c r="H168" s="168">
        <f>G168*VLOOKUP(B168,[1]Afgrødedata!$A$5:$F$18,2,FALSE)*IF(D168="Økologisk",VLOOKUP(B168,[1]Afgrødedata!$A$5:$F$18,4,FALSE),1)*IF(E168&lt;&gt;Jordbund1,IF(E168=Organ6,VLOOKUP(B168,[1]Afgrødedata!$A$5:$F$18,5,FALSE),VLOOKUP(B168,[1]Afgrødedata!$A$5:$F$18,6,FALSE)),1)*0.1</f>
        <v>2050.2527733257125</v>
      </c>
      <c r="I168" s="168">
        <f>G168*VLOOKUP(B168,[1]Afgrødedata!$A$5:$F$18,3,FALSE)*IF(D168="Økologisk",VLOOKUP(B168,[1]Afgrødedata!$A$5:$F$18,4,FALSE),1)*IF(E168&lt;&gt;Jordbund1,IF(E168=Organ6,VLOOKUP(B168,[1]Afgrødedata!$A$5:$F$18,5,FALSE),VLOOKUP(B168,[1]Afgrødedata!$A$5:$F$18,6,FALSE)),1)*HLOOKUP(C168,Landbrug!$C$15:$E$17,2,FALSE)*HLOOKUP(C168,Landbrug!$C$15:$E$17,3,FALSE)*0.1</f>
        <v>0</v>
      </c>
      <c r="J168" s="76">
        <f t="shared" ref="J168" si="34">IF(I168&lt;&gt;0,I168,H168)</f>
        <v>2050.2527733257125</v>
      </c>
    </row>
    <row r="169" spans="1:10" x14ac:dyDescent="0.25">
      <c r="A169" t="s">
        <v>23</v>
      </c>
      <c r="B169" s="1" t="str">
        <f>[1]Afgrødefordeling!$C$15</f>
        <v>Permanent græs</v>
      </c>
      <c r="C169">
        <v>2050</v>
      </c>
      <c r="D169" t="s">
        <v>8</v>
      </c>
      <c r="E169" s="168" t="str">
        <f t="shared" si="30"/>
        <v>OC6</v>
      </c>
      <c r="F169" t="str">
        <f t="shared" si="28"/>
        <v>Græs</v>
      </c>
      <c r="G169" s="76" cm="1">
        <f t="array" ref="G169">IF(A169="Vestdanmark",IF(D169="Konventionel",IF(C169=2019,SUMPRODUCT((B169='Landbrugsareal - resultat'!$B$6:$B$19)*(INDEX('Landbrugsareal - resultat'!$C$6:$E$19,,MATCH(E169,'Landbrugsareal - resultat'!$C$5:$E$5,0)))),IF(C169=2030,SUMPRODUCT((B169='Landbrugsareal - resultat'!$B$6:$B$19)*(INDEX('Landbrugsareal - resultat'!$F$6:$H$19,,MATCH(E169,'Landbrugsareal - resultat'!$F$5:$H$5,0)))),SUMPRODUCT((B169='Landbrugsareal - resultat'!$B$6:$B$19)*(INDEX('Landbrugsareal - resultat'!$I$6:$K$19,,MATCH(E169,'Landbrugsareal - resultat'!$I$5:$K$5,0)))))),IF(C169=2019,SUMPRODUCT((B169='Landbrugsareal - resultat'!$B$6:$B$19)*(INDEX('Landbrugsareal - resultat'!$L$6:$N$19,,MATCH(E169,'Landbrugsareal - resultat'!$L$5:$N$5,0)))),IF(C169=2030,SUMPRODUCT((B169='Landbrugsareal - resultat'!$B$6:$B$19)*(INDEX('Landbrugsareal - resultat'!$O$6:$Q$19,,MATCH(E169,'Landbrugsareal - resultat'!$O$5:$Q$5,0)))),SUMPRODUCT((B169='Landbrugsareal - resultat'!$B$6:$B$19)*(INDEX('Landbrugsareal - resultat'!$R$6:$T$19,,MATCH(E169,'Landbrugsareal - resultat'!$R$5:$T$5,0))))))),IF(D169="Konventionel",IF(C169=2019,SUMPRODUCT((B169='Landbrugsareal - resultat'!$B$33:$B$46)*(INDEX('Landbrugsareal - resultat'!$C$33:$E$46,,MATCH(E169,'Landbrugsareal - resultat'!$C$5:$E$5,0)))),IF(C169=2030,SUMPRODUCT((B169='Landbrugsareal - resultat'!$B$33:$B$46)*(INDEX('Landbrugsareal - resultat'!$F$33:$H$46,,MATCH(E169,'Landbrugsareal - resultat'!$F$5:$H$5,0)))),SUMPRODUCT((B169='Landbrugsareal - resultat'!$B$33:$B$46)*(INDEX('Landbrugsareal - resultat'!$I$33:$K$46,,MATCH(E169,'Landbrugsareal - resultat'!$I$5:$K$5,0)))))),IF(C169=2019,SUMPRODUCT((B169='Landbrugsareal - resultat'!$B$33:$B$46)*(INDEX('Landbrugsareal - resultat'!$L$33:$N$46,,MATCH(E169,'Landbrugsareal - resultat'!$L$5:$N$5,0)))),IF(C169=2030,SUMPRODUCT((B169='Landbrugsareal - resultat'!$B$33:$B$46)*(INDEX('Landbrugsareal - resultat'!$O$33:$Q$46,,MATCH(E169,'Landbrugsareal - resultat'!$O$5:$Q$5,0)))),SUMPRODUCT((B169='Landbrugsareal - resultat'!$B$33:$B$46)*(INDEX('Landbrugsareal - resultat'!$R$33:$T$46,,MATCH(E169,'Landbrugsareal - resultat'!$R$5:$T$5,0))))))))</f>
        <v>3473.6427561838809</v>
      </c>
      <c r="H169" s="168">
        <f>G169*VLOOKUP(B169,[1]Afgrødedata!$A$5:$F$18,2,FALSE)*IF(D169="Økologisk",VLOOKUP(B169,[1]Afgrødedata!$A$5:$F$18,4,FALSE),1)*IF(E169&lt;&gt;Jordbund1,IF(E169=Organ6,VLOOKUP(B169,[1]Afgrødedata!$A$5:$F$18,5,FALSE),VLOOKUP(B169,[1]Afgrødedata!$A$5:$F$18,6,FALSE)),1)*0.1</f>
        <v>57481.840329330858</v>
      </c>
      <c r="I169" s="168">
        <f>G169*VLOOKUP(B169,[1]Afgrødedata!$A$5:$F$18,3,FALSE)*IF(D169="Økologisk",VLOOKUP(B169,[1]Afgrødedata!$A$5:$F$18,4,FALSE),1)*IF(E169&lt;&gt;Jordbund1,IF(E169=Organ6,VLOOKUP(B169,[1]Afgrødedata!$A$5:$F$18,5,FALSE),VLOOKUP(B169,[1]Afgrødedata!$A$5:$F$18,6,FALSE)),1)*HLOOKUP(C169,Landbrug!$C$15:$E$17,2,FALSE)*HLOOKUP(C169,Landbrug!$C$15:$E$17,3,FALSE)*0.1</f>
        <v>0</v>
      </c>
      <c r="J169" s="76">
        <f t="shared" si="29"/>
        <v>57481.840329330858</v>
      </c>
    </row>
    <row r="170" spans="1:10" x14ac:dyDescent="0.25">
      <c r="A170" t="s">
        <v>23</v>
      </c>
      <c r="B170" s="1" t="str">
        <f>[1]Afgrødefordeling!$C$2</f>
        <v>Korn</v>
      </c>
      <c r="C170">
        <v>2019</v>
      </c>
      <c r="D170" t="s">
        <v>7</v>
      </c>
      <c r="E170" s="168" t="str">
        <f t="shared" ref="E170:E201" si="35">Organ12</f>
        <v>OC12</v>
      </c>
      <c r="F170" t="str">
        <f t="shared" si="28"/>
        <v>Halm</v>
      </c>
      <c r="G170" s="76" cm="1">
        <f t="array" ref="G170">IF(A170="Vestdanmark",IF(D170="Konventionel",IF(C170=2019,SUMPRODUCT((B170='Landbrugsareal - resultat'!$B$6:$B$19)*(INDEX('Landbrugsareal - resultat'!$C$6:$E$19,,MATCH(E170,'Landbrugsareal - resultat'!$C$5:$E$5,0)))),IF(C170=2030,SUMPRODUCT((B170='Landbrugsareal - resultat'!$B$6:$B$19)*(INDEX('Landbrugsareal - resultat'!$F$6:$H$19,,MATCH(E170,'Landbrugsareal - resultat'!$F$5:$H$5,0)))),SUMPRODUCT((B170='Landbrugsareal - resultat'!$B$6:$B$19)*(INDEX('Landbrugsareal - resultat'!$I$6:$K$19,,MATCH(E170,'Landbrugsareal - resultat'!$I$5:$K$5,0)))))),IF(C170=2019,SUMPRODUCT((B170='Landbrugsareal - resultat'!$B$6:$B$19)*(INDEX('Landbrugsareal - resultat'!$L$6:$N$19,,MATCH(E170,'Landbrugsareal - resultat'!$L$5:$N$5,0)))),IF(C170=2030,SUMPRODUCT((B170='Landbrugsareal - resultat'!$B$6:$B$19)*(INDEX('Landbrugsareal - resultat'!$O$6:$Q$19,,MATCH(E170,'Landbrugsareal - resultat'!$O$5:$Q$5,0)))),SUMPRODUCT((B170='Landbrugsareal - resultat'!$B$6:$B$19)*(INDEX('Landbrugsareal - resultat'!$R$6:$T$19,,MATCH(E170,'Landbrugsareal - resultat'!$R$5:$T$5,0))))))),IF(D170="Konventionel",IF(C170=2019,SUMPRODUCT((B170='Landbrugsareal - resultat'!$B$33:$B$46)*(INDEX('Landbrugsareal - resultat'!$C$33:$E$46,,MATCH(E170,'Landbrugsareal - resultat'!$C$5:$E$5,0)))),IF(C170=2030,SUMPRODUCT((B170='Landbrugsareal - resultat'!$B$33:$B$46)*(INDEX('Landbrugsareal - resultat'!$F$33:$H$46,,MATCH(E170,'Landbrugsareal - resultat'!$F$5:$H$5,0)))),SUMPRODUCT((B170='Landbrugsareal - resultat'!$B$33:$B$46)*(INDEX('Landbrugsareal - resultat'!$I$33:$K$46,,MATCH(E170,'Landbrugsareal - resultat'!$I$5:$K$5,0)))))),IF(C170=2019,SUMPRODUCT((B170='Landbrugsareal - resultat'!$B$33:$B$46)*(INDEX('Landbrugsareal - resultat'!$L$33:$N$46,,MATCH(E170,'Landbrugsareal - resultat'!$L$5:$N$5,0)))),IF(C170=2030,SUMPRODUCT((B170='Landbrugsareal - resultat'!$B$33:$B$46)*(INDEX('Landbrugsareal - resultat'!$O$33:$Q$46,,MATCH(E170,'Landbrugsareal - resultat'!$O$5:$Q$5,0)))),SUMPRODUCT((B170='Landbrugsareal - resultat'!$B$33:$B$46)*(INDEX('Landbrugsareal - resultat'!$R$33:$T$46,,MATCH(E170,'Landbrugsareal - resultat'!$R$5:$T$5,0))))))))</f>
        <v>11442.363018493961</v>
      </c>
      <c r="H170" s="168">
        <f>G170*VLOOKUP(B170,[1]Afgrødedata!$A$5:$F$18,2,FALSE)*IF(D170="Økologisk",VLOOKUP(B170,[1]Afgrødedata!$A$5:$F$18,4,FALSE),1)*IF(E170&lt;&gt;Jordbund1,IF(E170=Organ6,VLOOKUP(B170,[1]Afgrødedata!$A$5:$F$18,5,FALSE),VLOOKUP(B170,[1]Afgrødedata!$A$5:$F$18,6,FALSE)),1)*0.1</f>
        <v>112295.35066349973</v>
      </c>
      <c r="I170" s="168">
        <f>G170*VLOOKUP(B170,[1]Afgrødedata!$A$5:$F$18,3,FALSE)*IF(D170="Økologisk",VLOOKUP(B170,[1]Afgrødedata!$A$5:$F$18,4,FALSE),1)*IF(E170&lt;&gt;Jordbund1,IF(E170=Organ6,VLOOKUP(B170,[1]Afgrødedata!$A$5:$F$18,5,FALSE),VLOOKUP(B170,[1]Afgrødedata!$A$5:$F$18,6,FALSE)),1)*HLOOKUP(C170,Landbrug!$C$15:$E$17,2,FALSE)*HLOOKUP(C170,Landbrug!$C$15:$E$17,3,FALSE)*0.1</f>
        <v>36652.92171818966</v>
      </c>
      <c r="J170" s="76">
        <f t="shared" si="29"/>
        <v>36652.92171818966</v>
      </c>
    </row>
    <row r="171" spans="1:10" x14ac:dyDescent="0.25">
      <c r="A171" t="s">
        <v>23</v>
      </c>
      <c r="B171" s="1" t="str">
        <f>[1]Afgrødefordeling!$C$3</f>
        <v>Bælgsæd</v>
      </c>
      <c r="C171">
        <v>2019</v>
      </c>
      <c r="D171" t="s">
        <v>7</v>
      </c>
      <c r="E171" s="168" t="str">
        <f t="shared" si="35"/>
        <v>OC12</v>
      </c>
      <c r="F171" t="str">
        <f t="shared" si="28"/>
        <v>Halm</v>
      </c>
      <c r="G171" s="76" cm="1">
        <f t="array" ref="G171">IF(A171="Vestdanmark",IF(D171="Konventionel",IF(C171=2019,SUMPRODUCT((B171='Landbrugsareal - resultat'!$B$6:$B$19)*(INDEX('Landbrugsareal - resultat'!$C$6:$E$19,,MATCH(E171,'Landbrugsareal - resultat'!$C$5:$E$5,0)))),IF(C171=2030,SUMPRODUCT((B171='Landbrugsareal - resultat'!$B$6:$B$19)*(INDEX('Landbrugsareal - resultat'!$F$6:$H$19,,MATCH(E171,'Landbrugsareal - resultat'!$F$5:$H$5,0)))),SUMPRODUCT((B171='Landbrugsareal - resultat'!$B$6:$B$19)*(INDEX('Landbrugsareal - resultat'!$I$6:$K$19,,MATCH(E171,'Landbrugsareal - resultat'!$I$5:$K$5,0)))))),IF(C171=2019,SUMPRODUCT((B171='Landbrugsareal - resultat'!$B$6:$B$19)*(INDEX('Landbrugsareal - resultat'!$L$6:$N$19,,MATCH(E171,'Landbrugsareal - resultat'!$L$5:$N$5,0)))),IF(C171=2030,SUMPRODUCT((B171='Landbrugsareal - resultat'!$B$6:$B$19)*(INDEX('Landbrugsareal - resultat'!$O$6:$Q$19,,MATCH(E171,'Landbrugsareal - resultat'!$O$5:$Q$5,0)))),SUMPRODUCT((B171='Landbrugsareal - resultat'!$B$6:$B$19)*(INDEX('Landbrugsareal - resultat'!$R$6:$T$19,,MATCH(E171,'Landbrugsareal - resultat'!$R$5:$T$5,0))))))),IF(D171="Konventionel",IF(C171=2019,SUMPRODUCT((B171='Landbrugsareal - resultat'!$B$33:$B$46)*(INDEX('Landbrugsareal - resultat'!$C$33:$E$46,,MATCH(E171,'Landbrugsareal - resultat'!$C$5:$E$5,0)))),IF(C171=2030,SUMPRODUCT((B171='Landbrugsareal - resultat'!$B$33:$B$46)*(INDEX('Landbrugsareal - resultat'!$F$33:$H$46,,MATCH(E171,'Landbrugsareal - resultat'!$F$5:$H$5,0)))),SUMPRODUCT((B171='Landbrugsareal - resultat'!$B$33:$B$46)*(INDEX('Landbrugsareal - resultat'!$I$33:$K$46,,MATCH(E171,'Landbrugsareal - resultat'!$I$5:$K$5,0)))))),IF(C171=2019,SUMPRODUCT((B171='Landbrugsareal - resultat'!$B$33:$B$46)*(INDEX('Landbrugsareal - resultat'!$L$33:$N$46,,MATCH(E171,'Landbrugsareal - resultat'!$L$5:$N$5,0)))),IF(C171=2030,SUMPRODUCT((B171='Landbrugsareal - resultat'!$B$33:$B$46)*(INDEX('Landbrugsareal - resultat'!$O$33:$Q$46,,MATCH(E171,'Landbrugsareal - resultat'!$O$5:$Q$5,0)))),SUMPRODUCT((B171='Landbrugsareal - resultat'!$B$33:$B$46)*(INDEX('Landbrugsareal - resultat'!$R$33:$T$46,,MATCH(E171,'Landbrugsareal - resultat'!$R$5:$T$5,0))))))))</f>
        <v>658.84236387306271</v>
      </c>
      <c r="H171" s="168">
        <f>G171*VLOOKUP(B171,[1]Afgrødedata!$A$5:$F$18,2,FALSE)*IF(D171="Økologisk",VLOOKUP(B171,[1]Afgrødedata!$A$5:$F$18,4,FALSE),1)*IF(E171&lt;&gt;Jordbund1,IF(E171=Organ6,VLOOKUP(B171,[1]Afgrødedata!$A$5:$F$18,5,FALSE),VLOOKUP(B171,[1]Afgrødedata!$A$5:$F$18,6,FALSE)),1)*0.1</f>
        <v>3560.3841343700306</v>
      </c>
      <c r="I171" s="168">
        <f>G171*VLOOKUP(B171,[1]Afgrødedata!$A$5:$F$18,3,FALSE)*IF(D171="Økologisk",VLOOKUP(B171,[1]Afgrødedata!$A$5:$F$18,4,FALSE),1)*IF(E171&lt;&gt;Jordbund1,IF(E171=Organ6,VLOOKUP(B171,[1]Afgrødedata!$A$5:$F$18,5,FALSE),VLOOKUP(B171,[1]Afgrødedata!$A$5:$F$18,6,FALSE)),1)*HLOOKUP(C171,Landbrug!$C$15:$E$17,2,FALSE)*HLOOKUP(C171,Landbrug!$C$15:$E$17,3,FALSE)*0.1</f>
        <v>1057.0023682721242</v>
      </c>
      <c r="J171" s="76">
        <f t="shared" si="29"/>
        <v>1057.0023682721242</v>
      </c>
    </row>
    <row r="172" spans="1:10" x14ac:dyDescent="0.25">
      <c r="A172" t="s">
        <v>23</v>
      </c>
      <c r="B172" s="1" t="str">
        <f>[1]Afgrødefordeling!$C$4</f>
        <v>Raps</v>
      </c>
      <c r="C172">
        <v>2019</v>
      </c>
      <c r="D172" t="s">
        <v>7</v>
      </c>
      <c r="E172" s="168" t="str">
        <f t="shared" si="35"/>
        <v>OC12</v>
      </c>
      <c r="F172" t="str">
        <f t="shared" si="28"/>
        <v>Halm</v>
      </c>
      <c r="G172" s="76" cm="1">
        <f t="array" ref="G172">IF(A172="Vestdanmark",IF(D172="Konventionel",IF(C172=2019,SUMPRODUCT((B172='Landbrugsareal - resultat'!$B$6:$B$19)*(INDEX('Landbrugsareal - resultat'!$C$6:$E$19,,MATCH(E172,'Landbrugsareal - resultat'!$C$5:$E$5,0)))),IF(C172=2030,SUMPRODUCT((B172='Landbrugsareal - resultat'!$B$6:$B$19)*(INDEX('Landbrugsareal - resultat'!$F$6:$H$19,,MATCH(E172,'Landbrugsareal - resultat'!$F$5:$H$5,0)))),SUMPRODUCT((B172='Landbrugsareal - resultat'!$B$6:$B$19)*(INDEX('Landbrugsareal - resultat'!$I$6:$K$19,,MATCH(E172,'Landbrugsareal - resultat'!$I$5:$K$5,0)))))),IF(C172=2019,SUMPRODUCT((B172='Landbrugsareal - resultat'!$B$6:$B$19)*(INDEX('Landbrugsareal - resultat'!$L$6:$N$19,,MATCH(E172,'Landbrugsareal - resultat'!$L$5:$N$5,0)))),IF(C172=2030,SUMPRODUCT((B172='Landbrugsareal - resultat'!$B$6:$B$19)*(INDEX('Landbrugsareal - resultat'!$O$6:$Q$19,,MATCH(E172,'Landbrugsareal - resultat'!$O$5:$Q$5,0)))),SUMPRODUCT((B172='Landbrugsareal - resultat'!$B$6:$B$19)*(INDEX('Landbrugsareal - resultat'!$R$6:$T$19,,MATCH(E172,'Landbrugsareal - resultat'!$R$5:$T$5,0))))))),IF(D172="Konventionel",IF(C172=2019,SUMPRODUCT((B172='Landbrugsareal - resultat'!$B$33:$B$46)*(INDEX('Landbrugsareal - resultat'!$C$33:$E$46,,MATCH(E172,'Landbrugsareal - resultat'!$C$5:$E$5,0)))),IF(C172=2030,SUMPRODUCT((B172='Landbrugsareal - resultat'!$B$33:$B$46)*(INDEX('Landbrugsareal - resultat'!$F$33:$H$46,,MATCH(E172,'Landbrugsareal - resultat'!$F$5:$H$5,0)))),SUMPRODUCT((B172='Landbrugsareal - resultat'!$B$33:$B$46)*(INDEX('Landbrugsareal - resultat'!$I$33:$K$46,,MATCH(E172,'Landbrugsareal - resultat'!$I$5:$K$5,0)))))),IF(C172=2019,SUMPRODUCT((B172='Landbrugsareal - resultat'!$B$33:$B$46)*(INDEX('Landbrugsareal - resultat'!$L$33:$N$46,,MATCH(E172,'Landbrugsareal - resultat'!$L$5:$N$5,0)))),IF(C172=2030,SUMPRODUCT((B172='Landbrugsareal - resultat'!$B$33:$B$46)*(INDEX('Landbrugsareal - resultat'!$O$33:$Q$46,,MATCH(E172,'Landbrugsareal - resultat'!$O$5:$Q$5,0)))),SUMPRODUCT((B172='Landbrugsareal - resultat'!$B$33:$B$46)*(INDEX('Landbrugsareal - resultat'!$R$33:$T$46,,MATCH(E172,'Landbrugsareal - resultat'!$R$5:$T$5,0))))))))</f>
        <v>853.17102732786998</v>
      </c>
      <c r="H172" s="168">
        <f>G172*VLOOKUP(B172,[1]Afgrødedata!$A$5:$F$18,2,FALSE)*IF(D172="Økologisk",VLOOKUP(B172,[1]Afgrødedata!$A$5:$F$18,4,FALSE),1)*IF(E172&lt;&gt;Jordbund1,IF(E172=Organ6,VLOOKUP(B172,[1]Afgrødedata!$A$5:$F$18,5,FALSE),VLOOKUP(B172,[1]Afgrødedata!$A$5:$F$18,6,FALSE)),1)*0.1</f>
        <v>5255.5335283396789</v>
      </c>
      <c r="I172" s="168">
        <f>G172*VLOOKUP(B172,[1]Afgrødedata!$A$5:$F$18,3,FALSE)*IF(D172="Økologisk",VLOOKUP(B172,[1]Afgrødedata!$A$5:$F$18,4,FALSE),1)*IF(E172&lt;&gt;Jordbund1,IF(E172=Organ6,VLOOKUP(B172,[1]Afgrødedata!$A$5:$F$18,5,FALSE),VLOOKUP(B172,[1]Afgrødedata!$A$5:$F$18,6,FALSE)),1)*HLOOKUP(C172,Landbrug!$C$15:$E$17,2,FALSE)*HLOOKUP(C172,Landbrug!$C$15:$E$17,3,FALSE)*0.1</f>
        <v>2807.0067351538646</v>
      </c>
      <c r="J172" s="76">
        <f t="shared" si="29"/>
        <v>2807.0067351538646</v>
      </c>
    </row>
    <row r="173" spans="1:10" x14ac:dyDescent="0.25">
      <c r="A173" t="s">
        <v>23</v>
      </c>
      <c r="B173" s="1" t="str">
        <f>[1]Afgrødefordeling!$C$5</f>
        <v>Græs</v>
      </c>
      <c r="C173">
        <v>2019</v>
      </c>
      <c r="D173" t="s">
        <v>7</v>
      </c>
      <c r="E173" s="168" t="str">
        <f t="shared" si="35"/>
        <v>OC12</v>
      </c>
      <c r="F173" t="str">
        <f t="shared" si="28"/>
        <v>Græs</v>
      </c>
      <c r="G173" s="76" cm="1">
        <f t="array" ref="G173">IF(A173="Vestdanmark",IF(D173="Konventionel",IF(C173=2019,SUMPRODUCT((B173='Landbrugsareal - resultat'!$B$6:$B$19)*(INDEX('Landbrugsareal - resultat'!$C$6:$E$19,,MATCH(E173,'Landbrugsareal - resultat'!$C$5:$E$5,0)))),IF(C173=2030,SUMPRODUCT((B173='Landbrugsareal - resultat'!$B$6:$B$19)*(INDEX('Landbrugsareal - resultat'!$F$6:$H$19,,MATCH(E173,'Landbrugsareal - resultat'!$F$5:$H$5,0)))),SUMPRODUCT((B173='Landbrugsareal - resultat'!$B$6:$B$19)*(INDEX('Landbrugsareal - resultat'!$I$6:$K$19,,MATCH(E173,'Landbrugsareal - resultat'!$I$5:$K$5,0)))))),IF(C173=2019,SUMPRODUCT((B173='Landbrugsareal - resultat'!$B$6:$B$19)*(INDEX('Landbrugsareal - resultat'!$L$6:$N$19,,MATCH(E173,'Landbrugsareal - resultat'!$L$5:$N$5,0)))),IF(C173=2030,SUMPRODUCT((B173='Landbrugsareal - resultat'!$B$6:$B$19)*(INDEX('Landbrugsareal - resultat'!$O$6:$Q$19,,MATCH(E173,'Landbrugsareal - resultat'!$O$5:$Q$5,0)))),SUMPRODUCT((B173='Landbrugsareal - resultat'!$B$6:$B$19)*(INDEX('Landbrugsareal - resultat'!$R$6:$T$19,,MATCH(E173,'Landbrugsareal - resultat'!$R$5:$T$5,0))))))),IF(D173="Konventionel",IF(C173=2019,SUMPRODUCT((B173='Landbrugsareal - resultat'!$B$33:$B$46)*(INDEX('Landbrugsareal - resultat'!$C$33:$E$46,,MATCH(E173,'Landbrugsareal - resultat'!$C$5:$E$5,0)))),IF(C173=2030,SUMPRODUCT((B173='Landbrugsareal - resultat'!$B$33:$B$46)*(INDEX('Landbrugsareal - resultat'!$F$33:$H$46,,MATCH(E173,'Landbrugsareal - resultat'!$F$5:$H$5,0)))),SUMPRODUCT((B173='Landbrugsareal - resultat'!$B$33:$B$46)*(INDEX('Landbrugsareal - resultat'!$I$33:$K$46,,MATCH(E173,'Landbrugsareal - resultat'!$I$5:$K$5,0)))))),IF(C173=2019,SUMPRODUCT((B173='Landbrugsareal - resultat'!$B$33:$B$46)*(INDEX('Landbrugsareal - resultat'!$L$33:$N$46,,MATCH(E173,'Landbrugsareal - resultat'!$L$5:$N$5,0)))),IF(C173=2030,SUMPRODUCT((B173='Landbrugsareal - resultat'!$B$33:$B$46)*(INDEX('Landbrugsareal - resultat'!$O$33:$Q$46,,MATCH(E173,'Landbrugsareal - resultat'!$O$5:$Q$5,0)))),SUMPRODUCT((B173='Landbrugsareal - resultat'!$B$33:$B$46)*(INDEX('Landbrugsareal - resultat'!$R$33:$T$46,,MATCH(E173,'Landbrugsareal - resultat'!$R$5:$T$5,0))))))))</f>
        <v>19676.81711863153</v>
      </c>
      <c r="H173" s="168">
        <f>G173*VLOOKUP(B173,[1]Afgrødedata!$A$5:$F$18,2,FALSE)*IF(D173="Økologisk",VLOOKUP(B173,[1]Afgrødedata!$A$5:$F$18,4,FALSE),1)*IF(E173&lt;&gt;Jordbund1,IF(E173=Organ6,VLOOKUP(B173,[1]Afgrødedata!$A$5:$F$18,5,FALSE),VLOOKUP(B173,[1]Afgrødedata!$A$5:$F$18,6,FALSE)),1)*0.1</f>
        <v>1366909.1315970952</v>
      </c>
      <c r="I173" s="168">
        <f>G173*VLOOKUP(B173,[1]Afgrødedata!$A$5:$F$18,3,FALSE)*IF(D173="Økologisk",VLOOKUP(B173,[1]Afgrødedata!$A$5:$F$18,4,FALSE),1)*IF(E173&lt;&gt;Jordbund1,IF(E173=Organ6,VLOOKUP(B173,[1]Afgrødedata!$A$5:$F$18,5,FALSE),VLOOKUP(B173,[1]Afgrødedata!$A$5:$F$18,6,FALSE)),1)*HLOOKUP(C173,Landbrug!$C$15:$E$17,2,FALSE)*HLOOKUP(C173,Landbrug!$C$15:$E$17,3,FALSE)*0.1</f>
        <v>0</v>
      </c>
      <c r="J173" s="76">
        <f t="shared" si="29"/>
        <v>1366909.1315970952</v>
      </c>
    </row>
    <row r="174" spans="1:10" x14ac:dyDescent="0.25">
      <c r="A174" t="s">
        <v>23</v>
      </c>
      <c r="B174" s="1" t="str">
        <f>[1]Afgrødefordeling!$C$6</f>
        <v>Grøntsager</v>
      </c>
      <c r="C174">
        <v>2019</v>
      </c>
      <c r="D174" t="s">
        <v>7</v>
      </c>
      <c r="E174" s="168" t="str">
        <f t="shared" si="35"/>
        <v>OC12</v>
      </c>
      <c r="F174" t="str">
        <f t="shared" si="28"/>
        <v>Grøntsager</v>
      </c>
      <c r="G174" s="76" cm="1">
        <f t="array" ref="G174">IF(A174="Vestdanmark",IF(D174="Konventionel",IF(C174=2019,SUMPRODUCT((B174='Landbrugsareal - resultat'!$B$6:$B$19)*(INDEX('Landbrugsareal - resultat'!$C$6:$E$19,,MATCH(E174,'Landbrugsareal - resultat'!$C$5:$E$5,0)))),IF(C174=2030,SUMPRODUCT((B174='Landbrugsareal - resultat'!$B$6:$B$19)*(INDEX('Landbrugsareal - resultat'!$F$6:$H$19,,MATCH(E174,'Landbrugsareal - resultat'!$F$5:$H$5,0)))),SUMPRODUCT((B174='Landbrugsareal - resultat'!$B$6:$B$19)*(INDEX('Landbrugsareal - resultat'!$I$6:$K$19,,MATCH(E174,'Landbrugsareal - resultat'!$I$5:$K$5,0)))))),IF(C174=2019,SUMPRODUCT((B174='Landbrugsareal - resultat'!$B$6:$B$19)*(INDEX('Landbrugsareal - resultat'!$L$6:$N$19,,MATCH(E174,'Landbrugsareal - resultat'!$L$5:$N$5,0)))),IF(C174=2030,SUMPRODUCT((B174='Landbrugsareal - resultat'!$B$6:$B$19)*(INDEX('Landbrugsareal - resultat'!$O$6:$Q$19,,MATCH(E174,'Landbrugsareal - resultat'!$O$5:$Q$5,0)))),SUMPRODUCT((B174='Landbrugsareal - resultat'!$B$6:$B$19)*(INDEX('Landbrugsareal - resultat'!$R$6:$T$19,,MATCH(E174,'Landbrugsareal - resultat'!$R$5:$T$5,0))))))),IF(D174="Konventionel",IF(C174=2019,SUMPRODUCT((B174='Landbrugsareal - resultat'!$B$33:$B$46)*(INDEX('Landbrugsareal - resultat'!$C$33:$E$46,,MATCH(E174,'Landbrugsareal - resultat'!$C$5:$E$5,0)))),IF(C174=2030,SUMPRODUCT((B174='Landbrugsareal - resultat'!$B$33:$B$46)*(INDEX('Landbrugsareal - resultat'!$F$33:$H$46,,MATCH(E174,'Landbrugsareal - resultat'!$F$5:$H$5,0)))),SUMPRODUCT((B174='Landbrugsareal - resultat'!$B$33:$B$46)*(INDEX('Landbrugsareal - resultat'!$I$33:$K$46,,MATCH(E174,'Landbrugsareal - resultat'!$I$5:$K$5,0)))))),IF(C174=2019,SUMPRODUCT((B174='Landbrugsareal - resultat'!$B$33:$B$46)*(INDEX('Landbrugsareal - resultat'!$L$33:$N$46,,MATCH(E174,'Landbrugsareal - resultat'!$L$5:$N$5,0)))),IF(C174=2030,SUMPRODUCT((B174='Landbrugsareal - resultat'!$B$33:$B$46)*(INDEX('Landbrugsareal - resultat'!$O$33:$Q$46,,MATCH(E174,'Landbrugsareal - resultat'!$O$5:$Q$5,0)))),SUMPRODUCT((B174='Landbrugsareal - resultat'!$B$33:$B$46)*(INDEX('Landbrugsareal - resultat'!$R$33:$T$46,,MATCH(E174,'Landbrugsareal - resultat'!$R$5:$T$5,0))))))))</f>
        <v>22.870610645607062</v>
      </c>
      <c r="H174" s="168">
        <f>G174*VLOOKUP(B174,[1]Afgrødedata!$A$5:$F$18,2,FALSE)*IF(D174="Økologisk",VLOOKUP(B174,[1]Afgrødedata!$A$5:$F$18,4,FALSE),1)*IF(E174&lt;&gt;Jordbund1,IF(E174=Organ6,VLOOKUP(B174,[1]Afgrødedata!$A$5:$F$18,5,FALSE),VLOOKUP(B174,[1]Afgrødedata!$A$5:$F$18,6,FALSE)),1)*0.1</f>
        <v>664.39123925488514</v>
      </c>
      <c r="I174" s="168">
        <f>G174*VLOOKUP(B174,[1]Afgrødedata!$A$5:$F$18,3,FALSE)*IF(D174="Økologisk",VLOOKUP(B174,[1]Afgrødedata!$A$5:$F$18,4,FALSE),1)*IF(E174&lt;&gt;Jordbund1,IF(E174=Organ6,VLOOKUP(B174,[1]Afgrødedata!$A$5:$F$18,5,FALSE),VLOOKUP(B174,[1]Afgrødedata!$A$5:$F$18,6,FALSE)),1)*HLOOKUP(C174,Landbrug!$C$15:$E$17,2,FALSE)*HLOOKUP(C174,Landbrug!$C$15:$E$17,3,FALSE)*0.1</f>
        <v>0</v>
      </c>
      <c r="J174" s="76">
        <f t="shared" si="29"/>
        <v>664.39123925488514</v>
      </c>
    </row>
    <row r="175" spans="1:10" x14ac:dyDescent="0.25">
      <c r="A175" t="s">
        <v>23</v>
      </c>
      <c r="B175" s="1" t="str">
        <f>[1]Afgrødefordeling!$C$7</f>
        <v>Kartofler</v>
      </c>
      <c r="C175">
        <v>2019</v>
      </c>
      <c r="D175" t="s">
        <v>7</v>
      </c>
      <c r="E175" s="168" t="str">
        <f t="shared" si="35"/>
        <v>OC12</v>
      </c>
      <c r="F175" t="str">
        <f t="shared" si="28"/>
        <v>Kartofler</v>
      </c>
      <c r="G175" s="76" cm="1">
        <f t="array" ref="G175">IF(A175="Vestdanmark",IF(D175="Konventionel",IF(C175=2019,SUMPRODUCT((B175='Landbrugsareal - resultat'!$B$6:$B$19)*(INDEX('Landbrugsareal - resultat'!$C$6:$E$19,,MATCH(E175,'Landbrugsareal - resultat'!$C$5:$E$5,0)))),IF(C175=2030,SUMPRODUCT((B175='Landbrugsareal - resultat'!$B$6:$B$19)*(INDEX('Landbrugsareal - resultat'!$F$6:$H$19,,MATCH(E175,'Landbrugsareal - resultat'!$F$5:$H$5,0)))),SUMPRODUCT((B175='Landbrugsareal - resultat'!$B$6:$B$19)*(INDEX('Landbrugsareal - resultat'!$I$6:$K$19,,MATCH(E175,'Landbrugsareal - resultat'!$I$5:$K$5,0)))))),IF(C175=2019,SUMPRODUCT((B175='Landbrugsareal - resultat'!$B$6:$B$19)*(INDEX('Landbrugsareal - resultat'!$L$6:$N$19,,MATCH(E175,'Landbrugsareal - resultat'!$L$5:$N$5,0)))),IF(C175=2030,SUMPRODUCT((B175='Landbrugsareal - resultat'!$B$6:$B$19)*(INDEX('Landbrugsareal - resultat'!$O$6:$Q$19,,MATCH(E175,'Landbrugsareal - resultat'!$O$5:$Q$5,0)))),SUMPRODUCT((B175='Landbrugsareal - resultat'!$B$6:$B$19)*(INDEX('Landbrugsareal - resultat'!$R$6:$T$19,,MATCH(E175,'Landbrugsareal - resultat'!$R$5:$T$5,0))))))),IF(D175="Konventionel",IF(C175=2019,SUMPRODUCT((B175='Landbrugsareal - resultat'!$B$33:$B$46)*(INDEX('Landbrugsareal - resultat'!$C$33:$E$46,,MATCH(E175,'Landbrugsareal - resultat'!$C$5:$E$5,0)))),IF(C175=2030,SUMPRODUCT((B175='Landbrugsareal - resultat'!$B$33:$B$46)*(INDEX('Landbrugsareal - resultat'!$F$33:$H$46,,MATCH(E175,'Landbrugsareal - resultat'!$F$5:$H$5,0)))),SUMPRODUCT((B175='Landbrugsareal - resultat'!$B$33:$B$46)*(INDEX('Landbrugsareal - resultat'!$I$33:$K$46,,MATCH(E175,'Landbrugsareal - resultat'!$I$5:$K$5,0)))))),IF(C175=2019,SUMPRODUCT((B175='Landbrugsareal - resultat'!$B$33:$B$46)*(INDEX('Landbrugsareal - resultat'!$L$33:$N$46,,MATCH(E175,'Landbrugsareal - resultat'!$L$5:$N$5,0)))),IF(C175=2030,SUMPRODUCT((B175='Landbrugsareal - resultat'!$B$33:$B$46)*(INDEX('Landbrugsareal - resultat'!$O$33:$Q$46,,MATCH(E175,'Landbrugsareal - resultat'!$O$5:$Q$5,0)))),SUMPRODUCT((B175='Landbrugsareal - resultat'!$B$33:$B$46)*(INDEX('Landbrugsareal - resultat'!$R$33:$T$46,,MATCH(E175,'Landbrugsareal - resultat'!$R$5:$T$5,0))))))))</f>
        <v>1210.548128147522</v>
      </c>
      <c r="H175" s="168">
        <f>G175*VLOOKUP(B175,[1]Afgrødedata!$A$5:$F$18,2,FALSE)*IF(D175="Økologisk",VLOOKUP(B175,[1]Afgrødedata!$A$5:$F$18,4,FALSE),1)*IF(E175&lt;&gt;Jordbund1,IF(E175=Organ6,VLOOKUP(B175,[1]Afgrødedata!$A$5:$F$18,5,FALSE),VLOOKUP(B175,[1]Afgrødedata!$A$5:$F$18,6,FALSE)),1)*0.1</f>
        <v>71978.294997334509</v>
      </c>
      <c r="I175" s="168">
        <f>G175*VLOOKUP(B175,[1]Afgrødedata!$A$5:$F$18,3,FALSE)*IF(D175="Økologisk",VLOOKUP(B175,[1]Afgrødedata!$A$5:$F$18,4,FALSE),1)*IF(E175&lt;&gt;Jordbund1,IF(E175=Organ6,VLOOKUP(B175,[1]Afgrødedata!$A$5:$F$18,5,FALSE),VLOOKUP(B175,[1]Afgrødedata!$A$5:$F$18,6,FALSE)),1)*HLOOKUP(C175,Landbrug!$C$15:$E$17,2,FALSE)*HLOOKUP(C175,Landbrug!$C$15:$E$17,3,FALSE)*0.1</f>
        <v>0</v>
      </c>
      <c r="J175" s="76">
        <f t="shared" si="29"/>
        <v>71978.294997334509</v>
      </c>
    </row>
    <row r="176" spans="1:10" x14ac:dyDescent="0.25">
      <c r="A176" t="s">
        <v>23</v>
      </c>
      <c r="B176" s="1" t="str">
        <f>[1]Afgrødefordeling!$C$8</f>
        <v>Roer</v>
      </c>
      <c r="C176">
        <v>2019</v>
      </c>
      <c r="D176" t="s">
        <v>7</v>
      </c>
      <c r="E176" s="168" t="str">
        <f t="shared" si="35"/>
        <v>OC12</v>
      </c>
      <c r="F176" t="str">
        <f t="shared" si="28"/>
        <v>Roer</v>
      </c>
      <c r="G176" s="76" cm="1">
        <f t="array" ref="G176">IF(A176="Vestdanmark",IF(D176="Konventionel",IF(C176=2019,SUMPRODUCT((B176='Landbrugsareal - resultat'!$B$6:$B$19)*(INDEX('Landbrugsareal - resultat'!$C$6:$E$19,,MATCH(E176,'Landbrugsareal - resultat'!$C$5:$E$5,0)))),IF(C176=2030,SUMPRODUCT((B176='Landbrugsareal - resultat'!$B$6:$B$19)*(INDEX('Landbrugsareal - resultat'!$F$6:$H$19,,MATCH(E176,'Landbrugsareal - resultat'!$F$5:$H$5,0)))),SUMPRODUCT((B176='Landbrugsareal - resultat'!$B$6:$B$19)*(INDEX('Landbrugsareal - resultat'!$I$6:$K$19,,MATCH(E176,'Landbrugsareal - resultat'!$I$5:$K$5,0)))))),IF(C176=2019,SUMPRODUCT((B176='Landbrugsareal - resultat'!$B$6:$B$19)*(INDEX('Landbrugsareal - resultat'!$L$6:$N$19,,MATCH(E176,'Landbrugsareal - resultat'!$L$5:$N$5,0)))),IF(C176=2030,SUMPRODUCT((B176='Landbrugsareal - resultat'!$B$6:$B$19)*(INDEX('Landbrugsareal - resultat'!$O$6:$Q$19,,MATCH(E176,'Landbrugsareal - resultat'!$O$5:$Q$5,0)))),SUMPRODUCT((B176='Landbrugsareal - resultat'!$B$6:$B$19)*(INDEX('Landbrugsareal - resultat'!$R$6:$T$19,,MATCH(E176,'Landbrugsareal - resultat'!$R$5:$T$5,0))))))),IF(D176="Konventionel",IF(C176=2019,SUMPRODUCT((B176='Landbrugsareal - resultat'!$B$33:$B$46)*(INDEX('Landbrugsareal - resultat'!$C$33:$E$46,,MATCH(E176,'Landbrugsareal - resultat'!$C$5:$E$5,0)))),IF(C176=2030,SUMPRODUCT((B176='Landbrugsareal - resultat'!$B$33:$B$46)*(INDEX('Landbrugsareal - resultat'!$F$33:$H$46,,MATCH(E176,'Landbrugsareal - resultat'!$F$5:$H$5,0)))),SUMPRODUCT((B176='Landbrugsareal - resultat'!$B$33:$B$46)*(INDEX('Landbrugsareal - resultat'!$I$33:$K$46,,MATCH(E176,'Landbrugsareal - resultat'!$I$5:$K$5,0)))))),IF(C176=2019,SUMPRODUCT((B176='Landbrugsareal - resultat'!$B$33:$B$46)*(INDEX('Landbrugsareal - resultat'!$L$33:$N$46,,MATCH(E176,'Landbrugsareal - resultat'!$L$5:$N$5,0)))),IF(C176=2030,SUMPRODUCT((B176='Landbrugsareal - resultat'!$B$33:$B$46)*(INDEX('Landbrugsareal - resultat'!$O$33:$Q$46,,MATCH(E176,'Landbrugsareal - resultat'!$O$5:$Q$5,0)))),SUMPRODUCT((B176='Landbrugsareal - resultat'!$B$33:$B$46)*(INDEX('Landbrugsareal - resultat'!$R$33:$T$46,,MATCH(E176,'Landbrugsareal - resultat'!$R$5:$T$5,0))))))))</f>
        <v>13.090943352111134</v>
      </c>
      <c r="H176" s="168">
        <f>G176*VLOOKUP(B176,[1]Afgrødedata!$A$5:$F$18,2,FALSE)*IF(D176="Økologisk",VLOOKUP(B176,[1]Afgrødedata!$A$5:$F$18,4,FALSE),1)*IF(E176&lt;&gt;Jordbund1,IF(E176=Organ6,VLOOKUP(B176,[1]Afgrødedata!$A$5:$F$18,5,FALSE),VLOOKUP(B176,[1]Afgrødedata!$A$5:$F$18,6,FALSE)),1)*0.1</f>
        <v>1489.1631918276153</v>
      </c>
      <c r="I176" s="168">
        <f>G176*VLOOKUP(B176,[1]Afgrødedata!$A$5:$F$18,3,FALSE)*IF(D176="Økologisk",VLOOKUP(B176,[1]Afgrødedata!$A$5:$F$18,4,FALSE),1)*IF(E176&lt;&gt;Jordbund1,IF(E176=Organ6,VLOOKUP(B176,[1]Afgrødedata!$A$5:$F$18,5,FALSE),VLOOKUP(B176,[1]Afgrødedata!$A$5:$F$18,6,FALSE)),1)*HLOOKUP(C176,Landbrug!$C$15:$E$17,2,FALSE)*HLOOKUP(C176,Landbrug!$C$15:$E$17,3,FALSE)*0.1</f>
        <v>0</v>
      </c>
      <c r="J176" s="76">
        <f t="shared" si="29"/>
        <v>1489.1631918276153</v>
      </c>
    </row>
    <row r="177" spans="1:10" x14ac:dyDescent="0.25">
      <c r="A177" t="s">
        <v>23</v>
      </c>
      <c r="B177" s="1" t="str">
        <f>[1]Afgrødefordeling!$C$9</f>
        <v>Majs</v>
      </c>
      <c r="C177">
        <v>2019</v>
      </c>
      <c r="D177" t="s">
        <v>7</v>
      </c>
      <c r="E177" s="168" t="str">
        <f t="shared" si="35"/>
        <v>OC12</v>
      </c>
      <c r="F177" t="str">
        <f t="shared" si="28"/>
        <v>Majs</v>
      </c>
      <c r="G177" s="76" cm="1">
        <f t="array" ref="G177">IF(A177="Vestdanmark",IF(D177="Konventionel",IF(C177=2019,SUMPRODUCT((B177='Landbrugsareal - resultat'!$B$6:$B$19)*(INDEX('Landbrugsareal - resultat'!$C$6:$E$19,,MATCH(E177,'Landbrugsareal - resultat'!$C$5:$E$5,0)))),IF(C177=2030,SUMPRODUCT((B177='Landbrugsareal - resultat'!$B$6:$B$19)*(INDEX('Landbrugsareal - resultat'!$F$6:$H$19,,MATCH(E177,'Landbrugsareal - resultat'!$F$5:$H$5,0)))),SUMPRODUCT((B177='Landbrugsareal - resultat'!$B$6:$B$19)*(INDEX('Landbrugsareal - resultat'!$I$6:$K$19,,MATCH(E177,'Landbrugsareal - resultat'!$I$5:$K$5,0)))))),IF(C177=2019,SUMPRODUCT((B177='Landbrugsareal - resultat'!$B$6:$B$19)*(INDEX('Landbrugsareal - resultat'!$L$6:$N$19,,MATCH(E177,'Landbrugsareal - resultat'!$L$5:$N$5,0)))),IF(C177=2030,SUMPRODUCT((B177='Landbrugsareal - resultat'!$B$6:$B$19)*(INDEX('Landbrugsareal - resultat'!$O$6:$Q$19,,MATCH(E177,'Landbrugsareal - resultat'!$O$5:$Q$5,0)))),SUMPRODUCT((B177='Landbrugsareal - resultat'!$B$6:$B$19)*(INDEX('Landbrugsareal - resultat'!$R$6:$T$19,,MATCH(E177,'Landbrugsareal - resultat'!$R$5:$T$5,0))))))),IF(D177="Konventionel",IF(C177=2019,SUMPRODUCT((B177='Landbrugsareal - resultat'!$B$33:$B$46)*(INDEX('Landbrugsareal - resultat'!$C$33:$E$46,,MATCH(E177,'Landbrugsareal - resultat'!$C$5:$E$5,0)))),IF(C177=2030,SUMPRODUCT((B177='Landbrugsareal - resultat'!$B$33:$B$46)*(INDEX('Landbrugsareal - resultat'!$F$33:$H$46,,MATCH(E177,'Landbrugsareal - resultat'!$F$5:$H$5,0)))),SUMPRODUCT((B177='Landbrugsareal - resultat'!$B$33:$B$46)*(INDEX('Landbrugsareal - resultat'!$I$33:$K$46,,MATCH(E177,'Landbrugsareal - resultat'!$I$5:$K$5,0)))))),IF(C177=2019,SUMPRODUCT((B177='Landbrugsareal - resultat'!$B$33:$B$46)*(INDEX('Landbrugsareal - resultat'!$L$33:$N$46,,MATCH(E177,'Landbrugsareal - resultat'!$L$5:$N$5,0)))),IF(C177=2030,SUMPRODUCT((B177='Landbrugsareal - resultat'!$B$33:$B$46)*(INDEX('Landbrugsareal - resultat'!$O$33:$Q$46,,MATCH(E177,'Landbrugsareal - resultat'!$O$5:$Q$5,0)))),SUMPRODUCT((B177='Landbrugsareal - resultat'!$B$33:$B$46)*(INDEX('Landbrugsareal - resultat'!$R$33:$T$46,,MATCH(E177,'Landbrugsareal - resultat'!$R$5:$T$5,0))))))))</f>
        <v>1627.9869607567055</v>
      </c>
      <c r="H177" s="168">
        <f>G177*VLOOKUP(B177,[1]Afgrødedata!$A$5:$F$18,2,FALSE)*IF(D177="Økologisk",VLOOKUP(B177,[1]Afgrødedata!$A$5:$F$18,4,FALSE),1)*IF(E177&lt;&gt;Jordbund1,IF(E177=Organ6,VLOOKUP(B177,[1]Afgrødedata!$A$5:$F$18,5,FALSE),VLOOKUP(B177,[1]Afgrødedata!$A$5:$F$18,6,FALSE)),1)*0.1</f>
        <v>101446.37947259334</v>
      </c>
      <c r="I177" s="168">
        <f>G177*VLOOKUP(B177,[1]Afgrødedata!$A$5:$F$18,3,FALSE)*IF(D177="Økologisk",VLOOKUP(B177,[1]Afgrødedata!$A$5:$F$18,4,FALSE),1)*IF(E177&lt;&gt;Jordbund1,IF(E177=Organ6,VLOOKUP(B177,[1]Afgrødedata!$A$5:$F$18,5,FALSE),VLOOKUP(B177,[1]Afgrødedata!$A$5:$F$18,6,FALSE)),1)*HLOOKUP(C177,Landbrug!$C$15:$E$17,2,FALSE)*HLOOKUP(C177,Landbrug!$C$15:$E$17,3,FALSE)*0.1</f>
        <v>0</v>
      </c>
      <c r="J177" s="76">
        <f t="shared" si="29"/>
        <v>101446.37947259334</v>
      </c>
    </row>
    <row r="178" spans="1:10" x14ac:dyDescent="0.25">
      <c r="A178" t="s">
        <v>23</v>
      </c>
      <c r="B178" s="1" t="str">
        <f>[1]Afgrødefordeling!$C$10</f>
        <v>Frugt</v>
      </c>
      <c r="C178">
        <v>2019</v>
      </c>
      <c r="D178" t="s">
        <v>7</v>
      </c>
      <c r="E178" s="168" t="str">
        <f t="shared" si="35"/>
        <v>OC12</v>
      </c>
      <c r="F178" t="str">
        <f t="shared" si="28"/>
        <v>Frugt</v>
      </c>
      <c r="G178" s="76" cm="1">
        <f t="array" ref="G178">IF(A178="Vestdanmark",IF(D178="Konventionel",IF(C178=2019,SUMPRODUCT((B178='Landbrugsareal - resultat'!$B$6:$B$19)*(INDEX('Landbrugsareal - resultat'!$C$6:$E$19,,MATCH(E178,'Landbrugsareal - resultat'!$C$5:$E$5,0)))),IF(C178=2030,SUMPRODUCT((B178='Landbrugsareal - resultat'!$B$6:$B$19)*(INDEX('Landbrugsareal - resultat'!$F$6:$H$19,,MATCH(E178,'Landbrugsareal - resultat'!$F$5:$H$5,0)))),SUMPRODUCT((B178='Landbrugsareal - resultat'!$B$6:$B$19)*(INDEX('Landbrugsareal - resultat'!$I$6:$K$19,,MATCH(E178,'Landbrugsareal - resultat'!$I$5:$K$5,0)))))),IF(C178=2019,SUMPRODUCT((B178='Landbrugsareal - resultat'!$B$6:$B$19)*(INDEX('Landbrugsareal - resultat'!$L$6:$N$19,,MATCH(E178,'Landbrugsareal - resultat'!$L$5:$N$5,0)))),IF(C178=2030,SUMPRODUCT((B178='Landbrugsareal - resultat'!$B$6:$B$19)*(INDEX('Landbrugsareal - resultat'!$O$6:$Q$19,,MATCH(E178,'Landbrugsareal - resultat'!$O$5:$Q$5,0)))),SUMPRODUCT((B178='Landbrugsareal - resultat'!$B$6:$B$19)*(INDEX('Landbrugsareal - resultat'!$R$6:$T$19,,MATCH(E178,'Landbrugsareal - resultat'!$R$5:$T$5,0))))))),IF(D178="Konventionel",IF(C178=2019,SUMPRODUCT((B178='Landbrugsareal - resultat'!$B$33:$B$46)*(INDEX('Landbrugsareal - resultat'!$C$33:$E$46,,MATCH(E178,'Landbrugsareal - resultat'!$C$5:$E$5,0)))),IF(C178=2030,SUMPRODUCT((B178='Landbrugsareal - resultat'!$B$33:$B$46)*(INDEX('Landbrugsareal - resultat'!$F$33:$H$46,,MATCH(E178,'Landbrugsareal - resultat'!$F$5:$H$5,0)))),SUMPRODUCT((B178='Landbrugsareal - resultat'!$B$33:$B$46)*(INDEX('Landbrugsareal - resultat'!$I$33:$K$46,,MATCH(E178,'Landbrugsareal - resultat'!$I$5:$K$5,0)))))),IF(C178=2019,SUMPRODUCT((B178='Landbrugsareal - resultat'!$B$33:$B$46)*(INDEX('Landbrugsareal - resultat'!$L$33:$N$46,,MATCH(E178,'Landbrugsareal - resultat'!$L$5:$N$5,0)))),IF(C178=2030,SUMPRODUCT((B178='Landbrugsareal - resultat'!$B$33:$B$46)*(INDEX('Landbrugsareal - resultat'!$O$33:$Q$46,,MATCH(E178,'Landbrugsareal - resultat'!$O$5:$Q$5,0)))),SUMPRODUCT((B178='Landbrugsareal - resultat'!$B$33:$B$46)*(INDEX('Landbrugsareal - resultat'!$R$33:$T$46,,MATCH(E178,'Landbrugsareal - resultat'!$R$5:$T$5,0))))))))</f>
        <v>46.653159168791504</v>
      </c>
      <c r="H178" s="168">
        <f>G178*VLOOKUP(B178,[1]Afgrødedata!$A$5:$F$18,2,FALSE)*IF(D178="Økologisk",VLOOKUP(B178,[1]Afgrødedata!$A$5:$F$18,4,FALSE),1)*IF(E178&lt;&gt;Jordbund1,IF(E178=Organ6,VLOOKUP(B178,[1]Afgrødedata!$A$5:$F$18,5,FALSE),VLOOKUP(B178,[1]Afgrødedata!$A$5:$F$18,6,FALSE)),1)*0.1</f>
        <v>554.51944988025593</v>
      </c>
      <c r="I178" s="168">
        <f>G178*VLOOKUP(B178,[1]Afgrødedata!$A$5:$F$18,3,FALSE)*IF(D178="Økologisk",VLOOKUP(B178,[1]Afgrødedata!$A$5:$F$18,4,FALSE),1)*IF(E178&lt;&gt;Jordbund1,IF(E178=Organ6,VLOOKUP(B178,[1]Afgrødedata!$A$5:$F$18,5,FALSE),VLOOKUP(B178,[1]Afgrødedata!$A$5:$F$18,6,FALSE)),1)*HLOOKUP(C178,Landbrug!$C$15:$E$17,2,FALSE)*HLOOKUP(C178,Landbrug!$C$15:$E$17,3,FALSE)*0.1</f>
        <v>0</v>
      </c>
      <c r="J178" s="76">
        <f t="shared" si="29"/>
        <v>554.51944988025593</v>
      </c>
    </row>
    <row r="179" spans="1:10" x14ac:dyDescent="0.25">
      <c r="A179" t="s">
        <v>23</v>
      </c>
      <c r="B179" s="1" t="str">
        <f>[1]Afgrødefordeling!$C$11</f>
        <v>Øvrige</v>
      </c>
      <c r="C179">
        <v>2019</v>
      </c>
      <c r="D179" t="s">
        <v>7</v>
      </c>
      <c r="E179" s="168" t="str">
        <f t="shared" si="35"/>
        <v>OC12</v>
      </c>
      <c r="F179" t="str">
        <f t="shared" si="28"/>
        <v>Øvrige</v>
      </c>
      <c r="G179" s="76" cm="1">
        <f t="array" ref="G179">IF(A179="Vestdanmark",IF(D179="Konventionel",IF(C179=2019,SUMPRODUCT((B179='Landbrugsareal - resultat'!$B$6:$B$19)*(INDEX('Landbrugsareal - resultat'!$C$6:$E$19,,MATCH(E179,'Landbrugsareal - resultat'!$C$5:$E$5,0)))),IF(C179=2030,SUMPRODUCT((B179='Landbrugsareal - resultat'!$B$6:$B$19)*(INDEX('Landbrugsareal - resultat'!$F$6:$H$19,,MATCH(E179,'Landbrugsareal - resultat'!$F$5:$H$5,0)))),SUMPRODUCT((B179='Landbrugsareal - resultat'!$B$6:$B$19)*(INDEX('Landbrugsareal - resultat'!$I$6:$K$19,,MATCH(E179,'Landbrugsareal - resultat'!$I$5:$K$5,0)))))),IF(C179=2019,SUMPRODUCT((B179='Landbrugsareal - resultat'!$B$6:$B$19)*(INDEX('Landbrugsareal - resultat'!$L$6:$N$19,,MATCH(E179,'Landbrugsareal - resultat'!$L$5:$N$5,0)))),IF(C179=2030,SUMPRODUCT((B179='Landbrugsareal - resultat'!$B$6:$B$19)*(INDEX('Landbrugsareal - resultat'!$O$6:$Q$19,,MATCH(E179,'Landbrugsareal - resultat'!$O$5:$Q$5,0)))),SUMPRODUCT((B179='Landbrugsareal - resultat'!$B$6:$B$19)*(INDEX('Landbrugsareal - resultat'!$R$6:$T$19,,MATCH(E179,'Landbrugsareal - resultat'!$R$5:$T$5,0))))))),IF(D179="Konventionel",IF(C179=2019,SUMPRODUCT((B179='Landbrugsareal - resultat'!$B$33:$B$46)*(INDEX('Landbrugsareal - resultat'!$C$33:$E$46,,MATCH(E179,'Landbrugsareal - resultat'!$C$5:$E$5,0)))),IF(C179=2030,SUMPRODUCT((B179='Landbrugsareal - resultat'!$B$33:$B$46)*(INDEX('Landbrugsareal - resultat'!$F$33:$H$46,,MATCH(E179,'Landbrugsareal - resultat'!$F$5:$H$5,0)))),SUMPRODUCT((B179='Landbrugsareal - resultat'!$B$33:$B$46)*(INDEX('Landbrugsareal - resultat'!$I$33:$K$46,,MATCH(E179,'Landbrugsareal - resultat'!$I$5:$K$5,0)))))),IF(C179=2019,SUMPRODUCT((B179='Landbrugsareal - resultat'!$B$33:$B$46)*(INDEX('Landbrugsareal - resultat'!$L$33:$N$46,,MATCH(E179,'Landbrugsareal - resultat'!$L$5:$N$5,0)))),IF(C179=2030,SUMPRODUCT((B179='Landbrugsareal - resultat'!$B$33:$B$46)*(INDEX('Landbrugsareal - resultat'!$O$33:$Q$46,,MATCH(E179,'Landbrugsareal - resultat'!$O$5:$Q$5,0)))),SUMPRODUCT((B179='Landbrugsareal - resultat'!$B$33:$B$46)*(INDEX('Landbrugsareal - resultat'!$R$33:$T$46,,MATCH(E179,'Landbrugsareal - resultat'!$R$5:$T$5,0))))))))</f>
        <v>825.10317275892578</v>
      </c>
      <c r="H179" s="168">
        <f>G179*VLOOKUP(B179,[1]Afgrødedata!$A$5:$F$18,2,FALSE)*IF(D179="Økologisk",VLOOKUP(B179,[1]Afgrødedata!$A$5:$F$18,4,FALSE),1)*IF(E179&lt;&gt;Jordbund1,IF(E179=Organ6,VLOOKUP(B179,[1]Afgrødedata!$A$5:$F$18,5,FALSE),VLOOKUP(B179,[1]Afgrødedata!$A$5:$F$18,6,FALSE)),1)*0.1</f>
        <v>34418.618533530331</v>
      </c>
      <c r="I179" s="168">
        <f>G179*VLOOKUP(B179,[1]Afgrødedata!$A$5:$F$18,3,FALSE)*IF(D179="Økologisk",VLOOKUP(B179,[1]Afgrødedata!$A$5:$F$18,4,FALSE),1)*IF(E179&lt;&gt;Jordbund1,IF(E179=Organ6,VLOOKUP(B179,[1]Afgrødedata!$A$5:$F$18,5,FALSE),VLOOKUP(B179,[1]Afgrødedata!$A$5:$F$18,6,FALSE)),1)*HLOOKUP(C179,Landbrug!$C$15:$E$17,2,FALSE)*HLOOKUP(C179,Landbrug!$C$15:$E$17,3,FALSE)*0.1</f>
        <v>0</v>
      </c>
      <c r="J179" s="76">
        <f t="shared" si="29"/>
        <v>34418.618533530331</v>
      </c>
    </row>
    <row r="180" spans="1:10" x14ac:dyDescent="0.25">
      <c r="A180" t="s">
        <v>23</v>
      </c>
      <c r="B180" s="1" t="str">
        <f>[1]Afgrødefordeling!$C$12</f>
        <v>Frø</v>
      </c>
      <c r="C180">
        <v>2019</v>
      </c>
      <c r="D180" t="s">
        <v>7</v>
      </c>
      <c r="E180" s="168" t="str">
        <f t="shared" si="35"/>
        <v>OC12</v>
      </c>
      <c r="F180" t="str">
        <f t="shared" si="28"/>
        <v>Halm</v>
      </c>
      <c r="G180" s="76" cm="1">
        <f t="array" ref="G180">IF(A180="Vestdanmark",IF(D180="Konventionel",IF(C180=2019,SUMPRODUCT((B180='Landbrugsareal - resultat'!$B$6:$B$19)*(INDEX('Landbrugsareal - resultat'!$C$6:$E$19,,MATCH(E180,'Landbrugsareal - resultat'!$C$5:$E$5,0)))),IF(C180=2030,SUMPRODUCT((B180='Landbrugsareal - resultat'!$B$6:$B$19)*(INDEX('Landbrugsareal - resultat'!$F$6:$H$19,,MATCH(E180,'Landbrugsareal - resultat'!$F$5:$H$5,0)))),SUMPRODUCT((B180='Landbrugsareal - resultat'!$B$6:$B$19)*(INDEX('Landbrugsareal - resultat'!$I$6:$K$19,,MATCH(E180,'Landbrugsareal - resultat'!$I$5:$K$5,0)))))),IF(C180=2019,SUMPRODUCT((B180='Landbrugsareal - resultat'!$B$6:$B$19)*(INDEX('Landbrugsareal - resultat'!$L$6:$N$19,,MATCH(E180,'Landbrugsareal - resultat'!$L$5:$N$5,0)))),IF(C180=2030,SUMPRODUCT((B180='Landbrugsareal - resultat'!$B$6:$B$19)*(INDEX('Landbrugsareal - resultat'!$O$6:$Q$19,,MATCH(E180,'Landbrugsareal - resultat'!$O$5:$Q$5,0)))),SUMPRODUCT((B180='Landbrugsareal - resultat'!$B$6:$B$19)*(INDEX('Landbrugsareal - resultat'!$R$6:$T$19,,MATCH(E180,'Landbrugsareal - resultat'!$R$5:$T$5,0))))))),IF(D180="Konventionel",IF(C180=2019,SUMPRODUCT((B180='Landbrugsareal - resultat'!$B$33:$B$46)*(INDEX('Landbrugsareal - resultat'!$C$33:$E$46,,MATCH(E180,'Landbrugsareal - resultat'!$C$5:$E$5,0)))),IF(C180=2030,SUMPRODUCT((B180='Landbrugsareal - resultat'!$B$33:$B$46)*(INDEX('Landbrugsareal - resultat'!$F$33:$H$46,,MATCH(E180,'Landbrugsareal - resultat'!$F$5:$H$5,0)))),SUMPRODUCT((B180='Landbrugsareal - resultat'!$B$33:$B$46)*(INDEX('Landbrugsareal - resultat'!$I$33:$K$46,,MATCH(E180,'Landbrugsareal - resultat'!$I$5:$K$5,0)))))),IF(C180=2019,SUMPRODUCT((B180='Landbrugsareal - resultat'!$B$33:$B$46)*(INDEX('Landbrugsareal - resultat'!$L$33:$N$46,,MATCH(E180,'Landbrugsareal - resultat'!$L$5:$N$5,0)))),IF(C180=2030,SUMPRODUCT((B180='Landbrugsareal - resultat'!$B$33:$B$46)*(INDEX('Landbrugsareal - resultat'!$O$33:$Q$46,,MATCH(E180,'Landbrugsareal - resultat'!$O$5:$Q$5,0)))),SUMPRODUCT((B180='Landbrugsareal - resultat'!$B$33:$B$46)*(INDEX('Landbrugsareal - resultat'!$R$33:$T$46,,MATCH(E180,'Landbrugsareal - resultat'!$R$5:$T$5,0))))))))</f>
        <v>2625.2024337684684</v>
      </c>
      <c r="H180" s="168">
        <f>G180*VLOOKUP(B180,[1]Afgrødedata!$A$5:$F$18,2,FALSE)*IF(D180="Økologisk",VLOOKUP(B180,[1]Afgrødedata!$A$5:$F$18,4,FALSE),1)*IF(E180&lt;&gt;Jordbund1,IF(E180=Organ6,VLOOKUP(B180,[1]Afgrødedata!$A$5:$F$18,5,FALSE),VLOOKUP(B180,[1]Afgrødedata!$A$5:$F$18,6,FALSE)),1)*0.1</f>
        <v>52515.612858242159</v>
      </c>
      <c r="I180" s="168">
        <f>G180*VLOOKUP(B180,[1]Afgrødedata!$A$5:$F$18,3,FALSE)*IF(D180="Økologisk",VLOOKUP(B180,[1]Afgrødedata!$A$5:$F$18,4,FALSE),1)*IF(E180&lt;&gt;Jordbund1,IF(E180=Organ6,VLOOKUP(B180,[1]Afgrødedata!$A$5:$F$18,5,FALSE),VLOOKUP(B180,[1]Afgrødedata!$A$5:$F$18,6,FALSE)),1)*HLOOKUP(C180,Landbrug!$C$15:$E$17,2,FALSE)*HLOOKUP(C180,Landbrug!$C$15:$E$17,3,FALSE)*0.1</f>
        <v>8724.3877521914255</v>
      </c>
      <c r="J180" s="76">
        <f t="shared" si="29"/>
        <v>8724.3877521914255</v>
      </c>
    </row>
    <row r="181" spans="1:10" x14ac:dyDescent="0.25">
      <c r="A181" t="s">
        <v>23</v>
      </c>
      <c r="B181" s="1" t="str">
        <f>[1]Afgrødefordeling!$C$13</f>
        <v>Juletræer</v>
      </c>
      <c r="C181">
        <v>2019</v>
      </c>
      <c r="D181" t="s">
        <v>7</v>
      </c>
      <c r="E181" s="168" t="str">
        <f t="shared" si="35"/>
        <v>OC12</v>
      </c>
      <c r="F181" t="str">
        <f t="shared" si="28"/>
        <v>Juletræer</v>
      </c>
      <c r="G181" s="76" cm="1">
        <f t="array" ref="G181">IF(A181="Vestdanmark",IF(D181="Konventionel",IF(C181=2019,SUMPRODUCT((B181='Landbrugsareal - resultat'!$B$6:$B$19)*(INDEX('Landbrugsareal - resultat'!$C$6:$E$19,,MATCH(E181,'Landbrugsareal - resultat'!$C$5:$E$5,0)))),IF(C181=2030,SUMPRODUCT((B181='Landbrugsareal - resultat'!$B$6:$B$19)*(INDEX('Landbrugsareal - resultat'!$F$6:$H$19,,MATCH(E181,'Landbrugsareal - resultat'!$F$5:$H$5,0)))),SUMPRODUCT((B181='Landbrugsareal - resultat'!$B$6:$B$19)*(INDEX('Landbrugsareal - resultat'!$I$6:$K$19,,MATCH(E181,'Landbrugsareal - resultat'!$I$5:$K$5,0)))))),IF(C181=2019,SUMPRODUCT((B181='Landbrugsareal - resultat'!$B$6:$B$19)*(INDEX('Landbrugsareal - resultat'!$L$6:$N$19,,MATCH(E181,'Landbrugsareal - resultat'!$L$5:$N$5,0)))),IF(C181=2030,SUMPRODUCT((B181='Landbrugsareal - resultat'!$B$6:$B$19)*(INDEX('Landbrugsareal - resultat'!$O$6:$Q$19,,MATCH(E181,'Landbrugsareal - resultat'!$O$5:$Q$5,0)))),SUMPRODUCT((B181='Landbrugsareal - resultat'!$B$6:$B$19)*(INDEX('Landbrugsareal - resultat'!$R$6:$T$19,,MATCH(E181,'Landbrugsareal - resultat'!$R$5:$T$5,0))))))),IF(D181="Konventionel",IF(C181=2019,SUMPRODUCT((B181='Landbrugsareal - resultat'!$B$33:$B$46)*(INDEX('Landbrugsareal - resultat'!$C$33:$E$46,,MATCH(E181,'Landbrugsareal - resultat'!$C$5:$E$5,0)))),IF(C181=2030,SUMPRODUCT((B181='Landbrugsareal - resultat'!$B$33:$B$46)*(INDEX('Landbrugsareal - resultat'!$F$33:$H$46,,MATCH(E181,'Landbrugsareal - resultat'!$F$5:$H$5,0)))),SUMPRODUCT((B181='Landbrugsareal - resultat'!$B$33:$B$46)*(INDEX('Landbrugsareal - resultat'!$I$33:$K$46,,MATCH(E181,'Landbrugsareal - resultat'!$I$5:$K$5,0)))))),IF(C181=2019,SUMPRODUCT((B181='Landbrugsareal - resultat'!$B$33:$B$46)*(INDEX('Landbrugsareal - resultat'!$L$33:$N$46,,MATCH(E181,'Landbrugsareal - resultat'!$L$5:$N$5,0)))),IF(C181=2030,SUMPRODUCT((B181='Landbrugsareal - resultat'!$B$33:$B$46)*(INDEX('Landbrugsareal - resultat'!$O$33:$Q$46,,MATCH(E181,'Landbrugsareal - resultat'!$O$5:$Q$5,0)))),SUMPRODUCT((B181='Landbrugsareal - resultat'!$B$33:$B$46)*(INDEX('Landbrugsareal - resultat'!$R$33:$T$46,,MATCH(E181,'Landbrugsareal - resultat'!$R$5:$T$5,0))))))))</f>
        <v>233.9909744838869</v>
      </c>
      <c r="H181" s="168">
        <f>G181*VLOOKUP(B181,[1]Afgrødedata!$A$5:$F$18,2,FALSE)*IF(D181="Økologisk",VLOOKUP(B181,[1]Afgrødedata!$A$5:$F$18,4,FALSE),1)*IF(E181&lt;&gt;Jordbund1,IF(E181=Organ6,VLOOKUP(B181,[1]Afgrødedata!$A$5:$F$18,5,FALSE),VLOOKUP(B181,[1]Afgrødedata!$A$5:$F$18,6,FALSE)),1)*0.1</f>
        <v>16379.368213872083</v>
      </c>
      <c r="I181" s="168">
        <f>G181*VLOOKUP(B181,[1]Afgrødedata!$A$5:$F$18,3,FALSE)*IF(D181="Økologisk",VLOOKUP(B181,[1]Afgrødedata!$A$5:$F$18,4,FALSE),1)*IF(E181&lt;&gt;Jordbund1,IF(E181=Organ6,VLOOKUP(B181,[1]Afgrødedata!$A$5:$F$18,5,FALSE),VLOOKUP(B181,[1]Afgrødedata!$A$5:$F$18,6,FALSE)),1)*HLOOKUP(C181,Landbrug!$C$15:$E$17,2,FALSE)*HLOOKUP(C181,Landbrug!$C$15:$E$17,3,FALSE)*0.1</f>
        <v>0</v>
      </c>
      <c r="J181" s="76">
        <f t="shared" si="29"/>
        <v>16379.368213872083</v>
      </c>
    </row>
    <row r="182" spans="1:10" x14ac:dyDescent="0.25">
      <c r="A182" t="s">
        <v>23</v>
      </c>
      <c r="B182" s="1" t="str">
        <f>[1]Afgrødefordeling!$C$14</f>
        <v>Pil &amp; poppel</v>
      </c>
      <c r="C182">
        <v>2019</v>
      </c>
      <c r="D182" t="s">
        <v>7</v>
      </c>
      <c r="E182" s="168" t="str">
        <f t="shared" si="35"/>
        <v>OC12</v>
      </c>
      <c r="F182" t="str">
        <f t="shared" ref="F182" si="36">IF(I182&lt;&gt;0,"Halm",IF(B182&lt;&gt;"Permanent græs",B182,"Græs"))</f>
        <v>Pil &amp; poppel</v>
      </c>
      <c r="G182" s="76" cm="1">
        <f t="array" ref="G182">IF(A182="Vestdanmark",IF(D182="Konventionel",IF(C182=2019,SUMPRODUCT((B182='Landbrugsareal - resultat'!$B$6:$B$19)*(INDEX('Landbrugsareal - resultat'!$C$6:$E$19,,MATCH(E182,'Landbrugsareal - resultat'!$C$5:$E$5,0)))),IF(C182=2030,SUMPRODUCT((B182='Landbrugsareal - resultat'!$B$6:$B$19)*(INDEX('Landbrugsareal - resultat'!$F$6:$H$19,,MATCH(E182,'Landbrugsareal - resultat'!$F$5:$H$5,0)))),SUMPRODUCT((B182='Landbrugsareal - resultat'!$B$6:$B$19)*(INDEX('Landbrugsareal - resultat'!$I$6:$K$19,,MATCH(E182,'Landbrugsareal - resultat'!$I$5:$K$5,0)))))),IF(C182=2019,SUMPRODUCT((B182='Landbrugsareal - resultat'!$B$6:$B$19)*(INDEX('Landbrugsareal - resultat'!$L$6:$N$19,,MATCH(E182,'Landbrugsareal - resultat'!$L$5:$N$5,0)))),IF(C182=2030,SUMPRODUCT((B182='Landbrugsareal - resultat'!$B$6:$B$19)*(INDEX('Landbrugsareal - resultat'!$O$6:$Q$19,,MATCH(E182,'Landbrugsareal - resultat'!$O$5:$Q$5,0)))),SUMPRODUCT((B182='Landbrugsareal - resultat'!$B$6:$B$19)*(INDEX('Landbrugsareal - resultat'!$R$6:$T$19,,MATCH(E182,'Landbrugsareal - resultat'!$R$5:$T$5,0))))))),IF(D182="Konventionel",IF(C182=2019,SUMPRODUCT((B182='Landbrugsareal - resultat'!$B$33:$B$46)*(INDEX('Landbrugsareal - resultat'!$C$33:$E$46,,MATCH(E182,'Landbrugsareal - resultat'!$C$5:$E$5,0)))),IF(C182=2030,SUMPRODUCT((B182='Landbrugsareal - resultat'!$B$33:$B$46)*(INDEX('Landbrugsareal - resultat'!$F$33:$H$46,,MATCH(E182,'Landbrugsareal - resultat'!$F$5:$H$5,0)))),SUMPRODUCT((B182='Landbrugsareal - resultat'!$B$33:$B$46)*(INDEX('Landbrugsareal - resultat'!$I$33:$K$46,,MATCH(E182,'Landbrugsareal - resultat'!$I$5:$K$5,0)))))),IF(C182=2019,SUMPRODUCT((B182='Landbrugsareal - resultat'!$B$33:$B$46)*(INDEX('Landbrugsareal - resultat'!$L$33:$N$46,,MATCH(E182,'Landbrugsareal - resultat'!$L$5:$N$5,0)))),IF(C182=2030,SUMPRODUCT((B182='Landbrugsareal - resultat'!$B$33:$B$46)*(INDEX('Landbrugsareal - resultat'!$O$33:$Q$46,,MATCH(E182,'Landbrugsareal - resultat'!$O$5:$Q$5,0)))),SUMPRODUCT((B182='Landbrugsareal - resultat'!$B$33:$B$46)*(INDEX('Landbrugsareal - resultat'!$R$33:$T$46,,MATCH(E182,'Landbrugsareal - resultat'!$R$5:$T$5,0))))))))</f>
        <v>552.34127487506601</v>
      </c>
      <c r="H182" s="168">
        <f>G182*VLOOKUP(B182,[1]Afgrødedata!$A$5:$F$18,2,FALSE)*IF(D182="Økologisk",VLOOKUP(B182,[1]Afgrødedata!$A$5:$F$18,4,FALSE),1)*IF(E182&lt;&gt;Jordbund1,IF(E182=Organ6,VLOOKUP(B182,[1]Afgrødedata!$A$5:$F$18,5,FALSE),VLOOKUP(B182,[1]Afgrødedata!$A$5:$F$18,6,FALSE)),1)*0.1</f>
        <v>18860.433776221766</v>
      </c>
      <c r="I182" s="168">
        <f>G182*VLOOKUP(B182,[1]Afgrødedata!$A$5:$F$18,3,FALSE)*IF(D182="Økologisk",VLOOKUP(B182,[1]Afgrødedata!$A$5:$F$18,4,FALSE),1)*IF(E182&lt;&gt;Jordbund1,IF(E182=Organ6,VLOOKUP(B182,[1]Afgrødedata!$A$5:$F$18,5,FALSE),VLOOKUP(B182,[1]Afgrødedata!$A$5:$F$18,6,FALSE)),1)*HLOOKUP(C182,Landbrug!$C$15:$E$17,2,FALSE)*HLOOKUP(C182,Landbrug!$C$15:$E$17,3,FALSE)*0.1</f>
        <v>0</v>
      </c>
      <c r="J182" s="76">
        <f t="shared" ref="J182" si="37">IF(I182&lt;&gt;0,I182,H182)</f>
        <v>18860.433776221766</v>
      </c>
    </row>
    <row r="183" spans="1:10" x14ac:dyDescent="0.25">
      <c r="A183" t="s">
        <v>23</v>
      </c>
      <c r="B183" s="1" t="str">
        <f>[1]Afgrødefordeling!$C$15</f>
        <v>Permanent græs</v>
      </c>
      <c r="C183">
        <v>2019</v>
      </c>
      <c r="D183" t="s">
        <v>7</v>
      </c>
      <c r="E183" s="168" t="str">
        <f t="shared" si="35"/>
        <v>OC12</v>
      </c>
      <c r="F183" t="str">
        <f t="shared" si="28"/>
        <v>Græs</v>
      </c>
      <c r="G183" s="76" cm="1">
        <f t="array" ref="G183">IF(A183="Vestdanmark",IF(D183="Konventionel",IF(C183=2019,SUMPRODUCT((B183='Landbrugsareal - resultat'!$B$6:$B$19)*(INDEX('Landbrugsareal - resultat'!$C$6:$E$19,,MATCH(E183,'Landbrugsareal - resultat'!$C$5:$E$5,0)))),IF(C183=2030,SUMPRODUCT((B183='Landbrugsareal - resultat'!$B$6:$B$19)*(INDEX('Landbrugsareal - resultat'!$F$6:$H$19,,MATCH(E183,'Landbrugsareal - resultat'!$F$5:$H$5,0)))),SUMPRODUCT((B183='Landbrugsareal - resultat'!$B$6:$B$19)*(INDEX('Landbrugsareal - resultat'!$I$6:$K$19,,MATCH(E183,'Landbrugsareal - resultat'!$I$5:$K$5,0)))))),IF(C183=2019,SUMPRODUCT((B183='Landbrugsareal - resultat'!$B$6:$B$19)*(INDEX('Landbrugsareal - resultat'!$L$6:$N$19,,MATCH(E183,'Landbrugsareal - resultat'!$L$5:$N$5,0)))),IF(C183=2030,SUMPRODUCT((B183='Landbrugsareal - resultat'!$B$6:$B$19)*(INDEX('Landbrugsareal - resultat'!$O$6:$Q$19,,MATCH(E183,'Landbrugsareal - resultat'!$O$5:$Q$5,0)))),SUMPRODUCT((B183='Landbrugsareal - resultat'!$B$6:$B$19)*(INDEX('Landbrugsareal - resultat'!$R$6:$T$19,,MATCH(E183,'Landbrugsareal - resultat'!$R$5:$T$5,0))))))),IF(D183="Konventionel",IF(C183=2019,SUMPRODUCT((B183='Landbrugsareal - resultat'!$B$33:$B$46)*(INDEX('Landbrugsareal - resultat'!$C$33:$E$46,,MATCH(E183,'Landbrugsareal - resultat'!$C$5:$E$5,0)))),IF(C183=2030,SUMPRODUCT((B183='Landbrugsareal - resultat'!$B$33:$B$46)*(INDEX('Landbrugsareal - resultat'!$F$33:$H$46,,MATCH(E183,'Landbrugsareal - resultat'!$F$5:$H$5,0)))),SUMPRODUCT((B183='Landbrugsareal - resultat'!$B$33:$B$46)*(INDEX('Landbrugsareal - resultat'!$I$33:$K$46,,MATCH(E183,'Landbrugsareal - resultat'!$I$5:$K$5,0)))))),IF(C183=2019,SUMPRODUCT((B183='Landbrugsareal - resultat'!$B$33:$B$46)*(INDEX('Landbrugsareal - resultat'!$L$33:$N$46,,MATCH(E183,'Landbrugsareal - resultat'!$L$5:$N$5,0)))),IF(C183=2030,SUMPRODUCT((B183='Landbrugsareal - resultat'!$B$33:$B$46)*(INDEX('Landbrugsareal - resultat'!$O$33:$Q$46,,MATCH(E183,'Landbrugsareal - resultat'!$O$5:$Q$5,0)))),SUMPRODUCT((B183='Landbrugsareal - resultat'!$B$33:$B$46)*(INDEX('Landbrugsareal - resultat'!$R$33:$T$46,,MATCH(E183,'Landbrugsareal - resultat'!$R$5:$T$5,0))))))))</f>
        <v>20428.487949592105</v>
      </c>
      <c r="H183" s="168">
        <f>G183*VLOOKUP(B183,[1]Afgrødedata!$A$5:$F$18,2,FALSE)*IF(D183="Økologisk",VLOOKUP(B183,[1]Afgrødedata!$A$5:$F$18,4,FALSE),1)*IF(E183&lt;&gt;Jordbund1,IF(E183=Organ6,VLOOKUP(B183,[1]Afgrødedata!$A$5:$F$18,5,FALSE),VLOOKUP(B183,[1]Afgrødedata!$A$5:$F$18,6,FALSE)),1)*0.1</f>
        <v>394392.38835482521</v>
      </c>
      <c r="I183" s="168">
        <f>G183*VLOOKUP(B183,[1]Afgrødedata!$A$5:$F$18,3,FALSE)*IF(D183="Økologisk",VLOOKUP(B183,[1]Afgrødedata!$A$5:$F$18,4,FALSE),1)*IF(E183&lt;&gt;Jordbund1,IF(E183=Organ6,VLOOKUP(B183,[1]Afgrødedata!$A$5:$F$18,5,FALSE),VLOOKUP(B183,[1]Afgrødedata!$A$5:$F$18,6,FALSE)),1)*HLOOKUP(C183,Landbrug!$C$15:$E$17,2,FALSE)*HLOOKUP(C183,Landbrug!$C$15:$E$17,3,FALSE)*0.1</f>
        <v>0</v>
      </c>
      <c r="J183" s="76">
        <f t="shared" si="29"/>
        <v>394392.38835482521</v>
      </c>
    </row>
    <row r="184" spans="1:10" x14ac:dyDescent="0.25">
      <c r="A184" t="s">
        <v>23</v>
      </c>
      <c r="B184" s="1" t="str">
        <f>[1]Afgrødefordeling!$C$2</f>
        <v>Korn</v>
      </c>
      <c r="C184">
        <v>2030</v>
      </c>
      <c r="D184" t="s">
        <v>7</v>
      </c>
      <c r="E184" s="168" t="str">
        <f t="shared" si="35"/>
        <v>OC12</v>
      </c>
      <c r="F184" t="str">
        <f t="shared" si="28"/>
        <v>Halm</v>
      </c>
      <c r="G184" s="76" cm="1">
        <f t="array" ref="G184">IF(A184="Vestdanmark",IF(D184="Konventionel",IF(C184=2019,SUMPRODUCT((B184='Landbrugsareal - resultat'!$B$6:$B$19)*(INDEX('Landbrugsareal - resultat'!$C$6:$E$19,,MATCH(E184,'Landbrugsareal - resultat'!$C$5:$E$5,0)))),IF(C184=2030,SUMPRODUCT((B184='Landbrugsareal - resultat'!$B$6:$B$19)*(INDEX('Landbrugsareal - resultat'!$F$6:$H$19,,MATCH(E184,'Landbrugsareal - resultat'!$F$5:$H$5,0)))),SUMPRODUCT((B184='Landbrugsareal - resultat'!$B$6:$B$19)*(INDEX('Landbrugsareal - resultat'!$I$6:$K$19,,MATCH(E184,'Landbrugsareal - resultat'!$I$5:$K$5,0)))))),IF(C184=2019,SUMPRODUCT((B184='Landbrugsareal - resultat'!$B$6:$B$19)*(INDEX('Landbrugsareal - resultat'!$L$6:$N$19,,MATCH(E184,'Landbrugsareal - resultat'!$L$5:$N$5,0)))),IF(C184=2030,SUMPRODUCT((B184='Landbrugsareal - resultat'!$B$6:$B$19)*(INDEX('Landbrugsareal - resultat'!$O$6:$Q$19,,MATCH(E184,'Landbrugsareal - resultat'!$O$5:$Q$5,0)))),SUMPRODUCT((B184='Landbrugsareal - resultat'!$B$6:$B$19)*(INDEX('Landbrugsareal - resultat'!$R$6:$T$19,,MATCH(E184,'Landbrugsareal - resultat'!$R$5:$T$5,0))))))),IF(D184="Konventionel",IF(C184=2019,SUMPRODUCT((B184='Landbrugsareal - resultat'!$B$33:$B$46)*(INDEX('Landbrugsareal - resultat'!$C$33:$E$46,,MATCH(E184,'Landbrugsareal - resultat'!$C$5:$E$5,0)))),IF(C184=2030,SUMPRODUCT((B184='Landbrugsareal - resultat'!$B$33:$B$46)*(INDEX('Landbrugsareal - resultat'!$F$33:$H$46,,MATCH(E184,'Landbrugsareal - resultat'!$F$5:$H$5,0)))),SUMPRODUCT((B184='Landbrugsareal - resultat'!$B$33:$B$46)*(INDEX('Landbrugsareal - resultat'!$I$33:$K$46,,MATCH(E184,'Landbrugsareal - resultat'!$I$5:$K$5,0)))))),IF(C184=2019,SUMPRODUCT((B184='Landbrugsareal - resultat'!$B$33:$B$46)*(INDEX('Landbrugsareal - resultat'!$L$33:$N$46,,MATCH(E184,'Landbrugsareal - resultat'!$L$5:$N$5,0)))),IF(C184=2030,SUMPRODUCT((B184='Landbrugsareal - resultat'!$B$33:$B$46)*(INDEX('Landbrugsareal - resultat'!$O$33:$Q$46,,MATCH(E184,'Landbrugsareal - resultat'!$O$5:$Q$5,0)))),SUMPRODUCT((B184='Landbrugsareal - resultat'!$B$33:$B$46)*(INDEX('Landbrugsareal - resultat'!$R$33:$T$46,,MATCH(E184,'Landbrugsareal - resultat'!$R$5:$T$5,0))))))))</f>
        <v>10092.973017126162</v>
      </c>
      <c r="H184" s="168">
        <f>G184*VLOOKUP(B184,[1]Afgrødedata!$A$5:$F$18,2,FALSE)*IF(D184="Økologisk",VLOOKUP(B184,[1]Afgrødedata!$A$5:$F$18,4,FALSE),1)*IF(E184&lt;&gt;Jordbund1,IF(E184=Organ6,VLOOKUP(B184,[1]Afgrødedata!$A$5:$F$18,5,FALSE),VLOOKUP(B184,[1]Afgrødedata!$A$5:$F$18,6,FALSE)),1)*0.1</f>
        <v>99052.437190076147</v>
      </c>
      <c r="I184" s="168">
        <f>G184*VLOOKUP(B184,[1]Afgrødedata!$A$5:$F$18,3,FALSE)*IF(D184="Økologisk",VLOOKUP(B184,[1]Afgrødedata!$A$5:$F$18,4,FALSE),1)*IF(E184&lt;&gt;Jordbund1,IF(E184=Organ6,VLOOKUP(B184,[1]Afgrødedata!$A$5:$F$18,5,FALSE),VLOOKUP(B184,[1]Afgrødedata!$A$5:$F$18,6,FALSE)),1)*HLOOKUP(C184,Landbrug!$C$15:$E$17,2,FALSE)*HLOOKUP(C184,Landbrug!$C$15:$E$17,3,FALSE)*0.1</f>
        <v>32142.515868179711</v>
      </c>
      <c r="J184" s="76">
        <f t="shared" si="29"/>
        <v>32142.515868179711</v>
      </c>
    </row>
    <row r="185" spans="1:10" x14ac:dyDescent="0.25">
      <c r="A185" t="s">
        <v>23</v>
      </c>
      <c r="B185" s="1" t="str">
        <f>[1]Afgrødefordeling!$C$3</f>
        <v>Bælgsæd</v>
      </c>
      <c r="C185">
        <v>2030</v>
      </c>
      <c r="D185" t="s">
        <v>7</v>
      </c>
      <c r="E185" s="168" t="str">
        <f t="shared" si="35"/>
        <v>OC12</v>
      </c>
      <c r="F185" t="str">
        <f t="shared" si="28"/>
        <v>Halm</v>
      </c>
      <c r="G185" s="76" cm="1">
        <f t="array" ref="G185">IF(A185="Vestdanmark",IF(D185="Konventionel",IF(C185=2019,SUMPRODUCT((B185='Landbrugsareal - resultat'!$B$6:$B$19)*(INDEX('Landbrugsareal - resultat'!$C$6:$E$19,,MATCH(E185,'Landbrugsareal - resultat'!$C$5:$E$5,0)))),IF(C185=2030,SUMPRODUCT((B185='Landbrugsareal - resultat'!$B$6:$B$19)*(INDEX('Landbrugsareal - resultat'!$F$6:$H$19,,MATCH(E185,'Landbrugsareal - resultat'!$F$5:$H$5,0)))),SUMPRODUCT((B185='Landbrugsareal - resultat'!$B$6:$B$19)*(INDEX('Landbrugsareal - resultat'!$I$6:$K$19,,MATCH(E185,'Landbrugsareal - resultat'!$I$5:$K$5,0)))))),IF(C185=2019,SUMPRODUCT((B185='Landbrugsareal - resultat'!$B$6:$B$19)*(INDEX('Landbrugsareal - resultat'!$L$6:$N$19,,MATCH(E185,'Landbrugsareal - resultat'!$L$5:$N$5,0)))),IF(C185=2030,SUMPRODUCT((B185='Landbrugsareal - resultat'!$B$6:$B$19)*(INDEX('Landbrugsareal - resultat'!$O$6:$Q$19,,MATCH(E185,'Landbrugsareal - resultat'!$O$5:$Q$5,0)))),SUMPRODUCT((B185='Landbrugsareal - resultat'!$B$6:$B$19)*(INDEX('Landbrugsareal - resultat'!$R$6:$T$19,,MATCH(E185,'Landbrugsareal - resultat'!$R$5:$T$5,0))))))),IF(D185="Konventionel",IF(C185=2019,SUMPRODUCT((B185='Landbrugsareal - resultat'!$B$33:$B$46)*(INDEX('Landbrugsareal - resultat'!$C$33:$E$46,,MATCH(E185,'Landbrugsareal - resultat'!$C$5:$E$5,0)))),IF(C185=2030,SUMPRODUCT((B185='Landbrugsareal - resultat'!$B$33:$B$46)*(INDEX('Landbrugsareal - resultat'!$F$33:$H$46,,MATCH(E185,'Landbrugsareal - resultat'!$F$5:$H$5,0)))),SUMPRODUCT((B185='Landbrugsareal - resultat'!$B$33:$B$46)*(INDEX('Landbrugsareal - resultat'!$I$33:$K$46,,MATCH(E185,'Landbrugsareal - resultat'!$I$5:$K$5,0)))))),IF(C185=2019,SUMPRODUCT((B185='Landbrugsareal - resultat'!$B$33:$B$46)*(INDEX('Landbrugsareal - resultat'!$L$33:$N$46,,MATCH(E185,'Landbrugsareal - resultat'!$L$5:$N$5,0)))),IF(C185=2030,SUMPRODUCT((B185='Landbrugsareal - resultat'!$B$33:$B$46)*(INDEX('Landbrugsareal - resultat'!$O$33:$Q$46,,MATCH(E185,'Landbrugsareal - resultat'!$O$5:$Q$5,0)))),SUMPRODUCT((B185='Landbrugsareal - resultat'!$B$33:$B$46)*(INDEX('Landbrugsareal - resultat'!$R$33:$T$46,,MATCH(E185,'Landbrugsareal - resultat'!$R$5:$T$5,0))))))))</f>
        <v>581.14553701562829</v>
      </c>
      <c r="H185" s="168">
        <f>G185*VLOOKUP(B185,[1]Afgrødedata!$A$5:$F$18,2,FALSE)*IF(D185="Økologisk",VLOOKUP(B185,[1]Afgrødedata!$A$5:$F$18,4,FALSE),1)*IF(E185&lt;&gt;Jordbund1,IF(E185=Organ6,VLOOKUP(B185,[1]Afgrødedata!$A$5:$F$18,5,FALSE),VLOOKUP(B185,[1]Afgrødedata!$A$5:$F$18,6,FALSE)),1)*0.1</f>
        <v>3140.5104820324559</v>
      </c>
      <c r="I185" s="168">
        <f>G185*VLOOKUP(B185,[1]Afgrødedata!$A$5:$F$18,3,FALSE)*IF(D185="Økologisk",VLOOKUP(B185,[1]Afgrødedata!$A$5:$F$18,4,FALSE),1)*IF(E185&lt;&gt;Jordbund1,IF(E185=Organ6,VLOOKUP(B185,[1]Afgrødedata!$A$5:$F$18,5,FALSE),VLOOKUP(B185,[1]Afgrødedata!$A$5:$F$18,6,FALSE)),1)*HLOOKUP(C185,Landbrug!$C$15:$E$17,2,FALSE)*HLOOKUP(C185,Landbrug!$C$15:$E$17,3,FALSE)*0.1</f>
        <v>926.93061841314909</v>
      </c>
      <c r="J185" s="76">
        <f t="shared" si="29"/>
        <v>926.93061841314909</v>
      </c>
    </row>
    <row r="186" spans="1:10" x14ac:dyDescent="0.25">
      <c r="A186" t="s">
        <v>23</v>
      </c>
      <c r="B186" s="1" t="str">
        <f>[1]Afgrødefordeling!$C$4</f>
        <v>Raps</v>
      </c>
      <c r="C186">
        <v>2030</v>
      </c>
      <c r="D186" t="s">
        <v>7</v>
      </c>
      <c r="E186" s="168" t="str">
        <f t="shared" si="35"/>
        <v>OC12</v>
      </c>
      <c r="F186" t="str">
        <f t="shared" si="28"/>
        <v>Halm</v>
      </c>
      <c r="G186" s="76" cm="1">
        <f t="array" ref="G186">IF(A186="Vestdanmark",IF(D186="Konventionel",IF(C186=2019,SUMPRODUCT((B186='Landbrugsareal - resultat'!$B$6:$B$19)*(INDEX('Landbrugsareal - resultat'!$C$6:$E$19,,MATCH(E186,'Landbrugsareal - resultat'!$C$5:$E$5,0)))),IF(C186=2030,SUMPRODUCT((B186='Landbrugsareal - resultat'!$B$6:$B$19)*(INDEX('Landbrugsareal - resultat'!$F$6:$H$19,,MATCH(E186,'Landbrugsareal - resultat'!$F$5:$H$5,0)))),SUMPRODUCT((B186='Landbrugsareal - resultat'!$B$6:$B$19)*(INDEX('Landbrugsareal - resultat'!$I$6:$K$19,,MATCH(E186,'Landbrugsareal - resultat'!$I$5:$K$5,0)))))),IF(C186=2019,SUMPRODUCT((B186='Landbrugsareal - resultat'!$B$6:$B$19)*(INDEX('Landbrugsareal - resultat'!$L$6:$N$19,,MATCH(E186,'Landbrugsareal - resultat'!$L$5:$N$5,0)))),IF(C186=2030,SUMPRODUCT((B186='Landbrugsareal - resultat'!$B$6:$B$19)*(INDEX('Landbrugsareal - resultat'!$O$6:$Q$19,,MATCH(E186,'Landbrugsareal - resultat'!$O$5:$Q$5,0)))),SUMPRODUCT((B186='Landbrugsareal - resultat'!$B$6:$B$19)*(INDEX('Landbrugsareal - resultat'!$R$6:$T$19,,MATCH(E186,'Landbrugsareal - resultat'!$R$5:$T$5,0))))))),IF(D186="Konventionel",IF(C186=2019,SUMPRODUCT((B186='Landbrugsareal - resultat'!$B$33:$B$46)*(INDEX('Landbrugsareal - resultat'!$C$33:$E$46,,MATCH(E186,'Landbrugsareal - resultat'!$C$5:$E$5,0)))),IF(C186=2030,SUMPRODUCT((B186='Landbrugsareal - resultat'!$B$33:$B$46)*(INDEX('Landbrugsareal - resultat'!$F$33:$H$46,,MATCH(E186,'Landbrugsareal - resultat'!$F$5:$H$5,0)))),SUMPRODUCT((B186='Landbrugsareal - resultat'!$B$33:$B$46)*(INDEX('Landbrugsareal - resultat'!$I$33:$K$46,,MATCH(E186,'Landbrugsareal - resultat'!$I$5:$K$5,0)))))),IF(C186=2019,SUMPRODUCT((B186='Landbrugsareal - resultat'!$B$33:$B$46)*(INDEX('Landbrugsareal - resultat'!$L$33:$N$46,,MATCH(E186,'Landbrugsareal - resultat'!$L$5:$N$5,0)))),IF(C186=2030,SUMPRODUCT((B186='Landbrugsareal - resultat'!$B$33:$B$46)*(INDEX('Landbrugsareal - resultat'!$O$33:$Q$46,,MATCH(E186,'Landbrugsareal - resultat'!$O$5:$Q$5,0)))),SUMPRODUCT((B186='Landbrugsareal - resultat'!$B$33:$B$46)*(INDEX('Landbrugsareal - resultat'!$R$33:$T$46,,MATCH(E186,'Landbrugsareal - resultat'!$R$5:$T$5,0))))))))</f>
        <v>752.55715483735639</v>
      </c>
      <c r="H186" s="168">
        <f>G186*VLOOKUP(B186,[1]Afgrødedata!$A$5:$F$18,2,FALSE)*IF(D186="Økologisk",VLOOKUP(B186,[1]Afgrødedata!$A$5:$F$18,4,FALSE),1)*IF(E186&lt;&gt;Jordbund1,IF(E186=Organ6,VLOOKUP(B186,[1]Afgrødedata!$A$5:$F$18,5,FALSE),VLOOKUP(B186,[1]Afgrødedata!$A$5:$F$18,6,FALSE)),1)*0.1</f>
        <v>4635.7520737981158</v>
      </c>
      <c r="I186" s="168">
        <f>G186*VLOOKUP(B186,[1]Afgrødedata!$A$5:$F$18,3,FALSE)*IF(D186="Økologisk",VLOOKUP(B186,[1]Afgrødedata!$A$5:$F$18,4,FALSE),1)*IF(E186&lt;&gt;Jordbund1,IF(E186=Organ6,VLOOKUP(B186,[1]Afgrødedata!$A$5:$F$18,5,FALSE),VLOOKUP(B186,[1]Afgrødedata!$A$5:$F$18,6,FALSE)),1)*HLOOKUP(C186,Landbrug!$C$15:$E$17,2,FALSE)*HLOOKUP(C186,Landbrug!$C$15:$E$17,3,FALSE)*0.1</f>
        <v>2461.5843511867993</v>
      </c>
      <c r="J186" s="76">
        <f t="shared" si="29"/>
        <v>2461.5843511867993</v>
      </c>
    </row>
    <row r="187" spans="1:10" x14ac:dyDescent="0.25">
      <c r="A187" t="s">
        <v>23</v>
      </c>
      <c r="B187" s="1" t="str">
        <f>[1]Afgrødefordeling!$C$5</f>
        <v>Græs</v>
      </c>
      <c r="C187">
        <v>2030</v>
      </c>
      <c r="D187" t="s">
        <v>7</v>
      </c>
      <c r="E187" s="168" t="str">
        <f t="shared" si="35"/>
        <v>OC12</v>
      </c>
      <c r="F187" t="str">
        <f t="shared" si="28"/>
        <v>Græs</v>
      </c>
      <c r="G187" s="76" cm="1">
        <f t="array" ref="G187">IF(A187="Vestdanmark",IF(D187="Konventionel",IF(C187=2019,SUMPRODUCT((B187='Landbrugsareal - resultat'!$B$6:$B$19)*(INDEX('Landbrugsareal - resultat'!$C$6:$E$19,,MATCH(E187,'Landbrugsareal - resultat'!$C$5:$E$5,0)))),IF(C187=2030,SUMPRODUCT((B187='Landbrugsareal - resultat'!$B$6:$B$19)*(INDEX('Landbrugsareal - resultat'!$F$6:$H$19,,MATCH(E187,'Landbrugsareal - resultat'!$F$5:$H$5,0)))),SUMPRODUCT((B187='Landbrugsareal - resultat'!$B$6:$B$19)*(INDEX('Landbrugsareal - resultat'!$I$6:$K$19,,MATCH(E187,'Landbrugsareal - resultat'!$I$5:$K$5,0)))))),IF(C187=2019,SUMPRODUCT((B187='Landbrugsareal - resultat'!$B$6:$B$19)*(INDEX('Landbrugsareal - resultat'!$L$6:$N$19,,MATCH(E187,'Landbrugsareal - resultat'!$L$5:$N$5,0)))),IF(C187=2030,SUMPRODUCT((B187='Landbrugsareal - resultat'!$B$6:$B$19)*(INDEX('Landbrugsareal - resultat'!$O$6:$Q$19,,MATCH(E187,'Landbrugsareal - resultat'!$O$5:$Q$5,0)))),SUMPRODUCT((B187='Landbrugsareal - resultat'!$B$6:$B$19)*(INDEX('Landbrugsareal - resultat'!$R$6:$T$19,,MATCH(E187,'Landbrugsareal - resultat'!$R$5:$T$5,0))))))),IF(D187="Konventionel",IF(C187=2019,SUMPRODUCT((B187='Landbrugsareal - resultat'!$B$33:$B$46)*(INDEX('Landbrugsareal - resultat'!$C$33:$E$46,,MATCH(E187,'Landbrugsareal - resultat'!$C$5:$E$5,0)))),IF(C187=2030,SUMPRODUCT((B187='Landbrugsareal - resultat'!$B$33:$B$46)*(INDEX('Landbrugsareal - resultat'!$F$33:$H$46,,MATCH(E187,'Landbrugsareal - resultat'!$F$5:$H$5,0)))),SUMPRODUCT((B187='Landbrugsareal - resultat'!$B$33:$B$46)*(INDEX('Landbrugsareal - resultat'!$I$33:$K$46,,MATCH(E187,'Landbrugsareal - resultat'!$I$5:$K$5,0)))))),IF(C187=2019,SUMPRODUCT((B187='Landbrugsareal - resultat'!$B$33:$B$46)*(INDEX('Landbrugsareal - resultat'!$L$33:$N$46,,MATCH(E187,'Landbrugsareal - resultat'!$L$5:$N$5,0)))),IF(C187=2030,SUMPRODUCT((B187='Landbrugsareal - resultat'!$B$33:$B$46)*(INDEX('Landbrugsareal - resultat'!$O$33:$Q$46,,MATCH(E187,'Landbrugsareal - resultat'!$O$5:$Q$5,0)))),SUMPRODUCT((B187='Landbrugsareal - resultat'!$B$33:$B$46)*(INDEX('Landbrugsareal - resultat'!$R$33:$T$46,,MATCH(E187,'Landbrugsareal - resultat'!$R$5:$T$5,0))))))))</f>
        <v>17356.343608421324</v>
      </c>
      <c r="H187" s="168">
        <f>G187*VLOOKUP(B187,[1]Afgrødedata!$A$5:$F$18,2,FALSE)*IF(D187="Økologisk",VLOOKUP(B187,[1]Afgrødedata!$A$5:$F$18,4,FALSE),1)*IF(E187&lt;&gt;Jordbund1,IF(E187=Organ6,VLOOKUP(B187,[1]Afgrødedata!$A$5:$F$18,5,FALSE),VLOOKUP(B187,[1]Afgrødedata!$A$5:$F$18,6,FALSE)),1)*0.1</f>
        <v>1205710.4777898125</v>
      </c>
      <c r="I187" s="168">
        <f>G187*VLOOKUP(B187,[1]Afgrødedata!$A$5:$F$18,3,FALSE)*IF(D187="Økologisk",VLOOKUP(B187,[1]Afgrødedata!$A$5:$F$18,4,FALSE),1)*IF(E187&lt;&gt;Jordbund1,IF(E187=Organ6,VLOOKUP(B187,[1]Afgrødedata!$A$5:$F$18,5,FALSE),VLOOKUP(B187,[1]Afgrødedata!$A$5:$F$18,6,FALSE)),1)*HLOOKUP(C187,Landbrug!$C$15:$E$17,2,FALSE)*HLOOKUP(C187,Landbrug!$C$15:$E$17,3,FALSE)*0.1</f>
        <v>0</v>
      </c>
      <c r="J187" s="76">
        <f t="shared" si="29"/>
        <v>1205710.4777898125</v>
      </c>
    </row>
    <row r="188" spans="1:10" x14ac:dyDescent="0.25">
      <c r="A188" t="s">
        <v>23</v>
      </c>
      <c r="B188" s="1" t="str">
        <f>[1]Afgrødefordeling!$C$6</f>
        <v>Grøntsager</v>
      </c>
      <c r="C188">
        <v>2030</v>
      </c>
      <c r="D188" t="s">
        <v>7</v>
      </c>
      <c r="E188" s="168" t="str">
        <f t="shared" si="35"/>
        <v>OC12</v>
      </c>
      <c r="F188" t="str">
        <f t="shared" si="28"/>
        <v>Grøntsager</v>
      </c>
      <c r="G188" s="76" cm="1">
        <f t="array" ref="G188">IF(A188="Vestdanmark",IF(D188="Konventionel",IF(C188=2019,SUMPRODUCT((B188='Landbrugsareal - resultat'!$B$6:$B$19)*(INDEX('Landbrugsareal - resultat'!$C$6:$E$19,,MATCH(E188,'Landbrugsareal - resultat'!$C$5:$E$5,0)))),IF(C188=2030,SUMPRODUCT((B188='Landbrugsareal - resultat'!$B$6:$B$19)*(INDEX('Landbrugsareal - resultat'!$F$6:$H$19,,MATCH(E188,'Landbrugsareal - resultat'!$F$5:$H$5,0)))),SUMPRODUCT((B188='Landbrugsareal - resultat'!$B$6:$B$19)*(INDEX('Landbrugsareal - resultat'!$I$6:$K$19,,MATCH(E188,'Landbrugsareal - resultat'!$I$5:$K$5,0)))))),IF(C188=2019,SUMPRODUCT((B188='Landbrugsareal - resultat'!$B$6:$B$19)*(INDEX('Landbrugsareal - resultat'!$L$6:$N$19,,MATCH(E188,'Landbrugsareal - resultat'!$L$5:$N$5,0)))),IF(C188=2030,SUMPRODUCT((B188='Landbrugsareal - resultat'!$B$6:$B$19)*(INDEX('Landbrugsareal - resultat'!$O$6:$Q$19,,MATCH(E188,'Landbrugsareal - resultat'!$O$5:$Q$5,0)))),SUMPRODUCT((B188='Landbrugsareal - resultat'!$B$6:$B$19)*(INDEX('Landbrugsareal - resultat'!$R$6:$T$19,,MATCH(E188,'Landbrugsareal - resultat'!$R$5:$T$5,0))))))),IF(D188="Konventionel",IF(C188=2019,SUMPRODUCT((B188='Landbrugsareal - resultat'!$B$33:$B$46)*(INDEX('Landbrugsareal - resultat'!$C$33:$E$46,,MATCH(E188,'Landbrugsareal - resultat'!$C$5:$E$5,0)))),IF(C188=2030,SUMPRODUCT((B188='Landbrugsareal - resultat'!$B$33:$B$46)*(INDEX('Landbrugsareal - resultat'!$F$33:$H$46,,MATCH(E188,'Landbrugsareal - resultat'!$F$5:$H$5,0)))),SUMPRODUCT((B188='Landbrugsareal - resultat'!$B$33:$B$46)*(INDEX('Landbrugsareal - resultat'!$I$33:$K$46,,MATCH(E188,'Landbrugsareal - resultat'!$I$5:$K$5,0)))))),IF(C188=2019,SUMPRODUCT((B188='Landbrugsareal - resultat'!$B$33:$B$46)*(INDEX('Landbrugsareal - resultat'!$L$33:$N$46,,MATCH(E188,'Landbrugsareal - resultat'!$L$5:$N$5,0)))),IF(C188=2030,SUMPRODUCT((B188='Landbrugsareal - resultat'!$B$33:$B$46)*(INDEX('Landbrugsareal - resultat'!$O$33:$Q$46,,MATCH(E188,'Landbrugsareal - resultat'!$O$5:$Q$5,0)))),SUMPRODUCT((B188='Landbrugsareal - resultat'!$B$33:$B$46)*(INDEX('Landbrugsareal - resultat'!$R$33:$T$46,,MATCH(E188,'Landbrugsareal - resultat'!$R$5:$T$5,0))))))))</f>
        <v>20.173495261269249</v>
      </c>
      <c r="H188" s="168">
        <f>G188*VLOOKUP(B188,[1]Afgrødedata!$A$5:$F$18,2,FALSE)*IF(D188="Økologisk",VLOOKUP(B188,[1]Afgrødedata!$A$5:$F$18,4,FALSE),1)*IF(E188&lt;&gt;Jordbund1,IF(E188=Organ6,VLOOKUP(B188,[1]Afgrødedata!$A$5:$F$18,5,FALSE),VLOOKUP(B188,[1]Afgrødedata!$A$5:$F$18,6,FALSE)),1)*0.1</f>
        <v>586.04003733987167</v>
      </c>
      <c r="I188" s="168">
        <f>G188*VLOOKUP(B188,[1]Afgrødedata!$A$5:$F$18,3,FALSE)*IF(D188="Økologisk",VLOOKUP(B188,[1]Afgrødedata!$A$5:$F$18,4,FALSE),1)*IF(E188&lt;&gt;Jordbund1,IF(E188=Organ6,VLOOKUP(B188,[1]Afgrødedata!$A$5:$F$18,5,FALSE),VLOOKUP(B188,[1]Afgrødedata!$A$5:$F$18,6,FALSE)),1)*HLOOKUP(C188,Landbrug!$C$15:$E$17,2,FALSE)*HLOOKUP(C188,Landbrug!$C$15:$E$17,3,FALSE)*0.1</f>
        <v>0</v>
      </c>
      <c r="J188" s="76">
        <f t="shared" si="29"/>
        <v>586.04003733987167</v>
      </c>
    </row>
    <row r="189" spans="1:10" x14ac:dyDescent="0.25">
      <c r="A189" t="s">
        <v>23</v>
      </c>
      <c r="B189" s="1" t="str">
        <f>[1]Afgrødefordeling!$C$7</f>
        <v>Kartofler</v>
      </c>
      <c r="C189">
        <v>2030</v>
      </c>
      <c r="D189" t="s">
        <v>7</v>
      </c>
      <c r="E189" s="168" t="str">
        <f t="shared" si="35"/>
        <v>OC12</v>
      </c>
      <c r="F189" t="str">
        <f t="shared" si="28"/>
        <v>Kartofler</v>
      </c>
      <c r="G189" s="76" cm="1">
        <f t="array" ref="G189">IF(A189="Vestdanmark",IF(D189="Konventionel",IF(C189=2019,SUMPRODUCT((B189='Landbrugsareal - resultat'!$B$6:$B$19)*(INDEX('Landbrugsareal - resultat'!$C$6:$E$19,,MATCH(E189,'Landbrugsareal - resultat'!$C$5:$E$5,0)))),IF(C189=2030,SUMPRODUCT((B189='Landbrugsareal - resultat'!$B$6:$B$19)*(INDEX('Landbrugsareal - resultat'!$F$6:$H$19,,MATCH(E189,'Landbrugsareal - resultat'!$F$5:$H$5,0)))),SUMPRODUCT((B189='Landbrugsareal - resultat'!$B$6:$B$19)*(INDEX('Landbrugsareal - resultat'!$I$6:$K$19,,MATCH(E189,'Landbrugsareal - resultat'!$I$5:$K$5,0)))))),IF(C189=2019,SUMPRODUCT((B189='Landbrugsareal - resultat'!$B$6:$B$19)*(INDEX('Landbrugsareal - resultat'!$L$6:$N$19,,MATCH(E189,'Landbrugsareal - resultat'!$L$5:$N$5,0)))),IF(C189=2030,SUMPRODUCT((B189='Landbrugsareal - resultat'!$B$6:$B$19)*(INDEX('Landbrugsareal - resultat'!$O$6:$Q$19,,MATCH(E189,'Landbrugsareal - resultat'!$O$5:$Q$5,0)))),SUMPRODUCT((B189='Landbrugsareal - resultat'!$B$6:$B$19)*(INDEX('Landbrugsareal - resultat'!$R$6:$T$19,,MATCH(E189,'Landbrugsareal - resultat'!$R$5:$T$5,0))))))),IF(D189="Konventionel",IF(C189=2019,SUMPRODUCT((B189='Landbrugsareal - resultat'!$B$33:$B$46)*(INDEX('Landbrugsareal - resultat'!$C$33:$E$46,,MATCH(E189,'Landbrugsareal - resultat'!$C$5:$E$5,0)))),IF(C189=2030,SUMPRODUCT((B189='Landbrugsareal - resultat'!$B$33:$B$46)*(INDEX('Landbrugsareal - resultat'!$F$33:$H$46,,MATCH(E189,'Landbrugsareal - resultat'!$F$5:$H$5,0)))),SUMPRODUCT((B189='Landbrugsareal - resultat'!$B$33:$B$46)*(INDEX('Landbrugsareal - resultat'!$I$33:$K$46,,MATCH(E189,'Landbrugsareal - resultat'!$I$5:$K$5,0)))))),IF(C189=2019,SUMPRODUCT((B189='Landbrugsareal - resultat'!$B$33:$B$46)*(INDEX('Landbrugsareal - resultat'!$L$33:$N$46,,MATCH(E189,'Landbrugsareal - resultat'!$L$5:$N$5,0)))),IF(C189=2030,SUMPRODUCT((B189='Landbrugsareal - resultat'!$B$33:$B$46)*(INDEX('Landbrugsareal - resultat'!$O$33:$Q$46,,MATCH(E189,'Landbrugsareal - resultat'!$O$5:$Q$5,0)))),SUMPRODUCT((B189='Landbrugsareal - resultat'!$B$33:$B$46)*(INDEX('Landbrugsareal - resultat'!$R$33:$T$46,,MATCH(E189,'Landbrugsareal - resultat'!$R$5:$T$5,0))))))))</f>
        <v>1067.7890199408878</v>
      </c>
      <c r="H189" s="168">
        <f>G189*VLOOKUP(B189,[1]Afgrødedata!$A$5:$F$18,2,FALSE)*IF(D189="Økologisk",VLOOKUP(B189,[1]Afgrødedata!$A$5:$F$18,4,FALSE),1)*IF(E189&lt;&gt;Jordbund1,IF(E189=Organ6,VLOOKUP(B189,[1]Afgrødedata!$A$5:$F$18,5,FALSE),VLOOKUP(B189,[1]Afgrødedata!$A$5:$F$18,6,FALSE)),1)*0.1</f>
        <v>63489.944170855597</v>
      </c>
      <c r="I189" s="168">
        <f>G189*VLOOKUP(B189,[1]Afgrødedata!$A$5:$F$18,3,FALSE)*IF(D189="Økologisk",VLOOKUP(B189,[1]Afgrødedata!$A$5:$F$18,4,FALSE),1)*IF(E189&lt;&gt;Jordbund1,IF(E189=Organ6,VLOOKUP(B189,[1]Afgrødedata!$A$5:$F$18,5,FALSE),VLOOKUP(B189,[1]Afgrødedata!$A$5:$F$18,6,FALSE)),1)*HLOOKUP(C189,Landbrug!$C$15:$E$17,2,FALSE)*HLOOKUP(C189,Landbrug!$C$15:$E$17,3,FALSE)*0.1</f>
        <v>0</v>
      </c>
      <c r="J189" s="76">
        <f t="shared" si="29"/>
        <v>63489.944170855597</v>
      </c>
    </row>
    <row r="190" spans="1:10" x14ac:dyDescent="0.25">
      <c r="A190" t="s">
        <v>23</v>
      </c>
      <c r="B190" s="1" t="str">
        <f>[1]Afgrødefordeling!$C$8</f>
        <v>Roer</v>
      </c>
      <c r="C190">
        <v>2030</v>
      </c>
      <c r="D190" t="s">
        <v>7</v>
      </c>
      <c r="E190" s="168" t="str">
        <f t="shared" si="35"/>
        <v>OC12</v>
      </c>
      <c r="F190" t="str">
        <f t="shared" si="28"/>
        <v>Roer</v>
      </c>
      <c r="G190" s="76" cm="1">
        <f t="array" ref="G190">IF(A190="Vestdanmark",IF(D190="Konventionel",IF(C190=2019,SUMPRODUCT((B190='Landbrugsareal - resultat'!$B$6:$B$19)*(INDEX('Landbrugsareal - resultat'!$C$6:$E$19,,MATCH(E190,'Landbrugsareal - resultat'!$C$5:$E$5,0)))),IF(C190=2030,SUMPRODUCT((B190='Landbrugsareal - resultat'!$B$6:$B$19)*(INDEX('Landbrugsareal - resultat'!$F$6:$H$19,,MATCH(E190,'Landbrugsareal - resultat'!$F$5:$H$5,0)))),SUMPRODUCT((B190='Landbrugsareal - resultat'!$B$6:$B$19)*(INDEX('Landbrugsareal - resultat'!$I$6:$K$19,,MATCH(E190,'Landbrugsareal - resultat'!$I$5:$K$5,0)))))),IF(C190=2019,SUMPRODUCT((B190='Landbrugsareal - resultat'!$B$6:$B$19)*(INDEX('Landbrugsareal - resultat'!$L$6:$N$19,,MATCH(E190,'Landbrugsareal - resultat'!$L$5:$N$5,0)))),IF(C190=2030,SUMPRODUCT((B190='Landbrugsareal - resultat'!$B$6:$B$19)*(INDEX('Landbrugsareal - resultat'!$O$6:$Q$19,,MATCH(E190,'Landbrugsareal - resultat'!$O$5:$Q$5,0)))),SUMPRODUCT((B190='Landbrugsareal - resultat'!$B$6:$B$19)*(INDEX('Landbrugsareal - resultat'!$R$6:$T$19,,MATCH(E190,'Landbrugsareal - resultat'!$R$5:$T$5,0))))))),IF(D190="Konventionel",IF(C190=2019,SUMPRODUCT((B190='Landbrugsareal - resultat'!$B$33:$B$46)*(INDEX('Landbrugsareal - resultat'!$C$33:$E$46,,MATCH(E190,'Landbrugsareal - resultat'!$C$5:$E$5,0)))),IF(C190=2030,SUMPRODUCT((B190='Landbrugsareal - resultat'!$B$33:$B$46)*(INDEX('Landbrugsareal - resultat'!$F$33:$H$46,,MATCH(E190,'Landbrugsareal - resultat'!$F$5:$H$5,0)))),SUMPRODUCT((B190='Landbrugsareal - resultat'!$B$33:$B$46)*(INDEX('Landbrugsareal - resultat'!$I$33:$K$46,,MATCH(E190,'Landbrugsareal - resultat'!$I$5:$K$5,0)))))),IF(C190=2019,SUMPRODUCT((B190='Landbrugsareal - resultat'!$B$33:$B$46)*(INDEX('Landbrugsareal - resultat'!$L$33:$N$46,,MATCH(E190,'Landbrugsareal - resultat'!$L$5:$N$5,0)))),IF(C190=2030,SUMPRODUCT((B190='Landbrugsareal - resultat'!$B$33:$B$46)*(INDEX('Landbrugsareal - resultat'!$O$33:$Q$46,,MATCH(E190,'Landbrugsareal - resultat'!$O$5:$Q$5,0)))),SUMPRODUCT((B190='Landbrugsareal - resultat'!$B$33:$B$46)*(INDEX('Landbrugsareal - resultat'!$R$33:$T$46,,MATCH(E190,'Landbrugsareal - resultat'!$R$5:$T$5,0))))))))</f>
        <v>11.547137405799177</v>
      </c>
      <c r="H190" s="168">
        <f>G190*VLOOKUP(B190,[1]Afgrødedata!$A$5:$F$18,2,FALSE)*IF(D190="Økologisk",VLOOKUP(B190,[1]Afgrødedata!$A$5:$F$18,4,FALSE),1)*IF(E190&lt;&gt;Jordbund1,IF(E190=Organ6,VLOOKUP(B190,[1]Afgrødedata!$A$5:$F$18,5,FALSE),VLOOKUP(B190,[1]Afgrødedata!$A$5:$F$18,6,FALSE)),1)*0.1</f>
        <v>1313.5472007767016</v>
      </c>
      <c r="I190" s="168">
        <f>G190*VLOOKUP(B190,[1]Afgrødedata!$A$5:$F$18,3,FALSE)*IF(D190="Økologisk",VLOOKUP(B190,[1]Afgrødedata!$A$5:$F$18,4,FALSE),1)*IF(E190&lt;&gt;Jordbund1,IF(E190=Organ6,VLOOKUP(B190,[1]Afgrødedata!$A$5:$F$18,5,FALSE),VLOOKUP(B190,[1]Afgrødedata!$A$5:$F$18,6,FALSE)),1)*HLOOKUP(C190,Landbrug!$C$15:$E$17,2,FALSE)*HLOOKUP(C190,Landbrug!$C$15:$E$17,3,FALSE)*0.1</f>
        <v>0</v>
      </c>
      <c r="J190" s="76">
        <f t="shared" si="29"/>
        <v>1313.5472007767016</v>
      </c>
    </row>
    <row r="191" spans="1:10" x14ac:dyDescent="0.25">
      <c r="A191" t="s">
        <v>23</v>
      </c>
      <c r="B191" s="1" t="str">
        <f>[1]Afgrødefordeling!$C$9</f>
        <v>Majs</v>
      </c>
      <c r="C191">
        <v>2030</v>
      </c>
      <c r="D191" t="s">
        <v>7</v>
      </c>
      <c r="E191" s="168" t="str">
        <f t="shared" si="35"/>
        <v>OC12</v>
      </c>
      <c r="F191" t="str">
        <f t="shared" si="28"/>
        <v>Majs</v>
      </c>
      <c r="G191" s="76" cm="1">
        <f t="array" ref="G191">IF(A191="Vestdanmark",IF(D191="Konventionel",IF(C191=2019,SUMPRODUCT((B191='Landbrugsareal - resultat'!$B$6:$B$19)*(INDEX('Landbrugsareal - resultat'!$C$6:$E$19,,MATCH(E191,'Landbrugsareal - resultat'!$C$5:$E$5,0)))),IF(C191=2030,SUMPRODUCT((B191='Landbrugsareal - resultat'!$B$6:$B$19)*(INDEX('Landbrugsareal - resultat'!$F$6:$H$19,,MATCH(E191,'Landbrugsareal - resultat'!$F$5:$H$5,0)))),SUMPRODUCT((B191='Landbrugsareal - resultat'!$B$6:$B$19)*(INDEX('Landbrugsareal - resultat'!$I$6:$K$19,,MATCH(E191,'Landbrugsareal - resultat'!$I$5:$K$5,0)))))),IF(C191=2019,SUMPRODUCT((B191='Landbrugsareal - resultat'!$B$6:$B$19)*(INDEX('Landbrugsareal - resultat'!$L$6:$N$19,,MATCH(E191,'Landbrugsareal - resultat'!$L$5:$N$5,0)))),IF(C191=2030,SUMPRODUCT((B191='Landbrugsareal - resultat'!$B$6:$B$19)*(INDEX('Landbrugsareal - resultat'!$O$6:$Q$19,,MATCH(E191,'Landbrugsareal - resultat'!$O$5:$Q$5,0)))),SUMPRODUCT((B191='Landbrugsareal - resultat'!$B$6:$B$19)*(INDEX('Landbrugsareal - resultat'!$R$6:$T$19,,MATCH(E191,'Landbrugsareal - resultat'!$R$5:$T$5,0))))))),IF(D191="Konventionel",IF(C191=2019,SUMPRODUCT((B191='Landbrugsareal - resultat'!$B$33:$B$46)*(INDEX('Landbrugsareal - resultat'!$C$33:$E$46,,MATCH(E191,'Landbrugsareal - resultat'!$C$5:$E$5,0)))),IF(C191=2030,SUMPRODUCT((B191='Landbrugsareal - resultat'!$B$33:$B$46)*(INDEX('Landbrugsareal - resultat'!$F$33:$H$46,,MATCH(E191,'Landbrugsareal - resultat'!$F$5:$H$5,0)))),SUMPRODUCT((B191='Landbrugsareal - resultat'!$B$33:$B$46)*(INDEX('Landbrugsareal - resultat'!$I$33:$K$46,,MATCH(E191,'Landbrugsareal - resultat'!$I$5:$K$5,0)))))),IF(C191=2019,SUMPRODUCT((B191='Landbrugsareal - resultat'!$B$33:$B$46)*(INDEX('Landbrugsareal - resultat'!$L$33:$N$46,,MATCH(E191,'Landbrugsareal - resultat'!$L$5:$N$5,0)))),IF(C191=2030,SUMPRODUCT((B191='Landbrugsareal - resultat'!$B$33:$B$46)*(INDEX('Landbrugsareal - resultat'!$O$33:$Q$46,,MATCH(E191,'Landbrugsareal - resultat'!$O$5:$Q$5,0)))),SUMPRODUCT((B191='Landbrugsareal - resultat'!$B$33:$B$46)*(INDEX('Landbrugsareal - resultat'!$R$33:$T$46,,MATCH(E191,'Landbrugsareal - resultat'!$R$5:$T$5,0))))))))</f>
        <v>1435.9995781110367</v>
      </c>
      <c r="H191" s="168">
        <f>G191*VLOOKUP(B191,[1]Afgrødedata!$A$5:$F$18,2,FALSE)*IF(D191="Økologisk",VLOOKUP(B191,[1]Afgrødedata!$A$5:$F$18,4,FALSE),1)*IF(E191&lt;&gt;Jordbund1,IF(E191=Organ6,VLOOKUP(B191,[1]Afgrødedata!$A$5:$F$18,5,FALSE),VLOOKUP(B191,[1]Afgrødedata!$A$5:$F$18,6,FALSE)),1)*0.1</f>
        <v>89482.87771041115</v>
      </c>
      <c r="I191" s="168">
        <f>G191*VLOOKUP(B191,[1]Afgrødedata!$A$5:$F$18,3,FALSE)*IF(D191="Økologisk",VLOOKUP(B191,[1]Afgrødedata!$A$5:$F$18,4,FALSE),1)*IF(E191&lt;&gt;Jordbund1,IF(E191=Organ6,VLOOKUP(B191,[1]Afgrødedata!$A$5:$F$18,5,FALSE),VLOOKUP(B191,[1]Afgrødedata!$A$5:$F$18,6,FALSE)),1)*HLOOKUP(C191,Landbrug!$C$15:$E$17,2,FALSE)*HLOOKUP(C191,Landbrug!$C$15:$E$17,3,FALSE)*0.1</f>
        <v>0</v>
      </c>
      <c r="J191" s="76">
        <f t="shared" si="29"/>
        <v>89482.87771041115</v>
      </c>
    </row>
    <row r="192" spans="1:10" x14ac:dyDescent="0.25">
      <c r="A192" t="s">
        <v>23</v>
      </c>
      <c r="B192" s="1" t="str">
        <f>[1]Afgrødefordeling!$C$10</f>
        <v>Frugt</v>
      </c>
      <c r="C192">
        <v>2030</v>
      </c>
      <c r="D192" t="s">
        <v>7</v>
      </c>
      <c r="E192" s="168" t="str">
        <f t="shared" si="35"/>
        <v>OC12</v>
      </c>
      <c r="F192" t="str">
        <f t="shared" si="28"/>
        <v>Frugt</v>
      </c>
      <c r="G192" s="76" cm="1">
        <f t="array" ref="G192">IF(A192="Vestdanmark",IF(D192="Konventionel",IF(C192=2019,SUMPRODUCT((B192='Landbrugsareal - resultat'!$B$6:$B$19)*(INDEX('Landbrugsareal - resultat'!$C$6:$E$19,,MATCH(E192,'Landbrugsareal - resultat'!$C$5:$E$5,0)))),IF(C192=2030,SUMPRODUCT((B192='Landbrugsareal - resultat'!$B$6:$B$19)*(INDEX('Landbrugsareal - resultat'!$F$6:$H$19,,MATCH(E192,'Landbrugsareal - resultat'!$F$5:$H$5,0)))),SUMPRODUCT((B192='Landbrugsareal - resultat'!$B$6:$B$19)*(INDEX('Landbrugsareal - resultat'!$I$6:$K$19,,MATCH(E192,'Landbrugsareal - resultat'!$I$5:$K$5,0)))))),IF(C192=2019,SUMPRODUCT((B192='Landbrugsareal - resultat'!$B$6:$B$19)*(INDEX('Landbrugsareal - resultat'!$L$6:$N$19,,MATCH(E192,'Landbrugsareal - resultat'!$L$5:$N$5,0)))),IF(C192=2030,SUMPRODUCT((B192='Landbrugsareal - resultat'!$B$6:$B$19)*(INDEX('Landbrugsareal - resultat'!$O$6:$Q$19,,MATCH(E192,'Landbrugsareal - resultat'!$O$5:$Q$5,0)))),SUMPRODUCT((B192='Landbrugsareal - resultat'!$B$6:$B$19)*(INDEX('Landbrugsareal - resultat'!$R$6:$T$19,,MATCH(E192,'Landbrugsareal - resultat'!$R$5:$T$5,0))))))),IF(D192="Konventionel",IF(C192=2019,SUMPRODUCT((B192='Landbrugsareal - resultat'!$B$33:$B$46)*(INDEX('Landbrugsareal - resultat'!$C$33:$E$46,,MATCH(E192,'Landbrugsareal - resultat'!$C$5:$E$5,0)))),IF(C192=2030,SUMPRODUCT((B192='Landbrugsareal - resultat'!$B$33:$B$46)*(INDEX('Landbrugsareal - resultat'!$F$33:$H$46,,MATCH(E192,'Landbrugsareal - resultat'!$F$5:$H$5,0)))),SUMPRODUCT((B192='Landbrugsareal - resultat'!$B$33:$B$46)*(INDEX('Landbrugsareal - resultat'!$I$33:$K$46,,MATCH(E192,'Landbrugsareal - resultat'!$I$5:$K$5,0)))))),IF(C192=2019,SUMPRODUCT((B192='Landbrugsareal - resultat'!$B$33:$B$46)*(INDEX('Landbrugsareal - resultat'!$L$33:$N$46,,MATCH(E192,'Landbrugsareal - resultat'!$L$5:$N$5,0)))),IF(C192=2030,SUMPRODUCT((B192='Landbrugsareal - resultat'!$B$33:$B$46)*(INDEX('Landbrugsareal - resultat'!$O$33:$Q$46,,MATCH(E192,'Landbrugsareal - resultat'!$O$5:$Q$5,0)))),SUMPRODUCT((B192='Landbrugsareal - resultat'!$B$33:$B$46)*(INDEX('Landbrugsareal - resultat'!$R$33:$T$46,,MATCH(E192,'Landbrugsareal - resultat'!$R$5:$T$5,0))))))))</f>
        <v>41.15138419339192</v>
      </c>
      <c r="H192" s="168">
        <f>G192*VLOOKUP(B192,[1]Afgrødedata!$A$5:$F$18,2,FALSE)*IF(D192="Økologisk",VLOOKUP(B192,[1]Afgrødedata!$A$5:$F$18,4,FALSE),1)*IF(E192&lt;&gt;Jordbund1,IF(E192=Organ6,VLOOKUP(B192,[1]Afgrødedata!$A$5:$F$18,5,FALSE),VLOOKUP(B192,[1]Afgrødedata!$A$5:$F$18,6,FALSE)),1)*0.1</f>
        <v>489.12535252265639</v>
      </c>
      <c r="I192" s="168">
        <f>G192*VLOOKUP(B192,[1]Afgrødedata!$A$5:$F$18,3,FALSE)*IF(D192="Økologisk",VLOOKUP(B192,[1]Afgrødedata!$A$5:$F$18,4,FALSE),1)*IF(E192&lt;&gt;Jordbund1,IF(E192=Organ6,VLOOKUP(B192,[1]Afgrødedata!$A$5:$F$18,5,FALSE),VLOOKUP(B192,[1]Afgrødedata!$A$5:$F$18,6,FALSE)),1)*HLOOKUP(C192,Landbrug!$C$15:$E$17,2,FALSE)*HLOOKUP(C192,Landbrug!$C$15:$E$17,3,FALSE)*0.1</f>
        <v>0</v>
      </c>
      <c r="J192" s="76">
        <f t="shared" si="29"/>
        <v>489.12535252265639</v>
      </c>
    </row>
    <row r="193" spans="1:10" x14ac:dyDescent="0.25">
      <c r="A193" t="s">
        <v>23</v>
      </c>
      <c r="B193" s="1" t="str">
        <f>[1]Afgrødefordeling!$C$11</f>
        <v>Øvrige</v>
      </c>
      <c r="C193">
        <v>2030</v>
      </c>
      <c r="D193" t="s">
        <v>7</v>
      </c>
      <c r="E193" s="168" t="str">
        <f t="shared" si="35"/>
        <v>OC12</v>
      </c>
      <c r="F193" t="str">
        <f t="shared" si="28"/>
        <v>Øvrige</v>
      </c>
      <c r="G193" s="76" cm="1">
        <f t="array" ref="G193">IF(A193="Vestdanmark",IF(D193="Konventionel",IF(C193=2019,SUMPRODUCT((B193='Landbrugsareal - resultat'!$B$6:$B$19)*(INDEX('Landbrugsareal - resultat'!$C$6:$E$19,,MATCH(E193,'Landbrugsareal - resultat'!$C$5:$E$5,0)))),IF(C193=2030,SUMPRODUCT((B193='Landbrugsareal - resultat'!$B$6:$B$19)*(INDEX('Landbrugsareal - resultat'!$F$6:$H$19,,MATCH(E193,'Landbrugsareal - resultat'!$F$5:$H$5,0)))),SUMPRODUCT((B193='Landbrugsareal - resultat'!$B$6:$B$19)*(INDEX('Landbrugsareal - resultat'!$I$6:$K$19,,MATCH(E193,'Landbrugsareal - resultat'!$I$5:$K$5,0)))))),IF(C193=2019,SUMPRODUCT((B193='Landbrugsareal - resultat'!$B$6:$B$19)*(INDEX('Landbrugsareal - resultat'!$L$6:$N$19,,MATCH(E193,'Landbrugsareal - resultat'!$L$5:$N$5,0)))),IF(C193=2030,SUMPRODUCT((B193='Landbrugsareal - resultat'!$B$6:$B$19)*(INDEX('Landbrugsareal - resultat'!$O$6:$Q$19,,MATCH(E193,'Landbrugsareal - resultat'!$O$5:$Q$5,0)))),SUMPRODUCT((B193='Landbrugsareal - resultat'!$B$6:$B$19)*(INDEX('Landbrugsareal - resultat'!$R$6:$T$19,,MATCH(E193,'Landbrugsareal - resultat'!$R$5:$T$5,0))))))),IF(D193="Konventionel",IF(C193=2019,SUMPRODUCT((B193='Landbrugsareal - resultat'!$B$33:$B$46)*(INDEX('Landbrugsareal - resultat'!$C$33:$E$46,,MATCH(E193,'Landbrugsareal - resultat'!$C$5:$E$5,0)))),IF(C193=2030,SUMPRODUCT((B193='Landbrugsareal - resultat'!$B$33:$B$46)*(INDEX('Landbrugsareal - resultat'!$F$33:$H$46,,MATCH(E193,'Landbrugsareal - resultat'!$F$5:$H$5,0)))),SUMPRODUCT((B193='Landbrugsareal - resultat'!$B$33:$B$46)*(INDEX('Landbrugsareal - resultat'!$I$33:$K$46,,MATCH(E193,'Landbrugsareal - resultat'!$I$5:$K$5,0)))))),IF(C193=2019,SUMPRODUCT((B193='Landbrugsareal - resultat'!$B$33:$B$46)*(INDEX('Landbrugsareal - resultat'!$L$33:$N$46,,MATCH(E193,'Landbrugsareal - resultat'!$L$5:$N$5,0)))),IF(C193=2030,SUMPRODUCT((B193='Landbrugsareal - resultat'!$B$33:$B$46)*(INDEX('Landbrugsareal - resultat'!$O$33:$Q$46,,MATCH(E193,'Landbrugsareal - resultat'!$O$5:$Q$5,0)))),SUMPRODUCT((B193='Landbrugsareal - resultat'!$B$33:$B$46)*(INDEX('Landbrugsareal - resultat'!$R$33:$T$46,,MATCH(E193,'Landbrugsareal - resultat'!$R$5:$T$5,0))))))))</f>
        <v>727.79932305426189</v>
      </c>
      <c r="H193" s="168">
        <f>G193*VLOOKUP(B193,[1]Afgrødedata!$A$5:$F$18,2,FALSE)*IF(D193="Økologisk",VLOOKUP(B193,[1]Afgrødedata!$A$5:$F$18,4,FALSE),1)*IF(E193&lt;&gt;Jordbund1,IF(E193=Organ6,VLOOKUP(B193,[1]Afgrødedata!$A$5:$F$18,5,FALSE),VLOOKUP(B193,[1]Afgrødedata!$A$5:$F$18,6,FALSE)),1)*0.1</f>
        <v>30359.654521029428</v>
      </c>
      <c r="I193" s="168">
        <f>G193*VLOOKUP(B193,[1]Afgrødedata!$A$5:$F$18,3,FALSE)*IF(D193="Økologisk",VLOOKUP(B193,[1]Afgrødedata!$A$5:$F$18,4,FALSE),1)*IF(E193&lt;&gt;Jordbund1,IF(E193=Organ6,VLOOKUP(B193,[1]Afgrødedata!$A$5:$F$18,5,FALSE),VLOOKUP(B193,[1]Afgrødedata!$A$5:$F$18,6,FALSE)),1)*HLOOKUP(C193,Landbrug!$C$15:$E$17,2,FALSE)*HLOOKUP(C193,Landbrug!$C$15:$E$17,3,FALSE)*0.1</f>
        <v>0</v>
      </c>
      <c r="J193" s="76">
        <f t="shared" si="29"/>
        <v>30359.654521029428</v>
      </c>
    </row>
    <row r="194" spans="1:10" x14ac:dyDescent="0.25">
      <c r="A194" t="s">
        <v>23</v>
      </c>
      <c r="B194" s="1" t="str">
        <f>[1]Afgrødefordeling!$C$12</f>
        <v>Frø</v>
      </c>
      <c r="C194">
        <v>2030</v>
      </c>
      <c r="D194" t="s">
        <v>7</v>
      </c>
      <c r="E194" s="168" t="str">
        <f t="shared" si="35"/>
        <v>OC12</v>
      </c>
      <c r="F194" t="str">
        <f t="shared" si="28"/>
        <v>Halm</v>
      </c>
      <c r="G194" s="76" cm="1">
        <f t="array" ref="G194">IF(A194="Vestdanmark",IF(D194="Konventionel",IF(C194=2019,SUMPRODUCT((B194='Landbrugsareal - resultat'!$B$6:$B$19)*(INDEX('Landbrugsareal - resultat'!$C$6:$E$19,,MATCH(E194,'Landbrugsareal - resultat'!$C$5:$E$5,0)))),IF(C194=2030,SUMPRODUCT((B194='Landbrugsareal - resultat'!$B$6:$B$19)*(INDEX('Landbrugsareal - resultat'!$F$6:$H$19,,MATCH(E194,'Landbrugsareal - resultat'!$F$5:$H$5,0)))),SUMPRODUCT((B194='Landbrugsareal - resultat'!$B$6:$B$19)*(INDEX('Landbrugsareal - resultat'!$I$6:$K$19,,MATCH(E194,'Landbrugsareal - resultat'!$I$5:$K$5,0)))))),IF(C194=2019,SUMPRODUCT((B194='Landbrugsareal - resultat'!$B$6:$B$19)*(INDEX('Landbrugsareal - resultat'!$L$6:$N$19,,MATCH(E194,'Landbrugsareal - resultat'!$L$5:$N$5,0)))),IF(C194=2030,SUMPRODUCT((B194='Landbrugsareal - resultat'!$B$6:$B$19)*(INDEX('Landbrugsareal - resultat'!$O$6:$Q$19,,MATCH(E194,'Landbrugsareal - resultat'!$O$5:$Q$5,0)))),SUMPRODUCT((B194='Landbrugsareal - resultat'!$B$6:$B$19)*(INDEX('Landbrugsareal - resultat'!$R$6:$T$19,,MATCH(E194,'Landbrugsareal - resultat'!$R$5:$T$5,0))))))),IF(D194="Konventionel",IF(C194=2019,SUMPRODUCT((B194='Landbrugsareal - resultat'!$B$33:$B$46)*(INDEX('Landbrugsareal - resultat'!$C$33:$E$46,,MATCH(E194,'Landbrugsareal - resultat'!$C$5:$E$5,0)))),IF(C194=2030,SUMPRODUCT((B194='Landbrugsareal - resultat'!$B$33:$B$46)*(INDEX('Landbrugsareal - resultat'!$F$33:$H$46,,MATCH(E194,'Landbrugsareal - resultat'!$F$5:$H$5,0)))),SUMPRODUCT((B194='Landbrugsareal - resultat'!$B$33:$B$46)*(INDEX('Landbrugsareal - resultat'!$I$33:$K$46,,MATCH(E194,'Landbrugsareal - resultat'!$I$5:$K$5,0)))))),IF(C194=2019,SUMPRODUCT((B194='Landbrugsareal - resultat'!$B$33:$B$46)*(INDEX('Landbrugsareal - resultat'!$L$33:$N$46,,MATCH(E194,'Landbrugsareal - resultat'!$L$5:$N$5,0)))),IF(C194=2030,SUMPRODUCT((B194='Landbrugsareal - resultat'!$B$33:$B$46)*(INDEX('Landbrugsareal - resultat'!$O$33:$Q$46,,MATCH(E194,'Landbrugsareal - resultat'!$O$5:$Q$5,0)))),SUMPRODUCT((B194='Landbrugsareal - resultat'!$B$33:$B$46)*(INDEX('Landbrugsareal - resultat'!$R$33:$T$46,,MATCH(E194,'Landbrugsareal - resultat'!$R$5:$T$5,0))))))))</f>
        <v>2315.6141162183199</v>
      </c>
      <c r="H194" s="168">
        <f>G194*VLOOKUP(B194,[1]Afgrødedata!$A$5:$F$18,2,FALSE)*IF(D194="Økologisk",VLOOKUP(B194,[1]Afgrødedata!$A$5:$F$18,4,FALSE),1)*IF(E194&lt;&gt;Jordbund1,IF(E194=Organ6,VLOOKUP(B194,[1]Afgrødedata!$A$5:$F$18,5,FALSE),VLOOKUP(B194,[1]Afgrødedata!$A$5:$F$18,6,FALSE)),1)*0.1</f>
        <v>46322.482751106189</v>
      </c>
      <c r="I194" s="168">
        <f>G194*VLOOKUP(B194,[1]Afgrødedata!$A$5:$F$18,3,FALSE)*IF(D194="Økologisk",VLOOKUP(B194,[1]Afgrødedata!$A$5:$F$18,4,FALSE),1)*IF(E194&lt;&gt;Jordbund1,IF(E194=Organ6,VLOOKUP(B194,[1]Afgrødedata!$A$5:$F$18,5,FALSE),VLOOKUP(B194,[1]Afgrødedata!$A$5:$F$18,6,FALSE)),1)*HLOOKUP(C194,Landbrug!$C$15:$E$17,2,FALSE)*HLOOKUP(C194,Landbrug!$C$15:$E$17,3,FALSE)*0.1</f>
        <v>7650.7890399853277</v>
      </c>
      <c r="J194" s="76">
        <f t="shared" si="29"/>
        <v>7650.7890399853277</v>
      </c>
    </row>
    <row r="195" spans="1:10" x14ac:dyDescent="0.25">
      <c r="A195" t="s">
        <v>23</v>
      </c>
      <c r="B195" s="1" t="str">
        <f>[1]Afgrødefordeling!$C$13</f>
        <v>Juletræer</v>
      </c>
      <c r="C195">
        <v>2030</v>
      </c>
      <c r="D195" t="s">
        <v>7</v>
      </c>
      <c r="E195" s="168" t="str">
        <f t="shared" si="35"/>
        <v>OC12</v>
      </c>
      <c r="F195" t="str">
        <f t="shared" si="28"/>
        <v>Juletræer</v>
      </c>
      <c r="G195" s="76" cm="1">
        <f t="array" ref="G195">IF(A195="Vestdanmark",IF(D195="Konventionel",IF(C195=2019,SUMPRODUCT((B195='Landbrugsareal - resultat'!$B$6:$B$19)*(INDEX('Landbrugsareal - resultat'!$C$6:$E$19,,MATCH(E195,'Landbrugsareal - resultat'!$C$5:$E$5,0)))),IF(C195=2030,SUMPRODUCT((B195='Landbrugsareal - resultat'!$B$6:$B$19)*(INDEX('Landbrugsareal - resultat'!$F$6:$H$19,,MATCH(E195,'Landbrugsareal - resultat'!$F$5:$H$5,0)))),SUMPRODUCT((B195='Landbrugsareal - resultat'!$B$6:$B$19)*(INDEX('Landbrugsareal - resultat'!$I$6:$K$19,,MATCH(E195,'Landbrugsareal - resultat'!$I$5:$K$5,0)))))),IF(C195=2019,SUMPRODUCT((B195='Landbrugsareal - resultat'!$B$6:$B$19)*(INDEX('Landbrugsareal - resultat'!$L$6:$N$19,,MATCH(E195,'Landbrugsareal - resultat'!$L$5:$N$5,0)))),IF(C195=2030,SUMPRODUCT((B195='Landbrugsareal - resultat'!$B$6:$B$19)*(INDEX('Landbrugsareal - resultat'!$O$6:$Q$19,,MATCH(E195,'Landbrugsareal - resultat'!$O$5:$Q$5,0)))),SUMPRODUCT((B195='Landbrugsareal - resultat'!$B$6:$B$19)*(INDEX('Landbrugsareal - resultat'!$R$6:$T$19,,MATCH(E195,'Landbrugsareal - resultat'!$R$5:$T$5,0))))))),IF(D195="Konventionel",IF(C195=2019,SUMPRODUCT((B195='Landbrugsareal - resultat'!$B$33:$B$46)*(INDEX('Landbrugsareal - resultat'!$C$33:$E$46,,MATCH(E195,'Landbrugsareal - resultat'!$C$5:$E$5,0)))),IF(C195=2030,SUMPRODUCT((B195='Landbrugsareal - resultat'!$B$33:$B$46)*(INDEX('Landbrugsareal - resultat'!$F$33:$H$46,,MATCH(E195,'Landbrugsareal - resultat'!$F$5:$H$5,0)))),SUMPRODUCT((B195='Landbrugsareal - resultat'!$B$33:$B$46)*(INDEX('Landbrugsareal - resultat'!$I$33:$K$46,,MATCH(E195,'Landbrugsareal - resultat'!$I$5:$K$5,0)))))),IF(C195=2019,SUMPRODUCT((B195='Landbrugsareal - resultat'!$B$33:$B$46)*(INDEX('Landbrugsareal - resultat'!$L$33:$N$46,,MATCH(E195,'Landbrugsareal - resultat'!$L$5:$N$5,0)))),IF(C195=2030,SUMPRODUCT((B195='Landbrugsareal - resultat'!$B$33:$B$46)*(INDEX('Landbrugsareal - resultat'!$O$33:$Q$46,,MATCH(E195,'Landbrugsareal - resultat'!$O$5:$Q$5,0)))),SUMPRODUCT((B195='Landbrugsareal - resultat'!$B$33:$B$46)*(INDEX('Landbrugsareal - resultat'!$R$33:$T$46,,MATCH(E195,'Landbrugsareal - resultat'!$R$5:$T$5,0))))))))</f>
        <v>206.39657978861854</v>
      </c>
      <c r="H195" s="168">
        <f>G195*VLOOKUP(B195,[1]Afgrødedata!$A$5:$F$18,2,FALSE)*IF(D195="Økologisk",VLOOKUP(B195,[1]Afgrødedata!$A$5:$F$18,4,FALSE),1)*IF(E195&lt;&gt;Jordbund1,IF(E195=Organ6,VLOOKUP(B195,[1]Afgrødedata!$A$5:$F$18,5,FALSE),VLOOKUP(B195,[1]Afgrødedata!$A$5:$F$18,6,FALSE)),1)*0.1</f>
        <v>14447.760585203299</v>
      </c>
      <c r="I195" s="168">
        <f>G195*VLOOKUP(B195,[1]Afgrødedata!$A$5:$F$18,3,FALSE)*IF(D195="Økologisk",VLOOKUP(B195,[1]Afgrødedata!$A$5:$F$18,4,FALSE),1)*IF(E195&lt;&gt;Jordbund1,IF(E195=Organ6,VLOOKUP(B195,[1]Afgrødedata!$A$5:$F$18,5,FALSE),VLOOKUP(B195,[1]Afgrødedata!$A$5:$F$18,6,FALSE)),1)*HLOOKUP(C195,Landbrug!$C$15:$E$17,2,FALSE)*HLOOKUP(C195,Landbrug!$C$15:$E$17,3,FALSE)*0.1</f>
        <v>0</v>
      </c>
      <c r="J195" s="76">
        <f t="shared" si="29"/>
        <v>14447.760585203299</v>
      </c>
    </row>
    <row r="196" spans="1:10" x14ac:dyDescent="0.25">
      <c r="A196" t="s">
        <v>23</v>
      </c>
      <c r="B196" s="1" t="str">
        <f>[1]Afgrødefordeling!$C$14</f>
        <v>Pil &amp; poppel</v>
      </c>
      <c r="C196">
        <v>2030</v>
      </c>
      <c r="D196" t="s">
        <v>7</v>
      </c>
      <c r="E196" s="168" t="str">
        <f t="shared" si="35"/>
        <v>OC12</v>
      </c>
      <c r="F196" t="str">
        <f t="shared" ref="F196" si="38">IF(I196&lt;&gt;0,"Halm",IF(B196&lt;&gt;"Permanent græs",B196,"Græs"))</f>
        <v>Pil &amp; poppel</v>
      </c>
      <c r="G196" s="76" cm="1">
        <f t="array" ref="G196">IF(A196="Vestdanmark",IF(D196="Konventionel",IF(C196=2019,SUMPRODUCT((B196='Landbrugsareal - resultat'!$B$6:$B$19)*(INDEX('Landbrugsareal - resultat'!$C$6:$E$19,,MATCH(E196,'Landbrugsareal - resultat'!$C$5:$E$5,0)))),IF(C196=2030,SUMPRODUCT((B196='Landbrugsareal - resultat'!$B$6:$B$19)*(INDEX('Landbrugsareal - resultat'!$F$6:$H$19,,MATCH(E196,'Landbrugsareal - resultat'!$F$5:$H$5,0)))),SUMPRODUCT((B196='Landbrugsareal - resultat'!$B$6:$B$19)*(INDEX('Landbrugsareal - resultat'!$I$6:$K$19,,MATCH(E196,'Landbrugsareal - resultat'!$I$5:$K$5,0)))))),IF(C196=2019,SUMPRODUCT((B196='Landbrugsareal - resultat'!$B$6:$B$19)*(INDEX('Landbrugsareal - resultat'!$L$6:$N$19,,MATCH(E196,'Landbrugsareal - resultat'!$L$5:$N$5,0)))),IF(C196=2030,SUMPRODUCT((B196='Landbrugsareal - resultat'!$B$6:$B$19)*(INDEX('Landbrugsareal - resultat'!$O$6:$Q$19,,MATCH(E196,'Landbrugsareal - resultat'!$O$5:$Q$5,0)))),SUMPRODUCT((B196='Landbrugsareal - resultat'!$B$6:$B$19)*(INDEX('Landbrugsareal - resultat'!$R$6:$T$19,,MATCH(E196,'Landbrugsareal - resultat'!$R$5:$T$5,0))))))),IF(D196="Konventionel",IF(C196=2019,SUMPRODUCT((B196='Landbrugsareal - resultat'!$B$33:$B$46)*(INDEX('Landbrugsareal - resultat'!$C$33:$E$46,,MATCH(E196,'Landbrugsareal - resultat'!$C$5:$E$5,0)))),IF(C196=2030,SUMPRODUCT((B196='Landbrugsareal - resultat'!$B$33:$B$46)*(INDEX('Landbrugsareal - resultat'!$F$33:$H$46,,MATCH(E196,'Landbrugsareal - resultat'!$F$5:$H$5,0)))),SUMPRODUCT((B196='Landbrugsareal - resultat'!$B$33:$B$46)*(INDEX('Landbrugsareal - resultat'!$I$33:$K$46,,MATCH(E196,'Landbrugsareal - resultat'!$I$5:$K$5,0)))))),IF(C196=2019,SUMPRODUCT((B196='Landbrugsareal - resultat'!$B$33:$B$46)*(INDEX('Landbrugsareal - resultat'!$L$33:$N$46,,MATCH(E196,'Landbrugsareal - resultat'!$L$5:$N$5,0)))),IF(C196=2030,SUMPRODUCT((B196='Landbrugsareal - resultat'!$B$33:$B$46)*(INDEX('Landbrugsareal - resultat'!$O$33:$Q$46,,MATCH(E196,'Landbrugsareal - resultat'!$O$5:$Q$5,0)))),SUMPRODUCT((B196='Landbrugsareal - resultat'!$B$33:$B$46)*(INDEX('Landbrugsareal - resultat'!$R$33:$T$46,,MATCH(E196,'Landbrugsareal - resultat'!$R$5:$T$5,0))))))))</f>
        <v>487.2040481978043</v>
      </c>
      <c r="H196" s="168">
        <f>G196*VLOOKUP(B196,[1]Afgrødedata!$A$5:$F$18,2,FALSE)*IF(D196="Økologisk",VLOOKUP(B196,[1]Afgrødedata!$A$5:$F$18,4,FALSE),1)*IF(E196&lt;&gt;Jordbund1,IF(E196=Organ6,VLOOKUP(B196,[1]Afgrødedata!$A$5:$F$18,5,FALSE),VLOOKUP(B196,[1]Afgrødedata!$A$5:$F$18,6,FALSE)),1)*0.1</f>
        <v>16636.235792120147</v>
      </c>
      <c r="I196" s="168">
        <f>G196*VLOOKUP(B196,[1]Afgrødedata!$A$5:$F$18,3,FALSE)*IF(D196="Økologisk",VLOOKUP(B196,[1]Afgrødedata!$A$5:$F$18,4,FALSE),1)*IF(E196&lt;&gt;Jordbund1,IF(E196=Organ6,VLOOKUP(B196,[1]Afgrødedata!$A$5:$F$18,5,FALSE),VLOOKUP(B196,[1]Afgrødedata!$A$5:$F$18,6,FALSE)),1)*HLOOKUP(C196,Landbrug!$C$15:$E$17,2,FALSE)*HLOOKUP(C196,Landbrug!$C$15:$E$17,3,FALSE)*0.1</f>
        <v>0</v>
      </c>
      <c r="J196" s="76">
        <f t="shared" ref="J196" si="39">IF(I196&lt;&gt;0,I196,H196)</f>
        <v>16636.235792120147</v>
      </c>
    </row>
    <row r="197" spans="1:10" x14ac:dyDescent="0.25">
      <c r="A197" t="s">
        <v>23</v>
      </c>
      <c r="B197" s="1" t="str">
        <f>[1]Afgrødefordeling!$C$15</f>
        <v>Permanent græs</v>
      </c>
      <c r="C197">
        <v>2030</v>
      </c>
      <c r="D197" t="s">
        <v>7</v>
      </c>
      <c r="E197" s="168" t="str">
        <f t="shared" si="35"/>
        <v>OC12</v>
      </c>
      <c r="F197" t="str">
        <f t="shared" si="28"/>
        <v>Græs</v>
      </c>
      <c r="G197" s="76" cm="1">
        <f t="array" ref="G197">IF(A197="Vestdanmark",IF(D197="Konventionel",IF(C197=2019,SUMPRODUCT((B197='Landbrugsareal - resultat'!$B$6:$B$19)*(INDEX('Landbrugsareal - resultat'!$C$6:$E$19,,MATCH(E197,'Landbrugsareal - resultat'!$C$5:$E$5,0)))),IF(C197=2030,SUMPRODUCT((B197='Landbrugsareal - resultat'!$B$6:$B$19)*(INDEX('Landbrugsareal - resultat'!$F$6:$H$19,,MATCH(E197,'Landbrugsareal - resultat'!$F$5:$H$5,0)))),SUMPRODUCT((B197='Landbrugsareal - resultat'!$B$6:$B$19)*(INDEX('Landbrugsareal - resultat'!$I$6:$K$19,,MATCH(E197,'Landbrugsareal - resultat'!$I$5:$K$5,0)))))),IF(C197=2019,SUMPRODUCT((B197='Landbrugsareal - resultat'!$B$6:$B$19)*(INDEX('Landbrugsareal - resultat'!$L$6:$N$19,,MATCH(E197,'Landbrugsareal - resultat'!$L$5:$N$5,0)))),IF(C197=2030,SUMPRODUCT((B197='Landbrugsareal - resultat'!$B$6:$B$19)*(INDEX('Landbrugsareal - resultat'!$O$6:$Q$19,,MATCH(E197,'Landbrugsareal - resultat'!$O$5:$Q$5,0)))),SUMPRODUCT((B197='Landbrugsareal - resultat'!$B$6:$B$19)*(INDEX('Landbrugsareal - resultat'!$R$6:$T$19,,MATCH(E197,'Landbrugsareal - resultat'!$R$5:$T$5,0))))))),IF(D197="Konventionel",IF(C197=2019,SUMPRODUCT((B197='Landbrugsareal - resultat'!$B$33:$B$46)*(INDEX('Landbrugsareal - resultat'!$C$33:$E$46,,MATCH(E197,'Landbrugsareal - resultat'!$C$5:$E$5,0)))),IF(C197=2030,SUMPRODUCT((B197='Landbrugsareal - resultat'!$B$33:$B$46)*(INDEX('Landbrugsareal - resultat'!$F$33:$H$46,,MATCH(E197,'Landbrugsareal - resultat'!$F$5:$H$5,0)))),SUMPRODUCT((B197='Landbrugsareal - resultat'!$B$33:$B$46)*(INDEX('Landbrugsareal - resultat'!$I$33:$K$46,,MATCH(E197,'Landbrugsareal - resultat'!$I$5:$K$5,0)))))),IF(C197=2019,SUMPRODUCT((B197='Landbrugsareal - resultat'!$B$33:$B$46)*(INDEX('Landbrugsareal - resultat'!$L$33:$N$46,,MATCH(E197,'Landbrugsareal - resultat'!$L$5:$N$5,0)))),IF(C197=2030,SUMPRODUCT((B197='Landbrugsareal - resultat'!$B$33:$B$46)*(INDEX('Landbrugsareal - resultat'!$O$33:$Q$46,,MATCH(E197,'Landbrugsareal - resultat'!$O$5:$Q$5,0)))),SUMPRODUCT((B197='Landbrugsareal - resultat'!$B$33:$B$46)*(INDEX('Landbrugsareal - resultat'!$R$33:$T$46,,MATCH(E197,'Landbrugsareal - resultat'!$R$5:$T$5,0))))))))</f>
        <v>18019.370415242949</v>
      </c>
      <c r="H197" s="168">
        <f>G197*VLOOKUP(B197,[1]Afgrødedata!$A$5:$F$18,2,FALSE)*IF(D197="Økologisk",VLOOKUP(B197,[1]Afgrødedata!$A$5:$F$18,4,FALSE),1)*IF(E197&lt;&gt;Jordbund1,IF(E197=Organ6,VLOOKUP(B197,[1]Afgrødedata!$A$5:$F$18,5,FALSE),VLOOKUP(B197,[1]Afgrødedata!$A$5:$F$18,6,FALSE)),1)*0.1</f>
        <v>347881.96523668035</v>
      </c>
      <c r="I197" s="168">
        <f>G197*VLOOKUP(B197,[1]Afgrødedata!$A$5:$F$18,3,FALSE)*IF(D197="Økologisk",VLOOKUP(B197,[1]Afgrødedata!$A$5:$F$18,4,FALSE),1)*IF(E197&lt;&gt;Jordbund1,IF(E197=Organ6,VLOOKUP(B197,[1]Afgrødedata!$A$5:$F$18,5,FALSE),VLOOKUP(B197,[1]Afgrødedata!$A$5:$F$18,6,FALSE)),1)*HLOOKUP(C197,Landbrug!$C$15:$E$17,2,FALSE)*HLOOKUP(C197,Landbrug!$C$15:$E$17,3,FALSE)*0.1</f>
        <v>0</v>
      </c>
      <c r="J197" s="76">
        <f t="shared" si="29"/>
        <v>347881.96523668035</v>
      </c>
    </row>
    <row r="198" spans="1:10" x14ac:dyDescent="0.25">
      <c r="A198" t="s">
        <v>23</v>
      </c>
      <c r="B198" s="1" t="str">
        <f>[1]Afgrødefordeling!$C$2</f>
        <v>Korn</v>
      </c>
      <c r="C198">
        <v>2050</v>
      </c>
      <c r="D198" t="s">
        <v>7</v>
      </c>
      <c r="E198" s="168" t="str">
        <f t="shared" si="35"/>
        <v>OC12</v>
      </c>
      <c r="F198" t="str">
        <f t="shared" si="28"/>
        <v>Halm</v>
      </c>
      <c r="G198" s="76" cm="1">
        <f t="array" ref="G198">IF(A198="Vestdanmark",IF(D198="Konventionel",IF(C198=2019,SUMPRODUCT((B198='Landbrugsareal - resultat'!$B$6:$B$19)*(INDEX('Landbrugsareal - resultat'!$C$6:$E$19,,MATCH(E198,'Landbrugsareal - resultat'!$C$5:$E$5,0)))),IF(C198=2030,SUMPRODUCT((B198='Landbrugsareal - resultat'!$B$6:$B$19)*(INDEX('Landbrugsareal - resultat'!$F$6:$H$19,,MATCH(E198,'Landbrugsareal - resultat'!$F$5:$H$5,0)))),SUMPRODUCT((B198='Landbrugsareal - resultat'!$B$6:$B$19)*(INDEX('Landbrugsareal - resultat'!$I$6:$K$19,,MATCH(E198,'Landbrugsareal - resultat'!$I$5:$K$5,0)))))),IF(C198=2019,SUMPRODUCT((B198='Landbrugsareal - resultat'!$B$6:$B$19)*(INDEX('Landbrugsareal - resultat'!$L$6:$N$19,,MATCH(E198,'Landbrugsareal - resultat'!$L$5:$N$5,0)))),IF(C198=2030,SUMPRODUCT((B198='Landbrugsareal - resultat'!$B$6:$B$19)*(INDEX('Landbrugsareal - resultat'!$O$6:$Q$19,,MATCH(E198,'Landbrugsareal - resultat'!$O$5:$Q$5,0)))),SUMPRODUCT((B198='Landbrugsareal - resultat'!$B$6:$B$19)*(INDEX('Landbrugsareal - resultat'!$R$6:$T$19,,MATCH(E198,'Landbrugsareal - resultat'!$R$5:$T$5,0))))))),IF(D198="Konventionel",IF(C198=2019,SUMPRODUCT((B198='Landbrugsareal - resultat'!$B$33:$B$46)*(INDEX('Landbrugsareal - resultat'!$C$33:$E$46,,MATCH(E198,'Landbrugsareal - resultat'!$C$5:$E$5,0)))),IF(C198=2030,SUMPRODUCT((B198='Landbrugsareal - resultat'!$B$33:$B$46)*(INDEX('Landbrugsareal - resultat'!$F$33:$H$46,,MATCH(E198,'Landbrugsareal - resultat'!$F$5:$H$5,0)))),SUMPRODUCT((B198='Landbrugsareal - resultat'!$B$33:$B$46)*(INDEX('Landbrugsareal - resultat'!$I$33:$K$46,,MATCH(E198,'Landbrugsareal - resultat'!$I$5:$K$5,0)))))),IF(C198=2019,SUMPRODUCT((B198='Landbrugsareal - resultat'!$B$33:$B$46)*(INDEX('Landbrugsareal - resultat'!$L$33:$N$46,,MATCH(E198,'Landbrugsareal - resultat'!$L$5:$N$5,0)))),IF(C198=2030,SUMPRODUCT((B198='Landbrugsareal - resultat'!$B$33:$B$46)*(INDEX('Landbrugsareal - resultat'!$O$33:$Q$46,,MATCH(E198,'Landbrugsareal - resultat'!$O$5:$Q$5,0)))),SUMPRODUCT((B198='Landbrugsareal - resultat'!$B$33:$B$46)*(INDEX('Landbrugsareal - resultat'!$R$33:$T$46,,MATCH(E198,'Landbrugsareal - resultat'!$R$5:$T$5,0))))))))</f>
        <v>9626.2459411896907</v>
      </c>
      <c r="H198" s="168">
        <f>G198*VLOOKUP(B198,[1]Afgrødedata!$A$5:$F$18,2,FALSE)*IF(D198="Økologisk",VLOOKUP(B198,[1]Afgrødedata!$A$5:$F$18,4,FALSE),1)*IF(E198&lt;&gt;Jordbund1,IF(E198=Organ6,VLOOKUP(B198,[1]Afgrødedata!$A$5:$F$18,5,FALSE),VLOOKUP(B198,[1]Afgrødedata!$A$5:$F$18,6,FALSE)),1)*0.1</f>
        <v>94471.977666835621</v>
      </c>
      <c r="I198" s="168">
        <f>G198*VLOOKUP(B198,[1]Afgrødedata!$A$5:$F$18,3,FALSE)*IF(D198="Økologisk",VLOOKUP(B198,[1]Afgrødedata!$A$5:$F$18,4,FALSE),1)*IF(E198&lt;&gt;Jordbund1,IF(E198=Organ6,VLOOKUP(B198,[1]Afgrødedata!$A$5:$F$18,5,FALSE),VLOOKUP(B198,[1]Afgrødedata!$A$5:$F$18,6,FALSE)),1)*HLOOKUP(C198,Landbrug!$C$15:$E$17,2,FALSE)*HLOOKUP(C198,Landbrug!$C$15:$E$17,3,FALSE)*0.1</f>
        <v>30656.156752888157</v>
      </c>
      <c r="J198" s="76">
        <f t="shared" si="29"/>
        <v>30656.156752888157</v>
      </c>
    </row>
    <row r="199" spans="1:10" x14ac:dyDescent="0.25">
      <c r="A199" t="s">
        <v>23</v>
      </c>
      <c r="B199" s="1" t="str">
        <f>[1]Afgrødefordeling!$C$3</f>
        <v>Bælgsæd</v>
      </c>
      <c r="C199">
        <v>2050</v>
      </c>
      <c r="D199" t="s">
        <v>7</v>
      </c>
      <c r="E199" s="168" t="str">
        <f t="shared" si="35"/>
        <v>OC12</v>
      </c>
      <c r="F199" t="str">
        <f t="shared" si="28"/>
        <v>Halm</v>
      </c>
      <c r="G199" s="76" cm="1">
        <f t="array" ref="G199">IF(A199="Vestdanmark",IF(D199="Konventionel",IF(C199=2019,SUMPRODUCT((B199='Landbrugsareal - resultat'!$B$6:$B$19)*(INDEX('Landbrugsareal - resultat'!$C$6:$E$19,,MATCH(E199,'Landbrugsareal - resultat'!$C$5:$E$5,0)))),IF(C199=2030,SUMPRODUCT((B199='Landbrugsareal - resultat'!$B$6:$B$19)*(INDEX('Landbrugsareal - resultat'!$F$6:$H$19,,MATCH(E199,'Landbrugsareal - resultat'!$F$5:$H$5,0)))),SUMPRODUCT((B199='Landbrugsareal - resultat'!$B$6:$B$19)*(INDEX('Landbrugsareal - resultat'!$I$6:$K$19,,MATCH(E199,'Landbrugsareal - resultat'!$I$5:$K$5,0)))))),IF(C199=2019,SUMPRODUCT((B199='Landbrugsareal - resultat'!$B$6:$B$19)*(INDEX('Landbrugsareal - resultat'!$L$6:$N$19,,MATCH(E199,'Landbrugsareal - resultat'!$L$5:$N$5,0)))),IF(C199=2030,SUMPRODUCT((B199='Landbrugsareal - resultat'!$B$6:$B$19)*(INDEX('Landbrugsareal - resultat'!$O$6:$Q$19,,MATCH(E199,'Landbrugsareal - resultat'!$O$5:$Q$5,0)))),SUMPRODUCT((B199='Landbrugsareal - resultat'!$B$6:$B$19)*(INDEX('Landbrugsareal - resultat'!$R$6:$T$19,,MATCH(E199,'Landbrugsareal - resultat'!$R$5:$T$5,0))))))),IF(D199="Konventionel",IF(C199=2019,SUMPRODUCT((B199='Landbrugsareal - resultat'!$B$33:$B$46)*(INDEX('Landbrugsareal - resultat'!$C$33:$E$46,,MATCH(E199,'Landbrugsareal - resultat'!$C$5:$E$5,0)))),IF(C199=2030,SUMPRODUCT((B199='Landbrugsareal - resultat'!$B$33:$B$46)*(INDEX('Landbrugsareal - resultat'!$F$33:$H$46,,MATCH(E199,'Landbrugsareal - resultat'!$F$5:$H$5,0)))),SUMPRODUCT((B199='Landbrugsareal - resultat'!$B$33:$B$46)*(INDEX('Landbrugsareal - resultat'!$I$33:$K$46,,MATCH(E199,'Landbrugsareal - resultat'!$I$5:$K$5,0)))))),IF(C199=2019,SUMPRODUCT((B199='Landbrugsareal - resultat'!$B$33:$B$46)*(INDEX('Landbrugsareal - resultat'!$L$33:$N$46,,MATCH(E199,'Landbrugsareal - resultat'!$L$5:$N$5,0)))),IF(C199=2030,SUMPRODUCT((B199='Landbrugsareal - resultat'!$B$33:$B$46)*(INDEX('Landbrugsareal - resultat'!$O$33:$Q$46,,MATCH(E199,'Landbrugsareal - resultat'!$O$5:$Q$5,0)))),SUMPRODUCT((B199='Landbrugsareal - resultat'!$B$33:$B$46)*(INDEX('Landbrugsareal - resultat'!$R$33:$T$46,,MATCH(E199,'Landbrugsareal - resultat'!$R$5:$T$5,0))))))))</f>
        <v>554.27175495710208</v>
      </c>
      <c r="H199" s="168">
        <f>G199*VLOOKUP(B199,[1]Afgrødedata!$A$5:$F$18,2,FALSE)*IF(D199="Økologisk",VLOOKUP(B199,[1]Afgrødedata!$A$5:$F$18,4,FALSE),1)*IF(E199&lt;&gt;Jordbund1,IF(E199=Organ6,VLOOKUP(B199,[1]Afgrødedata!$A$5:$F$18,5,FALSE),VLOOKUP(B199,[1]Afgrødedata!$A$5:$F$18,6,FALSE)),1)*0.1</f>
        <v>2995.2845637881796</v>
      </c>
      <c r="I199" s="168">
        <f>G199*VLOOKUP(B199,[1]Afgrødedata!$A$5:$F$18,3,FALSE)*IF(D199="Økologisk",VLOOKUP(B199,[1]Afgrødedata!$A$5:$F$18,4,FALSE),1)*IF(E199&lt;&gt;Jordbund1,IF(E199=Organ6,VLOOKUP(B199,[1]Afgrødedata!$A$5:$F$18,5,FALSE),VLOOKUP(B199,[1]Afgrødedata!$A$5:$F$18,6,FALSE)),1)*HLOOKUP(C199,Landbrug!$C$15:$E$17,2,FALSE)*HLOOKUP(C199,Landbrug!$C$15:$E$17,3,FALSE)*0.1</f>
        <v>884.06677478710742</v>
      </c>
      <c r="J199" s="76">
        <f t="shared" si="29"/>
        <v>884.06677478710742</v>
      </c>
    </row>
    <row r="200" spans="1:10" x14ac:dyDescent="0.25">
      <c r="A200" t="s">
        <v>23</v>
      </c>
      <c r="B200" s="1" t="str">
        <f>[1]Afgrødefordeling!$C$4</f>
        <v>Raps</v>
      </c>
      <c r="C200">
        <v>2050</v>
      </c>
      <c r="D200" t="s">
        <v>7</v>
      </c>
      <c r="E200" s="168" t="str">
        <f t="shared" si="35"/>
        <v>OC12</v>
      </c>
      <c r="F200" t="str">
        <f t="shared" si="28"/>
        <v>Halm</v>
      </c>
      <c r="G200" s="76" cm="1">
        <f t="array" ref="G200">IF(A200="Vestdanmark",IF(D200="Konventionel",IF(C200=2019,SUMPRODUCT((B200='Landbrugsareal - resultat'!$B$6:$B$19)*(INDEX('Landbrugsareal - resultat'!$C$6:$E$19,,MATCH(E200,'Landbrugsareal - resultat'!$C$5:$E$5,0)))),IF(C200=2030,SUMPRODUCT((B200='Landbrugsareal - resultat'!$B$6:$B$19)*(INDEX('Landbrugsareal - resultat'!$F$6:$H$19,,MATCH(E200,'Landbrugsareal - resultat'!$F$5:$H$5,0)))),SUMPRODUCT((B200='Landbrugsareal - resultat'!$B$6:$B$19)*(INDEX('Landbrugsareal - resultat'!$I$6:$K$19,,MATCH(E200,'Landbrugsareal - resultat'!$I$5:$K$5,0)))))),IF(C200=2019,SUMPRODUCT((B200='Landbrugsareal - resultat'!$B$6:$B$19)*(INDEX('Landbrugsareal - resultat'!$L$6:$N$19,,MATCH(E200,'Landbrugsareal - resultat'!$L$5:$N$5,0)))),IF(C200=2030,SUMPRODUCT((B200='Landbrugsareal - resultat'!$B$6:$B$19)*(INDEX('Landbrugsareal - resultat'!$O$6:$Q$19,,MATCH(E200,'Landbrugsareal - resultat'!$O$5:$Q$5,0)))),SUMPRODUCT((B200='Landbrugsareal - resultat'!$B$6:$B$19)*(INDEX('Landbrugsareal - resultat'!$R$6:$T$19,,MATCH(E200,'Landbrugsareal - resultat'!$R$5:$T$5,0))))))),IF(D200="Konventionel",IF(C200=2019,SUMPRODUCT((B200='Landbrugsareal - resultat'!$B$33:$B$46)*(INDEX('Landbrugsareal - resultat'!$C$33:$E$46,,MATCH(E200,'Landbrugsareal - resultat'!$C$5:$E$5,0)))),IF(C200=2030,SUMPRODUCT((B200='Landbrugsareal - resultat'!$B$33:$B$46)*(INDEX('Landbrugsareal - resultat'!$F$33:$H$46,,MATCH(E200,'Landbrugsareal - resultat'!$F$5:$H$5,0)))),SUMPRODUCT((B200='Landbrugsareal - resultat'!$B$33:$B$46)*(INDEX('Landbrugsareal - resultat'!$I$33:$K$46,,MATCH(E200,'Landbrugsareal - resultat'!$I$5:$K$5,0)))))),IF(C200=2019,SUMPRODUCT((B200='Landbrugsareal - resultat'!$B$33:$B$46)*(INDEX('Landbrugsareal - resultat'!$L$33:$N$46,,MATCH(E200,'Landbrugsareal - resultat'!$L$5:$N$5,0)))),IF(C200=2030,SUMPRODUCT((B200='Landbrugsareal - resultat'!$B$33:$B$46)*(INDEX('Landbrugsareal - resultat'!$O$33:$Q$46,,MATCH(E200,'Landbrugsareal - resultat'!$O$5:$Q$5,0)))),SUMPRODUCT((B200='Landbrugsareal - resultat'!$B$33:$B$46)*(INDEX('Landbrugsareal - resultat'!$R$33:$T$46,,MATCH(E200,'Landbrugsareal - resultat'!$R$5:$T$5,0))))))))</f>
        <v>717.75682397782543</v>
      </c>
      <c r="H200" s="168">
        <f>G200*VLOOKUP(B200,[1]Afgrødedata!$A$5:$F$18,2,FALSE)*IF(D200="Økologisk",VLOOKUP(B200,[1]Afgrødedata!$A$5:$F$18,4,FALSE),1)*IF(E200&lt;&gt;Jordbund1,IF(E200=Organ6,VLOOKUP(B200,[1]Afgrødedata!$A$5:$F$18,5,FALSE),VLOOKUP(B200,[1]Afgrødedata!$A$5:$F$18,6,FALSE)),1)*0.1</f>
        <v>4421.3820357034047</v>
      </c>
      <c r="I200" s="168">
        <f>G200*VLOOKUP(B200,[1]Afgrødedata!$A$5:$F$18,3,FALSE)*IF(D200="Økologisk",VLOOKUP(B200,[1]Afgrødedata!$A$5:$F$18,4,FALSE),1)*IF(E200&lt;&gt;Jordbund1,IF(E200=Organ6,VLOOKUP(B200,[1]Afgrødedata!$A$5:$F$18,5,FALSE),VLOOKUP(B200,[1]Afgrødedata!$A$5:$F$18,6,FALSE)),1)*HLOOKUP(C200,Landbrug!$C$15:$E$17,2,FALSE)*HLOOKUP(C200,Landbrug!$C$15:$E$17,3,FALSE)*0.1</f>
        <v>2347.7538609585076</v>
      </c>
      <c r="J200" s="76">
        <f t="shared" si="29"/>
        <v>2347.7538609585076</v>
      </c>
    </row>
    <row r="201" spans="1:10" x14ac:dyDescent="0.25">
      <c r="A201" t="s">
        <v>23</v>
      </c>
      <c r="B201" s="1" t="str">
        <f>[1]Afgrødefordeling!$C$5</f>
        <v>Græs</v>
      </c>
      <c r="C201">
        <v>2050</v>
      </c>
      <c r="D201" t="s">
        <v>7</v>
      </c>
      <c r="E201" s="168" t="str">
        <f t="shared" si="35"/>
        <v>OC12</v>
      </c>
      <c r="F201" t="str">
        <f t="shared" si="28"/>
        <v>Græs</v>
      </c>
      <c r="G201" s="76" cm="1">
        <f t="array" ref="G201">IF(A201="Vestdanmark",IF(D201="Konventionel",IF(C201=2019,SUMPRODUCT((B201='Landbrugsareal - resultat'!$B$6:$B$19)*(INDEX('Landbrugsareal - resultat'!$C$6:$E$19,,MATCH(E201,'Landbrugsareal - resultat'!$C$5:$E$5,0)))),IF(C201=2030,SUMPRODUCT((B201='Landbrugsareal - resultat'!$B$6:$B$19)*(INDEX('Landbrugsareal - resultat'!$F$6:$H$19,,MATCH(E201,'Landbrugsareal - resultat'!$F$5:$H$5,0)))),SUMPRODUCT((B201='Landbrugsareal - resultat'!$B$6:$B$19)*(INDEX('Landbrugsareal - resultat'!$I$6:$K$19,,MATCH(E201,'Landbrugsareal - resultat'!$I$5:$K$5,0)))))),IF(C201=2019,SUMPRODUCT((B201='Landbrugsareal - resultat'!$B$6:$B$19)*(INDEX('Landbrugsareal - resultat'!$L$6:$N$19,,MATCH(E201,'Landbrugsareal - resultat'!$L$5:$N$5,0)))),IF(C201=2030,SUMPRODUCT((B201='Landbrugsareal - resultat'!$B$6:$B$19)*(INDEX('Landbrugsareal - resultat'!$O$6:$Q$19,,MATCH(E201,'Landbrugsareal - resultat'!$O$5:$Q$5,0)))),SUMPRODUCT((B201='Landbrugsareal - resultat'!$B$6:$B$19)*(INDEX('Landbrugsareal - resultat'!$R$6:$T$19,,MATCH(E201,'Landbrugsareal - resultat'!$R$5:$T$5,0))))))),IF(D201="Konventionel",IF(C201=2019,SUMPRODUCT((B201='Landbrugsareal - resultat'!$B$33:$B$46)*(INDEX('Landbrugsareal - resultat'!$C$33:$E$46,,MATCH(E201,'Landbrugsareal - resultat'!$C$5:$E$5,0)))),IF(C201=2030,SUMPRODUCT((B201='Landbrugsareal - resultat'!$B$33:$B$46)*(INDEX('Landbrugsareal - resultat'!$F$33:$H$46,,MATCH(E201,'Landbrugsareal - resultat'!$F$5:$H$5,0)))),SUMPRODUCT((B201='Landbrugsareal - resultat'!$B$33:$B$46)*(INDEX('Landbrugsareal - resultat'!$I$33:$K$46,,MATCH(E201,'Landbrugsareal - resultat'!$I$5:$K$5,0)))))),IF(C201=2019,SUMPRODUCT((B201='Landbrugsareal - resultat'!$B$33:$B$46)*(INDEX('Landbrugsareal - resultat'!$L$33:$N$46,,MATCH(E201,'Landbrugsareal - resultat'!$L$5:$N$5,0)))),IF(C201=2030,SUMPRODUCT((B201='Landbrugsareal - resultat'!$B$33:$B$46)*(INDEX('Landbrugsareal - resultat'!$O$33:$Q$46,,MATCH(E201,'Landbrugsareal - resultat'!$O$5:$Q$5,0)))),SUMPRODUCT((B201='Landbrugsareal - resultat'!$B$33:$B$46)*(INDEX('Landbrugsareal - resultat'!$R$33:$T$46,,MATCH(E201,'Landbrugsareal - resultat'!$R$5:$T$5,0))))))))</f>
        <v>16553.738123638836</v>
      </c>
      <c r="H201" s="168">
        <f>G201*VLOOKUP(B201,[1]Afgrødedata!$A$5:$F$18,2,FALSE)*IF(D201="Økologisk",VLOOKUP(B201,[1]Afgrødedata!$A$5:$F$18,4,FALSE),1)*IF(E201&lt;&gt;Jordbund1,IF(E201=Organ6,VLOOKUP(B201,[1]Afgrødedata!$A$5:$F$18,5,FALSE),VLOOKUP(B201,[1]Afgrødedata!$A$5:$F$18,6,FALSE)),1)*0.1</f>
        <v>1149955.0799729426</v>
      </c>
      <c r="I201" s="168">
        <f>G201*VLOOKUP(B201,[1]Afgrødedata!$A$5:$F$18,3,FALSE)*IF(D201="Økologisk",VLOOKUP(B201,[1]Afgrødedata!$A$5:$F$18,4,FALSE),1)*IF(E201&lt;&gt;Jordbund1,IF(E201=Organ6,VLOOKUP(B201,[1]Afgrødedata!$A$5:$F$18,5,FALSE),VLOOKUP(B201,[1]Afgrødedata!$A$5:$F$18,6,FALSE)),1)*HLOOKUP(C201,Landbrug!$C$15:$E$17,2,FALSE)*HLOOKUP(C201,Landbrug!$C$15:$E$17,3,FALSE)*0.1</f>
        <v>0</v>
      </c>
      <c r="J201" s="76">
        <f t="shared" si="29"/>
        <v>1149955.0799729426</v>
      </c>
    </row>
    <row r="202" spans="1:10" x14ac:dyDescent="0.25">
      <c r="A202" t="s">
        <v>23</v>
      </c>
      <c r="B202" s="1" t="str">
        <f>[1]Afgrødefordeling!$C$6</f>
        <v>Grøntsager</v>
      </c>
      <c r="C202">
        <v>2050</v>
      </c>
      <c r="D202" t="s">
        <v>7</v>
      </c>
      <c r="E202" s="168" t="str">
        <f t="shared" ref="E202:E233" si="40">Organ12</f>
        <v>OC12</v>
      </c>
      <c r="F202" t="str">
        <f t="shared" si="28"/>
        <v>Grøntsager</v>
      </c>
      <c r="G202" s="76" cm="1">
        <f t="array" ref="G202">IF(A202="Vestdanmark",IF(D202="Konventionel",IF(C202=2019,SUMPRODUCT((B202='Landbrugsareal - resultat'!$B$6:$B$19)*(INDEX('Landbrugsareal - resultat'!$C$6:$E$19,,MATCH(E202,'Landbrugsareal - resultat'!$C$5:$E$5,0)))),IF(C202=2030,SUMPRODUCT((B202='Landbrugsareal - resultat'!$B$6:$B$19)*(INDEX('Landbrugsareal - resultat'!$F$6:$H$19,,MATCH(E202,'Landbrugsareal - resultat'!$F$5:$H$5,0)))),SUMPRODUCT((B202='Landbrugsareal - resultat'!$B$6:$B$19)*(INDEX('Landbrugsareal - resultat'!$I$6:$K$19,,MATCH(E202,'Landbrugsareal - resultat'!$I$5:$K$5,0)))))),IF(C202=2019,SUMPRODUCT((B202='Landbrugsareal - resultat'!$B$6:$B$19)*(INDEX('Landbrugsareal - resultat'!$L$6:$N$19,,MATCH(E202,'Landbrugsareal - resultat'!$L$5:$N$5,0)))),IF(C202=2030,SUMPRODUCT((B202='Landbrugsareal - resultat'!$B$6:$B$19)*(INDEX('Landbrugsareal - resultat'!$O$6:$Q$19,,MATCH(E202,'Landbrugsareal - resultat'!$O$5:$Q$5,0)))),SUMPRODUCT((B202='Landbrugsareal - resultat'!$B$6:$B$19)*(INDEX('Landbrugsareal - resultat'!$R$6:$T$19,,MATCH(E202,'Landbrugsareal - resultat'!$R$5:$T$5,0))))))),IF(D202="Konventionel",IF(C202=2019,SUMPRODUCT((B202='Landbrugsareal - resultat'!$B$33:$B$46)*(INDEX('Landbrugsareal - resultat'!$C$33:$E$46,,MATCH(E202,'Landbrugsareal - resultat'!$C$5:$E$5,0)))),IF(C202=2030,SUMPRODUCT((B202='Landbrugsareal - resultat'!$B$33:$B$46)*(INDEX('Landbrugsareal - resultat'!$F$33:$H$46,,MATCH(E202,'Landbrugsareal - resultat'!$F$5:$H$5,0)))),SUMPRODUCT((B202='Landbrugsareal - resultat'!$B$33:$B$46)*(INDEX('Landbrugsareal - resultat'!$I$33:$K$46,,MATCH(E202,'Landbrugsareal - resultat'!$I$5:$K$5,0)))))),IF(C202=2019,SUMPRODUCT((B202='Landbrugsareal - resultat'!$B$33:$B$46)*(INDEX('Landbrugsareal - resultat'!$L$33:$N$46,,MATCH(E202,'Landbrugsareal - resultat'!$L$5:$N$5,0)))),IF(C202=2030,SUMPRODUCT((B202='Landbrugsareal - resultat'!$B$33:$B$46)*(INDEX('Landbrugsareal - resultat'!$O$33:$Q$46,,MATCH(E202,'Landbrugsareal - resultat'!$O$5:$Q$5,0)))),SUMPRODUCT((B202='Landbrugsareal - resultat'!$B$33:$B$46)*(INDEX('Landbrugsareal - resultat'!$R$33:$T$46,,MATCH(E202,'Landbrugsareal - resultat'!$R$5:$T$5,0))))))))</f>
        <v>19.24061686768454</v>
      </c>
      <c r="H202" s="168">
        <f>G202*VLOOKUP(B202,[1]Afgrødedata!$A$5:$F$18,2,FALSE)*IF(D202="Økologisk",VLOOKUP(B202,[1]Afgrødedata!$A$5:$F$18,4,FALSE),1)*IF(E202&lt;&gt;Jordbund1,IF(E202=Organ6,VLOOKUP(B202,[1]Afgrødedata!$A$5:$F$18,5,FALSE),VLOOKUP(B202,[1]Afgrødedata!$A$5:$F$18,6,FALSE)),1)*0.1</f>
        <v>558.93992000623587</v>
      </c>
      <c r="I202" s="168">
        <f>G202*VLOOKUP(B202,[1]Afgrødedata!$A$5:$F$18,3,FALSE)*IF(D202="Økologisk",VLOOKUP(B202,[1]Afgrødedata!$A$5:$F$18,4,FALSE),1)*IF(E202&lt;&gt;Jordbund1,IF(E202=Organ6,VLOOKUP(B202,[1]Afgrødedata!$A$5:$F$18,5,FALSE),VLOOKUP(B202,[1]Afgrødedata!$A$5:$F$18,6,FALSE)),1)*HLOOKUP(C202,Landbrug!$C$15:$E$17,2,FALSE)*HLOOKUP(C202,Landbrug!$C$15:$E$17,3,FALSE)*0.1</f>
        <v>0</v>
      </c>
      <c r="J202" s="76">
        <f t="shared" si="29"/>
        <v>558.93992000623587</v>
      </c>
    </row>
    <row r="203" spans="1:10" x14ac:dyDescent="0.25">
      <c r="A203" t="s">
        <v>23</v>
      </c>
      <c r="B203" s="1" t="str">
        <f>[1]Afgrødefordeling!$C$7</f>
        <v>Kartofler</v>
      </c>
      <c r="C203">
        <v>2050</v>
      </c>
      <c r="D203" t="s">
        <v>7</v>
      </c>
      <c r="E203" s="168" t="str">
        <f t="shared" si="40"/>
        <v>OC12</v>
      </c>
      <c r="F203" t="str">
        <f t="shared" si="28"/>
        <v>Kartofler</v>
      </c>
      <c r="G203" s="76" cm="1">
        <f t="array" ref="G203">IF(A203="Vestdanmark",IF(D203="Konventionel",IF(C203=2019,SUMPRODUCT((B203='Landbrugsareal - resultat'!$B$6:$B$19)*(INDEX('Landbrugsareal - resultat'!$C$6:$E$19,,MATCH(E203,'Landbrugsareal - resultat'!$C$5:$E$5,0)))),IF(C203=2030,SUMPRODUCT((B203='Landbrugsareal - resultat'!$B$6:$B$19)*(INDEX('Landbrugsareal - resultat'!$F$6:$H$19,,MATCH(E203,'Landbrugsareal - resultat'!$F$5:$H$5,0)))),SUMPRODUCT((B203='Landbrugsareal - resultat'!$B$6:$B$19)*(INDEX('Landbrugsareal - resultat'!$I$6:$K$19,,MATCH(E203,'Landbrugsareal - resultat'!$I$5:$K$5,0)))))),IF(C203=2019,SUMPRODUCT((B203='Landbrugsareal - resultat'!$B$6:$B$19)*(INDEX('Landbrugsareal - resultat'!$L$6:$N$19,,MATCH(E203,'Landbrugsareal - resultat'!$L$5:$N$5,0)))),IF(C203=2030,SUMPRODUCT((B203='Landbrugsareal - resultat'!$B$6:$B$19)*(INDEX('Landbrugsareal - resultat'!$O$6:$Q$19,,MATCH(E203,'Landbrugsareal - resultat'!$O$5:$Q$5,0)))),SUMPRODUCT((B203='Landbrugsareal - resultat'!$B$6:$B$19)*(INDEX('Landbrugsareal - resultat'!$R$6:$T$19,,MATCH(E203,'Landbrugsareal - resultat'!$R$5:$T$5,0))))))),IF(D203="Konventionel",IF(C203=2019,SUMPRODUCT((B203='Landbrugsareal - resultat'!$B$33:$B$46)*(INDEX('Landbrugsareal - resultat'!$C$33:$E$46,,MATCH(E203,'Landbrugsareal - resultat'!$C$5:$E$5,0)))),IF(C203=2030,SUMPRODUCT((B203='Landbrugsareal - resultat'!$B$33:$B$46)*(INDEX('Landbrugsareal - resultat'!$F$33:$H$46,,MATCH(E203,'Landbrugsareal - resultat'!$F$5:$H$5,0)))),SUMPRODUCT((B203='Landbrugsareal - resultat'!$B$33:$B$46)*(INDEX('Landbrugsareal - resultat'!$I$33:$K$46,,MATCH(E203,'Landbrugsareal - resultat'!$I$5:$K$5,0)))))),IF(C203=2019,SUMPRODUCT((B203='Landbrugsareal - resultat'!$B$33:$B$46)*(INDEX('Landbrugsareal - resultat'!$L$33:$N$46,,MATCH(E203,'Landbrugsareal - resultat'!$L$5:$N$5,0)))),IF(C203=2030,SUMPRODUCT((B203='Landbrugsareal - resultat'!$B$33:$B$46)*(INDEX('Landbrugsareal - resultat'!$O$33:$Q$46,,MATCH(E203,'Landbrugsareal - resultat'!$O$5:$Q$5,0)))),SUMPRODUCT((B203='Landbrugsareal - resultat'!$B$33:$B$46)*(INDEX('Landbrugsareal - resultat'!$R$33:$T$46,,MATCH(E203,'Landbrugsareal - resultat'!$R$5:$T$5,0))))))))</f>
        <v>1018.4114930072051</v>
      </c>
      <c r="H203" s="168">
        <f>G203*VLOOKUP(B203,[1]Afgrødedata!$A$5:$F$18,2,FALSE)*IF(D203="Økologisk",VLOOKUP(B203,[1]Afgrødedata!$A$5:$F$18,4,FALSE),1)*IF(E203&lt;&gt;Jordbund1,IF(E203=Organ6,VLOOKUP(B203,[1]Afgrødedata!$A$5:$F$18,5,FALSE),VLOOKUP(B203,[1]Afgrødedata!$A$5:$F$18,6,FALSE)),1)*0.1</f>
        <v>60553.992995324697</v>
      </c>
      <c r="I203" s="168">
        <f>G203*VLOOKUP(B203,[1]Afgrødedata!$A$5:$F$18,3,FALSE)*IF(D203="Økologisk",VLOOKUP(B203,[1]Afgrødedata!$A$5:$F$18,4,FALSE),1)*IF(E203&lt;&gt;Jordbund1,IF(E203=Organ6,VLOOKUP(B203,[1]Afgrødedata!$A$5:$F$18,5,FALSE),VLOOKUP(B203,[1]Afgrødedata!$A$5:$F$18,6,FALSE)),1)*HLOOKUP(C203,Landbrug!$C$15:$E$17,2,FALSE)*HLOOKUP(C203,Landbrug!$C$15:$E$17,3,FALSE)*0.1</f>
        <v>0</v>
      </c>
      <c r="J203" s="76">
        <f t="shared" si="29"/>
        <v>60553.992995324697</v>
      </c>
    </row>
    <row r="204" spans="1:10" x14ac:dyDescent="0.25">
      <c r="A204" t="s">
        <v>23</v>
      </c>
      <c r="B204" s="1" t="str">
        <f>[1]Afgrødefordeling!$C$8</f>
        <v>Roer</v>
      </c>
      <c r="C204">
        <v>2050</v>
      </c>
      <c r="D204" t="s">
        <v>7</v>
      </c>
      <c r="E204" s="168" t="str">
        <f t="shared" si="40"/>
        <v>OC12</v>
      </c>
      <c r="F204" t="str">
        <f t="shared" si="28"/>
        <v>Roer</v>
      </c>
      <c r="G204" s="76" cm="1">
        <f t="array" ref="G204">IF(A204="Vestdanmark",IF(D204="Konventionel",IF(C204=2019,SUMPRODUCT((B204='Landbrugsareal - resultat'!$B$6:$B$19)*(INDEX('Landbrugsareal - resultat'!$C$6:$E$19,,MATCH(E204,'Landbrugsareal - resultat'!$C$5:$E$5,0)))),IF(C204=2030,SUMPRODUCT((B204='Landbrugsareal - resultat'!$B$6:$B$19)*(INDEX('Landbrugsareal - resultat'!$F$6:$H$19,,MATCH(E204,'Landbrugsareal - resultat'!$F$5:$H$5,0)))),SUMPRODUCT((B204='Landbrugsareal - resultat'!$B$6:$B$19)*(INDEX('Landbrugsareal - resultat'!$I$6:$K$19,,MATCH(E204,'Landbrugsareal - resultat'!$I$5:$K$5,0)))))),IF(C204=2019,SUMPRODUCT((B204='Landbrugsareal - resultat'!$B$6:$B$19)*(INDEX('Landbrugsareal - resultat'!$L$6:$N$19,,MATCH(E204,'Landbrugsareal - resultat'!$L$5:$N$5,0)))),IF(C204=2030,SUMPRODUCT((B204='Landbrugsareal - resultat'!$B$6:$B$19)*(INDEX('Landbrugsareal - resultat'!$O$6:$Q$19,,MATCH(E204,'Landbrugsareal - resultat'!$O$5:$Q$5,0)))),SUMPRODUCT((B204='Landbrugsareal - resultat'!$B$6:$B$19)*(INDEX('Landbrugsareal - resultat'!$R$6:$T$19,,MATCH(E204,'Landbrugsareal - resultat'!$R$5:$T$5,0))))))),IF(D204="Konventionel",IF(C204=2019,SUMPRODUCT((B204='Landbrugsareal - resultat'!$B$33:$B$46)*(INDEX('Landbrugsareal - resultat'!$C$33:$E$46,,MATCH(E204,'Landbrugsareal - resultat'!$C$5:$E$5,0)))),IF(C204=2030,SUMPRODUCT((B204='Landbrugsareal - resultat'!$B$33:$B$46)*(INDEX('Landbrugsareal - resultat'!$F$33:$H$46,,MATCH(E204,'Landbrugsareal - resultat'!$F$5:$H$5,0)))),SUMPRODUCT((B204='Landbrugsareal - resultat'!$B$33:$B$46)*(INDEX('Landbrugsareal - resultat'!$I$33:$K$46,,MATCH(E204,'Landbrugsareal - resultat'!$I$5:$K$5,0)))))),IF(C204=2019,SUMPRODUCT((B204='Landbrugsareal - resultat'!$B$33:$B$46)*(INDEX('Landbrugsareal - resultat'!$L$33:$N$46,,MATCH(E204,'Landbrugsareal - resultat'!$L$5:$N$5,0)))),IF(C204=2030,SUMPRODUCT((B204='Landbrugsareal - resultat'!$B$33:$B$46)*(INDEX('Landbrugsareal - resultat'!$O$33:$Q$46,,MATCH(E204,'Landbrugsareal - resultat'!$O$5:$Q$5,0)))),SUMPRODUCT((B204='Landbrugsareal - resultat'!$B$33:$B$46)*(INDEX('Landbrugsareal - resultat'!$R$33:$T$46,,MATCH(E204,'Landbrugsareal - resultat'!$R$5:$T$5,0))))))))</f>
        <v>11.013165733854706</v>
      </c>
      <c r="H204" s="168">
        <f>G204*VLOOKUP(B204,[1]Afgrødedata!$A$5:$F$18,2,FALSE)*IF(D204="Økologisk",VLOOKUP(B204,[1]Afgrødedata!$A$5:$F$18,4,FALSE),1)*IF(E204&lt;&gt;Jordbund1,IF(E204=Organ6,VLOOKUP(B204,[1]Afgrødedata!$A$5:$F$18,5,FALSE),VLOOKUP(B204,[1]Afgrødedata!$A$5:$F$18,6,FALSE)),1)*0.1</f>
        <v>1252.8051336887613</v>
      </c>
      <c r="I204" s="168">
        <f>G204*VLOOKUP(B204,[1]Afgrødedata!$A$5:$F$18,3,FALSE)*IF(D204="Økologisk",VLOOKUP(B204,[1]Afgrødedata!$A$5:$F$18,4,FALSE),1)*IF(E204&lt;&gt;Jordbund1,IF(E204=Organ6,VLOOKUP(B204,[1]Afgrødedata!$A$5:$F$18,5,FALSE),VLOOKUP(B204,[1]Afgrødedata!$A$5:$F$18,6,FALSE)),1)*HLOOKUP(C204,Landbrug!$C$15:$E$17,2,FALSE)*HLOOKUP(C204,Landbrug!$C$15:$E$17,3,FALSE)*0.1</f>
        <v>0</v>
      </c>
      <c r="J204" s="76">
        <f t="shared" si="29"/>
        <v>1252.8051336887613</v>
      </c>
    </row>
    <row r="205" spans="1:10" x14ac:dyDescent="0.25">
      <c r="A205" t="s">
        <v>23</v>
      </c>
      <c r="B205" s="1" t="str">
        <f>[1]Afgrødefordeling!$C$9</f>
        <v>Majs</v>
      </c>
      <c r="C205">
        <v>2050</v>
      </c>
      <c r="D205" t="s">
        <v>7</v>
      </c>
      <c r="E205" s="168" t="str">
        <f t="shared" si="40"/>
        <v>OC12</v>
      </c>
      <c r="F205" t="str">
        <f t="shared" si="28"/>
        <v>Majs</v>
      </c>
      <c r="G205" s="76" cm="1">
        <f t="array" ref="G205">IF(A205="Vestdanmark",IF(D205="Konventionel",IF(C205=2019,SUMPRODUCT((B205='Landbrugsareal - resultat'!$B$6:$B$19)*(INDEX('Landbrugsareal - resultat'!$C$6:$E$19,,MATCH(E205,'Landbrugsareal - resultat'!$C$5:$E$5,0)))),IF(C205=2030,SUMPRODUCT((B205='Landbrugsareal - resultat'!$B$6:$B$19)*(INDEX('Landbrugsareal - resultat'!$F$6:$H$19,,MATCH(E205,'Landbrugsareal - resultat'!$F$5:$H$5,0)))),SUMPRODUCT((B205='Landbrugsareal - resultat'!$B$6:$B$19)*(INDEX('Landbrugsareal - resultat'!$I$6:$K$19,,MATCH(E205,'Landbrugsareal - resultat'!$I$5:$K$5,0)))))),IF(C205=2019,SUMPRODUCT((B205='Landbrugsareal - resultat'!$B$6:$B$19)*(INDEX('Landbrugsareal - resultat'!$L$6:$N$19,,MATCH(E205,'Landbrugsareal - resultat'!$L$5:$N$5,0)))),IF(C205=2030,SUMPRODUCT((B205='Landbrugsareal - resultat'!$B$6:$B$19)*(INDEX('Landbrugsareal - resultat'!$O$6:$Q$19,,MATCH(E205,'Landbrugsareal - resultat'!$O$5:$Q$5,0)))),SUMPRODUCT((B205='Landbrugsareal - resultat'!$B$6:$B$19)*(INDEX('Landbrugsareal - resultat'!$R$6:$T$19,,MATCH(E205,'Landbrugsareal - resultat'!$R$5:$T$5,0))))))),IF(D205="Konventionel",IF(C205=2019,SUMPRODUCT((B205='Landbrugsareal - resultat'!$B$33:$B$46)*(INDEX('Landbrugsareal - resultat'!$C$33:$E$46,,MATCH(E205,'Landbrugsareal - resultat'!$C$5:$E$5,0)))),IF(C205=2030,SUMPRODUCT((B205='Landbrugsareal - resultat'!$B$33:$B$46)*(INDEX('Landbrugsareal - resultat'!$F$33:$H$46,,MATCH(E205,'Landbrugsareal - resultat'!$F$5:$H$5,0)))),SUMPRODUCT((B205='Landbrugsareal - resultat'!$B$33:$B$46)*(INDEX('Landbrugsareal - resultat'!$I$33:$K$46,,MATCH(E205,'Landbrugsareal - resultat'!$I$5:$K$5,0)))))),IF(C205=2019,SUMPRODUCT((B205='Landbrugsareal - resultat'!$B$33:$B$46)*(INDEX('Landbrugsareal - resultat'!$L$33:$N$46,,MATCH(E205,'Landbrugsareal - resultat'!$L$5:$N$5,0)))),IF(C205=2030,SUMPRODUCT((B205='Landbrugsareal - resultat'!$B$33:$B$46)*(INDEX('Landbrugsareal - resultat'!$O$33:$Q$46,,MATCH(E205,'Landbrugsareal - resultat'!$O$5:$Q$5,0)))),SUMPRODUCT((B205='Landbrugsareal - resultat'!$B$33:$B$46)*(INDEX('Landbrugsareal - resultat'!$R$33:$T$46,,MATCH(E205,'Landbrugsareal - resultat'!$R$5:$T$5,0))))))))</f>
        <v>1369.5949733428961</v>
      </c>
      <c r="H205" s="168">
        <f>G205*VLOOKUP(B205,[1]Afgrødedata!$A$5:$F$18,2,FALSE)*IF(D205="Økologisk",VLOOKUP(B205,[1]Afgrødedata!$A$5:$F$18,4,FALSE),1)*IF(E205&lt;&gt;Jordbund1,IF(E205=Organ6,VLOOKUP(B205,[1]Afgrødedata!$A$5:$F$18,5,FALSE),VLOOKUP(B205,[1]Afgrødedata!$A$5:$F$18,6,FALSE)),1)*0.1</f>
        <v>85344.941168889229</v>
      </c>
      <c r="I205" s="168">
        <f>G205*VLOOKUP(B205,[1]Afgrødedata!$A$5:$F$18,3,FALSE)*IF(D205="Økologisk",VLOOKUP(B205,[1]Afgrødedata!$A$5:$F$18,4,FALSE),1)*IF(E205&lt;&gt;Jordbund1,IF(E205=Organ6,VLOOKUP(B205,[1]Afgrødedata!$A$5:$F$18,5,FALSE),VLOOKUP(B205,[1]Afgrødedata!$A$5:$F$18,6,FALSE)),1)*HLOOKUP(C205,Landbrug!$C$15:$E$17,2,FALSE)*HLOOKUP(C205,Landbrug!$C$15:$E$17,3,FALSE)*0.1</f>
        <v>0</v>
      </c>
      <c r="J205" s="76">
        <f t="shared" si="29"/>
        <v>85344.941168889229</v>
      </c>
    </row>
    <row r="206" spans="1:10" x14ac:dyDescent="0.25">
      <c r="A206" t="s">
        <v>23</v>
      </c>
      <c r="B206" s="1" t="str">
        <f>[1]Afgrødefordeling!$C$10</f>
        <v>Frugt</v>
      </c>
      <c r="C206">
        <v>2050</v>
      </c>
      <c r="D206" t="s">
        <v>7</v>
      </c>
      <c r="E206" s="168" t="str">
        <f t="shared" si="40"/>
        <v>OC12</v>
      </c>
      <c r="F206" t="str">
        <f t="shared" si="28"/>
        <v>Frugt</v>
      </c>
      <c r="G206" s="76" cm="1">
        <f t="array" ref="G206">IF(A206="Vestdanmark",IF(D206="Konventionel",IF(C206=2019,SUMPRODUCT((B206='Landbrugsareal - resultat'!$B$6:$B$19)*(INDEX('Landbrugsareal - resultat'!$C$6:$E$19,,MATCH(E206,'Landbrugsareal - resultat'!$C$5:$E$5,0)))),IF(C206=2030,SUMPRODUCT((B206='Landbrugsareal - resultat'!$B$6:$B$19)*(INDEX('Landbrugsareal - resultat'!$F$6:$H$19,,MATCH(E206,'Landbrugsareal - resultat'!$F$5:$H$5,0)))),SUMPRODUCT((B206='Landbrugsareal - resultat'!$B$6:$B$19)*(INDEX('Landbrugsareal - resultat'!$I$6:$K$19,,MATCH(E206,'Landbrugsareal - resultat'!$I$5:$K$5,0)))))),IF(C206=2019,SUMPRODUCT((B206='Landbrugsareal - resultat'!$B$6:$B$19)*(INDEX('Landbrugsareal - resultat'!$L$6:$N$19,,MATCH(E206,'Landbrugsareal - resultat'!$L$5:$N$5,0)))),IF(C206=2030,SUMPRODUCT((B206='Landbrugsareal - resultat'!$B$6:$B$19)*(INDEX('Landbrugsareal - resultat'!$O$6:$Q$19,,MATCH(E206,'Landbrugsareal - resultat'!$O$5:$Q$5,0)))),SUMPRODUCT((B206='Landbrugsareal - resultat'!$B$6:$B$19)*(INDEX('Landbrugsareal - resultat'!$R$6:$T$19,,MATCH(E206,'Landbrugsareal - resultat'!$R$5:$T$5,0))))))),IF(D206="Konventionel",IF(C206=2019,SUMPRODUCT((B206='Landbrugsareal - resultat'!$B$33:$B$46)*(INDEX('Landbrugsareal - resultat'!$C$33:$E$46,,MATCH(E206,'Landbrugsareal - resultat'!$C$5:$E$5,0)))),IF(C206=2030,SUMPRODUCT((B206='Landbrugsareal - resultat'!$B$33:$B$46)*(INDEX('Landbrugsareal - resultat'!$F$33:$H$46,,MATCH(E206,'Landbrugsareal - resultat'!$F$5:$H$5,0)))),SUMPRODUCT((B206='Landbrugsareal - resultat'!$B$33:$B$46)*(INDEX('Landbrugsareal - resultat'!$I$33:$K$46,,MATCH(E206,'Landbrugsareal - resultat'!$I$5:$K$5,0)))))),IF(C206=2019,SUMPRODUCT((B206='Landbrugsareal - resultat'!$B$33:$B$46)*(INDEX('Landbrugsareal - resultat'!$L$33:$N$46,,MATCH(E206,'Landbrugsareal - resultat'!$L$5:$N$5,0)))),IF(C206=2030,SUMPRODUCT((B206='Landbrugsareal - resultat'!$B$33:$B$46)*(INDEX('Landbrugsareal - resultat'!$O$33:$Q$46,,MATCH(E206,'Landbrugsareal - resultat'!$O$5:$Q$5,0)))),SUMPRODUCT((B206='Landbrugsareal - resultat'!$B$33:$B$46)*(INDEX('Landbrugsareal - resultat'!$R$33:$T$46,,MATCH(E206,'Landbrugsareal - resultat'!$R$5:$T$5,0))))))))</f>
        <v>39.248430011038536</v>
      </c>
      <c r="H206" s="168">
        <f>G206*VLOOKUP(B206,[1]Afgrødedata!$A$5:$F$18,2,FALSE)*IF(D206="Økologisk",VLOOKUP(B206,[1]Afgrødedata!$A$5:$F$18,4,FALSE),1)*IF(E206&lt;&gt;Jordbund1,IF(E206=Organ6,VLOOKUP(B206,[1]Afgrødedata!$A$5:$F$18,5,FALSE),VLOOKUP(B206,[1]Afgrødedata!$A$5:$F$18,6,FALSE)),1)*0.1</f>
        <v>466.50683911120404</v>
      </c>
      <c r="I206" s="168">
        <f>G206*VLOOKUP(B206,[1]Afgrødedata!$A$5:$F$18,3,FALSE)*IF(D206="Økologisk",VLOOKUP(B206,[1]Afgrødedata!$A$5:$F$18,4,FALSE),1)*IF(E206&lt;&gt;Jordbund1,IF(E206=Organ6,VLOOKUP(B206,[1]Afgrødedata!$A$5:$F$18,5,FALSE),VLOOKUP(B206,[1]Afgrødedata!$A$5:$F$18,6,FALSE)),1)*HLOOKUP(C206,Landbrug!$C$15:$E$17,2,FALSE)*HLOOKUP(C206,Landbrug!$C$15:$E$17,3,FALSE)*0.1</f>
        <v>0</v>
      </c>
      <c r="J206" s="76">
        <f t="shared" si="29"/>
        <v>466.50683911120404</v>
      </c>
    </row>
    <row r="207" spans="1:10" x14ac:dyDescent="0.25">
      <c r="A207" t="s">
        <v>23</v>
      </c>
      <c r="B207" s="1" t="str">
        <f>[1]Afgrødefordeling!$C$11</f>
        <v>Øvrige</v>
      </c>
      <c r="C207">
        <v>2050</v>
      </c>
      <c r="D207" t="s">
        <v>7</v>
      </c>
      <c r="E207" s="168" t="str">
        <f t="shared" si="40"/>
        <v>OC12</v>
      </c>
      <c r="F207" t="str">
        <f t="shared" si="28"/>
        <v>Øvrige</v>
      </c>
      <c r="G207" s="76" cm="1">
        <f t="array" ref="G207">IF(A207="Vestdanmark",IF(D207="Konventionel",IF(C207=2019,SUMPRODUCT((B207='Landbrugsareal - resultat'!$B$6:$B$19)*(INDEX('Landbrugsareal - resultat'!$C$6:$E$19,,MATCH(E207,'Landbrugsareal - resultat'!$C$5:$E$5,0)))),IF(C207=2030,SUMPRODUCT((B207='Landbrugsareal - resultat'!$B$6:$B$19)*(INDEX('Landbrugsareal - resultat'!$F$6:$H$19,,MATCH(E207,'Landbrugsareal - resultat'!$F$5:$H$5,0)))),SUMPRODUCT((B207='Landbrugsareal - resultat'!$B$6:$B$19)*(INDEX('Landbrugsareal - resultat'!$I$6:$K$19,,MATCH(E207,'Landbrugsareal - resultat'!$I$5:$K$5,0)))))),IF(C207=2019,SUMPRODUCT((B207='Landbrugsareal - resultat'!$B$6:$B$19)*(INDEX('Landbrugsareal - resultat'!$L$6:$N$19,,MATCH(E207,'Landbrugsareal - resultat'!$L$5:$N$5,0)))),IF(C207=2030,SUMPRODUCT((B207='Landbrugsareal - resultat'!$B$6:$B$19)*(INDEX('Landbrugsareal - resultat'!$O$6:$Q$19,,MATCH(E207,'Landbrugsareal - resultat'!$O$5:$Q$5,0)))),SUMPRODUCT((B207='Landbrugsareal - resultat'!$B$6:$B$19)*(INDEX('Landbrugsareal - resultat'!$R$6:$T$19,,MATCH(E207,'Landbrugsareal - resultat'!$R$5:$T$5,0))))))),IF(D207="Konventionel",IF(C207=2019,SUMPRODUCT((B207='Landbrugsareal - resultat'!$B$33:$B$46)*(INDEX('Landbrugsareal - resultat'!$C$33:$E$46,,MATCH(E207,'Landbrugsareal - resultat'!$C$5:$E$5,0)))),IF(C207=2030,SUMPRODUCT((B207='Landbrugsareal - resultat'!$B$33:$B$46)*(INDEX('Landbrugsareal - resultat'!$F$33:$H$46,,MATCH(E207,'Landbrugsareal - resultat'!$F$5:$H$5,0)))),SUMPRODUCT((B207='Landbrugsareal - resultat'!$B$33:$B$46)*(INDEX('Landbrugsareal - resultat'!$I$33:$K$46,,MATCH(E207,'Landbrugsareal - resultat'!$I$5:$K$5,0)))))),IF(C207=2019,SUMPRODUCT((B207='Landbrugsareal - resultat'!$B$33:$B$46)*(INDEX('Landbrugsareal - resultat'!$L$33:$N$46,,MATCH(E207,'Landbrugsareal - resultat'!$L$5:$N$5,0)))),IF(C207=2030,SUMPRODUCT((B207='Landbrugsareal - resultat'!$B$33:$B$46)*(INDEX('Landbrugsareal - resultat'!$O$33:$Q$46,,MATCH(E207,'Landbrugsareal - resultat'!$O$5:$Q$5,0)))),SUMPRODUCT((B207='Landbrugsareal - resultat'!$B$33:$B$46)*(INDEX('Landbrugsareal - resultat'!$R$33:$T$46,,MATCH(E207,'Landbrugsareal - resultat'!$R$5:$T$5,0))))))))</f>
        <v>694.14386302863124</v>
      </c>
      <c r="H207" s="168">
        <f>G207*VLOOKUP(B207,[1]Afgrødedata!$A$5:$F$18,2,FALSE)*IF(D207="Økologisk",VLOOKUP(B207,[1]Afgrødedata!$A$5:$F$18,4,FALSE),1)*IF(E207&lt;&gt;Jordbund1,IF(E207=Organ6,VLOOKUP(B207,[1]Afgrødedata!$A$5:$F$18,5,FALSE),VLOOKUP(B207,[1]Afgrødedata!$A$5:$F$18,6,FALSE)),1)*0.1</f>
        <v>28955.739861097427</v>
      </c>
      <c r="I207" s="168">
        <f>G207*VLOOKUP(B207,[1]Afgrødedata!$A$5:$F$18,3,FALSE)*IF(D207="Økologisk",VLOOKUP(B207,[1]Afgrødedata!$A$5:$F$18,4,FALSE),1)*IF(E207&lt;&gt;Jordbund1,IF(E207=Organ6,VLOOKUP(B207,[1]Afgrødedata!$A$5:$F$18,5,FALSE),VLOOKUP(B207,[1]Afgrødedata!$A$5:$F$18,6,FALSE)),1)*HLOOKUP(C207,Landbrug!$C$15:$E$17,2,FALSE)*HLOOKUP(C207,Landbrug!$C$15:$E$17,3,FALSE)*0.1</f>
        <v>0</v>
      </c>
      <c r="J207" s="76">
        <f t="shared" si="29"/>
        <v>28955.739861097427</v>
      </c>
    </row>
    <row r="208" spans="1:10" x14ac:dyDescent="0.25">
      <c r="A208" t="s">
        <v>23</v>
      </c>
      <c r="B208" s="1" t="str">
        <f>[1]Afgrødefordeling!$C$12</f>
        <v>Frø</v>
      </c>
      <c r="C208">
        <v>2050</v>
      </c>
      <c r="D208" t="s">
        <v>7</v>
      </c>
      <c r="E208" s="168" t="str">
        <f t="shared" si="40"/>
        <v>OC12</v>
      </c>
      <c r="F208" t="str">
        <f t="shared" si="28"/>
        <v>Halm</v>
      </c>
      <c r="G208" s="76" cm="1">
        <f t="array" ref="G208">IF(A208="Vestdanmark",IF(D208="Konventionel",IF(C208=2019,SUMPRODUCT((B208='Landbrugsareal - resultat'!$B$6:$B$19)*(INDEX('Landbrugsareal - resultat'!$C$6:$E$19,,MATCH(E208,'Landbrugsareal - resultat'!$C$5:$E$5,0)))),IF(C208=2030,SUMPRODUCT((B208='Landbrugsareal - resultat'!$B$6:$B$19)*(INDEX('Landbrugsareal - resultat'!$F$6:$H$19,,MATCH(E208,'Landbrugsareal - resultat'!$F$5:$H$5,0)))),SUMPRODUCT((B208='Landbrugsareal - resultat'!$B$6:$B$19)*(INDEX('Landbrugsareal - resultat'!$I$6:$K$19,,MATCH(E208,'Landbrugsareal - resultat'!$I$5:$K$5,0)))))),IF(C208=2019,SUMPRODUCT((B208='Landbrugsareal - resultat'!$B$6:$B$19)*(INDEX('Landbrugsareal - resultat'!$L$6:$N$19,,MATCH(E208,'Landbrugsareal - resultat'!$L$5:$N$5,0)))),IF(C208=2030,SUMPRODUCT((B208='Landbrugsareal - resultat'!$B$6:$B$19)*(INDEX('Landbrugsareal - resultat'!$O$6:$Q$19,,MATCH(E208,'Landbrugsareal - resultat'!$O$5:$Q$5,0)))),SUMPRODUCT((B208='Landbrugsareal - resultat'!$B$6:$B$19)*(INDEX('Landbrugsareal - resultat'!$R$6:$T$19,,MATCH(E208,'Landbrugsareal - resultat'!$R$5:$T$5,0))))))),IF(D208="Konventionel",IF(C208=2019,SUMPRODUCT((B208='Landbrugsareal - resultat'!$B$33:$B$46)*(INDEX('Landbrugsareal - resultat'!$C$33:$E$46,,MATCH(E208,'Landbrugsareal - resultat'!$C$5:$E$5,0)))),IF(C208=2030,SUMPRODUCT((B208='Landbrugsareal - resultat'!$B$33:$B$46)*(INDEX('Landbrugsareal - resultat'!$F$33:$H$46,,MATCH(E208,'Landbrugsareal - resultat'!$F$5:$H$5,0)))),SUMPRODUCT((B208='Landbrugsareal - resultat'!$B$33:$B$46)*(INDEX('Landbrugsareal - resultat'!$I$33:$K$46,,MATCH(E208,'Landbrugsareal - resultat'!$I$5:$K$5,0)))))),IF(C208=2019,SUMPRODUCT((B208='Landbrugsareal - resultat'!$B$33:$B$46)*(INDEX('Landbrugsareal - resultat'!$L$33:$N$46,,MATCH(E208,'Landbrugsareal - resultat'!$L$5:$N$5,0)))),IF(C208=2030,SUMPRODUCT((B208='Landbrugsareal - resultat'!$B$33:$B$46)*(INDEX('Landbrugsareal - resultat'!$O$33:$Q$46,,MATCH(E208,'Landbrugsareal - resultat'!$O$5:$Q$5,0)))),SUMPRODUCT((B208='Landbrugsareal - resultat'!$B$33:$B$46)*(INDEX('Landbrugsareal - resultat'!$R$33:$T$46,,MATCH(E208,'Landbrugsareal - resultat'!$R$5:$T$5,0))))))))</f>
        <v>2208.533694659091</v>
      </c>
      <c r="H208" s="168">
        <f>G208*VLOOKUP(B208,[1]Afgrødedata!$A$5:$F$18,2,FALSE)*IF(D208="Økologisk",VLOOKUP(B208,[1]Afgrødedata!$A$5:$F$18,4,FALSE),1)*IF(E208&lt;&gt;Jordbund1,IF(E208=Organ6,VLOOKUP(B208,[1]Afgrødedata!$A$5:$F$18,5,FALSE),VLOOKUP(B208,[1]Afgrødedata!$A$5:$F$18,6,FALSE)),1)*0.1</f>
        <v>44180.402623887407</v>
      </c>
      <c r="I208" s="168">
        <f>G208*VLOOKUP(B208,[1]Afgrødedata!$A$5:$F$18,3,FALSE)*IF(D208="Økologisk",VLOOKUP(B208,[1]Afgrødedata!$A$5:$F$18,4,FALSE),1)*IF(E208&lt;&gt;Jordbund1,IF(E208=Organ6,VLOOKUP(B208,[1]Afgrødedata!$A$5:$F$18,5,FALSE),VLOOKUP(B208,[1]Afgrødedata!$A$5:$F$18,6,FALSE)),1)*HLOOKUP(C208,Landbrug!$C$15:$E$17,2,FALSE)*HLOOKUP(C208,Landbrug!$C$15:$E$17,3,FALSE)*0.1</f>
        <v>7296.995327153636</v>
      </c>
      <c r="J208" s="76">
        <f t="shared" si="29"/>
        <v>7296.995327153636</v>
      </c>
    </row>
    <row r="209" spans="1:10" x14ac:dyDescent="0.25">
      <c r="A209" t="s">
        <v>23</v>
      </c>
      <c r="B209" s="1" t="str">
        <f>[1]Afgrødefordeling!$C$13</f>
        <v>Juletræer</v>
      </c>
      <c r="C209">
        <v>2050</v>
      </c>
      <c r="D209" t="s">
        <v>7</v>
      </c>
      <c r="E209" s="168" t="str">
        <f t="shared" si="40"/>
        <v>OC12</v>
      </c>
      <c r="F209" t="str">
        <f t="shared" ref="F209:F253" si="41">IF(I209&lt;&gt;0,"Halm",IF(B209&lt;&gt;"Permanent græs",B209,"Græs"))</f>
        <v>Juletræer</v>
      </c>
      <c r="G209" s="76" cm="1">
        <f t="array" ref="G209">IF(A209="Vestdanmark",IF(D209="Konventionel",IF(C209=2019,SUMPRODUCT((B209='Landbrugsareal - resultat'!$B$6:$B$19)*(INDEX('Landbrugsareal - resultat'!$C$6:$E$19,,MATCH(E209,'Landbrugsareal - resultat'!$C$5:$E$5,0)))),IF(C209=2030,SUMPRODUCT((B209='Landbrugsareal - resultat'!$B$6:$B$19)*(INDEX('Landbrugsareal - resultat'!$F$6:$H$19,,MATCH(E209,'Landbrugsareal - resultat'!$F$5:$H$5,0)))),SUMPRODUCT((B209='Landbrugsareal - resultat'!$B$6:$B$19)*(INDEX('Landbrugsareal - resultat'!$I$6:$K$19,,MATCH(E209,'Landbrugsareal - resultat'!$I$5:$K$5,0)))))),IF(C209=2019,SUMPRODUCT((B209='Landbrugsareal - resultat'!$B$6:$B$19)*(INDEX('Landbrugsareal - resultat'!$L$6:$N$19,,MATCH(E209,'Landbrugsareal - resultat'!$L$5:$N$5,0)))),IF(C209=2030,SUMPRODUCT((B209='Landbrugsareal - resultat'!$B$6:$B$19)*(INDEX('Landbrugsareal - resultat'!$O$6:$Q$19,,MATCH(E209,'Landbrugsareal - resultat'!$O$5:$Q$5,0)))),SUMPRODUCT((B209='Landbrugsareal - resultat'!$B$6:$B$19)*(INDEX('Landbrugsareal - resultat'!$R$6:$T$19,,MATCH(E209,'Landbrugsareal - resultat'!$R$5:$T$5,0))))))),IF(D209="Konventionel",IF(C209=2019,SUMPRODUCT((B209='Landbrugsareal - resultat'!$B$33:$B$46)*(INDEX('Landbrugsareal - resultat'!$C$33:$E$46,,MATCH(E209,'Landbrugsareal - resultat'!$C$5:$E$5,0)))),IF(C209=2030,SUMPRODUCT((B209='Landbrugsareal - resultat'!$B$33:$B$46)*(INDEX('Landbrugsareal - resultat'!$F$33:$H$46,,MATCH(E209,'Landbrugsareal - resultat'!$F$5:$H$5,0)))),SUMPRODUCT((B209='Landbrugsareal - resultat'!$B$33:$B$46)*(INDEX('Landbrugsareal - resultat'!$I$33:$K$46,,MATCH(E209,'Landbrugsareal - resultat'!$I$5:$K$5,0)))))),IF(C209=2019,SUMPRODUCT((B209='Landbrugsareal - resultat'!$B$33:$B$46)*(INDEX('Landbrugsareal - resultat'!$L$33:$N$46,,MATCH(E209,'Landbrugsareal - resultat'!$L$5:$N$5,0)))),IF(C209=2030,SUMPRODUCT((B209='Landbrugsareal - resultat'!$B$33:$B$46)*(INDEX('Landbrugsareal - resultat'!$O$33:$Q$46,,MATCH(E209,'Landbrugsareal - resultat'!$O$5:$Q$5,0)))),SUMPRODUCT((B209='Landbrugsareal - resultat'!$B$33:$B$46)*(INDEX('Landbrugsareal - resultat'!$R$33:$T$46,,MATCH(E209,'Landbrugsareal - resultat'!$R$5:$T$5,0))))))))</f>
        <v>196.85222927816218</v>
      </c>
      <c r="H209" s="168">
        <f>G209*VLOOKUP(B209,[1]Afgrødedata!$A$5:$F$18,2,FALSE)*IF(D209="Økologisk",VLOOKUP(B209,[1]Afgrødedata!$A$5:$F$18,4,FALSE),1)*IF(E209&lt;&gt;Jordbund1,IF(E209=Organ6,VLOOKUP(B209,[1]Afgrødedata!$A$5:$F$18,5,FALSE),VLOOKUP(B209,[1]Afgrødedata!$A$5:$F$18,6,FALSE)),1)*0.1</f>
        <v>13779.656049471352</v>
      </c>
      <c r="I209" s="168">
        <f>G209*VLOOKUP(B209,[1]Afgrødedata!$A$5:$F$18,3,FALSE)*IF(D209="Økologisk",VLOOKUP(B209,[1]Afgrødedata!$A$5:$F$18,4,FALSE),1)*IF(E209&lt;&gt;Jordbund1,IF(E209=Organ6,VLOOKUP(B209,[1]Afgrødedata!$A$5:$F$18,5,FALSE),VLOOKUP(B209,[1]Afgrødedata!$A$5:$F$18,6,FALSE)),1)*HLOOKUP(C209,Landbrug!$C$15:$E$17,2,FALSE)*HLOOKUP(C209,Landbrug!$C$15:$E$17,3,FALSE)*0.1</f>
        <v>0</v>
      </c>
      <c r="J209" s="76">
        <f t="shared" ref="J209:J276" si="42">IF(I209&lt;&gt;0,I209,H209)</f>
        <v>13779.656049471352</v>
      </c>
    </row>
    <row r="210" spans="1:10" x14ac:dyDescent="0.25">
      <c r="A210" t="s">
        <v>23</v>
      </c>
      <c r="B210" s="1" t="str">
        <f>[1]Afgrødefordeling!$C$14</f>
        <v>Pil &amp; poppel</v>
      </c>
      <c r="C210">
        <v>2050</v>
      </c>
      <c r="D210" t="s">
        <v>7</v>
      </c>
      <c r="E210" s="168" t="str">
        <f t="shared" si="40"/>
        <v>OC12</v>
      </c>
      <c r="F210" t="str">
        <f t="shared" ref="F210" si="43">IF(I210&lt;&gt;0,"Halm",IF(B210&lt;&gt;"Permanent græs",B210,"Græs"))</f>
        <v>Pil &amp; poppel</v>
      </c>
      <c r="G210" s="76" cm="1">
        <f t="array" ref="G210">IF(A210="Vestdanmark",IF(D210="Konventionel",IF(C210=2019,SUMPRODUCT((B210='Landbrugsareal - resultat'!$B$6:$B$19)*(INDEX('Landbrugsareal - resultat'!$C$6:$E$19,,MATCH(E210,'Landbrugsareal - resultat'!$C$5:$E$5,0)))),IF(C210=2030,SUMPRODUCT((B210='Landbrugsareal - resultat'!$B$6:$B$19)*(INDEX('Landbrugsareal - resultat'!$F$6:$H$19,,MATCH(E210,'Landbrugsareal - resultat'!$F$5:$H$5,0)))),SUMPRODUCT((B210='Landbrugsareal - resultat'!$B$6:$B$19)*(INDEX('Landbrugsareal - resultat'!$I$6:$K$19,,MATCH(E210,'Landbrugsareal - resultat'!$I$5:$K$5,0)))))),IF(C210=2019,SUMPRODUCT((B210='Landbrugsareal - resultat'!$B$6:$B$19)*(INDEX('Landbrugsareal - resultat'!$L$6:$N$19,,MATCH(E210,'Landbrugsareal - resultat'!$L$5:$N$5,0)))),IF(C210=2030,SUMPRODUCT((B210='Landbrugsareal - resultat'!$B$6:$B$19)*(INDEX('Landbrugsareal - resultat'!$O$6:$Q$19,,MATCH(E210,'Landbrugsareal - resultat'!$O$5:$Q$5,0)))),SUMPRODUCT((B210='Landbrugsareal - resultat'!$B$6:$B$19)*(INDEX('Landbrugsareal - resultat'!$R$6:$T$19,,MATCH(E210,'Landbrugsareal - resultat'!$R$5:$T$5,0))))))),IF(D210="Konventionel",IF(C210=2019,SUMPRODUCT((B210='Landbrugsareal - resultat'!$B$33:$B$46)*(INDEX('Landbrugsareal - resultat'!$C$33:$E$46,,MATCH(E210,'Landbrugsareal - resultat'!$C$5:$E$5,0)))),IF(C210=2030,SUMPRODUCT((B210='Landbrugsareal - resultat'!$B$33:$B$46)*(INDEX('Landbrugsareal - resultat'!$F$33:$H$46,,MATCH(E210,'Landbrugsareal - resultat'!$F$5:$H$5,0)))),SUMPRODUCT((B210='Landbrugsareal - resultat'!$B$33:$B$46)*(INDEX('Landbrugsareal - resultat'!$I$33:$K$46,,MATCH(E210,'Landbrugsareal - resultat'!$I$5:$K$5,0)))))),IF(C210=2019,SUMPRODUCT((B210='Landbrugsareal - resultat'!$B$33:$B$46)*(INDEX('Landbrugsareal - resultat'!$L$33:$N$46,,MATCH(E210,'Landbrugsareal - resultat'!$L$5:$N$5,0)))),IF(C210=2030,SUMPRODUCT((B210='Landbrugsareal - resultat'!$B$33:$B$46)*(INDEX('Landbrugsareal - resultat'!$O$33:$Q$46,,MATCH(E210,'Landbrugsareal - resultat'!$O$5:$Q$5,0)))),SUMPRODUCT((B210='Landbrugsareal - resultat'!$B$33:$B$46)*(INDEX('Landbrugsareal - resultat'!$R$33:$T$46,,MATCH(E210,'Landbrugsareal - resultat'!$R$5:$T$5,0))))))))</f>
        <v>464.67438122911972</v>
      </c>
      <c r="H210" s="168">
        <f>G210*VLOOKUP(B210,[1]Afgrødedata!$A$5:$F$18,2,FALSE)*IF(D210="Økologisk",VLOOKUP(B210,[1]Afgrødedata!$A$5:$F$18,4,FALSE),1)*IF(E210&lt;&gt;Jordbund1,IF(E210=Organ6,VLOOKUP(B210,[1]Afgrødedata!$A$5:$F$18,5,FALSE),VLOOKUP(B210,[1]Afgrødedata!$A$5:$F$18,6,FALSE)),1)*0.1</f>
        <v>15866.930090750429</v>
      </c>
      <c r="I210" s="168">
        <f>G210*VLOOKUP(B210,[1]Afgrødedata!$A$5:$F$18,3,FALSE)*IF(D210="Økologisk",VLOOKUP(B210,[1]Afgrødedata!$A$5:$F$18,4,FALSE),1)*IF(E210&lt;&gt;Jordbund1,IF(E210=Organ6,VLOOKUP(B210,[1]Afgrødedata!$A$5:$F$18,5,FALSE),VLOOKUP(B210,[1]Afgrødedata!$A$5:$F$18,6,FALSE)),1)*HLOOKUP(C210,Landbrug!$C$15:$E$17,2,FALSE)*HLOOKUP(C210,Landbrug!$C$15:$E$17,3,FALSE)*0.1</f>
        <v>0</v>
      </c>
      <c r="J210" s="76">
        <f t="shared" ref="J210" si="44">IF(I210&lt;&gt;0,I210,H210)</f>
        <v>15866.930090750429</v>
      </c>
    </row>
    <row r="211" spans="1:10" x14ac:dyDescent="0.25">
      <c r="A211" t="s">
        <v>23</v>
      </c>
      <c r="B211" s="1" t="str">
        <f>[1]Afgrødefordeling!$C$15</f>
        <v>Permanent græs</v>
      </c>
      <c r="C211">
        <v>2050</v>
      </c>
      <c r="D211" t="s">
        <v>7</v>
      </c>
      <c r="E211" s="168" t="str">
        <f t="shared" si="40"/>
        <v>OC12</v>
      </c>
      <c r="F211" t="str">
        <f t="shared" si="41"/>
        <v>Græs</v>
      </c>
      <c r="G211" s="76" cm="1">
        <f t="array" ref="G211">IF(A211="Vestdanmark",IF(D211="Konventionel",IF(C211=2019,SUMPRODUCT((B211='Landbrugsareal - resultat'!$B$6:$B$19)*(INDEX('Landbrugsareal - resultat'!$C$6:$E$19,,MATCH(E211,'Landbrugsareal - resultat'!$C$5:$E$5,0)))),IF(C211=2030,SUMPRODUCT((B211='Landbrugsareal - resultat'!$B$6:$B$19)*(INDEX('Landbrugsareal - resultat'!$F$6:$H$19,,MATCH(E211,'Landbrugsareal - resultat'!$F$5:$H$5,0)))),SUMPRODUCT((B211='Landbrugsareal - resultat'!$B$6:$B$19)*(INDEX('Landbrugsareal - resultat'!$I$6:$K$19,,MATCH(E211,'Landbrugsareal - resultat'!$I$5:$K$5,0)))))),IF(C211=2019,SUMPRODUCT((B211='Landbrugsareal - resultat'!$B$6:$B$19)*(INDEX('Landbrugsareal - resultat'!$L$6:$N$19,,MATCH(E211,'Landbrugsareal - resultat'!$L$5:$N$5,0)))),IF(C211=2030,SUMPRODUCT((B211='Landbrugsareal - resultat'!$B$6:$B$19)*(INDEX('Landbrugsareal - resultat'!$O$6:$Q$19,,MATCH(E211,'Landbrugsareal - resultat'!$O$5:$Q$5,0)))),SUMPRODUCT((B211='Landbrugsareal - resultat'!$B$6:$B$19)*(INDEX('Landbrugsareal - resultat'!$R$6:$T$19,,MATCH(E211,'Landbrugsareal - resultat'!$R$5:$T$5,0))))))),IF(D211="Konventionel",IF(C211=2019,SUMPRODUCT((B211='Landbrugsareal - resultat'!$B$33:$B$46)*(INDEX('Landbrugsareal - resultat'!$C$33:$E$46,,MATCH(E211,'Landbrugsareal - resultat'!$C$5:$E$5,0)))),IF(C211=2030,SUMPRODUCT((B211='Landbrugsareal - resultat'!$B$33:$B$46)*(INDEX('Landbrugsareal - resultat'!$F$33:$H$46,,MATCH(E211,'Landbrugsareal - resultat'!$F$5:$H$5,0)))),SUMPRODUCT((B211='Landbrugsareal - resultat'!$B$33:$B$46)*(INDEX('Landbrugsareal - resultat'!$I$33:$K$46,,MATCH(E211,'Landbrugsareal - resultat'!$I$5:$K$5,0)))))),IF(C211=2019,SUMPRODUCT((B211='Landbrugsareal - resultat'!$B$33:$B$46)*(INDEX('Landbrugsareal - resultat'!$L$33:$N$46,,MATCH(E211,'Landbrugsareal - resultat'!$L$5:$N$5,0)))),IF(C211=2030,SUMPRODUCT((B211='Landbrugsareal - resultat'!$B$33:$B$46)*(INDEX('Landbrugsareal - resultat'!$O$33:$Q$46,,MATCH(E211,'Landbrugsareal - resultat'!$O$5:$Q$5,0)))),SUMPRODUCT((B211='Landbrugsareal - resultat'!$B$33:$B$46)*(INDEX('Landbrugsareal - resultat'!$R$33:$T$46,,MATCH(E211,'Landbrugsareal - resultat'!$R$5:$T$5,0))))))))</f>
        <v>17186.104731301079</v>
      </c>
      <c r="H211" s="168">
        <f>G211*VLOOKUP(B211,[1]Afgrødedata!$A$5:$F$18,2,FALSE)*IF(D211="Økologisk",VLOOKUP(B211,[1]Afgrødedata!$A$5:$F$18,4,FALSE),1)*IF(E211&lt;&gt;Jordbund1,IF(E211=Organ6,VLOOKUP(B211,[1]Afgrødedata!$A$5:$F$18,5,FALSE),VLOOKUP(B211,[1]Afgrødedata!$A$5:$F$18,6,FALSE)),1)*0.1</f>
        <v>331794.93794249865</v>
      </c>
      <c r="I211" s="168">
        <f>G211*VLOOKUP(B211,[1]Afgrødedata!$A$5:$F$18,3,FALSE)*IF(D211="Økologisk",VLOOKUP(B211,[1]Afgrødedata!$A$5:$F$18,4,FALSE),1)*IF(E211&lt;&gt;Jordbund1,IF(E211=Organ6,VLOOKUP(B211,[1]Afgrødedata!$A$5:$F$18,5,FALSE),VLOOKUP(B211,[1]Afgrødedata!$A$5:$F$18,6,FALSE)),1)*HLOOKUP(C211,Landbrug!$C$15:$E$17,2,FALSE)*HLOOKUP(C211,Landbrug!$C$15:$E$17,3,FALSE)*0.1</f>
        <v>0</v>
      </c>
      <c r="J211" s="76">
        <f t="shared" si="42"/>
        <v>331794.93794249865</v>
      </c>
    </row>
    <row r="212" spans="1:10" x14ac:dyDescent="0.25">
      <c r="A212" t="s">
        <v>23</v>
      </c>
      <c r="B212" s="1" t="str">
        <f>[1]Afgrødefordeling!$C$2</f>
        <v>Korn</v>
      </c>
      <c r="C212">
        <v>2019</v>
      </c>
      <c r="D212" t="s">
        <v>8</v>
      </c>
      <c r="E212" s="168" t="str">
        <f t="shared" si="40"/>
        <v>OC12</v>
      </c>
      <c r="F212" t="str">
        <f t="shared" si="41"/>
        <v>Halm</v>
      </c>
      <c r="G212" s="76" cm="1">
        <f t="array" ref="G212">IF(A212="Vestdanmark",IF(D212="Konventionel",IF(C212=2019,SUMPRODUCT((B212='Landbrugsareal - resultat'!$B$6:$B$19)*(INDEX('Landbrugsareal - resultat'!$C$6:$E$19,,MATCH(E212,'Landbrugsareal - resultat'!$C$5:$E$5,0)))),IF(C212=2030,SUMPRODUCT((B212='Landbrugsareal - resultat'!$B$6:$B$19)*(INDEX('Landbrugsareal - resultat'!$F$6:$H$19,,MATCH(E212,'Landbrugsareal - resultat'!$F$5:$H$5,0)))),SUMPRODUCT((B212='Landbrugsareal - resultat'!$B$6:$B$19)*(INDEX('Landbrugsareal - resultat'!$I$6:$K$19,,MATCH(E212,'Landbrugsareal - resultat'!$I$5:$K$5,0)))))),IF(C212=2019,SUMPRODUCT((B212='Landbrugsareal - resultat'!$B$6:$B$19)*(INDEX('Landbrugsareal - resultat'!$L$6:$N$19,,MATCH(E212,'Landbrugsareal - resultat'!$L$5:$N$5,0)))),IF(C212=2030,SUMPRODUCT((B212='Landbrugsareal - resultat'!$B$6:$B$19)*(INDEX('Landbrugsareal - resultat'!$O$6:$Q$19,,MATCH(E212,'Landbrugsareal - resultat'!$O$5:$Q$5,0)))),SUMPRODUCT((B212='Landbrugsareal - resultat'!$B$6:$B$19)*(INDEX('Landbrugsareal - resultat'!$R$6:$T$19,,MATCH(E212,'Landbrugsareal - resultat'!$R$5:$T$5,0))))))),IF(D212="Konventionel",IF(C212=2019,SUMPRODUCT((B212='Landbrugsareal - resultat'!$B$33:$B$46)*(INDEX('Landbrugsareal - resultat'!$C$33:$E$46,,MATCH(E212,'Landbrugsareal - resultat'!$C$5:$E$5,0)))),IF(C212=2030,SUMPRODUCT((B212='Landbrugsareal - resultat'!$B$33:$B$46)*(INDEX('Landbrugsareal - resultat'!$F$33:$H$46,,MATCH(E212,'Landbrugsareal - resultat'!$F$5:$H$5,0)))),SUMPRODUCT((B212='Landbrugsareal - resultat'!$B$33:$B$46)*(INDEX('Landbrugsareal - resultat'!$I$33:$K$46,,MATCH(E212,'Landbrugsareal - resultat'!$I$5:$K$5,0)))))),IF(C212=2019,SUMPRODUCT((B212='Landbrugsareal - resultat'!$B$33:$B$46)*(INDEX('Landbrugsareal - resultat'!$L$33:$N$46,,MATCH(E212,'Landbrugsareal - resultat'!$L$5:$N$5,0)))),IF(C212=2030,SUMPRODUCT((B212='Landbrugsareal - resultat'!$B$33:$B$46)*(INDEX('Landbrugsareal - resultat'!$O$33:$Q$46,,MATCH(E212,'Landbrugsareal - resultat'!$O$5:$Q$5,0)))),SUMPRODUCT((B212='Landbrugsareal - resultat'!$B$33:$B$46)*(INDEX('Landbrugsareal - resultat'!$R$33:$T$46,,MATCH(E212,'Landbrugsareal - resultat'!$R$5:$T$5,0))))))))</f>
        <v>1463.0378625294493</v>
      </c>
      <c r="H212" s="168">
        <f>G212*VLOOKUP(B212,[1]Afgrødedata!$A$5:$F$18,2,FALSE)*IF(D212="Økologisk",VLOOKUP(B212,[1]Afgrødedata!$A$5:$F$18,4,FALSE),1)*IF(E212&lt;&gt;Jordbund1,IF(E212=Organ6,VLOOKUP(B212,[1]Afgrødedata!$A$5:$F$18,5,FALSE),VLOOKUP(B212,[1]Afgrødedata!$A$5:$F$18,6,FALSE)),1)*0.1</f>
        <v>9620.0299005188899</v>
      </c>
      <c r="I212" s="168">
        <f>G212*VLOOKUP(B212,[1]Afgrødedata!$A$5:$F$18,3,FALSE)*IF(D212="Økologisk",VLOOKUP(B212,[1]Afgrødedata!$A$5:$F$18,4,FALSE),1)*IF(E212&lt;&gt;Jordbund1,IF(E212=Organ6,VLOOKUP(B212,[1]Afgrødedata!$A$5:$F$18,5,FALSE),VLOOKUP(B212,[1]Afgrødedata!$A$5:$F$18,6,FALSE)),1)*HLOOKUP(C212,Landbrug!$C$15:$E$17,2,FALSE)*HLOOKUP(C212,Landbrug!$C$15:$E$17,3,FALSE)*0.1</f>
        <v>3139.9537094546149</v>
      </c>
      <c r="J212" s="76">
        <f t="shared" si="42"/>
        <v>3139.9537094546149</v>
      </c>
    </row>
    <row r="213" spans="1:10" x14ac:dyDescent="0.25">
      <c r="A213" t="s">
        <v>23</v>
      </c>
      <c r="B213" s="1" t="str">
        <f>[1]Afgrødefordeling!$C$3</f>
        <v>Bælgsæd</v>
      </c>
      <c r="C213">
        <v>2019</v>
      </c>
      <c r="D213" t="s">
        <v>8</v>
      </c>
      <c r="E213" s="168" t="str">
        <f t="shared" si="40"/>
        <v>OC12</v>
      </c>
      <c r="F213" t="str">
        <f t="shared" si="41"/>
        <v>Halm</v>
      </c>
      <c r="G213" s="76" cm="1">
        <f t="array" ref="G213">IF(A213="Vestdanmark",IF(D213="Konventionel",IF(C213=2019,SUMPRODUCT((B213='Landbrugsareal - resultat'!$B$6:$B$19)*(INDEX('Landbrugsareal - resultat'!$C$6:$E$19,,MATCH(E213,'Landbrugsareal - resultat'!$C$5:$E$5,0)))),IF(C213=2030,SUMPRODUCT((B213='Landbrugsareal - resultat'!$B$6:$B$19)*(INDEX('Landbrugsareal - resultat'!$F$6:$H$19,,MATCH(E213,'Landbrugsareal - resultat'!$F$5:$H$5,0)))),SUMPRODUCT((B213='Landbrugsareal - resultat'!$B$6:$B$19)*(INDEX('Landbrugsareal - resultat'!$I$6:$K$19,,MATCH(E213,'Landbrugsareal - resultat'!$I$5:$K$5,0)))))),IF(C213=2019,SUMPRODUCT((B213='Landbrugsareal - resultat'!$B$6:$B$19)*(INDEX('Landbrugsareal - resultat'!$L$6:$N$19,,MATCH(E213,'Landbrugsareal - resultat'!$L$5:$N$5,0)))),IF(C213=2030,SUMPRODUCT((B213='Landbrugsareal - resultat'!$B$6:$B$19)*(INDEX('Landbrugsareal - resultat'!$O$6:$Q$19,,MATCH(E213,'Landbrugsareal - resultat'!$O$5:$Q$5,0)))),SUMPRODUCT((B213='Landbrugsareal - resultat'!$B$6:$B$19)*(INDEX('Landbrugsareal - resultat'!$R$6:$T$19,,MATCH(E213,'Landbrugsareal - resultat'!$R$5:$T$5,0))))))),IF(D213="Konventionel",IF(C213=2019,SUMPRODUCT((B213='Landbrugsareal - resultat'!$B$33:$B$46)*(INDEX('Landbrugsareal - resultat'!$C$33:$E$46,,MATCH(E213,'Landbrugsareal - resultat'!$C$5:$E$5,0)))),IF(C213=2030,SUMPRODUCT((B213='Landbrugsareal - resultat'!$B$33:$B$46)*(INDEX('Landbrugsareal - resultat'!$F$33:$H$46,,MATCH(E213,'Landbrugsareal - resultat'!$F$5:$H$5,0)))),SUMPRODUCT((B213='Landbrugsareal - resultat'!$B$33:$B$46)*(INDEX('Landbrugsareal - resultat'!$I$33:$K$46,,MATCH(E213,'Landbrugsareal - resultat'!$I$5:$K$5,0)))))),IF(C213=2019,SUMPRODUCT((B213='Landbrugsareal - resultat'!$B$33:$B$46)*(INDEX('Landbrugsareal - resultat'!$L$33:$N$46,,MATCH(E213,'Landbrugsareal - resultat'!$L$5:$N$5,0)))),IF(C213=2030,SUMPRODUCT((B213='Landbrugsareal - resultat'!$B$33:$B$46)*(INDEX('Landbrugsareal - resultat'!$O$33:$Q$46,,MATCH(E213,'Landbrugsareal - resultat'!$O$5:$Q$5,0)))),SUMPRODUCT((B213='Landbrugsareal - resultat'!$B$33:$B$46)*(INDEX('Landbrugsareal - resultat'!$R$33:$T$46,,MATCH(E213,'Landbrugsareal - resultat'!$R$5:$T$5,0))))))))</f>
        <v>84.240582319120037</v>
      </c>
      <c r="H213" s="168">
        <f>G213*VLOOKUP(B213,[1]Afgrødedata!$A$5:$F$18,2,FALSE)*IF(D213="Økologisk",VLOOKUP(B213,[1]Afgrødedata!$A$5:$F$18,4,FALSE),1)*IF(E213&lt;&gt;Jordbund1,IF(E213=Organ6,VLOOKUP(B213,[1]Afgrødedata!$A$5:$F$18,5,FALSE),VLOOKUP(B213,[1]Afgrødedata!$A$5:$F$18,6,FALSE)),1)*0.1</f>
        <v>259.48458090593903</v>
      </c>
      <c r="I213" s="168">
        <f>G213*VLOOKUP(B213,[1]Afgrødedata!$A$5:$F$18,3,FALSE)*IF(D213="Økologisk",VLOOKUP(B213,[1]Afgrødedata!$A$5:$F$18,4,FALSE),1)*IF(E213&lt;&gt;Jordbund1,IF(E213=Organ6,VLOOKUP(B213,[1]Afgrødedata!$A$5:$F$18,5,FALSE),VLOOKUP(B213,[1]Afgrødedata!$A$5:$F$18,6,FALSE)),1)*HLOOKUP(C213,Landbrug!$C$15:$E$17,2,FALSE)*HLOOKUP(C213,Landbrug!$C$15:$E$17,3,FALSE)*0.1</f>
        <v>77.035456343029438</v>
      </c>
      <c r="J213" s="76">
        <f t="shared" si="42"/>
        <v>77.035456343029438</v>
      </c>
    </row>
    <row r="214" spans="1:10" x14ac:dyDescent="0.25">
      <c r="A214" t="s">
        <v>23</v>
      </c>
      <c r="B214" s="1" t="str">
        <f>[1]Afgrødefordeling!$C$4</f>
        <v>Raps</v>
      </c>
      <c r="C214">
        <v>2019</v>
      </c>
      <c r="D214" t="s">
        <v>8</v>
      </c>
      <c r="E214" s="168" t="str">
        <f t="shared" si="40"/>
        <v>OC12</v>
      </c>
      <c r="F214" t="str">
        <f t="shared" si="41"/>
        <v>Halm</v>
      </c>
      <c r="G214" s="76" cm="1">
        <f t="array" ref="G214">IF(A214="Vestdanmark",IF(D214="Konventionel",IF(C214=2019,SUMPRODUCT((B214='Landbrugsareal - resultat'!$B$6:$B$19)*(INDEX('Landbrugsareal - resultat'!$C$6:$E$19,,MATCH(E214,'Landbrugsareal - resultat'!$C$5:$E$5,0)))),IF(C214=2030,SUMPRODUCT((B214='Landbrugsareal - resultat'!$B$6:$B$19)*(INDEX('Landbrugsareal - resultat'!$F$6:$H$19,,MATCH(E214,'Landbrugsareal - resultat'!$F$5:$H$5,0)))),SUMPRODUCT((B214='Landbrugsareal - resultat'!$B$6:$B$19)*(INDEX('Landbrugsareal - resultat'!$I$6:$K$19,,MATCH(E214,'Landbrugsareal - resultat'!$I$5:$K$5,0)))))),IF(C214=2019,SUMPRODUCT((B214='Landbrugsareal - resultat'!$B$6:$B$19)*(INDEX('Landbrugsareal - resultat'!$L$6:$N$19,,MATCH(E214,'Landbrugsareal - resultat'!$L$5:$N$5,0)))),IF(C214=2030,SUMPRODUCT((B214='Landbrugsareal - resultat'!$B$6:$B$19)*(INDEX('Landbrugsareal - resultat'!$O$6:$Q$19,,MATCH(E214,'Landbrugsareal - resultat'!$O$5:$Q$5,0)))),SUMPRODUCT((B214='Landbrugsareal - resultat'!$B$6:$B$19)*(INDEX('Landbrugsareal - resultat'!$R$6:$T$19,,MATCH(E214,'Landbrugsareal - resultat'!$R$5:$T$5,0))))))),IF(D214="Konventionel",IF(C214=2019,SUMPRODUCT((B214='Landbrugsareal - resultat'!$B$33:$B$46)*(INDEX('Landbrugsareal - resultat'!$C$33:$E$46,,MATCH(E214,'Landbrugsareal - resultat'!$C$5:$E$5,0)))),IF(C214=2030,SUMPRODUCT((B214='Landbrugsareal - resultat'!$B$33:$B$46)*(INDEX('Landbrugsareal - resultat'!$F$33:$H$46,,MATCH(E214,'Landbrugsareal - resultat'!$F$5:$H$5,0)))),SUMPRODUCT((B214='Landbrugsareal - resultat'!$B$33:$B$46)*(INDEX('Landbrugsareal - resultat'!$I$33:$K$46,,MATCH(E214,'Landbrugsareal - resultat'!$I$5:$K$5,0)))))),IF(C214=2019,SUMPRODUCT((B214='Landbrugsareal - resultat'!$B$33:$B$46)*(INDEX('Landbrugsareal - resultat'!$L$33:$N$46,,MATCH(E214,'Landbrugsareal - resultat'!$L$5:$N$5,0)))),IF(C214=2030,SUMPRODUCT((B214='Landbrugsareal - resultat'!$B$33:$B$46)*(INDEX('Landbrugsareal - resultat'!$O$33:$Q$46,,MATCH(E214,'Landbrugsareal - resultat'!$O$5:$Q$5,0)))),SUMPRODUCT((B214='Landbrugsareal - resultat'!$B$33:$B$46)*(INDEX('Landbrugsareal - resultat'!$R$33:$T$46,,MATCH(E214,'Landbrugsareal - resultat'!$R$5:$T$5,0))))))))</f>
        <v>109.08773949719625</v>
      </c>
      <c r="H214" s="168">
        <f>G214*VLOOKUP(B214,[1]Afgrødedata!$A$5:$F$18,2,FALSE)*IF(D214="Økologisk",VLOOKUP(B214,[1]Afgrødedata!$A$5:$F$18,4,FALSE),1)*IF(E214&lt;&gt;Jordbund1,IF(E214=Organ6,VLOOKUP(B214,[1]Afgrødedata!$A$5:$F$18,5,FALSE),VLOOKUP(B214,[1]Afgrødedata!$A$5:$F$18,6,FALSE)),1)*0.1</f>
        <v>369.5892614165009</v>
      </c>
      <c r="I214" s="168">
        <f>G214*VLOOKUP(B214,[1]Afgrødedata!$A$5:$F$18,3,FALSE)*IF(D214="Økologisk",VLOOKUP(B214,[1]Afgrødedata!$A$5:$F$18,4,FALSE),1)*IF(E214&lt;&gt;Jordbund1,IF(E214=Organ6,VLOOKUP(B214,[1]Afgrødedata!$A$5:$F$18,5,FALSE),VLOOKUP(B214,[1]Afgrødedata!$A$5:$F$18,6,FALSE)),1)*HLOOKUP(C214,Landbrug!$C$15:$E$17,2,FALSE)*HLOOKUP(C214,Landbrug!$C$15:$E$17,3,FALSE)*0.1</f>
        <v>197.39947246886027</v>
      </c>
      <c r="J214" s="76">
        <f t="shared" si="42"/>
        <v>197.39947246886027</v>
      </c>
    </row>
    <row r="215" spans="1:10" x14ac:dyDescent="0.25">
      <c r="A215" t="s">
        <v>23</v>
      </c>
      <c r="B215" s="1" t="str">
        <f>[1]Afgrødefordeling!$C$5</f>
        <v>Græs</v>
      </c>
      <c r="C215">
        <v>2019</v>
      </c>
      <c r="D215" t="s">
        <v>8</v>
      </c>
      <c r="E215" s="168" t="str">
        <f t="shared" si="40"/>
        <v>OC12</v>
      </c>
      <c r="F215" t="str">
        <f t="shared" si="41"/>
        <v>Græs</v>
      </c>
      <c r="G215" s="76" cm="1">
        <f t="array" ref="G215">IF(A215="Vestdanmark",IF(D215="Konventionel",IF(C215=2019,SUMPRODUCT((B215='Landbrugsareal - resultat'!$B$6:$B$19)*(INDEX('Landbrugsareal - resultat'!$C$6:$E$19,,MATCH(E215,'Landbrugsareal - resultat'!$C$5:$E$5,0)))),IF(C215=2030,SUMPRODUCT((B215='Landbrugsareal - resultat'!$B$6:$B$19)*(INDEX('Landbrugsareal - resultat'!$F$6:$H$19,,MATCH(E215,'Landbrugsareal - resultat'!$F$5:$H$5,0)))),SUMPRODUCT((B215='Landbrugsareal - resultat'!$B$6:$B$19)*(INDEX('Landbrugsareal - resultat'!$I$6:$K$19,,MATCH(E215,'Landbrugsareal - resultat'!$I$5:$K$5,0)))))),IF(C215=2019,SUMPRODUCT((B215='Landbrugsareal - resultat'!$B$6:$B$19)*(INDEX('Landbrugsareal - resultat'!$L$6:$N$19,,MATCH(E215,'Landbrugsareal - resultat'!$L$5:$N$5,0)))),IF(C215=2030,SUMPRODUCT((B215='Landbrugsareal - resultat'!$B$6:$B$19)*(INDEX('Landbrugsareal - resultat'!$O$6:$Q$19,,MATCH(E215,'Landbrugsareal - resultat'!$O$5:$Q$5,0)))),SUMPRODUCT((B215='Landbrugsareal - resultat'!$B$6:$B$19)*(INDEX('Landbrugsareal - resultat'!$R$6:$T$19,,MATCH(E215,'Landbrugsareal - resultat'!$R$5:$T$5,0))))))),IF(D215="Konventionel",IF(C215=2019,SUMPRODUCT((B215='Landbrugsareal - resultat'!$B$33:$B$46)*(INDEX('Landbrugsareal - resultat'!$C$33:$E$46,,MATCH(E215,'Landbrugsareal - resultat'!$C$5:$E$5,0)))),IF(C215=2030,SUMPRODUCT((B215='Landbrugsareal - resultat'!$B$33:$B$46)*(INDEX('Landbrugsareal - resultat'!$F$33:$H$46,,MATCH(E215,'Landbrugsareal - resultat'!$F$5:$H$5,0)))),SUMPRODUCT((B215='Landbrugsareal - resultat'!$B$33:$B$46)*(INDEX('Landbrugsareal - resultat'!$I$33:$K$46,,MATCH(E215,'Landbrugsareal - resultat'!$I$5:$K$5,0)))))),IF(C215=2019,SUMPRODUCT((B215='Landbrugsareal - resultat'!$B$33:$B$46)*(INDEX('Landbrugsareal - resultat'!$L$33:$N$46,,MATCH(E215,'Landbrugsareal - resultat'!$L$5:$N$5,0)))),IF(C215=2030,SUMPRODUCT((B215='Landbrugsareal - resultat'!$B$33:$B$46)*(INDEX('Landbrugsareal - resultat'!$O$33:$Q$46,,MATCH(E215,'Landbrugsareal - resultat'!$O$5:$Q$5,0)))),SUMPRODUCT((B215='Landbrugsareal - resultat'!$B$33:$B$46)*(INDEX('Landbrugsareal - resultat'!$R$33:$T$46,,MATCH(E215,'Landbrugsareal - resultat'!$R$5:$T$5,0))))))))</f>
        <v>2515.9076330733833</v>
      </c>
      <c r="H215" s="168">
        <f>G215*VLOOKUP(B215,[1]Afgrødedata!$A$5:$F$18,2,FALSE)*IF(D215="Økologisk",VLOOKUP(B215,[1]Afgrødedata!$A$5:$F$18,4,FALSE),1)*IF(E215&lt;&gt;Jordbund1,IF(E215=Organ6,VLOOKUP(B215,[1]Afgrødedata!$A$5:$F$18,5,FALSE),VLOOKUP(B215,[1]Afgrødedata!$A$5:$F$18,6,FALSE)),1)*0.1</f>
        <v>136324.55573438661</v>
      </c>
      <c r="I215" s="168">
        <f>G215*VLOOKUP(B215,[1]Afgrødedata!$A$5:$F$18,3,FALSE)*IF(D215="Økologisk",VLOOKUP(B215,[1]Afgrødedata!$A$5:$F$18,4,FALSE),1)*IF(E215&lt;&gt;Jordbund1,IF(E215=Organ6,VLOOKUP(B215,[1]Afgrødedata!$A$5:$F$18,5,FALSE),VLOOKUP(B215,[1]Afgrødedata!$A$5:$F$18,6,FALSE)),1)*HLOOKUP(C215,Landbrug!$C$15:$E$17,2,FALSE)*HLOOKUP(C215,Landbrug!$C$15:$E$17,3,FALSE)*0.1</f>
        <v>0</v>
      </c>
      <c r="J215" s="76">
        <f t="shared" si="42"/>
        <v>136324.55573438661</v>
      </c>
    </row>
    <row r="216" spans="1:10" x14ac:dyDescent="0.25">
      <c r="A216" t="s">
        <v>23</v>
      </c>
      <c r="B216" s="1" t="str">
        <f>[1]Afgrødefordeling!$C$6</f>
        <v>Grøntsager</v>
      </c>
      <c r="C216">
        <v>2019</v>
      </c>
      <c r="D216" t="s">
        <v>8</v>
      </c>
      <c r="E216" s="168" t="str">
        <f t="shared" si="40"/>
        <v>OC12</v>
      </c>
      <c r="F216" t="str">
        <f t="shared" si="41"/>
        <v>Grøntsager</v>
      </c>
      <c r="G216" s="76" cm="1">
        <f t="array" ref="G216">IF(A216="Vestdanmark",IF(D216="Konventionel",IF(C216=2019,SUMPRODUCT((B216='Landbrugsareal - resultat'!$B$6:$B$19)*(INDEX('Landbrugsareal - resultat'!$C$6:$E$19,,MATCH(E216,'Landbrugsareal - resultat'!$C$5:$E$5,0)))),IF(C216=2030,SUMPRODUCT((B216='Landbrugsareal - resultat'!$B$6:$B$19)*(INDEX('Landbrugsareal - resultat'!$F$6:$H$19,,MATCH(E216,'Landbrugsareal - resultat'!$F$5:$H$5,0)))),SUMPRODUCT((B216='Landbrugsareal - resultat'!$B$6:$B$19)*(INDEX('Landbrugsareal - resultat'!$I$6:$K$19,,MATCH(E216,'Landbrugsareal - resultat'!$I$5:$K$5,0)))))),IF(C216=2019,SUMPRODUCT((B216='Landbrugsareal - resultat'!$B$6:$B$19)*(INDEX('Landbrugsareal - resultat'!$L$6:$N$19,,MATCH(E216,'Landbrugsareal - resultat'!$L$5:$N$5,0)))),IF(C216=2030,SUMPRODUCT((B216='Landbrugsareal - resultat'!$B$6:$B$19)*(INDEX('Landbrugsareal - resultat'!$O$6:$Q$19,,MATCH(E216,'Landbrugsareal - resultat'!$O$5:$Q$5,0)))),SUMPRODUCT((B216='Landbrugsareal - resultat'!$B$6:$B$19)*(INDEX('Landbrugsareal - resultat'!$R$6:$T$19,,MATCH(E216,'Landbrugsareal - resultat'!$R$5:$T$5,0))))))),IF(D216="Konventionel",IF(C216=2019,SUMPRODUCT((B216='Landbrugsareal - resultat'!$B$33:$B$46)*(INDEX('Landbrugsareal - resultat'!$C$33:$E$46,,MATCH(E216,'Landbrugsareal - resultat'!$C$5:$E$5,0)))),IF(C216=2030,SUMPRODUCT((B216='Landbrugsareal - resultat'!$B$33:$B$46)*(INDEX('Landbrugsareal - resultat'!$F$33:$H$46,,MATCH(E216,'Landbrugsareal - resultat'!$F$5:$H$5,0)))),SUMPRODUCT((B216='Landbrugsareal - resultat'!$B$33:$B$46)*(INDEX('Landbrugsareal - resultat'!$I$33:$K$46,,MATCH(E216,'Landbrugsareal - resultat'!$I$5:$K$5,0)))))),IF(C216=2019,SUMPRODUCT((B216='Landbrugsareal - resultat'!$B$33:$B$46)*(INDEX('Landbrugsareal - resultat'!$L$33:$N$46,,MATCH(E216,'Landbrugsareal - resultat'!$L$5:$N$5,0)))),IF(C216=2030,SUMPRODUCT((B216='Landbrugsareal - resultat'!$B$33:$B$46)*(INDEX('Landbrugsareal - resultat'!$O$33:$Q$46,,MATCH(E216,'Landbrugsareal - resultat'!$O$5:$Q$5,0)))),SUMPRODUCT((B216='Landbrugsareal - resultat'!$B$33:$B$46)*(INDEX('Landbrugsareal - resultat'!$R$33:$T$46,,MATCH(E216,'Landbrugsareal - resultat'!$R$5:$T$5,0))))))))</f>
        <v>2.9242709097422335</v>
      </c>
      <c r="H216" s="168">
        <f>G216*VLOOKUP(B216,[1]Afgrødedata!$A$5:$F$18,2,FALSE)*IF(D216="Økologisk",VLOOKUP(B216,[1]Afgrødedata!$A$5:$F$18,4,FALSE),1)*IF(E216&lt;&gt;Jordbund1,IF(E216=Organ6,VLOOKUP(B216,[1]Afgrødedata!$A$5:$F$18,5,FALSE),VLOOKUP(B216,[1]Afgrødedata!$A$5:$F$18,6,FALSE)),1)*0.1</f>
        <v>48.42153985896676</v>
      </c>
      <c r="I216" s="168">
        <f>G216*VLOOKUP(B216,[1]Afgrødedata!$A$5:$F$18,3,FALSE)*IF(D216="Økologisk",VLOOKUP(B216,[1]Afgrødedata!$A$5:$F$18,4,FALSE),1)*IF(E216&lt;&gt;Jordbund1,IF(E216=Organ6,VLOOKUP(B216,[1]Afgrødedata!$A$5:$F$18,5,FALSE),VLOOKUP(B216,[1]Afgrødedata!$A$5:$F$18,6,FALSE)),1)*HLOOKUP(C216,Landbrug!$C$15:$E$17,2,FALSE)*HLOOKUP(C216,Landbrug!$C$15:$E$17,3,FALSE)*0.1</f>
        <v>0</v>
      </c>
      <c r="J216" s="76">
        <f t="shared" si="42"/>
        <v>48.42153985896676</v>
      </c>
    </row>
    <row r="217" spans="1:10" x14ac:dyDescent="0.25">
      <c r="A217" t="s">
        <v>23</v>
      </c>
      <c r="B217" s="1" t="str">
        <f>[1]Afgrødefordeling!$C$7</f>
        <v>Kartofler</v>
      </c>
      <c r="C217">
        <v>2019</v>
      </c>
      <c r="D217" t="s">
        <v>8</v>
      </c>
      <c r="E217" s="168" t="str">
        <f t="shared" si="40"/>
        <v>OC12</v>
      </c>
      <c r="F217" t="str">
        <f t="shared" si="41"/>
        <v>Kartofler</v>
      </c>
      <c r="G217" s="76" cm="1">
        <f t="array" ref="G217">IF(A217="Vestdanmark",IF(D217="Konventionel",IF(C217=2019,SUMPRODUCT((B217='Landbrugsareal - resultat'!$B$6:$B$19)*(INDEX('Landbrugsareal - resultat'!$C$6:$E$19,,MATCH(E217,'Landbrugsareal - resultat'!$C$5:$E$5,0)))),IF(C217=2030,SUMPRODUCT((B217='Landbrugsareal - resultat'!$B$6:$B$19)*(INDEX('Landbrugsareal - resultat'!$F$6:$H$19,,MATCH(E217,'Landbrugsareal - resultat'!$F$5:$H$5,0)))),SUMPRODUCT((B217='Landbrugsareal - resultat'!$B$6:$B$19)*(INDEX('Landbrugsareal - resultat'!$I$6:$K$19,,MATCH(E217,'Landbrugsareal - resultat'!$I$5:$K$5,0)))))),IF(C217=2019,SUMPRODUCT((B217='Landbrugsareal - resultat'!$B$6:$B$19)*(INDEX('Landbrugsareal - resultat'!$L$6:$N$19,,MATCH(E217,'Landbrugsareal - resultat'!$L$5:$N$5,0)))),IF(C217=2030,SUMPRODUCT((B217='Landbrugsareal - resultat'!$B$6:$B$19)*(INDEX('Landbrugsareal - resultat'!$O$6:$Q$19,,MATCH(E217,'Landbrugsareal - resultat'!$O$5:$Q$5,0)))),SUMPRODUCT((B217='Landbrugsareal - resultat'!$B$6:$B$19)*(INDEX('Landbrugsareal - resultat'!$R$6:$T$19,,MATCH(E217,'Landbrugsareal - resultat'!$R$5:$T$5,0))))))),IF(D217="Konventionel",IF(C217=2019,SUMPRODUCT((B217='Landbrugsareal - resultat'!$B$33:$B$46)*(INDEX('Landbrugsareal - resultat'!$C$33:$E$46,,MATCH(E217,'Landbrugsareal - resultat'!$C$5:$E$5,0)))),IF(C217=2030,SUMPRODUCT((B217='Landbrugsareal - resultat'!$B$33:$B$46)*(INDEX('Landbrugsareal - resultat'!$F$33:$H$46,,MATCH(E217,'Landbrugsareal - resultat'!$F$5:$H$5,0)))),SUMPRODUCT((B217='Landbrugsareal - resultat'!$B$33:$B$46)*(INDEX('Landbrugsareal - resultat'!$I$33:$K$46,,MATCH(E217,'Landbrugsareal - resultat'!$I$5:$K$5,0)))))),IF(C217=2019,SUMPRODUCT((B217='Landbrugsareal - resultat'!$B$33:$B$46)*(INDEX('Landbrugsareal - resultat'!$L$33:$N$46,,MATCH(E217,'Landbrugsareal - resultat'!$L$5:$N$5,0)))),IF(C217=2030,SUMPRODUCT((B217='Landbrugsareal - resultat'!$B$33:$B$46)*(INDEX('Landbrugsareal - resultat'!$O$33:$Q$46,,MATCH(E217,'Landbrugsareal - resultat'!$O$5:$Q$5,0)))),SUMPRODUCT((B217='Landbrugsareal - resultat'!$B$33:$B$46)*(INDEX('Landbrugsareal - resultat'!$R$33:$T$46,,MATCH(E217,'Landbrugsareal - resultat'!$R$5:$T$5,0))))))))</f>
        <v>154.7825167783468</v>
      </c>
      <c r="H217" s="168">
        <f>G217*VLOOKUP(B217,[1]Afgrødedata!$A$5:$F$18,2,FALSE)*IF(D217="Økologisk",VLOOKUP(B217,[1]Afgrødedata!$A$5:$F$18,4,FALSE),1)*IF(E217&lt;&gt;Jordbund1,IF(E217=Organ6,VLOOKUP(B217,[1]Afgrødedata!$A$5:$F$18,5,FALSE),VLOOKUP(B217,[1]Afgrødedata!$A$5:$F$18,6,FALSE)),1)*0.1</f>
        <v>5245.854662536889</v>
      </c>
      <c r="I217" s="168">
        <f>G217*VLOOKUP(B217,[1]Afgrødedata!$A$5:$F$18,3,FALSE)*IF(D217="Økologisk",VLOOKUP(B217,[1]Afgrødedata!$A$5:$F$18,4,FALSE),1)*IF(E217&lt;&gt;Jordbund1,IF(E217=Organ6,VLOOKUP(B217,[1]Afgrødedata!$A$5:$F$18,5,FALSE),VLOOKUP(B217,[1]Afgrødedata!$A$5:$F$18,6,FALSE)),1)*HLOOKUP(C217,Landbrug!$C$15:$E$17,2,FALSE)*HLOOKUP(C217,Landbrug!$C$15:$E$17,3,FALSE)*0.1</f>
        <v>0</v>
      </c>
      <c r="J217" s="76">
        <f t="shared" si="42"/>
        <v>5245.854662536889</v>
      </c>
    </row>
    <row r="218" spans="1:10" x14ac:dyDescent="0.25">
      <c r="A218" t="s">
        <v>23</v>
      </c>
      <c r="B218" s="1" t="str">
        <f>[1]Afgrødefordeling!$C$8</f>
        <v>Roer</v>
      </c>
      <c r="C218">
        <v>2019</v>
      </c>
      <c r="D218" t="s">
        <v>8</v>
      </c>
      <c r="E218" s="168" t="str">
        <f t="shared" si="40"/>
        <v>OC12</v>
      </c>
      <c r="F218" t="str">
        <f t="shared" si="41"/>
        <v>Roer</v>
      </c>
      <c r="G218" s="76" cm="1">
        <f t="array" ref="G218">IF(A218="Vestdanmark",IF(D218="Konventionel",IF(C218=2019,SUMPRODUCT((B218='Landbrugsareal - resultat'!$B$6:$B$19)*(INDEX('Landbrugsareal - resultat'!$C$6:$E$19,,MATCH(E218,'Landbrugsareal - resultat'!$C$5:$E$5,0)))),IF(C218=2030,SUMPRODUCT((B218='Landbrugsareal - resultat'!$B$6:$B$19)*(INDEX('Landbrugsareal - resultat'!$F$6:$H$19,,MATCH(E218,'Landbrugsareal - resultat'!$F$5:$H$5,0)))),SUMPRODUCT((B218='Landbrugsareal - resultat'!$B$6:$B$19)*(INDEX('Landbrugsareal - resultat'!$I$6:$K$19,,MATCH(E218,'Landbrugsareal - resultat'!$I$5:$K$5,0)))))),IF(C218=2019,SUMPRODUCT((B218='Landbrugsareal - resultat'!$B$6:$B$19)*(INDEX('Landbrugsareal - resultat'!$L$6:$N$19,,MATCH(E218,'Landbrugsareal - resultat'!$L$5:$N$5,0)))),IF(C218=2030,SUMPRODUCT((B218='Landbrugsareal - resultat'!$B$6:$B$19)*(INDEX('Landbrugsareal - resultat'!$O$6:$Q$19,,MATCH(E218,'Landbrugsareal - resultat'!$O$5:$Q$5,0)))),SUMPRODUCT((B218='Landbrugsareal - resultat'!$B$6:$B$19)*(INDEX('Landbrugsareal - resultat'!$R$6:$T$19,,MATCH(E218,'Landbrugsareal - resultat'!$R$5:$T$5,0))))))),IF(D218="Konventionel",IF(C218=2019,SUMPRODUCT((B218='Landbrugsareal - resultat'!$B$33:$B$46)*(INDEX('Landbrugsareal - resultat'!$C$33:$E$46,,MATCH(E218,'Landbrugsareal - resultat'!$C$5:$E$5,0)))),IF(C218=2030,SUMPRODUCT((B218='Landbrugsareal - resultat'!$B$33:$B$46)*(INDEX('Landbrugsareal - resultat'!$F$33:$H$46,,MATCH(E218,'Landbrugsareal - resultat'!$F$5:$H$5,0)))),SUMPRODUCT((B218='Landbrugsareal - resultat'!$B$33:$B$46)*(INDEX('Landbrugsareal - resultat'!$I$33:$K$46,,MATCH(E218,'Landbrugsareal - resultat'!$I$5:$K$5,0)))))),IF(C218=2019,SUMPRODUCT((B218='Landbrugsareal - resultat'!$B$33:$B$46)*(INDEX('Landbrugsareal - resultat'!$L$33:$N$46,,MATCH(E218,'Landbrugsareal - resultat'!$L$5:$N$5,0)))),IF(C218=2030,SUMPRODUCT((B218='Landbrugsareal - resultat'!$B$33:$B$46)*(INDEX('Landbrugsareal - resultat'!$O$33:$Q$46,,MATCH(E218,'Landbrugsareal - resultat'!$O$5:$Q$5,0)))),SUMPRODUCT((B218='Landbrugsareal - resultat'!$B$33:$B$46)*(INDEX('Landbrugsareal - resultat'!$R$33:$T$46,,MATCH(E218,'Landbrugsareal - resultat'!$R$5:$T$5,0))))))))</f>
        <v>1.6738278404042131</v>
      </c>
      <c r="H218" s="168">
        <f>G218*VLOOKUP(B218,[1]Afgrødedata!$A$5:$F$18,2,FALSE)*IF(D218="Økologisk",VLOOKUP(B218,[1]Afgrødedata!$A$5:$F$18,4,FALSE),1)*IF(E218&lt;&gt;Jordbund1,IF(E218=Organ6,VLOOKUP(B218,[1]Afgrødedata!$A$5:$F$18,5,FALSE),VLOOKUP(B218,[1]Afgrødedata!$A$5:$F$18,6,FALSE)),1)*0.1</f>
        <v>108.53179661197174</v>
      </c>
      <c r="I218" s="168">
        <f>G218*VLOOKUP(B218,[1]Afgrødedata!$A$5:$F$18,3,FALSE)*IF(D218="Økologisk",VLOOKUP(B218,[1]Afgrødedata!$A$5:$F$18,4,FALSE),1)*IF(E218&lt;&gt;Jordbund1,IF(E218=Organ6,VLOOKUP(B218,[1]Afgrødedata!$A$5:$F$18,5,FALSE),VLOOKUP(B218,[1]Afgrødedata!$A$5:$F$18,6,FALSE)),1)*HLOOKUP(C218,Landbrug!$C$15:$E$17,2,FALSE)*HLOOKUP(C218,Landbrug!$C$15:$E$17,3,FALSE)*0.1</f>
        <v>0</v>
      </c>
      <c r="J218" s="76">
        <f t="shared" si="42"/>
        <v>108.53179661197174</v>
      </c>
    </row>
    <row r="219" spans="1:10" x14ac:dyDescent="0.25">
      <c r="A219" t="s">
        <v>23</v>
      </c>
      <c r="B219" s="1" t="str">
        <f>[1]Afgrødefordeling!$C$9</f>
        <v>Majs</v>
      </c>
      <c r="C219">
        <v>2019</v>
      </c>
      <c r="D219" t="s">
        <v>8</v>
      </c>
      <c r="E219" s="168" t="str">
        <f t="shared" si="40"/>
        <v>OC12</v>
      </c>
      <c r="F219" t="str">
        <f t="shared" si="41"/>
        <v>Majs</v>
      </c>
      <c r="G219" s="76" cm="1">
        <f t="array" ref="G219">IF(A219="Vestdanmark",IF(D219="Konventionel",IF(C219=2019,SUMPRODUCT((B219='Landbrugsareal - resultat'!$B$6:$B$19)*(INDEX('Landbrugsareal - resultat'!$C$6:$E$19,,MATCH(E219,'Landbrugsareal - resultat'!$C$5:$E$5,0)))),IF(C219=2030,SUMPRODUCT((B219='Landbrugsareal - resultat'!$B$6:$B$19)*(INDEX('Landbrugsareal - resultat'!$F$6:$H$19,,MATCH(E219,'Landbrugsareal - resultat'!$F$5:$H$5,0)))),SUMPRODUCT((B219='Landbrugsareal - resultat'!$B$6:$B$19)*(INDEX('Landbrugsareal - resultat'!$I$6:$K$19,,MATCH(E219,'Landbrugsareal - resultat'!$I$5:$K$5,0)))))),IF(C219=2019,SUMPRODUCT((B219='Landbrugsareal - resultat'!$B$6:$B$19)*(INDEX('Landbrugsareal - resultat'!$L$6:$N$19,,MATCH(E219,'Landbrugsareal - resultat'!$L$5:$N$5,0)))),IF(C219=2030,SUMPRODUCT((B219='Landbrugsareal - resultat'!$B$6:$B$19)*(INDEX('Landbrugsareal - resultat'!$O$6:$Q$19,,MATCH(E219,'Landbrugsareal - resultat'!$O$5:$Q$5,0)))),SUMPRODUCT((B219='Landbrugsareal - resultat'!$B$6:$B$19)*(INDEX('Landbrugsareal - resultat'!$R$6:$T$19,,MATCH(E219,'Landbrugsareal - resultat'!$R$5:$T$5,0))))))),IF(D219="Konventionel",IF(C219=2019,SUMPRODUCT((B219='Landbrugsareal - resultat'!$B$33:$B$46)*(INDEX('Landbrugsareal - resultat'!$C$33:$E$46,,MATCH(E219,'Landbrugsareal - resultat'!$C$5:$E$5,0)))),IF(C219=2030,SUMPRODUCT((B219='Landbrugsareal - resultat'!$B$33:$B$46)*(INDEX('Landbrugsareal - resultat'!$F$33:$H$46,,MATCH(E219,'Landbrugsareal - resultat'!$F$5:$H$5,0)))),SUMPRODUCT((B219='Landbrugsareal - resultat'!$B$33:$B$46)*(INDEX('Landbrugsareal - resultat'!$I$33:$K$46,,MATCH(E219,'Landbrugsareal - resultat'!$I$5:$K$5,0)))))),IF(C219=2019,SUMPRODUCT((B219='Landbrugsareal - resultat'!$B$33:$B$46)*(INDEX('Landbrugsareal - resultat'!$L$33:$N$46,,MATCH(E219,'Landbrugsareal - resultat'!$L$5:$N$5,0)))),IF(C219=2030,SUMPRODUCT((B219='Landbrugsareal - resultat'!$B$33:$B$46)*(INDEX('Landbrugsareal - resultat'!$O$33:$Q$46,,MATCH(E219,'Landbrugsareal - resultat'!$O$5:$Q$5,0)))),SUMPRODUCT((B219='Landbrugsareal - resultat'!$B$33:$B$46)*(INDEX('Landbrugsareal - resultat'!$R$33:$T$46,,MATCH(E219,'Landbrugsareal - resultat'!$R$5:$T$5,0))))))))</f>
        <v>208.15687803661353</v>
      </c>
      <c r="H219" s="168">
        <f>G219*VLOOKUP(B219,[1]Afgrødedata!$A$5:$F$18,2,FALSE)*IF(D219="Økologisk",VLOOKUP(B219,[1]Afgrødedata!$A$5:$F$18,4,FALSE),1)*IF(E219&lt;&gt;Jordbund1,IF(E219=Organ6,VLOOKUP(B219,[1]Afgrødedata!$A$5:$F$18,5,FALSE),VLOOKUP(B219,[1]Afgrødedata!$A$5:$F$18,6,FALSE)),1)*0.1</f>
        <v>10766.002789318036</v>
      </c>
      <c r="I219" s="168">
        <f>G219*VLOOKUP(B219,[1]Afgrødedata!$A$5:$F$18,3,FALSE)*IF(D219="Økologisk",VLOOKUP(B219,[1]Afgrødedata!$A$5:$F$18,4,FALSE),1)*IF(E219&lt;&gt;Jordbund1,IF(E219=Organ6,VLOOKUP(B219,[1]Afgrødedata!$A$5:$F$18,5,FALSE),VLOOKUP(B219,[1]Afgrødedata!$A$5:$F$18,6,FALSE)),1)*HLOOKUP(C219,Landbrug!$C$15:$E$17,2,FALSE)*HLOOKUP(C219,Landbrug!$C$15:$E$17,3,FALSE)*0.1</f>
        <v>0</v>
      </c>
      <c r="J219" s="76">
        <f t="shared" si="42"/>
        <v>10766.002789318036</v>
      </c>
    </row>
    <row r="220" spans="1:10" x14ac:dyDescent="0.25">
      <c r="A220" t="s">
        <v>23</v>
      </c>
      <c r="B220" s="1" t="str">
        <f>[1]Afgrødefordeling!$C$10</f>
        <v>Frugt</v>
      </c>
      <c r="C220">
        <v>2019</v>
      </c>
      <c r="D220" t="s">
        <v>8</v>
      </c>
      <c r="E220" s="168" t="str">
        <f t="shared" si="40"/>
        <v>OC12</v>
      </c>
      <c r="F220" t="str">
        <f t="shared" si="41"/>
        <v>Frugt</v>
      </c>
      <c r="G220" s="76" cm="1">
        <f t="array" ref="G220">IF(A220="Vestdanmark",IF(D220="Konventionel",IF(C220=2019,SUMPRODUCT((B220='Landbrugsareal - resultat'!$B$6:$B$19)*(INDEX('Landbrugsareal - resultat'!$C$6:$E$19,,MATCH(E220,'Landbrugsareal - resultat'!$C$5:$E$5,0)))),IF(C220=2030,SUMPRODUCT((B220='Landbrugsareal - resultat'!$B$6:$B$19)*(INDEX('Landbrugsareal - resultat'!$F$6:$H$19,,MATCH(E220,'Landbrugsareal - resultat'!$F$5:$H$5,0)))),SUMPRODUCT((B220='Landbrugsareal - resultat'!$B$6:$B$19)*(INDEX('Landbrugsareal - resultat'!$I$6:$K$19,,MATCH(E220,'Landbrugsareal - resultat'!$I$5:$K$5,0)))))),IF(C220=2019,SUMPRODUCT((B220='Landbrugsareal - resultat'!$B$6:$B$19)*(INDEX('Landbrugsareal - resultat'!$L$6:$N$19,,MATCH(E220,'Landbrugsareal - resultat'!$L$5:$N$5,0)))),IF(C220=2030,SUMPRODUCT((B220='Landbrugsareal - resultat'!$B$6:$B$19)*(INDEX('Landbrugsareal - resultat'!$O$6:$Q$19,,MATCH(E220,'Landbrugsareal - resultat'!$O$5:$Q$5,0)))),SUMPRODUCT((B220='Landbrugsareal - resultat'!$B$6:$B$19)*(INDEX('Landbrugsareal - resultat'!$R$6:$T$19,,MATCH(E220,'Landbrugsareal - resultat'!$R$5:$T$5,0))))))),IF(D220="Konventionel",IF(C220=2019,SUMPRODUCT((B220='Landbrugsareal - resultat'!$B$33:$B$46)*(INDEX('Landbrugsareal - resultat'!$C$33:$E$46,,MATCH(E220,'Landbrugsareal - resultat'!$C$5:$E$5,0)))),IF(C220=2030,SUMPRODUCT((B220='Landbrugsareal - resultat'!$B$33:$B$46)*(INDEX('Landbrugsareal - resultat'!$F$33:$H$46,,MATCH(E220,'Landbrugsareal - resultat'!$F$5:$H$5,0)))),SUMPRODUCT((B220='Landbrugsareal - resultat'!$B$33:$B$46)*(INDEX('Landbrugsareal - resultat'!$I$33:$K$46,,MATCH(E220,'Landbrugsareal - resultat'!$I$5:$K$5,0)))))),IF(C220=2019,SUMPRODUCT((B220='Landbrugsareal - resultat'!$B$33:$B$46)*(INDEX('Landbrugsareal - resultat'!$L$33:$N$46,,MATCH(E220,'Landbrugsareal - resultat'!$L$5:$N$5,0)))),IF(C220=2030,SUMPRODUCT((B220='Landbrugsareal - resultat'!$B$33:$B$46)*(INDEX('Landbrugsareal - resultat'!$O$33:$Q$46,,MATCH(E220,'Landbrugsareal - resultat'!$O$5:$Q$5,0)))),SUMPRODUCT((B220='Landbrugsareal - resultat'!$B$33:$B$46)*(INDEX('Landbrugsareal - resultat'!$R$33:$T$46,,MATCH(E220,'Landbrugsareal - resultat'!$R$5:$T$5,0))))))))</f>
        <v>5.9651435774442545</v>
      </c>
      <c r="H220" s="168">
        <f>G220*VLOOKUP(B220,[1]Afgrødedata!$A$5:$F$18,2,FALSE)*IF(D220="Økologisk",VLOOKUP(B220,[1]Afgrødedata!$A$5:$F$18,4,FALSE),1)*IF(E220&lt;&gt;Jordbund1,IF(E220=Organ6,VLOOKUP(B220,[1]Afgrødedata!$A$5:$F$18,5,FALSE),VLOOKUP(B220,[1]Afgrødedata!$A$5:$F$18,6,FALSE)),1)*0.1</f>
        <v>40.413967040056377</v>
      </c>
      <c r="I220" s="168">
        <f>G220*VLOOKUP(B220,[1]Afgrødedata!$A$5:$F$18,3,FALSE)*IF(D220="Økologisk",VLOOKUP(B220,[1]Afgrødedata!$A$5:$F$18,4,FALSE),1)*IF(E220&lt;&gt;Jordbund1,IF(E220=Organ6,VLOOKUP(B220,[1]Afgrødedata!$A$5:$F$18,5,FALSE),VLOOKUP(B220,[1]Afgrødedata!$A$5:$F$18,6,FALSE)),1)*HLOOKUP(C220,Landbrug!$C$15:$E$17,2,FALSE)*HLOOKUP(C220,Landbrug!$C$15:$E$17,3,FALSE)*0.1</f>
        <v>0</v>
      </c>
      <c r="J220" s="76">
        <f t="shared" si="42"/>
        <v>40.413967040056377</v>
      </c>
    </row>
    <row r="221" spans="1:10" x14ac:dyDescent="0.25">
      <c r="A221" t="s">
        <v>23</v>
      </c>
      <c r="B221" s="1" t="str">
        <f>[1]Afgrødefordeling!$C$11</f>
        <v>Øvrige</v>
      </c>
      <c r="C221">
        <v>2019</v>
      </c>
      <c r="D221" t="s">
        <v>8</v>
      </c>
      <c r="E221" s="168" t="str">
        <f t="shared" si="40"/>
        <v>OC12</v>
      </c>
      <c r="F221" t="str">
        <f t="shared" si="41"/>
        <v>Øvrige</v>
      </c>
      <c r="G221" s="76" cm="1">
        <f t="array" ref="G221">IF(A221="Vestdanmark",IF(D221="Konventionel",IF(C221=2019,SUMPRODUCT((B221='Landbrugsareal - resultat'!$B$6:$B$19)*(INDEX('Landbrugsareal - resultat'!$C$6:$E$19,,MATCH(E221,'Landbrugsareal - resultat'!$C$5:$E$5,0)))),IF(C221=2030,SUMPRODUCT((B221='Landbrugsareal - resultat'!$B$6:$B$19)*(INDEX('Landbrugsareal - resultat'!$F$6:$H$19,,MATCH(E221,'Landbrugsareal - resultat'!$F$5:$H$5,0)))),SUMPRODUCT((B221='Landbrugsareal - resultat'!$B$6:$B$19)*(INDEX('Landbrugsareal - resultat'!$I$6:$K$19,,MATCH(E221,'Landbrugsareal - resultat'!$I$5:$K$5,0)))))),IF(C221=2019,SUMPRODUCT((B221='Landbrugsareal - resultat'!$B$6:$B$19)*(INDEX('Landbrugsareal - resultat'!$L$6:$N$19,,MATCH(E221,'Landbrugsareal - resultat'!$L$5:$N$5,0)))),IF(C221=2030,SUMPRODUCT((B221='Landbrugsareal - resultat'!$B$6:$B$19)*(INDEX('Landbrugsareal - resultat'!$O$6:$Q$19,,MATCH(E221,'Landbrugsareal - resultat'!$O$5:$Q$5,0)))),SUMPRODUCT((B221='Landbrugsareal - resultat'!$B$6:$B$19)*(INDEX('Landbrugsareal - resultat'!$R$6:$T$19,,MATCH(E221,'Landbrugsareal - resultat'!$R$5:$T$5,0))))))),IF(D221="Konventionel",IF(C221=2019,SUMPRODUCT((B221='Landbrugsareal - resultat'!$B$33:$B$46)*(INDEX('Landbrugsareal - resultat'!$C$33:$E$46,,MATCH(E221,'Landbrugsareal - resultat'!$C$5:$E$5,0)))),IF(C221=2030,SUMPRODUCT((B221='Landbrugsareal - resultat'!$B$33:$B$46)*(INDEX('Landbrugsareal - resultat'!$F$33:$H$46,,MATCH(E221,'Landbrugsareal - resultat'!$F$5:$H$5,0)))),SUMPRODUCT((B221='Landbrugsareal - resultat'!$B$33:$B$46)*(INDEX('Landbrugsareal - resultat'!$I$33:$K$46,,MATCH(E221,'Landbrugsareal - resultat'!$I$5:$K$5,0)))))),IF(C221=2019,SUMPRODUCT((B221='Landbrugsareal - resultat'!$B$33:$B$46)*(INDEX('Landbrugsareal - resultat'!$L$33:$N$46,,MATCH(E221,'Landbrugsareal - resultat'!$L$5:$N$5,0)))),IF(C221=2030,SUMPRODUCT((B221='Landbrugsareal - resultat'!$B$33:$B$46)*(INDEX('Landbrugsareal - resultat'!$O$33:$Q$46,,MATCH(E221,'Landbrugsareal - resultat'!$O$5:$Q$5,0)))),SUMPRODUCT((B221='Landbrugsareal - resultat'!$B$33:$B$46)*(INDEX('Landbrugsareal - resultat'!$R$33:$T$46,,MATCH(E221,'Landbrugsareal - resultat'!$R$5:$T$5,0))))))))</f>
        <v>105.49894110931392</v>
      </c>
      <c r="H221" s="168">
        <f>G221*VLOOKUP(B221,[1]Afgrødedata!$A$5:$F$18,2,FALSE)*IF(D221="Økologisk",VLOOKUP(B221,[1]Afgrødedata!$A$5:$F$18,4,FALSE),1)*IF(E221&lt;&gt;Jordbund1,IF(E221=Organ6,VLOOKUP(B221,[1]Afgrødedata!$A$5:$F$18,5,FALSE),VLOOKUP(B221,[1]Afgrødedata!$A$5:$F$18,6,FALSE)),1)*0.1</f>
        <v>2508.4655105943398</v>
      </c>
      <c r="I221" s="168">
        <f>G221*VLOOKUP(B221,[1]Afgrødedata!$A$5:$F$18,3,FALSE)*IF(D221="Økologisk",VLOOKUP(B221,[1]Afgrødedata!$A$5:$F$18,4,FALSE),1)*IF(E221&lt;&gt;Jordbund1,IF(E221=Organ6,VLOOKUP(B221,[1]Afgrødedata!$A$5:$F$18,5,FALSE),VLOOKUP(B221,[1]Afgrødedata!$A$5:$F$18,6,FALSE)),1)*HLOOKUP(C221,Landbrug!$C$15:$E$17,2,FALSE)*HLOOKUP(C221,Landbrug!$C$15:$E$17,3,FALSE)*0.1</f>
        <v>0</v>
      </c>
      <c r="J221" s="76">
        <f t="shared" si="42"/>
        <v>2508.4655105943398</v>
      </c>
    </row>
    <row r="222" spans="1:10" x14ac:dyDescent="0.25">
      <c r="A222" t="s">
        <v>23</v>
      </c>
      <c r="B222" s="1" t="str">
        <f>[1]Afgrødefordeling!$C$12</f>
        <v>Frø</v>
      </c>
      <c r="C222">
        <v>2019</v>
      </c>
      <c r="D222" t="s">
        <v>8</v>
      </c>
      <c r="E222" s="168" t="str">
        <f t="shared" si="40"/>
        <v>OC12</v>
      </c>
      <c r="F222" t="str">
        <f t="shared" si="41"/>
        <v>Halm</v>
      </c>
      <c r="G222" s="76" cm="1">
        <f t="array" ref="G222">IF(A222="Vestdanmark",IF(D222="Konventionel",IF(C222=2019,SUMPRODUCT((B222='Landbrugsareal - resultat'!$B$6:$B$19)*(INDEX('Landbrugsareal - resultat'!$C$6:$E$19,,MATCH(E222,'Landbrugsareal - resultat'!$C$5:$E$5,0)))),IF(C222=2030,SUMPRODUCT((B222='Landbrugsareal - resultat'!$B$6:$B$19)*(INDEX('Landbrugsareal - resultat'!$F$6:$H$19,,MATCH(E222,'Landbrugsareal - resultat'!$F$5:$H$5,0)))),SUMPRODUCT((B222='Landbrugsareal - resultat'!$B$6:$B$19)*(INDEX('Landbrugsareal - resultat'!$I$6:$K$19,,MATCH(E222,'Landbrugsareal - resultat'!$I$5:$K$5,0)))))),IF(C222=2019,SUMPRODUCT((B222='Landbrugsareal - resultat'!$B$6:$B$19)*(INDEX('Landbrugsareal - resultat'!$L$6:$N$19,,MATCH(E222,'Landbrugsareal - resultat'!$L$5:$N$5,0)))),IF(C222=2030,SUMPRODUCT((B222='Landbrugsareal - resultat'!$B$6:$B$19)*(INDEX('Landbrugsareal - resultat'!$O$6:$Q$19,,MATCH(E222,'Landbrugsareal - resultat'!$O$5:$Q$5,0)))),SUMPRODUCT((B222='Landbrugsareal - resultat'!$B$6:$B$19)*(INDEX('Landbrugsareal - resultat'!$R$6:$T$19,,MATCH(E222,'Landbrugsareal - resultat'!$R$5:$T$5,0))))))),IF(D222="Konventionel",IF(C222=2019,SUMPRODUCT((B222='Landbrugsareal - resultat'!$B$33:$B$46)*(INDEX('Landbrugsareal - resultat'!$C$33:$E$46,,MATCH(E222,'Landbrugsareal - resultat'!$C$5:$E$5,0)))),IF(C222=2030,SUMPRODUCT((B222='Landbrugsareal - resultat'!$B$33:$B$46)*(INDEX('Landbrugsareal - resultat'!$F$33:$H$46,,MATCH(E222,'Landbrugsareal - resultat'!$F$5:$H$5,0)))),SUMPRODUCT((B222='Landbrugsareal - resultat'!$B$33:$B$46)*(INDEX('Landbrugsareal - resultat'!$I$33:$K$46,,MATCH(E222,'Landbrugsareal - resultat'!$I$5:$K$5,0)))))),IF(C222=2019,SUMPRODUCT((B222='Landbrugsareal - resultat'!$B$33:$B$46)*(INDEX('Landbrugsareal - resultat'!$L$33:$N$46,,MATCH(E222,'Landbrugsareal - resultat'!$L$5:$N$5,0)))),IF(C222=2030,SUMPRODUCT((B222='Landbrugsareal - resultat'!$B$33:$B$46)*(INDEX('Landbrugsareal - resultat'!$O$33:$Q$46,,MATCH(E222,'Landbrugsareal - resultat'!$O$5:$Q$5,0)))),SUMPRODUCT((B222='Landbrugsareal - resultat'!$B$33:$B$46)*(INDEX('Landbrugsareal - resultat'!$R$33:$T$46,,MATCH(E222,'Landbrugsareal - resultat'!$R$5:$T$5,0))))))))</f>
        <v>335.66235848312112</v>
      </c>
      <c r="H222" s="168">
        <f>G222*VLOOKUP(B222,[1]Afgrødedata!$A$5:$F$18,2,FALSE)*IF(D222="Økologisk",VLOOKUP(B222,[1]Afgrødedata!$A$5:$F$18,4,FALSE),1)*IF(E222&lt;&gt;Jordbund1,IF(E222=Organ6,VLOOKUP(B222,[1]Afgrødedata!$A$5:$F$18,5,FALSE),VLOOKUP(B222,[1]Afgrødedata!$A$5:$F$18,6,FALSE)),1)*0.1</f>
        <v>3827.3936966497163</v>
      </c>
      <c r="I222" s="168">
        <f>G222*VLOOKUP(B222,[1]Afgrødedata!$A$5:$F$18,3,FALSE)*IF(D222="Økologisk",VLOOKUP(B222,[1]Afgrødedata!$A$5:$F$18,4,FALSE),1)*IF(E222&lt;&gt;Jordbund1,IF(E222=Organ6,VLOOKUP(B222,[1]Afgrødedata!$A$5:$F$18,5,FALSE),VLOOKUP(B222,[1]Afgrødedata!$A$5:$F$18,6,FALSE)),1)*HLOOKUP(C222,Landbrug!$C$15:$E$17,2,FALSE)*HLOOKUP(C222,Landbrug!$C$15:$E$17,3,FALSE)*0.1</f>
        <v>635.84265464065186</v>
      </c>
      <c r="J222" s="76">
        <f t="shared" si="42"/>
        <v>635.84265464065186</v>
      </c>
    </row>
    <row r="223" spans="1:10" x14ac:dyDescent="0.25">
      <c r="A223" t="s">
        <v>23</v>
      </c>
      <c r="B223" s="1" t="str">
        <f>[1]Afgrødefordeling!$C$13</f>
        <v>Juletræer</v>
      </c>
      <c r="C223">
        <v>2019</v>
      </c>
      <c r="D223" t="s">
        <v>8</v>
      </c>
      <c r="E223" s="168" t="str">
        <f t="shared" si="40"/>
        <v>OC12</v>
      </c>
      <c r="F223" t="str">
        <f t="shared" si="41"/>
        <v>Juletræer</v>
      </c>
      <c r="G223" s="76" cm="1">
        <f t="array" ref="G223">IF(A223="Vestdanmark",IF(D223="Konventionel",IF(C223=2019,SUMPRODUCT((B223='Landbrugsareal - resultat'!$B$6:$B$19)*(INDEX('Landbrugsareal - resultat'!$C$6:$E$19,,MATCH(E223,'Landbrugsareal - resultat'!$C$5:$E$5,0)))),IF(C223=2030,SUMPRODUCT((B223='Landbrugsareal - resultat'!$B$6:$B$19)*(INDEX('Landbrugsareal - resultat'!$F$6:$H$19,,MATCH(E223,'Landbrugsareal - resultat'!$F$5:$H$5,0)))),SUMPRODUCT((B223='Landbrugsareal - resultat'!$B$6:$B$19)*(INDEX('Landbrugsareal - resultat'!$I$6:$K$19,,MATCH(E223,'Landbrugsareal - resultat'!$I$5:$K$5,0)))))),IF(C223=2019,SUMPRODUCT((B223='Landbrugsareal - resultat'!$B$6:$B$19)*(INDEX('Landbrugsareal - resultat'!$L$6:$N$19,,MATCH(E223,'Landbrugsareal - resultat'!$L$5:$N$5,0)))),IF(C223=2030,SUMPRODUCT((B223='Landbrugsareal - resultat'!$B$6:$B$19)*(INDEX('Landbrugsareal - resultat'!$O$6:$Q$19,,MATCH(E223,'Landbrugsareal - resultat'!$O$5:$Q$5,0)))),SUMPRODUCT((B223='Landbrugsareal - resultat'!$B$6:$B$19)*(INDEX('Landbrugsareal - resultat'!$R$6:$T$19,,MATCH(E223,'Landbrugsareal - resultat'!$R$5:$T$5,0))))))),IF(D223="Konventionel",IF(C223=2019,SUMPRODUCT((B223='Landbrugsareal - resultat'!$B$33:$B$46)*(INDEX('Landbrugsareal - resultat'!$C$33:$E$46,,MATCH(E223,'Landbrugsareal - resultat'!$C$5:$E$5,0)))),IF(C223=2030,SUMPRODUCT((B223='Landbrugsareal - resultat'!$B$33:$B$46)*(INDEX('Landbrugsareal - resultat'!$F$33:$H$46,,MATCH(E223,'Landbrugsareal - resultat'!$F$5:$H$5,0)))),SUMPRODUCT((B223='Landbrugsareal - resultat'!$B$33:$B$46)*(INDEX('Landbrugsareal - resultat'!$I$33:$K$46,,MATCH(E223,'Landbrugsareal - resultat'!$I$5:$K$5,0)))))),IF(C223=2019,SUMPRODUCT((B223='Landbrugsareal - resultat'!$B$33:$B$46)*(INDEX('Landbrugsareal - resultat'!$L$33:$N$46,,MATCH(E223,'Landbrugsareal - resultat'!$L$5:$N$5,0)))),IF(C223=2030,SUMPRODUCT((B223='Landbrugsareal - resultat'!$B$33:$B$46)*(INDEX('Landbrugsareal - resultat'!$O$33:$Q$46,,MATCH(E223,'Landbrugsareal - resultat'!$O$5:$Q$5,0)))),SUMPRODUCT((B223='Landbrugsareal - resultat'!$B$33:$B$46)*(INDEX('Landbrugsareal - resultat'!$R$33:$T$46,,MATCH(E223,'Landbrugsareal - resultat'!$R$5:$T$5,0))))))))</f>
        <v>29.918440326248902</v>
      </c>
      <c r="H223" s="168">
        <f>G223*VLOOKUP(B223,[1]Afgrødedata!$A$5:$F$18,2,FALSE)*IF(D223="Økologisk",VLOOKUP(B223,[1]Afgrødedata!$A$5:$F$18,4,FALSE),1)*IF(E223&lt;&gt;Jordbund1,IF(E223=Organ6,VLOOKUP(B223,[1]Afgrødedata!$A$5:$F$18,5,FALSE),VLOOKUP(B223,[1]Afgrødedata!$A$5:$F$18,6,FALSE)),1)*0.1</f>
        <v>1193.7457690173312</v>
      </c>
      <c r="I223" s="168">
        <f>G223*VLOOKUP(B223,[1]Afgrødedata!$A$5:$F$18,3,FALSE)*IF(D223="Økologisk",VLOOKUP(B223,[1]Afgrødedata!$A$5:$F$18,4,FALSE),1)*IF(E223&lt;&gt;Jordbund1,IF(E223=Organ6,VLOOKUP(B223,[1]Afgrødedata!$A$5:$F$18,5,FALSE),VLOOKUP(B223,[1]Afgrødedata!$A$5:$F$18,6,FALSE)),1)*HLOOKUP(C223,Landbrug!$C$15:$E$17,2,FALSE)*HLOOKUP(C223,Landbrug!$C$15:$E$17,3,FALSE)*0.1</f>
        <v>0</v>
      </c>
      <c r="J223" s="76">
        <f t="shared" si="42"/>
        <v>1193.7457690173312</v>
      </c>
    </row>
    <row r="224" spans="1:10" x14ac:dyDescent="0.25">
      <c r="A224" t="s">
        <v>23</v>
      </c>
      <c r="B224" s="1" t="str">
        <f>[1]Afgrødefordeling!$C$14</f>
        <v>Pil &amp; poppel</v>
      </c>
      <c r="C224">
        <v>2019</v>
      </c>
      <c r="D224" t="s">
        <v>8</v>
      </c>
      <c r="E224" s="168" t="str">
        <f t="shared" si="40"/>
        <v>OC12</v>
      </c>
      <c r="F224" t="str">
        <f t="shared" ref="F224" si="45">IF(I224&lt;&gt;0,"Halm",IF(B224&lt;&gt;"Permanent græs",B224,"Græs"))</f>
        <v>Pil &amp; poppel</v>
      </c>
      <c r="G224" s="76" cm="1">
        <f t="array" ref="G224">IF(A224="Vestdanmark",IF(D224="Konventionel",IF(C224=2019,SUMPRODUCT((B224='Landbrugsareal - resultat'!$B$6:$B$19)*(INDEX('Landbrugsareal - resultat'!$C$6:$E$19,,MATCH(E224,'Landbrugsareal - resultat'!$C$5:$E$5,0)))),IF(C224=2030,SUMPRODUCT((B224='Landbrugsareal - resultat'!$B$6:$B$19)*(INDEX('Landbrugsareal - resultat'!$F$6:$H$19,,MATCH(E224,'Landbrugsareal - resultat'!$F$5:$H$5,0)))),SUMPRODUCT((B224='Landbrugsareal - resultat'!$B$6:$B$19)*(INDEX('Landbrugsareal - resultat'!$I$6:$K$19,,MATCH(E224,'Landbrugsareal - resultat'!$I$5:$K$5,0)))))),IF(C224=2019,SUMPRODUCT((B224='Landbrugsareal - resultat'!$B$6:$B$19)*(INDEX('Landbrugsareal - resultat'!$L$6:$N$19,,MATCH(E224,'Landbrugsareal - resultat'!$L$5:$N$5,0)))),IF(C224=2030,SUMPRODUCT((B224='Landbrugsareal - resultat'!$B$6:$B$19)*(INDEX('Landbrugsareal - resultat'!$O$6:$Q$19,,MATCH(E224,'Landbrugsareal - resultat'!$O$5:$Q$5,0)))),SUMPRODUCT((B224='Landbrugsareal - resultat'!$B$6:$B$19)*(INDEX('Landbrugsareal - resultat'!$R$6:$T$19,,MATCH(E224,'Landbrugsareal - resultat'!$R$5:$T$5,0))))))),IF(D224="Konventionel",IF(C224=2019,SUMPRODUCT((B224='Landbrugsareal - resultat'!$B$33:$B$46)*(INDEX('Landbrugsareal - resultat'!$C$33:$E$46,,MATCH(E224,'Landbrugsareal - resultat'!$C$5:$E$5,0)))),IF(C224=2030,SUMPRODUCT((B224='Landbrugsareal - resultat'!$B$33:$B$46)*(INDEX('Landbrugsareal - resultat'!$F$33:$H$46,,MATCH(E224,'Landbrugsareal - resultat'!$F$5:$H$5,0)))),SUMPRODUCT((B224='Landbrugsareal - resultat'!$B$33:$B$46)*(INDEX('Landbrugsareal - resultat'!$I$33:$K$46,,MATCH(E224,'Landbrugsareal - resultat'!$I$5:$K$5,0)))))),IF(C224=2019,SUMPRODUCT((B224='Landbrugsareal - resultat'!$B$33:$B$46)*(INDEX('Landbrugsareal - resultat'!$L$33:$N$46,,MATCH(E224,'Landbrugsareal - resultat'!$L$5:$N$5,0)))),IF(C224=2030,SUMPRODUCT((B224='Landbrugsareal - resultat'!$B$33:$B$46)*(INDEX('Landbrugsareal - resultat'!$O$33:$Q$46,,MATCH(E224,'Landbrugsareal - resultat'!$O$5:$Q$5,0)))),SUMPRODUCT((B224='Landbrugsareal - resultat'!$B$33:$B$46)*(INDEX('Landbrugsareal - resultat'!$R$33:$T$46,,MATCH(E224,'Landbrugsareal - resultat'!$R$5:$T$5,0))))))))</f>
        <v>70.623191806963732</v>
      </c>
      <c r="H224" s="168">
        <f>G224*VLOOKUP(B224,[1]Afgrødedata!$A$5:$F$18,2,FALSE)*IF(D224="Økologisk",VLOOKUP(B224,[1]Afgrødedata!$A$5:$F$18,4,FALSE),1)*IF(E224&lt;&gt;Jordbund1,IF(E224=Organ6,VLOOKUP(B224,[1]Afgrødedata!$A$5:$F$18,5,FALSE),VLOOKUP(B224,[1]Afgrødedata!$A$5:$F$18,6,FALSE)),1)*0.1</f>
        <v>1374.5684649257819</v>
      </c>
      <c r="I224" s="168">
        <f>G224*VLOOKUP(B224,[1]Afgrødedata!$A$5:$F$18,3,FALSE)*IF(D224="Økologisk",VLOOKUP(B224,[1]Afgrødedata!$A$5:$F$18,4,FALSE),1)*IF(E224&lt;&gt;Jordbund1,IF(E224=Organ6,VLOOKUP(B224,[1]Afgrødedata!$A$5:$F$18,5,FALSE),VLOOKUP(B224,[1]Afgrødedata!$A$5:$F$18,6,FALSE)),1)*HLOOKUP(C224,Landbrug!$C$15:$E$17,2,FALSE)*HLOOKUP(C224,Landbrug!$C$15:$E$17,3,FALSE)*0.1</f>
        <v>0</v>
      </c>
      <c r="J224" s="76">
        <f t="shared" ref="J224" si="46">IF(I224&lt;&gt;0,I224,H224)</f>
        <v>1374.5684649257819</v>
      </c>
    </row>
    <row r="225" spans="1:10" x14ac:dyDescent="0.25">
      <c r="A225" t="s">
        <v>23</v>
      </c>
      <c r="B225" s="1" t="str">
        <f>[1]Afgrødefordeling!$C$15</f>
        <v>Permanent græs</v>
      </c>
      <c r="C225">
        <v>2019</v>
      </c>
      <c r="D225" t="s">
        <v>8</v>
      </c>
      <c r="E225" s="168" t="str">
        <f t="shared" si="40"/>
        <v>OC12</v>
      </c>
      <c r="F225" t="str">
        <f t="shared" si="41"/>
        <v>Græs</v>
      </c>
      <c r="G225" s="76" cm="1">
        <f t="array" ref="G225">IF(A225="Vestdanmark",IF(D225="Konventionel",IF(C225=2019,SUMPRODUCT((B225='Landbrugsareal - resultat'!$B$6:$B$19)*(INDEX('Landbrugsareal - resultat'!$C$6:$E$19,,MATCH(E225,'Landbrugsareal - resultat'!$C$5:$E$5,0)))),IF(C225=2030,SUMPRODUCT((B225='Landbrugsareal - resultat'!$B$6:$B$19)*(INDEX('Landbrugsareal - resultat'!$F$6:$H$19,,MATCH(E225,'Landbrugsareal - resultat'!$F$5:$H$5,0)))),SUMPRODUCT((B225='Landbrugsareal - resultat'!$B$6:$B$19)*(INDEX('Landbrugsareal - resultat'!$I$6:$K$19,,MATCH(E225,'Landbrugsareal - resultat'!$I$5:$K$5,0)))))),IF(C225=2019,SUMPRODUCT((B225='Landbrugsareal - resultat'!$B$6:$B$19)*(INDEX('Landbrugsareal - resultat'!$L$6:$N$19,,MATCH(E225,'Landbrugsareal - resultat'!$L$5:$N$5,0)))),IF(C225=2030,SUMPRODUCT((B225='Landbrugsareal - resultat'!$B$6:$B$19)*(INDEX('Landbrugsareal - resultat'!$O$6:$Q$19,,MATCH(E225,'Landbrugsareal - resultat'!$O$5:$Q$5,0)))),SUMPRODUCT((B225='Landbrugsareal - resultat'!$B$6:$B$19)*(INDEX('Landbrugsareal - resultat'!$R$6:$T$19,,MATCH(E225,'Landbrugsareal - resultat'!$R$5:$T$5,0))))))),IF(D225="Konventionel",IF(C225=2019,SUMPRODUCT((B225='Landbrugsareal - resultat'!$B$33:$B$46)*(INDEX('Landbrugsareal - resultat'!$C$33:$E$46,,MATCH(E225,'Landbrugsareal - resultat'!$C$5:$E$5,0)))),IF(C225=2030,SUMPRODUCT((B225='Landbrugsareal - resultat'!$B$33:$B$46)*(INDEX('Landbrugsareal - resultat'!$F$33:$H$46,,MATCH(E225,'Landbrugsareal - resultat'!$F$5:$H$5,0)))),SUMPRODUCT((B225='Landbrugsareal - resultat'!$B$33:$B$46)*(INDEX('Landbrugsareal - resultat'!$I$33:$K$46,,MATCH(E225,'Landbrugsareal - resultat'!$I$5:$K$5,0)))))),IF(C225=2019,SUMPRODUCT((B225='Landbrugsareal - resultat'!$B$33:$B$46)*(INDEX('Landbrugsareal - resultat'!$L$33:$N$46,,MATCH(E225,'Landbrugsareal - resultat'!$L$5:$N$5,0)))),IF(C225=2030,SUMPRODUCT((B225='Landbrugsareal - resultat'!$B$33:$B$46)*(INDEX('Landbrugsareal - resultat'!$O$33:$Q$46,,MATCH(E225,'Landbrugsareal - resultat'!$O$5:$Q$5,0)))),SUMPRODUCT((B225='Landbrugsareal - resultat'!$B$33:$B$46)*(INDEX('Landbrugsareal - resultat'!$R$33:$T$46,,MATCH(E225,'Landbrugsareal - resultat'!$R$5:$T$5,0))))))))</f>
        <v>2612.0174037629554</v>
      </c>
      <c r="H225" s="168">
        <f>G225*VLOOKUP(B225,[1]Afgrødedata!$A$5:$F$18,2,FALSE)*IF(D225="Økologisk",VLOOKUP(B225,[1]Afgrødedata!$A$5:$F$18,4,FALSE),1)*IF(E225&lt;&gt;Jordbund1,IF(E225=Organ6,VLOOKUP(B225,[1]Afgrødedata!$A$5:$F$18,5,FALSE),VLOOKUP(B225,[1]Afgrødedata!$A$5:$F$18,6,FALSE)),1)*0.1</f>
        <v>50427.60799704762</v>
      </c>
      <c r="I225" s="168">
        <f>G225*VLOOKUP(B225,[1]Afgrødedata!$A$5:$F$18,3,FALSE)*IF(D225="Økologisk",VLOOKUP(B225,[1]Afgrødedata!$A$5:$F$18,4,FALSE),1)*IF(E225&lt;&gt;Jordbund1,IF(E225=Organ6,VLOOKUP(B225,[1]Afgrødedata!$A$5:$F$18,5,FALSE),VLOOKUP(B225,[1]Afgrødedata!$A$5:$F$18,6,FALSE)),1)*HLOOKUP(C225,Landbrug!$C$15:$E$17,2,FALSE)*HLOOKUP(C225,Landbrug!$C$15:$E$17,3,FALSE)*0.1</f>
        <v>0</v>
      </c>
      <c r="J225" s="76">
        <f t="shared" si="42"/>
        <v>50427.60799704762</v>
      </c>
    </row>
    <row r="226" spans="1:10" x14ac:dyDescent="0.25">
      <c r="A226" t="s">
        <v>23</v>
      </c>
      <c r="B226" s="1" t="str">
        <f>[1]Afgrødefordeling!$C$2</f>
        <v>Korn</v>
      </c>
      <c r="C226">
        <v>2030</v>
      </c>
      <c r="D226" t="s">
        <v>8</v>
      </c>
      <c r="E226" s="168" t="str">
        <f t="shared" si="40"/>
        <v>OC12</v>
      </c>
      <c r="F226" t="str">
        <f t="shared" si="41"/>
        <v>Halm</v>
      </c>
      <c r="G226" s="76" cm="1">
        <f t="array" ref="G226">IF(A226="Vestdanmark",IF(D226="Konventionel",IF(C226=2019,SUMPRODUCT((B226='Landbrugsareal - resultat'!$B$6:$B$19)*(INDEX('Landbrugsareal - resultat'!$C$6:$E$19,,MATCH(E226,'Landbrugsareal - resultat'!$C$5:$E$5,0)))),IF(C226=2030,SUMPRODUCT((B226='Landbrugsareal - resultat'!$B$6:$B$19)*(INDEX('Landbrugsareal - resultat'!$F$6:$H$19,,MATCH(E226,'Landbrugsareal - resultat'!$F$5:$H$5,0)))),SUMPRODUCT((B226='Landbrugsareal - resultat'!$B$6:$B$19)*(INDEX('Landbrugsareal - resultat'!$I$6:$K$19,,MATCH(E226,'Landbrugsareal - resultat'!$I$5:$K$5,0)))))),IF(C226=2019,SUMPRODUCT((B226='Landbrugsareal - resultat'!$B$6:$B$19)*(INDEX('Landbrugsareal - resultat'!$L$6:$N$19,,MATCH(E226,'Landbrugsareal - resultat'!$L$5:$N$5,0)))),IF(C226=2030,SUMPRODUCT((B226='Landbrugsareal - resultat'!$B$6:$B$19)*(INDEX('Landbrugsareal - resultat'!$O$6:$Q$19,,MATCH(E226,'Landbrugsareal - resultat'!$O$5:$Q$5,0)))),SUMPRODUCT((B226='Landbrugsareal - resultat'!$B$6:$B$19)*(INDEX('Landbrugsareal - resultat'!$R$6:$T$19,,MATCH(E226,'Landbrugsareal - resultat'!$R$5:$T$5,0))))))),IF(D226="Konventionel",IF(C226=2019,SUMPRODUCT((B226='Landbrugsareal - resultat'!$B$33:$B$46)*(INDEX('Landbrugsareal - resultat'!$C$33:$E$46,,MATCH(E226,'Landbrugsareal - resultat'!$C$5:$E$5,0)))),IF(C226=2030,SUMPRODUCT((B226='Landbrugsareal - resultat'!$B$33:$B$46)*(INDEX('Landbrugsareal - resultat'!$F$33:$H$46,,MATCH(E226,'Landbrugsareal - resultat'!$F$5:$H$5,0)))),SUMPRODUCT((B226='Landbrugsareal - resultat'!$B$33:$B$46)*(INDEX('Landbrugsareal - resultat'!$I$33:$K$46,,MATCH(E226,'Landbrugsareal - resultat'!$I$5:$K$5,0)))))),IF(C226=2019,SUMPRODUCT((B226='Landbrugsareal - resultat'!$B$33:$B$46)*(INDEX('Landbrugsareal - resultat'!$L$33:$N$46,,MATCH(E226,'Landbrugsareal - resultat'!$L$5:$N$5,0)))),IF(C226=2030,SUMPRODUCT((B226='Landbrugsareal - resultat'!$B$33:$B$46)*(INDEX('Landbrugsareal - resultat'!$O$33:$Q$46,,MATCH(E226,'Landbrugsareal - resultat'!$O$5:$Q$5,0)))),SUMPRODUCT((B226='Landbrugsareal - resultat'!$B$33:$B$46)*(INDEX('Landbrugsareal - resultat'!$R$33:$T$46,,MATCH(E226,'Landbrugsareal - resultat'!$R$5:$T$5,0))))))))</f>
        <v>1575.203881285586</v>
      </c>
      <c r="H226" s="168">
        <f>G226*VLOOKUP(B226,[1]Afgrødedata!$A$5:$F$18,2,FALSE)*IF(D226="Økologisk",VLOOKUP(B226,[1]Afgrødedata!$A$5:$F$18,4,FALSE),1)*IF(E226&lt;&gt;Jordbund1,IF(E226=Organ6,VLOOKUP(B226,[1]Afgrødedata!$A$5:$F$18,5,FALSE),VLOOKUP(B226,[1]Afgrødedata!$A$5:$F$18,6,FALSE)),1)*0.1</f>
        <v>10357.564096927616</v>
      </c>
      <c r="I226" s="168">
        <f>G226*VLOOKUP(B226,[1]Afgrødedata!$A$5:$F$18,3,FALSE)*IF(D226="Økologisk",VLOOKUP(B226,[1]Afgrødedata!$A$5:$F$18,4,FALSE),1)*IF(E226&lt;&gt;Jordbund1,IF(E226=Organ6,VLOOKUP(B226,[1]Afgrødedata!$A$5:$F$18,5,FALSE),VLOOKUP(B226,[1]Afgrødedata!$A$5:$F$18,6,FALSE)),1)*HLOOKUP(C226,Landbrug!$C$15:$E$17,2,FALSE)*HLOOKUP(C226,Landbrug!$C$15:$E$17,3,FALSE)*0.1</f>
        <v>3361.029549453011</v>
      </c>
      <c r="J226" s="76">
        <f t="shared" si="42"/>
        <v>3361.029549453011</v>
      </c>
    </row>
    <row r="227" spans="1:10" x14ac:dyDescent="0.25">
      <c r="A227" t="s">
        <v>23</v>
      </c>
      <c r="B227" s="1" t="str">
        <f>[1]Afgrødefordeling!$C$3</f>
        <v>Bælgsæd</v>
      </c>
      <c r="C227">
        <v>2030</v>
      </c>
      <c r="D227" t="s">
        <v>8</v>
      </c>
      <c r="E227" s="168" t="str">
        <f t="shared" si="40"/>
        <v>OC12</v>
      </c>
      <c r="F227" t="str">
        <f t="shared" si="41"/>
        <v>Halm</v>
      </c>
      <c r="G227" s="76" cm="1">
        <f t="array" ref="G227">IF(A227="Vestdanmark",IF(D227="Konventionel",IF(C227=2019,SUMPRODUCT((B227='Landbrugsareal - resultat'!$B$6:$B$19)*(INDEX('Landbrugsareal - resultat'!$C$6:$E$19,,MATCH(E227,'Landbrugsareal - resultat'!$C$5:$E$5,0)))),IF(C227=2030,SUMPRODUCT((B227='Landbrugsareal - resultat'!$B$6:$B$19)*(INDEX('Landbrugsareal - resultat'!$F$6:$H$19,,MATCH(E227,'Landbrugsareal - resultat'!$F$5:$H$5,0)))),SUMPRODUCT((B227='Landbrugsareal - resultat'!$B$6:$B$19)*(INDEX('Landbrugsareal - resultat'!$I$6:$K$19,,MATCH(E227,'Landbrugsareal - resultat'!$I$5:$K$5,0)))))),IF(C227=2019,SUMPRODUCT((B227='Landbrugsareal - resultat'!$B$6:$B$19)*(INDEX('Landbrugsareal - resultat'!$L$6:$N$19,,MATCH(E227,'Landbrugsareal - resultat'!$L$5:$N$5,0)))),IF(C227=2030,SUMPRODUCT((B227='Landbrugsareal - resultat'!$B$6:$B$19)*(INDEX('Landbrugsareal - resultat'!$O$6:$Q$19,,MATCH(E227,'Landbrugsareal - resultat'!$O$5:$Q$5,0)))),SUMPRODUCT((B227='Landbrugsareal - resultat'!$B$6:$B$19)*(INDEX('Landbrugsareal - resultat'!$R$6:$T$19,,MATCH(E227,'Landbrugsareal - resultat'!$R$5:$T$5,0))))))),IF(D227="Konventionel",IF(C227=2019,SUMPRODUCT((B227='Landbrugsareal - resultat'!$B$33:$B$46)*(INDEX('Landbrugsareal - resultat'!$C$33:$E$46,,MATCH(E227,'Landbrugsareal - resultat'!$C$5:$E$5,0)))),IF(C227=2030,SUMPRODUCT((B227='Landbrugsareal - resultat'!$B$33:$B$46)*(INDEX('Landbrugsareal - resultat'!$F$33:$H$46,,MATCH(E227,'Landbrugsareal - resultat'!$F$5:$H$5,0)))),SUMPRODUCT((B227='Landbrugsareal - resultat'!$B$33:$B$46)*(INDEX('Landbrugsareal - resultat'!$I$33:$K$46,,MATCH(E227,'Landbrugsareal - resultat'!$I$5:$K$5,0)))))),IF(C227=2019,SUMPRODUCT((B227='Landbrugsareal - resultat'!$B$33:$B$46)*(INDEX('Landbrugsareal - resultat'!$L$33:$N$46,,MATCH(E227,'Landbrugsareal - resultat'!$L$5:$N$5,0)))),IF(C227=2030,SUMPRODUCT((B227='Landbrugsareal - resultat'!$B$33:$B$46)*(INDEX('Landbrugsareal - resultat'!$O$33:$Q$46,,MATCH(E227,'Landbrugsareal - resultat'!$O$5:$Q$5,0)))),SUMPRODUCT((B227='Landbrugsareal - resultat'!$B$33:$B$46)*(INDEX('Landbrugsareal - resultat'!$R$33:$T$46,,MATCH(E227,'Landbrugsareal - resultat'!$R$5:$T$5,0))))))))</f>
        <v>90.699014447525812</v>
      </c>
      <c r="H227" s="168">
        <f>G227*VLOOKUP(B227,[1]Afgrødedata!$A$5:$F$18,2,FALSE)*IF(D227="Økologisk",VLOOKUP(B227,[1]Afgrødedata!$A$5:$F$18,4,FALSE),1)*IF(E227&lt;&gt;Jordbund1,IF(E227=Organ6,VLOOKUP(B227,[1]Afgrødedata!$A$5:$F$18,5,FALSE),VLOOKUP(B227,[1]Afgrødedata!$A$5:$F$18,6,FALSE)),1)*0.1</f>
        <v>279.37836022242476</v>
      </c>
      <c r="I227" s="168">
        <f>G227*VLOOKUP(B227,[1]Afgrødedata!$A$5:$F$18,3,FALSE)*IF(D227="Økologisk",VLOOKUP(B227,[1]Afgrødedata!$A$5:$F$18,4,FALSE),1)*IF(E227&lt;&gt;Jordbund1,IF(E227=Organ6,VLOOKUP(B227,[1]Afgrødedata!$A$5:$F$18,5,FALSE),VLOOKUP(B227,[1]Afgrødedata!$A$5:$F$18,6,FALSE)),1)*HLOOKUP(C227,Landbrug!$C$15:$E$17,2,FALSE)*HLOOKUP(C227,Landbrug!$C$15:$E$17,3,FALSE)*0.1</f>
        <v>82.4593191755975</v>
      </c>
      <c r="J227" s="76">
        <f t="shared" si="42"/>
        <v>82.4593191755975</v>
      </c>
    </row>
    <row r="228" spans="1:10" x14ac:dyDescent="0.25">
      <c r="A228" t="s">
        <v>23</v>
      </c>
      <c r="B228" s="1" t="str">
        <f>[1]Afgrødefordeling!$C$4</f>
        <v>Raps</v>
      </c>
      <c r="C228">
        <v>2030</v>
      </c>
      <c r="D228" t="s">
        <v>8</v>
      </c>
      <c r="E228" s="168" t="str">
        <f t="shared" si="40"/>
        <v>OC12</v>
      </c>
      <c r="F228" t="str">
        <f t="shared" si="41"/>
        <v>Halm</v>
      </c>
      <c r="G228" s="76" cm="1">
        <f t="array" ref="G228">IF(A228="Vestdanmark",IF(D228="Konventionel",IF(C228=2019,SUMPRODUCT((B228='Landbrugsareal - resultat'!$B$6:$B$19)*(INDEX('Landbrugsareal - resultat'!$C$6:$E$19,,MATCH(E228,'Landbrugsareal - resultat'!$C$5:$E$5,0)))),IF(C228=2030,SUMPRODUCT((B228='Landbrugsareal - resultat'!$B$6:$B$19)*(INDEX('Landbrugsareal - resultat'!$F$6:$H$19,,MATCH(E228,'Landbrugsareal - resultat'!$F$5:$H$5,0)))),SUMPRODUCT((B228='Landbrugsareal - resultat'!$B$6:$B$19)*(INDEX('Landbrugsareal - resultat'!$I$6:$K$19,,MATCH(E228,'Landbrugsareal - resultat'!$I$5:$K$5,0)))))),IF(C228=2019,SUMPRODUCT((B228='Landbrugsareal - resultat'!$B$6:$B$19)*(INDEX('Landbrugsareal - resultat'!$L$6:$N$19,,MATCH(E228,'Landbrugsareal - resultat'!$L$5:$N$5,0)))),IF(C228=2030,SUMPRODUCT((B228='Landbrugsareal - resultat'!$B$6:$B$19)*(INDEX('Landbrugsareal - resultat'!$O$6:$Q$19,,MATCH(E228,'Landbrugsareal - resultat'!$O$5:$Q$5,0)))),SUMPRODUCT((B228='Landbrugsareal - resultat'!$B$6:$B$19)*(INDEX('Landbrugsareal - resultat'!$R$6:$T$19,,MATCH(E228,'Landbrugsareal - resultat'!$R$5:$T$5,0))))))),IF(D228="Konventionel",IF(C228=2019,SUMPRODUCT((B228='Landbrugsareal - resultat'!$B$33:$B$46)*(INDEX('Landbrugsareal - resultat'!$C$33:$E$46,,MATCH(E228,'Landbrugsareal - resultat'!$C$5:$E$5,0)))),IF(C228=2030,SUMPRODUCT((B228='Landbrugsareal - resultat'!$B$33:$B$46)*(INDEX('Landbrugsareal - resultat'!$F$33:$H$46,,MATCH(E228,'Landbrugsareal - resultat'!$F$5:$H$5,0)))),SUMPRODUCT((B228='Landbrugsareal - resultat'!$B$33:$B$46)*(INDEX('Landbrugsareal - resultat'!$I$33:$K$46,,MATCH(E228,'Landbrugsareal - resultat'!$I$5:$K$5,0)))))),IF(C228=2019,SUMPRODUCT((B228='Landbrugsareal - resultat'!$B$33:$B$46)*(INDEX('Landbrugsareal - resultat'!$L$33:$N$46,,MATCH(E228,'Landbrugsareal - resultat'!$L$5:$N$5,0)))),IF(C228=2030,SUMPRODUCT((B228='Landbrugsareal - resultat'!$B$33:$B$46)*(INDEX('Landbrugsareal - resultat'!$O$33:$Q$46,,MATCH(E228,'Landbrugsareal - resultat'!$O$5:$Q$5,0)))),SUMPRODUCT((B228='Landbrugsareal - resultat'!$B$33:$B$46)*(INDEX('Landbrugsareal - resultat'!$R$33:$T$46,,MATCH(E228,'Landbrugsareal - resultat'!$R$5:$T$5,0))))))))</f>
        <v>117.4511166509169</v>
      </c>
      <c r="H228" s="168">
        <f>G228*VLOOKUP(B228,[1]Afgrødedata!$A$5:$F$18,2,FALSE)*IF(D228="Økologisk",VLOOKUP(B228,[1]Afgrødedata!$A$5:$F$18,4,FALSE),1)*IF(E228&lt;&gt;Jordbund1,IF(E228=Organ6,VLOOKUP(B228,[1]Afgrødedata!$A$5:$F$18,5,FALSE),VLOOKUP(B228,[1]Afgrødedata!$A$5:$F$18,6,FALSE)),1)*0.1</f>
        <v>397.9243832133065</v>
      </c>
      <c r="I228" s="168">
        <f>G228*VLOOKUP(B228,[1]Afgrødedata!$A$5:$F$18,3,FALSE)*IF(D228="Økologisk",VLOOKUP(B228,[1]Afgrødedata!$A$5:$F$18,4,FALSE),1)*IF(E228&lt;&gt;Jordbund1,IF(E228=Organ6,VLOOKUP(B228,[1]Afgrødedata!$A$5:$F$18,5,FALSE),VLOOKUP(B228,[1]Afgrødedata!$A$5:$F$18,6,FALSE)),1)*HLOOKUP(C228,Landbrug!$C$15:$E$17,2,FALSE)*HLOOKUP(C228,Landbrug!$C$15:$E$17,3,FALSE)*0.1</f>
        <v>211.29784748626577</v>
      </c>
      <c r="J228" s="76">
        <f t="shared" si="42"/>
        <v>211.29784748626577</v>
      </c>
    </row>
    <row r="229" spans="1:10" x14ac:dyDescent="0.25">
      <c r="A229" t="s">
        <v>23</v>
      </c>
      <c r="B229" s="1" t="str">
        <f>[1]Afgrødefordeling!$C$5</f>
        <v>Græs</v>
      </c>
      <c r="C229">
        <v>2030</v>
      </c>
      <c r="D229" t="s">
        <v>8</v>
      </c>
      <c r="E229" s="168" t="str">
        <f t="shared" si="40"/>
        <v>OC12</v>
      </c>
      <c r="F229" t="str">
        <f t="shared" si="41"/>
        <v>Græs</v>
      </c>
      <c r="G229" s="76" cm="1">
        <f t="array" ref="G229">IF(A229="Vestdanmark",IF(D229="Konventionel",IF(C229=2019,SUMPRODUCT((B229='Landbrugsareal - resultat'!$B$6:$B$19)*(INDEX('Landbrugsareal - resultat'!$C$6:$E$19,,MATCH(E229,'Landbrugsareal - resultat'!$C$5:$E$5,0)))),IF(C229=2030,SUMPRODUCT((B229='Landbrugsareal - resultat'!$B$6:$B$19)*(INDEX('Landbrugsareal - resultat'!$F$6:$H$19,,MATCH(E229,'Landbrugsareal - resultat'!$F$5:$H$5,0)))),SUMPRODUCT((B229='Landbrugsareal - resultat'!$B$6:$B$19)*(INDEX('Landbrugsareal - resultat'!$I$6:$K$19,,MATCH(E229,'Landbrugsareal - resultat'!$I$5:$K$5,0)))))),IF(C229=2019,SUMPRODUCT((B229='Landbrugsareal - resultat'!$B$6:$B$19)*(INDEX('Landbrugsareal - resultat'!$L$6:$N$19,,MATCH(E229,'Landbrugsareal - resultat'!$L$5:$N$5,0)))),IF(C229=2030,SUMPRODUCT((B229='Landbrugsareal - resultat'!$B$6:$B$19)*(INDEX('Landbrugsareal - resultat'!$O$6:$Q$19,,MATCH(E229,'Landbrugsareal - resultat'!$O$5:$Q$5,0)))),SUMPRODUCT((B229='Landbrugsareal - resultat'!$B$6:$B$19)*(INDEX('Landbrugsareal - resultat'!$R$6:$T$19,,MATCH(E229,'Landbrugsareal - resultat'!$R$5:$T$5,0))))))),IF(D229="Konventionel",IF(C229=2019,SUMPRODUCT((B229='Landbrugsareal - resultat'!$B$33:$B$46)*(INDEX('Landbrugsareal - resultat'!$C$33:$E$46,,MATCH(E229,'Landbrugsareal - resultat'!$C$5:$E$5,0)))),IF(C229=2030,SUMPRODUCT((B229='Landbrugsareal - resultat'!$B$33:$B$46)*(INDEX('Landbrugsareal - resultat'!$F$33:$H$46,,MATCH(E229,'Landbrugsareal - resultat'!$F$5:$H$5,0)))),SUMPRODUCT((B229='Landbrugsareal - resultat'!$B$33:$B$46)*(INDEX('Landbrugsareal - resultat'!$I$33:$K$46,,MATCH(E229,'Landbrugsareal - resultat'!$I$5:$K$5,0)))))),IF(C229=2019,SUMPRODUCT((B229='Landbrugsareal - resultat'!$B$33:$B$46)*(INDEX('Landbrugsareal - resultat'!$L$33:$N$46,,MATCH(E229,'Landbrugsareal - resultat'!$L$5:$N$5,0)))),IF(C229=2030,SUMPRODUCT((B229='Landbrugsareal - resultat'!$B$33:$B$46)*(INDEX('Landbrugsareal - resultat'!$O$33:$Q$46,,MATCH(E229,'Landbrugsareal - resultat'!$O$5:$Q$5,0)))),SUMPRODUCT((B229='Landbrugsareal - resultat'!$B$33:$B$46)*(INDEX('Landbrugsareal - resultat'!$R$33:$T$46,,MATCH(E229,'Landbrugsareal - resultat'!$R$5:$T$5,0))))))))</f>
        <v>2708.7935111409006</v>
      </c>
      <c r="H229" s="168">
        <f>G229*VLOOKUP(B229,[1]Afgrødedata!$A$5:$F$18,2,FALSE)*IF(D229="Økologisk",VLOOKUP(B229,[1]Afgrødedata!$A$5:$F$18,4,FALSE),1)*IF(E229&lt;&gt;Jordbund1,IF(E229=Organ6,VLOOKUP(B229,[1]Afgrødedata!$A$5:$F$18,5,FALSE),VLOOKUP(B229,[1]Afgrødedata!$A$5:$F$18,6,FALSE)),1)*0.1</f>
        <v>146776.08475291013</v>
      </c>
      <c r="I229" s="168">
        <f>G229*VLOOKUP(B229,[1]Afgrødedata!$A$5:$F$18,3,FALSE)*IF(D229="Økologisk",VLOOKUP(B229,[1]Afgrødedata!$A$5:$F$18,4,FALSE),1)*IF(E229&lt;&gt;Jordbund1,IF(E229=Organ6,VLOOKUP(B229,[1]Afgrødedata!$A$5:$F$18,5,FALSE),VLOOKUP(B229,[1]Afgrødedata!$A$5:$F$18,6,FALSE)),1)*HLOOKUP(C229,Landbrug!$C$15:$E$17,2,FALSE)*HLOOKUP(C229,Landbrug!$C$15:$E$17,3,FALSE)*0.1</f>
        <v>0</v>
      </c>
      <c r="J229" s="76">
        <f t="shared" si="42"/>
        <v>146776.08475291013</v>
      </c>
    </row>
    <row r="230" spans="1:10" x14ac:dyDescent="0.25">
      <c r="A230" t="s">
        <v>23</v>
      </c>
      <c r="B230" s="1" t="str">
        <f>[1]Afgrødefordeling!$C$6</f>
        <v>Grøntsager</v>
      </c>
      <c r="C230">
        <v>2030</v>
      </c>
      <c r="D230" t="s">
        <v>8</v>
      </c>
      <c r="E230" s="168" t="str">
        <f t="shared" si="40"/>
        <v>OC12</v>
      </c>
      <c r="F230" t="str">
        <f t="shared" si="41"/>
        <v>Grøntsager</v>
      </c>
      <c r="G230" s="76" cm="1">
        <f t="array" ref="G230">IF(A230="Vestdanmark",IF(D230="Konventionel",IF(C230=2019,SUMPRODUCT((B230='Landbrugsareal - resultat'!$B$6:$B$19)*(INDEX('Landbrugsareal - resultat'!$C$6:$E$19,,MATCH(E230,'Landbrugsareal - resultat'!$C$5:$E$5,0)))),IF(C230=2030,SUMPRODUCT((B230='Landbrugsareal - resultat'!$B$6:$B$19)*(INDEX('Landbrugsareal - resultat'!$F$6:$H$19,,MATCH(E230,'Landbrugsareal - resultat'!$F$5:$H$5,0)))),SUMPRODUCT((B230='Landbrugsareal - resultat'!$B$6:$B$19)*(INDEX('Landbrugsareal - resultat'!$I$6:$K$19,,MATCH(E230,'Landbrugsareal - resultat'!$I$5:$K$5,0)))))),IF(C230=2019,SUMPRODUCT((B230='Landbrugsareal - resultat'!$B$6:$B$19)*(INDEX('Landbrugsareal - resultat'!$L$6:$N$19,,MATCH(E230,'Landbrugsareal - resultat'!$L$5:$N$5,0)))),IF(C230=2030,SUMPRODUCT((B230='Landbrugsareal - resultat'!$B$6:$B$19)*(INDEX('Landbrugsareal - resultat'!$O$6:$Q$19,,MATCH(E230,'Landbrugsareal - resultat'!$O$5:$Q$5,0)))),SUMPRODUCT((B230='Landbrugsareal - resultat'!$B$6:$B$19)*(INDEX('Landbrugsareal - resultat'!$R$6:$T$19,,MATCH(E230,'Landbrugsareal - resultat'!$R$5:$T$5,0))))))),IF(D230="Konventionel",IF(C230=2019,SUMPRODUCT((B230='Landbrugsareal - resultat'!$B$33:$B$46)*(INDEX('Landbrugsareal - resultat'!$C$33:$E$46,,MATCH(E230,'Landbrugsareal - resultat'!$C$5:$E$5,0)))),IF(C230=2030,SUMPRODUCT((B230='Landbrugsareal - resultat'!$B$33:$B$46)*(INDEX('Landbrugsareal - resultat'!$F$33:$H$46,,MATCH(E230,'Landbrugsareal - resultat'!$F$5:$H$5,0)))),SUMPRODUCT((B230='Landbrugsareal - resultat'!$B$33:$B$46)*(INDEX('Landbrugsareal - resultat'!$I$33:$K$46,,MATCH(E230,'Landbrugsareal - resultat'!$I$5:$K$5,0)))))),IF(C230=2019,SUMPRODUCT((B230='Landbrugsareal - resultat'!$B$33:$B$46)*(INDEX('Landbrugsareal - resultat'!$L$33:$N$46,,MATCH(E230,'Landbrugsareal - resultat'!$L$5:$N$5,0)))),IF(C230=2030,SUMPRODUCT((B230='Landbrugsareal - resultat'!$B$33:$B$46)*(INDEX('Landbrugsareal - resultat'!$O$33:$Q$46,,MATCH(E230,'Landbrugsareal - resultat'!$O$5:$Q$5,0)))),SUMPRODUCT((B230='Landbrugsareal - resultat'!$B$33:$B$46)*(INDEX('Landbrugsareal - resultat'!$R$33:$T$46,,MATCH(E230,'Landbrugsareal - resultat'!$R$5:$T$5,0))))))))</f>
        <v>3.14846457834838</v>
      </c>
      <c r="H230" s="168">
        <f>G230*VLOOKUP(B230,[1]Afgrødedata!$A$5:$F$18,2,FALSE)*IF(D230="Økologisk",VLOOKUP(B230,[1]Afgrødedata!$A$5:$F$18,4,FALSE),1)*IF(E230&lt;&gt;Jordbund1,IF(E230=Organ6,VLOOKUP(B230,[1]Afgrødedata!$A$5:$F$18,5,FALSE),VLOOKUP(B230,[1]Afgrødedata!$A$5:$F$18,6,FALSE)),1)*0.1</f>
        <v>52.133850720581648</v>
      </c>
      <c r="I230" s="168">
        <f>G230*VLOOKUP(B230,[1]Afgrødedata!$A$5:$F$18,3,FALSE)*IF(D230="Økologisk",VLOOKUP(B230,[1]Afgrødedata!$A$5:$F$18,4,FALSE),1)*IF(E230&lt;&gt;Jordbund1,IF(E230=Organ6,VLOOKUP(B230,[1]Afgrødedata!$A$5:$F$18,5,FALSE),VLOOKUP(B230,[1]Afgrødedata!$A$5:$F$18,6,FALSE)),1)*HLOOKUP(C230,Landbrug!$C$15:$E$17,2,FALSE)*HLOOKUP(C230,Landbrug!$C$15:$E$17,3,FALSE)*0.1</f>
        <v>0</v>
      </c>
      <c r="J230" s="76">
        <f t="shared" si="42"/>
        <v>52.133850720581648</v>
      </c>
    </row>
    <row r="231" spans="1:10" x14ac:dyDescent="0.25">
      <c r="A231" t="s">
        <v>23</v>
      </c>
      <c r="B231" s="1" t="str">
        <f>[1]Afgrødefordeling!$C$7</f>
        <v>Kartofler</v>
      </c>
      <c r="C231">
        <v>2030</v>
      </c>
      <c r="D231" t="s">
        <v>8</v>
      </c>
      <c r="E231" s="168" t="str">
        <f t="shared" si="40"/>
        <v>OC12</v>
      </c>
      <c r="F231" t="str">
        <f t="shared" si="41"/>
        <v>Kartofler</v>
      </c>
      <c r="G231" s="76" cm="1">
        <f t="array" ref="G231">IF(A231="Vestdanmark",IF(D231="Konventionel",IF(C231=2019,SUMPRODUCT((B231='Landbrugsareal - resultat'!$B$6:$B$19)*(INDEX('Landbrugsareal - resultat'!$C$6:$E$19,,MATCH(E231,'Landbrugsareal - resultat'!$C$5:$E$5,0)))),IF(C231=2030,SUMPRODUCT((B231='Landbrugsareal - resultat'!$B$6:$B$19)*(INDEX('Landbrugsareal - resultat'!$F$6:$H$19,,MATCH(E231,'Landbrugsareal - resultat'!$F$5:$H$5,0)))),SUMPRODUCT((B231='Landbrugsareal - resultat'!$B$6:$B$19)*(INDEX('Landbrugsareal - resultat'!$I$6:$K$19,,MATCH(E231,'Landbrugsareal - resultat'!$I$5:$K$5,0)))))),IF(C231=2019,SUMPRODUCT((B231='Landbrugsareal - resultat'!$B$6:$B$19)*(INDEX('Landbrugsareal - resultat'!$L$6:$N$19,,MATCH(E231,'Landbrugsareal - resultat'!$L$5:$N$5,0)))),IF(C231=2030,SUMPRODUCT((B231='Landbrugsareal - resultat'!$B$6:$B$19)*(INDEX('Landbrugsareal - resultat'!$O$6:$Q$19,,MATCH(E231,'Landbrugsareal - resultat'!$O$5:$Q$5,0)))),SUMPRODUCT((B231='Landbrugsareal - resultat'!$B$6:$B$19)*(INDEX('Landbrugsareal - resultat'!$R$6:$T$19,,MATCH(E231,'Landbrugsareal - resultat'!$R$5:$T$5,0))))))),IF(D231="Konventionel",IF(C231=2019,SUMPRODUCT((B231='Landbrugsareal - resultat'!$B$33:$B$46)*(INDEX('Landbrugsareal - resultat'!$C$33:$E$46,,MATCH(E231,'Landbrugsareal - resultat'!$C$5:$E$5,0)))),IF(C231=2030,SUMPRODUCT((B231='Landbrugsareal - resultat'!$B$33:$B$46)*(INDEX('Landbrugsareal - resultat'!$F$33:$H$46,,MATCH(E231,'Landbrugsareal - resultat'!$F$5:$H$5,0)))),SUMPRODUCT((B231='Landbrugsareal - resultat'!$B$33:$B$46)*(INDEX('Landbrugsareal - resultat'!$I$33:$K$46,,MATCH(E231,'Landbrugsareal - resultat'!$I$5:$K$5,0)))))),IF(C231=2019,SUMPRODUCT((B231='Landbrugsareal - resultat'!$B$33:$B$46)*(INDEX('Landbrugsareal - resultat'!$L$33:$N$46,,MATCH(E231,'Landbrugsareal - resultat'!$L$5:$N$5,0)))),IF(C231=2030,SUMPRODUCT((B231='Landbrugsareal - resultat'!$B$33:$B$46)*(INDEX('Landbrugsareal - resultat'!$O$33:$Q$46,,MATCH(E231,'Landbrugsareal - resultat'!$O$5:$Q$5,0)))),SUMPRODUCT((B231='Landbrugsareal - resultat'!$B$33:$B$46)*(INDEX('Landbrugsareal - resultat'!$R$33:$T$46,,MATCH(E231,'Landbrugsareal - resultat'!$R$5:$T$5,0))))))))</f>
        <v>166.64915340117903</v>
      </c>
      <c r="H231" s="168">
        <f>G231*VLOOKUP(B231,[1]Afgrødedata!$A$5:$F$18,2,FALSE)*IF(D231="Økologisk",VLOOKUP(B231,[1]Afgrødedata!$A$5:$F$18,4,FALSE),1)*IF(E231&lt;&gt;Jordbund1,IF(E231=Organ6,VLOOKUP(B231,[1]Afgrødedata!$A$5:$F$18,5,FALSE),VLOOKUP(B231,[1]Afgrødedata!$A$5:$F$18,6,FALSE)),1)*0.1</f>
        <v>5648.0360739275584</v>
      </c>
      <c r="I231" s="168">
        <f>G231*VLOOKUP(B231,[1]Afgrødedata!$A$5:$F$18,3,FALSE)*IF(D231="Økologisk",VLOOKUP(B231,[1]Afgrødedata!$A$5:$F$18,4,FALSE),1)*IF(E231&lt;&gt;Jordbund1,IF(E231=Organ6,VLOOKUP(B231,[1]Afgrødedata!$A$5:$F$18,5,FALSE),VLOOKUP(B231,[1]Afgrødedata!$A$5:$F$18,6,FALSE)),1)*HLOOKUP(C231,Landbrug!$C$15:$E$17,2,FALSE)*HLOOKUP(C231,Landbrug!$C$15:$E$17,3,FALSE)*0.1</f>
        <v>0</v>
      </c>
      <c r="J231" s="76">
        <f t="shared" si="42"/>
        <v>5648.0360739275584</v>
      </c>
    </row>
    <row r="232" spans="1:10" x14ac:dyDescent="0.25">
      <c r="A232" t="s">
        <v>23</v>
      </c>
      <c r="B232" s="1" t="str">
        <f>[1]Afgrødefordeling!$C$8</f>
        <v>Roer</v>
      </c>
      <c r="C232">
        <v>2030</v>
      </c>
      <c r="D232" t="s">
        <v>8</v>
      </c>
      <c r="E232" s="168" t="str">
        <f t="shared" si="40"/>
        <v>OC12</v>
      </c>
      <c r="F232" t="str">
        <f t="shared" si="41"/>
        <v>Roer</v>
      </c>
      <c r="G232" s="76" cm="1">
        <f t="array" ref="G232">IF(A232="Vestdanmark",IF(D232="Konventionel",IF(C232=2019,SUMPRODUCT((B232='Landbrugsareal - resultat'!$B$6:$B$19)*(INDEX('Landbrugsareal - resultat'!$C$6:$E$19,,MATCH(E232,'Landbrugsareal - resultat'!$C$5:$E$5,0)))),IF(C232=2030,SUMPRODUCT((B232='Landbrugsareal - resultat'!$B$6:$B$19)*(INDEX('Landbrugsareal - resultat'!$F$6:$H$19,,MATCH(E232,'Landbrugsareal - resultat'!$F$5:$H$5,0)))),SUMPRODUCT((B232='Landbrugsareal - resultat'!$B$6:$B$19)*(INDEX('Landbrugsareal - resultat'!$I$6:$K$19,,MATCH(E232,'Landbrugsareal - resultat'!$I$5:$K$5,0)))))),IF(C232=2019,SUMPRODUCT((B232='Landbrugsareal - resultat'!$B$6:$B$19)*(INDEX('Landbrugsareal - resultat'!$L$6:$N$19,,MATCH(E232,'Landbrugsareal - resultat'!$L$5:$N$5,0)))),IF(C232=2030,SUMPRODUCT((B232='Landbrugsareal - resultat'!$B$6:$B$19)*(INDEX('Landbrugsareal - resultat'!$O$6:$Q$19,,MATCH(E232,'Landbrugsareal - resultat'!$O$5:$Q$5,0)))),SUMPRODUCT((B232='Landbrugsareal - resultat'!$B$6:$B$19)*(INDEX('Landbrugsareal - resultat'!$R$6:$T$19,,MATCH(E232,'Landbrugsareal - resultat'!$R$5:$T$5,0))))))),IF(D232="Konventionel",IF(C232=2019,SUMPRODUCT((B232='Landbrugsareal - resultat'!$B$33:$B$46)*(INDEX('Landbrugsareal - resultat'!$C$33:$E$46,,MATCH(E232,'Landbrugsareal - resultat'!$C$5:$E$5,0)))),IF(C232=2030,SUMPRODUCT((B232='Landbrugsareal - resultat'!$B$33:$B$46)*(INDEX('Landbrugsareal - resultat'!$F$33:$H$46,,MATCH(E232,'Landbrugsareal - resultat'!$F$5:$H$5,0)))),SUMPRODUCT((B232='Landbrugsareal - resultat'!$B$33:$B$46)*(INDEX('Landbrugsareal - resultat'!$I$33:$K$46,,MATCH(E232,'Landbrugsareal - resultat'!$I$5:$K$5,0)))))),IF(C232=2019,SUMPRODUCT((B232='Landbrugsareal - resultat'!$B$33:$B$46)*(INDEX('Landbrugsareal - resultat'!$L$33:$N$46,,MATCH(E232,'Landbrugsareal - resultat'!$L$5:$N$5,0)))),IF(C232=2030,SUMPRODUCT((B232='Landbrugsareal - resultat'!$B$33:$B$46)*(INDEX('Landbrugsareal - resultat'!$O$33:$Q$46,,MATCH(E232,'Landbrugsareal - resultat'!$O$5:$Q$5,0)))),SUMPRODUCT((B232='Landbrugsareal - resultat'!$B$33:$B$46)*(INDEX('Landbrugsareal - resultat'!$R$33:$T$46,,MATCH(E232,'Landbrugsareal - resultat'!$R$5:$T$5,0))))))))</f>
        <v>1.8021543928125885</v>
      </c>
      <c r="H232" s="168">
        <f>G232*VLOOKUP(B232,[1]Afgrødedata!$A$5:$F$18,2,FALSE)*IF(D232="Økologisk",VLOOKUP(B232,[1]Afgrødedata!$A$5:$F$18,4,FALSE),1)*IF(E232&lt;&gt;Jordbund1,IF(E232=Organ6,VLOOKUP(B232,[1]Afgrødedata!$A$5:$F$18,5,FALSE),VLOOKUP(B232,[1]Afgrødedata!$A$5:$F$18,6,FALSE)),1)*0.1</f>
        <v>116.8525515604245</v>
      </c>
      <c r="I232" s="168">
        <f>G232*VLOOKUP(B232,[1]Afgrødedata!$A$5:$F$18,3,FALSE)*IF(D232="Økologisk",VLOOKUP(B232,[1]Afgrødedata!$A$5:$F$18,4,FALSE),1)*IF(E232&lt;&gt;Jordbund1,IF(E232=Organ6,VLOOKUP(B232,[1]Afgrødedata!$A$5:$F$18,5,FALSE),VLOOKUP(B232,[1]Afgrødedata!$A$5:$F$18,6,FALSE)),1)*HLOOKUP(C232,Landbrug!$C$15:$E$17,2,FALSE)*HLOOKUP(C232,Landbrug!$C$15:$E$17,3,FALSE)*0.1</f>
        <v>0</v>
      </c>
      <c r="J232" s="76">
        <f t="shared" si="42"/>
        <v>116.8525515604245</v>
      </c>
    </row>
    <row r="233" spans="1:10" x14ac:dyDescent="0.25">
      <c r="A233" t="s">
        <v>23</v>
      </c>
      <c r="B233" s="1" t="str">
        <f>[1]Afgrødefordeling!$C$9</f>
        <v>Majs</v>
      </c>
      <c r="C233">
        <v>2030</v>
      </c>
      <c r="D233" t="s">
        <v>8</v>
      </c>
      <c r="E233" s="168" t="str">
        <f t="shared" si="40"/>
        <v>OC12</v>
      </c>
      <c r="F233" t="str">
        <f t="shared" si="41"/>
        <v>Majs</v>
      </c>
      <c r="G233" s="76" cm="1">
        <f t="array" ref="G233">IF(A233="Vestdanmark",IF(D233="Konventionel",IF(C233=2019,SUMPRODUCT((B233='Landbrugsareal - resultat'!$B$6:$B$19)*(INDEX('Landbrugsareal - resultat'!$C$6:$E$19,,MATCH(E233,'Landbrugsareal - resultat'!$C$5:$E$5,0)))),IF(C233=2030,SUMPRODUCT((B233='Landbrugsareal - resultat'!$B$6:$B$19)*(INDEX('Landbrugsareal - resultat'!$F$6:$H$19,,MATCH(E233,'Landbrugsareal - resultat'!$F$5:$H$5,0)))),SUMPRODUCT((B233='Landbrugsareal - resultat'!$B$6:$B$19)*(INDEX('Landbrugsareal - resultat'!$I$6:$K$19,,MATCH(E233,'Landbrugsareal - resultat'!$I$5:$K$5,0)))))),IF(C233=2019,SUMPRODUCT((B233='Landbrugsareal - resultat'!$B$6:$B$19)*(INDEX('Landbrugsareal - resultat'!$L$6:$N$19,,MATCH(E233,'Landbrugsareal - resultat'!$L$5:$N$5,0)))),IF(C233=2030,SUMPRODUCT((B233='Landbrugsareal - resultat'!$B$6:$B$19)*(INDEX('Landbrugsareal - resultat'!$O$6:$Q$19,,MATCH(E233,'Landbrugsareal - resultat'!$O$5:$Q$5,0)))),SUMPRODUCT((B233='Landbrugsareal - resultat'!$B$6:$B$19)*(INDEX('Landbrugsareal - resultat'!$R$6:$T$19,,MATCH(E233,'Landbrugsareal - resultat'!$R$5:$T$5,0))))))),IF(D233="Konventionel",IF(C233=2019,SUMPRODUCT((B233='Landbrugsareal - resultat'!$B$33:$B$46)*(INDEX('Landbrugsareal - resultat'!$C$33:$E$46,,MATCH(E233,'Landbrugsareal - resultat'!$C$5:$E$5,0)))),IF(C233=2030,SUMPRODUCT((B233='Landbrugsareal - resultat'!$B$33:$B$46)*(INDEX('Landbrugsareal - resultat'!$F$33:$H$46,,MATCH(E233,'Landbrugsareal - resultat'!$F$5:$H$5,0)))),SUMPRODUCT((B233='Landbrugsareal - resultat'!$B$33:$B$46)*(INDEX('Landbrugsareal - resultat'!$I$33:$K$46,,MATCH(E233,'Landbrugsareal - resultat'!$I$5:$K$5,0)))))),IF(C233=2019,SUMPRODUCT((B233='Landbrugsareal - resultat'!$B$33:$B$46)*(INDEX('Landbrugsareal - resultat'!$L$33:$N$46,,MATCH(E233,'Landbrugsareal - resultat'!$L$5:$N$5,0)))),IF(C233=2030,SUMPRODUCT((B233='Landbrugsareal - resultat'!$B$33:$B$46)*(INDEX('Landbrugsareal - resultat'!$O$33:$Q$46,,MATCH(E233,'Landbrugsareal - resultat'!$O$5:$Q$5,0)))),SUMPRODUCT((B233='Landbrugsareal - resultat'!$B$33:$B$46)*(INDEX('Landbrugsareal - resultat'!$R$33:$T$46,,MATCH(E233,'Landbrugsareal - resultat'!$R$5:$T$5,0))))))))</f>
        <v>224.11554109247393</v>
      </c>
      <c r="H233" s="168">
        <f>G233*VLOOKUP(B233,[1]Afgrødedata!$A$5:$F$18,2,FALSE)*IF(D233="Økologisk",VLOOKUP(B233,[1]Afgrødedata!$A$5:$F$18,4,FALSE),1)*IF(E233&lt;&gt;Jordbund1,IF(E233=Organ6,VLOOKUP(B233,[1]Afgrødedata!$A$5:$F$18,5,FALSE),VLOOKUP(B233,[1]Afgrødedata!$A$5:$F$18,6,FALSE)),1)*0.1</f>
        <v>11591.394736938229</v>
      </c>
      <c r="I233" s="168">
        <f>G233*VLOOKUP(B233,[1]Afgrødedata!$A$5:$F$18,3,FALSE)*IF(D233="Økologisk",VLOOKUP(B233,[1]Afgrødedata!$A$5:$F$18,4,FALSE),1)*IF(E233&lt;&gt;Jordbund1,IF(E233=Organ6,VLOOKUP(B233,[1]Afgrødedata!$A$5:$F$18,5,FALSE),VLOOKUP(B233,[1]Afgrødedata!$A$5:$F$18,6,FALSE)),1)*HLOOKUP(C233,Landbrug!$C$15:$E$17,2,FALSE)*HLOOKUP(C233,Landbrug!$C$15:$E$17,3,FALSE)*0.1</f>
        <v>0</v>
      </c>
      <c r="J233" s="76">
        <f t="shared" si="42"/>
        <v>11591.394736938229</v>
      </c>
    </row>
    <row r="234" spans="1:10" x14ac:dyDescent="0.25">
      <c r="A234" t="s">
        <v>23</v>
      </c>
      <c r="B234" s="1" t="str">
        <f>[1]Afgrødefordeling!$C$10</f>
        <v>Frugt</v>
      </c>
      <c r="C234">
        <v>2030</v>
      </c>
      <c r="D234" t="s">
        <v>8</v>
      </c>
      <c r="E234" s="168" t="str">
        <f t="shared" ref="E234:E253" si="47">Organ12</f>
        <v>OC12</v>
      </c>
      <c r="F234" t="str">
        <f t="shared" si="41"/>
        <v>Frugt</v>
      </c>
      <c r="G234" s="76" cm="1">
        <f t="array" ref="G234">IF(A234="Vestdanmark",IF(D234="Konventionel",IF(C234=2019,SUMPRODUCT((B234='Landbrugsareal - resultat'!$B$6:$B$19)*(INDEX('Landbrugsareal - resultat'!$C$6:$E$19,,MATCH(E234,'Landbrugsareal - resultat'!$C$5:$E$5,0)))),IF(C234=2030,SUMPRODUCT((B234='Landbrugsareal - resultat'!$B$6:$B$19)*(INDEX('Landbrugsareal - resultat'!$F$6:$H$19,,MATCH(E234,'Landbrugsareal - resultat'!$F$5:$H$5,0)))),SUMPRODUCT((B234='Landbrugsareal - resultat'!$B$6:$B$19)*(INDEX('Landbrugsareal - resultat'!$I$6:$K$19,,MATCH(E234,'Landbrugsareal - resultat'!$I$5:$K$5,0)))))),IF(C234=2019,SUMPRODUCT((B234='Landbrugsareal - resultat'!$B$6:$B$19)*(INDEX('Landbrugsareal - resultat'!$L$6:$N$19,,MATCH(E234,'Landbrugsareal - resultat'!$L$5:$N$5,0)))),IF(C234=2030,SUMPRODUCT((B234='Landbrugsareal - resultat'!$B$6:$B$19)*(INDEX('Landbrugsareal - resultat'!$O$6:$Q$19,,MATCH(E234,'Landbrugsareal - resultat'!$O$5:$Q$5,0)))),SUMPRODUCT((B234='Landbrugsareal - resultat'!$B$6:$B$19)*(INDEX('Landbrugsareal - resultat'!$R$6:$T$19,,MATCH(E234,'Landbrugsareal - resultat'!$R$5:$T$5,0))))))),IF(D234="Konventionel",IF(C234=2019,SUMPRODUCT((B234='Landbrugsareal - resultat'!$B$33:$B$46)*(INDEX('Landbrugsareal - resultat'!$C$33:$E$46,,MATCH(E234,'Landbrugsareal - resultat'!$C$5:$E$5,0)))),IF(C234=2030,SUMPRODUCT((B234='Landbrugsareal - resultat'!$B$33:$B$46)*(INDEX('Landbrugsareal - resultat'!$F$33:$H$46,,MATCH(E234,'Landbrugsareal - resultat'!$F$5:$H$5,0)))),SUMPRODUCT((B234='Landbrugsareal - resultat'!$B$33:$B$46)*(INDEX('Landbrugsareal - resultat'!$I$33:$K$46,,MATCH(E234,'Landbrugsareal - resultat'!$I$5:$K$5,0)))))),IF(C234=2019,SUMPRODUCT((B234='Landbrugsareal - resultat'!$B$33:$B$46)*(INDEX('Landbrugsareal - resultat'!$L$33:$N$46,,MATCH(E234,'Landbrugsareal - resultat'!$L$5:$N$5,0)))),IF(C234=2030,SUMPRODUCT((B234='Landbrugsareal - resultat'!$B$33:$B$46)*(INDEX('Landbrugsareal - resultat'!$O$33:$Q$46,,MATCH(E234,'Landbrugsareal - resultat'!$O$5:$Q$5,0)))),SUMPRODUCT((B234='Landbrugsareal - resultat'!$B$33:$B$46)*(INDEX('Landbrugsareal - resultat'!$R$33:$T$46,,MATCH(E234,'Landbrugsareal - resultat'!$R$5:$T$5,0))))))))</f>
        <v>6.4224703654426705</v>
      </c>
      <c r="H234" s="168">
        <f>G234*VLOOKUP(B234,[1]Afgrødedata!$A$5:$F$18,2,FALSE)*IF(D234="Økologisk",VLOOKUP(B234,[1]Afgrødedata!$A$5:$F$18,4,FALSE),1)*IF(E234&lt;&gt;Jordbund1,IF(E234=Organ6,VLOOKUP(B234,[1]Afgrødedata!$A$5:$F$18,5,FALSE),VLOOKUP(B234,[1]Afgrødedata!$A$5:$F$18,6,FALSE)),1)*0.1</f>
        <v>43.512365175281403</v>
      </c>
      <c r="I234" s="168">
        <f>G234*VLOOKUP(B234,[1]Afgrødedata!$A$5:$F$18,3,FALSE)*IF(D234="Økologisk",VLOOKUP(B234,[1]Afgrødedata!$A$5:$F$18,4,FALSE),1)*IF(E234&lt;&gt;Jordbund1,IF(E234=Organ6,VLOOKUP(B234,[1]Afgrødedata!$A$5:$F$18,5,FALSE),VLOOKUP(B234,[1]Afgrødedata!$A$5:$F$18,6,FALSE)),1)*HLOOKUP(C234,Landbrug!$C$15:$E$17,2,FALSE)*HLOOKUP(C234,Landbrug!$C$15:$E$17,3,FALSE)*0.1</f>
        <v>0</v>
      </c>
      <c r="J234" s="76">
        <f t="shared" si="42"/>
        <v>43.512365175281403</v>
      </c>
    </row>
    <row r="235" spans="1:10" x14ac:dyDescent="0.25">
      <c r="A235" t="s">
        <v>23</v>
      </c>
      <c r="B235" s="1" t="str">
        <f>[1]Afgrødefordeling!$C$11</f>
        <v>Øvrige</v>
      </c>
      <c r="C235">
        <v>2030</v>
      </c>
      <c r="D235" t="s">
        <v>8</v>
      </c>
      <c r="E235" s="168" t="str">
        <f t="shared" si="47"/>
        <v>OC12</v>
      </c>
      <c r="F235" t="str">
        <f t="shared" si="41"/>
        <v>Øvrige</v>
      </c>
      <c r="G235" s="76" cm="1">
        <f t="array" ref="G235">IF(A235="Vestdanmark",IF(D235="Konventionel",IF(C235=2019,SUMPRODUCT((B235='Landbrugsareal - resultat'!$B$6:$B$19)*(INDEX('Landbrugsareal - resultat'!$C$6:$E$19,,MATCH(E235,'Landbrugsareal - resultat'!$C$5:$E$5,0)))),IF(C235=2030,SUMPRODUCT((B235='Landbrugsareal - resultat'!$B$6:$B$19)*(INDEX('Landbrugsareal - resultat'!$F$6:$H$19,,MATCH(E235,'Landbrugsareal - resultat'!$F$5:$H$5,0)))),SUMPRODUCT((B235='Landbrugsareal - resultat'!$B$6:$B$19)*(INDEX('Landbrugsareal - resultat'!$I$6:$K$19,,MATCH(E235,'Landbrugsareal - resultat'!$I$5:$K$5,0)))))),IF(C235=2019,SUMPRODUCT((B235='Landbrugsareal - resultat'!$B$6:$B$19)*(INDEX('Landbrugsareal - resultat'!$L$6:$N$19,,MATCH(E235,'Landbrugsareal - resultat'!$L$5:$N$5,0)))),IF(C235=2030,SUMPRODUCT((B235='Landbrugsareal - resultat'!$B$6:$B$19)*(INDEX('Landbrugsareal - resultat'!$O$6:$Q$19,,MATCH(E235,'Landbrugsareal - resultat'!$O$5:$Q$5,0)))),SUMPRODUCT((B235='Landbrugsareal - resultat'!$B$6:$B$19)*(INDEX('Landbrugsareal - resultat'!$R$6:$T$19,,MATCH(E235,'Landbrugsareal - resultat'!$R$5:$T$5,0))))))),IF(D235="Konventionel",IF(C235=2019,SUMPRODUCT((B235='Landbrugsareal - resultat'!$B$33:$B$46)*(INDEX('Landbrugsareal - resultat'!$C$33:$E$46,,MATCH(E235,'Landbrugsareal - resultat'!$C$5:$E$5,0)))),IF(C235=2030,SUMPRODUCT((B235='Landbrugsareal - resultat'!$B$33:$B$46)*(INDEX('Landbrugsareal - resultat'!$F$33:$H$46,,MATCH(E235,'Landbrugsareal - resultat'!$F$5:$H$5,0)))),SUMPRODUCT((B235='Landbrugsareal - resultat'!$B$33:$B$46)*(INDEX('Landbrugsareal - resultat'!$I$33:$K$46,,MATCH(E235,'Landbrugsareal - resultat'!$I$5:$K$5,0)))))),IF(C235=2019,SUMPRODUCT((B235='Landbrugsareal - resultat'!$B$33:$B$46)*(INDEX('Landbrugsareal - resultat'!$L$33:$N$46,,MATCH(E235,'Landbrugsareal - resultat'!$L$5:$N$5,0)))),IF(C235=2030,SUMPRODUCT((B235='Landbrugsareal - resultat'!$B$33:$B$46)*(INDEX('Landbrugsareal - resultat'!$O$33:$Q$46,,MATCH(E235,'Landbrugsareal - resultat'!$O$5:$Q$5,0)))),SUMPRODUCT((B235='Landbrugsareal - resultat'!$B$33:$B$46)*(INDEX('Landbrugsareal - resultat'!$R$33:$T$46,,MATCH(E235,'Landbrugsareal - resultat'!$R$5:$T$5,0))))))))</f>
        <v>113.58717758650332</v>
      </c>
      <c r="H235" s="168">
        <f>G235*VLOOKUP(B235,[1]Afgrødedata!$A$5:$F$18,2,FALSE)*IF(D235="Økologisk",VLOOKUP(B235,[1]Afgrødedata!$A$5:$F$18,4,FALSE),1)*IF(E235&lt;&gt;Jordbund1,IF(E235=Organ6,VLOOKUP(B235,[1]Afgrødedata!$A$5:$F$18,5,FALSE),VLOOKUP(B235,[1]Afgrødedata!$A$5:$F$18,6,FALSE)),1)*0.1</f>
        <v>2700.7808270441792</v>
      </c>
      <c r="I235" s="168">
        <f>G235*VLOOKUP(B235,[1]Afgrødedata!$A$5:$F$18,3,FALSE)*IF(D235="Økologisk",VLOOKUP(B235,[1]Afgrødedata!$A$5:$F$18,4,FALSE),1)*IF(E235&lt;&gt;Jordbund1,IF(E235=Organ6,VLOOKUP(B235,[1]Afgrødedata!$A$5:$F$18,5,FALSE),VLOOKUP(B235,[1]Afgrødedata!$A$5:$F$18,6,FALSE)),1)*HLOOKUP(C235,Landbrug!$C$15:$E$17,2,FALSE)*HLOOKUP(C235,Landbrug!$C$15:$E$17,3,FALSE)*0.1</f>
        <v>0</v>
      </c>
      <c r="J235" s="76">
        <f t="shared" si="42"/>
        <v>2700.7808270441792</v>
      </c>
    </row>
    <row r="236" spans="1:10" x14ac:dyDescent="0.25">
      <c r="A236" t="s">
        <v>23</v>
      </c>
      <c r="B236" s="1" t="str">
        <f>[1]Afgrødefordeling!$C$12</f>
        <v>Frø</v>
      </c>
      <c r="C236">
        <v>2030</v>
      </c>
      <c r="D236" t="s">
        <v>8</v>
      </c>
      <c r="E236" s="168" t="str">
        <f t="shared" si="47"/>
        <v>OC12</v>
      </c>
      <c r="F236" t="str">
        <f t="shared" si="41"/>
        <v>Halm</v>
      </c>
      <c r="G236" s="76" cm="1">
        <f t="array" ref="G236">IF(A236="Vestdanmark",IF(D236="Konventionel",IF(C236=2019,SUMPRODUCT((B236='Landbrugsareal - resultat'!$B$6:$B$19)*(INDEX('Landbrugsareal - resultat'!$C$6:$E$19,,MATCH(E236,'Landbrugsareal - resultat'!$C$5:$E$5,0)))),IF(C236=2030,SUMPRODUCT((B236='Landbrugsareal - resultat'!$B$6:$B$19)*(INDEX('Landbrugsareal - resultat'!$F$6:$H$19,,MATCH(E236,'Landbrugsareal - resultat'!$F$5:$H$5,0)))),SUMPRODUCT((B236='Landbrugsareal - resultat'!$B$6:$B$19)*(INDEX('Landbrugsareal - resultat'!$I$6:$K$19,,MATCH(E236,'Landbrugsareal - resultat'!$I$5:$K$5,0)))))),IF(C236=2019,SUMPRODUCT((B236='Landbrugsareal - resultat'!$B$6:$B$19)*(INDEX('Landbrugsareal - resultat'!$L$6:$N$19,,MATCH(E236,'Landbrugsareal - resultat'!$L$5:$N$5,0)))),IF(C236=2030,SUMPRODUCT((B236='Landbrugsareal - resultat'!$B$6:$B$19)*(INDEX('Landbrugsareal - resultat'!$O$6:$Q$19,,MATCH(E236,'Landbrugsareal - resultat'!$O$5:$Q$5,0)))),SUMPRODUCT((B236='Landbrugsareal - resultat'!$B$6:$B$19)*(INDEX('Landbrugsareal - resultat'!$R$6:$T$19,,MATCH(E236,'Landbrugsareal - resultat'!$R$5:$T$5,0))))))),IF(D236="Konventionel",IF(C236=2019,SUMPRODUCT((B236='Landbrugsareal - resultat'!$B$33:$B$46)*(INDEX('Landbrugsareal - resultat'!$C$33:$E$46,,MATCH(E236,'Landbrugsareal - resultat'!$C$5:$E$5,0)))),IF(C236=2030,SUMPRODUCT((B236='Landbrugsareal - resultat'!$B$33:$B$46)*(INDEX('Landbrugsareal - resultat'!$F$33:$H$46,,MATCH(E236,'Landbrugsareal - resultat'!$F$5:$H$5,0)))),SUMPRODUCT((B236='Landbrugsareal - resultat'!$B$33:$B$46)*(INDEX('Landbrugsareal - resultat'!$I$33:$K$46,,MATCH(E236,'Landbrugsareal - resultat'!$I$5:$K$5,0)))))),IF(C236=2019,SUMPRODUCT((B236='Landbrugsareal - resultat'!$B$33:$B$46)*(INDEX('Landbrugsareal - resultat'!$L$33:$N$46,,MATCH(E236,'Landbrugsareal - resultat'!$L$5:$N$5,0)))),IF(C236=2030,SUMPRODUCT((B236='Landbrugsareal - resultat'!$B$33:$B$46)*(INDEX('Landbrugsareal - resultat'!$O$33:$Q$46,,MATCH(E236,'Landbrugsareal - resultat'!$O$5:$Q$5,0)))),SUMPRODUCT((B236='Landbrugsareal - resultat'!$B$33:$B$46)*(INDEX('Landbrugsareal - resultat'!$R$33:$T$46,,MATCH(E236,'Landbrugsareal - resultat'!$R$5:$T$5,0))))))))</f>
        <v>361.39642276239675</v>
      </c>
      <c r="H236" s="168">
        <f>G236*VLOOKUP(B236,[1]Afgrødedata!$A$5:$F$18,2,FALSE)*IF(D236="Økologisk",VLOOKUP(B236,[1]Afgrødedata!$A$5:$F$18,4,FALSE),1)*IF(E236&lt;&gt;Jordbund1,IF(E236=Organ6,VLOOKUP(B236,[1]Afgrødedata!$A$5:$F$18,5,FALSE),VLOOKUP(B236,[1]Afgrødedata!$A$5:$F$18,6,FALSE)),1)*0.1</f>
        <v>4120.8266447371343</v>
      </c>
      <c r="I236" s="168">
        <f>G236*VLOOKUP(B236,[1]Afgrødedata!$A$5:$F$18,3,FALSE)*IF(D236="Økologisk",VLOOKUP(B236,[1]Afgrødedata!$A$5:$F$18,4,FALSE),1)*IF(E236&lt;&gt;Jordbund1,IF(E236=Organ6,VLOOKUP(B236,[1]Afgrødedata!$A$5:$F$18,5,FALSE),VLOOKUP(B236,[1]Afgrødedata!$A$5:$F$18,6,FALSE)),1)*HLOOKUP(C236,Landbrug!$C$15:$E$17,2,FALSE)*HLOOKUP(C236,Landbrug!$C$15:$E$17,3,FALSE)*0.1</f>
        <v>680.61065505996635</v>
      </c>
      <c r="J236" s="76">
        <f t="shared" si="42"/>
        <v>680.61065505996635</v>
      </c>
    </row>
    <row r="237" spans="1:10" x14ac:dyDescent="0.25">
      <c r="A237" t="s">
        <v>23</v>
      </c>
      <c r="B237" s="1" t="str">
        <f>[1]Afgrødefordeling!$C$13</f>
        <v>Juletræer</v>
      </c>
      <c r="C237">
        <v>2030</v>
      </c>
      <c r="D237" t="s">
        <v>8</v>
      </c>
      <c r="E237" s="168" t="str">
        <f t="shared" si="47"/>
        <v>OC12</v>
      </c>
      <c r="F237" t="str">
        <f t="shared" si="41"/>
        <v>Juletræer</v>
      </c>
      <c r="G237" s="76" cm="1">
        <f t="array" ref="G237">IF(A237="Vestdanmark",IF(D237="Konventionel",IF(C237=2019,SUMPRODUCT((B237='Landbrugsareal - resultat'!$B$6:$B$19)*(INDEX('Landbrugsareal - resultat'!$C$6:$E$19,,MATCH(E237,'Landbrugsareal - resultat'!$C$5:$E$5,0)))),IF(C237=2030,SUMPRODUCT((B237='Landbrugsareal - resultat'!$B$6:$B$19)*(INDEX('Landbrugsareal - resultat'!$F$6:$H$19,,MATCH(E237,'Landbrugsareal - resultat'!$F$5:$H$5,0)))),SUMPRODUCT((B237='Landbrugsareal - resultat'!$B$6:$B$19)*(INDEX('Landbrugsareal - resultat'!$I$6:$K$19,,MATCH(E237,'Landbrugsareal - resultat'!$I$5:$K$5,0)))))),IF(C237=2019,SUMPRODUCT((B237='Landbrugsareal - resultat'!$B$6:$B$19)*(INDEX('Landbrugsareal - resultat'!$L$6:$N$19,,MATCH(E237,'Landbrugsareal - resultat'!$L$5:$N$5,0)))),IF(C237=2030,SUMPRODUCT((B237='Landbrugsareal - resultat'!$B$6:$B$19)*(INDEX('Landbrugsareal - resultat'!$O$6:$Q$19,,MATCH(E237,'Landbrugsareal - resultat'!$O$5:$Q$5,0)))),SUMPRODUCT((B237='Landbrugsareal - resultat'!$B$6:$B$19)*(INDEX('Landbrugsareal - resultat'!$R$6:$T$19,,MATCH(E237,'Landbrugsareal - resultat'!$R$5:$T$5,0))))))),IF(D237="Konventionel",IF(C237=2019,SUMPRODUCT((B237='Landbrugsareal - resultat'!$B$33:$B$46)*(INDEX('Landbrugsareal - resultat'!$C$33:$E$46,,MATCH(E237,'Landbrugsareal - resultat'!$C$5:$E$5,0)))),IF(C237=2030,SUMPRODUCT((B237='Landbrugsareal - resultat'!$B$33:$B$46)*(INDEX('Landbrugsareal - resultat'!$F$33:$H$46,,MATCH(E237,'Landbrugsareal - resultat'!$F$5:$H$5,0)))),SUMPRODUCT((B237='Landbrugsareal - resultat'!$B$33:$B$46)*(INDEX('Landbrugsareal - resultat'!$I$33:$K$46,,MATCH(E237,'Landbrugsareal - resultat'!$I$5:$K$5,0)))))),IF(C237=2019,SUMPRODUCT((B237='Landbrugsareal - resultat'!$B$33:$B$46)*(INDEX('Landbrugsareal - resultat'!$L$33:$N$46,,MATCH(E237,'Landbrugsareal - resultat'!$L$5:$N$5,0)))),IF(C237=2030,SUMPRODUCT((B237='Landbrugsareal - resultat'!$B$33:$B$46)*(INDEX('Landbrugsareal - resultat'!$O$33:$Q$46,,MATCH(E237,'Landbrugsareal - resultat'!$O$5:$Q$5,0)))),SUMPRODUCT((B237='Landbrugsareal - resultat'!$B$33:$B$46)*(INDEX('Landbrugsareal - resultat'!$R$33:$T$46,,MATCH(E237,'Landbrugsareal - resultat'!$R$5:$T$5,0))))))))</f>
        <v>32.212182972790174</v>
      </c>
      <c r="H237" s="168">
        <f>G237*VLOOKUP(B237,[1]Afgrødedata!$A$5:$F$18,2,FALSE)*IF(D237="Økologisk",VLOOKUP(B237,[1]Afgrødedata!$A$5:$F$18,4,FALSE),1)*IF(E237&lt;&gt;Jordbund1,IF(E237=Organ6,VLOOKUP(B237,[1]Afgrødedata!$A$5:$F$18,5,FALSE),VLOOKUP(B237,[1]Afgrødedata!$A$5:$F$18,6,FALSE)),1)*0.1</f>
        <v>1285.2661006143278</v>
      </c>
      <c r="I237" s="168">
        <f>G237*VLOOKUP(B237,[1]Afgrødedata!$A$5:$F$18,3,FALSE)*IF(D237="Økologisk",VLOOKUP(B237,[1]Afgrødedata!$A$5:$F$18,4,FALSE),1)*IF(E237&lt;&gt;Jordbund1,IF(E237=Organ6,VLOOKUP(B237,[1]Afgrødedata!$A$5:$F$18,5,FALSE),VLOOKUP(B237,[1]Afgrødedata!$A$5:$F$18,6,FALSE)),1)*HLOOKUP(C237,Landbrug!$C$15:$E$17,2,FALSE)*HLOOKUP(C237,Landbrug!$C$15:$E$17,3,FALSE)*0.1</f>
        <v>0</v>
      </c>
      <c r="J237" s="76">
        <f t="shared" si="42"/>
        <v>1285.2661006143278</v>
      </c>
    </row>
    <row r="238" spans="1:10" x14ac:dyDescent="0.25">
      <c r="A238" t="s">
        <v>23</v>
      </c>
      <c r="B238" s="1" t="str">
        <f>[1]Afgrødefordeling!$C$14</f>
        <v>Pil &amp; poppel</v>
      </c>
      <c r="C238">
        <v>2030</v>
      </c>
      <c r="D238" t="s">
        <v>8</v>
      </c>
      <c r="E238" s="168" t="str">
        <f t="shared" si="47"/>
        <v>OC12</v>
      </c>
      <c r="F238" t="str">
        <f t="shared" ref="F238" si="48">IF(I238&lt;&gt;0,"Halm",IF(B238&lt;&gt;"Permanent græs",B238,"Græs"))</f>
        <v>Pil &amp; poppel</v>
      </c>
      <c r="G238" s="76" cm="1">
        <f t="array" ref="G238">IF(A238="Vestdanmark",IF(D238="Konventionel",IF(C238=2019,SUMPRODUCT((B238='Landbrugsareal - resultat'!$B$6:$B$19)*(INDEX('Landbrugsareal - resultat'!$C$6:$E$19,,MATCH(E238,'Landbrugsareal - resultat'!$C$5:$E$5,0)))),IF(C238=2030,SUMPRODUCT((B238='Landbrugsareal - resultat'!$B$6:$B$19)*(INDEX('Landbrugsareal - resultat'!$F$6:$H$19,,MATCH(E238,'Landbrugsareal - resultat'!$F$5:$H$5,0)))),SUMPRODUCT((B238='Landbrugsareal - resultat'!$B$6:$B$19)*(INDEX('Landbrugsareal - resultat'!$I$6:$K$19,,MATCH(E238,'Landbrugsareal - resultat'!$I$5:$K$5,0)))))),IF(C238=2019,SUMPRODUCT((B238='Landbrugsareal - resultat'!$B$6:$B$19)*(INDEX('Landbrugsareal - resultat'!$L$6:$N$19,,MATCH(E238,'Landbrugsareal - resultat'!$L$5:$N$5,0)))),IF(C238=2030,SUMPRODUCT((B238='Landbrugsareal - resultat'!$B$6:$B$19)*(INDEX('Landbrugsareal - resultat'!$O$6:$Q$19,,MATCH(E238,'Landbrugsareal - resultat'!$O$5:$Q$5,0)))),SUMPRODUCT((B238='Landbrugsareal - resultat'!$B$6:$B$19)*(INDEX('Landbrugsareal - resultat'!$R$6:$T$19,,MATCH(E238,'Landbrugsareal - resultat'!$R$5:$T$5,0))))))),IF(D238="Konventionel",IF(C238=2019,SUMPRODUCT((B238='Landbrugsareal - resultat'!$B$33:$B$46)*(INDEX('Landbrugsareal - resultat'!$C$33:$E$46,,MATCH(E238,'Landbrugsareal - resultat'!$C$5:$E$5,0)))),IF(C238=2030,SUMPRODUCT((B238='Landbrugsareal - resultat'!$B$33:$B$46)*(INDEX('Landbrugsareal - resultat'!$F$33:$H$46,,MATCH(E238,'Landbrugsareal - resultat'!$F$5:$H$5,0)))),SUMPRODUCT((B238='Landbrugsareal - resultat'!$B$33:$B$46)*(INDEX('Landbrugsareal - resultat'!$I$33:$K$46,,MATCH(E238,'Landbrugsareal - resultat'!$I$5:$K$5,0)))))),IF(C238=2019,SUMPRODUCT((B238='Landbrugsareal - resultat'!$B$33:$B$46)*(INDEX('Landbrugsareal - resultat'!$L$33:$N$46,,MATCH(E238,'Landbrugsareal - resultat'!$L$5:$N$5,0)))),IF(C238=2030,SUMPRODUCT((B238='Landbrugsareal - resultat'!$B$33:$B$46)*(INDEX('Landbrugsareal - resultat'!$O$33:$Q$46,,MATCH(E238,'Landbrugsareal - resultat'!$O$5:$Q$5,0)))),SUMPRODUCT((B238='Landbrugsareal - resultat'!$B$33:$B$46)*(INDEX('Landbrugsareal - resultat'!$R$33:$T$46,,MATCH(E238,'Landbrugsareal - resultat'!$R$5:$T$5,0))))))))</f>
        <v>76.037626019310508</v>
      </c>
      <c r="H238" s="168">
        <f>G238*VLOOKUP(B238,[1]Afgrødedata!$A$5:$F$18,2,FALSE)*IF(D238="Økologisk",VLOOKUP(B238,[1]Afgrødedata!$A$5:$F$18,4,FALSE),1)*IF(E238&lt;&gt;Jordbund1,IF(E238=Organ6,VLOOKUP(B238,[1]Afgrødedata!$A$5:$F$18,5,FALSE),VLOOKUP(B238,[1]Afgrødedata!$A$5:$F$18,6,FALSE)),1)*0.1</f>
        <v>1479.9518430099947</v>
      </c>
      <c r="I238" s="168">
        <f>G238*VLOOKUP(B238,[1]Afgrødedata!$A$5:$F$18,3,FALSE)*IF(D238="Økologisk",VLOOKUP(B238,[1]Afgrødedata!$A$5:$F$18,4,FALSE),1)*IF(E238&lt;&gt;Jordbund1,IF(E238=Organ6,VLOOKUP(B238,[1]Afgrødedata!$A$5:$F$18,5,FALSE),VLOOKUP(B238,[1]Afgrødedata!$A$5:$F$18,6,FALSE)),1)*HLOOKUP(C238,Landbrug!$C$15:$E$17,2,FALSE)*HLOOKUP(C238,Landbrug!$C$15:$E$17,3,FALSE)*0.1</f>
        <v>0</v>
      </c>
      <c r="J238" s="76">
        <f t="shared" ref="J238" si="49">IF(I238&lt;&gt;0,I238,H238)</f>
        <v>1479.9518430099947</v>
      </c>
    </row>
    <row r="239" spans="1:10" x14ac:dyDescent="0.25">
      <c r="A239" t="s">
        <v>23</v>
      </c>
      <c r="B239" s="1" t="str">
        <f>[1]Afgrødefordeling!$C$15</f>
        <v>Permanent græs</v>
      </c>
      <c r="C239">
        <v>2030</v>
      </c>
      <c r="D239" t="s">
        <v>8</v>
      </c>
      <c r="E239" s="168" t="str">
        <f t="shared" si="47"/>
        <v>OC12</v>
      </c>
      <c r="F239" t="str">
        <f t="shared" si="41"/>
        <v>Græs</v>
      </c>
      <c r="G239" s="76" cm="1">
        <f t="array" ref="G239">IF(A239="Vestdanmark",IF(D239="Konventionel",IF(C239=2019,SUMPRODUCT((B239='Landbrugsareal - resultat'!$B$6:$B$19)*(INDEX('Landbrugsareal - resultat'!$C$6:$E$19,,MATCH(E239,'Landbrugsareal - resultat'!$C$5:$E$5,0)))),IF(C239=2030,SUMPRODUCT((B239='Landbrugsareal - resultat'!$B$6:$B$19)*(INDEX('Landbrugsareal - resultat'!$F$6:$H$19,,MATCH(E239,'Landbrugsareal - resultat'!$F$5:$H$5,0)))),SUMPRODUCT((B239='Landbrugsareal - resultat'!$B$6:$B$19)*(INDEX('Landbrugsareal - resultat'!$I$6:$K$19,,MATCH(E239,'Landbrugsareal - resultat'!$I$5:$K$5,0)))))),IF(C239=2019,SUMPRODUCT((B239='Landbrugsareal - resultat'!$B$6:$B$19)*(INDEX('Landbrugsareal - resultat'!$L$6:$N$19,,MATCH(E239,'Landbrugsareal - resultat'!$L$5:$N$5,0)))),IF(C239=2030,SUMPRODUCT((B239='Landbrugsareal - resultat'!$B$6:$B$19)*(INDEX('Landbrugsareal - resultat'!$O$6:$Q$19,,MATCH(E239,'Landbrugsareal - resultat'!$O$5:$Q$5,0)))),SUMPRODUCT((B239='Landbrugsareal - resultat'!$B$6:$B$19)*(INDEX('Landbrugsareal - resultat'!$R$6:$T$19,,MATCH(E239,'Landbrugsareal - resultat'!$R$5:$T$5,0))))))),IF(D239="Konventionel",IF(C239=2019,SUMPRODUCT((B239='Landbrugsareal - resultat'!$B$33:$B$46)*(INDEX('Landbrugsareal - resultat'!$C$33:$E$46,,MATCH(E239,'Landbrugsareal - resultat'!$C$5:$E$5,0)))),IF(C239=2030,SUMPRODUCT((B239='Landbrugsareal - resultat'!$B$33:$B$46)*(INDEX('Landbrugsareal - resultat'!$F$33:$H$46,,MATCH(E239,'Landbrugsareal - resultat'!$F$5:$H$5,0)))),SUMPRODUCT((B239='Landbrugsareal - resultat'!$B$33:$B$46)*(INDEX('Landbrugsareal - resultat'!$I$33:$K$46,,MATCH(E239,'Landbrugsareal - resultat'!$I$5:$K$5,0)))))),IF(C239=2019,SUMPRODUCT((B239='Landbrugsareal - resultat'!$B$33:$B$46)*(INDEX('Landbrugsareal - resultat'!$L$33:$N$46,,MATCH(E239,'Landbrugsareal - resultat'!$L$5:$N$5,0)))),IF(C239=2030,SUMPRODUCT((B239='Landbrugsareal - resultat'!$B$33:$B$46)*(INDEX('Landbrugsareal - resultat'!$O$33:$Q$46,,MATCH(E239,'Landbrugsareal - resultat'!$O$5:$Q$5,0)))),SUMPRODUCT((B239='Landbrugsareal - resultat'!$B$33:$B$46)*(INDEX('Landbrugsareal - resultat'!$R$33:$T$46,,MATCH(E239,'Landbrugsareal - resultat'!$R$5:$T$5,0))))))))</f>
        <v>2812.271683303813</v>
      </c>
      <c r="H239" s="168">
        <f>G239*VLOOKUP(B239,[1]Afgrødedata!$A$5:$F$18,2,FALSE)*IF(D239="Økologisk",VLOOKUP(B239,[1]Afgrødedata!$A$5:$F$18,4,FALSE),1)*IF(E239&lt;&gt;Jordbund1,IF(E239=Organ6,VLOOKUP(B239,[1]Afgrødedata!$A$5:$F$18,5,FALSE),VLOOKUP(B239,[1]Afgrødedata!$A$5:$F$18,6,FALSE)),1)*0.1</f>
        <v>54293.717117863409</v>
      </c>
      <c r="I239" s="168">
        <f>G239*VLOOKUP(B239,[1]Afgrødedata!$A$5:$F$18,3,FALSE)*IF(D239="Økologisk",VLOOKUP(B239,[1]Afgrødedata!$A$5:$F$18,4,FALSE),1)*IF(E239&lt;&gt;Jordbund1,IF(E239=Organ6,VLOOKUP(B239,[1]Afgrødedata!$A$5:$F$18,5,FALSE),VLOOKUP(B239,[1]Afgrødedata!$A$5:$F$18,6,FALSE)),1)*HLOOKUP(C239,Landbrug!$C$15:$E$17,2,FALSE)*HLOOKUP(C239,Landbrug!$C$15:$E$17,3,FALSE)*0.1</f>
        <v>0</v>
      </c>
      <c r="J239" s="76">
        <f t="shared" si="42"/>
        <v>54293.717117863409</v>
      </c>
    </row>
    <row r="240" spans="1:10" x14ac:dyDescent="0.25">
      <c r="A240" t="s">
        <v>23</v>
      </c>
      <c r="B240" s="1" t="str">
        <f>[1]Afgrødefordeling!$C$2</f>
        <v>Korn</v>
      </c>
      <c r="C240">
        <v>2050</v>
      </c>
      <c r="D240" t="s">
        <v>8</v>
      </c>
      <c r="E240" s="168" t="str">
        <f t="shared" si="47"/>
        <v>OC12</v>
      </c>
      <c r="F240" t="str">
        <f t="shared" si="41"/>
        <v>Halm</v>
      </c>
      <c r="G240" s="76" cm="1">
        <f t="array" ref="G240">IF(A240="Vestdanmark",IF(D240="Konventionel",IF(C240=2019,SUMPRODUCT((B240='Landbrugsareal - resultat'!$B$6:$B$19)*(INDEX('Landbrugsareal - resultat'!$C$6:$E$19,,MATCH(E240,'Landbrugsareal - resultat'!$C$5:$E$5,0)))),IF(C240=2030,SUMPRODUCT((B240='Landbrugsareal - resultat'!$B$6:$B$19)*(INDEX('Landbrugsareal - resultat'!$F$6:$H$19,,MATCH(E240,'Landbrugsareal - resultat'!$F$5:$H$5,0)))),SUMPRODUCT((B240='Landbrugsareal - resultat'!$B$6:$B$19)*(INDEX('Landbrugsareal - resultat'!$I$6:$K$19,,MATCH(E240,'Landbrugsareal - resultat'!$I$5:$K$5,0)))))),IF(C240=2019,SUMPRODUCT((B240='Landbrugsareal - resultat'!$B$6:$B$19)*(INDEX('Landbrugsareal - resultat'!$L$6:$N$19,,MATCH(E240,'Landbrugsareal - resultat'!$L$5:$N$5,0)))),IF(C240=2030,SUMPRODUCT((B240='Landbrugsareal - resultat'!$B$6:$B$19)*(INDEX('Landbrugsareal - resultat'!$O$6:$Q$19,,MATCH(E240,'Landbrugsareal - resultat'!$O$5:$Q$5,0)))),SUMPRODUCT((B240='Landbrugsareal - resultat'!$B$6:$B$19)*(INDEX('Landbrugsareal - resultat'!$R$6:$T$19,,MATCH(E240,'Landbrugsareal - resultat'!$R$5:$T$5,0))))))),IF(D240="Konventionel",IF(C240=2019,SUMPRODUCT((B240='Landbrugsareal - resultat'!$B$33:$B$46)*(INDEX('Landbrugsareal - resultat'!$C$33:$E$46,,MATCH(E240,'Landbrugsareal - resultat'!$C$5:$E$5,0)))),IF(C240=2030,SUMPRODUCT((B240='Landbrugsareal - resultat'!$B$33:$B$46)*(INDEX('Landbrugsareal - resultat'!$F$33:$H$46,,MATCH(E240,'Landbrugsareal - resultat'!$F$5:$H$5,0)))),SUMPRODUCT((B240='Landbrugsareal - resultat'!$B$33:$B$46)*(INDEX('Landbrugsareal - resultat'!$I$33:$K$46,,MATCH(E240,'Landbrugsareal - resultat'!$I$5:$K$5,0)))))),IF(C240=2019,SUMPRODUCT((B240='Landbrugsareal - resultat'!$B$33:$B$46)*(INDEX('Landbrugsareal - resultat'!$L$33:$N$46,,MATCH(E240,'Landbrugsareal - resultat'!$L$5:$N$5,0)))),IF(C240=2030,SUMPRODUCT((B240='Landbrugsareal - resultat'!$B$33:$B$46)*(INDEX('Landbrugsareal - resultat'!$O$33:$Q$46,,MATCH(E240,'Landbrugsareal - resultat'!$O$5:$Q$5,0)))),SUMPRODUCT((B240='Landbrugsareal - resultat'!$B$33:$B$46)*(INDEX('Landbrugsareal - resultat'!$R$33:$T$46,,MATCH(E240,'Landbrugsareal - resultat'!$R$5:$T$5,0))))))))</f>
        <v>2041.9309572220554</v>
      </c>
      <c r="H240" s="168">
        <f>G240*VLOOKUP(B240,[1]Afgrødedata!$A$5:$F$18,2,FALSE)*IF(D240="Økologisk",VLOOKUP(B240,[1]Afgrødedata!$A$5:$F$18,4,FALSE),1)*IF(E240&lt;&gt;Jordbund1,IF(E240=Organ6,VLOOKUP(B240,[1]Afgrødedata!$A$5:$F$18,5,FALSE),VLOOKUP(B240,[1]Afgrødedata!$A$5:$F$18,6,FALSE)),1)*0.1</f>
        <v>13426.471977498759</v>
      </c>
      <c r="I240" s="168">
        <f>G240*VLOOKUP(B240,[1]Afgrødedata!$A$5:$F$18,3,FALSE)*IF(D240="Økologisk",VLOOKUP(B240,[1]Afgrødedata!$A$5:$F$18,4,FALSE),1)*IF(E240&lt;&gt;Jordbund1,IF(E240=Organ6,VLOOKUP(B240,[1]Afgrødedata!$A$5:$F$18,5,FALSE),VLOOKUP(B240,[1]Afgrødedata!$A$5:$F$18,6,FALSE)),1)*HLOOKUP(C240,Landbrug!$C$15:$E$17,2,FALSE)*HLOOKUP(C240,Landbrug!$C$15:$E$17,3,FALSE)*0.1</f>
        <v>4356.8901566983468</v>
      </c>
      <c r="J240" s="76">
        <f t="shared" si="42"/>
        <v>4356.8901566983468</v>
      </c>
    </row>
    <row r="241" spans="1:10" x14ac:dyDescent="0.25">
      <c r="A241" t="s">
        <v>23</v>
      </c>
      <c r="B241" s="1" t="str">
        <f>[1]Afgrødefordeling!$C$3</f>
        <v>Bælgsæd</v>
      </c>
      <c r="C241">
        <v>2050</v>
      </c>
      <c r="D241" t="s">
        <v>8</v>
      </c>
      <c r="E241" s="168" t="str">
        <f t="shared" si="47"/>
        <v>OC12</v>
      </c>
      <c r="F241" t="str">
        <f t="shared" si="41"/>
        <v>Halm</v>
      </c>
      <c r="G241" s="76" cm="1">
        <f t="array" ref="G241">IF(A241="Vestdanmark",IF(D241="Konventionel",IF(C241=2019,SUMPRODUCT((B241='Landbrugsareal - resultat'!$B$6:$B$19)*(INDEX('Landbrugsareal - resultat'!$C$6:$E$19,,MATCH(E241,'Landbrugsareal - resultat'!$C$5:$E$5,0)))),IF(C241=2030,SUMPRODUCT((B241='Landbrugsareal - resultat'!$B$6:$B$19)*(INDEX('Landbrugsareal - resultat'!$F$6:$H$19,,MATCH(E241,'Landbrugsareal - resultat'!$F$5:$H$5,0)))),SUMPRODUCT((B241='Landbrugsareal - resultat'!$B$6:$B$19)*(INDEX('Landbrugsareal - resultat'!$I$6:$K$19,,MATCH(E241,'Landbrugsareal - resultat'!$I$5:$K$5,0)))))),IF(C241=2019,SUMPRODUCT((B241='Landbrugsareal - resultat'!$B$6:$B$19)*(INDEX('Landbrugsareal - resultat'!$L$6:$N$19,,MATCH(E241,'Landbrugsareal - resultat'!$L$5:$N$5,0)))),IF(C241=2030,SUMPRODUCT((B241='Landbrugsareal - resultat'!$B$6:$B$19)*(INDEX('Landbrugsareal - resultat'!$O$6:$Q$19,,MATCH(E241,'Landbrugsareal - resultat'!$O$5:$Q$5,0)))),SUMPRODUCT((B241='Landbrugsareal - resultat'!$B$6:$B$19)*(INDEX('Landbrugsareal - resultat'!$R$6:$T$19,,MATCH(E241,'Landbrugsareal - resultat'!$R$5:$T$5,0))))))),IF(D241="Konventionel",IF(C241=2019,SUMPRODUCT((B241='Landbrugsareal - resultat'!$B$33:$B$46)*(INDEX('Landbrugsareal - resultat'!$C$33:$E$46,,MATCH(E241,'Landbrugsareal - resultat'!$C$5:$E$5,0)))),IF(C241=2030,SUMPRODUCT((B241='Landbrugsareal - resultat'!$B$33:$B$46)*(INDEX('Landbrugsareal - resultat'!$F$33:$H$46,,MATCH(E241,'Landbrugsareal - resultat'!$F$5:$H$5,0)))),SUMPRODUCT((B241='Landbrugsareal - resultat'!$B$33:$B$46)*(INDEX('Landbrugsareal - resultat'!$I$33:$K$46,,MATCH(E241,'Landbrugsareal - resultat'!$I$5:$K$5,0)))))),IF(C241=2019,SUMPRODUCT((B241='Landbrugsareal - resultat'!$B$33:$B$46)*(INDEX('Landbrugsareal - resultat'!$L$33:$N$46,,MATCH(E241,'Landbrugsareal - resultat'!$L$5:$N$5,0)))),IF(C241=2030,SUMPRODUCT((B241='Landbrugsareal - resultat'!$B$33:$B$46)*(INDEX('Landbrugsareal - resultat'!$O$33:$Q$46,,MATCH(E241,'Landbrugsareal - resultat'!$O$5:$Q$5,0)))),SUMPRODUCT((B241='Landbrugsareal - resultat'!$B$33:$B$46)*(INDEX('Landbrugsareal - resultat'!$R$33:$T$46,,MATCH(E241,'Landbrugsareal - resultat'!$R$5:$T$5,0))))))))</f>
        <v>117.57279650605196</v>
      </c>
      <c r="H241" s="168">
        <f>G241*VLOOKUP(B241,[1]Afgrødedata!$A$5:$F$18,2,FALSE)*IF(D241="Økologisk",VLOOKUP(B241,[1]Afgrødedata!$A$5:$F$18,4,FALSE),1)*IF(E241&lt;&gt;Jordbund1,IF(E241=Organ6,VLOOKUP(B241,[1]Afgrødedata!$A$5:$F$18,5,FALSE),VLOOKUP(B241,[1]Afgrødedata!$A$5:$F$18,6,FALSE)),1)*0.1</f>
        <v>362.15713362166167</v>
      </c>
      <c r="I241" s="168">
        <f>G241*VLOOKUP(B241,[1]Afgrødedata!$A$5:$F$18,3,FALSE)*IF(D241="Økologisk",VLOOKUP(B241,[1]Afgrødedata!$A$5:$F$18,4,FALSE),1)*IF(E241&lt;&gt;Jordbund1,IF(E241=Organ6,VLOOKUP(B241,[1]Afgrødedata!$A$5:$F$18,5,FALSE),VLOOKUP(B241,[1]Afgrødedata!$A$5:$F$18,6,FALSE)),1)*HLOOKUP(C241,Landbrug!$C$15:$E$17,2,FALSE)*HLOOKUP(C241,Landbrug!$C$15:$E$17,3,FALSE)*0.1</f>
        <v>106.89171004244116</v>
      </c>
      <c r="J241" s="76">
        <f t="shared" si="42"/>
        <v>106.89171004244116</v>
      </c>
    </row>
    <row r="242" spans="1:10" x14ac:dyDescent="0.25">
      <c r="A242" t="s">
        <v>23</v>
      </c>
      <c r="B242" s="1" t="str">
        <f>[1]Afgrødefordeling!$C$4</f>
        <v>Raps</v>
      </c>
      <c r="C242">
        <v>2050</v>
      </c>
      <c r="D242" t="s">
        <v>8</v>
      </c>
      <c r="E242" s="168" t="str">
        <f t="shared" si="47"/>
        <v>OC12</v>
      </c>
      <c r="F242" t="str">
        <f t="shared" si="41"/>
        <v>Halm</v>
      </c>
      <c r="G242" s="76" cm="1">
        <f t="array" ref="G242">IF(A242="Vestdanmark",IF(D242="Konventionel",IF(C242=2019,SUMPRODUCT((B242='Landbrugsareal - resultat'!$B$6:$B$19)*(INDEX('Landbrugsareal - resultat'!$C$6:$E$19,,MATCH(E242,'Landbrugsareal - resultat'!$C$5:$E$5,0)))),IF(C242=2030,SUMPRODUCT((B242='Landbrugsareal - resultat'!$B$6:$B$19)*(INDEX('Landbrugsareal - resultat'!$F$6:$H$19,,MATCH(E242,'Landbrugsareal - resultat'!$F$5:$H$5,0)))),SUMPRODUCT((B242='Landbrugsareal - resultat'!$B$6:$B$19)*(INDEX('Landbrugsareal - resultat'!$I$6:$K$19,,MATCH(E242,'Landbrugsareal - resultat'!$I$5:$K$5,0)))))),IF(C242=2019,SUMPRODUCT((B242='Landbrugsareal - resultat'!$B$6:$B$19)*(INDEX('Landbrugsareal - resultat'!$L$6:$N$19,,MATCH(E242,'Landbrugsareal - resultat'!$L$5:$N$5,0)))),IF(C242=2030,SUMPRODUCT((B242='Landbrugsareal - resultat'!$B$6:$B$19)*(INDEX('Landbrugsareal - resultat'!$O$6:$Q$19,,MATCH(E242,'Landbrugsareal - resultat'!$O$5:$Q$5,0)))),SUMPRODUCT((B242='Landbrugsareal - resultat'!$B$6:$B$19)*(INDEX('Landbrugsareal - resultat'!$R$6:$T$19,,MATCH(E242,'Landbrugsareal - resultat'!$R$5:$T$5,0))))))),IF(D242="Konventionel",IF(C242=2019,SUMPRODUCT((B242='Landbrugsareal - resultat'!$B$33:$B$46)*(INDEX('Landbrugsareal - resultat'!$C$33:$E$46,,MATCH(E242,'Landbrugsareal - resultat'!$C$5:$E$5,0)))),IF(C242=2030,SUMPRODUCT((B242='Landbrugsareal - resultat'!$B$33:$B$46)*(INDEX('Landbrugsareal - resultat'!$F$33:$H$46,,MATCH(E242,'Landbrugsareal - resultat'!$F$5:$H$5,0)))),SUMPRODUCT((B242='Landbrugsareal - resultat'!$B$33:$B$46)*(INDEX('Landbrugsareal - resultat'!$I$33:$K$46,,MATCH(E242,'Landbrugsareal - resultat'!$I$5:$K$5,0)))))),IF(C242=2019,SUMPRODUCT((B242='Landbrugsareal - resultat'!$B$33:$B$46)*(INDEX('Landbrugsareal - resultat'!$L$33:$N$46,,MATCH(E242,'Landbrugsareal - resultat'!$L$5:$N$5,0)))),IF(C242=2030,SUMPRODUCT((B242='Landbrugsareal - resultat'!$B$33:$B$46)*(INDEX('Landbrugsareal - resultat'!$O$33:$Q$46,,MATCH(E242,'Landbrugsareal - resultat'!$O$5:$Q$5,0)))),SUMPRODUCT((B242='Landbrugsareal - resultat'!$B$33:$B$46)*(INDEX('Landbrugsareal - resultat'!$R$33:$T$46,,MATCH(E242,'Landbrugsareal - resultat'!$R$5:$T$5,0))))))))</f>
        <v>152.2514475104478</v>
      </c>
      <c r="H242" s="168">
        <f>G242*VLOOKUP(B242,[1]Afgrødedata!$A$5:$F$18,2,FALSE)*IF(D242="Økologisk",VLOOKUP(B242,[1]Afgrødedata!$A$5:$F$18,4,FALSE),1)*IF(E242&lt;&gt;Jordbund1,IF(E242=Organ6,VLOOKUP(B242,[1]Afgrødedata!$A$5:$F$18,5,FALSE),VLOOKUP(B242,[1]Afgrødedata!$A$5:$F$18,6,FALSE)),1)*0.1</f>
        <v>515.82790416539717</v>
      </c>
      <c r="I242" s="168">
        <f>G242*VLOOKUP(B242,[1]Afgrødedata!$A$5:$F$18,3,FALSE)*IF(D242="Økologisk",VLOOKUP(B242,[1]Afgrødedata!$A$5:$F$18,4,FALSE),1)*IF(E242&lt;&gt;Jordbund1,IF(E242=Organ6,VLOOKUP(B242,[1]Afgrødedata!$A$5:$F$18,5,FALSE),VLOOKUP(B242,[1]Afgrødedata!$A$5:$F$18,6,FALSE)),1)*HLOOKUP(C242,Landbrug!$C$15:$E$17,2,FALSE)*HLOOKUP(C242,Landbrug!$C$15:$E$17,3,FALSE)*0.1</f>
        <v>273.90461711182593</v>
      </c>
      <c r="J242" s="76">
        <f t="shared" si="42"/>
        <v>273.90461711182593</v>
      </c>
    </row>
    <row r="243" spans="1:10" x14ac:dyDescent="0.25">
      <c r="A243" t="s">
        <v>23</v>
      </c>
      <c r="B243" s="1" t="str">
        <f>[1]Afgrødefordeling!$C$5</f>
        <v>Græs</v>
      </c>
      <c r="C243">
        <v>2050</v>
      </c>
      <c r="D243" t="s">
        <v>8</v>
      </c>
      <c r="E243" s="168" t="str">
        <f t="shared" si="47"/>
        <v>OC12</v>
      </c>
      <c r="F243" t="str">
        <f t="shared" si="41"/>
        <v>Græs</v>
      </c>
      <c r="G243" s="76" cm="1">
        <f t="array" ref="G243">IF(A243="Vestdanmark",IF(D243="Konventionel",IF(C243=2019,SUMPRODUCT((B243='Landbrugsareal - resultat'!$B$6:$B$19)*(INDEX('Landbrugsareal - resultat'!$C$6:$E$19,,MATCH(E243,'Landbrugsareal - resultat'!$C$5:$E$5,0)))),IF(C243=2030,SUMPRODUCT((B243='Landbrugsareal - resultat'!$B$6:$B$19)*(INDEX('Landbrugsareal - resultat'!$F$6:$H$19,,MATCH(E243,'Landbrugsareal - resultat'!$F$5:$H$5,0)))),SUMPRODUCT((B243='Landbrugsareal - resultat'!$B$6:$B$19)*(INDEX('Landbrugsareal - resultat'!$I$6:$K$19,,MATCH(E243,'Landbrugsareal - resultat'!$I$5:$K$5,0)))))),IF(C243=2019,SUMPRODUCT((B243='Landbrugsareal - resultat'!$B$6:$B$19)*(INDEX('Landbrugsareal - resultat'!$L$6:$N$19,,MATCH(E243,'Landbrugsareal - resultat'!$L$5:$N$5,0)))),IF(C243=2030,SUMPRODUCT((B243='Landbrugsareal - resultat'!$B$6:$B$19)*(INDEX('Landbrugsareal - resultat'!$O$6:$Q$19,,MATCH(E243,'Landbrugsareal - resultat'!$O$5:$Q$5,0)))),SUMPRODUCT((B243='Landbrugsareal - resultat'!$B$6:$B$19)*(INDEX('Landbrugsareal - resultat'!$R$6:$T$19,,MATCH(E243,'Landbrugsareal - resultat'!$R$5:$T$5,0))))))),IF(D243="Konventionel",IF(C243=2019,SUMPRODUCT((B243='Landbrugsareal - resultat'!$B$33:$B$46)*(INDEX('Landbrugsareal - resultat'!$C$33:$E$46,,MATCH(E243,'Landbrugsareal - resultat'!$C$5:$E$5,0)))),IF(C243=2030,SUMPRODUCT((B243='Landbrugsareal - resultat'!$B$33:$B$46)*(INDEX('Landbrugsareal - resultat'!$F$33:$H$46,,MATCH(E243,'Landbrugsareal - resultat'!$F$5:$H$5,0)))),SUMPRODUCT((B243='Landbrugsareal - resultat'!$B$33:$B$46)*(INDEX('Landbrugsareal - resultat'!$I$33:$K$46,,MATCH(E243,'Landbrugsareal - resultat'!$I$5:$K$5,0)))))),IF(C243=2019,SUMPRODUCT((B243='Landbrugsareal - resultat'!$B$33:$B$46)*(INDEX('Landbrugsareal - resultat'!$L$33:$N$46,,MATCH(E243,'Landbrugsareal - resultat'!$L$5:$N$5,0)))),IF(C243=2030,SUMPRODUCT((B243='Landbrugsareal - resultat'!$B$33:$B$46)*(INDEX('Landbrugsareal - resultat'!$O$33:$Q$46,,MATCH(E243,'Landbrugsareal - resultat'!$O$5:$Q$5,0)))),SUMPRODUCT((B243='Landbrugsareal - resultat'!$B$33:$B$46)*(INDEX('Landbrugsareal - resultat'!$R$33:$T$46,,MATCH(E243,'Landbrugsareal - resultat'!$R$5:$T$5,0))))))))</f>
        <v>3511.3989959233891</v>
      </c>
      <c r="H243" s="168">
        <f>G243*VLOOKUP(B243,[1]Afgrødedata!$A$5:$F$18,2,FALSE)*IF(D243="Økologisk",VLOOKUP(B243,[1]Afgrødedata!$A$5:$F$18,4,FALSE),1)*IF(E243&lt;&gt;Jordbund1,IF(E243=Organ6,VLOOKUP(B243,[1]Afgrødedata!$A$5:$F$18,5,FALSE),VLOOKUP(B243,[1]Afgrødedata!$A$5:$F$18,6,FALSE)),1)*0.1</f>
        <v>190265.29505006867</v>
      </c>
      <c r="I243" s="168">
        <f>G243*VLOOKUP(B243,[1]Afgrødedata!$A$5:$F$18,3,FALSE)*IF(D243="Økologisk",VLOOKUP(B243,[1]Afgrødedata!$A$5:$F$18,4,FALSE),1)*IF(E243&lt;&gt;Jordbund1,IF(E243=Organ6,VLOOKUP(B243,[1]Afgrødedata!$A$5:$F$18,5,FALSE),VLOOKUP(B243,[1]Afgrødedata!$A$5:$F$18,6,FALSE)),1)*HLOOKUP(C243,Landbrug!$C$15:$E$17,2,FALSE)*HLOOKUP(C243,Landbrug!$C$15:$E$17,3,FALSE)*0.1</f>
        <v>0</v>
      </c>
      <c r="J243" s="76">
        <f t="shared" si="42"/>
        <v>190265.29505006867</v>
      </c>
    </row>
    <row r="244" spans="1:10" x14ac:dyDescent="0.25">
      <c r="A244" t="s">
        <v>23</v>
      </c>
      <c r="B244" s="1" t="str">
        <f>[1]Afgrødefordeling!$C$6</f>
        <v>Grøntsager</v>
      </c>
      <c r="C244">
        <v>2050</v>
      </c>
      <c r="D244" t="s">
        <v>8</v>
      </c>
      <c r="E244" s="168" t="str">
        <f t="shared" si="47"/>
        <v>OC12</v>
      </c>
      <c r="F244" t="str">
        <f t="shared" si="41"/>
        <v>Grøntsager</v>
      </c>
      <c r="G244" s="76" cm="1">
        <f t="array" ref="G244">IF(A244="Vestdanmark",IF(D244="Konventionel",IF(C244=2019,SUMPRODUCT((B244='Landbrugsareal - resultat'!$B$6:$B$19)*(INDEX('Landbrugsareal - resultat'!$C$6:$E$19,,MATCH(E244,'Landbrugsareal - resultat'!$C$5:$E$5,0)))),IF(C244=2030,SUMPRODUCT((B244='Landbrugsareal - resultat'!$B$6:$B$19)*(INDEX('Landbrugsareal - resultat'!$F$6:$H$19,,MATCH(E244,'Landbrugsareal - resultat'!$F$5:$H$5,0)))),SUMPRODUCT((B244='Landbrugsareal - resultat'!$B$6:$B$19)*(INDEX('Landbrugsareal - resultat'!$I$6:$K$19,,MATCH(E244,'Landbrugsareal - resultat'!$I$5:$K$5,0)))))),IF(C244=2019,SUMPRODUCT((B244='Landbrugsareal - resultat'!$B$6:$B$19)*(INDEX('Landbrugsareal - resultat'!$L$6:$N$19,,MATCH(E244,'Landbrugsareal - resultat'!$L$5:$N$5,0)))),IF(C244=2030,SUMPRODUCT((B244='Landbrugsareal - resultat'!$B$6:$B$19)*(INDEX('Landbrugsareal - resultat'!$O$6:$Q$19,,MATCH(E244,'Landbrugsareal - resultat'!$O$5:$Q$5,0)))),SUMPRODUCT((B244='Landbrugsareal - resultat'!$B$6:$B$19)*(INDEX('Landbrugsareal - resultat'!$R$6:$T$19,,MATCH(E244,'Landbrugsareal - resultat'!$R$5:$T$5,0))))))),IF(D244="Konventionel",IF(C244=2019,SUMPRODUCT((B244='Landbrugsareal - resultat'!$B$33:$B$46)*(INDEX('Landbrugsareal - resultat'!$C$33:$E$46,,MATCH(E244,'Landbrugsareal - resultat'!$C$5:$E$5,0)))),IF(C244=2030,SUMPRODUCT((B244='Landbrugsareal - resultat'!$B$33:$B$46)*(INDEX('Landbrugsareal - resultat'!$F$33:$H$46,,MATCH(E244,'Landbrugsareal - resultat'!$F$5:$H$5,0)))),SUMPRODUCT((B244='Landbrugsareal - resultat'!$B$33:$B$46)*(INDEX('Landbrugsareal - resultat'!$I$33:$K$46,,MATCH(E244,'Landbrugsareal - resultat'!$I$5:$K$5,0)))))),IF(C244=2019,SUMPRODUCT((B244='Landbrugsareal - resultat'!$B$33:$B$46)*(INDEX('Landbrugsareal - resultat'!$L$33:$N$46,,MATCH(E244,'Landbrugsareal - resultat'!$L$5:$N$5,0)))),IF(C244=2030,SUMPRODUCT((B244='Landbrugsareal - resultat'!$B$33:$B$46)*(INDEX('Landbrugsareal - resultat'!$O$33:$Q$46,,MATCH(E244,'Landbrugsareal - resultat'!$O$5:$Q$5,0)))),SUMPRODUCT((B244='Landbrugsareal - resultat'!$B$33:$B$46)*(INDEX('Landbrugsareal - resultat'!$R$33:$T$46,,MATCH(E244,'Landbrugsareal - resultat'!$R$5:$T$5,0))))))))</f>
        <v>4.0813429719330845</v>
      </c>
      <c r="H244" s="168">
        <f>G244*VLOOKUP(B244,[1]Afgrødedata!$A$5:$F$18,2,FALSE)*IF(D244="Økologisk",VLOOKUP(B244,[1]Afgrødedata!$A$5:$F$18,4,FALSE),1)*IF(E244&lt;&gt;Jordbund1,IF(E244=Organ6,VLOOKUP(B244,[1]Afgrødedata!$A$5:$F$18,5,FALSE),VLOOKUP(B244,[1]Afgrødedata!$A$5:$F$18,6,FALSE)),1)*0.1</f>
        <v>67.580917600753978</v>
      </c>
      <c r="I244" s="168">
        <f>G244*VLOOKUP(B244,[1]Afgrødedata!$A$5:$F$18,3,FALSE)*IF(D244="Økologisk",VLOOKUP(B244,[1]Afgrødedata!$A$5:$F$18,4,FALSE),1)*IF(E244&lt;&gt;Jordbund1,IF(E244=Organ6,VLOOKUP(B244,[1]Afgrødedata!$A$5:$F$18,5,FALSE),VLOOKUP(B244,[1]Afgrødedata!$A$5:$F$18,6,FALSE)),1)*HLOOKUP(C244,Landbrug!$C$15:$E$17,2,FALSE)*HLOOKUP(C244,Landbrug!$C$15:$E$17,3,FALSE)*0.1</f>
        <v>0</v>
      </c>
      <c r="J244" s="76">
        <f t="shared" si="42"/>
        <v>67.580917600753978</v>
      </c>
    </row>
    <row r="245" spans="1:10" x14ac:dyDescent="0.25">
      <c r="A245" t="s">
        <v>23</v>
      </c>
      <c r="B245" s="1" t="str">
        <f>[1]Afgrødefordeling!$C$7</f>
        <v>Kartofler</v>
      </c>
      <c r="C245">
        <v>2050</v>
      </c>
      <c r="D245" t="s">
        <v>8</v>
      </c>
      <c r="E245" s="168" t="str">
        <f t="shared" si="47"/>
        <v>OC12</v>
      </c>
      <c r="F245" t="str">
        <f t="shared" si="41"/>
        <v>Kartofler</v>
      </c>
      <c r="G245" s="76" cm="1">
        <f t="array" ref="G245">IF(A245="Vestdanmark",IF(D245="Konventionel",IF(C245=2019,SUMPRODUCT((B245='Landbrugsareal - resultat'!$B$6:$B$19)*(INDEX('Landbrugsareal - resultat'!$C$6:$E$19,,MATCH(E245,'Landbrugsareal - resultat'!$C$5:$E$5,0)))),IF(C245=2030,SUMPRODUCT((B245='Landbrugsareal - resultat'!$B$6:$B$19)*(INDEX('Landbrugsareal - resultat'!$F$6:$H$19,,MATCH(E245,'Landbrugsareal - resultat'!$F$5:$H$5,0)))),SUMPRODUCT((B245='Landbrugsareal - resultat'!$B$6:$B$19)*(INDEX('Landbrugsareal - resultat'!$I$6:$K$19,,MATCH(E245,'Landbrugsareal - resultat'!$I$5:$K$5,0)))))),IF(C245=2019,SUMPRODUCT((B245='Landbrugsareal - resultat'!$B$6:$B$19)*(INDEX('Landbrugsareal - resultat'!$L$6:$N$19,,MATCH(E245,'Landbrugsareal - resultat'!$L$5:$N$5,0)))),IF(C245=2030,SUMPRODUCT((B245='Landbrugsareal - resultat'!$B$6:$B$19)*(INDEX('Landbrugsareal - resultat'!$O$6:$Q$19,,MATCH(E245,'Landbrugsareal - resultat'!$O$5:$Q$5,0)))),SUMPRODUCT((B245='Landbrugsareal - resultat'!$B$6:$B$19)*(INDEX('Landbrugsareal - resultat'!$R$6:$T$19,,MATCH(E245,'Landbrugsareal - resultat'!$R$5:$T$5,0))))))),IF(D245="Konventionel",IF(C245=2019,SUMPRODUCT((B245='Landbrugsareal - resultat'!$B$33:$B$46)*(INDEX('Landbrugsareal - resultat'!$C$33:$E$46,,MATCH(E245,'Landbrugsareal - resultat'!$C$5:$E$5,0)))),IF(C245=2030,SUMPRODUCT((B245='Landbrugsareal - resultat'!$B$33:$B$46)*(INDEX('Landbrugsareal - resultat'!$F$33:$H$46,,MATCH(E245,'Landbrugsareal - resultat'!$F$5:$H$5,0)))),SUMPRODUCT((B245='Landbrugsareal - resultat'!$B$33:$B$46)*(INDEX('Landbrugsareal - resultat'!$I$33:$K$46,,MATCH(E245,'Landbrugsareal - resultat'!$I$5:$K$5,0)))))),IF(C245=2019,SUMPRODUCT((B245='Landbrugsareal - resultat'!$B$33:$B$46)*(INDEX('Landbrugsareal - resultat'!$L$33:$N$46,,MATCH(E245,'Landbrugsareal - resultat'!$L$5:$N$5,0)))),IF(C245=2030,SUMPRODUCT((B245='Landbrugsareal - resultat'!$B$33:$B$46)*(INDEX('Landbrugsareal - resultat'!$O$33:$Q$46,,MATCH(E245,'Landbrugsareal - resultat'!$O$5:$Q$5,0)))),SUMPRODUCT((B245='Landbrugsareal - resultat'!$B$33:$B$46)*(INDEX('Landbrugsareal - resultat'!$R$33:$T$46,,MATCH(E245,'Landbrugsareal - resultat'!$R$5:$T$5,0))))))))</f>
        <v>216.02668033486168</v>
      </c>
      <c r="H245" s="168">
        <f>G245*VLOOKUP(B245,[1]Afgrødedata!$A$5:$F$18,2,FALSE)*IF(D245="Økologisk",VLOOKUP(B245,[1]Afgrødedata!$A$5:$F$18,4,FALSE),1)*IF(E245&lt;&gt;Jordbund1,IF(E245=Organ6,VLOOKUP(B245,[1]Afgrødedata!$A$5:$F$18,5,FALSE),VLOOKUP(B245,[1]Afgrødedata!$A$5:$F$18,6,FALSE)),1)*0.1</f>
        <v>7321.5282439801686</v>
      </c>
      <c r="I245" s="168">
        <f>G245*VLOOKUP(B245,[1]Afgrødedata!$A$5:$F$18,3,FALSE)*IF(D245="Økologisk",VLOOKUP(B245,[1]Afgrødedata!$A$5:$F$18,4,FALSE),1)*IF(E245&lt;&gt;Jordbund1,IF(E245=Organ6,VLOOKUP(B245,[1]Afgrødedata!$A$5:$F$18,5,FALSE),VLOOKUP(B245,[1]Afgrødedata!$A$5:$F$18,6,FALSE)),1)*HLOOKUP(C245,Landbrug!$C$15:$E$17,2,FALSE)*HLOOKUP(C245,Landbrug!$C$15:$E$17,3,FALSE)*0.1</f>
        <v>0</v>
      </c>
      <c r="J245" s="76">
        <f t="shared" si="42"/>
        <v>7321.5282439801686</v>
      </c>
    </row>
    <row r="246" spans="1:10" x14ac:dyDescent="0.25">
      <c r="A246" t="s">
        <v>23</v>
      </c>
      <c r="B246" s="1" t="str">
        <f>[1]Afgrødefordeling!$C$8</f>
        <v>Roer</v>
      </c>
      <c r="C246">
        <v>2050</v>
      </c>
      <c r="D246" t="s">
        <v>8</v>
      </c>
      <c r="E246" s="168" t="str">
        <f t="shared" si="47"/>
        <v>OC12</v>
      </c>
      <c r="F246" t="str">
        <f t="shared" si="41"/>
        <v>Roer</v>
      </c>
      <c r="G246" s="76" cm="1">
        <f t="array" ref="G246">IF(A246="Vestdanmark",IF(D246="Konventionel",IF(C246=2019,SUMPRODUCT((B246='Landbrugsareal - resultat'!$B$6:$B$19)*(INDEX('Landbrugsareal - resultat'!$C$6:$E$19,,MATCH(E246,'Landbrugsareal - resultat'!$C$5:$E$5,0)))),IF(C246=2030,SUMPRODUCT((B246='Landbrugsareal - resultat'!$B$6:$B$19)*(INDEX('Landbrugsareal - resultat'!$F$6:$H$19,,MATCH(E246,'Landbrugsareal - resultat'!$F$5:$H$5,0)))),SUMPRODUCT((B246='Landbrugsareal - resultat'!$B$6:$B$19)*(INDEX('Landbrugsareal - resultat'!$I$6:$K$19,,MATCH(E246,'Landbrugsareal - resultat'!$I$5:$K$5,0)))))),IF(C246=2019,SUMPRODUCT((B246='Landbrugsareal - resultat'!$B$6:$B$19)*(INDEX('Landbrugsareal - resultat'!$L$6:$N$19,,MATCH(E246,'Landbrugsareal - resultat'!$L$5:$N$5,0)))),IF(C246=2030,SUMPRODUCT((B246='Landbrugsareal - resultat'!$B$6:$B$19)*(INDEX('Landbrugsareal - resultat'!$O$6:$Q$19,,MATCH(E246,'Landbrugsareal - resultat'!$O$5:$Q$5,0)))),SUMPRODUCT((B246='Landbrugsareal - resultat'!$B$6:$B$19)*(INDEX('Landbrugsareal - resultat'!$R$6:$T$19,,MATCH(E246,'Landbrugsareal - resultat'!$R$5:$T$5,0))))))),IF(D246="Konventionel",IF(C246=2019,SUMPRODUCT((B246='Landbrugsareal - resultat'!$B$33:$B$46)*(INDEX('Landbrugsareal - resultat'!$C$33:$E$46,,MATCH(E246,'Landbrugsareal - resultat'!$C$5:$E$5,0)))),IF(C246=2030,SUMPRODUCT((B246='Landbrugsareal - resultat'!$B$33:$B$46)*(INDEX('Landbrugsareal - resultat'!$F$33:$H$46,,MATCH(E246,'Landbrugsareal - resultat'!$F$5:$H$5,0)))),SUMPRODUCT((B246='Landbrugsareal - resultat'!$B$33:$B$46)*(INDEX('Landbrugsareal - resultat'!$I$33:$K$46,,MATCH(E246,'Landbrugsareal - resultat'!$I$5:$K$5,0)))))),IF(C246=2019,SUMPRODUCT((B246='Landbrugsareal - resultat'!$B$33:$B$46)*(INDEX('Landbrugsareal - resultat'!$L$33:$N$46,,MATCH(E246,'Landbrugsareal - resultat'!$L$5:$N$5,0)))),IF(C246=2030,SUMPRODUCT((B246='Landbrugsareal - resultat'!$B$33:$B$46)*(INDEX('Landbrugsareal - resultat'!$O$33:$Q$46,,MATCH(E246,'Landbrugsareal - resultat'!$O$5:$Q$5,0)))),SUMPRODUCT((B246='Landbrugsareal - resultat'!$B$33:$B$46)*(INDEX('Landbrugsareal - resultat'!$R$33:$T$46,,MATCH(E246,'Landbrugsareal - resultat'!$R$5:$T$5,0))))))))</f>
        <v>2.336126064757059</v>
      </c>
      <c r="H246" s="168">
        <f>G246*VLOOKUP(B246,[1]Afgrødedata!$A$5:$F$18,2,FALSE)*IF(D246="Økologisk",VLOOKUP(B246,[1]Afgrødedata!$A$5:$F$18,4,FALSE),1)*IF(E246&lt;&gt;Jordbund1,IF(E246=Organ6,VLOOKUP(B246,[1]Afgrødedata!$A$5:$F$18,5,FALSE),VLOOKUP(B246,[1]Afgrødedata!$A$5:$F$18,6,FALSE)),1)*0.1</f>
        <v>151.47552980055022</v>
      </c>
      <c r="I246" s="168">
        <f>G246*VLOOKUP(B246,[1]Afgrødedata!$A$5:$F$18,3,FALSE)*IF(D246="Økologisk",VLOOKUP(B246,[1]Afgrødedata!$A$5:$F$18,4,FALSE),1)*IF(E246&lt;&gt;Jordbund1,IF(E246=Organ6,VLOOKUP(B246,[1]Afgrødedata!$A$5:$F$18,5,FALSE),VLOOKUP(B246,[1]Afgrødedata!$A$5:$F$18,6,FALSE)),1)*HLOOKUP(C246,Landbrug!$C$15:$E$17,2,FALSE)*HLOOKUP(C246,Landbrug!$C$15:$E$17,3,FALSE)*0.1</f>
        <v>0</v>
      </c>
      <c r="J246" s="76">
        <f t="shared" si="42"/>
        <v>151.47552980055022</v>
      </c>
    </row>
    <row r="247" spans="1:10" x14ac:dyDescent="0.25">
      <c r="A247" t="s">
        <v>23</v>
      </c>
      <c r="B247" s="1" t="str">
        <f>[1]Afgrødefordeling!$C$9</f>
        <v>Majs</v>
      </c>
      <c r="C247">
        <v>2050</v>
      </c>
      <c r="D247" t="s">
        <v>8</v>
      </c>
      <c r="E247" s="168" t="str">
        <f t="shared" si="47"/>
        <v>OC12</v>
      </c>
      <c r="F247" t="str">
        <f t="shared" si="41"/>
        <v>Majs</v>
      </c>
      <c r="G247" s="76" cm="1">
        <f t="array" ref="G247">IF(A247="Vestdanmark",IF(D247="Konventionel",IF(C247=2019,SUMPRODUCT((B247='Landbrugsareal - resultat'!$B$6:$B$19)*(INDEX('Landbrugsareal - resultat'!$C$6:$E$19,,MATCH(E247,'Landbrugsareal - resultat'!$C$5:$E$5,0)))),IF(C247=2030,SUMPRODUCT((B247='Landbrugsareal - resultat'!$B$6:$B$19)*(INDEX('Landbrugsareal - resultat'!$F$6:$H$19,,MATCH(E247,'Landbrugsareal - resultat'!$F$5:$H$5,0)))),SUMPRODUCT((B247='Landbrugsareal - resultat'!$B$6:$B$19)*(INDEX('Landbrugsareal - resultat'!$I$6:$K$19,,MATCH(E247,'Landbrugsareal - resultat'!$I$5:$K$5,0)))))),IF(C247=2019,SUMPRODUCT((B247='Landbrugsareal - resultat'!$B$6:$B$19)*(INDEX('Landbrugsareal - resultat'!$L$6:$N$19,,MATCH(E247,'Landbrugsareal - resultat'!$L$5:$N$5,0)))),IF(C247=2030,SUMPRODUCT((B247='Landbrugsareal - resultat'!$B$6:$B$19)*(INDEX('Landbrugsareal - resultat'!$O$6:$Q$19,,MATCH(E247,'Landbrugsareal - resultat'!$O$5:$Q$5,0)))),SUMPRODUCT((B247='Landbrugsareal - resultat'!$B$6:$B$19)*(INDEX('Landbrugsareal - resultat'!$R$6:$T$19,,MATCH(E247,'Landbrugsareal - resultat'!$R$5:$T$5,0))))))),IF(D247="Konventionel",IF(C247=2019,SUMPRODUCT((B247='Landbrugsareal - resultat'!$B$33:$B$46)*(INDEX('Landbrugsareal - resultat'!$C$33:$E$46,,MATCH(E247,'Landbrugsareal - resultat'!$C$5:$E$5,0)))),IF(C247=2030,SUMPRODUCT((B247='Landbrugsareal - resultat'!$B$33:$B$46)*(INDEX('Landbrugsareal - resultat'!$F$33:$H$46,,MATCH(E247,'Landbrugsareal - resultat'!$F$5:$H$5,0)))),SUMPRODUCT((B247='Landbrugsareal - resultat'!$B$33:$B$46)*(INDEX('Landbrugsareal - resultat'!$I$33:$K$46,,MATCH(E247,'Landbrugsareal - resultat'!$I$5:$K$5,0)))))),IF(C247=2019,SUMPRODUCT((B247='Landbrugsareal - resultat'!$B$33:$B$46)*(INDEX('Landbrugsareal - resultat'!$L$33:$N$46,,MATCH(E247,'Landbrugsareal - resultat'!$L$5:$N$5,0)))),IF(C247=2030,SUMPRODUCT((B247='Landbrugsareal - resultat'!$B$33:$B$46)*(INDEX('Landbrugsareal - resultat'!$O$33:$Q$46,,MATCH(E247,'Landbrugsareal - resultat'!$O$5:$Q$5,0)))),SUMPRODUCT((B247='Landbrugsareal - resultat'!$B$33:$B$46)*(INDEX('Landbrugsareal - resultat'!$R$33:$T$46,,MATCH(E247,'Landbrugsareal - resultat'!$R$5:$T$5,0))))))))</f>
        <v>290.52014586061432</v>
      </c>
      <c r="H247" s="168">
        <f>G247*VLOOKUP(B247,[1]Afgrødedata!$A$5:$F$18,2,FALSE)*IF(D247="Økologisk",VLOOKUP(B247,[1]Afgrødedata!$A$5:$F$18,4,FALSE),1)*IF(E247&lt;&gt;Jordbund1,IF(E247=Organ6,VLOOKUP(B247,[1]Afgrødedata!$A$5:$F$18,5,FALSE),VLOOKUP(B247,[1]Afgrødedata!$A$5:$F$18,6,FALSE)),1)*0.1</f>
        <v>15025.882066401406</v>
      </c>
      <c r="I247" s="168">
        <f>G247*VLOOKUP(B247,[1]Afgrødedata!$A$5:$F$18,3,FALSE)*IF(D247="Økologisk",VLOOKUP(B247,[1]Afgrødedata!$A$5:$F$18,4,FALSE),1)*IF(E247&lt;&gt;Jordbund1,IF(E247=Organ6,VLOOKUP(B247,[1]Afgrødedata!$A$5:$F$18,5,FALSE),VLOOKUP(B247,[1]Afgrødedata!$A$5:$F$18,6,FALSE)),1)*HLOOKUP(C247,Landbrug!$C$15:$E$17,2,FALSE)*HLOOKUP(C247,Landbrug!$C$15:$E$17,3,FALSE)*0.1</f>
        <v>0</v>
      </c>
      <c r="J247" s="76">
        <f t="shared" si="42"/>
        <v>15025.882066401406</v>
      </c>
    </row>
    <row r="248" spans="1:10" x14ac:dyDescent="0.25">
      <c r="A248" t="s">
        <v>23</v>
      </c>
      <c r="B248" s="1" t="str">
        <f>[1]Afgrødefordeling!$C$10</f>
        <v>Frugt</v>
      </c>
      <c r="C248">
        <v>2050</v>
      </c>
      <c r="D248" t="s">
        <v>8</v>
      </c>
      <c r="E248" s="168" t="str">
        <f t="shared" si="47"/>
        <v>OC12</v>
      </c>
      <c r="F248" t="str">
        <f t="shared" si="41"/>
        <v>Frugt</v>
      </c>
      <c r="G248" s="76" cm="1">
        <f t="array" ref="G248">IF(A248="Vestdanmark",IF(D248="Konventionel",IF(C248=2019,SUMPRODUCT((B248='Landbrugsareal - resultat'!$B$6:$B$19)*(INDEX('Landbrugsareal - resultat'!$C$6:$E$19,,MATCH(E248,'Landbrugsareal - resultat'!$C$5:$E$5,0)))),IF(C248=2030,SUMPRODUCT((B248='Landbrugsareal - resultat'!$B$6:$B$19)*(INDEX('Landbrugsareal - resultat'!$F$6:$H$19,,MATCH(E248,'Landbrugsareal - resultat'!$F$5:$H$5,0)))),SUMPRODUCT((B248='Landbrugsareal - resultat'!$B$6:$B$19)*(INDEX('Landbrugsareal - resultat'!$I$6:$K$19,,MATCH(E248,'Landbrugsareal - resultat'!$I$5:$K$5,0)))))),IF(C248=2019,SUMPRODUCT((B248='Landbrugsareal - resultat'!$B$6:$B$19)*(INDEX('Landbrugsareal - resultat'!$L$6:$N$19,,MATCH(E248,'Landbrugsareal - resultat'!$L$5:$N$5,0)))),IF(C248=2030,SUMPRODUCT((B248='Landbrugsareal - resultat'!$B$6:$B$19)*(INDEX('Landbrugsareal - resultat'!$O$6:$Q$19,,MATCH(E248,'Landbrugsareal - resultat'!$O$5:$Q$5,0)))),SUMPRODUCT((B248='Landbrugsareal - resultat'!$B$6:$B$19)*(INDEX('Landbrugsareal - resultat'!$R$6:$T$19,,MATCH(E248,'Landbrugsareal - resultat'!$R$5:$T$5,0))))))),IF(D248="Konventionel",IF(C248=2019,SUMPRODUCT((B248='Landbrugsareal - resultat'!$B$33:$B$46)*(INDEX('Landbrugsareal - resultat'!$C$33:$E$46,,MATCH(E248,'Landbrugsareal - resultat'!$C$5:$E$5,0)))),IF(C248=2030,SUMPRODUCT((B248='Landbrugsareal - resultat'!$B$33:$B$46)*(INDEX('Landbrugsareal - resultat'!$F$33:$H$46,,MATCH(E248,'Landbrugsareal - resultat'!$F$5:$H$5,0)))),SUMPRODUCT((B248='Landbrugsareal - resultat'!$B$33:$B$46)*(INDEX('Landbrugsareal - resultat'!$I$33:$K$46,,MATCH(E248,'Landbrugsareal - resultat'!$I$5:$K$5,0)))))),IF(C248=2019,SUMPRODUCT((B248='Landbrugsareal - resultat'!$B$33:$B$46)*(INDEX('Landbrugsareal - resultat'!$L$33:$N$46,,MATCH(E248,'Landbrugsareal - resultat'!$L$5:$N$5,0)))),IF(C248=2030,SUMPRODUCT((B248='Landbrugsareal - resultat'!$B$33:$B$46)*(INDEX('Landbrugsareal - resultat'!$O$33:$Q$46,,MATCH(E248,'Landbrugsareal - resultat'!$O$5:$Q$5,0)))),SUMPRODUCT((B248='Landbrugsareal - resultat'!$B$33:$B$46)*(INDEX('Landbrugsareal - resultat'!$R$33:$T$46,,MATCH(E248,'Landbrugsareal - resultat'!$R$5:$T$5,0))))))))</f>
        <v>8.325424547796052</v>
      </c>
      <c r="H248" s="168">
        <f>G248*VLOOKUP(B248,[1]Afgrødedata!$A$5:$F$18,2,FALSE)*IF(D248="Økologisk",VLOOKUP(B248,[1]Afgrødedata!$A$5:$F$18,4,FALSE),1)*IF(E248&lt;&gt;Jordbund1,IF(E248=Organ6,VLOOKUP(B248,[1]Afgrødedata!$A$5:$F$18,5,FALSE),VLOOKUP(B248,[1]Afgrødedata!$A$5:$F$18,6,FALSE)),1)*0.1</f>
        <v>56.404917819809206</v>
      </c>
      <c r="I248" s="168">
        <f>G248*VLOOKUP(B248,[1]Afgrødedata!$A$5:$F$18,3,FALSE)*IF(D248="Økologisk",VLOOKUP(B248,[1]Afgrødedata!$A$5:$F$18,4,FALSE),1)*IF(E248&lt;&gt;Jordbund1,IF(E248=Organ6,VLOOKUP(B248,[1]Afgrødedata!$A$5:$F$18,5,FALSE),VLOOKUP(B248,[1]Afgrødedata!$A$5:$F$18,6,FALSE)),1)*HLOOKUP(C248,Landbrug!$C$15:$E$17,2,FALSE)*HLOOKUP(C248,Landbrug!$C$15:$E$17,3,FALSE)*0.1</f>
        <v>0</v>
      </c>
      <c r="J248" s="76">
        <f t="shared" si="42"/>
        <v>56.404917819809206</v>
      </c>
    </row>
    <row r="249" spans="1:10" x14ac:dyDescent="0.25">
      <c r="A249" t="s">
        <v>23</v>
      </c>
      <c r="B249" s="1" t="str">
        <f>[1]Afgrødefordeling!$C$11</f>
        <v>Øvrige</v>
      </c>
      <c r="C249">
        <v>2050</v>
      </c>
      <c r="D249" t="s">
        <v>8</v>
      </c>
      <c r="E249" s="168" t="str">
        <f t="shared" si="47"/>
        <v>OC12</v>
      </c>
      <c r="F249" t="str">
        <f t="shared" si="41"/>
        <v>Øvrige</v>
      </c>
      <c r="G249" s="76" cm="1">
        <f t="array" ref="G249">IF(A249="Vestdanmark",IF(D249="Konventionel",IF(C249=2019,SUMPRODUCT((B249='Landbrugsareal - resultat'!$B$6:$B$19)*(INDEX('Landbrugsareal - resultat'!$C$6:$E$19,,MATCH(E249,'Landbrugsareal - resultat'!$C$5:$E$5,0)))),IF(C249=2030,SUMPRODUCT((B249='Landbrugsareal - resultat'!$B$6:$B$19)*(INDEX('Landbrugsareal - resultat'!$F$6:$H$19,,MATCH(E249,'Landbrugsareal - resultat'!$F$5:$H$5,0)))),SUMPRODUCT((B249='Landbrugsareal - resultat'!$B$6:$B$19)*(INDEX('Landbrugsareal - resultat'!$I$6:$K$19,,MATCH(E249,'Landbrugsareal - resultat'!$I$5:$K$5,0)))))),IF(C249=2019,SUMPRODUCT((B249='Landbrugsareal - resultat'!$B$6:$B$19)*(INDEX('Landbrugsareal - resultat'!$L$6:$N$19,,MATCH(E249,'Landbrugsareal - resultat'!$L$5:$N$5,0)))),IF(C249=2030,SUMPRODUCT((B249='Landbrugsareal - resultat'!$B$6:$B$19)*(INDEX('Landbrugsareal - resultat'!$O$6:$Q$19,,MATCH(E249,'Landbrugsareal - resultat'!$O$5:$Q$5,0)))),SUMPRODUCT((B249='Landbrugsareal - resultat'!$B$6:$B$19)*(INDEX('Landbrugsareal - resultat'!$R$6:$T$19,,MATCH(E249,'Landbrugsareal - resultat'!$R$5:$T$5,0))))))),IF(D249="Konventionel",IF(C249=2019,SUMPRODUCT((B249='Landbrugsareal - resultat'!$B$33:$B$46)*(INDEX('Landbrugsareal - resultat'!$C$33:$E$46,,MATCH(E249,'Landbrugsareal - resultat'!$C$5:$E$5,0)))),IF(C249=2030,SUMPRODUCT((B249='Landbrugsareal - resultat'!$B$33:$B$46)*(INDEX('Landbrugsareal - resultat'!$F$33:$H$46,,MATCH(E249,'Landbrugsareal - resultat'!$F$5:$H$5,0)))),SUMPRODUCT((B249='Landbrugsareal - resultat'!$B$33:$B$46)*(INDEX('Landbrugsareal - resultat'!$I$33:$K$46,,MATCH(E249,'Landbrugsareal - resultat'!$I$5:$K$5,0)))))),IF(C249=2019,SUMPRODUCT((B249='Landbrugsareal - resultat'!$B$33:$B$46)*(INDEX('Landbrugsareal - resultat'!$L$33:$N$46,,MATCH(E249,'Landbrugsareal - resultat'!$L$5:$N$5,0)))),IF(C249=2030,SUMPRODUCT((B249='Landbrugsareal - resultat'!$B$33:$B$46)*(INDEX('Landbrugsareal - resultat'!$O$33:$Q$46,,MATCH(E249,'Landbrugsareal - resultat'!$O$5:$Q$5,0)))),SUMPRODUCT((B249='Landbrugsareal - resultat'!$B$33:$B$46)*(INDEX('Landbrugsareal - resultat'!$R$33:$T$46,,MATCH(E249,'Landbrugsareal - resultat'!$R$5:$T$5,0))))))))</f>
        <v>147.2426376121339</v>
      </c>
      <c r="H249" s="168">
        <f>G249*VLOOKUP(B249,[1]Afgrødedata!$A$5:$F$18,2,FALSE)*IF(D249="Økologisk",VLOOKUP(B249,[1]Afgrødedata!$A$5:$F$18,4,FALSE),1)*IF(E249&lt;&gt;Jordbund1,IF(E249=Organ6,VLOOKUP(B249,[1]Afgrødedata!$A$5:$F$18,5,FALSE),VLOOKUP(B249,[1]Afgrødedata!$A$5:$F$18,6,FALSE)),1)*0.1</f>
        <v>3501.012183205416</v>
      </c>
      <c r="I249" s="168">
        <f>G249*VLOOKUP(B249,[1]Afgrødedata!$A$5:$F$18,3,FALSE)*IF(D249="Økologisk",VLOOKUP(B249,[1]Afgrødedata!$A$5:$F$18,4,FALSE),1)*IF(E249&lt;&gt;Jordbund1,IF(E249=Organ6,VLOOKUP(B249,[1]Afgrødedata!$A$5:$F$18,5,FALSE),VLOOKUP(B249,[1]Afgrødedata!$A$5:$F$18,6,FALSE)),1)*HLOOKUP(C249,Landbrug!$C$15:$E$17,2,FALSE)*HLOOKUP(C249,Landbrug!$C$15:$E$17,3,FALSE)*0.1</f>
        <v>0</v>
      </c>
      <c r="J249" s="76">
        <f t="shared" si="42"/>
        <v>3501.012183205416</v>
      </c>
    </row>
    <row r="250" spans="1:10" x14ac:dyDescent="0.25">
      <c r="A250" t="s">
        <v>23</v>
      </c>
      <c r="B250" s="1" t="str">
        <f>[1]Afgrødefordeling!$C$12</f>
        <v>Frø</v>
      </c>
      <c r="C250">
        <v>2050</v>
      </c>
      <c r="D250" t="s">
        <v>8</v>
      </c>
      <c r="E250" s="168" t="str">
        <f t="shared" si="47"/>
        <v>OC12</v>
      </c>
      <c r="F250" t="str">
        <f t="shared" si="41"/>
        <v>Halm</v>
      </c>
      <c r="G250" s="76" cm="1">
        <f t="array" ref="G250">IF(A250="Vestdanmark",IF(D250="Konventionel",IF(C250=2019,SUMPRODUCT((B250='Landbrugsareal - resultat'!$B$6:$B$19)*(INDEX('Landbrugsareal - resultat'!$C$6:$E$19,,MATCH(E250,'Landbrugsareal - resultat'!$C$5:$E$5,0)))),IF(C250=2030,SUMPRODUCT((B250='Landbrugsareal - resultat'!$B$6:$B$19)*(INDEX('Landbrugsareal - resultat'!$F$6:$H$19,,MATCH(E250,'Landbrugsareal - resultat'!$F$5:$H$5,0)))),SUMPRODUCT((B250='Landbrugsareal - resultat'!$B$6:$B$19)*(INDEX('Landbrugsareal - resultat'!$I$6:$K$19,,MATCH(E250,'Landbrugsareal - resultat'!$I$5:$K$5,0)))))),IF(C250=2019,SUMPRODUCT((B250='Landbrugsareal - resultat'!$B$6:$B$19)*(INDEX('Landbrugsareal - resultat'!$L$6:$N$19,,MATCH(E250,'Landbrugsareal - resultat'!$L$5:$N$5,0)))),IF(C250=2030,SUMPRODUCT((B250='Landbrugsareal - resultat'!$B$6:$B$19)*(INDEX('Landbrugsareal - resultat'!$O$6:$Q$19,,MATCH(E250,'Landbrugsareal - resultat'!$O$5:$Q$5,0)))),SUMPRODUCT((B250='Landbrugsareal - resultat'!$B$6:$B$19)*(INDEX('Landbrugsareal - resultat'!$R$6:$T$19,,MATCH(E250,'Landbrugsareal - resultat'!$R$5:$T$5,0))))))),IF(D250="Konventionel",IF(C250=2019,SUMPRODUCT((B250='Landbrugsareal - resultat'!$B$33:$B$46)*(INDEX('Landbrugsareal - resultat'!$C$33:$E$46,,MATCH(E250,'Landbrugsareal - resultat'!$C$5:$E$5,0)))),IF(C250=2030,SUMPRODUCT((B250='Landbrugsareal - resultat'!$B$33:$B$46)*(INDEX('Landbrugsareal - resultat'!$F$33:$H$46,,MATCH(E250,'Landbrugsareal - resultat'!$F$5:$H$5,0)))),SUMPRODUCT((B250='Landbrugsareal - resultat'!$B$33:$B$46)*(INDEX('Landbrugsareal - resultat'!$I$33:$K$46,,MATCH(E250,'Landbrugsareal - resultat'!$I$5:$K$5,0)))))),IF(C250=2019,SUMPRODUCT((B250='Landbrugsareal - resultat'!$B$33:$B$46)*(INDEX('Landbrugsareal - resultat'!$L$33:$N$46,,MATCH(E250,'Landbrugsareal - resultat'!$L$5:$N$5,0)))),IF(C250=2030,SUMPRODUCT((B250='Landbrugsareal - resultat'!$B$33:$B$46)*(INDEX('Landbrugsareal - resultat'!$O$33:$Q$46,,MATCH(E250,'Landbrugsareal - resultat'!$O$5:$Q$5,0)))),SUMPRODUCT((B250='Landbrugsareal - resultat'!$B$33:$B$46)*(INDEX('Landbrugsareal - resultat'!$R$33:$T$46,,MATCH(E250,'Landbrugsareal - resultat'!$R$5:$T$5,0))))))))</f>
        <v>468.47684432162538</v>
      </c>
      <c r="H250" s="168">
        <f>G250*VLOOKUP(B250,[1]Afgrødedata!$A$5:$F$18,2,FALSE)*IF(D250="Økologisk",VLOOKUP(B250,[1]Afgrødedata!$A$5:$F$18,4,FALSE),1)*IF(E250&lt;&gt;Jordbund1,IF(E250=Organ6,VLOOKUP(B250,[1]Afgrødedata!$A$5:$F$18,5,FALSE),VLOOKUP(B250,[1]Afgrødedata!$A$5:$F$18,6,FALSE)),1)*0.1</f>
        <v>5341.8123172518408</v>
      </c>
      <c r="I250" s="168">
        <f>G250*VLOOKUP(B250,[1]Afgrødedata!$A$5:$F$18,3,FALSE)*IF(D250="Økologisk",VLOOKUP(B250,[1]Afgrødedata!$A$5:$F$18,4,FALSE),1)*IF(E250&lt;&gt;Jordbund1,IF(E250=Organ6,VLOOKUP(B250,[1]Afgrødedata!$A$5:$F$18,5,FALSE),VLOOKUP(B250,[1]Afgrødedata!$A$5:$F$18,6,FALSE)),1)*HLOOKUP(C250,Landbrug!$C$15:$E$17,2,FALSE)*HLOOKUP(C250,Landbrug!$C$15:$E$17,3,FALSE)*0.1</f>
        <v>882.27307137403068</v>
      </c>
      <c r="J250" s="76">
        <f t="shared" si="42"/>
        <v>882.27307137403068</v>
      </c>
    </row>
    <row r="251" spans="1:10" x14ac:dyDescent="0.25">
      <c r="A251" t="s">
        <v>23</v>
      </c>
      <c r="B251" s="1" t="str">
        <f>[1]Afgrødefordeling!$C$13</f>
        <v>Juletræer</v>
      </c>
      <c r="C251">
        <v>2050</v>
      </c>
      <c r="D251" t="s">
        <v>8</v>
      </c>
      <c r="E251" s="168" t="str">
        <f t="shared" si="47"/>
        <v>OC12</v>
      </c>
      <c r="F251" t="str">
        <f t="shared" si="41"/>
        <v>Juletræer</v>
      </c>
      <c r="G251" s="76" cm="1">
        <f t="array" ref="G251">IF(A251="Vestdanmark",IF(D251="Konventionel",IF(C251=2019,SUMPRODUCT((B251='Landbrugsareal - resultat'!$B$6:$B$19)*(INDEX('Landbrugsareal - resultat'!$C$6:$E$19,,MATCH(E251,'Landbrugsareal - resultat'!$C$5:$E$5,0)))),IF(C251=2030,SUMPRODUCT((B251='Landbrugsareal - resultat'!$B$6:$B$19)*(INDEX('Landbrugsareal - resultat'!$F$6:$H$19,,MATCH(E251,'Landbrugsareal - resultat'!$F$5:$H$5,0)))),SUMPRODUCT((B251='Landbrugsareal - resultat'!$B$6:$B$19)*(INDEX('Landbrugsareal - resultat'!$I$6:$K$19,,MATCH(E251,'Landbrugsareal - resultat'!$I$5:$K$5,0)))))),IF(C251=2019,SUMPRODUCT((B251='Landbrugsareal - resultat'!$B$6:$B$19)*(INDEX('Landbrugsareal - resultat'!$L$6:$N$19,,MATCH(E251,'Landbrugsareal - resultat'!$L$5:$N$5,0)))),IF(C251=2030,SUMPRODUCT((B251='Landbrugsareal - resultat'!$B$6:$B$19)*(INDEX('Landbrugsareal - resultat'!$O$6:$Q$19,,MATCH(E251,'Landbrugsareal - resultat'!$O$5:$Q$5,0)))),SUMPRODUCT((B251='Landbrugsareal - resultat'!$B$6:$B$19)*(INDEX('Landbrugsareal - resultat'!$R$6:$T$19,,MATCH(E251,'Landbrugsareal - resultat'!$R$5:$T$5,0))))))),IF(D251="Konventionel",IF(C251=2019,SUMPRODUCT((B251='Landbrugsareal - resultat'!$B$33:$B$46)*(INDEX('Landbrugsareal - resultat'!$C$33:$E$46,,MATCH(E251,'Landbrugsareal - resultat'!$C$5:$E$5,0)))),IF(C251=2030,SUMPRODUCT((B251='Landbrugsareal - resultat'!$B$33:$B$46)*(INDEX('Landbrugsareal - resultat'!$F$33:$H$46,,MATCH(E251,'Landbrugsareal - resultat'!$F$5:$H$5,0)))),SUMPRODUCT((B251='Landbrugsareal - resultat'!$B$33:$B$46)*(INDEX('Landbrugsareal - resultat'!$I$33:$K$46,,MATCH(E251,'Landbrugsareal - resultat'!$I$5:$K$5,0)))))),IF(C251=2019,SUMPRODUCT((B251='Landbrugsareal - resultat'!$B$33:$B$46)*(INDEX('Landbrugsareal - resultat'!$L$33:$N$46,,MATCH(E251,'Landbrugsareal - resultat'!$L$5:$N$5,0)))),IF(C251=2030,SUMPRODUCT((B251='Landbrugsareal - resultat'!$B$33:$B$46)*(INDEX('Landbrugsareal - resultat'!$O$33:$Q$46,,MATCH(E251,'Landbrugsareal - resultat'!$O$5:$Q$5,0)))),SUMPRODUCT((B251='Landbrugsareal - resultat'!$B$33:$B$46)*(INDEX('Landbrugsareal - resultat'!$R$33:$T$46,,MATCH(E251,'Landbrugsareal - resultat'!$R$5:$T$5,0))))))))</f>
        <v>41.756533483246521</v>
      </c>
      <c r="H251" s="168">
        <f>G251*VLOOKUP(B251,[1]Afgrødedata!$A$5:$F$18,2,FALSE)*IF(D251="Økologisk",VLOOKUP(B251,[1]Afgrødedata!$A$5:$F$18,4,FALSE),1)*IF(E251&lt;&gt;Jordbund1,IF(E251=Organ6,VLOOKUP(B251,[1]Afgrødedata!$A$5:$F$18,5,FALSE),VLOOKUP(B251,[1]Afgrødedata!$A$5:$F$18,6,FALSE)),1)*0.1</f>
        <v>1666.0856859815358</v>
      </c>
      <c r="I251" s="168">
        <f>G251*VLOOKUP(B251,[1]Afgrødedata!$A$5:$F$18,3,FALSE)*IF(D251="Økologisk",VLOOKUP(B251,[1]Afgrødedata!$A$5:$F$18,4,FALSE),1)*IF(E251&lt;&gt;Jordbund1,IF(E251=Organ6,VLOOKUP(B251,[1]Afgrødedata!$A$5:$F$18,5,FALSE),VLOOKUP(B251,[1]Afgrødedata!$A$5:$F$18,6,FALSE)),1)*HLOOKUP(C251,Landbrug!$C$15:$E$17,2,FALSE)*HLOOKUP(C251,Landbrug!$C$15:$E$17,3,FALSE)*0.1</f>
        <v>0</v>
      </c>
      <c r="J251" s="76">
        <f t="shared" si="42"/>
        <v>1666.0856859815358</v>
      </c>
    </row>
    <row r="252" spans="1:10" x14ac:dyDescent="0.25">
      <c r="A252" t="s">
        <v>23</v>
      </c>
      <c r="B252" s="1" t="str">
        <f>[1]Afgrødefordeling!$C$14</f>
        <v>Pil &amp; poppel</v>
      </c>
      <c r="C252">
        <v>2050</v>
      </c>
      <c r="D252" t="s">
        <v>8</v>
      </c>
      <c r="E252" s="168" t="str">
        <f t="shared" si="47"/>
        <v>OC12</v>
      </c>
      <c r="F252" t="str">
        <f t="shared" ref="F252" si="50">IF(I252&lt;&gt;0,"Halm",IF(B252&lt;&gt;"Permanent græs",B252,"Græs"))</f>
        <v>Pil &amp; poppel</v>
      </c>
      <c r="G252" s="76" cm="1">
        <f t="array" ref="G252">IF(A252="Vestdanmark",IF(D252="Konventionel",IF(C252=2019,SUMPRODUCT((B252='Landbrugsareal - resultat'!$B$6:$B$19)*(INDEX('Landbrugsareal - resultat'!$C$6:$E$19,,MATCH(E252,'Landbrugsareal - resultat'!$C$5:$E$5,0)))),IF(C252=2030,SUMPRODUCT((B252='Landbrugsareal - resultat'!$B$6:$B$19)*(INDEX('Landbrugsareal - resultat'!$F$6:$H$19,,MATCH(E252,'Landbrugsareal - resultat'!$F$5:$H$5,0)))),SUMPRODUCT((B252='Landbrugsareal - resultat'!$B$6:$B$19)*(INDEX('Landbrugsareal - resultat'!$I$6:$K$19,,MATCH(E252,'Landbrugsareal - resultat'!$I$5:$K$5,0)))))),IF(C252=2019,SUMPRODUCT((B252='Landbrugsareal - resultat'!$B$6:$B$19)*(INDEX('Landbrugsareal - resultat'!$L$6:$N$19,,MATCH(E252,'Landbrugsareal - resultat'!$L$5:$N$5,0)))),IF(C252=2030,SUMPRODUCT((B252='Landbrugsareal - resultat'!$B$6:$B$19)*(INDEX('Landbrugsareal - resultat'!$O$6:$Q$19,,MATCH(E252,'Landbrugsareal - resultat'!$O$5:$Q$5,0)))),SUMPRODUCT((B252='Landbrugsareal - resultat'!$B$6:$B$19)*(INDEX('Landbrugsareal - resultat'!$R$6:$T$19,,MATCH(E252,'Landbrugsareal - resultat'!$R$5:$T$5,0))))))),IF(D252="Konventionel",IF(C252=2019,SUMPRODUCT((B252='Landbrugsareal - resultat'!$B$33:$B$46)*(INDEX('Landbrugsareal - resultat'!$C$33:$E$46,,MATCH(E252,'Landbrugsareal - resultat'!$C$5:$E$5,0)))),IF(C252=2030,SUMPRODUCT((B252='Landbrugsareal - resultat'!$B$33:$B$46)*(INDEX('Landbrugsareal - resultat'!$F$33:$H$46,,MATCH(E252,'Landbrugsareal - resultat'!$F$5:$H$5,0)))),SUMPRODUCT((B252='Landbrugsareal - resultat'!$B$33:$B$46)*(INDEX('Landbrugsareal - resultat'!$I$33:$K$46,,MATCH(E252,'Landbrugsareal - resultat'!$I$5:$K$5,0)))))),IF(C252=2019,SUMPRODUCT((B252='Landbrugsareal - resultat'!$B$33:$B$46)*(INDEX('Landbrugsareal - resultat'!$L$33:$N$46,,MATCH(E252,'Landbrugsareal - resultat'!$L$5:$N$5,0)))),IF(C252=2030,SUMPRODUCT((B252='Landbrugsareal - resultat'!$B$33:$B$46)*(INDEX('Landbrugsareal - resultat'!$O$33:$Q$46,,MATCH(E252,'Landbrugsareal - resultat'!$O$5:$Q$5,0)))),SUMPRODUCT((B252='Landbrugsareal - resultat'!$B$33:$B$46)*(INDEX('Landbrugsareal - resultat'!$R$33:$T$46,,MATCH(E252,'Landbrugsareal - resultat'!$R$5:$T$5,0))))))))</f>
        <v>98.567292987995089</v>
      </c>
      <c r="H252" s="168">
        <f>G252*VLOOKUP(B252,[1]Afgrødedata!$A$5:$F$18,2,FALSE)*IF(D252="Økologisk",VLOOKUP(B252,[1]Afgrødedata!$A$5:$F$18,4,FALSE),1)*IF(E252&lt;&gt;Jordbund1,IF(E252=Organ6,VLOOKUP(B252,[1]Afgrødedata!$A$5:$F$18,5,FALSE),VLOOKUP(B252,[1]Afgrødedata!$A$5:$F$18,6,FALSE)),1)*0.1</f>
        <v>1918.4560927907332</v>
      </c>
      <c r="I252" s="168">
        <f>G252*VLOOKUP(B252,[1]Afgrødedata!$A$5:$F$18,3,FALSE)*IF(D252="Økologisk",VLOOKUP(B252,[1]Afgrødedata!$A$5:$F$18,4,FALSE),1)*IF(E252&lt;&gt;Jordbund1,IF(E252=Organ6,VLOOKUP(B252,[1]Afgrødedata!$A$5:$F$18,5,FALSE),VLOOKUP(B252,[1]Afgrødedata!$A$5:$F$18,6,FALSE)),1)*HLOOKUP(C252,Landbrug!$C$15:$E$17,2,FALSE)*HLOOKUP(C252,Landbrug!$C$15:$E$17,3,FALSE)*0.1</f>
        <v>0</v>
      </c>
      <c r="J252" s="76">
        <f t="shared" ref="J252" si="51">IF(I252&lt;&gt;0,I252,H252)</f>
        <v>1918.4560927907332</v>
      </c>
    </row>
    <row r="253" spans="1:10" x14ac:dyDescent="0.25">
      <c r="A253" t="s">
        <v>23</v>
      </c>
      <c r="B253" s="1" t="str">
        <f>[1]Afgrødefordeling!$C$15</f>
        <v>Permanent græs</v>
      </c>
      <c r="C253">
        <v>2050</v>
      </c>
      <c r="D253" t="s">
        <v>8</v>
      </c>
      <c r="E253" s="168" t="str">
        <f t="shared" si="47"/>
        <v>OC12</v>
      </c>
      <c r="F253" t="str">
        <f t="shared" si="41"/>
        <v>Græs</v>
      </c>
      <c r="G253" s="76" cm="1">
        <f t="array" ref="G253">IF(A253="Vestdanmark",IF(D253="Konventionel",IF(C253=2019,SUMPRODUCT((B253='Landbrugsareal - resultat'!$B$6:$B$19)*(INDEX('Landbrugsareal - resultat'!$C$6:$E$19,,MATCH(E253,'Landbrugsareal - resultat'!$C$5:$E$5,0)))),IF(C253=2030,SUMPRODUCT((B253='Landbrugsareal - resultat'!$B$6:$B$19)*(INDEX('Landbrugsareal - resultat'!$F$6:$H$19,,MATCH(E253,'Landbrugsareal - resultat'!$F$5:$H$5,0)))),SUMPRODUCT((B253='Landbrugsareal - resultat'!$B$6:$B$19)*(INDEX('Landbrugsareal - resultat'!$I$6:$K$19,,MATCH(E253,'Landbrugsareal - resultat'!$I$5:$K$5,0)))))),IF(C253=2019,SUMPRODUCT((B253='Landbrugsareal - resultat'!$B$6:$B$19)*(INDEX('Landbrugsareal - resultat'!$L$6:$N$19,,MATCH(E253,'Landbrugsareal - resultat'!$L$5:$N$5,0)))),IF(C253=2030,SUMPRODUCT((B253='Landbrugsareal - resultat'!$B$6:$B$19)*(INDEX('Landbrugsareal - resultat'!$O$6:$Q$19,,MATCH(E253,'Landbrugsareal - resultat'!$O$5:$Q$5,0)))),SUMPRODUCT((B253='Landbrugsareal - resultat'!$B$6:$B$19)*(INDEX('Landbrugsareal - resultat'!$R$6:$T$19,,MATCH(E253,'Landbrugsareal - resultat'!$R$5:$T$5,0))))))),IF(D253="Konventionel",IF(C253=2019,SUMPRODUCT((B253='Landbrugsareal - resultat'!$B$33:$B$46)*(INDEX('Landbrugsareal - resultat'!$C$33:$E$46,,MATCH(E253,'Landbrugsareal - resultat'!$C$5:$E$5,0)))),IF(C253=2030,SUMPRODUCT((B253='Landbrugsareal - resultat'!$B$33:$B$46)*(INDEX('Landbrugsareal - resultat'!$F$33:$H$46,,MATCH(E253,'Landbrugsareal - resultat'!$F$5:$H$5,0)))),SUMPRODUCT((B253='Landbrugsareal - resultat'!$B$33:$B$46)*(INDEX('Landbrugsareal - resultat'!$I$33:$K$46,,MATCH(E253,'Landbrugsareal - resultat'!$I$5:$K$5,0)))))),IF(C253=2019,SUMPRODUCT((B253='Landbrugsareal - resultat'!$B$33:$B$46)*(INDEX('Landbrugsareal - resultat'!$L$33:$N$46,,MATCH(E253,'Landbrugsareal - resultat'!$L$5:$N$5,0)))),IF(C253=2030,SUMPRODUCT((B253='Landbrugsareal - resultat'!$B$33:$B$46)*(INDEX('Landbrugsareal - resultat'!$O$33:$Q$46,,MATCH(E253,'Landbrugsareal - resultat'!$O$5:$Q$5,0)))),SUMPRODUCT((B253='Landbrugsareal - resultat'!$B$33:$B$46)*(INDEX('Landbrugsareal - resultat'!$R$33:$T$46,,MATCH(E253,'Landbrugsareal - resultat'!$R$5:$T$5,0))))))))</f>
        <v>3645.5373672456835</v>
      </c>
      <c r="H253" s="168">
        <f>G253*VLOOKUP(B253,[1]Afgrødedata!$A$5:$F$18,2,FALSE)*IF(D253="Økologisk",VLOOKUP(B253,[1]Afgrødedata!$A$5:$F$18,4,FALSE),1)*IF(E253&lt;&gt;Jordbund1,IF(E253=Organ6,VLOOKUP(B253,[1]Afgrødedata!$A$5:$F$18,5,FALSE),VLOOKUP(B253,[1]Afgrødedata!$A$5:$F$18,6,FALSE)),1)*0.1</f>
        <v>70380.744412045169</v>
      </c>
      <c r="I253" s="168">
        <f>G253*VLOOKUP(B253,[1]Afgrødedata!$A$5:$F$18,3,FALSE)*IF(D253="Økologisk",VLOOKUP(B253,[1]Afgrødedata!$A$5:$F$18,4,FALSE),1)*IF(E253&lt;&gt;Jordbund1,IF(E253=Organ6,VLOOKUP(B253,[1]Afgrødedata!$A$5:$F$18,5,FALSE),VLOOKUP(B253,[1]Afgrødedata!$A$5:$F$18,6,FALSE)),1)*HLOOKUP(C253,Landbrug!$C$15:$E$17,2,FALSE)*HLOOKUP(C253,Landbrug!$C$15:$E$17,3,FALSE)*0.1</f>
        <v>0</v>
      </c>
      <c r="J253" s="76">
        <f t="shared" si="42"/>
        <v>70380.744412045169</v>
      </c>
    </row>
    <row r="254" spans="1:10" x14ac:dyDescent="0.25">
      <c r="A254" t="s">
        <v>24</v>
      </c>
      <c r="B254" s="1" t="str">
        <f>[1]Afgrødefordeling!$C$2</f>
        <v>Korn</v>
      </c>
      <c r="C254">
        <v>2019</v>
      </c>
      <c r="D254" t="s">
        <v>7</v>
      </c>
      <c r="E254" s="168" t="str">
        <f t="shared" ref="E254:E285" si="52">Jordbund1</f>
        <v>JB1-10</v>
      </c>
      <c r="F254" t="str">
        <f>IF(I254&lt;&gt;0,"Halm",IF(B254&lt;&gt;"Permanent græs",B254,"Græs"))</f>
        <v>Halm</v>
      </c>
      <c r="G254" s="76" cm="1">
        <f t="array" ref="G254">IF(A254="Vestdanmark",IF(D254="Konventionel",IF(C254=2019,SUMPRODUCT((B254='Landbrugsareal - resultat'!$B$6:$B$19)*(INDEX('Landbrugsareal - resultat'!$C$6:$E$19,,MATCH(E254,'Landbrugsareal - resultat'!$C$5:$E$5,0)))),IF(C254=2030,SUMPRODUCT((B254='Landbrugsareal - resultat'!$B$6:$B$19)*(INDEX('Landbrugsareal - resultat'!$F$6:$H$19,,MATCH(E254,'Landbrugsareal - resultat'!$F$5:$H$5,0)))),SUMPRODUCT((B254='Landbrugsareal - resultat'!$B$6:$B$19)*(INDEX('Landbrugsareal - resultat'!$I$6:$K$19,,MATCH(E254,'Landbrugsareal - resultat'!$I$5:$K$5,0)))))),IF(C254=2019,SUMPRODUCT((B254='Landbrugsareal - resultat'!$B$6:$B$19)*(INDEX('Landbrugsareal - resultat'!$L$6:$N$19,,MATCH(E254,'Landbrugsareal - resultat'!$L$5:$N$5,0)))),IF(C254=2030,SUMPRODUCT((B254='Landbrugsareal - resultat'!$B$6:$B$19)*(INDEX('Landbrugsareal - resultat'!$O$6:$Q$19,,MATCH(E254,'Landbrugsareal - resultat'!$O$5:$Q$5,0)))),SUMPRODUCT((B254='Landbrugsareal - resultat'!$B$6:$B$19)*(INDEX('Landbrugsareal - resultat'!$R$6:$T$19,,MATCH(E254,'Landbrugsareal - resultat'!$R$5:$T$5,0))))))),IF(D254="Konventionel",IF(C254=2019,SUMPRODUCT((B254='Landbrugsareal - resultat'!$B$33:$B$46)*(INDEX('Landbrugsareal - resultat'!$C$33:$E$46,,MATCH(E254,'Landbrugsareal - resultat'!$C$5:$E$5,0)))),IF(C254=2030,SUMPRODUCT((B254='Landbrugsareal - resultat'!$B$33:$B$46)*(INDEX('Landbrugsareal - resultat'!$F$33:$H$46,,MATCH(E254,'Landbrugsareal - resultat'!$F$5:$H$5,0)))),SUMPRODUCT((B254='Landbrugsareal - resultat'!$B$33:$B$46)*(INDEX('Landbrugsareal - resultat'!$I$33:$K$46,,MATCH(E254,'Landbrugsareal - resultat'!$I$5:$K$5,0)))))),IF(C254=2019,SUMPRODUCT((B254='Landbrugsareal - resultat'!$B$33:$B$46)*(INDEX('Landbrugsareal - resultat'!$L$33:$N$46,,MATCH(E254,'Landbrugsareal - resultat'!$L$5:$N$5,0)))),IF(C254=2030,SUMPRODUCT((B254='Landbrugsareal - resultat'!$B$33:$B$46)*(INDEX('Landbrugsareal - resultat'!$O$33:$Q$46,,MATCH(E254,'Landbrugsareal - resultat'!$O$5:$Q$5,0)))),SUMPRODUCT((B254='Landbrugsareal - resultat'!$B$33:$B$46)*(INDEX('Landbrugsareal - resultat'!$R$33:$T$46,,MATCH(E254,'Landbrugsareal - resultat'!$R$5:$T$5,0))))))))</f>
        <v>289324.40705334052</v>
      </c>
      <c r="H254" s="168">
        <f>G254*VLOOKUP(B254,[1]Afgrødedata!$A$5:$F$18,2,FALSE)*IF(D254="Økologisk",VLOOKUP(B254,[1]Afgrødedata!$A$5:$F$18,4,FALSE),1)*IF(E254&lt;&gt;Jordbund1,IF(E254=Organ6,VLOOKUP(B254,[1]Afgrødedata!$A$5:$F$18,5,FALSE),VLOOKUP(B254,[1]Afgrødedata!$A$5:$F$18,6,FALSE)),1)*0.1</f>
        <v>2028164.0934439169</v>
      </c>
      <c r="I254" s="168">
        <f>G254*VLOOKUP(B254,[1]Afgrødedata!$A$5:$F$18,3,FALSE)*IF(D254="Økologisk",VLOOKUP(B254,[1]Afgrødedata!$A$5:$F$18,4,FALSE),1)*IF(E254&lt;&gt;Jordbund1,IF(E254=Organ6,VLOOKUP(B254,[1]Afgrødedata!$A$5:$F$18,5,FALSE),VLOOKUP(B254,[1]Afgrødedata!$A$5:$F$18,6,FALSE)),1)*HLOOKUP(C254,Landbrug!$C$15:$E$17,2,FALSE)*HLOOKUP(C254,Landbrug!$C$15:$E$17,3,FALSE)*0.1</f>
        <v>661987.68968986103</v>
      </c>
      <c r="J254" s="76">
        <f t="shared" si="42"/>
        <v>661987.68968986103</v>
      </c>
    </row>
    <row r="255" spans="1:10" x14ac:dyDescent="0.25">
      <c r="A255" t="s">
        <v>24</v>
      </c>
      <c r="B255" s="1" t="str">
        <f>[1]Afgrødefordeling!$C$3</f>
        <v>Bælgsæd</v>
      </c>
      <c r="C255">
        <v>2019</v>
      </c>
      <c r="D255" t="s">
        <v>7</v>
      </c>
      <c r="E255" s="168" t="str">
        <f t="shared" si="52"/>
        <v>JB1-10</v>
      </c>
      <c r="F255" t="str">
        <f t="shared" ref="F255:F265" si="53">IF(I255&lt;&gt;0,"Halm",IF(B255&lt;&gt;"Permanent græs",B255,"Græs"))</f>
        <v>Halm</v>
      </c>
      <c r="G255" s="76" cm="1">
        <f t="array" ref="G255">IF(A255="Vestdanmark",IF(D255="Konventionel",IF(C255=2019,SUMPRODUCT((B255='Landbrugsareal - resultat'!$B$6:$B$19)*(INDEX('Landbrugsareal - resultat'!$C$6:$E$19,,MATCH(E255,'Landbrugsareal - resultat'!$C$5:$E$5,0)))),IF(C255=2030,SUMPRODUCT((B255='Landbrugsareal - resultat'!$B$6:$B$19)*(INDEX('Landbrugsareal - resultat'!$F$6:$H$19,,MATCH(E255,'Landbrugsareal - resultat'!$F$5:$H$5,0)))),SUMPRODUCT((B255='Landbrugsareal - resultat'!$B$6:$B$19)*(INDEX('Landbrugsareal - resultat'!$I$6:$K$19,,MATCH(E255,'Landbrugsareal - resultat'!$I$5:$K$5,0)))))),IF(C255=2019,SUMPRODUCT((B255='Landbrugsareal - resultat'!$B$6:$B$19)*(INDEX('Landbrugsareal - resultat'!$L$6:$N$19,,MATCH(E255,'Landbrugsareal - resultat'!$L$5:$N$5,0)))),IF(C255=2030,SUMPRODUCT((B255='Landbrugsareal - resultat'!$B$6:$B$19)*(INDEX('Landbrugsareal - resultat'!$O$6:$Q$19,,MATCH(E255,'Landbrugsareal - resultat'!$O$5:$Q$5,0)))),SUMPRODUCT((B255='Landbrugsareal - resultat'!$B$6:$B$19)*(INDEX('Landbrugsareal - resultat'!$R$6:$T$19,,MATCH(E255,'Landbrugsareal - resultat'!$R$5:$T$5,0))))))),IF(D255="Konventionel",IF(C255=2019,SUMPRODUCT((B255='Landbrugsareal - resultat'!$B$33:$B$46)*(INDEX('Landbrugsareal - resultat'!$C$33:$E$46,,MATCH(E255,'Landbrugsareal - resultat'!$C$5:$E$5,0)))),IF(C255=2030,SUMPRODUCT((B255='Landbrugsareal - resultat'!$B$33:$B$46)*(INDEX('Landbrugsareal - resultat'!$F$33:$H$46,,MATCH(E255,'Landbrugsareal - resultat'!$F$5:$H$5,0)))),SUMPRODUCT((B255='Landbrugsareal - resultat'!$B$33:$B$46)*(INDEX('Landbrugsareal - resultat'!$I$33:$K$46,,MATCH(E255,'Landbrugsareal - resultat'!$I$5:$K$5,0)))))),IF(C255=2019,SUMPRODUCT((B255='Landbrugsareal - resultat'!$B$33:$B$46)*(INDEX('Landbrugsareal - resultat'!$L$33:$N$46,,MATCH(E255,'Landbrugsareal - resultat'!$L$5:$N$5,0)))),IF(C255=2030,SUMPRODUCT((B255='Landbrugsareal - resultat'!$B$33:$B$46)*(INDEX('Landbrugsareal - resultat'!$O$33:$Q$46,,MATCH(E255,'Landbrugsareal - resultat'!$O$5:$Q$5,0)))),SUMPRODUCT((B255='Landbrugsareal - resultat'!$B$33:$B$46)*(INDEX('Landbrugsareal - resultat'!$R$33:$T$46,,MATCH(E255,'Landbrugsareal - resultat'!$R$5:$T$5,0))))))))</f>
        <v>6305.778237432175</v>
      </c>
      <c r="H255" s="168">
        <f>G255*VLOOKUP(B255,[1]Afgrødedata!$A$5:$F$18,2,FALSE)*IF(D255="Økologisk",VLOOKUP(B255,[1]Afgrødedata!$A$5:$F$18,4,FALSE),1)*IF(E255&lt;&gt;Jordbund1,IF(E255=Organ6,VLOOKUP(B255,[1]Afgrødedata!$A$5:$F$18,5,FALSE),VLOOKUP(B255,[1]Afgrødedata!$A$5:$F$18,6,FALSE)),1)*0.1</f>
        <v>24340.303996488197</v>
      </c>
      <c r="I255" s="168">
        <f>G255*VLOOKUP(B255,[1]Afgrødedata!$A$5:$F$18,3,FALSE)*IF(D255="Økologisk",VLOOKUP(B255,[1]Afgrødedata!$A$5:$F$18,4,FALSE),1)*IF(E255&lt;&gt;Jordbund1,IF(E255=Organ6,VLOOKUP(B255,[1]Afgrødedata!$A$5:$F$18,5,FALSE),VLOOKUP(B255,[1]Afgrødedata!$A$5:$F$18,6,FALSE)),1)*HLOOKUP(C255,Landbrug!$C$15:$E$17,2,FALSE)*HLOOKUP(C255,Landbrug!$C$15:$E$17,3,FALSE)*0.1</f>
        <v>7226.118867452964</v>
      </c>
      <c r="J255" s="76">
        <f t="shared" si="42"/>
        <v>7226.118867452964</v>
      </c>
    </row>
    <row r="256" spans="1:10" x14ac:dyDescent="0.25">
      <c r="A256" t="s">
        <v>24</v>
      </c>
      <c r="B256" s="1" t="str">
        <f>[1]Afgrødefordeling!$C$4</f>
        <v>Raps</v>
      </c>
      <c r="C256">
        <v>2019</v>
      </c>
      <c r="D256" t="s">
        <v>7</v>
      </c>
      <c r="E256" s="168" t="str">
        <f t="shared" si="52"/>
        <v>JB1-10</v>
      </c>
      <c r="F256" t="str">
        <f t="shared" si="53"/>
        <v>Halm</v>
      </c>
      <c r="G256" s="76" cm="1">
        <f t="array" ref="G256">IF(A256="Vestdanmark",IF(D256="Konventionel",IF(C256=2019,SUMPRODUCT((B256='Landbrugsareal - resultat'!$B$6:$B$19)*(INDEX('Landbrugsareal - resultat'!$C$6:$E$19,,MATCH(E256,'Landbrugsareal - resultat'!$C$5:$E$5,0)))),IF(C256=2030,SUMPRODUCT((B256='Landbrugsareal - resultat'!$B$6:$B$19)*(INDEX('Landbrugsareal - resultat'!$F$6:$H$19,,MATCH(E256,'Landbrugsareal - resultat'!$F$5:$H$5,0)))),SUMPRODUCT((B256='Landbrugsareal - resultat'!$B$6:$B$19)*(INDEX('Landbrugsareal - resultat'!$I$6:$K$19,,MATCH(E256,'Landbrugsareal - resultat'!$I$5:$K$5,0)))))),IF(C256=2019,SUMPRODUCT((B256='Landbrugsareal - resultat'!$B$6:$B$19)*(INDEX('Landbrugsareal - resultat'!$L$6:$N$19,,MATCH(E256,'Landbrugsareal - resultat'!$L$5:$N$5,0)))),IF(C256=2030,SUMPRODUCT((B256='Landbrugsareal - resultat'!$B$6:$B$19)*(INDEX('Landbrugsareal - resultat'!$O$6:$Q$19,,MATCH(E256,'Landbrugsareal - resultat'!$O$5:$Q$5,0)))),SUMPRODUCT((B256='Landbrugsareal - resultat'!$B$6:$B$19)*(INDEX('Landbrugsareal - resultat'!$R$6:$T$19,,MATCH(E256,'Landbrugsareal - resultat'!$R$5:$T$5,0))))))),IF(D256="Konventionel",IF(C256=2019,SUMPRODUCT((B256='Landbrugsareal - resultat'!$B$33:$B$46)*(INDEX('Landbrugsareal - resultat'!$C$33:$E$46,,MATCH(E256,'Landbrugsareal - resultat'!$C$5:$E$5,0)))),IF(C256=2030,SUMPRODUCT((B256='Landbrugsareal - resultat'!$B$33:$B$46)*(INDEX('Landbrugsareal - resultat'!$F$33:$H$46,,MATCH(E256,'Landbrugsareal - resultat'!$F$5:$H$5,0)))),SUMPRODUCT((B256='Landbrugsareal - resultat'!$B$33:$B$46)*(INDEX('Landbrugsareal - resultat'!$I$33:$K$46,,MATCH(E256,'Landbrugsareal - resultat'!$I$5:$K$5,0)))))),IF(C256=2019,SUMPRODUCT((B256='Landbrugsareal - resultat'!$B$33:$B$46)*(INDEX('Landbrugsareal - resultat'!$L$33:$N$46,,MATCH(E256,'Landbrugsareal - resultat'!$L$5:$N$5,0)))),IF(C256=2030,SUMPRODUCT((B256='Landbrugsareal - resultat'!$B$33:$B$46)*(INDEX('Landbrugsareal - resultat'!$O$33:$Q$46,,MATCH(E256,'Landbrugsareal - resultat'!$O$5:$Q$5,0)))),SUMPRODUCT((B256='Landbrugsareal - resultat'!$B$33:$B$46)*(INDEX('Landbrugsareal - resultat'!$R$33:$T$46,,MATCH(E256,'Landbrugsareal - resultat'!$R$5:$T$5,0))))))))</f>
        <v>40000.111452135221</v>
      </c>
      <c r="H256" s="168">
        <f>G256*VLOOKUP(B256,[1]Afgrødedata!$A$5:$F$18,2,FALSE)*IF(D256="Økologisk",VLOOKUP(B256,[1]Afgrødedata!$A$5:$F$18,4,FALSE),1)*IF(E256&lt;&gt;Jordbund1,IF(E256=Organ6,VLOOKUP(B256,[1]Afgrødedata!$A$5:$F$18,5,FALSE),VLOOKUP(B256,[1]Afgrødedata!$A$5:$F$18,6,FALSE)),1)*0.1</f>
        <v>176000.49038939498</v>
      </c>
      <c r="I256" s="168">
        <f>G256*VLOOKUP(B256,[1]Afgrødedata!$A$5:$F$18,3,FALSE)*IF(D256="Økologisk",VLOOKUP(B256,[1]Afgrødedata!$A$5:$F$18,4,FALSE),1)*IF(E256&lt;&gt;Jordbund1,IF(E256=Organ6,VLOOKUP(B256,[1]Afgrødedata!$A$5:$F$18,5,FALSE),VLOOKUP(B256,[1]Afgrødedata!$A$5:$F$18,6,FALSE)),1)*HLOOKUP(C256,Landbrug!$C$15:$E$17,2,FALSE)*HLOOKUP(C256,Landbrug!$C$15:$E$17,3,FALSE)*0.1</f>
        <v>94002.741919427819</v>
      </c>
      <c r="J256" s="76">
        <f t="shared" si="42"/>
        <v>94002.741919427819</v>
      </c>
    </row>
    <row r="257" spans="1:10" x14ac:dyDescent="0.25">
      <c r="A257" t="s">
        <v>24</v>
      </c>
      <c r="B257" s="1" t="str">
        <f>[1]Afgrødefordeling!$C$5</f>
        <v>Græs</v>
      </c>
      <c r="C257">
        <v>2019</v>
      </c>
      <c r="D257" t="s">
        <v>7</v>
      </c>
      <c r="E257" s="168" t="str">
        <f t="shared" si="52"/>
        <v>JB1-10</v>
      </c>
      <c r="F257" t="str">
        <f t="shared" si="53"/>
        <v>Græs</v>
      </c>
      <c r="G257" s="76" cm="1">
        <f t="array" ref="G257">IF(A257="Vestdanmark",IF(D257="Konventionel",IF(C257=2019,SUMPRODUCT((B257='Landbrugsareal - resultat'!$B$6:$B$19)*(INDEX('Landbrugsareal - resultat'!$C$6:$E$19,,MATCH(E257,'Landbrugsareal - resultat'!$C$5:$E$5,0)))),IF(C257=2030,SUMPRODUCT((B257='Landbrugsareal - resultat'!$B$6:$B$19)*(INDEX('Landbrugsareal - resultat'!$F$6:$H$19,,MATCH(E257,'Landbrugsareal - resultat'!$F$5:$H$5,0)))),SUMPRODUCT((B257='Landbrugsareal - resultat'!$B$6:$B$19)*(INDEX('Landbrugsareal - resultat'!$I$6:$K$19,,MATCH(E257,'Landbrugsareal - resultat'!$I$5:$K$5,0)))))),IF(C257=2019,SUMPRODUCT((B257='Landbrugsareal - resultat'!$B$6:$B$19)*(INDEX('Landbrugsareal - resultat'!$L$6:$N$19,,MATCH(E257,'Landbrugsareal - resultat'!$L$5:$N$5,0)))),IF(C257=2030,SUMPRODUCT((B257='Landbrugsareal - resultat'!$B$6:$B$19)*(INDEX('Landbrugsareal - resultat'!$O$6:$Q$19,,MATCH(E257,'Landbrugsareal - resultat'!$O$5:$Q$5,0)))),SUMPRODUCT((B257='Landbrugsareal - resultat'!$B$6:$B$19)*(INDEX('Landbrugsareal - resultat'!$R$6:$T$19,,MATCH(E257,'Landbrugsareal - resultat'!$R$5:$T$5,0))))))),IF(D257="Konventionel",IF(C257=2019,SUMPRODUCT((B257='Landbrugsareal - resultat'!$B$33:$B$46)*(INDEX('Landbrugsareal - resultat'!$C$33:$E$46,,MATCH(E257,'Landbrugsareal - resultat'!$C$5:$E$5,0)))),IF(C257=2030,SUMPRODUCT((B257='Landbrugsareal - resultat'!$B$33:$B$46)*(INDEX('Landbrugsareal - resultat'!$F$33:$H$46,,MATCH(E257,'Landbrugsareal - resultat'!$F$5:$H$5,0)))),SUMPRODUCT((B257='Landbrugsareal - resultat'!$B$33:$B$46)*(INDEX('Landbrugsareal - resultat'!$I$33:$K$46,,MATCH(E257,'Landbrugsareal - resultat'!$I$5:$K$5,0)))))),IF(C257=2019,SUMPRODUCT((B257='Landbrugsareal - resultat'!$B$33:$B$46)*(INDEX('Landbrugsareal - resultat'!$L$33:$N$46,,MATCH(E257,'Landbrugsareal - resultat'!$L$5:$N$5,0)))),IF(C257=2030,SUMPRODUCT((B257='Landbrugsareal - resultat'!$B$33:$B$46)*(INDEX('Landbrugsareal - resultat'!$O$33:$Q$46,,MATCH(E257,'Landbrugsareal - resultat'!$O$5:$Q$5,0)))),SUMPRODUCT((B257='Landbrugsareal - resultat'!$B$33:$B$46)*(INDEX('Landbrugsareal - resultat'!$R$33:$T$46,,MATCH(E257,'Landbrugsareal - resultat'!$R$5:$T$5,0))))))))</f>
        <v>24301.063764662133</v>
      </c>
      <c r="H257" s="168">
        <f>G257*VLOOKUP(B257,[1]Afgrødedata!$A$5:$F$18,2,FALSE)*IF(D257="Økologisk",VLOOKUP(B257,[1]Afgrødedata!$A$5:$F$18,4,FALSE),1)*IF(E257&lt;&gt;Jordbund1,IF(E257=Organ6,VLOOKUP(B257,[1]Afgrødedata!$A$5:$F$18,5,FALSE),VLOOKUP(B257,[1]Afgrødedata!$A$5:$F$18,6,FALSE)),1)*0.1</f>
        <v>1205818.784002535</v>
      </c>
      <c r="I257" s="168">
        <f>G257*VLOOKUP(B257,[1]Afgrødedata!$A$5:$F$18,3,FALSE)*IF(D257="Økologisk",VLOOKUP(B257,[1]Afgrødedata!$A$5:$F$18,4,FALSE),1)*IF(E257&lt;&gt;Jordbund1,IF(E257=Organ6,VLOOKUP(B257,[1]Afgrødedata!$A$5:$F$18,5,FALSE),VLOOKUP(B257,[1]Afgrødedata!$A$5:$F$18,6,FALSE)),1)*HLOOKUP(C257,Landbrug!$C$15:$E$17,2,FALSE)*HLOOKUP(C257,Landbrug!$C$15:$E$17,3,FALSE)*0.1</f>
        <v>0</v>
      </c>
      <c r="J257" s="76">
        <f t="shared" si="42"/>
        <v>1205818.784002535</v>
      </c>
    </row>
    <row r="258" spans="1:10" x14ac:dyDescent="0.25">
      <c r="A258" t="s">
        <v>24</v>
      </c>
      <c r="B258" s="1" t="str">
        <f>[1]Afgrødefordeling!$C$6</f>
        <v>Grøntsager</v>
      </c>
      <c r="C258">
        <v>2019</v>
      </c>
      <c r="D258" t="s">
        <v>7</v>
      </c>
      <c r="E258" s="168" t="str">
        <f t="shared" si="52"/>
        <v>JB1-10</v>
      </c>
      <c r="F258" t="str">
        <f t="shared" si="53"/>
        <v>Grøntsager</v>
      </c>
      <c r="G258" s="76" cm="1">
        <f t="array" ref="G258">IF(A258="Vestdanmark",IF(D258="Konventionel",IF(C258=2019,SUMPRODUCT((B258='Landbrugsareal - resultat'!$B$6:$B$19)*(INDEX('Landbrugsareal - resultat'!$C$6:$E$19,,MATCH(E258,'Landbrugsareal - resultat'!$C$5:$E$5,0)))),IF(C258=2030,SUMPRODUCT((B258='Landbrugsareal - resultat'!$B$6:$B$19)*(INDEX('Landbrugsareal - resultat'!$F$6:$H$19,,MATCH(E258,'Landbrugsareal - resultat'!$F$5:$H$5,0)))),SUMPRODUCT((B258='Landbrugsareal - resultat'!$B$6:$B$19)*(INDEX('Landbrugsareal - resultat'!$I$6:$K$19,,MATCH(E258,'Landbrugsareal - resultat'!$I$5:$K$5,0)))))),IF(C258=2019,SUMPRODUCT((B258='Landbrugsareal - resultat'!$B$6:$B$19)*(INDEX('Landbrugsareal - resultat'!$L$6:$N$19,,MATCH(E258,'Landbrugsareal - resultat'!$L$5:$N$5,0)))),IF(C258=2030,SUMPRODUCT((B258='Landbrugsareal - resultat'!$B$6:$B$19)*(INDEX('Landbrugsareal - resultat'!$O$6:$Q$19,,MATCH(E258,'Landbrugsareal - resultat'!$O$5:$Q$5,0)))),SUMPRODUCT((B258='Landbrugsareal - resultat'!$B$6:$B$19)*(INDEX('Landbrugsareal - resultat'!$R$6:$T$19,,MATCH(E258,'Landbrugsareal - resultat'!$R$5:$T$5,0))))))),IF(D258="Konventionel",IF(C258=2019,SUMPRODUCT((B258='Landbrugsareal - resultat'!$B$33:$B$46)*(INDEX('Landbrugsareal - resultat'!$C$33:$E$46,,MATCH(E258,'Landbrugsareal - resultat'!$C$5:$E$5,0)))),IF(C258=2030,SUMPRODUCT((B258='Landbrugsareal - resultat'!$B$33:$B$46)*(INDEX('Landbrugsareal - resultat'!$F$33:$H$46,,MATCH(E258,'Landbrugsareal - resultat'!$F$5:$H$5,0)))),SUMPRODUCT((B258='Landbrugsareal - resultat'!$B$33:$B$46)*(INDEX('Landbrugsareal - resultat'!$I$33:$K$46,,MATCH(E258,'Landbrugsareal - resultat'!$I$5:$K$5,0)))))),IF(C258=2019,SUMPRODUCT((B258='Landbrugsareal - resultat'!$B$33:$B$46)*(INDEX('Landbrugsareal - resultat'!$L$33:$N$46,,MATCH(E258,'Landbrugsareal - resultat'!$L$5:$N$5,0)))),IF(C258=2030,SUMPRODUCT((B258='Landbrugsareal - resultat'!$B$33:$B$46)*(INDEX('Landbrugsareal - resultat'!$O$33:$Q$46,,MATCH(E258,'Landbrugsareal - resultat'!$O$5:$Q$5,0)))),SUMPRODUCT((B258='Landbrugsareal - resultat'!$B$33:$B$46)*(INDEX('Landbrugsareal - resultat'!$R$33:$T$46,,MATCH(E258,'Landbrugsareal - resultat'!$R$5:$T$5,0))))))))</f>
        <v>3807.9830483618994</v>
      </c>
      <c r="H258" s="168">
        <f>G258*VLOOKUP(B258,[1]Afgrødedata!$A$5:$F$18,2,FALSE)*IF(D258="Økologisk",VLOOKUP(B258,[1]Afgrødedata!$A$5:$F$18,4,FALSE),1)*IF(E258&lt;&gt;Jordbund1,IF(E258=Organ6,VLOOKUP(B258,[1]Afgrødedata!$A$5:$F$18,5,FALSE),VLOOKUP(B258,[1]Afgrødedata!$A$5:$F$18,6,FALSE)),1)*0.1</f>
        <v>79015.648253509426</v>
      </c>
      <c r="I258" s="168">
        <f>G258*VLOOKUP(B258,[1]Afgrødedata!$A$5:$F$18,3,FALSE)*IF(D258="Økologisk",VLOOKUP(B258,[1]Afgrødedata!$A$5:$F$18,4,FALSE),1)*IF(E258&lt;&gt;Jordbund1,IF(E258=Organ6,VLOOKUP(B258,[1]Afgrødedata!$A$5:$F$18,5,FALSE),VLOOKUP(B258,[1]Afgrødedata!$A$5:$F$18,6,FALSE)),1)*HLOOKUP(C258,Landbrug!$C$15:$E$17,2,FALSE)*HLOOKUP(C258,Landbrug!$C$15:$E$17,3,FALSE)*0.1</f>
        <v>0</v>
      </c>
      <c r="J258" s="76">
        <f t="shared" si="42"/>
        <v>79015.648253509426</v>
      </c>
    </row>
    <row r="259" spans="1:10" x14ac:dyDescent="0.25">
      <c r="A259" t="s">
        <v>24</v>
      </c>
      <c r="B259" s="1" t="str">
        <f>[1]Afgrødefordeling!$C$7</f>
        <v>Kartofler</v>
      </c>
      <c r="C259">
        <v>2019</v>
      </c>
      <c r="D259" t="s">
        <v>7</v>
      </c>
      <c r="E259" s="168" t="str">
        <f t="shared" si="52"/>
        <v>JB1-10</v>
      </c>
      <c r="F259" t="str">
        <f t="shared" si="53"/>
        <v>Kartofler</v>
      </c>
      <c r="G259" s="76" cm="1">
        <f t="array" ref="G259">IF(A259="Vestdanmark",IF(D259="Konventionel",IF(C259=2019,SUMPRODUCT((B259='Landbrugsareal - resultat'!$B$6:$B$19)*(INDEX('Landbrugsareal - resultat'!$C$6:$E$19,,MATCH(E259,'Landbrugsareal - resultat'!$C$5:$E$5,0)))),IF(C259=2030,SUMPRODUCT((B259='Landbrugsareal - resultat'!$B$6:$B$19)*(INDEX('Landbrugsareal - resultat'!$F$6:$H$19,,MATCH(E259,'Landbrugsareal - resultat'!$F$5:$H$5,0)))),SUMPRODUCT((B259='Landbrugsareal - resultat'!$B$6:$B$19)*(INDEX('Landbrugsareal - resultat'!$I$6:$K$19,,MATCH(E259,'Landbrugsareal - resultat'!$I$5:$K$5,0)))))),IF(C259=2019,SUMPRODUCT((B259='Landbrugsareal - resultat'!$B$6:$B$19)*(INDEX('Landbrugsareal - resultat'!$L$6:$N$19,,MATCH(E259,'Landbrugsareal - resultat'!$L$5:$N$5,0)))),IF(C259=2030,SUMPRODUCT((B259='Landbrugsareal - resultat'!$B$6:$B$19)*(INDEX('Landbrugsareal - resultat'!$O$6:$Q$19,,MATCH(E259,'Landbrugsareal - resultat'!$O$5:$Q$5,0)))),SUMPRODUCT((B259='Landbrugsareal - resultat'!$B$6:$B$19)*(INDEX('Landbrugsareal - resultat'!$R$6:$T$19,,MATCH(E259,'Landbrugsareal - resultat'!$R$5:$T$5,0))))))),IF(D259="Konventionel",IF(C259=2019,SUMPRODUCT((B259='Landbrugsareal - resultat'!$B$33:$B$46)*(INDEX('Landbrugsareal - resultat'!$C$33:$E$46,,MATCH(E259,'Landbrugsareal - resultat'!$C$5:$E$5,0)))),IF(C259=2030,SUMPRODUCT((B259='Landbrugsareal - resultat'!$B$33:$B$46)*(INDEX('Landbrugsareal - resultat'!$F$33:$H$46,,MATCH(E259,'Landbrugsareal - resultat'!$F$5:$H$5,0)))),SUMPRODUCT((B259='Landbrugsareal - resultat'!$B$33:$B$46)*(INDEX('Landbrugsareal - resultat'!$I$33:$K$46,,MATCH(E259,'Landbrugsareal - resultat'!$I$5:$K$5,0)))))),IF(C259=2019,SUMPRODUCT((B259='Landbrugsareal - resultat'!$B$33:$B$46)*(INDEX('Landbrugsareal - resultat'!$L$33:$N$46,,MATCH(E259,'Landbrugsareal - resultat'!$L$5:$N$5,0)))),IF(C259=2030,SUMPRODUCT((B259='Landbrugsareal - resultat'!$B$33:$B$46)*(INDEX('Landbrugsareal - resultat'!$O$33:$Q$46,,MATCH(E259,'Landbrugsareal - resultat'!$O$5:$Q$5,0)))),SUMPRODUCT((B259='Landbrugsareal - resultat'!$B$33:$B$46)*(INDEX('Landbrugsareal - resultat'!$R$33:$T$46,,MATCH(E259,'Landbrugsareal - resultat'!$R$5:$T$5,0))))))))</f>
        <v>2442.8304745575424</v>
      </c>
      <c r="H259" s="168">
        <f>G259*VLOOKUP(B259,[1]Afgrødedata!$A$5:$F$18,2,FALSE)*IF(D259="Økologisk",VLOOKUP(B259,[1]Afgrødedata!$A$5:$F$18,4,FALSE),1)*IF(E259&lt;&gt;Jordbund1,IF(E259=Organ6,VLOOKUP(B259,[1]Afgrødedata!$A$5:$F$18,5,FALSE),VLOOKUP(B259,[1]Afgrødedata!$A$5:$F$18,6,FALSE)),1)*0.1</f>
        <v>103749.20750938304</v>
      </c>
      <c r="I259" s="168">
        <f>G259*VLOOKUP(B259,[1]Afgrødedata!$A$5:$F$18,3,FALSE)*IF(D259="Økologisk",VLOOKUP(B259,[1]Afgrødedata!$A$5:$F$18,4,FALSE),1)*IF(E259&lt;&gt;Jordbund1,IF(E259=Organ6,VLOOKUP(B259,[1]Afgrødedata!$A$5:$F$18,5,FALSE),VLOOKUP(B259,[1]Afgrødedata!$A$5:$F$18,6,FALSE)),1)*HLOOKUP(C259,Landbrug!$C$15:$E$17,2,FALSE)*HLOOKUP(C259,Landbrug!$C$15:$E$17,3,FALSE)*0.1</f>
        <v>0</v>
      </c>
      <c r="J259" s="76">
        <f t="shared" si="42"/>
        <v>103749.20750938304</v>
      </c>
    </row>
    <row r="260" spans="1:10" x14ac:dyDescent="0.25">
      <c r="A260" t="s">
        <v>24</v>
      </c>
      <c r="B260" s="1" t="str">
        <f>[1]Afgrødefordeling!$C$8</f>
        <v>Roer</v>
      </c>
      <c r="C260">
        <v>2019</v>
      </c>
      <c r="D260" t="s">
        <v>7</v>
      </c>
      <c r="E260" s="168" t="str">
        <f t="shared" si="52"/>
        <v>JB1-10</v>
      </c>
      <c r="F260" t="str">
        <f t="shared" si="53"/>
        <v>Roer</v>
      </c>
      <c r="G260" s="76" cm="1">
        <f t="array" ref="G260">IF(A260="Vestdanmark",IF(D260="Konventionel",IF(C260=2019,SUMPRODUCT((B260='Landbrugsareal - resultat'!$B$6:$B$19)*(INDEX('Landbrugsareal - resultat'!$C$6:$E$19,,MATCH(E260,'Landbrugsareal - resultat'!$C$5:$E$5,0)))),IF(C260=2030,SUMPRODUCT((B260='Landbrugsareal - resultat'!$B$6:$B$19)*(INDEX('Landbrugsareal - resultat'!$F$6:$H$19,,MATCH(E260,'Landbrugsareal - resultat'!$F$5:$H$5,0)))),SUMPRODUCT((B260='Landbrugsareal - resultat'!$B$6:$B$19)*(INDEX('Landbrugsareal - resultat'!$I$6:$K$19,,MATCH(E260,'Landbrugsareal - resultat'!$I$5:$K$5,0)))))),IF(C260=2019,SUMPRODUCT((B260='Landbrugsareal - resultat'!$B$6:$B$19)*(INDEX('Landbrugsareal - resultat'!$L$6:$N$19,,MATCH(E260,'Landbrugsareal - resultat'!$L$5:$N$5,0)))),IF(C260=2030,SUMPRODUCT((B260='Landbrugsareal - resultat'!$B$6:$B$19)*(INDEX('Landbrugsareal - resultat'!$O$6:$Q$19,,MATCH(E260,'Landbrugsareal - resultat'!$O$5:$Q$5,0)))),SUMPRODUCT((B260='Landbrugsareal - resultat'!$B$6:$B$19)*(INDEX('Landbrugsareal - resultat'!$R$6:$T$19,,MATCH(E260,'Landbrugsareal - resultat'!$R$5:$T$5,0))))))),IF(D260="Konventionel",IF(C260=2019,SUMPRODUCT((B260='Landbrugsareal - resultat'!$B$33:$B$46)*(INDEX('Landbrugsareal - resultat'!$C$33:$E$46,,MATCH(E260,'Landbrugsareal - resultat'!$C$5:$E$5,0)))),IF(C260=2030,SUMPRODUCT((B260='Landbrugsareal - resultat'!$B$33:$B$46)*(INDEX('Landbrugsareal - resultat'!$F$33:$H$46,,MATCH(E260,'Landbrugsareal - resultat'!$F$5:$H$5,0)))),SUMPRODUCT((B260='Landbrugsareal - resultat'!$B$33:$B$46)*(INDEX('Landbrugsareal - resultat'!$I$33:$K$46,,MATCH(E260,'Landbrugsareal - resultat'!$I$5:$K$5,0)))))),IF(C260=2019,SUMPRODUCT((B260='Landbrugsareal - resultat'!$B$33:$B$46)*(INDEX('Landbrugsareal - resultat'!$L$33:$N$46,,MATCH(E260,'Landbrugsareal - resultat'!$L$5:$N$5,0)))),IF(C260=2030,SUMPRODUCT((B260='Landbrugsareal - resultat'!$B$33:$B$46)*(INDEX('Landbrugsareal - resultat'!$O$33:$Q$46,,MATCH(E260,'Landbrugsareal - resultat'!$O$5:$Q$5,0)))),SUMPRODUCT((B260='Landbrugsareal - resultat'!$B$33:$B$46)*(INDEX('Landbrugsareal - resultat'!$R$33:$T$46,,MATCH(E260,'Landbrugsareal - resultat'!$R$5:$T$5,0))))))))</f>
        <v>25394.708101233733</v>
      </c>
      <c r="H260" s="168">
        <f>G260*VLOOKUP(B260,[1]Afgrødedata!$A$5:$F$18,2,FALSE)*IF(D260="Økologisk",VLOOKUP(B260,[1]Afgrødedata!$A$5:$F$18,4,FALSE),1)*IF(E260&lt;&gt;Jordbund1,IF(E260=Organ6,VLOOKUP(B260,[1]Afgrødedata!$A$5:$F$18,5,FALSE),VLOOKUP(B260,[1]Afgrødedata!$A$5:$F$18,6,FALSE)),1)*0.1</f>
        <v>2063414.7895987527</v>
      </c>
      <c r="I260" s="168">
        <f>G260*VLOOKUP(B260,[1]Afgrødedata!$A$5:$F$18,3,FALSE)*IF(D260="Økologisk",VLOOKUP(B260,[1]Afgrødedata!$A$5:$F$18,4,FALSE),1)*IF(E260&lt;&gt;Jordbund1,IF(E260=Organ6,VLOOKUP(B260,[1]Afgrødedata!$A$5:$F$18,5,FALSE),VLOOKUP(B260,[1]Afgrødedata!$A$5:$F$18,6,FALSE)),1)*HLOOKUP(C260,Landbrug!$C$15:$E$17,2,FALSE)*HLOOKUP(C260,Landbrug!$C$15:$E$17,3,FALSE)*0.1</f>
        <v>0</v>
      </c>
      <c r="J260" s="76">
        <f t="shared" si="42"/>
        <v>2063414.7895987527</v>
      </c>
    </row>
    <row r="261" spans="1:10" x14ac:dyDescent="0.25">
      <c r="A261" t="s">
        <v>24</v>
      </c>
      <c r="B261" s="1" t="str">
        <f>[1]Afgrødefordeling!$C$9</f>
        <v>Majs</v>
      </c>
      <c r="C261">
        <v>2019</v>
      </c>
      <c r="D261" t="s">
        <v>7</v>
      </c>
      <c r="E261" s="168" t="str">
        <f t="shared" si="52"/>
        <v>JB1-10</v>
      </c>
      <c r="F261" t="str">
        <f t="shared" si="53"/>
        <v>Majs</v>
      </c>
      <c r="G261" s="76" cm="1">
        <f t="array" ref="G261">IF(A261="Vestdanmark",IF(D261="Konventionel",IF(C261=2019,SUMPRODUCT((B261='Landbrugsareal - resultat'!$B$6:$B$19)*(INDEX('Landbrugsareal - resultat'!$C$6:$E$19,,MATCH(E261,'Landbrugsareal - resultat'!$C$5:$E$5,0)))),IF(C261=2030,SUMPRODUCT((B261='Landbrugsareal - resultat'!$B$6:$B$19)*(INDEX('Landbrugsareal - resultat'!$F$6:$H$19,,MATCH(E261,'Landbrugsareal - resultat'!$F$5:$H$5,0)))),SUMPRODUCT((B261='Landbrugsareal - resultat'!$B$6:$B$19)*(INDEX('Landbrugsareal - resultat'!$I$6:$K$19,,MATCH(E261,'Landbrugsareal - resultat'!$I$5:$K$5,0)))))),IF(C261=2019,SUMPRODUCT((B261='Landbrugsareal - resultat'!$B$6:$B$19)*(INDEX('Landbrugsareal - resultat'!$L$6:$N$19,,MATCH(E261,'Landbrugsareal - resultat'!$L$5:$N$5,0)))),IF(C261=2030,SUMPRODUCT((B261='Landbrugsareal - resultat'!$B$6:$B$19)*(INDEX('Landbrugsareal - resultat'!$O$6:$Q$19,,MATCH(E261,'Landbrugsareal - resultat'!$O$5:$Q$5,0)))),SUMPRODUCT((B261='Landbrugsareal - resultat'!$B$6:$B$19)*(INDEX('Landbrugsareal - resultat'!$R$6:$T$19,,MATCH(E261,'Landbrugsareal - resultat'!$R$5:$T$5,0))))))),IF(D261="Konventionel",IF(C261=2019,SUMPRODUCT((B261='Landbrugsareal - resultat'!$B$33:$B$46)*(INDEX('Landbrugsareal - resultat'!$C$33:$E$46,,MATCH(E261,'Landbrugsareal - resultat'!$C$5:$E$5,0)))),IF(C261=2030,SUMPRODUCT((B261='Landbrugsareal - resultat'!$B$33:$B$46)*(INDEX('Landbrugsareal - resultat'!$F$33:$H$46,,MATCH(E261,'Landbrugsareal - resultat'!$F$5:$H$5,0)))),SUMPRODUCT((B261='Landbrugsareal - resultat'!$B$33:$B$46)*(INDEX('Landbrugsareal - resultat'!$I$33:$K$46,,MATCH(E261,'Landbrugsareal - resultat'!$I$5:$K$5,0)))))),IF(C261=2019,SUMPRODUCT((B261='Landbrugsareal - resultat'!$B$33:$B$46)*(INDEX('Landbrugsareal - resultat'!$L$33:$N$46,,MATCH(E261,'Landbrugsareal - resultat'!$L$5:$N$5,0)))),IF(C261=2030,SUMPRODUCT((B261='Landbrugsareal - resultat'!$B$33:$B$46)*(INDEX('Landbrugsareal - resultat'!$O$33:$Q$46,,MATCH(E261,'Landbrugsareal - resultat'!$O$5:$Q$5,0)))),SUMPRODUCT((B261='Landbrugsareal - resultat'!$B$33:$B$46)*(INDEX('Landbrugsareal - resultat'!$R$33:$T$46,,MATCH(E261,'Landbrugsareal - resultat'!$R$5:$T$5,0))))))))</f>
        <v>7182.5684723440072</v>
      </c>
      <c r="H261" s="168">
        <f>G261*VLOOKUP(B261,[1]Afgrødedata!$A$5:$F$18,2,FALSE)*IF(D261="Økologisk",VLOOKUP(B261,[1]Afgrødedata!$A$5:$F$18,4,FALSE),1)*IF(E261&lt;&gt;Jordbund1,IF(E261=Organ6,VLOOKUP(B261,[1]Afgrødedata!$A$5:$F$18,5,FALSE),VLOOKUP(B261,[1]Afgrødedata!$A$5:$F$18,6,FALSE)),1)*0.1</f>
        <v>319696.12270403182</v>
      </c>
      <c r="I261" s="168">
        <f>G261*VLOOKUP(B261,[1]Afgrødedata!$A$5:$F$18,3,FALSE)*IF(D261="Økologisk",VLOOKUP(B261,[1]Afgrødedata!$A$5:$F$18,4,FALSE),1)*IF(E261&lt;&gt;Jordbund1,IF(E261=Organ6,VLOOKUP(B261,[1]Afgrødedata!$A$5:$F$18,5,FALSE),VLOOKUP(B261,[1]Afgrødedata!$A$5:$F$18,6,FALSE)),1)*HLOOKUP(C261,Landbrug!$C$15:$E$17,2,FALSE)*HLOOKUP(C261,Landbrug!$C$15:$E$17,3,FALSE)*0.1</f>
        <v>0</v>
      </c>
      <c r="J261" s="76">
        <f t="shared" si="42"/>
        <v>319696.12270403182</v>
      </c>
    </row>
    <row r="262" spans="1:10" x14ac:dyDescent="0.25">
      <c r="A262" t="s">
        <v>24</v>
      </c>
      <c r="B262" s="1" t="str">
        <f>[1]Afgrødefordeling!$C$10</f>
        <v>Frugt</v>
      </c>
      <c r="C262">
        <v>2019</v>
      </c>
      <c r="D262" t="s">
        <v>7</v>
      </c>
      <c r="E262" s="168" t="str">
        <f t="shared" si="52"/>
        <v>JB1-10</v>
      </c>
      <c r="F262" t="str">
        <f t="shared" si="53"/>
        <v>Frugt</v>
      </c>
      <c r="G262" s="76" cm="1">
        <f t="array" ref="G262">IF(A262="Vestdanmark",IF(D262="Konventionel",IF(C262=2019,SUMPRODUCT((B262='Landbrugsareal - resultat'!$B$6:$B$19)*(INDEX('Landbrugsareal - resultat'!$C$6:$E$19,,MATCH(E262,'Landbrugsareal - resultat'!$C$5:$E$5,0)))),IF(C262=2030,SUMPRODUCT((B262='Landbrugsareal - resultat'!$B$6:$B$19)*(INDEX('Landbrugsareal - resultat'!$F$6:$H$19,,MATCH(E262,'Landbrugsareal - resultat'!$F$5:$H$5,0)))),SUMPRODUCT((B262='Landbrugsareal - resultat'!$B$6:$B$19)*(INDEX('Landbrugsareal - resultat'!$I$6:$K$19,,MATCH(E262,'Landbrugsareal - resultat'!$I$5:$K$5,0)))))),IF(C262=2019,SUMPRODUCT((B262='Landbrugsareal - resultat'!$B$6:$B$19)*(INDEX('Landbrugsareal - resultat'!$L$6:$N$19,,MATCH(E262,'Landbrugsareal - resultat'!$L$5:$N$5,0)))),IF(C262=2030,SUMPRODUCT((B262='Landbrugsareal - resultat'!$B$6:$B$19)*(INDEX('Landbrugsareal - resultat'!$O$6:$Q$19,,MATCH(E262,'Landbrugsareal - resultat'!$O$5:$Q$5,0)))),SUMPRODUCT((B262='Landbrugsareal - resultat'!$B$6:$B$19)*(INDEX('Landbrugsareal - resultat'!$R$6:$T$19,,MATCH(E262,'Landbrugsareal - resultat'!$R$5:$T$5,0))))))),IF(D262="Konventionel",IF(C262=2019,SUMPRODUCT((B262='Landbrugsareal - resultat'!$B$33:$B$46)*(INDEX('Landbrugsareal - resultat'!$C$33:$E$46,,MATCH(E262,'Landbrugsareal - resultat'!$C$5:$E$5,0)))),IF(C262=2030,SUMPRODUCT((B262='Landbrugsareal - resultat'!$B$33:$B$46)*(INDEX('Landbrugsareal - resultat'!$F$33:$H$46,,MATCH(E262,'Landbrugsareal - resultat'!$F$5:$H$5,0)))),SUMPRODUCT((B262='Landbrugsareal - resultat'!$B$33:$B$46)*(INDEX('Landbrugsareal - resultat'!$I$33:$K$46,,MATCH(E262,'Landbrugsareal - resultat'!$I$5:$K$5,0)))))),IF(C262=2019,SUMPRODUCT((B262='Landbrugsareal - resultat'!$B$33:$B$46)*(INDEX('Landbrugsareal - resultat'!$L$33:$N$46,,MATCH(E262,'Landbrugsareal - resultat'!$L$5:$N$5,0)))),IF(C262=2030,SUMPRODUCT((B262='Landbrugsareal - resultat'!$B$33:$B$46)*(INDEX('Landbrugsareal - resultat'!$O$33:$Q$46,,MATCH(E262,'Landbrugsareal - resultat'!$O$5:$Q$5,0)))),SUMPRODUCT((B262='Landbrugsareal - resultat'!$B$33:$B$46)*(INDEX('Landbrugsareal - resultat'!$R$33:$T$46,,MATCH(E262,'Landbrugsareal - resultat'!$R$5:$T$5,0))))))))</f>
        <v>1671.2488811855812</v>
      </c>
      <c r="H262" s="168">
        <f>G262*VLOOKUP(B262,[1]Afgrødedata!$A$5:$F$18,2,FALSE)*IF(D262="Økologisk",VLOOKUP(B262,[1]Afgrødedata!$A$5:$F$18,4,FALSE),1)*IF(E262&lt;&gt;Jordbund1,IF(E262=Organ6,VLOOKUP(B262,[1]Afgrødedata!$A$5:$F$18,5,FALSE),VLOOKUP(B262,[1]Afgrødedata!$A$5:$F$18,6,FALSE)),1)*0.1</f>
        <v>14188.903001265586</v>
      </c>
      <c r="I262" s="168">
        <f>G262*VLOOKUP(B262,[1]Afgrødedata!$A$5:$F$18,3,FALSE)*IF(D262="Økologisk",VLOOKUP(B262,[1]Afgrødedata!$A$5:$F$18,4,FALSE),1)*IF(E262&lt;&gt;Jordbund1,IF(E262=Organ6,VLOOKUP(B262,[1]Afgrødedata!$A$5:$F$18,5,FALSE),VLOOKUP(B262,[1]Afgrødedata!$A$5:$F$18,6,FALSE)),1)*HLOOKUP(C262,Landbrug!$C$15:$E$17,2,FALSE)*HLOOKUP(C262,Landbrug!$C$15:$E$17,3,FALSE)*0.1</f>
        <v>0</v>
      </c>
      <c r="J262" s="76">
        <f t="shared" si="42"/>
        <v>14188.903001265586</v>
      </c>
    </row>
    <row r="263" spans="1:10" x14ac:dyDescent="0.25">
      <c r="A263" t="s">
        <v>24</v>
      </c>
      <c r="B263" s="1" t="str">
        <f>[1]Afgrødefordeling!$C$11</f>
        <v>Øvrige</v>
      </c>
      <c r="C263">
        <v>2019</v>
      </c>
      <c r="D263" t="s">
        <v>7</v>
      </c>
      <c r="E263" s="168" t="str">
        <f t="shared" si="52"/>
        <v>JB1-10</v>
      </c>
      <c r="F263" t="str">
        <f t="shared" si="53"/>
        <v>Øvrige</v>
      </c>
      <c r="G263" s="76" cm="1">
        <f t="array" ref="G263">IF(A263="Vestdanmark",IF(D263="Konventionel",IF(C263=2019,SUMPRODUCT((B263='Landbrugsareal - resultat'!$B$6:$B$19)*(INDEX('Landbrugsareal - resultat'!$C$6:$E$19,,MATCH(E263,'Landbrugsareal - resultat'!$C$5:$E$5,0)))),IF(C263=2030,SUMPRODUCT((B263='Landbrugsareal - resultat'!$B$6:$B$19)*(INDEX('Landbrugsareal - resultat'!$F$6:$H$19,,MATCH(E263,'Landbrugsareal - resultat'!$F$5:$H$5,0)))),SUMPRODUCT((B263='Landbrugsareal - resultat'!$B$6:$B$19)*(INDEX('Landbrugsareal - resultat'!$I$6:$K$19,,MATCH(E263,'Landbrugsareal - resultat'!$I$5:$K$5,0)))))),IF(C263=2019,SUMPRODUCT((B263='Landbrugsareal - resultat'!$B$6:$B$19)*(INDEX('Landbrugsareal - resultat'!$L$6:$N$19,,MATCH(E263,'Landbrugsareal - resultat'!$L$5:$N$5,0)))),IF(C263=2030,SUMPRODUCT((B263='Landbrugsareal - resultat'!$B$6:$B$19)*(INDEX('Landbrugsareal - resultat'!$O$6:$Q$19,,MATCH(E263,'Landbrugsareal - resultat'!$O$5:$Q$5,0)))),SUMPRODUCT((B263='Landbrugsareal - resultat'!$B$6:$B$19)*(INDEX('Landbrugsareal - resultat'!$R$6:$T$19,,MATCH(E263,'Landbrugsareal - resultat'!$R$5:$T$5,0))))))),IF(D263="Konventionel",IF(C263=2019,SUMPRODUCT((B263='Landbrugsareal - resultat'!$B$33:$B$46)*(INDEX('Landbrugsareal - resultat'!$C$33:$E$46,,MATCH(E263,'Landbrugsareal - resultat'!$C$5:$E$5,0)))),IF(C263=2030,SUMPRODUCT((B263='Landbrugsareal - resultat'!$B$33:$B$46)*(INDEX('Landbrugsareal - resultat'!$F$33:$H$46,,MATCH(E263,'Landbrugsareal - resultat'!$F$5:$H$5,0)))),SUMPRODUCT((B263='Landbrugsareal - resultat'!$B$33:$B$46)*(INDEX('Landbrugsareal - resultat'!$I$33:$K$46,,MATCH(E263,'Landbrugsareal - resultat'!$I$5:$K$5,0)))))),IF(C263=2019,SUMPRODUCT((B263='Landbrugsareal - resultat'!$B$33:$B$46)*(INDEX('Landbrugsareal - resultat'!$L$33:$N$46,,MATCH(E263,'Landbrugsareal - resultat'!$L$5:$N$5,0)))),IF(C263=2030,SUMPRODUCT((B263='Landbrugsareal - resultat'!$B$33:$B$46)*(INDEX('Landbrugsareal - resultat'!$O$33:$Q$46,,MATCH(E263,'Landbrugsareal - resultat'!$O$5:$Q$5,0)))),SUMPRODUCT((B263='Landbrugsareal - resultat'!$B$33:$B$46)*(INDEX('Landbrugsareal - resultat'!$R$33:$T$46,,MATCH(E263,'Landbrugsareal - resultat'!$R$5:$T$5,0))))))))</f>
        <v>11933.527586925724</v>
      </c>
      <c r="H263" s="168">
        <f>G263*VLOOKUP(B263,[1]Afgrødedata!$A$5:$F$18,2,FALSE)*IF(D263="Økologisk",VLOOKUP(B263,[1]Afgrødedata!$A$5:$F$18,4,FALSE),1)*IF(E263&lt;&gt;Jordbund1,IF(E263=Organ6,VLOOKUP(B263,[1]Afgrødedata!$A$5:$F$18,5,FALSE),VLOOKUP(B263,[1]Afgrødedata!$A$5:$F$18,6,FALSE)),1)*0.1</f>
        <v>355570.7138334217</v>
      </c>
      <c r="I263" s="168">
        <f>G263*VLOOKUP(B263,[1]Afgrødedata!$A$5:$F$18,3,FALSE)*IF(D263="Økologisk",VLOOKUP(B263,[1]Afgrødedata!$A$5:$F$18,4,FALSE),1)*IF(E263&lt;&gt;Jordbund1,IF(E263=Organ6,VLOOKUP(B263,[1]Afgrødedata!$A$5:$F$18,5,FALSE),VLOOKUP(B263,[1]Afgrødedata!$A$5:$F$18,6,FALSE)),1)*HLOOKUP(C263,Landbrug!$C$15:$E$17,2,FALSE)*HLOOKUP(C263,Landbrug!$C$15:$E$17,3,FALSE)*0.1</f>
        <v>0</v>
      </c>
      <c r="J263" s="76">
        <f t="shared" si="42"/>
        <v>355570.7138334217</v>
      </c>
    </row>
    <row r="264" spans="1:10" x14ac:dyDescent="0.25">
      <c r="A264" t="s">
        <v>24</v>
      </c>
      <c r="B264" s="1" t="str">
        <f>[1]Afgrødefordeling!$C$12</f>
        <v>Frø</v>
      </c>
      <c r="C264">
        <v>2019</v>
      </c>
      <c r="D264" t="s">
        <v>7</v>
      </c>
      <c r="E264" s="168" t="str">
        <f t="shared" si="52"/>
        <v>JB1-10</v>
      </c>
      <c r="F264" t="str">
        <f t="shared" si="53"/>
        <v>Halm</v>
      </c>
      <c r="G264" s="76" cm="1">
        <f t="array" ref="G264">IF(A264="Vestdanmark",IF(D264="Konventionel",IF(C264=2019,SUMPRODUCT((B264='Landbrugsareal - resultat'!$B$6:$B$19)*(INDEX('Landbrugsareal - resultat'!$C$6:$E$19,,MATCH(E264,'Landbrugsareal - resultat'!$C$5:$E$5,0)))),IF(C264=2030,SUMPRODUCT((B264='Landbrugsareal - resultat'!$B$6:$B$19)*(INDEX('Landbrugsareal - resultat'!$F$6:$H$19,,MATCH(E264,'Landbrugsareal - resultat'!$F$5:$H$5,0)))),SUMPRODUCT((B264='Landbrugsareal - resultat'!$B$6:$B$19)*(INDEX('Landbrugsareal - resultat'!$I$6:$K$19,,MATCH(E264,'Landbrugsareal - resultat'!$I$5:$K$5,0)))))),IF(C264=2019,SUMPRODUCT((B264='Landbrugsareal - resultat'!$B$6:$B$19)*(INDEX('Landbrugsareal - resultat'!$L$6:$N$19,,MATCH(E264,'Landbrugsareal - resultat'!$L$5:$N$5,0)))),IF(C264=2030,SUMPRODUCT((B264='Landbrugsareal - resultat'!$B$6:$B$19)*(INDEX('Landbrugsareal - resultat'!$O$6:$Q$19,,MATCH(E264,'Landbrugsareal - resultat'!$O$5:$Q$5,0)))),SUMPRODUCT((B264='Landbrugsareal - resultat'!$B$6:$B$19)*(INDEX('Landbrugsareal - resultat'!$R$6:$T$19,,MATCH(E264,'Landbrugsareal - resultat'!$R$5:$T$5,0))))))),IF(D264="Konventionel",IF(C264=2019,SUMPRODUCT((B264='Landbrugsareal - resultat'!$B$33:$B$46)*(INDEX('Landbrugsareal - resultat'!$C$33:$E$46,,MATCH(E264,'Landbrugsareal - resultat'!$C$5:$E$5,0)))),IF(C264=2030,SUMPRODUCT((B264='Landbrugsareal - resultat'!$B$33:$B$46)*(INDEX('Landbrugsareal - resultat'!$F$33:$H$46,,MATCH(E264,'Landbrugsareal - resultat'!$F$5:$H$5,0)))),SUMPRODUCT((B264='Landbrugsareal - resultat'!$B$33:$B$46)*(INDEX('Landbrugsareal - resultat'!$I$33:$K$46,,MATCH(E264,'Landbrugsareal - resultat'!$I$5:$K$5,0)))))),IF(C264=2019,SUMPRODUCT((B264='Landbrugsareal - resultat'!$B$33:$B$46)*(INDEX('Landbrugsareal - resultat'!$L$33:$N$46,,MATCH(E264,'Landbrugsareal - resultat'!$L$5:$N$5,0)))),IF(C264=2030,SUMPRODUCT((B264='Landbrugsareal - resultat'!$B$33:$B$46)*(INDEX('Landbrugsareal - resultat'!$O$33:$Q$46,,MATCH(E264,'Landbrugsareal - resultat'!$O$5:$Q$5,0)))),SUMPRODUCT((B264='Landbrugsareal - resultat'!$B$33:$B$46)*(INDEX('Landbrugsareal - resultat'!$R$33:$T$46,,MATCH(E264,'Landbrugsareal - resultat'!$R$5:$T$5,0))))))))</f>
        <v>36921.98237863728</v>
      </c>
      <c r="H264" s="168">
        <f>G264*VLOOKUP(B264,[1]Afgrødedata!$A$5:$F$18,2,FALSE)*IF(D264="Økologisk",VLOOKUP(B264,[1]Afgrødedata!$A$5:$F$18,4,FALSE),1)*IF(E264&lt;&gt;Jordbund1,IF(E264=Organ6,VLOOKUP(B264,[1]Afgrødedata!$A$5:$F$18,5,FALSE),VLOOKUP(B264,[1]Afgrødedata!$A$5:$F$18,6,FALSE)),1)*0.1</f>
        <v>527573.06517282699</v>
      </c>
      <c r="I264" s="168">
        <f>G264*VLOOKUP(B264,[1]Afgrødedata!$A$5:$F$18,3,FALSE)*IF(D264="Økologisk",VLOOKUP(B264,[1]Afgrødedata!$A$5:$F$18,4,FALSE),1)*IF(E264&lt;&gt;Jordbund1,IF(E264=Organ6,VLOOKUP(B264,[1]Afgrødedata!$A$5:$F$18,5,FALSE),VLOOKUP(B264,[1]Afgrødedata!$A$5:$F$18,6,FALSE)),1)*HLOOKUP(C264,Landbrug!$C$15:$E$17,2,FALSE)*HLOOKUP(C264,Landbrug!$C$15:$E$17,3,FALSE)*0.1</f>
        <v>87645.401770409182</v>
      </c>
      <c r="J264" s="76">
        <f t="shared" si="42"/>
        <v>87645.401770409182</v>
      </c>
    </row>
    <row r="265" spans="1:10" x14ac:dyDescent="0.25">
      <c r="A265" t="s">
        <v>24</v>
      </c>
      <c r="B265" s="1" t="str">
        <f>[1]Afgrødefordeling!$C$13</f>
        <v>Juletræer</v>
      </c>
      <c r="C265">
        <v>2019</v>
      </c>
      <c r="D265" t="s">
        <v>7</v>
      </c>
      <c r="E265" s="168" t="str">
        <f t="shared" si="52"/>
        <v>JB1-10</v>
      </c>
      <c r="F265" t="str">
        <f t="shared" si="53"/>
        <v>Juletræer</v>
      </c>
      <c r="G265" s="76" cm="1">
        <f t="array" ref="G265">IF(A265="Vestdanmark",IF(D265="Konventionel",IF(C265=2019,SUMPRODUCT((B265='Landbrugsareal - resultat'!$B$6:$B$19)*(INDEX('Landbrugsareal - resultat'!$C$6:$E$19,,MATCH(E265,'Landbrugsareal - resultat'!$C$5:$E$5,0)))),IF(C265=2030,SUMPRODUCT((B265='Landbrugsareal - resultat'!$B$6:$B$19)*(INDEX('Landbrugsareal - resultat'!$F$6:$H$19,,MATCH(E265,'Landbrugsareal - resultat'!$F$5:$H$5,0)))),SUMPRODUCT((B265='Landbrugsareal - resultat'!$B$6:$B$19)*(INDEX('Landbrugsareal - resultat'!$I$6:$K$19,,MATCH(E265,'Landbrugsareal - resultat'!$I$5:$K$5,0)))))),IF(C265=2019,SUMPRODUCT((B265='Landbrugsareal - resultat'!$B$6:$B$19)*(INDEX('Landbrugsareal - resultat'!$L$6:$N$19,,MATCH(E265,'Landbrugsareal - resultat'!$L$5:$N$5,0)))),IF(C265=2030,SUMPRODUCT((B265='Landbrugsareal - resultat'!$B$6:$B$19)*(INDEX('Landbrugsareal - resultat'!$O$6:$Q$19,,MATCH(E265,'Landbrugsareal - resultat'!$O$5:$Q$5,0)))),SUMPRODUCT((B265='Landbrugsareal - resultat'!$B$6:$B$19)*(INDEX('Landbrugsareal - resultat'!$R$6:$T$19,,MATCH(E265,'Landbrugsareal - resultat'!$R$5:$T$5,0))))))),IF(D265="Konventionel",IF(C265=2019,SUMPRODUCT((B265='Landbrugsareal - resultat'!$B$33:$B$46)*(INDEX('Landbrugsareal - resultat'!$C$33:$E$46,,MATCH(E265,'Landbrugsareal - resultat'!$C$5:$E$5,0)))),IF(C265=2030,SUMPRODUCT((B265='Landbrugsareal - resultat'!$B$33:$B$46)*(INDEX('Landbrugsareal - resultat'!$F$33:$H$46,,MATCH(E265,'Landbrugsareal - resultat'!$F$5:$H$5,0)))),SUMPRODUCT((B265='Landbrugsareal - resultat'!$B$33:$B$46)*(INDEX('Landbrugsareal - resultat'!$I$33:$K$46,,MATCH(E265,'Landbrugsareal - resultat'!$I$5:$K$5,0)))))),IF(C265=2019,SUMPRODUCT((B265='Landbrugsareal - resultat'!$B$33:$B$46)*(INDEX('Landbrugsareal - resultat'!$L$33:$N$46,,MATCH(E265,'Landbrugsareal - resultat'!$L$5:$N$5,0)))),IF(C265=2030,SUMPRODUCT((B265='Landbrugsareal - resultat'!$B$33:$B$46)*(INDEX('Landbrugsareal - resultat'!$O$33:$Q$46,,MATCH(E265,'Landbrugsareal - resultat'!$O$5:$Q$5,0)))),SUMPRODUCT((B265='Landbrugsareal - resultat'!$B$33:$B$46)*(INDEX('Landbrugsareal - resultat'!$R$33:$T$46,,MATCH(E265,'Landbrugsareal - resultat'!$R$5:$T$5,0))))))))</f>
        <v>2618.8374863482281</v>
      </c>
      <c r="H265" s="168">
        <f>G265*VLOOKUP(B265,[1]Afgrødedata!$A$5:$F$18,2,FALSE)*IF(D265="Økologisk",VLOOKUP(B265,[1]Afgrødedata!$A$5:$F$18,4,FALSE),1)*IF(E265&lt;&gt;Jordbund1,IF(E265=Organ6,VLOOKUP(B265,[1]Afgrødedata!$A$5:$F$18,5,FALSE),VLOOKUP(B265,[1]Afgrødedata!$A$5:$F$18,6,FALSE)),1)*0.1</f>
        <v>130941.87431741141</v>
      </c>
      <c r="I265" s="168">
        <f>G265*VLOOKUP(B265,[1]Afgrødedata!$A$5:$F$18,3,FALSE)*IF(D265="Økologisk",VLOOKUP(B265,[1]Afgrødedata!$A$5:$F$18,4,FALSE),1)*IF(E265&lt;&gt;Jordbund1,IF(E265=Organ6,VLOOKUP(B265,[1]Afgrødedata!$A$5:$F$18,5,FALSE),VLOOKUP(B265,[1]Afgrødedata!$A$5:$F$18,6,FALSE)),1)*HLOOKUP(C265,Landbrug!$C$15:$E$17,2,FALSE)*HLOOKUP(C265,Landbrug!$C$15:$E$17,3,FALSE)*0.1</f>
        <v>0</v>
      </c>
      <c r="J265" s="76">
        <f t="shared" si="42"/>
        <v>130941.87431741141</v>
      </c>
    </row>
    <row r="266" spans="1:10" x14ac:dyDescent="0.25">
      <c r="A266" t="s">
        <v>24</v>
      </c>
      <c r="B266" s="1" t="str">
        <f>[1]Afgrødefordeling!$C$14</f>
        <v>Pil &amp; poppel</v>
      </c>
      <c r="C266">
        <v>2019</v>
      </c>
      <c r="D266" t="s">
        <v>7</v>
      </c>
      <c r="E266" s="168" t="str">
        <f t="shared" si="52"/>
        <v>JB1-10</v>
      </c>
      <c r="F266" t="str">
        <f>IF(I266&lt;&gt;0,"Halm",IF(B266&lt;&gt;"Permanent græs",B266,"Græs"))</f>
        <v>Pil &amp; poppel</v>
      </c>
      <c r="G266" s="76" cm="1">
        <f t="array" ref="G266">IF(A266="Vestdanmark",IF(D266="Konventionel",IF(C266=2019,SUMPRODUCT((B266='Landbrugsareal - resultat'!$B$6:$B$19)*(INDEX('Landbrugsareal - resultat'!$C$6:$E$19,,MATCH(E266,'Landbrugsareal - resultat'!$C$5:$E$5,0)))),IF(C266=2030,SUMPRODUCT((B266='Landbrugsareal - resultat'!$B$6:$B$19)*(INDEX('Landbrugsareal - resultat'!$F$6:$H$19,,MATCH(E266,'Landbrugsareal - resultat'!$F$5:$H$5,0)))),SUMPRODUCT((B266='Landbrugsareal - resultat'!$B$6:$B$19)*(INDEX('Landbrugsareal - resultat'!$I$6:$K$19,,MATCH(E266,'Landbrugsareal - resultat'!$I$5:$K$5,0)))))),IF(C266=2019,SUMPRODUCT((B266='Landbrugsareal - resultat'!$B$6:$B$19)*(INDEX('Landbrugsareal - resultat'!$L$6:$N$19,,MATCH(E266,'Landbrugsareal - resultat'!$L$5:$N$5,0)))),IF(C266=2030,SUMPRODUCT((B266='Landbrugsareal - resultat'!$B$6:$B$19)*(INDEX('Landbrugsareal - resultat'!$O$6:$Q$19,,MATCH(E266,'Landbrugsareal - resultat'!$O$5:$Q$5,0)))),SUMPRODUCT((B266='Landbrugsareal - resultat'!$B$6:$B$19)*(INDEX('Landbrugsareal - resultat'!$R$6:$T$19,,MATCH(E266,'Landbrugsareal - resultat'!$R$5:$T$5,0))))))),IF(D266="Konventionel",IF(C266=2019,SUMPRODUCT((B266='Landbrugsareal - resultat'!$B$33:$B$46)*(INDEX('Landbrugsareal - resultat'!$C$33:$E$46,,MATCH(E266,'Landbrugsareal - resultat'!$C$5:$E$5,0)))),IF(C266=2030,SUMPRODUCT((B266='Landbrugsareal - resultat'!$B$33:$B$46)*(INDEX('Landbrugsareal - resultat'!$F$33:$H$46,,MATCH(E266,'Landbrugsareal - resultat'!$F$5:$H$5,0)))),SUMPRODUCT((B266='Landbrugsareal - resultat'!$B$33:$B$46)*(INDEX('Landbrugsareal - resultat'!$I$33:$K$46,,MATCH(E266,'Landbrugsareal - resultat'!$I$5:$K$5,0)))))),IF(C266=2019,SUMPRODUCT((B266='Landbrugsareal - resultat'!$B$33:$B$46)*(INDEX('Landbrugsareal - resultat'!$L$33:$N$46,,MATCH(E266,'Landbrugsareal - resultat'!$L$5:$N$5,0)))),IF(C266=2030,SUMPRODUCT((B266='Landbrugsareal - resultat'!$B$33:$B$46)*(INDEX('Landbrugsareal - resultat'!$O$33:$Q$46,,MATCH(E266,'Landbrugsareal - resultat'!$O$5:$Q$5,0)))),SUMPRODUCT((B266='Landbrugsareal - resultat'!$B$33:$B$46)*(INDEX('Landbrugsareal - resultat'!$R$33:$T$46,,MATCH(E266,'Landbrugsareal - resultat'!$R$5:$T$5,0))))))))</f>
        <v>1244.8278589023382</v>
      </c>
      <c r="H266" s="168">
        <f>G266*VLOOKUP(B266,[1]Afgrødedata!$A$5:$F$18,2,FALSE)*IF(D266="Økologisk",VLOOKUP(B266,[1]Afgrødedata!$A$5:$F$18,4,FALSE),1)*IF(E266&lt;&gt;Jordbund1,IF(E266=Organ6,VLOOKUP(B266,[1]Afgrødedata!$A$5:$F$18,5,FALSE),VLOOKUP(B266,[1]Afgrødedata!$A$5:$F$18,6,FALSE)),1)*0.1</f>
        <v>30361.655095178983</v>
      </c>
      <c r="I266" s="168">
        <f>G266*VLOOKUP(B266,[1]Afgrødedata!$A$5:$F$18,3,FALSE)*IF(D266="Økologisk",VLOOKUP(B266,[1]Afgrødedata!$A$5:$F$18,4,FALSE),1)*IF(E266&lt;&gt;Jordbund1,IF(E266=Organ6,VLOOKUP(B266,[1]Afgrødedata!$A$5:$F$18,5,FALSE),VLOOKUP(B266,[1]Afgrødedata!$A$5:$F$18,6,FALSE)),1)*HLOOKUP(C266,Landbrug!$C$15:$E$17,2,FALSE)*HLOOKUP(C266,Landbrug!$C$15:$E$17,3,FALSE)*0.1</f>
        <v>0</v>
      </c>
      <c r="J266" s="76">
        <f t="shared" si="42"/>
        <v>30361.655095178983</v>
      </c>
    </row>
    <row r="267" spans="1:10" x14ac:dyDescent="0.25">
      <c r="A267" t="s">
        <v>24</v>
      </c>
      <c r="B267" s="1" t="str">
        <f>[1]Afgrødefordeling!$C$15</f>
        <v>Permanent græs</v>
      </c>
      <c r="C267">
        <v>2019</v>
      </c>
      <c r="D267" t="s">
        <v>7</v>
      </c>
      <c r="E267" s="168" t="str">
        <f t="shared" si="52"/>
        <v>JB1-10</v>
      </c>
      <c r="F267" t="str">
        <f t="shared" ref="F267:F335" si="54">IF(I267&lt;&gt;0,"Halm",IF(B267&lt;&gt;"Permanent græs",B267,"Græs"))</f>
        <v>Græs</v>
      </c>
      <c r="G267" s="76" cm="1">
        <f t="array" ref="G267">IF(A267="Vestdanmark",IF(D267="Konventionel",IF(C267=2019,SUMPRODUCT((B267='Landbrugsareal - resultat'!$B$6:$B$19)*(INDEX('Landbrugsareal - resultat'!$C$6:$E$19,,MATCH(E267,'Landbrugsareal - resultat'!$C$5:$E$5,0)))),IF(C267=2030,SUMPRODUCT((B267='Landbrugsareal - resultat'!$B$6:$B$19)*(INDEX('Landbrugsareal - resultat'!$F$6:$H$19,,MATCH(E267,'Landbrugsareal - resultat'!$F$5:$H$5,0)))),SUMPRODUCT((B267='Landbrugsareal - resultat'!$B$6:$B$19)*(INDEX('Landbrugsareal - resultat'!$I$6:$K$19,,MATCH(E267,'Landbrugsareal - resultat'!$I$5:$K$5,0)))))),IF(C267=2019,SUMPRODUCT((B267='Landbrugsareal - resultat'!$B$6:$B$19)*(INDEX('Landbrugsareal - resultat'!$L$6:$N$19,,MATCH(E267,'Landbrugsareal - resultat'!$L$5:$N$5,0)))),IF(C267=2030,SUMPRODUCT((B267='Landbrugsareal - resultat'!$B$6:$B$19)*(INDEX('Landbrugsareal - resultat'!$O$6:$Q$19,,MATCH(E267,'Landbrugsareal - resultat'!$O$5:$Q$5,0)))),SUMPRODUCT((B267='Landbrugsareal - resultat'!$B$6:$B$19)*(INDEX('Landbrugsareal - resultat'!$R$6:$T$19,,MATCH(E267,'Landbrugsareal - resultat'!$R$5:$T$5,0))))))),IF(D267="Konventionel",IF(C267=2019,SUMPRODUCT((B267='Landbrugsareal - resultat'!$B$33:$B$46)*(INDEX('Landbrugsareal - resultat'!$C$33:$E$46,,MATCH(E267,'Landbrugsareal - resultat'!$C$5:$E$5,0)))),IF(C267=2030,SUMPRODUCT((B267='Landbrugsareal - resultat'!$B$33:$B$46)*(INDEX('Landbrugsareal - resultat'!$F$33:$H$46,,MATCH(E267,'Landbrugsareal - resultat'!$F$5:$H$5,0)))),SUMPRODUCT((B267='Landbrugsareal - resultat'!$B$33:$B$46)*(INDEX('Landbrugsareal - resultat'!$I$33:$K$46,,MATCH(E267,'Landbrugsareal - resultat'!$I$5:$K$5,0)))))),IF(C267=2019,SUMPRODUCT((B267='Landbrugsareal - resultat'!$B$33:$B$46)*(INDEX('Landbrugsareal - resultat'!$L$33:$N$46,,MATCH(E267,'Landbrugsareal - resultat'!$L$5:$N$5,0)))),IF(C267=2030,SUMPRODUCT((B267='Landbrugsareal - resultat'!$B$33:$B$46)*(INDEX('Landbrugsareal - resultat'!$O$33:$Q$46,,MATCH(E267,'Landbrugsareal - resultat'!$O$5:$Q$5,0)))),SUMPRODUCT((B267='Landbrugsareal - resultat'!$B$33:$B$46)*(INDEX('Landbrugsareal - resultat'!$R$33:$T$46,,MATCH(E267,'Landbrugsareal - resultat'!$R$5:$T$5,0))))))))</f>
        <v>31005.186770121774</v>
      </c>
      <c r="H267" s="168">
        <f>G267*VLOOKUP(B267,[1]Afgrødedata!$A$5:$F$18,2,FALSE)*IF(D267="Økologisk",VLOOKUP(B267,[1]Afgrødedata!$A$5:$F$18,4,FALSE),1)*IF(E267&lt;&gt;Jordbund1,IF(E267=Organ6,VLOOKUP(B267,[1]Afgrødedata!$A$5:$F$18,5,FALSE),VLOOKUP(B267,[1]Afgrødedata!$A$5:$F$18,6,FALSE)),1)*0.1</f>
        <v>427561.52555997932</v>
      </c>
      <c r="I267" s="168">
        <f>G267*VLOOKUP(B267,[1]Afgrødedata!$A$5:$F$18,3,FALSE)*IF(D267="Økologisk",VLOOKUP(B267,[1]Afgrødedata!$A$5:$F$18,4,FALSE),1)*IF(E267&lt;&gt;Jordbund1,IF(E267=Organ6,VLOOKUP(B267,[1]Afgrødedata!$A$5:$F$18,5,FALSE),VLOOKUP(B267,[1]Afgrødedata!$A$5:$F$18,6,FALSE)),1)*HLOOKUP(C267,Landbrug!$C$15:$E$17,2,FALSE)*HLOOKUP(C267,Landbrug!$C$15:$E$17,3,FALSE)*0.1</f>
        <v>0</v>
      </c>
      <c r="J267" s="76">
        <f t="shared" si="42"/>
        <v>427561.52555997932</v>
      </c>
    </row>
    <row r="268" spans="1:10" x14ac:dyDescent="0.25">
      <c r="A268" t="s">
        <v>24</v>
      </c>
      <c r="B268" s="1" t="str">
        <f>[1]Afgrødefordeling!$C$2</f>
        <v>Korn</v>
      </c>
      <c r="C268">
        <v>2030</v>
      </c>
      <c r="D268" t="s">
        <v>7</v>
      </c>
      <c r="E268" s="168" t="str">
        <f t="shared" si="52"/>
        <v>JB1-10</v>
      </c>
      <c r="F268" t="str">
        <f t="shared" si="54"/>
        <v>Halm</v>
      </c>
      <c r="G268" s="76" cm="1">
        <f t="array" ref="G268">IF(A268="Vestdanmark",IF(D268="Konventionel",IF(C268=2019,SUMPRODUCT((B268='Landbrugsareal - resultat'!$B$6:$B$19)*(INDEX('Landbrugsareal - resultat'!$C$6:$E$19,,MATCH(E268,'Landbrugsareal - resultat'!$C$5:$E$5,0)))),IF(C268=2030,SUMPRODUCT((B268='Landbrugsareal - resultat'!$B$6:$B$19)*(INDEX('Landbrugsareal - resultat'!$F$6:$H$19,,MATCH(E268,'Landbrugsareal - resultat'!$F$5:$H$5,0)))),SUMPRODUCT((B268='Landbrugsareal - resultat'!$B$6:$B$19)*(INDEX('Landbrugsareal - resultat'!$I$6:$K$19,,MATCH(E268,'Landbrugsareal - resultat'!$I$5:$K$5,0)))))),IF(C268=2019,SUMPRODUCT((B268='Landbrugsareal - resultat'!$B$6:$B$19)*(INDEX('Landbrugsareal - resultat'!$L$6:$N$19,,MATCH(E268,'Landbrugsareal - resultat'!$L$5:$N$5,0)))),IF(C268=2030,SUMPRODUCT((B268='Landbrugsareal - resultat'!$B$6:$B$19)*(INDEX('Landbrugsareal - resultat'!$O$6:$Q$19,,MATCH(E268,'Landbrugsareal - resultat'!$O$5:$Q$5,0)))),SUMPRODUCT((B268='Landbrugsareal - resultat'!$B$6:$B$19)*(INDEX('Landbrugsareal - resultat'!$R$6:$T$19,,MATCH(E268,'Landbrugsareal - resultat'!$R$5:$T$5,0))))))),IF(D268="Konventionel",IF(C268=2019,SUMPRODUCT((B268='Landbrugsareal - resultat'!$B$33:$B$46)*(INDEX('Landbrugsareal - resultat'!$C$33:$E$46,,MATCH(E268,'Landbrugsareal - resultat'!$C$5:$E$5,0)))),IF(C268=2030,SUMPRODUCT((B268='Landbrugsareal - resultat'!$B$33:$B$46)*(INDEX('Landbrugsareal - resultat'!$F$33:$H$46,,MATCH(E268,'Landbrugsareal - resultat'!$F$5:$H$5,0)))),SUMPRODUCT((B268='Landbrugsareal - resultat'!$B$33:$B$46)*(INDEX('Landbrugsareal - resultat'!$I$33:$K$46,,MATCH(E268,'Landbrugsareal - resultat'!$I$5:$K$5,0)))))),IF(C268=2019,SUMPRODUCT((B268='Landbrugsareal - resultat'!$B$33:$B$46)*(INDEX('Landbrugsareal - resultat'!$L$33:$N$46,,MATCH(E268,'Landbrugsareal - resultat'!$L$5:$N$5,0)))),IF(C268=2030,SUMPRODUCT((B268='Landbrugsareal - resultat'!$B$33:$B$46)*(INDEX('Landbrugsareal - resultat'!$O$33:$Q$46,,MATCH(E268,'Landbrugsareal - resultat'!$O$5:$Q$5,0)))),SUMPRODUCT((B268='Landbrugsareal - resultat'!$B$33:$B$46)*(INDEX('Landbrugsareal - resultat'!$R$33:$T$46,,MATCH(E268,'Landbrugsareal - resultat'!$R$5:$T$5,0))))))))</f>
        <v>280840.49563485396</v>
      </c>
      <c r="H268" s="168">
        <f>G268*VLOOKUP(B268,[1]Afgrødedata!$A$5:$F$18,2,FALSE)*IF(D268="Økologisk",VLOOKUP(B268,[1]Afgrødedata!$A$5:$F$18,4,FALSE),1)*IF(E268&lt;&gt;Jordbund1,IF(E268=Organ6,VLOOKUP(B268,[1]Afgrødedata!$A$5:$F$18,5,FALSE),VLOOKUP(B268,[1]Afgrødedata!$A$5:$F$18,6,FALSE)),1)*0.1</f>
        <v>1968691.8744003263</v>
      </c>
      <c r="I268" s="168">
        <f>G268*VLOOKUP(B268,[1]Afgrødedata!$A$5:$F$18,3,FALSE)*IF(D268="Økologisk",VLOOKUP(B268,[1]Afgrødedata!$A$5:$F$18,4,FALSE),1)*IF(E268&lt;&gt;Jordbund1,IF(E268=Organ6,VLOOKUP(B268,[1]Afgrødedata!$A$5:$F$18,5,FALSE),VLOOKUP(B268,[1]Afgrødedata!$A$5:$F$18,6,FALSE)),1)*HLOOKUP(C268,Landbrug!$C$15:$E$17,2,FALSE)*HLOOKUP(C268,Landbrug!$C$15:$E$17,3,FALSE)*0.1</f>
        <v>638840.51324290584</v>
      </c>
      <c r="J268" s="76">
        <f t="shared" si="42"/>
        <v>638840.51324290584</v>
      </c>
    </row>
    <row r="269" spans="1:10" x14ac:dyDescent="0.25">
      <c r="A269" t="s">
        <v>24</v>
      </c>
      <c r="B269" s="1" t="str">
        <f>[1]Afgrødefordeling!$C$3</f>
        <v>Bælgsæd</v>
      </c>
      <c r="C269">
        <v>2030</v>
      </c>
      <c r="D269" t="s">
        <v>7</v>
      </c>
      <c r="E269" s="168" t="str">
        <f t="shared" si="52"/>
        <v>JB1-10</v>
      </c>
      <c r="F269" t="str">
        <f t="shared" si="54"/>
        <v>Halm</v>
      </c>
      <c r="G269" s="76" cm="1">
        <f t="array" ref="G269">IF(A269="Vestdanmark",IF(D269="Konventionel",IF(C269=2019,SUMPRODUCT((B269='Landbrugsareal - resultat'!$B$6:$B$19)*(INDEX('Landbrugsareal - resultat'!$C$6:$E$19,,MATCH(E269,'Landbrugsareal - resultat'!$C$5:$E$5,0)))),IF(C269=2030,SUMPRODUCT((B269='Landbrugsareal - resultat'!$B$6:$B$19)*(INDEX('Landbrugsareal - resultat'!$F$6:$H$19,,MATCH(E269,'Landbrugsareal - resultat'!$F$5:$H$5,0)))),SUMPRODUCT((B269='Landbrugsareal - resultat'!$B$6:$B$19)*(INDEX('Landbrugsareal - resultat'!$I$6:$K$19,,MATCH(E269,'Landbrugsareal - resultat'!$I$5:$K$5,0)))))),IF(C269=2019,SUMPRODUCT((B269='Landbrugsareal - resultat'!$B$6:$B$19)*(INDEX('Landbrugsareal - resultat'!$L$6:$N$19,,MATCH(E269,'Landbrugsareal - resultat'!$L$5:$N$5,0)))),IF(C269=2030,SUMPRODUCT((B269='Landbrugsareal - resultat'!$B$6:$B$19)*(INDEX('Landbrugsareal - resultat'!$O$6:$Q$19,,MATCH(E269,'Landbrugsareal - resultat'!$O$5:$Q$5,0)))),SUMPRODUCT((B269='Landbrugsareal - resultat'!$B$6:$B$19)*(INDEX('Landbrugsareal - resultat'!$R$6:$T$19,,MATCH(E269,'Landbrugsareal - resultat'!$R$5:$T$5,0))))))),IF(D269="Konventionel",IF(C269=2019,SUMPRODUCT((B269='Landbrugsareal - resultat'!$B$33:$B$46)*(INDEX('Landbrugsareal - resultat'!$C$33:$E$46,,MATCH(E269,'Landbrugsareal - resultat'!$C$5:$E$5,0)))),IF(C269=2030,SUMPRODUCT((B269='Landbrugsareal - resultat'!$B$33:$B$46)*(INDEX('Landbrugsareal - resultat'!$F$33:$H$46,,MATCH(E269,'Landbrugsareal - resultat'!$F$5:$H$5,0)))),SUMPRODUCT((B269='Landbrugsareal - resultat'!$B$33:$B$46)*(INDEX('Landbrugsareal - resultat'!$I$33:$K$46,,MATCH(E269,'Landbrugsareal - resultat'!$I$5:$K$5,0)))))),IF(C269=2019,SUMPRODUCT((B269='Landbrugsareal - resultat'!$B$33:$B$46)*(INDEX('Landbrugsareal - resultat'!$L$33:$N$46,,MATCH(E269,'Landbrugsareal - resultat'!$L$5:$N$5,0)))),IF(C269=2030,SUMPRODUCT((B269='Landbrugsareal - resultat'!$B$33:$B$46)*(INDEX('Landbrugsareal - resultat'!$O$33:$Q$46,,MATCH(E269,'Landbrugsareal - resultat'!$O$5:$Q$5,0)))),SUMPRODUCT((B269='Landbrugsareal - resultat'!$B$33:$B$46)*(INDEX('Landbrugsareal - resultat'!$R$33:$T$46,,MATCH(E269,'Landbrugsareal - resultat'!$R$5:$T$5,0))))))))</f>
        <v>6120.8727725395029</v>
      </c>
      <c r="H269" s="168">
        <f>G269*VLOOKUP(B269,[1]Afgrødedata!$A$5:$F$18,2,FALSE)*IF(D269="Økologisk",VLOOKUP(B269,[1]Afgrødedata!$A$5:$F$18,4,FALSE),1)*IF(E269&lt;&gt;Jordbund1,IF(E269=Organ6,VLOOKUP(B269,[1]Afgrødedata!$A$5:$F$18,5,FALSE),VLOOKUP(B269,[1]Afgrødedata!$A$5:$F$18,6,FALSE)),1)*0.1</f>
        <v>23626.568902002484</v>
      </c>
      <c r="I269" s="168">
        <f>G269*VLOOKUP(B269,[1]Afgrødedata!$A$5:$F$18,3,FALSE)*IF(D269="Økologisk",VLOOKUP(B269,[1]Afgrødedata!$A$5:$F$18,4,FALSE),1)*IF(E269&lt;&gt;Jordbund1,IF(E269=Organ6,VLOOKUP(B269,[1]Afgrødedata!$A$5:$F$18,5,FALSE),VLOOKUP(B269,[1]Afgrødedata!$A$5:$F$18,6,FALSE)),1)*HLOOKUP(C269,Landbrug!$C$15:$E$17,2,FALSE)*HLOOKUP(C269,Landbrug!$C$15:$E$17,3,FALSE)*0.1</f>
        <v>6973.44914102653</v>
      </c>
      <c r="J269" s="76">
        <f t="shared" si="42"/>
        <v>6973.44914102653</v>
      </c>
    </row>
    <row r="270" spans="1:10" x14ac:dyDescent="0.25">
      <c r="A270" t="s">
        <v>24</v>
      </c>
      <c r="B270" s="1" t="str">
        <f>[1]Afgrødefordeling!$C$4</f>
        <v>Raps</v>
      </c>
      <c r="C270">
        <v>2030</v>
      </c>
      <c r="D270" t="s">
        <v>7</v>
      </c>
      <c r="E270" s="168" t="str">
        <f t="shared" si="52"/>
        <v>JB1-10</v>
      </c>
      <c r="F270" t="str">
        <f t="shared" si="54"/>
        <v>Halm</v>
      </c>
      <c r="G270" s="76" cm="1">
        <f t="array" ref="G270">IF(A270="Vestdanmark",IF(D270="Konventionel",IF(C270=2019,SUMPRODUCT((B270='Landbrugsareal - resultat'!$B$6:$B$19)*(INDEX('Landbrugsareal - resultat'!$C$6:$E$19,,MATCH(E270,'Landbrugsareal - resultat'!$C$5:$E$5,0)))),IF(C270=2030,SUMPRODUCT((B270='Landbrugsareal - resultat'!$B$6:$B$19)*(INDEX('Landbrugsareal - resultat'!$F$6:$H$19,,MATCH(E270,'Landbrugsareal - resultat'!$F$5:$H$5,0)))),SUMPRODUCT((B270='Landbrugsareal - resultat'!$B$6:$B$19)*(INDEX('Landbrugsareal - resultat'!$I$6:$K$19,,MATCH(E270,'Landbrugsareal - resultat'!$I$5:$K$5,0)))))),IF(C270=2019,SUMPRODUCT((B270='Landbrugsareal - resultat'!$B$6:$B$19)*(INDEX('Landbrugsareal - resultat'!$L$6:$N$19,,MATCH(E270,'Landbrugsareal - resultat'!$L$5:$N$5,0)))),IF(C270=2030,SUMPRODUCT((B270='Landbrugsareal - resultat'!$B$6:$B$19)*(INDEX('Landbrugsareal - resultat'!$O$6:$Q$19,,MATCH(E270,'Landbrugsareal - resultat'!$O$5:$Q$5,0)))),SUMPRODUCT((B270='Landbrugsareal - resultat'!$B$6:$B$19)*(INDEX('Landbrugsareal - resultat'!$R$6:$T$19,,MATCH(E270,'Landbrugsareal - resultat'!$R$5:$T$5,0))))))),IF(D270="Konventionel",IF(C270=2019,SUMPRODUCT((B270='Landbrugsareal - resultat'!$B$33:$B$46)*(INDEX('Landbrugsareal - resultat'!$C$33:$E$46,,MATCH(E270,'Landbrugsareal - resultat'!$C$5:$E$5,0)))),IF(C270=2030,SUMPRODUCT((B270='Landbrugsareal - resultat'!$B$33:$B$46)*(INDEX('Landbrugsareal - resultat'!$F$33:$H$46,,MATCH(E270,'Landbrugsareal - resultat'!$F$5:$H$5,0)))),SUMPRODUCT((B270='Landbrugsareal - resultat'!$B$33:$B$46)*(INDEX('Landbrugsareal - resultat'!$I$33:$K$46,,MATCH(E270,'Landbrugsareal - resultat'!$I$5:$K$5,0)))))),IF(C270=2019,SUMPRODUCT((B270='Landbrugsareal - resultat'!$B$33:$B$46)*(INDEX('Landbrugsareal - resultat'!$L$33:$N$46,,MATCH(E270,'Landbrugsareal - resultat'!$L$5:$N$5,0)))),IF(C270=2030,SUMPRODUCT((B270='Landbrugsareal - resultat'!$B$33:$B$46)*(INDEX('Landbrugsareal - resultat'!$O$33:$Q$46,,MATCH(E270,'Landbrugsareal - resultat'!$O$5:$Q$5,0)))),SUMPRODUCT((B270='Landbrugsareal - resultat'!$B$33:$B$46)*(INDEX('Landbrugsareal - resultat'!$R$33:$T$46,,MATCH(E270,'Landbrugsareal - resultat'!$R$5:$T$5,0))))))))</f>
        <v>38827.181018281633</v>
      </c>
      <c r="H270" s="168">
        <f>G270*VLOOKUP(B270,[1]Afgrødedata!$A$5:$F$18,2,FALSE)*IF(D270="Økologisk",VLOOKUP(B270,[1]Afgrødedata!$A$5:$F$18,4,FALSE),1)*IF(E270&lt;&gt;Jordbund1,IF(E270=Organ6,VLOOKUP(B270,[1]Afgrødedata!$A$5:$F$18,5,FALSE),VLOOKUP(B270,[1]Afgrødedata!$A$5:$F$18,6,FALSE)),1)*0.1</f>
        <v>170839.59648043918</v>
      </c>
      <c r="I270" s="168">
        <f>G270*VLOOKUP(B270,[1]Afgrødedata!$A$5:$F$18,3,FALSE)*IF(D270="Økologisk",VLOOKUP(B270,[1]Afgrødedata!$A$5:$F$18,4,FALSE),1)*IF(E270&lt;&gt;Jordbund1,IF(E270=Organ6,VLOOKUP(B270,[1]Afgrødedata!$A$5:$F$18,5,FALSE),VLOOKUP(B270,[1]Afgrødedata!$A$5:$F$18,6,FALSE)),1)*HLOOKUP(C270,Landbrug!$C$15:$E$17,2,FALSE)*HLOOKUP(C270,Landbrug!$C$15:$E$17,3,FALSE)*0.1</f>
        <v>90715.825731113204</v>
      </c>
      <c r="J270" s="76">
        <f t="shared" si="42"/>
        <v>90715.825731113204</v>
      </c>
    </row>
    <row r="271" spans="1:10" x14ac:dyDescent="0.25">
      <c r="A271" t="s">
        <v>24</v>
      </c>
      <c r="B271" s="1" t="str">
        <f>[1]Afgrødefordeling!$C$5</f>
        <v>Græs</v>
      </c>
      <c r="C271">
        <v>2030</v>
      </c>
      <c r="D271" t="s">
        <v>7</v>
      </c>
      <c r="E271" s="168" t="str">
        <f t="shared" si="52"/>
        <v>JB1-10</v>
      </c>
      <c r="F271" t="str">
        <f t="shared" si="54"/>
        <v>Græs</v>
      </c>
      <c r="G271" s="76" cm="1">
        <f t="array" ref="G271">IF(A271="Vestdanmark",IF(D271="Konventionel",IF(C271=2019,SUMPRODUCT((B271='Landbrugsareal - resultat'!$B$6:$B$19)*(INDEX('Landbrugsareal - resultat'!$C$6:$E$19,,MATCH(E271,'Landbrugsareal - resultat'!$C$5:$E$5,0)))),IF(C271=2030,SUMPRODUCT((B271='Landbrugsareal - resultat'!$B$6:$B$19)*(INDEX('Landbrugsareal - resultat'!$F$6:$H$19,,MATCH(E271,'Landbrugsareal - resultat'!$F$5:$H$5,0)))),SUMPRODUCT((B271='Landbrugsareal - resultat'!$B$6:$B$19)*(INDEX('Landbrugsareal - resultat'!$I$6:$K$19,,MATCH(E271,'Landbrugsareal - resultat'!$I$5:$K$5,0)))))),IF(C271=2019,SUMPRODUCT((B271='Landbrugsareal - resultat'!$B$6:$B$19)*(INDEX('Landbrugsareal - resultat'!$L$6:$N$19,,MATCH(E271,'Landbrugsareal - resultat'!$L$5:$N$5,0)))),IF(C271=2030,SUMPRODUCT((B271='Landbrugsareal - resultat'!$B$6:$B$19)*(INDEX('Landbrugsareal - resultat'!$O$6:$Q$19,,MATCH(E271,'Landbrugsareal - resultat'!$O$5:$Q$5,0)))),SUMPRODUCT((B271='Landbrugsareal - resultat'!$B$6:$B$19)*(INDEX('Landbrugsareal - resultat'!$R$6:$T$19,,MATCH(E271,'Landbrugsareal - resultat'!$R$5:$T$5,0))))))),IF(D271="Konventionel",IF(C271=2019,SUMPRODUCT((B271='Landbrugsareal - resultat'!$B$33:$B$46)*(INDEX('Landbrugsareal - resultat'!$C$33:$E$46,,MATCH(E271,'Landbrugsareal - resultat'!$C$5:$E$5,0)))),IF(C271=2030,SUMPRODUCT((B271='Landbrugsareal - resultat'!$B$33:$B$46)*(INDEX('Landbrugsareal - resultat'!$F$33:$H$46,,MATCH(E271,'Landbrugsareal - resultat'!$F$5:$H$5,0)))),SUMPRODUCT((B271='Landbrugsareal - resultat'!$B$33:$B$46)*(INDEX('Landbrugsareal - resultat'!$I$33:$K$46,,MATCH(E271,'Landbrugsareal - resultat'!$I$5:$K$5,0)))))),IF(C271=2019,SUMPRODUCT((B271='Landbrugsareal - resultat'!$B$33:$B$46)*(INDEX('Landbrugsareal - resultat'!$L$33:$N$46,,MATCH(E271,'Landbrugsareal - resultat'!$L$5:$N$5,0)))),IF(C271=2030,SUMPRODUCT((B271='Landbrugsareal - resultat'!$B$33:$B$46)*(INDEX('Landbrugsareal - resultat'!$O$33:$Q$46,,MATCH(E271,'Landbrugsareal - resultat'!$O$5:$Q$5,0)))),SUMPRODUCT((B271='Landbrugsareal - resultat'!$B$33:$B$46)*(INDEX('Landbrugsareal - resultat'!$R$33:$T$46,,MATCH(E271,'Landbrugsareal - resultat'!$R$5:$T$5,0))))))))</f>
        <v>23588.479318523863</v>
      </c>
      <c r="H271" s="168">
        <f>G271*VLOOKUP(B271,[1]Afgrødedata!$A$5:$F$18,2,FALSE)*IF(D271="Økologisk",VLOOKUP(B271,[1]Afgrødedata!$A$5:$F$18,4,FALSE),1)*IF(E271&lt;&gt;Jordbund1,IF(E271=Organ6,VLOOKUP(B271,[1]Afgrødedata!$A$5:$F$18,5,FALSE),VLOOKUP(B271,[1]Afgrødedata!$A$5:$F$18,6,FALSE)),1)*0.1</f>
        <v>1170460.3437851542</v>
      </c>
      <c r="I271" s="168">
        <f>G271*VLOOKUP(B271,[1]Afgrødedata!$A$5:$F$18,3,FALSE)*IF(D271="Økologisk",VLOOKUP(B271,[1]Afgrødedata!$A$5:$F$18,4,FALSE),1)*IF(E271&lt;&gt;Jordbund1,IF(E271=Organ6,VLOOKUP(B271,[1]Afgrødedata!$A$5:$F$18,5,FALSE),VLOOKUP(B271,[1]Afgrødedata!$A$5:$F$18,6,FALSE)),1)*HLOOKUP(C271,Landbrug!$C$15:$E$17,2,FALSE)*HLOOKUP(C271,Landbrug!$C$15:$E$17,3,FALSE)*0.1</f>
        <v>0</v>
      </c>
      <c r="J271" s="76">
        <f t="shared" si="42"/>
        <v>1170460.3437851542</v>
      </c>
    </row>
    <row r="272" spans="1:10" x14ac:dyDescent="0.25">
      <c r="A272" t="s">
        <v>24</v>
      </c>
      <c r="B272" s="1" t="str">
        <f>[1]Afgrødefordeling!$C$6</f>
        <v>Grøntsager</v>
      </c>
      <c r="C272">
        <v>2030</v>
      </c>
      <c r="D272" t="s">
        <v>7</v>
      </c>
      <c r="E272" s="168" t="str">
        <f t="shared" si="52"/>
        <v>JB1-10</v>
      </c>
      <c r="F272" t="str">
        <f t="shared" si="54"/>
        <v>Grøntsager</v>
      </c>
      <c r="G272" s="76" cm="1">
        <f t="array" ref="G272">IF(A272="Vestdanmark",IF(D272="Konventionel",IF(C272=2019,SUMPRODUCT((B272='Landbrugsareal - resultat'!$B$6:$B$19)*(INDEX('Landbrugsareal - resultat'!$C$6:$E$19,,MATCH(E272,'Landbrugsareal - resultat'!$C$5:$E$5,0)))),IF(C272=2030,SUMPRODUCT((B272='Landbrugsareal - resultat'!$B$6:$B$19)*(INDEX('Landbrugsareal - resultat'!$F$6:$H$19,,MATCH(E272,'Landbrugsareal - resultat'!$F$5:$H$5,0)))),SUMPRODUCT((B272='Landbrugsareal - resultat'!$B$6:$B$19)*(INDEX('Landbrugsareal - resultat'!$I$6:$K$19,,MATCH(E272,'Landbrugsareal - resultat'!$I$5:$K$5,0)))))),IF(C272=2019,SUMPRODUCT((B272='Landbrugsareal - resultat'!$B$6:$B$19)*(INDEX('Landbrugsareal - resultat'!$L$6:$N$19,,MATCH(E272,'Landbrugsareal - resultat'!$L$5:$N$5,0)))),IF(C272=2030,SUMPRODUCT((B272='Landbrugsareal - resultat'!$B$6:$B$19)*(INDEX('Landbrugsareal - resultat'!$O$6:$Q$19,,MATCH(E272,'Landbrugsareal - resultat'!$O$5:$Q$5,0)))),SUMPRODUCT((B272='Landbrugsareal - resultat'!$B$6:$B$19)*(INDEX('Landbrugsareal - resultat'!$R$6:$T$19,,MATCH(E272,'Landbrugsareal - resultat'!$R$5:$T$5,0))))))),IF(D272="Konventionel",IF(C272=2019,SUMPRODUCT((B272='Landbrugsareal - resultat'!$B$33:$B$46)*(INDEX('Landbrugsareal - resultat'!$C$33:$E$46,,MATCH(E272,'Landbrugsareal - resultat'!$C$5:$E$5,0)))),IF(C272=2030,SUMPRODUCT((B272='Landbrugsareal - resultat'!$B$33:$B$46)*(INDEX('Landbrugsareal - resultat'!$F$33:$H$46,,MATCH(E272,'Landbrugsareal - resultat'!$F$5:$H$5,0)))),SUMPRODUCT((B272='Landbrugsareal - resultat'!$B$33:$B$46)*(INDEX('Landbrugsareal - resultat'!$I$33:$K$46,,MATCH(E272,'Landbrugsareal - resultat'!$I$5:$K$5,0)))))),IF(C272=2019,SUMPRODUCT((B272='Landbrugsareal - resultat'!$B$33:$B$46)*(INDEX('Landbrugsareal - resultat'!$L$33:$N$46,,MATCH(E272,'Landbrugsareal - resultat'!$L$5:$N$5,0)))),IF(C272=2030,SUMPRODUCT((B272='Landbrugsareal - resultat'!$B$33:$B$46)*(INDEX('Landbrugsareal - resultat'!$O$33:$Q$46,,MATCH(E272,'Landbrugsareal - resultat'!$O$5:$Q$5,0)))),SUMPRODUCT((B272='Landbrugsareal - resultat'!$B$33:$B$46)*(INDEX('Landbrugsareal - resultat'!$R$33:$T$46,,MATCH(E272,'Landbrugsareal - resultat'!$R$5:$T$5,0))))))))</f>
        <v>3696.3208792610235</v>
      </c>
      <c r="H272" s="168">
        <f>G272*VLOOKUP(B272,[1]Afgrødedata!$A$5:$F$18,2,FALSE)*IF(D272="Økologisk",VLOOKUP(B272,[1]Afgrødedata!$A$5:$F$18,4,FALSE),1)*IF(E272&lt;&gt;Jordbund1,IF(E272=Organ6,VLOOKUP(B272,[1]Afgrødedata!$A$5:$F$18,5,FALSE),VLOOKUP(B272,[1]Afgrødedata!$A$5:$F$18,6,FALSE)),1)*0.1</f>
        <v>76698.658244666236</v>
      </c>
      <c r="I272" s="168">
        <f>G272*VLOOKUP(B272,[1]Afgrødedata!$A$5:$F$18,3,FALSE)*IF(D272="Økologisk",VLOOKUP(B272,[1]Afgrødedata!$A$5:$F$18,4,FALSE),1)*IF(E272&lt;&gt;Jordbund1,IF(E272=Organ6,VLOOKUP(B272,[1]Afgrødedata!$A$5:$F$18,5,FALSE),VLOOKUP(B272,[1]Afgrødedata!$A$5:$F$18,6,FALSE)),1)*HLOOKUP(C272,Landbrug!$C$15:$E$17,2,FALSE)*HLOOKUP(C272,Landbrug!$C$15:$E$17,3,FALSE)*0.1</f>
        <v>0</v>
      </c>
      <c r="J272" s="76">
        <f t="shared" si="42"/>
        <v>76698.658244666236</v>
      </c>
    </row>
    <row r="273" spans="1:10" x14ac:dyDescent="0.25">
      <c r="A273" t="s">
        <v>24</v>
      </c>
      <c r="B273" s="1" t="str">
        <f>[1]Afgrødefordeling!$C$7</f>
        <v>Kartofler</v>
      </c>
      <c r="C273">
        <v>2030</v>
      </c>
      <c r="D273" t="s">
        <v>7</v>
      </c>
      <c r="E273" s="168" t="str">
        <f t="shared" si="52"/>
        <v>JB1-10</v>
      </c>
      <c r="F273" t="str">
        <f t="shared" si="54"/>
        <v>Kartofler</v>
      </c>
      <c r="G273" s="76" cm="1">
        <f t="array" ref="G273">IF(A273="Vestdanmark",IF(D273="Konventionel",IF(C273=2019,SUMPRODUCT((B273='Landbrugsareal - resultat'!$B$6:$B$19)*(INDEX('Landbrugsareal - resultat'!$C$6:$E$19,,MATCH(E273,'Landbrugsareal - resultat'!$C$5:$E$5,0)))),IF(C273=2030,SUMPRODUCT((B273='Landbrugsareal - resultat'!$B$6:$B$19)*(INDEX('Landbrugsareal - resultat'!$F$6:$H$19,,MATCH(E273,'Landbrugsareal - resultat'!$F$5:$H$5,0)))),SUMPRODUCT((B273='Landbrugsareal - resultat'!$B$6:$B$19)*(INDEX('Landbrugsareal - resultat'!$I$6:$K$19,,MATCH(E273,'Landbrugsareal - resultat'!$I$5:$K$5,0)))))),IF(C273=2019,SUMPRODUCT((B273='Landbrugsareal - resultat'!$B$6:$B$19)*(INDEX('Landbrugsareal - resultat'!$L$6:$N$19,,MATCH(E273,'Landbrugsareal - resultat'!$L$5:$N$5,0)))),IF(C273=2030,SUMPRODUCT((B273='Landbrugsareal - resultat'!$B$6:$B$19)*(INDEX('Landbrugsareal - resultat'!$O$6:$Q$19,,MATCH(E273,'Landbrugsareal - resultat'!$O$5:$Q$5,0)))),SUMPRODUCT((B273='Landbrugsareal - resultat'!$B$6:$B$19)*(INDEX('Landbrugsareal - resultat'!$R$6:$T$19,,MATCH(E273,'Landbrugsareal - resultat'!$R$5:$T$5,0))))))),IF(D273="Konventionel",IF(C273=2019,SUMPRODUCT((B273='Landbrugsareal - resultat'!$B$33:$B$46)*(INDEX('Landbrugsareal - resultat'!$C$33:$E$46,,MATCH(E273,'Landbrugsareal - resultat'!$C$5:$E$5,0)))),IF(C273=2030,SUMPRODUCT((B273='Landbrugsareal - resultat'!$B$33:$B$46)*(INDEX('Landbrugsareal - resultat'!$F$33:$H$46,,MATCH(E273,'Landbrugsareal - resultat'!$F$5:$H$5,0)))),SUMPRODUCT((B273='Landbrugsareal - resultat'!$B$33:$B$46)*(INDEX('Landbrugsareal - resultat'!$I$33:$K$46,,MATCH(E273,'Landbrugsareal - resultat'!$I$5:$K$5,0)))))),IF(C273=2019,SUMPRODUCT((B273='Landbrugsareal - resultat'!$B$33:$B$46)*(INDEX('Landbrugsareal - resultat'!$L$33:$N$46,,MATCH(E273,'Landbrugsareal - resultat'!$L$5:$N$5,0)))),IF(C273=2030,SUMPRODUCT((B273='Landbrugsareal - resultat'!$B$33:$B$46)*(INDEX('Landbrugsareal - resultat'!$O$33:$Q$46,,MATCH(E273,'Landbrugsareal - resultat'!$O$5:$Q$5,0)))),SUMPRODUCT((B273='Landbrugsareal - resultat'!$B$33:$B$46)*(INDEX('Landbrugsareal - resultat'!$R$33:$T$46,,MATCH(E273,'Landbrugsareal - resultat'!$R$5:$T$5,0))))))))</f>
        <v>2371.1989189359497</v>
      </c>
      <c r="H273" s="168">
        <f>G273*VLOOKUP(B273,[1]Afgrødedata!$A$5:$F$18,2,FALSE)*IF(D273="Økologisk",VLOOKUP(B273,[1]Afgrødedata!$A$5:$F$18,4,FALSE),1)*IF(E273&lt;&gt;Jordbund1,IF(E273=Organ6,VLOOKUP(B273,[1]Afgrødedata!$A$5:$F$18,5,FALSE),VLOOKUP(B273,[1]Afgrødedata!$A$5:$F$18,6,FALSE)),1)*0.1</f>
        <v>100706.95091163422</v>
      </c>
      <c r="I273" s="168">
        <f>G273*VLOOKUP(B273,[1]Afgrødedata!$A$5:$F$18,3,FALSE)*IF(D273="Økologisk",VLOOKUP(B273,[1]Afgrødedata!$A$5:$F$18,4,FALSE),1)*IF(E273&lt;&gt;Jordbund1,IF(E273=Organ6,VLOOKUP(B273,[1]Afgrødedata!$A$5:$F$18,5,FALSE),VLOOKUP(B273,[1]Afgrødedata!$A$5:$F$18,6,FALSE)),1)*HLOOKUP(C273,Landbrug!$C$15:$E$17,2,FALSE)*HLOOKUP(C273,Landbrug!$C$15:$E$17,3,FALSE)*0.1</f>
        <v>0</v>
      </c>
      <c r="J273" s="76">
        <f t="shared" si="42"/>
        <v>100706.95091163422</v>
      </c>
    </row>
    <row r="274" spans="1:10" x14ac:dyDescent="0.25">
      <c r="A274" t="s">
        <v>24</v>
      </c>
      <c r="B274" s="1" t="str">
        <f>[1]Afgrødefordeling!$C$8</f>
        <v>Roer</v>
      </c>
      <c r="C274">
        <v>2030</v>
      </c>
      <c r="D274" t="s">
        <v>7</v>
      </c>
      <c r="E274" s="168" t="str">
        <f t="shared" si="52"/>
        <v>JB1-10</v>
      </c>
      <c r="F274" t="str">
        <f t="shared" si="54"/>
        <v>Roer</v>
      </c>
      <c r="G274" s="76" cm="1">
        <f t="array" ref="G274">IF(A274="Vestdanmark",IF(D274="Konventionel",IF(C274=2019,SUMPRODUCT((B274='Landbrugsareal - resultat'!$B$6:$B$19)*(INDEX('Landbrugsareal - resultat'!$C$6:$E$19,,MATCH(E274,'Landbrugsareal - resultat'!$C$5:$E$5,0)))),IF(C274=2030,SUMPRODUCT((B274='Landbrugsareal - resultat'!$B$6:$B$19)*(INDEX('Landbrugsareal - resultat'!$F$6:$H$19,,MATCH(E274,'Landbrugsareal - resultat'!$F$5:$H$5,0)))),SUMPRODUCT((B274='Landbrugsareal - resultat'!$B$6:$B$19)*(INDEX('Landbrugsareal - resultat'!$I$6:$K$19,,MATCH(E274,'Landbrugsareal - resultat'!$I$5:$K$5,0)))))),IF(C274=2019,SUMPRODUCT((B274='Landbrugsareal - resultat'!$B$6:$B$19)*(INDEX('Landbrugsareal - resultat'!$L$6:$N$19,,MATCH(E274,'Landbrugsareal - resultat'!$L$5:$N$5,0)))),IF(C274=2030,SUMPRODUCT((B274='Landbrugsareal - resultat'!$B$6:$B$19)*(INDEX('Landbrugsareal - resultat'!$O$6:$Q$19,,MATCH(E274,'Landbrugsareal - resultat'!$O$5:$Q$5,0)))),SUMPRODUCT((B274='Landbrugsareal - resultat'!$B$6:$B$19)*(INDEX('Landbrugsareal - resultat'!$R$6:$T$19,,MATCH(E274,'Landbrugsareal - resultat'!$R$5:$T$5,0))))))),IF(D274="Konventionel",IF(C274=2019,SUMPRODUCT((B274='Landbrugsareal - resultat'!$B$33:$B$46)*(INDEX('Landbrugsareal - resultat'!$C$33:$E$46,,MATCH(E274,'Landbrugsareal - resultat'!$C$5:$E$5,0)))),IF(C274=2030,SUMPRODUCT((B274='Landbrugsareal - resultat'!$B$33:$B$46)*(INDEX('Landbrugsareal - resultat'!$F$33:$H$46,,MATCH(E274,'Landbrugsareal - resultat'!$F$5:$H$5,0)))),SUMPRODUCT((B274='Landbrugsareal - resultat'!$B$33:$B$46)*(INDEX('Landbrugsareal - resultat'!$I$33:$K$46,,MATCH(E274,'Landbrugsareal - resultat'!$I$5:$K$5,0)))))),IF(C274=2019,SUMPRODUCT((B274='Landbrugsareal - resultat'!$B$33:$B$46)*(INDEX('Landbrugsareal - resultat'!$L$33:$N$46,,MATCH(E274,'Landbrugsareal - resultat'!$L$5:$N$5,0)))),IF(C274=2030,SUMPRODUCT((B274='Landbrugsareal - resultat'!$B$33:$B$46)*(INDEX('Landbrugsareal - resultat'!$O$33:$Q$46,,MATCH(E274,'Landbrugsareal - resultat'!$O$5:$Q$5,0)))),SUMPRODUCT((B274='Landbrugsareal - resultat'!$B$33:$B$46)*(INDEX('Landbrugsareal - resultat'!$R$33:$T$46,,MATCH(E274,'Landbrugsareal - resultat'!$R$5:$T$5,0))))))))</f>
        <v>24650.054526295378</v>
      </c>
      <c r="H274" s="168">
        <f>G274*VLOOKUP(B274,[1]Afgrødedata!$A$5:$F$18,2,FALSE)*IF(D274="Økologisk",VLOOKUP(B274,[1]Afgrødedata!$A$5:$F$18,4,FALSE),1)*IF(E274&lt;&gt;Jordbund1,IF(E274=Organ6,VLOOKUP(B274,[1]Afgrødedata!$A$5:$F$18,5,FALSE),VLOOKUP(B274,[1]Afgrødedata!$A$5:$F$18,6,FALSE)),1)*0.1</f>
        <v>2002908.9080768959</v>
      </c>
      <c r="I274" s="168">
        <f>G274*VLOOKUP(B274,[1]Afgrødedata!$A$5:$F$18,3,FALSE)*IF(D274="Økologisk",VLOOKUP(B274,[1]Afgrødedata!$A$5:$F$18,4,FALSE),1)*IF(E274&lt;&gt;Jordbund1,IF(E274=Organ6,VLOOKUP(B274,[1]Afgrødedata!$A$5:$F$18,5,FALSE),VLOOKUP(B274,[1]Afgrødedata!$A$5:$F$18,6,FALSE)),1)*HLOOKUP(C274,Landbrug!$C$15:$E$17,2,FALSE)*HLOOKUP(C274,Landbrug!$C$15:$E$17,3,FALSE)*0.1</f>
        <v>0</v>
      </c>
      <c r="J274" s="76">
        <f t="shared" si="42"/>
        <v>2002908.9080768959</v>
      </c>
    </row>
    <row r="275" spans="1:10" x14ac:dyDescent="0.25">
      <c r="A275" t="s">
        <v>24</v>
      </c>
      <c r="B275" s="1" t="str">
        <f>[1]Afgrødefordeling!$C$9</f>
        <v>Majs</v>
      </c>
      <c r="C275">
        <v>2030</v>
      </c>
      <c r="D275" t="s">
        <v>7</v>
      </c>
      <c r="E275" s="168" t="str">
        <f t="shared" si="52"/>
        <v>JB1-10</v>
      </c>
      <c r="F275" t="str">
        <f t="shared" si="54"/>
        <v>Majs</v>
      </c>
      <c r="G275" s="76" cm="1">
        <f t="array" ref="G275">IF(A275="Vestdanmark",IF(D275="Konventionel",IF(C275=2019,SUMPRODUCT((B275='Landbrugsareal - resultat'!$B$6:$B$19)*(INDEX('Landbrugsareal - resultat'!$C$6:$E$19,,MATCH(E275,'Landbrugsareal - resultat'!$C$5:$E$5,0)))),IF(C275=2030,SUMPRODUCT((B275='Landbrugsareal - resultat'!$B$6:$B$19)*(INDEX('Landbrugsareal - resultat'!$F$6:$H$19,,MATCH(E275,'Landbrugsareal - resultat'!$F$5:$H$5,0)))),SUMPRODUCT((B275='Landbrugsareal - resultat'!$B$6:$B$19)*(INDEX('Landbrugsareal - resultat'!$I$6:$K$19,,MATCH(E275,'Landbrugsareal - resultat'!$I$5:$K$5,0)))))),IF(C275=2019,SUMPRODUCT((B275='Landbrugsareal - resultat'!$B$6:$B$19)*(INDEX('Landbrugsareal - resultat'!$L$6:$N$19,,MATCH(E275,'Landbrugsareal - resultat'!$L$5:$N$5,0)))),IF(C275=2030,SUMPRODUCT((B275='Landbrugsareal - resultat'!$B$6:$B$19)*(INDEX('Landbrugsareal - resultat'!$O$6:$Q$19,,MATCH(E275,'Landbrugsareal - resultat'!$O$5:$Q$5,0)))),SUMPRODUCT((B275='Landbrugsareal - resultat'!$B$6:$B$19)*(INDEX('Landbrugsareal - resultat'!$R$6:$T$19,,MATCH(E275,'Landbrugsareal - resultat'!$R$5:$T$5,0))))))),IF(D275="Konventionel",IF(C275=2019,SUMPRODUCT((B275='Landbrugsareal - resultat'!$B$33:$B$46)*(INDEX('Landbrugsareal - resultat'!$C$33:$E$46,,MATCH(E275,'Landbrugsareal - resultat'!$C$5:$E$5,0)))),IF(C275=2030,SUMPRODUCT((B275='Landbrugsareal - resultat'!$B$33:$B$46)*(INDEX('Landbrugsareal - resultat'!$F$33:$H$46,,MATCH(E275,'Landbrugsareal - resultat'!$F$5:$H$5,0)))),SUMPRODUCT((B275='Landbrugsareal - resultat'!$B$33:$B$46)*(INDEX('Landbrugsareal - resultat'!$I$33:$K$46,,MATCH(E275,'Landbrugsareal - resultat'!$I$5:$K$5,0)))))),IF(C275=2019,SUMPRODUCT((B275='Landbrugsareal - resultat'!$B$33:$B$46)*(INDEX('Landbrugsareal - resultat'!$L$33:$N$46,,MATCH(E275,'Landbrugsareal - resultat'!$L$5:$N$5,0)))),IF(C275=2030,SUMPRODUCT((B275='Landbrugsareal - resultat'!$B$33:$B$46)*(INDEX('Landbrugsareal - resultat'!$O$33:$Q$46,,MATCH(E275,'Landbrugsareal - resultat'!$O$5:$Q$5,0)))),SUMPRODUCT((B275='Landbrugsareal - resultat'!$B$33:$B$46)*(INDEX('Landbrugsareal - resultat'!$R$33:$T$46,,MATCH(E275,'Landbrugsareal - resultat'!$R$5:$T$5,0))))))))</f>
        <v>6971.9527303221239</v>
      </c>
      <c r="H275" s="168">
        <f>G275*VLOOKUP(B275,[1]Afgrødedata!$A$5:$F$18,2,FALSE)*IF(D275="Økologisk",VLOOKUP(B275,[1]Afgrødedata!$A$5:$F$18,4,FALSE),1)*IF(E275&lt;&gt;Jordbund1,IF(E275=Organ6,VLOOKUP(B275,[1]Afgrødedata!$A$5:$F$18,5,FALSE),VLOOKUP(B275,[1]Afgrødedata!$A$5:$F$18,6,FALSE)),1)*0.1</f>
        <v>310321.61602663778</v>
      </c>
      <c r="I275" s="168">
        <f>G275*VLOOKUP(B275,[1]Afgrødedata!$A$5:$F$18,3,FALSE)*IF(D275="Økologisk",VLOOKUP(B275,[1]Afgrødedata!$A$5:$F$18,4,FALSE),1)*IF(E275&lt;&gt;Jordbund1,IF(E275=Organ6,VLOOKUP(B275,[1]Afgrødedata!$A$5:$F$18,5,FALSE),VLOOKUP(B275,[1]Afgrødedata!$A$5:$F$18,6,FALSE)),1)*HLOOKUP(C275,Landbrug!$C$15:$E$17,2,FALSE)*HLOOKUP(C275,Landbrug!$C$15:$E$17,3,FALSE)*0.1</f>
        <v>0</v>
      </c>
      <c r="J275" s="76">
        <f t="shared" si="42"/>
        <v>310321.61602663778</v>
      </c>
    </row>
    <row r="276" spans="1:10" x14ac:dyDescent="0.25">
      <c r="A276" t="s">
        <v>24</v>
      </c>
      <c r="B276" s="1" t="str">
        <f>[1]Afgrødefordeling!$C$10</f>
        <v>Frugt</v>
      </c>
      <c r="C276">
        <v>2030</v>
      </c>
      <c r="D276" t="s">
        <v>7</v>
      </c>
      <c r="E276" s="168" t="str">
        <f t="shared" si="52"/>
        <v>JB1-10</v>
      </c>
      <c r="F276" t="str">
        <f t="shared" si="54"/>
        <v>Frugt</v>
      </c>
      <c r="G276" s="76" cm="1">
        <f t="array" ref="G276">IF(A276="Vestdanmark",IF(D276="Konventionel",IF(C276=2019,SUMPRODUCT((B276='Landbrugsareal - resultat'!$B$6:$B$19)*(INDEX('Landbrugsareal - resultat'!$C$6:$E$19,,MATCH(E276,'Landbrugsareal - resultat'!$C$5:$E$5,0)))),IF(C276=2030,SUMPRODUCT((B276='Landbrugsareal - resultat'!$B$6:$B$19)*(INDEX('Landbrugsareal - resultat'!$F$6:$H$19,,MATCH(E276,'Landbrugsareal - resultat'!$F$5:$H$5,0)))),SUMPRODUCT((B276='Landbrugsareal - resultat'!$B$6:$B$19)*(INDEX('Landbrugsareal - resultat'!$I$6:$K$19,,MATCH(E276,'Landbrugsareal - resultat'!$I$5:$K$5,0)))))),IF(C276=2019,SUMPRODUCT((B276='Landbrugsareal - resultat'!$B$6:$B$19)*(INDEX('Landbrugsareal - resultat'!$L$6:$N$19,,MATCH(E276,'Landbrugsareal - resultat'!$L$5:$N$5,0)))),IF(C276=2030,SUMPRODUCT((B276='Landbrugsareal - resultat'!$B$6:$B$19)*(INDEX('Landbrugsareal - resultat'!$O$6:$Q$19,,MATCH(E276,'Landbrugsareal - resultat'!$O$5:$Q$5,0)))),SUMPRODUCT((B276='Landbrugsareal - resultat'!$B$6:$B$19)*(INDEX('Landbrugsareal - resultat'!$R$6:$T$19,,MATCH(E276,'Landbrugsareal - resultat'!$R$5:$T$5,0))))))),IF(D276="Konventionel",IF(C276=2019,SUMPRODUCT((B276='Landbrugsareal - resultat'!$B$33:$B$46)*(INDEX('Landbrugsareal - resultat'!$C$33:$E$46,,MATCH(E276,'Landbrugsareal - resultat'!$C$5:$E$5,0)))),IF(C276=2030,SUMPRODUCT((B276='Landbrugsareal - resultat'!$B$33:$B$46)*(INDEX('Landbrugsareal - resultat'!$F$33:$H$46,,MATCH(E276,'Landbrugsareal - resultat'!$F$5:$H$5,0)))),SUMPRODUCT((B276='Landbrugsareal - resultat'!$B$33:$B$46)*(INDEX('Landbrugsareal - resultat'!$I$33:$K$46,,MATCH(E276,'Landbrugsareal - resultat'!$I$5:$K$5,0)))))),IF(C276=2019,SUMPRODUCT((B276='Landbrugsareal - resultat'!$B$33:$B$46)*(INDEX('Landbrugsareal - resultat'!$L$33:$N$46,,MATCH(E276,'Landbrugsareal - resultat'!$L$5:$N$5,0)))),IF(C276=2030,SUMPRODUCT((B276='Landbrugsareal - resultat'!$B$33:$B$46)*(INDEX('Landbrugsareal - resultat'!$O$33:$Q$46,,MATCH(E276,'Landbrugsareal - resultat'!$O$5:$Q$5,0)))),SUMPRODUCT((B276='Landbrugsareal - resultat'!$B$33:$B$46)*(INDEX('Landbrugsareal - resultat'!$R$33:$T$46,,MATCH(E276,'Landbrugsareal - resultat'!$R$5:$T$5,0))))))))</f>
        <v>1622.2425508499273</v>
      </c>
      <c r="H276" s="168">
        <f>G276*VLOOKUP(B276,[1]Afgrødedata!$A$5:$F$18,2,FALSE)*IF(D276="Økologisk",VLOOKUP(B276,[1]Afgrødedata!$A$5:$F$18,4,FALSE),1)*IF(E276&lt;&gt;Jordbund1,IF(E276=Organ6,VLOOKUP(B276,[1]Afgrødedata!$A$5:$F$18,5,FALSE),VLOOKUP(B276,[1]Afgrødedata!$A$5:$F$18,6,FALSE)),1)*0.1</f>
        <v>13772.839256715883</v>
      </c>
      <c r="I276" s="168">
        <f>G276*VLOOKUP(B276,[1]Afgrødedata!$A$5:$F$18,3,FALSE)*IF(D276="Økologisk",VLOOKUP(B276,[1]Afgrødedata!$A$5:$F$18,4,FALSE),1)*IF(E276&lt;&gt;Jordbund1,IF(E276=Organ6,VLOOKUP(B276,[1]Afgrødedata!$A$5:$F$18,5,FALSE),VLOOKUP(B276,[1]Afgrødedata!$A$5:$F$18,6,FALSE)),1)*HLOOKUP(C276,Landbrug!$C$15:$E$17,2,FALSE)*HLOOKUP(C276,Landbrug!$C$15:$E$17,3,FALSE)*0.1</f>
        <v>0</v>
      </c>
      <c r="J276" s="76">
        <f t="shared" si="42"/>
        <v>13772.839256715883</v>
      </c>
    </row>
    <row r="277" spans="1:10" x14ac:dyDescent="0.25">
      <c r="A277" t="s">
        <v>24</v>
      </c>
      <c r="B277" s="1" t="str">
        <f>[1]Afgrødefordeling!$C$11</f>
        <v>Øvrige</v>
      </c>
      <c r="C277">
        <v>2030</v>
      </c>
      <c r="D277" t="s">
        <v>7</v>
      </c>
      <c r="E277" s="168" t="str">
        <f t="shared" si="52"/>
        <v>JB1-10</v>
      </c>
      <c r="F277" t="str">
        <f t="shared" si="54"/>
        <v>Øvrige</v>
      </c>
      <c r="G277" s="76" cm="1">
        <f t="array" ref="G277">IF(A277="Vestdanmark",IF(D277="Konventionel",IF(C277=2019,SUMPRODUCT((B277='Landbrugsareal - resultat'!$B$6:$B$19)*(INDEX('Landbrugsareal - resultat'!$C$6:$E$19,,MATCH(E277,'Landbrugsareal - resultat'!$C$5:$E$5,0)))),IF(C277=2030,SUMPRODUCT((B277='Landbrugsareal - resultat'!$B$6:$B$19)*(INDEX('Landbrugsareal - resultat'!$F$6:$H$19,,MATCH(E277,'Landbrugsareal - resultat'!$F$5:$H$5,0)))),SUMPRODUCT((B277='Landbrugsareal - resultat'!$B$6:$B$19)*(INDEX('Landbrugsareal - resultat'!$I$6:$K$19,,MATCH(E277,'Landbrugsareal - resultat'!$I$5:$K$5,0)))))),IF(C277=2019,SUMPRODUCT((B277='Landbrugsareal - resultat'!$B$6:$B$19)*(INDEX('Landbrugsareal - resultat'!$L$6:$N$19,,MATCH(E277,'Landbrugsareal - resultat'!$L$5:$N$5,0)))),IF(C277=2030,SUMPRODUCT((B277='Landbrugsareal - resultat'!$B$6:$B$19)*(INDEX('Landbrugsareal - resultat'!$O$6:$Q$19,,MATCH(E277,'Landbrugsareal - resultat'!$O$5:$Q$5,0)))),SUMPRODUCT((B277='Landbrugsareal - resultat'!$B$6:$B$19)*(INDEX('Landbrugsareal - resultat'!$R$6:$T$19,,MATCH(E277,'Landbrugsareal - resultat'!$R$5:$T$5,0))))))),IF(D277="Konventionel",IF(C277=2019,SUMPRODUCT((B277='Landbrugsareal - resultat'!$B$33:$B$46)*(INDEX('Landbrugsareal - resultat'!$C$33:$E$46,,MATCH(E277,'Landbrugsareal - resultat'!$C$5:$E$5,0)))),IF(C277=2030,SUMPRODUCT((B277='Landbrugsareal - resultat'!$B$33:$B$46)*(INDEX('Landbrugsareal - resultat'!$F$33:$H$46,,MATCH(E277,'Landbrugsareal - resultat'!$F$5:$H$5,0)))),SUMPRODUCT((B277='Landbrugsareal - resultat'!$B$33:$B$46)*(INDEX('Landbrugsareal - resultat'!$I$33:$K$46,,MATCH(E277,'Landbrugsareal - resultat'!$I$5:$K$5,0)))))),IF(C277=2019,SUMPRODUCT((B277='Landbrugsareal - resultat'!$B$33:$B$46)*(INDEX('Landbrugsareal - resultat'!$L$33:$N$46,,MATCH(E277,'Landbrugsareal - resultat'!$L$5:$N$5,0)))),IF(C277=2030,SUMPRODUCT((B277='Landbrugsareal - resultat'!$B$33:$B$46)*(INDEX('Landbrugsareal - resultat'!$O$33:$Q$46,,MATCH(E277,'Landbrugsareal - resultat'!$O$5:$Q$5,0)))),SUMPRODUCT((B277='Landbrugsareal - resultat'!$B$33:$B$46)*(INDEX('Landbrugsareal - resultat'!$R$33:$T$46,,MATCH(E277,'Landbrugsareal - resultat'!$R$5:$T$5,0))))))))</f>
        <v>11583.598619685576</v>
      </c>
      <c r="H277" s="168">
        <f>G277*VLOOKUP(B277,[1]Afgrødedata!$A$5:$F$18,2,FALSE)*IF(D277="Økologisk",VLOOKUP(B277,[1]Afgrødedata!$A$5:$F$18,4,FALSE),1)*IF(E277&lt;&gt;Jordbund1,IF(E277=Organ6,VLOOKUP(B277,[1]Afgrødedata!$A$5:$F$18,5,FALSE),VLOOKUP(B277,[1]Afgrødedata!$A$5:$F$18,6,FALSE)),1)*0.1</f>
        <v>345144.2500936563</v>
      </c>
      <c r="I277" s="168">
        <f>G277*VLOOKUP(B277,[1]Afgrødedata!$A$5:$F$18,3,FALSE)*IF(D277="Økologisk",VLOOKUP(B277,[1]Afgrødedata!$A$5:$F$18,4,FALSE),1)*IF(E277&lt;&gt;Jordbund1,IF(E277=Organ6,VLOOKUP(B277,[1]Afgrødedata!$A$5:$F$18,5,FALSE),VLOOKUP(B277,[1]Afgrødedata!$A$5:$F$18,6,FALSE)),1)*HLOOKUP(C277,Landbrug!$C$15:$E$17,2,FALSE)*HLOOKUP(C277,Landbrug!$C$15:$E$17,3,FALSE)*0.1</f>
        <v>0</v>
      </c>
      <c r="J277" s="76">
        <f t="shared" ref="J277:J340" si="55">IF(I277&lt;&gt;0,I277,H277)</f>
        <v>345144.2500936563</v>
      </c>
    </row>
    <row r="278" spans="1:10" x14ac:dyDescent="0.25">
      <c r="A278" t="s">
        <v>24</v>
      </c>
      <c r="B278" s="1" t="str">
        <f>[1]Afgrødefordeling!$C$12</f>
        <v>Frø</v>
      </c>
      <c r="C278">
        <v>2030</v>
      </c>
      <c r="D278" t="s">
        <v>7</v>
      </c>
      <c r="E278" s="168" t="str">
        <f t="shared" si="52"/>
        <v>JB1-10</v>
      </c>
      <c r="F278" t="str">
        <f t="shared" si="54"/>
        <v>Halm</v>
      </c>
      <c r="G278" s="76" cm="1">
        <f t="array" ref="G278">IF(A278="Vestdanmark",IF(D278="Konventionel",IF(C278=2019,SUMPRODUCT((B278='Landbrugsareal - resultat'!$B$6:$B$19)*(INDEX('Landbrugsareal - resultat'!$C$6:$E$19,,MATCH(E278,'Landbrugsareal - resultat'!$C$5:$E$5,0)))),IF(C278=2030,SUMPRODUCT((B278='Landbrugsareal - resultat'!$B$6:$B$19)*(INDEX('Landbrugsareal - resultat'!$F$6:$H$19,,MATCH(E278,'Landbrugsareal - resultat'!$F$5:$H$5,0)))),SUMPRODUCT((B278='Landbrugsareal - resultat'!$B$6:$B$19)*(INDEX('Landbrugsareal - resultat'!$I$6:$K$19,,MATCH(E278,'Landbrugsareal - resultat'!$I$5:$K$5,0)))))),IF(C278=2019,SUMPRODUCT((B278='Landbrugsareal - resultat'!$B$6:$B$19)*(INDEX('Landbrugsareal - resultat'!$L$6:$N$19,,MATCH(E278,'Landbrugsareal - resultat'!$L$5:$N$5,0)))),IF(C278=2030,SUMPRODUCT((B278='Landbrugsareal - resultat'!$B$6:$B$19)*(INDEX('Landbrugsareal - resultat'!$O$6:$Q$19,,MATCH(E278,'Landbrugsareal - resultat'!$O$5:$Q$5,0)))),SUMPRODUCT((B278='Landbrugsareal - resultat'!$B$6:$B$19)*(INDEX('Landbrugsareal - resultat'!$R$6:$T$19,,MATCH(E278,'Landbrugsareal - resultat'!$R$5:$T$5,0))))))),IF(D278="Konventionel",IF(C278=2019,SUMPRODUCT((B278='Landbrugsareal - resultat'!$B$33:$B$46)*(INDEX('Landbrugsareal - resultat'!$C$33:$E$46,,MATCH(E278,'Landbrugsareal - resultat'!$C$5:$E$5,0)))),IF(C278=2030,SUMPRODUCT((B278='Landbrugsareal - resultat'!$B$33:$B$46)*(INDEX('Landbrugsareal - resultat'!$F$33:$H$46,,MATCH(E278,'Landbrugsareal - resultat'!$F$5:$H$5,0)))),SUMPRODUCT((B278='Landbrugsareal - resultat'!$B$33:$B$46)*(INDEX('Landbrugsareal - resultat'!$I$33:$K$46,,MATCH(E278,'Landbrugsareal - resultat'!$I$5:$K$5,0)))))),IF(C278=2019,SUMPRODUCT((B278='Landbrugsareal - resultat'!$B$33:$B$46)*(INDEX('Landbrugsareal - resultat'!$L$33:$N$46,,MATCH(E278,'Landbrugsareal - resultat'!$L$5:$N$5,0)))),IF(C278=2030,SUMPRODUCT((B278='Landbrugsareal - resultat'!$B$33:$B$46)*(INDEX('Landbrugsareal - resultat'!$O$33:$Q$46,,MATCH(E278,'Landbrugsareal - resultat'!$O$5:$Q$5,0)))),SUMPRODUCT((B278='Landbrugsareal - resultat'!$B$33:$B$46)*(INDEX('Landbrugsareal - resultat'!$R$33:$T$46,,MATCH(E278,'Landbrugsareal - resultat'!$R$5:$T$5,0))))))))</f>
        <v>35839.312475031358</v>
      </c>
      <c r="H278" s="168">
        <f>G278*VLOOKUP(B278,[1]Afgrødedata!$A$5:$F$18,2,FALSE)*IF(D278="Økologisk",VLOOKUP(B278,[1]Afgrødedata!$A$5:$F$18,4,FALSE),1)*IF(E278&lt;&gt;Jordbund1,IF(E278=Organ6,VLOOKUP(B278,[1]Afgrødedata!$A$5:$F$18,5,FALSE),VLOOKUP(B278,[1]Afgrødedata!$A$5:$F$18,6,FALSE)),1)*0.1</f>
        <v>512102.94567170762</v>
      </c>
      <c r="I278" s="168">
        <f>G278*VLOOKUP(B278,[1]Afgrødedata!$A$5:$F$18,3,FALSE)*IF(D278="Økologisk",VLOOKUP(B278,[1]Afgrødedata!$A$5:$F$18,4,FALSE),1)*IF(E278&lt;&gt;Jordbund1,IF(E278=Organ6,VLOOKUP(B278,[1]Afgrødedata!$A$5:$F$18,5,FALSE),VLOOKUP(B278,[1]Afgrødedata!$A$5:$F$18,6,FALSE)),1)*HLOOKUP(C278,Landbrug!$C$15:$E$17,2,FALSE)*HLOOKUP(C278,Landbrug!$C$15:$E$17,3,FALSE)*0.1</f>
        <v>84580.777441074009</v>
      </c>
      <c r="J278" s="76">
        <f t="shared" si="55"/>
        <v>84580.777441074009</v>
      </c>
    </row>
    <row r="279" spans="1:10" x14ac:dyDescent="0.25">
      <c r="A279" t="s">
        <v>24</v>
      </c>
      <c r="B279" s="1" t="str">
        <f>[1]Afgrødefordeling!$C$13</f>
        <v>Juletræer</v>
      </c>
      <c r="C279">
        <v>2030</v>
      </c>
      <c r="D279" t="s">
        <v>7</v>
      </c>
      <c r="E279" s="168" t="str">
        <f t="shared" si="52"/>
        <v>JB1-10</v>
      </c>
      <c r="F279" t="str">
        <f t="shared" si="54"/>
        <v>Juletræer</v>
      </c>
      <c r="G279" s="76" cm="1">
        <f t="array" ref="G279">IF(A279="Vestdanmark",IF(D279="Konventionel",IF(C279=2019,SUMPRODUCT((B279='Landbrugsareal - resultat'!$B$6:$B$19)*(INDEX('Landbrugsareal - resultat'!$C$6:$E$19,,MATCH(E279,'Landbrugsareal - resultat'!$C$5:$E$5,0)))),IF(C279=2030,SUMPRODUCT((B279='Landbrugsareal - resultat'!$B$6:$B$19)*(INDEX('Landbrugsareal - resultat'!$F$6:$H$19,,MATCH(E279,'Landbrugsareal - resultat'!$F$5:$H$5,0)))),SUMPRODUCT((B279='Landbrugsareal - resultat'!$B$6:$B$19)*(INDEX('Landbrugsareal - resultat'!$I$6:$K$19,,MATCH(E279,'Landbrugsareal - resultat'!$I$5:$K$5,0)))))),IF(C279=2019,SUMPRODUCT((B279='Landbrugsareal - resultat'!$B$6:$B$19)*(INDEX('Landbrugsareal - resultat'!$L$6:$N$19,,MATCH(E279,'Landbrugsareal - resultat'!$L$5:$N$5,0)))),IF(C279=2030,SUMPRODUCT((B279='Landbrugsareal - resultat'!$B$6:$B$19)*(INDEX('Landbrugsareal - resultat'!$O$6:$Q$19,,MATCH(E279,'Landbrugsareal - resultat'!$O$5:$Q$5,0)))),SUMPRODUCT((B279='Landbrugsareal - resultat'!$B$6:$B$19)*(INDEX('Landbrugsareal - resultat'!$R$6:$T$19,,MATCH(E279,'Landbrugsareal - resultat'!$R$5:$T$5,0))))))),IF(D279="Konventionel",IF(C279=2019,SUMPRODUCT((B279='Landbrugsareal - resultat'!$B$33:$B$46)*(INDEX('Landbrugsareal - resultat'!$C$33:$E$46,,MATCH(E279,'Landbrugsareal - resultat'!$C$5:$E$5,0)))),IF(C279=2030,SUMPRODUCT((B279='Landbrugsareal - resultat'!$B$33:$B$46)*(INDEX('Landbrugsareal - resultat'!$F$33:$H$46,,MATCH(E279,'Landbrugsareal - resultat'!$F$5:$H$5,0)))),SUMPRODUCT((B279='Landbrugsareal - resultat'!$B$33:$B$46)*(INDEX('Landbrugsareal - resultat'!$I$33:$K$46,,MATCH(E279,'Landbrugsareal - resultat'!$I$5:$K$5,0)))))),IF(C279=2019,SUMPRODUCT((B279='Landbrugsareal - resultat'!$B$33:$B$46)*(INDEX('Landbrugsareal - resultat'!$L$33:$N$46,,MATCH(E279,'Landbrugsareal - resultat'!$L$5:$N$5,0)))),IF(C279=2030,SUMPRODUCT((B279='Landbrugsareal - resultat'!$B$33:$B$46)*(INDEX('Landbrugsareal - resultat'!$O$33:$Q$46,,MATCH(E279,'Landbrugsareal - resultat'!$O$5:$Q$5,0)))),SUMPRODUCT((B279='Landbrugsareal - resultat'!$B$33:$B$46)*(INDEX('Landbrugsareal - resultat'!$R$33:$T$46,,MATCH(E279,'Landbrugsareal - resultat'!$R$5:$T$5,0))))))))</f>
        <v>2542.0448455894616</v>
      </c>
      <c r="H279" s="168">
        <f>G279*VLOOKUP(B279,[1]Afgrødedata!$A$5:$F$18,2,FALSE)*IF(D279="Økologisk",VLOOKUP(B279,[1]Afgrødedata!$A$5:$F$18,4,FALSE),1)*IF(E279&lt;&gt;Jordbund1,IF(E279=Organ6,VLOOKUP(B279,[1]Afgrødedata!$A$5:$F$18,5,FALSE),VLOOKUP(B279,[1]Afgrødedata!$A$5:$F$18,6,FALSE)),1)*0.1</f>
        <v>127102.2422794731</v>
      </c>
      <c r="I279" s="168">
        <f>G279*VLOOKUP(B279,[1]Afgrødedata!$A$5:$F$18,3,FALSE)*IF(D279="Økologisk",VLOOKUP(B279,[1]Afgrødedata!$A$5:$F$18,4,FALSE),1)*IF(E279&lt;&gt;Jordbund1,IF(E279=Organ6,VLOOKUP(B279,[1]Afgrødedata!$A$5:$F$18,5,FALSE),VLOOKUP(B279,[1]Afgrødedata!$A$5:$F$18,6,FALSE)),1)*HLOOKUP(C279,Landbrug!$C$15:$E$17,2,FALSE)*HLOOKUP(C279,Landbrug!$C$15:$E$17,3,FALSE)*0.1</f>
        <v>0</v>
      </c>
      <c r="J279" s="76">
        <f t="shared" si="55"/>
        <v>127102.2422794731</v>
      </c>
    </row>
    <row r="280" spans="1:10" x14ac:dyDescent="0.25">
      <c r="A280" t="s">
        <v>24</v>
      </c>
      <c r="B280" s="1" t="str">
        <f>[1]Afgrødefordeling!$C$14</f>
        <v>Pil &amp; poppel</v>
      </c>
      <c r="C280">
        <v>2030</v>
      </c>
      <c r="D280" t="s">
        <v>7</v>
      </c>
      <c r="E280" s="168" t="str">
        <f t="shared" si="52"/>
        <v>JB1-10</v>
      </c>
      <c r="F280" t="str">
        <f t="shared" si="54"/>
        <v>Pil &amp; poppel</v>
      </c>
      <c r="G280" s="76" cm="1">
        <f t="array" ref="G280">IF(A280="Vestdanmark",IF(D280="Konventionel",IF(C280=2019,SUMPRODUCT((B280='Landbrugsareal - resultat'!$B$6:$B$19)*(INDEX('Landbrugsareal - resultat'!$C$6:$E$19,,MATCH(E280,'Landbrugsareal - resultat'!$C$5:$E$5,0)))),IF(C280=2030,SUMPRODUCT((B280='Landbrugsareal - resultat'!$B$6:$B$19)*(INDEX('Landbrugsareal - resultat'!$F$6:$H$19,,MATCH(E280,'Landbrugsareal - resultat'!$F$5:$H$5,0)))),SUMPRODUCT((B280='Landbrugsareal - resultat'!$B$6:$B$19)*(INDEX('Landbrugsareal - resultat'!$I$6:$K$19,,MATCH(E280,'Landbrugsareal - resultat'!$I$5:$K$5,0)))))),IF(C280=2019,SUMPRODUCT((B280='Landbrugsareal - resultat'!$B$6:$B$19)*(INDEX('Landbrugsareal - resultat'!$L$6:$N$19,,MATCH(E280,'Landbrugsareal - resultat'!$L$5:$N$5,0)))),IF(C280=2030,SUMPRODUCT((B280='Landbrugsareal - resultat'!$B$6:$B$19)*(INDEX('Landbrugsareal - resultat'!$O$6:$Q$19,,MATCH(E280,'Landbrugsareal - resultat'!$O$5:$Q$5,0)))),SUMPRODUCT((B280='Landbrugsareal - resultat'!$B$6:$B$19)*(INDEX('Landbrugsareal - resultat'!$R$6:$T$19,,MATCH(E280,'Landbrugsareal - resultat'!$R$5:$T$5,0))))))),IF(D280="Konventionel",IF(C280=2019,SUMPRODUCT((B280='Landbrugsareal - resultat'!$B$33:$B$46)*(INDEX('Landbrugsareal - resultat'!$C$33:$E$46,,MATCH(E280,'Landbrugsareal - resultat'!$C$5:$E$5,0)))),IF(C280=2030,SUMPRODUCT((B280='Landbrugsareal - resultat'!$B$33:$B$46)*(INDEX('Landbrugsareal - resultat'!$F$33:$H$46,,MATCH(E280,'Landbrugsareal - resultat'!$F$5:$H$5,0)))),SUMPRODUCT((B280='Landbrugsareal - resultat'!$B$33:$B$46)*(INDEX('Landbrugsareal - resultat'!$I$33:$K$46,,MATCH(E280,'Landbrugsareal - resultat'!$I$5:$K$5,0)))))),IF(C280=2019,SUMPRODUCT((B280='Landbrugsareal - resultat'!$B$33:$B$46)*(INDEX('Landbrugsareal - resultat'!$L$33:$N$46,,MATCH(E280,'Landbrugsareal - resultat'!$L$5:$N$5,0)))),IF(C280=2030,SUMPRODUCT((B280='Landbrugsareal - resultat'!$B$33:$B$46)*(INDEX('Landbrugsareal - resultat'!$O$33:$Q$46,,MATCH(E280,'Landbrugsareal - resultat'!$O$5:$Q$5,0)))),SUMPRODUCT((B280='Landbrugsareal - resultat'!$B$33:$B$46)*(INDEX('Landbrugsareal - resultat'!$R$33:$T$46,,MATCH(E280,'Landbrugsareal - resultat'!$R$5:$T$5,0))))))))</f>
        <v>1208.3255485934653</v>
      </c>
      <c r="H280" s="168">
        <f>G280*VLOOKUP(B280,[1]Afgrødedata!$A$5:$F$18,2,FALSE)*IF(D280="Økologisk",VLOOKUP(B280,[1]Afgrødedata!$A$5:$F$18,4,FALSE),1)*IF(E280&lt;&gt;Jordbund1,IF(E280=Organ6,VLOOKUP(B280,[1]Afgrødedata!$A$5:$F$18,5,FALSE),VLOOKUP(B280,[1]Afgrødedata!$A$5:$F$18,6,FALSE)),1)*0.1</f>
        <v>29471.354843743058</v>
      </c>
      <c r="I280" s="168">
        <f>G280*VLOOKUP(B280,[1]Afgrødedata!$A$5:$F$18,3,FALSE)*IF(D280="Økologisk",VLOOKUP(B280,[1]Afgrødedata!$A$5:$F$18,4,FALSE),1)*IF(E280&lt;&gt;Jordbund1,IF(E280=Organ6,VLOOKUP(B280,[1]Afgrødedata!$A$5:$F$18,5,FALSE),VLOOKUP(B280,[1]Afgrødedata!$A$5:$F$18,6,FALSE)),1)*HLOOKUP(C280,Landbrug!$C$15:$E$17,2,FALSE)*HLOOKUP(C280,Landbrug!$C$15:$E$17,3,FALSE)*0.1</f>
        <v>0</v>
      </c>
      <c r="J280" s="76">
        <f t="shared" si="55"/>
        <v>29471.354843743058</v>
      </c>
    </row>
    <row r="281" spans="1:10" x14ac:dyDescent="0.25">
      <c r="A281" t="s">
        <v>24</v>
      </c>
      <c r="B281" s="1" t="str">
        <f>[1]Afgrødefordeling!$C$15</f>
        <v>Permanent græs</v>
      </c>
      <c r="C281">
        <v>2030</v>
      </c>
      <c r="D281" t="s">
        <v>7</v>
      </c>
      <c r="E281" s="168" t="str">
        <f t="shared" si="52"/>
        <v>JB1-10</v>
      </c>
      <c r="F281" t="str">
        <f t="shared" si="54"/>
        <v>Græs</v>
      </c>
      <c r="G281" s="76" cm="1">
        <f t="array" ref="G281">IF(A281="Vestdanmark",IF(D281="Konventionel",IF(C281=2019,SUMPRODUCT((B281='Landbrugsareal - resultat'!$B$6:$B$19)*(INDEX('Landbrugsareal - resultat'!$C$6:$E$19,,MATCH(E281,'Landbrugsareal - resultat'!$C$5:$E$5,0)))),IF(C281=2030,SUMPRODUCT((B281='Landbrugsareal - resultat'!$B$6:$B$19)*(INDEX('Landbrugsareal - resultat'!$F$6:$H$19,,MATCH(E281,'Landbrugsareal - resultat'!$F$5:$H$5,0)))),SUMPRODUCT((B281='Landbrugsareal - resultat'!$B$6:$B$19)*(INDEX('Landbrugsareal - resultat'!$I$6:$K$19,,MATCH(E281,'Landbrugsareal - resultat'!$I$5:$K$5,0)))))),IF(C281=2019,SUMPRODUCT((B281='Landbrugsareal - resultat'!$B$6:$B$19)*(INDEX('Landbrugsareal - resultat'!$L$6:$N$19,,MATCH(E281,'Landbrugsareal - resultat'!$L$5:$N$5,0)))),IF(C281=2030,SUMPRODUCT((B281='Landbrugsareal - resultat'!$B$6:$B$19)*(INDEX('Landbrugsareal - resultat'!$O$6:$Q$19,,MATCH(E281,'Landbrugsareal - resultat'!$O$5:$Q$5,0)))),SUMPRODUCT((B281='Landbrugsareal - resultat'!$B$6:$B$19)*(INDEX('Landbrugsareal - resultat'!$R$6:$T$19,,MATCH(E281,'Landbrugsareal - resultat'!$R$5:$T$5,0))))))),IF(D281="Konventionel",IF(C281=2019,SUMPRODUCT((B281='Landbrugsareal - resultat'!$B$33:$B$46)*(INDEX('Landbrugsareal - resultat'!$C$33:$E$46,,MATCH(E281,'Landbrugsareal - resultat'!$C$5:$E$5,0)))),IF(C281=2030,SUMPRODUCT((B281='Landbrugsareal - resultat'!$B$33:$B$46)*(INDEX('Landbrugsareal - resultat'!$F$33:$H$46,,MATCH(E281,'Landbrugsareal - resultat'!$F$5:$H$5,0)))),SUMPRODUCT((B281='Landbrugsareal - resultat'!$B$33:$B$46)*(INDEX('Landbrugsareal - resultat'!$I$33:$K$46,,MATCH(E281,'Landbrugsareal - resultat'!$I$5:$K$5,0)))))),IF(C281=2019,SUMPRODUCT((B281='Landbrugsareal - resultat'!$B$33:$B$46)*(INDEX('Landbrugsareal - resultat'!$L$33:$N$46,,MATCH(E281,'Landbrugsareal - resultat'!$L$5:$N$5,0)))),IF(C281=2030,SUMPRODUCT((B281='Landbrugsareal - resultat'!$B$33:$B$46)*(INDEX('Landbrugsareal - resultat'!$O$33:$Q$46,,MATCH(E281,'Landbrugsareal - resultat'!$O$5:$Q$5,0)))),SUMPRODUCT((B281='Landbrugsareal - resultat'!$B$33:$B$46)*(INDEX('Landbrugsareal - resultat'!$R$33:$T$46,,MATCH(E281,'Landbrugsareal - resultat'!$R$5:$T$5,0))))))))</f>
        <v>30096.016124097267</v>
      </c>
      <c r="H281" s="168">
        <f>G281*VLOOKUP(B281,[1]Afgrødedata!$A$5:$F$18,2,FALSE)*IF(D281="Økologisk",VLOOKUP(B281,[1]Afgrødedata!$A$5:$F$18,4,FALSE),1)*IF(E281&lt;&gt;Jordbund1,IF(E281=Organ6,VLOOKUP(B281,[1]Afgrødedata!$A$5:$F$18,5,FALSE),VLOOKUP(B281,[1]Afgrødedata!$A$5:$F$18,6,FALSE)),1)*0.1</f>
        <v>415024.06235130131</v>
      </c>
      <c r="I281" s="168">
        <f>G281*VLOOKUP(B281,[1]Afgrødedata!$A$5:$F$18,3,FALSE)*IF(D281="Økologisk",VLOOKUP(B281,[1]Afgrødedata!$A$5:$F$18,4,FALSE),1)*IF(E281&lt;&gt;Jordbund1,IF(E281=Organ6,VLOOKUP(B281,[1]Afgrødedata!$A$5:$F$18,5,FALSE),VLOOKUP(B281,[1]Afgrødedata!$A$5:$F$18,6,FALSE)),1)*HLOOKUP(C281,Landbrug!$C$15:$E$17,2,FALSE)*HLOOKUP(C281,Landbrug!$C$15:$E$17,3,FALSE)*0.1</f>
        <v>0</v>
      </c>
      <c r="J281" s="76">
        <f t="shared" si="55"/>
        <v>415024.06235130131</v>
      </c>
    </row>
    <row r="282" spans="1:10" x14ac:dyDescent="0.25">
      <c r="A282" t="s">
        <v>24</v>
      </c>
      <c r="B282" s="1" t="str">
        <f>[1]Afgrødefordeling!$C$2</f>
        <v>Korn</v>
      </c>
      <c r="C282">
        <v>2050</v>
      </c>
      <c r="D282" t="s">
        <v>7</v>
      </c>
      <c r="E282" s="168" t="str">
        <f t="shared" si="52"/>
        <v>JB1-10</v>
      </c>
      <c r="F282" t="str">
        <f t="shared" si="54"/>
        <v>Halm</v>
      </c>
      <c r="G282" s="76" cm="1">
        <f t="array" ref="G282">IF(A282="Vestdanmark",IF(D282="Konventionel",IF(C282=2019,SUMPRODUCT((B282='Landbrugsareal - resultat'!$B$6:$B$19)*(INDEX('Landbrugsareal - resultat'!$C$6:$E$19,,MATCH(E282,'Landbrugsareal - resultat'!$C$5:$E$5,0)))),IF(C282=2030,SUMPRODUCT((B282='Landbrugsareal - resultat'!$B$6:$B$19)*(INDEX('Landbrugsareal - resultat'!$F$6:$H$19,,MATCH(E282,'Landbrugsareal - resultat'!$F$5:$H$5,0)))),SUMPRODUCT((B282='Landbrugsareal - resultat'!$B$6:$B$19)*(INDEX('Landbrugsareal - resultat'!$I$6:$K$19,,MATCH(E282,'Landbrugsareal - resultat'!$I$5:$K$5,0)))))),IF(C282=2019,SUMPRODUCT((B282='Landbrugsareal - resultat'!$B$6:$B$19)*(INDEX('Landbrugsareal - resultat'!$L$6:$N$19,,MATCH(E282,'Landbrugsareal - resultat'!$L$5:$N$5,0)))),IF(C282=2030,SUMPRODUCT((B282='Landbrugsareal - resultat'!$B$6:$B$19)*(INDEX('Landbrugsareal - resultat'!$O$6:$Q$19,,MATCH(E282,'Landbrugsareal - resultat'!$O$5:$Q$5,0)))),SUMPRODUCT((B282='Landbrugsareal - resultat'!$B$6:$B$19)*(INDEX('Landbrugsareal - resultat'!$R$6:$T$19,,MATCH(E282,'Landbrugsareal - resultat'!$R$5:$T$5,0))))))),IF(D282="Konventionel",IF(C282=2019,SUMPRODUCT((B282='Landbrugsareal - resultat'!$B$33:$B$46)*(INDEX('Landbrugsareal - resultat'!$C$33:$E$46,,MATCH(E282,'Landbrugsareal - resultat'!$C$5:$E$5,0)))),IF(C282=2030,SUMPRODUCT((B282='Landbrugsareal - resultat'!$B$33:$B$46)*(INDEX('Landbrugsareal - resultat'!$F$33:$H$46,,MATCH(E282,'Landbrugsareal - resultat'!$F$5:$H$5,0)))),SUMPRODUCT((B282='Landbrugsareal - resultat'!$B$33:$B$46)*(INDEX('Landbrugsareal - resultat'!$I$33:$K$46,,MATCH(E282,'Landbrugsareal - resultat'!$I$5:$K$5,0)))))),IF(C282=2019,SUMPRODUCT((B282='Landbrugsareal - resultat'!$B$33:$B$46)*(INDEX('Landbrugsareal - resultat'!$L$33:$N$46,,MATCH(E282,'Landbrugsareal - resultat'!$L$5:$N$5,0)))),IF(C282=2030,SUMPRODUCT((B282='Landbrugsareal - resultat'!$B$33:$B$46)*(INDEX('Landbrugsareal - resultat'!$O$33:$Q$46,,MATCH(E282,'Landbrugsareal - resultat'!$O$5:$Q$5,0)))),SUMPRODUCT((B282='Landbrugsareal - resultat'!$B$33:$B$46)*(INDEX('Landbrugsareal - resultat'!$R$33:$T$46,,MATCH(E282,'Landbrugsareal - resultat'!$R$5:$T$5,0))))))))</f>
        <v>265383.49594764173</v>
      </c>
      <c r="H282" s="168">
        <f>G282*VLOOKUP(B282,[1]Afgrødedata!$A$5:$F$18,2,FALSE)*IF(D282="Økologisk",VLOOKUP(B282,[1]Afgrødedata!$A$5:$F$18,4,FALSE),1)*IF(E282&lt;&gt;Jordbund1,IF(E282=Organ6,VLOOKUP(B282,[1]Afgrødedata!$A$5:$F$18,5,FALSE),VLOOKUP(B282,[1]Afgrødedata!$A$5:$F$18,6,FALSE)),1)*0.1</f>
        <v>1860338.3065929685</v>
      </c>
      <c r="I282" s="168">
        <f>G282*VLOOKUP(B282,[1]Afgrødedata!$A$5:$F$18,3,FALSE)*IF(D282="Økologisk",VLOOKUP(B282,[1]Afgrødedata!$A$5:$F$18,4,FALSE),1)*IF(E282&lt;&gt;Jordbund1,IF(E282=Organ6,VLOOKUP(B282,[1]Afgrødedata!$A$5:$F$18,5,FALSE),VLOOKUP(B282,[1]Afgrødedata!$A$5:$F$18,6,FALSE)),1)*HLOOKUP(C282,Landbrug!$C$15:$E$17,2,FALSE)*HLOOKUP(C282,Landbrug!$C$15:$E$17,3,FALSE)*0.1</f>
        <v>603679.78048941819</v>
      </c>
      <c r="J282" s="76">
        <f t="shared" si="55"/>
        <v>603679.78048941819</v>
      </c>
    </row>
    <row r="283" spans="1:10" x14ac:dyDescent="0.25">
      <c r="A283" t="s">
        <v>24</v>
      </c>
      <c r="B283" s="1" t="str">
        <f>[1]Afgrødefordeling!$C$3</f>
        <v>Bælgsæd</v>
      </c>
      <c r="C283">
        <v>2050</v>
      </c>
      <c r="D283" t="s">
        <v>7</v>
      </c>
      <c r="E283" s="168" t="str">
        <f t="shared" si="52"/>
        <v>JB1-10</v>
      </c>
      <c r="F283" t="str">
        <f t="shared" si="54"/>
        <v>Halm</v>
      </c>
      <c r="G283" s="76" cm="1">
        <f t="array" ref="G283">IF(A283="Vestdanmark",IF(D283="Konventionel",IF(C283=2019,SUMPRODUCT((B283='Landbrugsareal - resultat'!$B$6:$B$19)*(INDEX('Landbrugsareal - resultat'!$C$6:$E$19,,MATCH(E283,'Landbrugsareal - resultat'!$C$5:$E$5,0)))),IF(C283=2030,SUMPRODUCT((B283='Landbrugsareal - resultat'!$B$6:$B$19)*(INDEX('Landbrugsareal - resultat'!$F$6:$H$19,,MATCH(E283,'Landbrugsareal - resultat'!$F$5:$H$5,0)))),SUMPRODUCT((B283='Landbrugsareal - resultat'!$B$6:$B$19)*(INDEX('Landbrugsareal - resultat'!$I$6:$K$19,,MATCH(E283,'Landbrugsareal - resultat'!$I$5:$K$5,0)))))),IF(C283=2019,SUMPRODUCT((B283='Landbrugsareal - resultat'!$B$6:$B$19)*(INDEX('Landbrugsareal - resultat'!$L$6:$N$19,,MATCH(E283,'Landbrugsareal - resultat'!$L$5:$N$5,0)))),IF(C283=2030,SUMPRODUCT((B283='Landbrugsareal - resultat'!$B$6:$B$19)*(INDEX('Landbrugsareal - resultat'!$O$6:$Q$19,,MATCH(E283,'Landbrugsareal - resultat'!$O$5:$Q$5,0)))),SUMPRODUCT((B283='Landbrugsareal - resultat'!$B$6:$B$19)*(INDEX('Landbrugsareal - resultat'!$R$6:$T$19,,MATCH(E283,'Landbrugsareal - resultat'!$R$5:$T$5,0))))))),IF(D283="Konventionel",IF(C283=2019,SUMPRODUCT((B283='Landbrugsareal - resultat'!$B$33:$B$46)*(INDEX('Landbrugsareal - resultat'!$C$33:$E$46,,MATCH(E283,'Landbrugsareal - resultat'!$C$5:$E$5,0)))),IF(C283=2030,SUMPRODUCT((B283='Landbrugsareal - resultat'!$B$33:$B$46)*(INDEX('Landbrugsareal - resultat'!$F$33:$H$46,,MATCH(E283,'Landbrugsareal - resultat'!$F$5:$H$5,0)))),SUMPRODUCT((B283='Landbrugsareal - resultat'!$B$33:$B$46)*(INDEX('Landbrugsareal - resultat'!$I$33:$K$46,,MATCH(E283,'Landbrugsareal - resultat'!$I$5:$K$5,0)))))),IF(C283=2019,SUMPRODUCT((B283='Landbrugsareal - resultat'!$B$33:$B$46)*(INDEX('Landbrugsareal - resultat'!$L$33:$N$46,,MATCH(E283,'Landbrugsareal - resultat'!$L$5:$N$5,0)))),IF(C283=2030,SUMPRODUCT((B283='Landbrugsareal - resultat'!$B$33:$B$46)*(INDEX('Landbrugsareal - resultat'!$O$33:$Q$46,,MATCH(E283,'Landbrugsareal - resultat'!$O$5:$Q$5,0)))),SUMPRODUCT((B283='Landbrugsareal - resultat'!$B$33:$B$46)*(INDEX('Landbrugsareal - resultat'!$R$33:$T$46,,MATCH(E283,'Landbrugsareal - resultat'!$R$5:$T$5,0))))))))</f>
        <v>5783.9899867548611</v>
      </c>
      <c r="H283" s="168">
        <f>G283*VLOOKUP(B283,[1]Afgrødedata!$A$5:$F$18,2,FALSE)*IF(D283="Økologisk",VLOOKUP(B283,[1]Afgrødedata!$A$5:$F$18,4,FALSE),1)*IF(E283&lt;&gt;Jordbund1,IF(E283=Organ6,VLOOKUP(B283,[1]Afgrødedata!$A$5:$F$18,5,FALSE),VLOOKUP(B283,[1]Afgrødedata!$A$5:$F$18,6,FALSE)),1)*0.1</f>
        <v>22326.201348873765</v>
      </c>
      <c r="I283" s="168">
        <f>G283*VLOOKUP(B283,[1]Afgrødedata!$A$5:$F$18,3,FALSE)*IF(D283="Økologisk",VLOOKUP(B283,[1]Afgrødedata!$A$5:$F$18,4,FALSE),1)*IF(E283&lt;&gt;Jordbund1,IF(E283=Organ6,VLOOKUP(B283,[1]Afgrødedata!$A$5:$F$18,5,FALSE),VLOOKUP(B283,[1]Afgrødedata!$A$5:$F$18,6,FALSE)),1)*HLOOKUP(C283,Landbrug!$C$15:$E$17,2,FALSE)*HLOOKUP(C283,Landbrug!$C$15:$E$17,3,FALSE)*0.1</f>
        <v>6589.6419520099444</v>
      </c>
      <c r="J283" s="76">
        <f t="shared" si="55"/>
        <v>6589.6419520099444</v>
      </c>
    </row>
    <row r="284" spans="1:10" x14ac:dyDescent="0.25">
      <c r="A284" t="s">
        <v>24</v>
      </c>
      <c r="B284" s="1" t="str">
        <f>[1]Afgrødefordeling!$C$4</f>
        <v>Raps</v>
      </c>
      <c r="C284">
        <v>2050</v>
      </c>
      <c r="D284" t="s">
        <v>7</v>
      </c>
      <c r="E284" s="168" t="str">
        <f t="shared" si="52"/>
        <v>JB1-10</v>
      </c>
      <c r="F284" t="str">
        <f t="shared" si="54"/>
        <v>Halm</v>
      </c>
      <c r="G284" s="76" cm="1">
        <f t="array" ref="G284">IF(A284="Vestdanmark",IF(D284="Konventionel",IF(C284=2019,SUMPRODUCT((B284='Landbrugsareal - resultat'!$B$6:$B$19)*(INDEX('Landbrugsareal - resultat'!$C$6:$E$19,,MATCH(E284,'Landbrugsareal - resultat'!$C$5:$E$5,0)))),IF(C284=2030,SUMPRODUCT((B284='Landbrugsareal - resultat'!$B$6:$B$19)*(INDEX('Landbrugsareal - resultat'!$F$6:$H$19,,MATCH(E284,'Landbrugsareal - resultat'!$F$5:$H$5,0)))),SUMPRODUCT((B284='Landbrugsareal - resultat'!$B$6:$B$19)*(INDEX('Landbrugsareal - resultat'!$I$6:$K$19,,MATCH(E284,'Landbrugsareal - resultat'!$I$5:$K$5,0)))))),IF(C284=2019,SUMPRODUCT((B284='Landbrugsareal - resultat'!$B$6:$B$19)*(INDEX('Landbrugsareal - resultat'!$L$6:$N$19,,MATCH(E284,'Landbrugsareal - resultat'!$L$5:$N$5,0)))),IF(C284=2030,SUMPRODUCT((B284='Landbrugsareal - resultat'!$B$6:$B$19)*(INDEX('Landbrugsareal - resultat'!$O$6:$Q$19,,MATCH(E284,'Landbrugsareal - resultat'!$O$5:$Q$5,0)))),SUMPRODUCT((B284='Landbrugsareal - resultat'!$B$6:$B$19)*(INDEX('Landbrugsareal - resultat'!$R$6:$T$19,,MATCH(E284,'Landbrugsareal - resultat'!$R$5:$T$5,0))))))),IF(D284="Konventionel",IF(C284=2019,SUMPRODUCT((B284='Landbrugsareal - resultat'!$B$33:$B$46)*(INDEX('Landbrugsareal - resultat'!$C$33:$E$46,,MATCH(E284,'Landbrugsareal - resultat'!$C$5:$E$5,0)))),IF(C284=2030,SUMPRODUCT((B284='Landbrugsareal - resultat'!$B$33:$B$46)*(INDEX('Landbrugsareal - resultat'!$F$33:$H$46,,MATCH(E284,'Landbrugsareal - resultat'!$F$5:$H$5,0)))),SUMPRODUCT((B284='Landbrugsareal - resultat'!$B$33:$B$46)*(INDEX('Landbrugsareal - resultat'!$I$33:$K$46,,MATCH(E284,'Landbrugsareal - resultat'!$I$5:$K$5,0)))))),IF(C284=2019,SUMPRODUCT((B284='Landbrugsareal - resultat'!$B$33:$B$46)*(INDEX('Landbrugsareal - resultat'!$L$33:$N$46,,MATCH(E284,'Landbrugsareal - resultat'!$L$5:$N$5,0)))),IF(C284=2030,SUMPRODUCT((B284='Landbrugsareal - resultat'!$B$33:$B$46)*(INDEX('Landbrugsareal - resultat'!$O$33:$Q$46,,MATCH(E284,'Landbrugsareal - resultat'!$O$5:$Q$5,0)))),SUMPRODUCT((B284='Landbrugsareal - resultat'!$B$33:$B$46)*(INDEX('Landbrugsareal - resultat'!$R$33:$T$46,,MATCH(E284,'Landbrugsareal - resultat'!$R$5:$T$5,0))))))))</f>
        <v>36690.196736516154</v>
      </c>
      <c r="H284" s="168">
        <f>G284*VLOOKUP(B284,[1]Afgrødedata!$A$5:$F$18,2,FALSE)*IF(D284="Økologisk",VLOOKUP(B284,[1]Afgrødedata!$A$5:$F$18,4,FALSE),1)*IF(E284&lt;&gt;Jordbund1,IF(E284=Organ6,VLOOKUP(B284,[1]Afgrødedata!$A$5:$F$18,5,FALSE),VLOOKUP(B284,[1]Afgrødedata!$A$5:$F$18,6,FALSE)),1)*0.1</f>
        <v>161436.86564067111</v>
      </c>
      <c r="I284" s="168">
        <f>G284*VLOOKUP(B284,[1]Afgrødedata!$A$5:$F$18,3,FALSE)*IF(D284="Økologisk",VLOOKUP(B284,[1]Afgrødedata!$A$5:$F$18,4,FALSE),1)*IF(E284&lt;&gt;Jordbund1,IF(E284=Organ6,VLOOKUP(B284,[1]Afgrødedata!$A$5:$F$18,5,FALSE),VLOOKUP(B284,[1]Afgrødedata!$A$5:$F$18,6,FALSE)),1)*HLOOKUP(C284,Landbrug!$C$15:$E$17,2,FALSE)*HLOOKUP(C284,Landbrug!$C$15:$E$17,3,FALSE)*0.1</f>
        <v>85722.975655196351</v>
      </c>
      <c r="J284" s="76">
        <f t="shared" si="55"/>
        <v>85722.975655196351</v>
      </c>
    </row>
    <row r="285" spans="1:10" x14ac:dyDescent="0.25">
      <c r="A285" t="s">
        <v>24</v>
      </c>
      <c r="B285" s="1" t="str">
        <f>[1]Afgrødefordeling!$C$5</f>
        <v>Græs</v>
      </c>
      <c r="C285">
        <v>2050</v>
      </c>
      <c r="D285" t="s">
        <v>7</v>
      </c>
      <c r="E285" s="168" t="str">
        <f t="shared" si="52"/>
        <v>JB1-10</v>
      </c>
      <c r="F285" t="str">
        <f t="shared" si="54"/>
        <v>Græs</v>
      </c>
      <c r="G285" s="76" cm="1">
        <f t="array" ref="G285">IF(A285="Vestdanmark",IF(D285="Konventionel",IF(C285=2019,SUMPRODUCT((B285='Landbrugsareal - resultat'!$B$6:$B$19)*(INDEX('Landbrugsareal - resultat'!$C$6:$E$19,,MATCH(E285,'Landbrugsareal - resultat'!$C$5:$E$5,0)))),IF(C285=2030,SUMPRODUCT((B285='Landbrugsareal - resultat'!$B$6:$B$19)*(INDEX('Landbrugsareal - resultat'!$F$6:$H$19,,MATCH(E285,'Landbrugsareal - resultat'!$F$5:$H$5,0)))),SUMPRODUCT((B285='Landbrugsareal - resultat'!$B$6:$B$19)*(INDEX('Landbrugsareal - resultat'!$I$6:$K$19,,MATCH(E285,'Landbrugsareal - resultat'!$I$5:$K$5,0)))))),IF(C285=2019,SUMPRODUCT((B285='Landbrugsareal - resultat'!$B$6:$B$19)*(INDEX('Landbrugsareal - resultat'!$L$6:$N$19,,MATCH(E285,'Landbrugsareal - resultat'!$L$5:$N$5,0)))),IF(C285=2030,SUMPRODUCT((B285='Landbrugsareal - resultat'!$B$6:$B$19)*(INDEX('Landbrugsareal - resultat'!$O$6:$Q$19,,MATCH(E285,'Landbrugsareal - resultat'!$O$5:$Q$5,0)))),SUMPRODUCT((B285='Landbrugsareal - resultat'!$B$6:$B$19)*(INDEX('Landbrugsareal - resultat'!$R$6:$T$19,,MATCH(E285,'Landbrugsareal - resultat'!$R$5:$T$5,0))))))),IF(D285="Konventionel",IF(C285=2019,SUMPRODUCT((B285='Landbrugsareal - resultat'!$B$33:$B$46)*(INDEX('Landbrugsareal - resultat'!$C$33:$E$46,,MATCH(E285,'Landbrugsareal - resultat'!$C$5:$E$5,0)))),IF(C285=2030,SUMPRODUCT((B285='Landbrugsareal - resultat'!$B$33:$B$46)*(INDEX('Landbrugsareal - resultat'!$F$33:$H$46,,MATCH(E285,'Landbrugsareal - resultat'!$F$5:$H$5,0)))),SUMPRODUCT((B285='Landbrugsareal - resultat'!$B$33:$B$46)*(INDEX('Landbrugsareal - resultat'!$I$33:$K$46,,MATCH(E285,'Landbrugsareal - resultat'!$I$5:$K$5,0)))))),IF(C285=2019,SUMPRODUCT((B285='Landbrugsareal - resultat'!$B$33:$B$46)*(INDEX('Landbrugsareal - resultat'!$L$33:$N$46,,MATCH(E285,'Landbrugsareal - resultat'!$L$5:$N$5,0)))),IF(C285=2030,SUMPRODUCT((B285='Landbrugsareal - resultat'!$B$33:$B$46)*(INDEX('Landbrugsareal - resultat'!$O$33:$Q$46,,MATCH(E285,'Landbrugsareal - resultat'!$O$5:$Q$5,0)))),SUMPRODUCT((B285='Landbrugsareal - resultat'!$B$33:$B$46)*(INDEX('Landbrugsareal - resultat'!$R$33:$T$46,,MATCH(E285,'Landbrugsareal - resultat'!$R$5:$T$5,0))))))))</f>
        <v>22290.208153519605</v>
      </c>
      <c r="H285" s="168">
        <f>G285*VLOOKUP(B285,[1]Afgrødedata!$A$5:$F$18,2,FALSE)*IF(D285="Økologisk",VLOOKUP(B285,[1]Afgrødedata!$A$5:$F$18,4,FALSE),1)*IF(E285&lt;&gt;Jordbund1,IF(E285=Organ6,VLOOKUP(B285,[1]Afgrødedata!$A$5:$F$18,5,FALSE),VLOOKUP(B285,[1]Afgrødedata!$A$5:$F$18,6,FALSE)),1)*0.1</f>
        <v>1106040.1285776428</v>
      </c>
      <c r="I285" s="168">
        <f>G285*VLOOKUP(B285,[1]Afgrødedata!$A$5:$F$18,3,FALSE)*IF(D285="Økologisk",VLOOKUP(B285,[1]Afgrødedata!$A$5:$F$18,4,FALSE),1)*IF(E285&lt;&gt;Jordbund1,IF(E285=Organ6,VLOOKUP(B285,[1]Afgrødedata!$A$5:$F$18,5,FALSE),VLOOKUP(B285,[1]Afgrødedata!$A$5:$F$18,6,FALSE)),1)*HLOOKUP(C285,Landbrug!$C$15:$E$17,2,FALSE)*HLOOKUP(C285,Landbrug!$C$15:$E$17,3,FALSE)*0.1</f>
        <v>0</v>
      </c>
      <c r="J285" s="76">
        <f t="shared" si="55"/>
        <v>1106040.1285776428</v>
      </c>
    </row>
    <row r="286" spans="1:10" x14ac:dyDescent="0.25">
      <c r="A286" t="s">
        <v>24</v>
      </c>
      <c r="B286" s="1" t="str">
        <f>[1]Afgrødefordeling!$C$6</f>
        <v>Grøntsager</v>
      </c>
      <c r="C286">
        <v>2050</v>
      </c>
      <c r="D286" t="s">
        <v>7</v>
      </c>
      <c r="E286" s="168" t="str">
        <f t="shared" ref="E286:E317" si="56">Jordbund1</f>
        <v>JB1-10</v>
      </c>
      <c r="F286" t="str">
        <f t="shared" si="54"/>
        <v>Grøntsager</v>
      </c>
      <c r="G286" s="76" cm="1">
        <f t="array" ref="G286">IF(A286="Vestdanmark",IF(D286="Konventionel",IF(C286=2019,SUMPRODUCT((B286='Landbrugsareal - resultat'!$B$6:$B$19)*(INDEX('Landbrugsareal - resultat'!$C$6:$E$19,,MATCH(E286,'Landbrugsareal - resultat'!$C$5:$E$5,0)))),IF(C286=2030,SUMPRODUCT((B286='Landbrugsareal - resultat'!$B$6:$B$19)*(INDEX('Landbrugsareal - resultat'!$F$6:$H$19,,MATCH(E286,'Landbrugsareal - resultat'!$F$5:$H$5,0)))),SUMPRODUCT((B286='Landbrugsareal - resultat'!$B$6:$B$19)*(INDEX('Landbrugsareal - resultat'!$I$6:$K$19,,MATCH(E286,'Landbrugsareal - resultat'!$I$5:$K$5,0)))))),IF(C286=2019,SUMPRODUCT((B286='Landbrugsareal - resultat'!$B$6:$B$19)*(INDEX('Landbrugsareal - resultat'!$L$6:$N$19,,MATCH(E286,'Landbrugsareal - resultat'!$L$5:$N$5,0)))),IF(C286=2030,SUMPRODUCT((B286='Landbrugsareal - resultat'!$B$6:$B$19)*(INDEX('Landbrugsareal - resultat'!$O$6:$Q$19,,MATCH(E286,'Landbrugsareal - resultat'!$O$5:$Q$5,0)))),SUMPRODUCT((B286='Landbrugsareal - resultat'!$B$6:$B$19)*(INDEX('Landbrugsareal - resultat'!$R$6:$T$19,,MATCH(E286,'Landbrugsareal - resultat'!$R$5:$T$5,0))))))),IF(D286="Konventionel",IF(C286=2019,SUMPRODUCT((B286='Landbrugsareal - resultat'!$B$33:$B$46)*(INDEX('Landbrugsareal - resultat'!$C$33:$E$46,,MATCH(E286,'Landbrugsareal - resultat'!$C$5:$E$5,0)))),IF(C286=2030,SUMPRODUCT((B286='Landbrugsareal - resultat'!$B$33:$B$46)*(INDEX('Landbrugsareal - resultat'!$F$33:$H$46,,MATCH(E286,'Landbrugsareal - resultat'!$F$5:$H$5,0)))),SUMPRODUCT((B286='Landbrugsareal - resultat'!$B$33:$B$46)*(INDEX('Landbrugsareal - resultat'!$I$33:$K$46,,MATCH(E286,'Landbrugsareal - resultat'!$I$5:$K$5,0)))))),IF(C286=2019,SUMPRODUCT((B286='Landbrugsareal - resultat'!$B$33:$B$46)*(INDEX('Landbrugsareal - resultat'!$L$33:$N$46,,MATCH(E286,'Landbrugsareal - resultat'!$L$5:$N$5,0)))),IF(C286=2030,SUMPRODUCT((B286='Landbrugsareal - resultat'!$B$33:$B$46)*(INDEX('Landbrugsareal - resultat'!$O$33:$Q$46,,MATCH(E286,'Landbrugsareal - resultat'!$O$5:$Q$5,0)))),SUMPRODUCT((B286='Landbrugsareal - resultat'!$B$33:$B$46)*(INDEX('Landbrugsareal - resultat'!$R$33:$T$46,,MATCH(E286,'Landbrugsareal - resultat'!$R$5:$T$5,0))))))))</f>
        <v>3492.8814481155277</v>
      </c>
      <c r="H286" s="168">
        <f>G286*VLOOKUP(B286,[1]Afgrødedata!$A$5:$F$18,2,FALSE)*IF(D286="Økologisk",VLOOKUP(B286,[1]Afgrødedata!$A$5:$F$18,4,FALSE),1)*IF(E286&lt;&gt;Jordbund1,IF(E286=Organ6,VLOOKUP(B286,[1]Afgrødedata!$A$5:$F$18,5,FALSE),VLOOKUP(B286,[1]Afgrødedata!$A$5:$F$18,6,FALSE)),1)*0.1</f>
        <v>72477.290048397204</v>
      </c>
      <c r="I286" s="168">
        <f>G286*VLOOKUP(B286,[1]Afgrødedata!$A$5:$F$18,3,FALSE)*IF(D286="Økologisk",VLOOKUP(B286,[1]Afgrødedata!$A$5:$F$18,4,FALSE),1)*IF(E286&lt;&gt;Jordbund1,IF(E286=Organ6,VLOOKUP(B286,[1]Afgrødedata!$A$5:$F$18,5,FALSE),VLOOKUP(B286,[1]Afgrødedata!$A$5:$F$18,6,FALSE)),1)*HLOOKUP(C286,Landbrug!$C$15:$E$17,2,FALSE)*HLOOKUP(C286,Landbrug!$C$15:$E$17,3,FALSE)*0.1</f>
        <v>0</v>
      </c>
      <c r="J286" s="76">
        <f t="shared" si="55"/>
        <v>72477.290048397204</v>
      </c>
    </row>
    <row r="287" spans="1:10" x14ac:dyDescent="0.25">
      <c r="A287" t="s">
        <v>24</v>
      </c>
      <c r="B287" s="1" t="str">
        <f>[1]Afgrødefordeling!$C$7</f>
        <v>Kartofler</v>
      </c>
      <c r="C287">
        <v>2050</v>
      </c>
      <c r="D287" t="s">
        <v>7</v>
      </c>
      <c r="E287" s="168" t="str">
        <f t="shared" si="56"/>
        <v>JB1-10</v>
      </c>
      <c r="F287" t="str">
        <f t="shared" si="54"/>
        <v>Kartofler</v>
      </c>
      <c r="G287" s="76" cm="1">
        <f t="array" ref="G287">IF(A287="Vestdanmark",IF(D287="Konventionel",IF(C287=2019,SUMPRODUCT((B287='Landbrugsareal - resultat'!$B$6:$B$19)*(INDEX('Landbrugsareal - resultat'!$C$6:$E$19,,MATCH(E287,'Landbrugsareal - resultat'!$C$5:$E$5,0)))),IF(C287=2030,SUMPRODUCT((B287='Landbrugsareal - resultat'!$B$6:$B$19)*(INDEX('Landbrugsareal - resultat'!$F$6:$H$19,,MATCH(E287,'Landbrugsareal - resultat'!$F$5:$H$5,0)))),SUMPRODUCT((B287='Landbrugsareal - resultat'!$B$6:$B$19)*(INDEX('Landbrugsareal - resultat'!$I$6:$K$19,,MATCH(E287,'Landbrugsareal - resultat'!$I$5:$K$5,0)))))),IF(C287=2019,SUMPRODUCT((B287='Landbrugsareal - resultat'!$B$6:$B$19)*(INDEX('Landbrugsareal - resultat'!$L$6:$N$19,,MATCH(E287,'Landbrugsareal - resultat'!$L$5:$N$5,0)))),IF(C287=2030,SUMPRODUCT((B287='Landbrugsareal - resultat'!$B$6:$B$19)*(INDEX('Landbrugsareal - resultat'!$O$6:$Q$19,,MATCH(E287,'Landbrugsareal - resultat'!$O$5:$Q$5,0)))),SUMPRODUCT((B287='Landbrugsareal - resultat'!$B$6:$B$19)*(INDEX('Landbrugsareal - resultat'!$R$6:$T$19,,MATCH(E287,'Landbrugsareal - resultat'!$R$5:$T$5,0))))))),IF(D287="Konventionel",IF(C287=2019,SUMPRODUCT((B287='Landbrugsareal - resultat'!$B$33:$B$46)*(INDEX('Landbrugsareal - resultat'!$C$33:$E$46,,MATCH(E287,'Landbrugsareal - resultat'!$C$5:$E$5,0)))),IF(C287=2030,SUMPRODUCT((B287='Landbrugsareal - resultat'!$B$33:$B$46)*(INDEX('Landbrugsareal - resultat'!$F$33:$H$46,,MATCH(E287,'Landbrugsareal - resultat'!$F$5:$H$5,0)))),SUMPRODUCT((B287='Landbrugsareal - resultat'!$B$33:$B$46)*(INDEX('Landbrugsareal - resultat'!$I$33:$K$46,,MATCH(E287,'Landbrugsareal - resultat'!$I$5:$K$5,0)))))),IF(C287=2019,SUMPRODUCT((B287='Landbrugsareal - resultat'!$B$33:$B$46)*(INDEX('Landbrugsareal - resultat'!$L$33:$N$46,,MATCH(E287,'Landbrugsareal - resultat'!$L$5:$N$5,0)))),IF(C287=2030,SUMPRODUCT((B287='Landbrugsareal - resultat'!$B$33:$B$46)*(INDEX('Landbrugsareal - resultat'!$O$33:$Q$46,,MATCH(E287,'Landbrugsareal - resultat'!$O$5:$Q$5,0)))),SUMPRODUCT((B287='Landbrugsareal - resultat'!$B$33:$B$46)*(INDEX('Landbrugsareal - resultat'!$R$33:$T$46,,MATCH(E287,'Landbrugsareal - resultat'!$R$5:$T$5,0))))))))</f>
        <v>2240.6920243890713</v>
      </c>
      <c r="H287" s="168">
        <f>G287*VLOOKUP(B287,[1]Afgrødedata!$A$5:$F$18,2,FALSE)*IF(D287="Økologisk",VLOOKUP(B287,[1]Afgrødedata!$A$5:$F$18,4,FALSE),1)*IF(E287&lt;&gt;Jordbund1,IF(E287=Organ6,VLOOKUP(B287,[1]Afgrødedata!$A$5:$F$18,5,FALSE),VLOOKUP(B287,[1]Afgrødedata!$A$5:$F$18,6,FALSE)),1)*0.1</f>
        <v>95164.20571307448</v>
      </c>
      <c r="I287" s="168">
        <f>G287*VLOOKUP(B287,[1]Afgrødedata!$A$5:$F$18,3,FALSE)*IF(D287="Økologisk",VLOOKUP(B287,[1]Afgrødedata!$A$5:$F$18,4,FALSE),1)*IF(E287&lt;&gt;Jordbund1,IF(E287=Organ6,VLOOKUP(B287,[1]Afgrødedata!$A$5:$F$18,5,FALSE),VLOOKUP(B287,[1]Afgrødedata!$A$5:$F$18,6,FALSE)),1)*HLOOKUP(C287,Landbrug!$C$15:$E$17,2,FALSE)*HLOOKUP(C287,Landbrug!$C$15:$E$17,3,FALSE)*0.1</f>
        <v>0</v>
      </c>
      <c r="J287" s="76">
        <f t="shared" si="55"/>
        <v>95164.20571307448</v>
      </c>
    </row>
    <row r="288" spans="1:10" x14ac:dyDescent="0.25">
      <c r="A288" t="s">
        <v>24</v>
      </c>
      <c r="B288" s="1" t="str">
        <f>[1]Afgrødefordeling!$C$8</f>
        <v>Roer</v>
      </c>
      <c r="C288">
        <v>2050</v>
      </c>
      <c r="D288" t="s">
        <v>7</v>
      </c>
      <c r="E288" s="168" t="str">
        <f t="shared" si="56"/>
        <v>JB1-10</v>
      </c>
      <c r="F288" t="str">
        <f t="shared" si="54"/>
        <v>Roer</v>
      </c>
      <c r="G288" s="76" cm="1">
        <f t="array" ref="G288">IF(A288="Vestdanmark",IF(D288="Konventionel",IF(C288=2019,SUMPRODUCT((B288='Landbrugsareal - resultat'!$B$6:$B$19)*(INDEX('Landbrugsareal - resultat'!$C$6:$E$19,,MATCH(E288,'Landbrugsareal - resultat'!$C$5:$E$5,0)))),IF(C288=2030,SUMPRODUCT((B288='Landbrugsareal - resultat'!$B$6:$B$19)*(INDEX('Landbrugsareal - resultat'!$F$6:$H$19,,MATCH(E288,'Landbrugsareal - resultat'!$F$5:$H$5,0)))),SUMPRODUCT((B288='Landbrugsareal - resultat'!$B$6:$B$19)*(INDEX('Landbrugsareal - resultat'!$I$6:$K$19,,MATCH(E288,'Landbrugsareal - resultat'!$I$5:$K$5,0)))))),IF(C288=2019,SUMPRODUCT((B288='Landbrugsareal - resultat'!$B$6:$B$19)*(INDEX('Landbrugsareal - resultat'!$L$6:$N$19,,MATCH(E288,'Landbrugsareal - resultat'!$L$5:$N$5,0)))),IF(C288=2030,SUMPRODUCT((B288='Landbrugsareal - resultat'!$B$6:$B$19)*(INDEX('Landbrugsareal - resultat'!$O$6:$Q$19,,MATCH(E288,'Landbrugsareal - resultat'!$O$5:$Q$5,0)))),SUMPRODUCT((B288='Landbrugsareal - resultat'!$B$6:$B$19)*(INDEX('Landbrugsareal - resultat'!$R$6:$T$19,,MATCH(E288,'Landbrugsareal - resultat'!$R$5:$T$5,0))))))),IF(D288="Konventionel",IF(C288=2019,SUMPRODUCT((B288='Landbrugsareal - resultat'!$B$33:$B$46)*(INDEX('Landbrugsareal - resultat'!$C$33:$E$46,,MATCH(E288,'Landbrugsareal - resultat'!$C$5:$E$5,0)))),IF(C288=2030,SUMPRODUCT((B288='Landbrugsareal - resultat'!$B$33:$B$46)*(INDEX('Landbrugsareal - resultat'!$F$33:$H$46,,MATCH(E288,'Landbrugsareal - resultat'!$F$5:$H$5,0)))),SUMPRODUCT((B288='Landbrugsareal - resultat'!$B$33:$B$46)*(INDEX('Landbrugsareal - resultat'!$I$33:$K$46,,MATCH(E288,'Landbrugsareal - resultat'!$I$5:$K$5,0)))))),IF(C288=2019,SUMPRODUCT((B288='Landbrugsareal - resultat'!$B$33:$B$46)*(INDEX('Landbrugsareal - resultat'!$L$33:$N$46,,MATCH(E288,'Landbrugsareal - resultat'!$L$5:$N$5,0)))),IF(C288=2030,SUMPRODUCT((B288='Landbrugsareal - resultat'!$B$33:$B$46)*(INDEX('Landbrugsareal - resultat'!$O$33:$Q$46,,MATCH(E288,'Landbrugsareal - resultat'!$O$5:$Q$5,0)))),SUMPRODUCT((B288='Landbrugsareal - resultat'!$B$33:$B$46)*(INDEX('Landbrugsareal - resultat'!$R$33:$T$46,,MATCH(E288,'Landbrugsareal - resultat'!$R$5:$T$5,0))))))))</f>
        <v>23293.356005160073</v>
      </c>
      <c r="H288" s="168">
        <f>G288*VLOOKUP(B288,[1]Afgrødedata!$A$5:$F$18,2,FALSE)*IF(D288="Økologisk",VLOOKUP(B288,[1]Afgrødedata!$A$5:$F$18,4,FALSE),1)*IF(E288&lt;&gt;Jordbund1,IF(E288=Organ6,VLOOKUP(B288,[1]Afgrødedata!$A$5:$F$18,5,FALSE),VLOOKUP(B288,[1]Afgrødedata!$A$5:$F$18,6,FALSE)),1)*0.1</f>
        <v>1892672.0909267378</v>
      </c>
      <c r="I288" s="168">
        <f>G288*VLOOKUP(B288,[1]Afgrødedata!$A$5:$F$18,3,FALSE)*IF(D288="Økologisk",VLOOKUP(B288,[1]Afgrødedata!$A$5:$F$18,4,FALSE),1)*IF(E288&lt;&gt;Jordbund1,IF(E288=Organ6,VLOOKUP(B288,[1]Afgrødedata!$A$5:$F$18,5,FALSE),VLOOKUP(B288,[1]Afgrødedata!$A$5:$F$18,6,FALSE)),1)*HLOOKUP(C288,Landbrug!$C$15:$E$17,2,FALSE)*HLOOKUP(C288,Landbrug!$C$15:$E$17,3,FALSE)*0.1</f>
        <v>0</v>
      </c>
      <c r="J288" s="76">
        <f t="shared" si="55"/>
        <v>1892672.0909267378</v>
      </c>
    </row>
    <row r="289" spans="1:10" x14ac:dyDescent="0.25">
      <c r="A289" t="s">
        <v>24</v>
      </c>
      <c r="B289" s="1" t="str">
        <f>[1]Afgrødefordeling!$C$9</f>
        <v>Majs</v>
      </c>
      <c r="C289">
        <v>2050</v>
      </c>
      <c r="D289" t="s">
        <v>7</v>
      </c>
      <c r="E289" s="168" t="str">
        <f t="shared" si="56"/>
        <v>JB1-10</v>
      </c>
      <c r="F289" t="str">
        <f t="shared" si="54"/>
        <v>Majs</v>
      </c>
      <c r="G289" s="76" cm="1">
        <f t="array" ref="G289">IF(A289="Vestdanmark",IF(D289="Konventionel",IF(C289=2019,SUMPRODUCT((B289='Landbrugsareal - resultat'!$B$6:$B$19)*(INDEX('Landbrugsareal - resultat'!$C$6:$E$19,,MATCH(E289,'Landbrugsareal - resultat'!$C$5:$E$5,0)))),IF(C289=2030,SUMPRODUCT((B289='Landbrugsareal - resultat'!$B$6:$B$19)*(INDEX('Landbrugsareal - resultat'!$F$6:$H$19,,MATCH(E289,'Landbrugsareal - resultat'!$F$5:$H$5,0)))),SUMPRODUCT((B289='Landbrugsareal - resultat'!$B$6:$B$19)*(INDEX('Landbrugsareal - resultat'!$I$6:$K$19,,MATCH(E289,'Landbrugsareal - resultat'!$I$5:$K$5,0)))))),IF(C289=2019,SUMPRODUCT((B289='Landbrugsareal - resultat'!$B$6:$B$19)*(INDEX('Landbrugsareal - resultat'!$L$6:$N$19,,MATCH(E289,'Landbrugsareal - resultat'!$L$5:$N$5,0)))),IF(C289=2030,SUMPRODUCT((B289='Landbrugsareal - resultat'!$B$6:$B$19)*(INDEX('Landbrugsareal - resultat'!$O$6:$Q$19,,MATCH(E289,'Landbrugsareal - resultat'!$O$5:$Q$5,0)))),SUMPRODUCT((B289='Landbrugsareal - resultat'!$B$6:$B$19)*(INDEX('Landbrugsareal - resultat'!$R$6:$T$19,,MATCH(E289,'Landbrugsareal - resultat'!$R$5:$T$5,0))))))),IF(D289="Konventionel",IF(C289=2019,SUMPRODUCT((B289='Landbrugsareal - resultat'!$B$33:$B$46)*(INDEX('Landbrugsareal - resultat'!$C$33:$E$46,,MATCH(E289,'Landbrugsareal - resultat'!$C$5:$E$5,0)))),IF(C289=2030,SUMPRODUCT((B289='Landbrugsareal - resultat'!$B$33:$B$46)*(INDEX('Landbrugsareal - resultat'!$F$33:$H$46,,MATCH(E289,'Landbrugsareal - resultat'!$F$5:$H$5,0)))),SUMPRODUCT((B289='Landbrugsareal - resultat'!$B$33:$B$46)*(INDEX('Landbrugsareal - resultat'!$I$33:$K$46,,MATCH(E289,'Landbrugsareal - resultat'!$I$5:$K$5,0)))))),IF(C289=2019,SUMPRODUCT((B289='Landbrugsareal - resultat'!$B$33:$B$46)*(INDEX('Landbrugsareal - resultat'!$L$33:$N$46,,MATCH(E289,'Landbrugsareal - resultat'!$L$5:$N$5,0)))),IF(C289=2030,SUMPRODUCT((B289='Landbrugsareal - resultat'!$B$33:$B$46)*(INDEX('Landbrugsareal - resultat'!$O$33:$Q$46,,MATCH(E289,'Landbrugsareal - resultat'!$O$5:$Q$5,0)))),SUMPRODUCT((B289='Landbrugsareal - resultat'!$B$33:$B$46)*(INDEX('Landbrugsareal - resultat'!$R$33:$T$46,,MATCH(E289,'Landbrugsareal - resultat'!$R$5:$T$5,0))))))))</f>
        <v>6588.2279012933241</v>
      </c>
      <c r="H289" s="168">
        <f>G289*VLOOKUP(B289,[1]Afgrødedata!$A$5:$F$18,2,FALSE)*IF(D289="Økologisk",VLOOKUP(B289,[1]Afgrødedata!$A$5:$F$18,4,FALSE),1)*IF(E289&lt;&gt;Jordbund1,IF(E289=Organ6,VLOOKUP(B289,[1]Afgrødedata!$A$5:$F$18,5,FALSE),VLOOKUP(B289,[1]Afgrødedata!$A$5:$F$18,6,FALSE)),1)*0.1</f>
        <v>293242.02388656588</v>
      </c>
      <c r="I289" s="168">
        <f>G289*VLOOKUP(B289,[1]Afgrødedata!$A$5:$F$18,3,FALSE)*IF(D289="Økologisk",VLOOKUP(B289,[1]Afgrødedata!$A$5:$F$18,4,FALSE),1)*IF(E289&lt;&gt;Jordbund1,IF(E289=Organ6,VLOOKUP(B289,[1]Afgrødedata!$A$5:$F$18,5,FALSE),VLOOKUP(B289,[1]Afgrødedata!$A$5:$F$18,6,FALSE)),1)*HLOOKUP(C289,Landbrug!$C$15:$E$17,2,FALSE)*HLOOKUP(C289,Landbrug!$C$15:$E$17,3,FALSE)*0.1</f>
        <v>0</v>
      </c>
      <c r="J289" s="76">
        <f t="shared" si="55"/>
        <v>293242.02388656588</v>
      </c>
    </row>
    <row r="290" spans="1:10" x14ac:dyDescent="0.25">
      <c r="A290" t="s">
        <v>24</v>
      </c>
      <c r="B290" s="1" t="str">
        <f>[1]Afgrødefordeling!$C$10</f>
        <v>Frugt</v>
      </c>
      <c r="C290">
        <v>2050</v>
      </c>
      <c r="D290" t="s">
        <v>7</v>
      </c>
      <c r="E290" s="168" t="str">
        <f t="shared" si="56"/>
        <v>JB1-10</v>
      </c>
      <c r="F290" t="str">
        <f t="shared" si="54"/>
        <v>Frugt</v>
      </c>
      <c r="G290" s="76" cm="1">
        <f t="array" ref="G290">IF(A290="Vestdanmark",IF(D290="Konventionel",IF(C290=2019,SUMPRODUCT((B290='Landbrugsareal - resultat'!$B$6:$B$19)*(INDEX('Landbrugsareal - resultat'!$C$6:$E$19,,MATCH(E290,'Landbrugsareal - resultat'!$C$5:$E$5,0)))),IF(C290=2030,SUMPRODUCT((B290='Landbrugsareal - resultat'!$B$6:$B$19)*(INDEX('Landbrugsareal - resultat'!$F$6:$H$19,,MATCH(E290,'Landbrugsareal - resultat'!$F$5:$H$5,0)))),SUMPRODUCT((B290='Landbrugsareal - resultat'!$B$6:$B$19)*(INDEX('Landbrugsareal - resultat'!$I$6:$K$19,,MATCH(E290,'Landbrugsareal - resultat'!$I$5:$K$5,0)))))),IF(C290=2019,SUMPRODUCT((B290='Landbrugsareal - resultat'!$B$6:$B$19)*(INDEX('Landbrugsareal - resultat'!$L$6:$N$19,,MATCH(E290,'Landbrugsareal - resultat'!$L$5:$N$5,0)))),IF(C290=2030,SUMPRODUCT((B290='Landbrugsareal - resultat'!$B$6:$B$19)*(INDEX('Landbrugsareal - resultat'!$O$6:$Q$19,,MATCH(E290,'Landbrugsareal - resultat'!$O$5:$Q$5,0)))),SUMPRODUCT((B290='Landbrugsareal - resultat'!$B$6:$B$19)*(INDEX('Landbrugsareal - resultat'!$R$6:$T$19,,MATCH(E290,'Landbrugsareal - resultat'!$R$5:$T$5,0))))))),IF(D290="Konventionel",IF(C290=2019,SUMPRODUCT((B290='Landbrugsareal - resultat'!$B$33:$B$46)*(INDEX('Landbrugsareal - resultat'!$C$33:$E$46,,MATCH(E290,'Landbrugsareal - resultat'!$C$5:$E$5,0)))),IF(C290=2030,SUMPRODUCT((B290='Landbrugsareal - resultat'!$B$33:$B$46)*(INDEX('Landbrugsareal - resultat'!$F$33:$H$46,,MATCH(E290,'Landbrugsareal - resultat'!$F$5:$H$5,0)))),SUMPRODUCT((B290='Landbrugsareal - resultat'!$B$33:$B$46)*(INDEX('Landbrugsareal - resultat'!$I$33:$K$46,,MATCH(E290,'Landbrugsareal - resultat'!$I$5:$K$5,0)))))),IF(C290=2019,SUMPRODUCT((B290='Landbrugsareal - resultat'!$B$33:$B$46)*(INDEX('Landbrugsareal - resultat'!$L$33:$N$46,,MATCH(E290,'Landbrugsareal - resultat'!$L$5:$N$5,0)))),IF(C290=2030,SUMPRODUCT((B290='Landbrugsareal - resultat'!$B$33:$B$46)*(INDEX('Landbrugsareal - resultat'!$O$33:$Q$46,,MATCH(E290,'Landbrugsareal - resultat'!$O$5:$Q$5,0)))),SUMPRODUCT((B290='Landbrugsareal - resultat'!$B$33:$B$46)*(INDEX('Landbrugsareal - resultat'!$R$33:$T$46,,MATCH(E290,'Landbrugsareal - resultat'!$R$5:$T$5,0))))))))</f>
        <v>1532.9569848763078</v>
      </c>
      <c r="H290" s="168">
        <f>G290*VLOOKUP(B290,[1]Afgrødedata!$A$5:$F$18,2,FALSE)*IF(D290="Økologisk",VLOOKUP(B290,[1]Afgrødedata!$A$5:$F$18,4,FALSE),1)*IF(E290&lt;&gt;Jordbund1,IF(E290=Organ6,VLOOKUP(B290,[1]Afgrødedata!$A$5:$F$18,5,FALSE),VLOOKUP(B290,[1]Afgrødedata!$A$5:$F$18,6,FALSE)),1)*0.1</f>
        <v>13014.804801599856</v>
      </c>
      <c r="I290" s="168">
        <f>G290*VLOOKUP(B290,[1]Afgrødedata!$A$5:$F$18,3,FALSE)*IF(D290="Økologisk",VLOOKUP(B290,[1]Afgrødedata!$A$5:$F$18,4,FALSE),1)*IF(E290&lt;&gt;Jordbund1,IF(E290=Organ6,VLOOKUP(B290,[1]Afgrødedata!$A$5:$F$18,5,FALSE),VLOOKUP(B290,[1]Afgrødedata!$A$5:$F$18,6,FALSE)),1)*HLOOKUP(C290,Landbrug!$C$15:$E$17,2,FALSE)*HLOOKUP(C290,Landbrug!$C$15:$E$17,3,FALSE)*0.1</f>
        <v>0</v>
      </c>
      <c r="J290" s="76">
        <f t="shared" si="55"/>
        <v>13014.804801599856</v>
      </c>
    </row>
    <row r="291" spans="1:10" x14ac:dyDescent="0.25">
      <c r="A291" t="s">
        <v>24</v>
      </c>
      <c r="B291" s="1" t="str">
        <f>[1]Afgrødefordeling!$C$11</f>
        <v>Øvrige</v>
      </c>
      <c r="C291">
        <v>2050</v>
      </c>
      <c r="D291" t="s">
        <v>7</v>
      </c>
      <c r="E291" s="168" t="str">
        <f t="shared" si="56"/>
        <v>JB1-10</v>
      </c>
      <c r="F291" t="str">
        <f t="shared" si="54"/>
        <v>Øvrige</v>
      </c>
      <c r="G291" s="76" cm="1">
        <f t="array" ref="G291">IF(A291="Vestdanmark",IF(D291="Konventionel",IF(C291=2019,SUMPRODUCT((B291='Landbrugsareal - resultat'!$B$6:$B$19)*(INDEX('Landbrugsareal - resultat'!$C$6:$E$19,,MATCH(E291,'Landbrugsareal - resultat'!$C$5:$E$5,0)))),IF(C291=2030,SUMPRODUCT((B291='Landbrugsareal - resultat'!$B$6:$B$19)*(INDEX('Landbrugsareal - resultat'!$F$6:$H$19,,MATCH(E291,'Landbrugsareal - resultat'!$F$5:$H$5,0)))),SUMPRODUCT((B291='Landbrugsareal - resultat'!$B$6:$B$19)*(INDEX('Landbrugsareal - resultat'!$I$6:$K$19,,MATCH(E291,'Landbrugsareal - resultat'!$I$5:$K$5,0)))))),IF(C291=2019,SUMPRODUCT((B291='Landbrugsareal - resultat'!$B$6:$B$19)*(INDEX('Landbrugsareal - resultat'!$L$6:$N$19,,MATCH(E291,'Landbrugsareal - resultat'!$L$5:$N$5,0)))),IF(C291=2030,SUMPRODUCT((B291='Landbrugsareal - resultat'!$B$6:$B$19)*(INDEX('Landbrugsareal - resultat'!$O$6:$Q$19,,MATCH(E291,'Landbrugsareal - resultat'!$O$5:$Q$5,0)))),SUMPRODUCT((B291='Landbrugsareal - resultat'!$B$6:$B$19)*(INDEX('Landbrugsareal - resultat'!$R$6:$T$19,,MATCH(E291,'Landbrugsareal - resultat'!$R$5:$T$5,0))))))),IF(D291="Konventionel",IF(C291=2019,SUMPRODUCT((B291='Landbrugsareal - resultat'!$B$33:$B$46)*(INDEX('Landbrugsareal - resultat'!$C$33:$E$46,,MATCH(E291,'Landbrugsareal - resultat'!$C$5:$E$5,0)))),IF(C291=2030,SUMPRODUCT((B291='Landbrugsareal - resultat'!$B$33:$B$46)*(INDEX('Landbrugsareal - resultat'!$F$33:$H$46,,MATCH(E291,'Landbrugsareal - resultat'!$F$5:$H$5,0)))),SUMPRODUCT((B291='Landbrugsareal - resultat'!$B$33:$B$46)*(INDEX('Landbrugsareal - resultat'!$I$33:$K$46,,MATCH(E291,'Landbrugsareal - resultat'!$I$5:$K$5,0)))))),IF(C291=2019,SUMPRODUCT((B291='Landbrugsareal - resultat'!$B$33:$B$46)*(INDEX('Landbrugsareal - resultat'!$L$33:$N$46,,MATCH(E291,'Landbrugsareal - resultat'!$L$5:$N$5,0)))),IF(C291=2030,SUMPRODUCT((B291='Landbrugsareal - resultat'!$B$33:$B$46)*(INDEX('Landbrugsareal - resultat'!$O$33:$Q$46,,MATCH(E291,'Landbrugsareal - resultat'!$O$5:$Q$5,0)))),SUMPRODUCT((B291='Landbrugsareal - resultat'!$B$33:$B$46)*(INDEX('Landbrugsareal - resultat'!$R$33:$T$46,,MATCH(E291,'Landbrugsareal - resultat'!$R$5:$T$5,0))))))))</f>
        <v>10946.056374089812</v>
      </c>
      <c r="H291" s="168">
        <f>G291*VLOOKUP(B291,[1]Afgrødedata!$A$5:$F$18,2,FALSE)*IF(D291="Økologisk",VLOOKUP(B291,[1]Afgrødedata!$A$5:$F$18,4,FALSE),1)*IF(E291&lt;&gt;Jordbund1,IF(E291=Organ6,VLOOKUP(B291,[1]Afgrødedata!$A$5:$F$18,5,FALSE),VLOOKUP(B291,[1]Afgrødedata!$A$5:$F$18,6,FALSE)),1)*0.1</f>
        <v>326148.07735980267</v>
      </c>
      <c r="I291" s="168">
        <f>G291*VLOOKUP(B291,[1]Afgrødedata!$A$5:$F$18,3,FALSE)*IF(D291="Økologisk",VLOOKUP(B291,[1]Afgrødedata!$A$5:$F$18,4,FALSE),1)*IF(E291&lt;&gt;Jordbund1,IF(E291=Organ6,VLOOKUP(B291,[1]Afgrødedata!$A$5:$F$18,5,FALSE),VLOOKUP(B291,[1]Afgrødedata!$A$5:$F$18,6,FALSE)),1)*HLOOKUP(C291,Landbrug!$C$15:$E$17,2,FALSE)*HLOOKUP(C291,Landbrug!$C$15:$E$17,3,FALSE)*0.1</f>
        <v>0</v>
      </c>
      <c r="J291" s="76">
        <f t="shared" si="55"/>
        <v>326148.07735980267</v>
      </c>
    </row>
    <row r="292" spans="1:10" x14ac:dyDescent="0.25">
      <c r="A292" t="s">
        <v>24</v>
      </c>
      <c r="B292" s="1" t="str">
        <f>[1]Afgrødefordeling!$C$12</f>
        <v>Frø</v>
      </c>
      <c r="C292">
        <v>2050</v>
      </c>
      <c r="D292" t="s">
        <v>7</v>
      </c>
      <c r="E292" s="168" t="str">
        <f t="shared" si="56"/>
        <v>JB1-10</v>
      </c>
      <c r="F292" t="str">
        <f t="shared" si="54"/>
        <v>Halm</v>
      </c>
      <c r="G292" s="76" cm="1">
        <f t="array" ref="G292">IF(A292="Vestdanmark",IF(D292="Konventionel",IF(C292=2019,SUMPRODUCT((B292='Landbrugsareal - resultat'!$B$6:$B$19)*(INDEX('Landbrugsareal - resultat'!$C$6:$E$19,,MATCH(E292,'Landbrugsareal - resultat'!$C$5:$E$5,0)))),IF(C292=2030,SUMPRODUCT((B292='Landbrugsareal - resultat'!$B$6:$B$19)*(INDEX('Landbrugsareal - resultat'!$F$6:$H$19,,MATCH(E292,'Landbrugsareal - resultat'!$F$5:$H$5,0)))),SUMPRODUCT((B292='Landbrugsareal - resultat'!$B$6:$B$19)*(INDEX('Landbrugsareal - resultat'!$I$6:$K$19,,MATCH(E292,'Landbrugsareal - resultat'!$I$5:$K$5,0)))))),IF(C292=2019,SUMPRODUCT((B292='Landbrugsareal - resultat'!$B$6:$B$19)*(INDEX('Landbrugsareal - resultat'!$L$6:$N$19,,MATCH(E292,'Landbrugsareal - resultat'!$L$5:$N$5,0)))),IF(C292=2030,SUMPRODUCT((B292='Landbrugsareal - resultat'!$B$6:$B$19)*(INDEX('Landbrugsareal - resultat'!$O$6:$Q$19,,MATCH(E292,'Landbrugsareal - resultat'!$O$5:$Q$5,0)))),SUMPRODUCT((B292='Landbrugsareal - resultat'!$B$6:$B$19)*(INDEX('Landbrugsareal - resultat'!$R$6:$T$19,,MATCH(E292,'Landbrugsareal - resultat'!$R$5:$T$5,0))))))),IF(D292="Konventionel",IF(C292=2019,SUMPRODUCT((B292='Landbrugsareal - resultat'!$B$33:$B$46)*(INDEX('Landbrugsareal - resultat'!$C$33:$E$46,,MATCH(E292,'Landbrugsareal - resultat'!$C$5:$E$5,0)))),IF(C292=2030,SUMPRODUCT((B292='Landbrugsareal - resultat'!$B$33:$B$46)*(INDEX('Landbrugsareal - resultat'!$F$33:$H$46,,MATCH(E292,'Landbrugsareal - resultat'!$F$5:$H$5,0)))),SUMPRODUCT((B292='Landbrugsareal - resultat'!$B$33:$B$46)*(INDEX('Landbrugsareal - resultat'!$I$33:$K$46,,MATCH(E292,'Landbrugsareal - resultat'!$I$5:$K$5,0)))))),IF(C292=2019,SUMPRODUCT((B292='Landbrugsareal - resultat'!$B$33:$B$46)*(INDEX('Landbrugsareal - resultat'!$L$33:$N$46,,MATCH(E292,'Landbrugsareal - resultat'!$L$5:$N$5,0)))),IF(C292=2030,SUMPRODUCT((B292='Landbrugsareal - resultat'!$B$33:$B$46)*(INDEX('Landbrugsareal - resultat'!$O$33:$Q$46,,MATCH(E292,'Landbrugsareal - resultat'!$O$5:$Q$5,0)))),SUMPRODUCT((B292='Landbrugsareal - resultat'!$B$33:$B$46)*(INDEX('Landbrugsareal - resultat'!$R$33:$T$46,,MATCH(E292,'Landbrugsareal - resultat'!$R$5:$T$5,0))))))))</f>
        <v>33866.775571248349</v>
      </c>
      <c r="H292" s="168">
        <f>G292*VLOOKUP(B292,[1]Afgrødedata!$A$5:$F$18,2,FALSE)*IF(D292="Økologisk",VLOOKUP(B292,[1]Afgrødedata!$A$5:$F$18,4,FALSE),1)*IF(E292&lt;&gt;Jordbund1,IF(E292=Organ6,VLOOKUP(B292,[1]Afgrødedata!$A$5:$F$18,5,FALSE),VLOOKUP(B292,[1]Afgrødedata!$A$5:$F$18,6,FALSE)),1)*0.1</f>
        <v>483917.64051058935</v>
      </c>
      <c r="I292" s="168">
        <f>G292*VLOOKUP(B292,[1]Afgrødedata!$A$5:$F$18,3,FALSE)*IF(D292="Økologisk",VLOOKUP(B292,[1]Afgrødedata!$A$5:$F$18,4,FALSE),1)*IF(E292&lt;&gt;Jordbund1,IF(E292=Organ6,VLOOKUP(B292,[1]Afgrødedata!$A$5:$F$18,5,FALSE),VLOOKUP(B292,[1]Afgrødedata!$A$5:$F$18,6,FALSE)),1)*HLOOKUP(C292,Landbrug!$C$15:$E$17,2,FALSE)*HLOOKUP(C292,Landbrug!$C$15:$E$17,3,FALSE)*0.1</f>
        <v>79925.590348146099</v>
      </c>
      <c r="J292" s="76">
        <f t="shared" si="55"/>
        <v>79925.590348146099</v>
      </c>
    </row>
    <row r="293" spans="1:10" x14ac:dyDescent="0.25">
      <c r="A293" t="s">
        <v>24</v>
      </c>
      <c r="B293" s="1" t="str">
        <f>[1]Afgrødefordeling!$C$13</f>
        <v>Juletræer</v>
      </c>
      <c r="C293">
        <v>2050</v>
      </c>
      <c r="D293" t="s">
        <v>7</v>
      </c>
      <c r="E293" s="168" t="str">
        <f t="shared" si="56"/>
        <v>JB1-10</v>
      </c>
      <c r="F293" t="str">
        <f t="shared" si="54"/>
        <v>Juletræer</v>
      </c>
      <c r="G293" s="76" cm="1">
        <f t="array" ref="G293">IF(A293="Vestdanmark",IF(D293="Konventionel",IF(C293=2019,SUMPRODUCT((B293='Landbrugsareal - resultat'!$B$6:$B$19)*(INDEX('Landbrugsareal - resultat'!$C$6:$E$19,,MATCH(E293,'Landbrugsareal - resultat'!$C$5:$E$5,0)))),IF(C293=2030,SUMPRODUCT((B293='Landbrugsareal - resultat'!$B$6:$B$19)*(INDEX('Landbrugsareal - resultat'!$F$6:$H$19,,MATCH(E293,'Landbrugsareal - resultat'!$F$5:$H$5,0)))),SUMPRODUCT((B293='Landbrugsareal - resultat'!$B$6:$B$19)*(INDEX('Landbrugsareal - resultat'!$I$6:$K$19,,MATCH(E293,'Landbrugsareal - resultat'!$I$5:$K$5,0)))))),IF(C293=2019,SUMPRODUCT((B293='Landbrugsareal - resultat'!$B$6:$B$19)*(INDEX('Landbrugsareal - resultat'!$L$6:$N$19,,MATCH(E293,'Landbrugsareal - resultat'!$L$5:$N$5,0)))),IF(C293=2030,SUMPRODUCT((B293='Landbrugsareal - resultat'!$B$6:$B$19)*(INDEX('Landbrugsareal - resultat'!$O$6:$Q$19,,MATCH(E293,'Landbrugsareal - resultat'!$O$5:$Q$5,0)))),SUMPRODUCT((B293='Landbrugsareal - resultat'!$B$6:$B$19)*(INDEX('Landbrugsareal - resultat'!$R$6:$T$19,,MATCH(E293,'Landbrugsareal - resultat'!$R$5:$T$5,0))))))),IF(D293="Konventionel",IF(C293=2019,SUMPRODUCT((B293='Landbrugsareal - resultat'!$B$33:$B$46)*(INDEX('Landbrugsareal - resultat'!$C$33:$E$46,,MATCH(E293,'Landbrugsareal - resultat'!$C$5:$E$5,0)))),IF(C293=2030,SUMPRODUCT((B293='Landbrugsareal - resultat'!$B$33:$B$46)*(INDEX('Landbrugsareal - resultat'!$F$33:$H$46,,MATCH(E293,'Landbrugsareal - resultat'!$F$5:$H$5,0)))),SUMPRODUCT((B293='Landbrugsareal - resultat'!$B$33:$B$46)*(INDEX('Landbrugsareal - resultat'!$I$33:$K$46,,MATCH(E293,'Landbrugsareal - resultat'!$I$5:$K$5,0)))))),IF(C293=2019,SUMPRODUCT((B293='Landbrugsareal - resultat'!$B$33:$B$46)*(INDEX('Landbrugsareal - resultat'!$L$33:$N$46,,MATCH(E293,'Landbrugsareal - resultat'!$L$5:$N$5,0)))),IF(C293=2030,SUMPRODUCT((B293='Landbrugsareal - resultat'!$B$33:$B$46)*(INDEX('Landbrugsareal - resultat'!$O$33:$Q$46,,MATCH(E293,'Landbrugsareal - resultat'!$O$5:$Q$5,0)))),SUMPRODUCT((B293='Landbrugsareal - resultat'!$B$33:$B$46)*(INDEX('Landbrugsareal - resultat'!$R$33:$T$46,,MATCH(E293,'Landbrugsareal - resultat'!$R$5:$T$5,0))))))))</f>
        <v>2402.1348718004842</v>
      </c>
      <c r="H293" s="168">
        <f>G293*VLOOKUP(B293,[1]Afgrødedata!$A$5:$F$18,2,FALSE)*IF(D293="Økologisk",VLOOKUP(B293,[1]Afgrødedata!$A$5:$F$18,4,FALSE),1)*IF(E293&lt;&gt;Jordbund1,IF(E293=Organ6,VLOOKUP(B293,[1]Afgrødedata!$A$5:$F$18,5,FALSE),VLOOKUP(B293,[1]Afgrødedata!$A$5:$F$18,6,FALSE)),1)*0.1</f>
        <v>120106.74359002421</v>
      </c>
      <c r="I293" s="168">
        <f>G293*VLOOKUP(B293,[1]Afgrødedata!$A$5:$F$18,3,FALSE)*IF(D293="Økologisk",VLOOKUP(B293,[1]Afgrødedata!$A$5:$F$18,4,FALSE),1)*IF(E293&lt;&gt;Jordbund1,IF(E293=Organ6,VLOOKUP(B293,[1]Afgrødedata!$A$5:$F$18,5,FALSE),VLOOKUP(B293,[1]Afgrødedata!$A$5:$F$18,6,FALSE)),1)*HLOOKUP(C293,Landbrug!$C$15:$E$17,2,FALSE)*HLOOKUP(C293,Landbrug!$C$15:$E$17,3,FALSE)*0.1</f>
        <v>0</v>
      </c>
      <c r="J293" s="76">
        <f t="shared" si="55"/>
        <v>120106.74359002421</v>
      </c>
    </row>
    <row r="294" spans="1:10" x14ac:dyDescent="0.25">
      <c r="A294" t="s">
        <v>24</v>
      </c>
      <c r="B294" s="1" t="str">
        <f>[1]Afgrødefordeling!$C$14</f>
        <v>Pil &amp; poppel</v>
      </c>
      <c r="C294">
        <v>2050</v>
      </c>
      <c r="D294" t="s">
        <v>7</v>
      </c>
      <c r="E294" s="168" t="str">
        <f t="shared" si="56"/>
        <v>JB1-10</v>
      </c>
      <c r="F294" t="str">
        <f t="shared" si="54"/>
        <v>Pil &amp; poppel</v>
      </c>
      <c r="G294" s="76" cm="1">
        <f t="array" ref="G294">IF(A294="Vestdanmark",IF(D294="Konventionel",IF(C294=2019,SUMPRODUCT((B294='Landbrugsareal - resultat'!$B$6:$B$19)*(INDEX('Landbrugsareal - resultat'!$C$6:$E$19,,MATCH(E294,'Landbrugsareal - resultat'!$C$5:$E$5,0)))),IF(C294=2030,SUMPRODUCT((B294='Landbrugsareal - resultat'!$B$6:$B$19)*(INDEX('Landbrugsareal - resultat'!$F$6:$H$19,,MATCH(E294,'Landbrugsareal - resultat'!$F$5:$H$5,0)))),SUMPRODUCT((B294='Landbrugsareal - resultat'!$B$6:$B$19)*(INDEX('Landbrugsareal - resultat'!$I$6:$K$19,,MATCH(E294,'Landbrugsareal - resultat'!$I$5:$K$5,0)))))),IF(C294=2019,SUMPRODUCT((B294='Landbrugsareal - resultat'!$B$6:$B$19)*(INDEX('Landbrugsareal - resultat'!$L$6:$N$19,,MATCH(E294,'Landbrugsareal - resultat'!$L$5:$N$5,0)))),IF(C294=2030,SUMPRODUCT((B294='Landbrugsareal - resultat'!$B$6:$B$19)*(INDEX('Landbrugsareal - resultat'!$O$6:$Q$19,,MATCH(E294,'Landbrugsareal - resultat'!$O$5:$Q$5,0)))),SUMPRODUCT((B294='Landbrugsareal - resultat'!$B$6:$B$19)*(INDEX('Landbrugsareal - resultat'!$R$6:$T$19,,MATCH(E294,'Landbrugsareal - resultat'!$R$5:$T$5,0))))))),IF(D294="Konventionel",IF(C294=2019,SUMPRODUCT((B294='Landbrugsareal - resultat'!$B$33:$B$46)*(INDEX('Landbrugsareal - resultat'!$C$33:$E$46,,MATCH(E294,'Landbrugsareal - resultat'!$C$5:$E$5,0)))),IF(C294=2030,SUMPRODUCT((B294='Landbrugsareal - resultat'!$B$33:$B$46)*(INDEX('Landbrugsareal - resultat'!$F$33:$H$46,,MATCH(E294,'Landbrugsareal - resultat'!$F$5:$H$5,0)))),SUMPRODUCT((B294='Landbrugsareal - resultat'!$B$33:$B$46)*(INDEX('Landbrugsareal - resultat'!$I$33:$K$46,,MATCH(E294,'Landbrugsareal - resultat'!$I$5:$K$5,0)))))),IF(C294=2019,SUMPRODUCT((B294='Landbrugsareal - resultat'!$B$33:$B$46)*(INDEX('Landbrugsareal - resultat'!$L$33:$N$46,,MATCH(E294,'Landbrugsareal - resultat'!$L$5:$N$5,0)))),IF(C294=2030,SUMPRODUCT((B294='Landbrugsareal - resultat'!$B$33:$B$46)*(INDEX('Landbrugsareal - resultat'!$O$33:$Q$46,,MATCH(E294,'Landbrugsareal - resultat'!$O$5:$Q$5,0)))),SUMPRODUCT((B294='Landbrugsareal - resultat'!$B$33:$B$46)*(INDEX('Landbrugsareal - resultat'!$R$33:$T$46,,MATCH(E294,'Landbrugsareal - resultat'!$R$5:$T$5,0))))))))</f>
        <v>1141.8212946950407</v>
      </c>
      <c r="H294" s="168">
        <f>G294*VLOOKUP(B294,[1]Afgrødedata!$A$5:$F$18,2,FALSE)*IF(D294="Økologisk",VLOOKUP(B294,[1]Afgrødedata!$A$5:$F$18,4,FALSE),1)*IF(E294&lt;&gt;Jordbund1,IF(E294=Organ6,VLOOKUP(B294,[1]Afgrødedata!$A$5:$F$18,5,FALSE),VLOOKUP(B294,[1]Afgrødedata!$A$5:$F$18,6,FALSE)),1)*0.1</f>
        <v>27849.29987061075</v>
      </c>
      <c r="I294" s="168">
        <f>G294*VLOOKUP(B294,[1]Afgrødedata!$A$5:$F$18,3,FALSE)*IF(D294="Økologisk",VLOOKUP(B294,[1]Afgrødedata!$A$5:$F$18,4,FALSE),1)*IF(E294&lt;&gt;Jordbund1,IF(E294=Organ6,VLOOKUP(B294,[1]Afgrødedata!$A$5:$F$18,5,FALSE),VLOOKUP(B294,[1]Afgrødedata!$A$5:$F$18,6,FALSE)),1)*HLOOKUP(C294,Landbrug!$C$15:$E$17,2,FALSE)*HLOOKUP(C294,Landbrug!$C$15:$E$17,3,FALSE)*0.1</f>
        <v>0</v>
      </c>
      <c r="J294" s="76">
        <f t="shared" si="55"/>
        <v>27849.29987061075</v>
      </c>
    </row>
    <row r="295" spans="1:10" x14ac:dyDescent="0.25">
      <c r="A295" t="s">
        <v>24</v>
      </c>
      <c r="B295" s="1" t="str">
        <f>[1]Afgrødefordeling!$C$15</f>
        <v>Permanent græs</v>
      </c>
      <c r="C295">
        <v>2050</v>
      </c>
      <c r="D295" t="s">
        <v>7</v>
      </c>
      <c r="E295" s="168" t="str">
        <f t="shared" si="56"/>
        <v>JB1-10</v>
      </c>
      <c r="F295" t="str">
        <f t="shared" si="54"/>
        <v>Græs</v>
      </c>
      <c r="G295" s="76" cm="1">
        <f t="array" ref="G295">IF(A295="Vestdanmark",IF(D295="Konventionel",IF(C295=2019,SUMPRODUCT((B295='Landbrugsareal - resultat'!$B$6:$B$19)*(INDEX('Landbrugsareal - resultat'!$C$6:$E$19,,MATCH(E295,'Landbrugsareal - resultat'!$C$5:$E$5,0)))),IF(C295=2030,SUMPRODUCT((B295='Landbrugsareal - resultat'!$B$6:$B$19)*(INDEX('Landbrugsareal - resultat'!$F$6:$H$19,,MATCH(E295,'Landbrugsareal - resultat'!$F$5:$H$5,0)))),SUMPRODUCT((B295='Landbrugsareal - resultat'!$B$6:$B$19)*(INDEX('Landbrugsareal - resultat'!$I$6:$K$19,,MATCH(E295,'Landbrugsareal - resultat'!$I$5:$K$5,0)))))),IF(C295=2019,SUMPRODUCT((B295='Landbrugsareal - resultat'!$B$6:$B$19)*(INDEX('Landbrugsareal - resultat'!$L$6:$N$19,,MATCH(E295,'Landbrugsareal - resultat'!$L$5:$N$5,0)))),IF(C295=2030,SUMPRODUCT((B295='Landbrugsareal - resultat'!$B$6:$B$19)*(INDEX('Landbrugsareal - resultat'!$O$6:$Q$19,,MATCH(E295,'Landbrugsareal - resultat'!$O$5:$Q$5,0)))),SUMPRODUCT((B295='Landbrugsareal - resultat'!$B$6:$B$19)*(INDEX('Landbrugsareal - resultat'!$R$6:$T$19,,MATCH(E295,'Landbrugsareal - resultat'!$R$5:$T$5,0))))))),IF(D295="Konventionel",IF(C295=2019,SUMPRODUCT((B295='Landbrugsareal - resultat'!$B$33:$B$46)*(INDEX('Landbrugsareal - resultat'!$C$33:$E$46,,MATCH(E295,'Landbrugsareal - resultat'!$C$5:$E$5,0)))),IF(C295=2030,SUMPRODUCT((B295='Landbrugsareal - resultat'!$B$33:$B$46)*(INDEX('Landbrugsareal - resultat'!$F$33:$H$46,,MATCH(E295,'Landbrugsareal - resultat'!$F$5:$H$5,0)))),SUMPRODUCT((B295='Landbrugsareal - resultat'!$B$33:$B$46)*(INDEX('Landbrugsareal - resultat'!$I$33:$K$46,,MATCH(E295,'Landbrugsareal - resultat'!$I$5:$K$5,0)))))),IF(C295=2019,SUMPRODUCT((B295='Landbrugsareal - resultat'!$B$33:$B$46)*(INDEX('Landbrugsareal - resultat'!$L$33:$N$46,,MATCH(E295,'Landbrugsareal - resultat'!$L$5:$N$5,0)))),IF(C295=2030,SUMPRODUCT((B295='Landbrugsareal - resultat'!$B$33:$B$46)*(INDEX('Landbrugsareal - resultat'!$O$33:$Q$46,,MATCH(E295,'Landbrugsareal - resultat'!$O$5:$Q$5,0)))),SUMPRODUCT((B295='Landbrugsareal - resultat'!$B$33:$B$46)*(INDEX('Landbrugsareal - resultat'!$R$33:$T$46,,MATCH(E295,'Landbrugsareal - resultat'!$R$5:$T$5,0))))))))</f>
        <v>28439.580819904713</v>
      </c>
      <c r="H295" s="168">
        <f>G295*VLOOKUP(B295,[1]Afgrødedata!$A$5:$F$18,2,FALSE)*IF(D295="Økologisk",VLOOKUP(B295,[1]Afgrødedata!$A$5:$F$18,4,FALSE),1)*IF(E295&lt;&gt;Jordbund1,IF(E295=Organ6,VLOOKUP(B295,[1]Afgrødedata!$A$5:$F$18,5,FALSE),VLOOKUP(B295,[1]Afgrødedata!$A$5:$F$18,6,FALSE)),1)*0.1</f>
        <v>392181.819506486</v>
      </c>
      <c r="I295" s="168">
        <f>G295*VLOOKUP(B295,[1]Afgrødedata!$A$5:$F$18,3,FALSE)*IF(D295="Økologisk",VLOOKUP(B295,[1]Afgrødedata!$A$5:$F$18,4,FALSE),1)*IF(E295&lt;&gt;Jordbund1,IF(E295=Organ6,VLOOKUP(B295,[1]Afgrødedata!$A$5:$F$18,5,FALSE),VLOOKUP(B295,[1]Afgrødedata!$A$5:$F$18,6,FALSE)),1)*HLOOKUP(C295,Landbrug!$C$15:$E$17,2,FALSE)*HLOOKUP(C295,Landbrug!$C$15:$E$17,3,FALSE)*0.1</f>
        <v>0</v>
      </c>
      <c r="J295" s="76">
        <f t="shared" si="55"/>
        <v>392181.819506486</v>
      </c>
    </row>
    <row r="296" spans="1:10" x14ac:dyDescent="0.25">
      <c r="A296" t="s">
        <v>24</v>
      </c>
      <c r="B296" s="1" t="str">
        <f>[1]Afgrødefordeling!$C$2</f>
        <v>Korn</v>
      </c>
      <c r="C296">
        <v>2019</v>
      </c>
      <c r="D296" t="s">
        <v>8</v>
      </c>
      <c r="E296" s="168" t="str">
        <f t="shared" si="56"/>
        <v>JB1-10</v>
      </c>
      <c r="F296" t="str">
        <f t="shared" si="54"/>
        <v>Halm</v>
      </c>
      <c r="G296" s="76" cm="1">
        <f t="array" ref="G296">IF(A296="Vestdanmark",IF(D296="Konventionel",IF(C296=2019,SUMPRODUCT((B296='Landbrugsareal - resultat'!$B$6:$B$19)*(INDEX('Landbrugsareal - resultat'!$C$6:$E$19,,MATCH(E296,'Landbrugsareal - resultat'!$C$5:$E$5,0)))),IF(C296=2030,SUMPRODUCT((B296='Landbrugsareal - resultat'!$B$6:$B$19)*(INDEX('Landbrugsareal - resultat'!$F$6:$H$19,,MATCH(E296,'Landbrugsareal - resultat'!$F$5:$H$5,0)))),SUMPRODUCT((B296='Landbrugsareal - resultat'!$B$6:$B$19)*(INDEX('Landbrugsareal - resultat'!$I$6:$K$19,,MATCH(E296,'Landbrugsareal - resultat'!$I$5:$K$5,0)))))),IF(C296=2019,SUMPRODUCT((B296='Landbrugsareal - resultat'!$B$6:$B$19)*(INDEX('Landbrugsareal - resultat'!$L$6:$N$19,,MATCH(E296,'Landbrugsareal - resultat'!$L$5:$N$5,0)))),IF(C296=2030,SUMPRODUCT((B296='Landbrugsareal - resultat'!$B$6:$B$19)*(INDEX('Landbrugsareal - resultat'!$O$6:$Q$19,,MATCH(E296,'Landbrugsareal - resultat'!$O$5:$Q$5,0)))),SUMPRODUCT((B296='Landbrugsareal - resultat'!$B$6:$B$19)*(INDEX('Landbrugsareal - resultat'!$R$6:$T$19,,MATCH(E296,'Landbrugsareal - resultat'!$R$5:$T$5,0))))))),IF(D296="Konventionel",IF(C296=2019,SUMPRODUCT((B296='Landbrugsareal - resultat'!$B$33:$B$46)*(INDEX('Landbrugsareal - resultat'!$C$33:$E$46,,MATCH(E296,'Landbrugsareal - resultat'!$C$5:$E$5,0)))),IF(C296=2030,SUMPRODUCT((B296='Landbrugsareal - resultat'!$B$33:$B$46)*(INDEX('Landbrugsareal - resultat'!$F$33:$H$46,,MATCH(E296,'Landbrugsareal - resultat'!$F$5:$H$5,0)))),SUMPRODUCT((B296='Landbrugsareal - resultat'!$B$33:$B$46)*(INDEX('Landbrugsareal - resultat'!$I$33:$K$46,,MATCH(E296,'Landbrugsareal - resultat'!$I$5:$K$5,0)))))),IF(C296=2019,SUMPRODUCT((B296='Landbrugsareal - resultat'!$B$33:$B$46)*(INDEX('Landbrugsareal - resultat'!$L$33:$N$46,,MATCH(E296,'Landbrugsareal - resultat'!$L$5:$N$5,0)))),IF(C296=2030,SUMPRODUCT((B296='Landbrugsareal - resultat'!$B$33:$B$46)*(INDEX('Landbrugsareal - resultat'!$O$33:$Q$46,,MATCH(E296,'Landbrugsareal - resultat'!$O$5:$Q$5,0)))),SUMPRODUCT((B296='Landbrugsareal - resultat'!$B$33:$B$46)*(INDEX('Landbrugsareal - resultat'!$R$33:$T$46,,MATCH(E296,'Landbrugsareal - resultat'!$R$5:$T$5,0))))))))</f>
        <v>36993.456805099093</v>
      </c>
      <c r="H296" s="168">
        <f>G296*VLOOKUP(B296,[1]Afgrødedata!$A$5:$F$18,2,FALSE)*IF(D296="Økologisk",VLOOKUP(B296,[1]Afgrødedata!$A$5:$F$18,4,FALSE),1)*IF(E296&lt;&gt;Jordbund1,IF(E296=Organ6,VLOOKUP(B296,[1]Afgrødedata!$A$5:$F$18,5,FALSE),VLOOKUP(B296,[1]Afgrødedata!$A$5:$F$18,6,FALSE)),1)*0.1</f>
        <v>173747.16857650894</v>
      </c>
      <c r="I296" s="168">
        <f>G296*VLOOKUP(B296,[1]Afgrødedata!$A$5:$F$18,3,FALSE)*IF(D296="Økologisk",VLOOKUP(B296,[1]Afgrødedata!$A$5:$F$18,4,FALSE),1)*IF(E296&lt;&gt;Jordbund1,IF(E296=Organ6,VLOOKUP(B296,[1]Afgrødedata!$A$5:$F$18,5,FALSE),VLOOKUP(B296,[1]Afgrødedata!$A$5:$F$18,6,FALSE)),1)*HLOOKUP(C296,Landbrug!$C$15:$E$17,2,FALSE)*HLOOKUP(C296,Landbrug!$C$15:$E$17,3,FALSE)*0.1</f>
        <v>56710.641455451077</v>
      </c>
      <c r="J296" s="76">
        <f t="shared" si="55"/>
        <v>56710.641455451077</v>
      </c>
    </row>
    <row r="297" spans="1:10" x14ac:dyDescent="0.25">
      <c r="A297" t="s">
        <v>24</v>
      </c>
      <c r="B297" s="1" t="str">
        <f>[1]Afgrødefordeling!$C$3</f>
        <v>Bælgsæd</v>
      </c>
      <c r="C297">
        <v>2019</v>
      </c>
      <c r="D297" t="s">
        <v>8</v>
      </c>
      <c r="E297" s="168" t="str">
        <f t="shared" si="56"/>
        <v>JB1-10</v>
      </c>
      <c r="F297" t="str">
        <f t="shared" si="54"/>
        <v>Halm</v>
      </c>
      <c r="G297" s="76" cm="1">
        <f t="array" ref="G297">IF(A297="Vestdanmark",IF(D297="Konventionel",IF(C297=2019,SUMPRODUCT((B297='Landbrugsareal - resultat'!$B$6:$B$19)*(INDEX('Landbrugsareal - resultat'!$C$6:$E$19,,MATCH(E297,'Landbrugsareal - resultat'!$C$5:$E$5,0)))),IF(C297=2030,SUMPRODUCT((B297='Landbrugsareal - resultat'!$B$6:$B$19)*(INDEX('Landbrugsareal - resultat'!$F$6:$H$19,,MATCH(E297,'Landbrugsareal - resultat'!$F$5:$H$5,0)))),SUMPRODUCT((B297='Landbrugsareal - resultat'!$B$6:$B$19)*(INDEX('Landbrugsareal - resultat'!$I$6:$K$19,,MATCH(E297,'Landbrugsareal - resultat'!$I$5:$K$5,0)))))),IF(C297=2019,SUMPRODUCT((B297='Landbrugsareal - resultat'!$B$6:$B$19)*(INDEX('Landbrugsareal - resultat'!$L$6:$N$19,,MATCH(E297,'Landbrugsareal - resultat'!$L$5:$N$5,0)))),IF(C297=2030,SUMPRODUCT((B297='Landbrugsareal - resultat'!$B$6:$B$19)*(INDEX('Landbrugsareal - resultat'!$O$6:$Q$19,,MATCH(E297,'Landbrugsareal - resultat'!$O$5:$Q$5,0)))),SUMPRODUCT((B297='Landbrugsareal - resultat'!$B$6:$B$19)*(INDEX('Landbrugsareal - resultat'!$R$6:$T$19,,MATCH(E297,'Landbrugsareal - resultat'!$R$5:$T$5,0))))))),IF(D297="Konventionel",IF(C297=2019,SUMPRODUCT((B297='Landbrugsareal - resultat'!$B$33:$B$46)*(INDEX('Landbrugsareal - resultat'!$C$33:$E$46,,MATCH(E297,'Landbrugsareal - resultat'!$C$5:$E$5,0)))),IF(C297=2030,SUMPRODUCT((B297='Landbrugsareal - resultat'!$B$33:$B$46)*(INDEX('Landbrugsareal - resultat'!$F$33:$H$46,,MATCH(E297,'Landbrugsareal - resultat'!$F$5:$H$5,0)))),SUMPRODUCT((B297='Landbrugsareal - resultat'!$B$33:$B$46)*(INDEX('Landbrugsareal - resultat'!$I$33:$K$46,,MATCH(E297,'Landbrugsareal - resultat'!$I$5:$K$5,0)))))),IF(C297=2019,SUMPRODUCT((B297='Landbrugsareal - resultat'!$B$33:$B$46)*(INDEX('Landbrugsareal - resultat'!$L$33:$N$46,,MATCH(E297,'Landbrugsareal - resultat'!$L$5:$N$5,0)))),IF(C297=2030,SUMPRODUCT((B297='Landbrugsareal - resultat'!$B$33:$B$46)*(INDEX('Landbrugsareal - resultat'!$O$33:$Q$46,,MATCH(E297,'Landbrugsareal - resultat'!$O$5:$Q$5,0)))),SUMPRODUCT((B297='Landbrugsareal - resultat'!$B$33:$B$46)*(INDEX('Landbrugsareal - resultat'!$R$33:$T$46,,MATCH(E297,'Landbrugsareal - resultat'!$R$5:$T$5,0))))))))</f>
        <v>806.26635417583145</v>
      </c>
      <c r="H297" s="168">
        <f>G297*VLOOKUP(B297,[1]Afgrødedata!$A$5:$F$18,2,FALSE)*IF(D297="Økologisk",VLOOKUP(B297,[1]Afgrødedata!$A$5:$F$18,4,FALSE),1)*IF(E297&lt;&gt;Jordbund1,IF(E297=Organ6,VLOOKUP(B297,[1]Afgrødedata!$A$5:$F$18,5,FALSE),VLOOKUP(B297,[1]Afgrødedata!$A$5:$F$18,6,FALSE)),1)*0.1</f>
        <v>1773.9472324576645</v>
      </c>
      <c r="I297" s="168">
        <f>G297*VLOOKUP(B297,[1]Afgrødedata!$A$5:$F$18,3,FALSE)*IF(D297="Økologisk",VLOOKUP(B297,[1]Afgrødedata!$A$5:$F$18,4,FALSE),1)*IF(E297&lt;&gt;Jordbund1,IF(E297=Organ6,VLOOKUP(B297,[1]Afgrødedata!$A$5:$F$18,5,FALSE),VLOOKUP(B297,[1]Afgrødedata!$A$5:$F$18,6,FALSE)),1)*HLOOKUP(C297,Landbrug!$C$15:$E$17,2,FALSE)*HLOOKUP(C297,Landbrug!$C$15:$E$17,3,FALSE)*0.1</f>
        <v>526.64722544869528</v>
      </c>
      <c r="J297" s="76">
        <f t="shared" si="55"/>
        <v>526.64722544869528</v>
      </c>
    </row>
    <row r="298" spans="1:10" x14ac:dyDescent="0.25">
      <c r="A298" t="s">
        <v>24</v>
      </c>
      <c r="B298" s="1" t="str">
        <f>[1]Afgrødefordeling!$C$4</f>
        <v>Raps</v>
      </c>
      <c r="C298">
        <v>2019</v>
      </c>
      <c r="D298" t="s">
        <v>8</v>
      </c>
      <c r="E298" s="168" t="str">
        <f t="shared" si="56"/>
        <v>JB1-10</v>
      </c>
      <c r="F298" t="str">
        <f t="shared" si="54"/>
        <v>Halm</v>
      </c>
      <c r="G298" s="76" cm="1">
        <f t="array" ref="G298">IF(A298="Vestdanmark",IF(D298="Konventionel",IF(C298=2019,SUMPRODUCT((B298='Landbrugsareal - resultat'!$B$6:$B$19)*(INDEX('Landbrugsareal - resultat'!$C$6:$E$19,,MATCH(E298,'Landbrugsareal - resultat'!$C$5:$E$5,0)))),IF(C298=2030,SUMPRODUCT((B298='Landbrugsareal - resultat'!$B$6:$B$19)*(INDEX('Landbrugsareal - resultat'!$F$6:$H$19,,MATCH(E298,'Landbrugsareal - resultat'!$F$5:$H$5,0)))),SUMPRODUCT((B298='Landbrugsareal - resultat'!$B$6:$B$19)*(INDEX('Landbrugsareal - resultat'!$I$6:$K$19,,MATCH(E298,'Landbrugsareal - resultat'!$I$5:$K$5,0)))))),IF(C298=2019,SUMPRODUCT((B298='Landbrugsareal - resultat'!$B$6:$B$19)*(INDEX('Landbrugsareal - resultat'!$L$6:$N$19,,MATCH(E298,'Landbrugsareal - resultat'!$L$5:$N$5,0)))),IF(C298=2030,SUMPRODUCT((B298='Landbrugsareal - resultat'!$B$6:$B$19)*(INDEX('Landbrugsareal - resultat'!$O$6:$Q$19,,MATCH(E298,'Landbrugsareal - resultat'!$O$5:$Q$5,0)))),SUMPRODUCT((B298='Landbrugsareal - resultat'!$B$6:$B$19)*(INDEX('Landbrugsareal - resultat'!$R$6:$T$19,,MATCH(E298,'Landbrugsareal - resultat'!$R$5:$T$5,0))))))),IF(D298="Konventionel",IF(C298=2019,SUMPRODUCT((B298='Landbrugsareal - resultat'!$B$33:$B$46)*(INDEX('Landbrugsareal - resultat'!$C$33:$E$46,,MATCH(E298,'Landbrugsareal - resultat'!$C$5:$E$5,0)))),IF(C298=2030,SUMPRODUCT((B298='Landbrugsareal - resultat'!$B$33:$B$46)*(INDEX('Landbrugsareal - resultat'!$F$33:$H$46,,MATCH(E298,'Landbrugsareal - resultat'!$F$5:$H$5,0)))),SUMPRODUCT((B298='Landbrugsareal - resultat'!$B$33:$B$46)*(INDEX('Landbrugsareal - resultat'!$I$33:$K$46,,MATCH(E298,'Landbrugsareal - resultat'!$I$5:$K$5,0)))))),IF(C298=2019,SUMPRODUCT((B298='Landbrugsareal - resultat'!$B$33:$B$46)*(INDEX('Landbrugsareal - resultat'!$L$33:$N$46,,MATCH(E298,'Landbrugsareal - resultat'!$L$5:$N$5,0)))),IF(C298=2030,SUMPRODUCT((B298='Landbrugsareal - resultat'!$B$33:$B$46)*(INDEX('Landbrugsareal - resultat'!$O$33:$Q$46,,MATCH(E298,'Landbrugsareal - resultat'!$O$5:$Q$5,0)))),SUMPRODUCT((B298='Landbrugsareal - resultat'!$B$33:$B$46)*(INDEX('Landbrugsareal - resultat'!$R$33:$T$46,,MATCH(E298,'Landbrugsareal - resultat'!$R$5:$T$5,0))))))))</f>
        <v>5114.4748217902852</v>
      </c>
      <c r="H298" s="168">
        <f>G298*VLOOKUP(B298,[1]Afgrødedata!$A$5:$F$18,2,FALSE)*IF(D298="Økologisk",VLOOKUP(B298,[1]Afgrødedata!$A$5:$F$18,4,FALSE),1)*IF(E298&lt;&gt;Jordbund1,IF(E298=Organ6,VLOOKUP(B298,[1]Afgrødedata!$A$5:$F$18,5,FALSE),VLOOKUP(B298,[1]Afgrødedata!$A$5:$F$18,6,FALSE)),1)*0.1</f>
        <v>12377.029068732492</v>
      </c>
      <c r="I298" s="168">
        <f>G298*VLOOKUP(B298,[1]Afgrødedata!$A$5:$F$18,3,FALSE)*IF(D298="Økologisk",VLOOKUP(B298,[1]Afgrødedata!$A$5:$F$18,4,FALSE),1)*IF(E298&lt;&gt;Jordbund1,IF(E298=Organ6,VLOOKUP(B298,[1]Afgrødedata!$A$5:$F$18,5,FALSE),VLOOKUP(B298,[1]Afgrødedata!$A$5:$F$18,6,FALSE)),1)*HLOOKUP(C298,Landbrug!$C$15:$E$17,2,FALSE)*HLOOKUP(C298,Landbrug!$C$15:$E$17,3,FALSE)*0.1</f>
        <v>6610.6331107553679</v>
      </c>
      <c r="J298" s="76">
        <f t="shared" si="55"/>
        <v>6610.6331107553679</v>
      </c>
    </row>
    <row r="299" spans="1:10" x14ac:dyDescent="0.25">
      <c r="A299" t="s">
        <v>24</v>
      </c>
      <c r="B299" s="1" t="str">
        <f>[1]Afgrødefordeling!$C$5</f>
        <v>Græs</v>
      </c>
      <c r="C299">
        <v>2019</v>
      </c>
      <c r="D299" t="s">
        <v>8</v>
      </c>
      <c r="E299" s="168" t="str">
        <f t="shared" si="56"/>
        <v>JB1-10</v>
      </c>
      <c r="F299" t="str">
        <f t="shared" si="54"/>
        <v>Græs</v>
      </c>
      <c r="G299" s="76" cm="1">
        <f t="array" ref="G299">IF(A299="Vestdanmark",IF(D299="Konventionel",IF(C299=2019,SUMPRODUCT((B299='Landbrugsareal - resultat'!$B$6:$B$19)*(INDEX('Landbrugsareal - resultat'!$C$6:$E$19,,MATCH(E299,'Landbrugsareal - resultat'!$C$5:$E$5,0)))),IF(C299=2030,SUMPRODUCT((B299='Landbrugsareal - resultat'!$B$6:$B$19)*(INDEX('Landbrugsareal - resultat'!$F$6:$H$19,,MATCH(E299,'Landbrugsareal - resultat'!$F$5:$H$5,0)))),SUMPRODUCT((B299='Landbrugsareal - resultat'!$B$6:$B$19)*(INDEX('Landbrugsareal - resultat'!$I$6:$K$19,,MATCH(E299,'Landbrugsareal - resultat'!$I$5:$K$5,0)))))),IF(C299=2019,SUMPRODUCT((B299='Landbrugsareal - resultat'!$B$6:$B$19)*(INDEX('Landbrugsareal - resultat'!$L$6:$N$19,,MATCH(E299,'Landbrugsareal - resultat'!$L$5:$N$5,0)))),IF(C299=2030,SUMPRODUCT((B299='Landbrugsareal - resultat'!$B$6:$B$19)*(INDEX('Landbrugsareal - resultat'!$O$6:$Q$19,,MATCH(E299,'Landbrugsareal - resultat'!$O$5:$Q$5,0)))),SUMPRODUCT((B299='Landbrugsareal - resultat'!$B$6:$B$19)*(INDEX('Landbrugsareal - resultat'!$R$6:$T$19,,MATCH(E299,'Landbrugsareal - resultat'!$R$5:$T$5,0))))))),IF(D299="Konventionel",IF(C299=2019,SUMPRODUCT((B299='Landbrugsareal - resultat'!$B$33:$B$46)*(INDEX('Landbrugsareal - resultat'!$C$33:$E$46,,MATCH(E299,'Landbrugsareal - resultat'!$C$5:$E$5,0)))),IF(C299=2030,SUMPRODUCT((B299='Landbrugsareal - resultat'!$B$33:$B$46)*(INDEX('Landbrugsareal - resultat'!$F$33:$H$46,,MATCH(E299,'Landbrugsareal - resultat'!$F$5:$H$5,0)))),SUMPRODUCT((B299='Landbrugsareal - resultat'!$B$33:$B$46)*(INDEX('Landbrugsareal - resultat'!$I$33:$K$46,,MATCH(E299,'Landbrugsareal - resultat'!$I$5:$K$5,0)))))),IF(C299=2019,SUMPRODUCT((B299='Landbrugsareal - resultat'!$B$33:$B$46)*(INDEX('Landbrugsareal - resultat'!$L$33:$N$46,,MATCH(E299,'Landbrugsareal - resultat'!$L$5:$N$5,0)))),IF(C299=2030,SUMPRODUCT((B299='Landbrugsareal - resultat'!$B$33:$B$46)*(INDEX('Landbrugsareal - resultat'!$O$33:$Q$46,,MATCH(E299,'Landbrugsareal - resultat'!$O$5:$Q$5,0)))),SUMPRODUCT((B299='Landbrugsareal - resultat'!$B$33:$B$46)*(INDEX('Landbrugsareal - resultat'!$R$33:$T$46,,MATCH(E299,'Landbrugsareal - resultat'!$R$5:$T$5,0))))))))</f>
        <v>3107.1708116565819</v>
      </c>
      <c r="H299" s="168">
        <f>G299*VLOOKUP(B299,[1]Afgrødedata!$A$5:$F$18,2,FALSE)*IF(D299="Økologisk",VLOOKUP(B299,[1]Afgrødedata!$A$5:$F$18,4,FALSE),1)*IF(E299&lt;&gt;Jordbund1,IF(E299=Organ6,VLOOKUP(B299,[1]Afgrødedata!$A$5:$F$18,5,FALSE),VLOOKUP(B299,[1]Afgrødedata!$A$5:$F$18,6,FALSE)),1)*0.1</f>
        <v>120258.69622603169</v>
      </c>
      <c r="I299" s="168">
        <f>G299*VLOOKUP(B299,[1]Afgrødedata!$A$5:$F$18,3,FALSE)*IF(D299="Økologisk",VLOOKUP(B299,[1]Afgrødedata!$A$5:$F$18,4,FALSE),1)*IF(E299&lt;&gt;Jordbund1,IF(E299=Organ6,VLOOKUP(B299,[1]Afgrødedata!$A$5:$F$18,5,FALSE),VLOOKUP(B299,[1]Afgrødedata!$A$5:$F$18,6,FALSE)),1)*HLOOKUP(C299,Landbrug!$C$15:$E$17,2,FALSE)*HLOOKUP(C299,Landbrug!$C$15:$E$17,3,FALSE)*0.1</f>
        <v>0</v>
      </c>
      <c r="J299" s="76">
        <f t="shared" si="55"/>
        <v>120258.69622603169</v>
      </c>
    </row>
    <row r="300" spans="1:10" x14ac:dyDescent="0.25">
      <c r="A300" t="s">
        <v>24</v>
      </c>
      <c r="B300" s="1" t="str">
        <f>[1]Afgrødefordeling!$C$6</f>
        <v>Grøntsager</v>
      </c>
      <c r="C300">
        <v>2019</v>
      </c>
      <c r="D300" t="s">
        <v>8</v>
      </c>
      <c r="E300" s="168" t="str">
        <f t="shared" si="56"/>
        <v>JB1-10</v>
      </c>
      <c r="F300" t="str">
        <f t="shared" si="54"/>
        <v>Grøntsager</v>
      </c>
      <c r="G300" s="76" cm="1">
        <f t="array" ref="G300">IF(A300="Vestdanmark",IF(D300="Konventionel",IF(C300=2019,SUMPRODUCT((B300='Landbrugsareal - resultat'!$B$6:$B$19)*(INDEX('Landbrugsareal - resultat'!$C$6:$E$19,,MATCH(E300,'Landbrugsareal - resultat'!$C$5:$E$5,0)))),IF(C300=2030,SUMPRODUCT((B300='Landbrugsareal - resultat'!$B$6:$B$19)*(INDEX('Landbrugsareal - resultat'!$F$6:$H$19,,MATCH(E300,'Landbrugsareal - resultat'!$F$5:$H$5,0)))),SUMPRODUCT((B300='Landbrugsareal - resultat'!$B$6:$B$19)*(INDEX('Landbrugsareal - resultat'!$I$6:$K$19,,MATCH(E300,'Landbrugsareal - resultat'!$I$5:$K$5,0)))))),IF(C300=2019,SUMPRODUCT((B300='Landbrugsareal - resultat'!$B$6:$B$19)*(INDEX('Landbrugsareal - resultat'!$L$6:$N$19,,MATCH(E300,'Landbrugsareal - resultat'!$L$5:$N$5,0)))),IF(C300=2030,SUMPRODUCT((B300='Landbrugsareal - resultat'!$B$6:$B$19)*(INDEX('Landbrugsareal - resultat'!$O$6:$Q$19,,MATCH(E300,'Landbrugsareal - resultat'!$O$5:$Q$5,0)))),SUMPRODUCT((B300='Landbrugsareal - resultat'!$B$6:$B$19)*(INDEX('Landbrugsareal - resultat'!$R$6:$T$19,,MATCH(E300,'Landbrugsareal - resultat'!$R$5:$T$5,0))))))),IF(D300="Konventionel",IF(C300=2019,SUMPRODUCT((B300='Landbrugsareal - resultat'!$B$33:$B$46)*(INDEX('Landbrugsareal - resultat'!$C$33:$E$46,,MATCH(E300,'Landbrugsareal - resultat'!$C$5:$E$5,0)))),IF(C300=2030,SUMPRODUCT((B300='Landbrugsareal - resultat'!$B$33:$B$46)*(INDEX('Landbrugsareal - resultat'!$F$33:$H$46,,MATCH(E300,'Landbrugsareal - resultat'!$F$5:$H$5,0)))),SUMPRODUCT((B300='Landbrugsareal - resultat'!$B$33:$B$46)*(INDEX('Landbrugsareal - resultat'!$I$33:$K$46,,MATCH(E300,'Landbrugsareal - resultat'!$I$5:$K$5,0)))))),IF(C300=2019,SUMPRODUCT((B300='Landbrugsareal - resultat'!$B$33:$B$46)*(INDEX('Landbrugsareal - resultat'!$L$33:$N$46,,MATCH(E300,'Landbrugsareal - resultat'!$L$5:$N$5,0)))),IF(C300=2030,SUMPRODUCT((B300='Landbrugsareal - resultat'!$B$33:$B$46)*(INDEX('Landbrugsareal - resultat'!$O$33:$Q$46,,MATCH(E300,'Landbrugsareal - resultat'!$O$5:$Q$5,0)))),SUMPRODUCT((B300='Landbrugsareal - resultat'!$B$33:$B$46)*(INDEX('Landbrugsareal - resultat'!$R$33:$T$46,,MATCH(E300,'Landbrugsareal - resultat'!$R$5:$T$5,0))))))))</f>
        <v>486.89447893054626</v>
      </c>
      <c r="H300" s="168">
        <f>G300*VLOOKUP(B300,[1]Afgrødedata!$A$5:$F$18,2,FALSE)*IF(D300="Økologisk",VLOOKUP(B300,[1]Afgrødedata!$A$5:$F$18,4,FALSE),1)*IF(E300&lt;&gt;Jordbund1,IF(E300=Organ6,VLOOKUP(B300,[1]Afgrødedata!$A$5:$F$18,5,FALSE),VLOOKUP(B300,[1]Afgrødedata!$A$5:$F$18,6,FALSE)),1)*0.1</f>
        <v>5758.7444495510354</v>
      </c>
      <c r="I300" s="168">
        <f>G300*VLOOKUP(B300,[1]Afgrødedata!$A$5:$F$18,3,FALSE)*IF(D300="Økologisk",VLOOKUP(B300,[1]Afgrødedata!$A$5:$F$18,4,FALSE),1)*IF(E300&lt;&gt;Jordbund1,IF(E300=Organ6,VLOOKUP(B300,[1]Afgrødedata!$A$5:$F$18,5,FALSE),VLOOKUP(B300,[1]Afgrødedata!$A$5:$F$18,6,FALSE)),1)*HLOOKUP(C300,Landbrug!$C$15:$E$17,2,FALSE)*HLOOKUP(C300,Landbrug!$C$15:$E$17,3,FALSE)*0.1</f>
        <v>0</v>
      </c>
      <c r="J300" s="76">
        <f t="shared" si="55"/>
        <v>5758.7444495510354</v>
      </c>
    </row>
    <row r="301" spans="1:10" x14ac:dyDescent="0.25">
      <c r="A301" t="s">
        <v>24</v>
      </c>
      <c r="B301" s="1" t="str">
        <f>[1]Afgrødefordeling!$C$7</f>
        <v>Kartofler</v>
      </c>
      <c r="C301">
        <v>2019</v>
      </c>
      <c r="D301" t="s">
        <v>8</v>
      </c>
      <c r="E301" s="168" t="str">
        <f t="shared" si="56"/>
        <v>JB1-10</v>
      </c>
      <c r="F301" t="str">
        <f t="shared" si="54"/>
        <v>Kartofler</v>
      </c>
      <c r="G301" s="76" cm="1">
        <f t="array" ref="G301">IF(A301="Vestdanmark",IF(D301="Konventionel",IF(C301=2019,SUMPRODUCT((B301='Landbrugsareal - resultat'!$B$6:$B$19)*(INDEX('Landbrugsareal - resultat'!$C$6:$E$19,,MATCH(E301,'Landbrugsareal - resultat'!$C$5:$E$5,0)))),IF(C301=2030,SUMPRODUCT((B301='Landbrugsareal - resultat'!$B$6:$B$19)*(INDEX('Landbrugsareal - resultat'!$F$6:$H$19,,MATCH(E301,'Landbrugsareal - resultat'!$F$5:$H$5,0)))),SUMPRODUCT((B301='Landbrugsareal - resultat'!$B$6:$B$19)*(INDEX('Landbrugsareal - resultat'!$I$6:$K$19,,MATCH(E301,'Landbrugsareal - resultat'!$I$5:$K$5,0)))))),IF(C301=2019,SUMPRODUCT((B301='Landbrugsareal - resultat'!$B$6:$B$19)*(INDEX('Landbrugsareal - resultat'!$L$6:$N$19,,MATCH(E301,'Landbrugsareal - resultat'!$L$5:$N$5,0)))),IF(C301=2030,SUMPRODUCT((B301='Landbrugsareal - resultat'!$B$6:$B$19)*(INDEX('Landbrugsareal - resultat'!$O$6:$Q$19,,MATCH(E301,'Landbrugsareal - resultat'!$O$5:$Q$5,0)))),SUMPRODUCT((B301='Landbrugsareal - resultat'!$B$6:$B$19)*(INDEX('Landbrugsareal - resultat'!$R$6:$T$19,,MATCH(E301,'Landbrugsareal - resultat'!$R$5:$T$5,0))))))),IF(D301="Konventionel",IF(C301=2019,SUMPRODUCT((B301='Landbrugsareal - resultat'!$B$33:$B$46)*(INDEX('Landbrugsareal - resultat'!$C$33:$E$46,,MATCH(E301,'Landbrugsareal - resultat'!$C$5:$E$5,0)))),IF(C301=2030,SUMPRODUCT((B301='Landbrugsareal - resultat'!$B$33:$B$46)*(INDEX('Landbrugsareal - resultat'!$F$33:$H$46,,MATCH(E301,'Landbrugsareal - resultat'!$F$5:$H$5,0)))),SUMPRODUCT((B301='Landbrugsareal - resultat'!$B$33:$B$46)*(INDEX('Landbrugsareal - resultat'!$I$33:$K$46,,MATCH(E301,'Landbrugsareal - resultat'!$I$5:$K$5,0)))))),IF(C301=2019,SUMPRODUCT((B301='Landbrugsareal - resultat'!$B$33:$B$46)*(INDEX('Landbrugsareal - resultat'!$L$33:$N$46,,MATCH(E301,'Landbrugsareal - resultat'!$L$5:$N$5,0)))),IF(C301=2030,SUMPRODUCT((B301='Landbrugsareal - resultat'!$B$33:$B$46)*(INDEX('Landbrugsareal - resultat'!$O$33:$Q$46,,MATCH(E301,'Landbrugsareal - resultat'!$O$5:$Q$5,0)))),SUMPRODUCT((B301='Landbrugsareal - resultat'!$B$33:$B$46)*(INDEX('Landbrugsareal - resultat'!$R$33:$T$46,,MATCH(E301,'Landbrugsareal - resultat'!$R$5:$T$5,0))))))))</f>
        <v>312.34400361551104</v>
      </c>
      <c r="H301" s="168">
        <f>G301*VLOOKUP(B301,[1]Afgrødedata!$A$5:$F$18,2,FALSE)*IF(D301="Økologisk",VLOOKUP(B301,[1]Afgrødedata!$A$5:$F$18,4,FALSE),1)*IF(E301&lt;&gt;Jordbund1,IF(E301=Organ6,VLOOKUP(B301,[1]Afgrødedata!$A$5:$F$18,5,FALSE),VLOOKUP(B301,[1]Afgrødedata!$A$5:$F$18,6,FALSE)),1)*0.1</f>
        <v>7561.3525433987998</v>
      </c>
      <c r="I301" s="168">
        <f>G301*VLOOKUP(B301,[1]Afgrødedata!$A$5:$F$18,3,FALSE)*IF(D301="Økologisk",VLOOKUP(B301,[1]Afgrødedata!$A$5:$F$18,4,FALSE),1)*IF(E301&lt;&gt;Jordbund1,IF(E301=Organ6,VLOOKUP(B301,[1]Afgrødedata!$A$5:$F$18,5,FALSE),VLOOKUP(B301,[1]Afgrødedata!$A$5:$F$18,6,FALSE)),1)*HLOOKUP(C301,Landbrug!$C$15:$E$17,2,FALSE)*HLOOKUP(C301,Landbrug!$C$15:$E$17,3,FALSE)*0.1</f>
        <v>0</v>
      </c>
      <c r="J301" s="76">
        <f t="shared" si="55"/>
        <v>7561.3525433987998</v>
      </c>
    </row>
    <row r="302" spans="1:10" x14ac:dyDescent="0.25">
      <c r="A302" t="s">
        <v>24</v>
      </c>
      <c r="B302" s="1" t="str">
        <f>[1]Afgrødefordeling!$C$8</f>
        <v>Roer</v>
      </c>
      <c r="C302">
        <v>2019</v>
      </c>
      <c r="D302" t="s">
        <v>8</v>
      </c>
      <c r="E302" s="168" t="str">
        <f t="shared" si="56"/>
        <v>JB1-10</v>
      </c>
      <c r="F302" t="str">
        <f t="shared" si="54"/>
        <v>Roer</v>
      </c>
      <c r="G302" s="76" cm="1">
        <f t="array" ref="G302">IF(A302="Vestdanmark",IF(D302="Konventionel",IF(C302=2019,SUMPRODUCT((B302='Landbrugsareal - resultat'!$B$6:$B$19)*(INDEX('Landbrugsareal - resultat'!$C$6:$E$19,,MATCH(E302,'Landbrugsareal - resultat'!$C$5:$E$5,0)))),IF(C302=2030,SUMPRODUCT((B302='Landbrugsareal - resultat'!$B$6:$B$19)*(INDEX('Landbrugsareal - resultat'!$F$6:$H$19,,MATCH(E302,'Landbrugsareal - resultat'!$F$5:$H$5,0)))),SUMPRODUCT((B302='Landbrugsareal - resultat'!$B$6:$B$19)*(INDEX('Landbrugsareal - resultat'!$I$6:$K$19,,MATCH(E302,'Landbrugsareal - resultat'!$I$5:$K$5,0)))))),IF(C302=2019,SUMPRODUCT((B302='Landbrugsareal - resultat'!$B$6:$B$19)*(INDEX('Landbrugsareal - resultat'!$L$6:$N$19,,MATCH(E302,'Landbrugsareal - resultat'!$L$5:$N$5,0)))),IF(C302=2030,SUMPRODUCT((B302='Landbrugsareal - resultat'!$B$6:$B$19)*(INDEX('Landbrugsareal - resultat'!$O$6:$Q$19,,MATCH(E302,'Landbrugsareal - resultat'!$O$5:$Q$5,0)))),SUMPRODUCT((B302='Landbrugsareal - resultat'!$B$6:$B$19)*(INDEX('Landbrugsareal - resultat'!$R$6:$T$19,,MATCH(E302,'Landbrugsareal - resultat'!$R$5:$T$5,0))))))),IF(D302="Konventionel",IF(C302=2019,SUMPRODUCT((B302='Landbrugsareal - resultat'!$B$33:$B$46)*(INDEX('Landbrugsareal - resultat'!$C$33:$E$46,,MATCH(E302,'Landbrugsareal - resultat'!$C$5:$E$5,0)))),IF(C302=2030,SUMPRODUCT((B302='Landbrugsareal - resultat'!$B$33:$B$46)*(INDEX('Landbrugsareal - resultat'!$F$33:$H$46,,MATCH(E302,'Landbrugsareal - resultat'!$F$5:$H$5,0)))),SUMPRODUCT((B302='Landbrugsareal - resultat'!$B$33:$B$46)*(INDEX('Landbrugsareal - resultat'!$I$33:$K$46,,MATCH(E302,'Landbrugsareal - resultat'!$I$5:$K$5,0)))))),IF(C302=2019,SUMPRODUCT((B302='Landbrugsareal - resultat'!$B$33:$B$46)*(INDEX('Landbrugsareal - resultat'!$L$33:$N$46,,MATCH(E302,'Landbrugsareal - resultat'!$L$5:$N$5,0)))),IF(C302=2030,SUMPRODUCT((B302='Landbrugsareal - resultat'!$B$33:$B$46)*(INDEX('Landbrugsareal - resultat'!$O$33:$Q$46,,MATCH(E302,'Landbrugsareal - resultat'!$O$5:$Q$5,0)))),SUMPRODUCT((B302='Landbrugsareal - resultat'!$B$33:$B$46)*(INDEX('Landbrugsareal - resultat'!$R$33:$T$46,,MATCH(E302,'Landbrugsareal - resultat'!$R$5:$T$5,0))))))))</f>
        <v>3247.0058326185153</v>
      </c>
      <c r="H302" s="168">
        <f>G302*VLOOKUP(B302,[1]Afgrødedata!$A$5:$F$18,2,FALSE)*IF(D302="Økologisk",VLOOKUP(B302,[1]Afgrødedata!$A$5:$F$18,4,FALSE),1)*IF(E302&lt;&gt;Jordbund1,IF(E302=Organ6,VLOOKUP(B302,[1]Afgrødedata!$A$5:$F$18,5,FALSE),VLOOKUP(B302,[1]Afgrødedata!$A$5:$F$18,6,FALSE)),1)*0.1</f>
        <v>150383.86356838598</v>
      </c>
      <c r="I302" s="168">
        <f>G302*VLOOKUP(B302,[1]Afgrødedata!$A$5:$F$18,3,FALSE)*IF(D302="Økologisk",VLOOKUP(B302,[1]Afgrødedata!$A$5:$F$18,4,FALSE),1)*IF(E302&lt;&gt;Jordbund1,IF(E302=Organ6,VLOOKUP(B302,[1]Afgrødedata!$A$5:$F$18,5,FALSE),VLOOKUP(B302,[1]Afgrødedata!$A$5:$F$18,6,FALSE)),1)*HLOOKUP(C302,Landbrug!$C$15:$E$17,2,FALSE)*HLOOKUP(C302,Landbrug!$C$15:$E$17,3,FALSE)*0.1</f>
        <v>0</v>
      </c>
      <c r="J302" s="76">
        <f t="shared" si="55"/>
        <v>150383.86356838598</v>
      </c>
    </row>
    <row r="303" spans="1:10" x14ac:dyDescent="0.25">
      <c r="A303" t="s">
        <v>24</v>
      </c>
      <c r="B303" s="1" t="str">
        <f>[1]Afgrødefordeling!$C$9</f>
        <v>Majs</v>
      </c>
      <c r="C303">
        <v>2019</v>
      </c>
      <c r="D303" t="s">
        <v>8</v>
      </c>
      <c r="E303" s="168" t="str">
        <f t="shared" si="56"/>
        <v>JB1-10</v>
      </c>
      <c r="F303" t="str">
        <f t="shared" si="54"/>
        <v>Majs</v>
      </c>
      <c r="G303" s="76" cm="1">
        <f t="array" ref="G303">IF(A303="Vestdanmark",IF(D303="Konventionel",IF(C303=2019,SUMPRODUCT((B303='Landbrugsareal - resultat'!$B$6:$B$19)*(INDEX('Landbrugsareal - resultat'!$C$6:$E$19,,MATCH(E303,'Landbrugsareal - resultat'!$C$5:$E$5,0)))),IF(C303=2030,SUMPRODUCT((B303='Landbrugsareal - resultat'!$B$6:$B$19)*(INDEX('Landbrugsareal - resultat'!$F$6:$H$19,,MATCH(E303,'Landbrugsareal - resultat'!$F$5:$H$5,0)))),SUMPRODUCT((B303='Landbrugsareal - resultat'!$B$6:$B$19)*(INDEX('Landbrugsareal - resultat'!$I$6:$K$19,,MATCH(E303,'Landbrugsareal - resultat'!$I$5:$K$5,0)))))),IF(C303=2019,SUMPRODUCT((B303='Landbrugsareal - resultat'!$B$6:$B$19)*(INDEX('Landbrugsareal - resultat'!$L$6:$N$19,,MATCH(E303,'Landbrugsareal - resultat'!$L$5:$N$5,0)))),IF(C303=2030,SUMPRODUCT((B303='Landbrugsareal - resultat'!$B$6:$B$19)*(INDEX('Landbrugsareal - resultat'!$O$6:$Q$19,,MATCH(E303,'Landbrugsareal - resultat'!$O$5:$Q$5,0)))),SUMPRODUCT((B303='Landbrugsareal - resultat'!$B$6:$B$19)*(INDEX('Landbrugsareal - resultat'!$R$6:$T$19,,MATCH(E303,'Landbrugsareal - resultat'!$R$5:$T$5,0))))))),IF(D303="Konventionel",IF(C303=2019,SUMPRODUCT((B303='Landbrugsareal - resultat'!$B$33:$B$46)*(INDEX('Landbrugsareal - resultat'!$C$33:$E$46,,MATCH(E303,'Landbrugsareal - resultat'!$C$5:$E$5,0)))),IF(C303=2030,SUMPRODUCT((B303='Landbrugsareal - resultat'!$B$33:$B$46)*(INDEX('Landbrugsareal - resultat'!$F$33:$H$46,,MATCH(E303,'Landbrugsareal - resultat'!$F$5:$H$5,0)))),SUMPRODUCT((B303='Landbrugsareal - resultat'!$B$33:$B$46)*(INDEX('Landbrugsareal - resultat'!$I$33:$K$46,,MATCH(E303,'Landbrugsareal - resultat'!$I$5:$K$5,0)))))),IF(C303=2019,SUMPRODUCT((B303='Landbrugsareal - resultat'!$B$33:$B$46)*(INDEX('Landbrugsareal - resultat'!$L$33:$N$46,,MATCH(E303,'Landbrugsareal - resultat'!$L$5:$N$5,0)))),IF(C303=2030,SUMPRODUCT((B303='Landbrugsareal - resultat'!$B$33:$B$46)*(INDEX('Landbrugsareal - resultat'!$O$33:$Q$46,,MATCH(E303,'Landbrugsareal - resultat'!$O$5:$Q$5,0)))),SUMPRODUCT((B303='Landbrugsareal - resultat'!$B$33:$B$46)*(INDEX('Landbrugsareal - resultat'!$R$33:$T$46,,MATCH(E303,'Landbrugsareal - resultat'!$R$5:$T$5,0))))))))</f>
        <v>918.37408132089615</v>
      </c>
      <c r="H303" s="168">
        <f>G303*VLOOKUP(B303,[1]Afgrødedata!$A$5:$F$18,2,FALSE)*IF(D303="Økologisk",VLOOKUP(B303,[1]Afgrødedata!$A$5:$F$18,4,FALSE),1)*IF(E303&lt;&gt;Jordbund1,IF(E303=Organ6,VLOOKUP(B303,[1]Afgrødedata!$A$5:$F$18,5,FALSE),VLOOKUP(B303,[1]Afgrødedata!$A$5:$F$18,6,FALSE)),1)*0.1</f>
        <v>33927.769198462265</v>
      </c>
      <c r="I303" s="168">
        <f>G303*VLOOKUP(B303,[1]Afgrødedata!$A$5:$F$18,3,FALSE)*IF(D303="Økologisk",VLOOKUP(B303,[1]Afgrødedata!$A$5:$F$18,4,FALSE),1)*IF(E303&lt;&gt;Jordbund1,IF(E303=Organ6,VLOOKUP(B303,[1]Afgrødedata!$A$5:$F$18,5,FALSE),VLOOKUP(B303,[1]Afgrødedata!$A$5:$F$18,6,FALSE)),1)*HLOOKUP(C303,Landbrug!$C$15:$E$17,2,FALSE)*HLOOKUP(C303,Landbrug!$C$15:$E$17,3,FALSE)*0.1</f>
        <v>0</v>
      </c>
      <c r="J303" s="76">
        <f t="shared" si="55"/>
        <v>33927.769198462265</v>
      </c>
    </row>
    <row r="304" spans="1:10" x14ac:dyDescent="0.25">
      <c r="A304" t="s">
        <v>24</v>
      </c>
      <c r="B304" s="1" t="str">
        <f>[1]Afgrødefordeling!$C$10</f>
        <v>Frugt</v>
      </c>
      <c r="C304">
        <v>2019</v>
      </c>
      <c r="D304" t="s">
        <v>8</v>
      </c>
      <c r="E304" s="168" t="str">
        <f t="shared" si="56"/>
        <v>JB1-10</v>
      </c>
      <c r="F304" t="str">
        <f t="shared" si="54"/>
        <v>Frugt</v>
      </c>
      <c r="G304" s="76" cm="1">
        <f t="array" ref="G304">IF(A304="Vestdanmark",IF(D304="Konventionel",IF(C304=2019,SUMPRODUCT((B304='Landbrugsareal - resultat'!$B$6:$B$19)*(INDEX('Landbrugsareal - resultat'!$C$6:$E$19,,MATCH(E304,'Landbrugsareal - resultat'!$C$5:$E$5,0)))),IF(C304=2030,SUMPRODUCT((B304='Landbrugsareal - resultat'!$B$6:$B$19)*(INDEX('Landbrugsareal - resultat'!$F$6:$H$19,,MATCH(E304,'Landbrugsareal - resultat'!$F$5:$H$5,0)))),SUMPRODUCT((B304='Landbrugsareal - resultat'!$B$6:$B$19)*(INDEX('Landbrugsareal - resultat'!$I$6:$K$19,,MATCH(E304,'Landbrugsareal - resultat'!$I$5:$K$5,0)))))),IF(C304=2019,SUMPRODUCT((B304='Landbrugsareal - resultat'!$B$6:$B$19)*(INDEX('Landbrugsareal - resultat'!$L$6:$N$19,,MATCH(E304,'Landbrugsareal - resultat'!$L$5:$N$5,0)))),IF(C304=2030,SUMPRODUCT((B304='Landbrugsareal - resultat'!$B$6:$B$19)*(INDEX('Landbrugsareal - resultat'!$O$6:$Q$19,,MATCH(E304,'Landbrugsareal - resultat'!$O$5:$Q$5,0)))),SUMPRODUCT((B304='Landbrugsareal - resultat'!$B$6:$B$19)*(INDEX('Landbrugsareal - resultat'!$R$6:$T$19,,MATCH(E304,'Landbrugsareal - resultat'!$R$5:$T$5,0))))))),IF(D304="Konventionel",IF(C304=2019,SUMPRODUCT((B304='Landbrugsareal - resultat'!$B$33:$B$46)*(INDEX('Landbrugsareal - resultat'!$C$33:$E$46,,MATCH(E304,'Landbrugsareal - resultat'!$C$5:$E$5,0)))),IF(C304=2030,SUMPRODUCT((B304='Landbrugsareal - resultat'!$B$33:$B$46)*(INDEX('Landbrugsareal - resultat'!$F$33:$H$46,,MATCH(E304,'Landbrugsareal - resultat'!$F$5:$H$5,0)))),SUMPRODUCT((B304='Landbrugsareal - resultat'!$B$33:$B$46)*(INDEX('Landbrugsareal - resultat'!$I$33:$K$46,,MATCH(E304,'Landbrugsareal - resultat'!$I$5:$K$5,0)))))),IF(C304=2019,SUMPRODUCT((B304='Landbrugsareal - resultat'!$B$33:$B$46)*(INDEX('Landbrugsareal - resultat'!$L$33:$N$46,,MATCH(E304,'Landbrugsareal - resultat'!$L$5:$N$5,0)))),IF(C304=2030,SUMPRODUCT((B304='Landbrugsareal - resultat'!$B$33:$B$46)*(INDEX('Landbrugsareal - resultat'!$O$33:$Q$46,,MATCH(E304,'Landbrugsareal - resultat'!$O$5:$Q$5,0)))),SUMPRODUCT((B304='Landbrugsareal - resultat'!$B$33:$B$46)*(INDEX('Landbrugsareal - resultat'!$R$33:$T$46,,MATCH(E304,'Landbrugsareal - resultat'!$R$5:$T$5,0))))))))</f>
        <v>213.68841269347433</v>
      </c>
      <c r="H304" s="168">
        <f>G304*VLOOKUP(B304,[1]Afgrødedata!$A$5:$F$18,2,FALSE)*IF(D304="Økologisk",VLOOKUP(B304,[1]Afgrødedata!$A$5:$F$18,4,FALSE),1)*IF(E304&lt;&gt;Jordbund1,IF(E304=Organ6,VLOOKUP(B304,[1]Afgrødedata!$A$5:$F$18,5,FALSE),VLOOKUP(B304,[1]Afgrødedata!$A$5:$F$18,6,FALSE)),1)*0.1</f>
        <v>1034.1023355475306</v>
      </c>
      <c r="I304" s="168">
        <f>G304*VLOOKUP(B304,[1]Afgrødedata!$A$5:$F$18,3,FALSE)*IF(D304="Økologisk",VLOOKUP(B304,[1]Afgrødedata!$A$5:$F$18,4,FALSE),1)*IF(E304&lt;&gt;Jordbund1,IF(E304=Organ6,VLOOKUP(B304,[1]Afgrødedata!$A$5:$F$18,5,FALSE),VLOOKUP(B304,[1]Afgrødedata!$A$5:$F$18,6,FALSE)),1)*HLOOKUP(C304,Landbrug!$C$15:$E$17,2,FALSE)*HLOOKUP(C304,Landbrug!$C$15:$E$17,3,FALSE)*0.1</f>
        <v>0</v>
      </c>
      <c r="J304" s="76">
        <f t="shared" si="55"/>
        <v>1034.1023355475306</v>
      </c>
    </row>
    <row r="305" spans="1:10" x14ac:dyDescent="0.25">
      <c r="A305" t="s">
        <v>24</v>
      </c>
      <c r="B305" s="1" t="str">
        <f>[1]Afgrødefordeling!$C$11</f>
        <v>Øvrige</v>
      </c>
      <c r="C305">
        <v>2019</v>
      </c>
      <c r="D305" t="s">
        <v>8</v>
      </c>
      <c r="E305" s="168" t="str">
        <f t="shared" si="56"/>
        <v>JB1-10</v>
      </c>
      <c r="F305" t="str">
        <f t="shared" si="54"/>
        <v>Øvrige</v>
      </c>
      <c r="G305" s="76" cm="1">
        <f t="array" ref="G305">IF(A305="Vestdanmark",IF(D305="Konventionel",IF(C305=2019,SUMPRODUCT((B305='Landbrugsareal - resultat'!$B$6:$B$19)*(INDEX('Landbrugsareal - resultat'!$C$6:$E$19,,MATCH(E305,'Landbrugsareal - resultat'!$C$5:$E$5,0)))),IF(C305=2030,SUMPRODUCT((B305='Landbrugsareal - resultat'!$B$6:$B$19)*(INDEX('Landbrugsareal - resultat'!$F$6:$H$19,,MATCH(E305,'Landbrugsareal - resultat'!$F$5:$H$5,0)))),SUMPRODUCT((B305='Landbrugsareal - resultat'!$B$6:$B$19)*(INDEX('Landbrugsareal - resultat'!$I$6:$K$19,,MATCH(E305,'Landbrugsareal - resultat'!$I$5:$K$5,0)))))),IF(C305=2019,SUMPRODUCT((B305='Landbrugsareal - resultat'!$B$6:$B$19)*(INDEX('Landbrugsareal - resultat'!$L$6:$N$19,,MATCH(E305,'Landbrugsareal - resultat'!$L$5:$N$5,0)))),IF(C305=2030,SUMPRODUCT((B305='Landbrugsareal - resultat'!$B$6:$B$19)*(INDEX('Landbrugsareal - resultat'!$O$6:$Q$19,,MATCH(E305,'Landbrugsareal - resultat'!$O$5:$Q$5,0)))),SUMPRODUCT((B305='Landbrugsareal - resultat'!$B$6:$B$19)*(INDEX('Landbrugsareal - resultat'!$R$6:$T$19,,MATCH(E305,'Landbrugsareal - resultat'!$R$5:$T$5,0))))))),IF(D305="Konventionel",IF(C305=2019,SUMPRODUCT((B305='Landbrugsareal - resultat'!$B$33:$B$46)*(INDEX('Landbrugsareal - resultat'!$C$33:$E$46,,MATCH(E305,'Landbrugsareal - resultat'!$C$5:$E$5,0)))),IF(C305=2030,SUMPRODUCT((B305='Landbrugsareal - resultat'!$B$33:$B$46)*(INDEX('Landbrugsareal - resultat'!$F$33:$H$46,,MATCH(E305,'Landbrugsareal - resultat'!$F$5:$H$5,0)))),SUMPRODUCT((B305='Landbrugsareal - resultat'!$B$33:$B$46)*(INDEX('Landbrugsareal - resultat'!$I$33:$K$46,,MATCH(E305,'Landbrugsareal - resultat'!$I$5:$K$5,0)))))),IF(C305=2019,SUMPRODUCT((B305='Landbrugsareal - resultat'!$B$33:$B$46)*(INDEX('Landbrugsareal - resultat'!$L$33:$N$46,,MATCH(E305,'Landbrugsareal - resultat'!$L$5:$N$5,0)))),IF(C305=2030,SUMPRODUCT((B305='Landbrugsareal - resultat'!$B$33:$B$46)*(INDEX('Landbrugsareal - resultat'!$O$33:$Q$46,,MATCH(E305,'Landbrugsareal - resultat'!$O$5:$Q$5,0)))),SUMPRODUCT((B305='Landbrugsareal - resultat'!$B$33:$B$46)*(INDEX('Landbrugsareal - resultat'!$R$33:$T$46,,MATCH(E305,'Landbrugsareal - resultat'!$R$5:$T$5,0))))))))</f>
        <v>1525.8389080116776</v>
      </c>
      <c r="H305" s="168">
        <f>G305*VLOOKUP(B305,[1]Afgrødedata!$A$5:$F$18,2,FALSE)*IF(D305="Økologisk",VLOOKUP(B305,[1]Afgrødedata!$A$5:$F$18,4,FALSE),1)*IF(E305&lt;&gt;Jordbund1,IF(E305=Organ6,VLOOKUP(B305,[1]Afgrødedata!$A$5:$F$18,5,FALSE),VLOOKUP(B305,[1]Afgrødedata!$A$5:$F$18,6,FALSE)),1)*0.1</f>
        <v>25914.371646253916</v>
      </c>
      <c r="I305" s="168">
        <f>G305*VLOOKUP(B305,[1]Afgrødedata!$A$5:$F$18,3,FALSE)*IF(D305="Økologisk",VLOOKUP(B305,[1]Afgrødedata!$A$5:$F$18,4,FALSE),1)*IF(E305&lt;&gt;Jordbund1,IF(E305=Organ6,VLOOKUP(B305,[1]Afgrødedata!$A$5:$F$18,5,FALSE),VLOOKUP(B305,[1]Afgrødedata!$A$5:$F$18,6,FALSE)),1)*HLOOKUP(C305,Landbrug!$C$15:$E$17,2,FALSE)*HLOOKUP(C305,Landbrug!$C$15:$E$17,3,FALSE)*0.1</f>
        <v>0</v>
      </c>
      <c r="J305" s="76">
        <f t="shared" si="55"/>
        <v>25914.371646253916</v>
      </c>
    </row>
    <row r="306" spans="1:10" x14ac:dyDescent="0.25">
      <c r="A306" t="s">
        <v>24</v>
      </c>
      <c r="B306" s="1" t="str">
        <f>[1]Afgrødefordeling!$C$12</f>
        <v>Frø</v>
      </c>
      <c r="C306">
        <v>2019</v>
      </c>
      <c r="D306" t="s">
        <v>8</v>
      </c>
      <c r="E306" s="168" t="str">
        <f t="shared" si="56"/>
        <v>JB1-10</v>
      </c>
      <c r="F306" t="str">
        <f t="shared" si="54"/>
        <v>Halm</v>
      </c>
      <c r="G306" s="76" cm="1">
        <f t="array" ref="G306">IF(A306="Vestdanmark",IF(D306="Konventionel",IF(C306=2019,SUMPRODUCT((B306='Landbrugsareal - resultat'!$B$6:$B$19)*(INDEX('Landbrugsareal - resultat'!$C$6:$E$19,,MATCH(E306,'Landbrugsareal - resultat'!$C$5:$E$5,0)))),IF(C306=2030,SUMPRODUCT((B306='Landbrugsareal - resultat'!$B$6:$B$19)*(INDEX('Landbrugsareal - resultat'!$F$6:$H$19,,MATCH(E306,'Landbrugsareal - resultat'!$F$5:$H$5,0)))),SUMPRODUCT((B306='Landbrugsareal - resultat'!$B$6:$B$19)*(INDEX('Landbrugsareal - resultat'!$I$6:$K$19,,MATCH(E306,'Landbrugsareal - resultat'!$I$5:$K$5,0)))))),IF(C306=2019,SUMPRODUCT((B306='Landbrugsareal - resultat'!$B$6:$B$19)*(INDEX('Landbrugsareal - resultat'!$L$6:$N$19,,MATCH(E306,'Landbrugsareal - resultat'!$L$5:$N$5,0)))),IF(C306=2030,SUMPRODUCT((B306='Landbrugsareal - resultat'!$B$6:$B$19)*(INDEX('Landbrugsareal - resultat'!$O$6:$Q$19,,MATCH(E306,'Landbrugsareal - resultat'!$O$5:$Q$5,0)))),SUMPRODUCT((B306='Landbrugsareal - resultat'!$B$6:$B$19)*(INDEX('Landbrugsareal - resultat'!$R$6:$T$19,,MATCH(E306,'Landbrugsareal - resultat'!$R$5:$T$5,0))))))),IF(D306="Konventionel",IF(C306=2019,SUMPRODUCT((B306='Landbrugsareal - resultat'!$B$33:$B$46)*(INDEX('Landbrugsareal - resultat'!$C$33:$E$46,,MATCH(E306,'Landbrugsareal - resultat'!$C$5:$E$5,0)))),IF(C306=2030,SUMPRODUCT((B306='Landbrugsareal - resultat'!$B$33:$B$46)*(INDEX('Landbrugsareal - resultat'!$F$33:$H$46,,MATCH(E306,'Landbrugsareal - resultat'!$F$5:$H$5,0)))),SUMPRODUCT((B306='Landbrugsareal - resultat'!$B$33:$B$46)*(INDEX('Landbrugsareal - resultat'!$I$33:$K$46,,MATCH(E306,'Landbrugsareal - resultat'!$I$5:$K$5,0)))))),IF(C306=2019,SUMPRODUCT((B306='Landbrugsareal - resultat'!$B$33:$B$46)*(INDEX('Landbrugsareal - resultat'!$L$33:$N$46,,MATCH(E306,'Landbrugsareal - resultat'!$L$5:$N$5,0)))),IF(C306=2030,SUMPRODUCT((B306='Landbrugsareal - resultat'!$B$33:$B$46)*(INDEX('Landbrugsareal - resultat'!$O$33:$Q$46,,MATCH(E306,'Landbrugsareal - resultat'!$O$5:$Q$5,0)))),SUMPRODUCT((B306='Landbrugsareal - resultat'!$B$33:$B$46)*(INDEX('Landbrugsareal - resultat'!$R$33:$T$46,,MATCH(E306,'Landbrugsareal - resultat'!$R$5:$T$5,0))))))))</f>
        <v>4720.9005772918872</v>
      </c>
      <c r="H306" s="168">
        <f>G306*VLOOKUP(B306,[1]Afgrødedata!$A$5:$F$18,2,FALSE)*IF(D306="Økologisk",VLOOKUP(B306,[1]Afgrødedata!$A$5:$F$18,4,FALSE),1)*IF(E306&lt;&gt;Jordbund1,IF(E306=Organ6,VLOOKUP(B306,[1]Afgrødedata!$A$5:$F$18,5,FALSE),VLOOKUP(B306,[1]Afgrødedata!$A$5:$F$18,6,FALSE)),1)*0.1</f>
        <v>38450.085874752127</v>
      </c>
      <c r="I306" s="168">
        <f>G306*VLOOKUP(B306,[1]Afgrødedata!$A$5:$F$18,3,FALSE)*IF(D306="Økologisk",VLOOKUP(B306,[1]Afgrødedata!$A$5:$F$18,4,FALSE),1)*IF(E306&lt;&gt;Jordbund1,IF(E306=Organ6,VLOOKUP(B306,[1]Afgrødedata!$A$5:$F$18,5,FALSE),VLOOKUP(B306,[1]Afgrødedata!$A$5:$F$18,6,FALSE)),1)*HLOOKUP(C306,Landbrug!$C$15:$E$17,2,FALSE)*HLOOKUP(C306,Landbrug!$C$15:$E$17,3,FALSE)*0.1</f>
        <v>6387.6900605140245</v>
      </c>
      <c r="J306" s="76">
        <f t="shared" si="55"/>
        <v>6387.6900605140245</v>
      </c>
    </row>
    <row r="307" spans="1:10" x14ac:dyDescent="0.25">
      <c r="A307" t="s">
        <v>24</v>
      </c>
      <c r="B307" s="1" t="str">
        <f>[1]Afgrødefordeling!$C$13</f>
        <v>Juletræer</v>
      </c>
      <c r="C307">
        <v>2019</v>
      </c>
      <c r="D307" t="s">
        <v>8</v>
      </c>
      <c r="E307" s="168" t="str">
        <f t="shared" si="56"/>
        <v>JB1-10</v>
      </c>
      <c r="F307" t="str">
        <f t="shared" si="54"/>
        <v>Juletræer</v>
      </c>
      <c r="G307" s="76" cm="1">
        <f t="array" ref="G307">IF(A307="Vestdanmark",IF(D307="Konventionel",IF(C307=2019,SUMPRODUCT((B307='Landbrugsareal - resultat'!$B$6:$B$19)*(INDEX('Landbrugsareal - resultat'!$C$6:$E$19,,MATCH(E307,'Landbrugsareal - resultat'!$C$5:$E$5,0)))),IF(C307=2030,SUMPRODUCT((B307='Landbrugsareal - resultat'!$B$6:$B$19)*(INDEX('Landbrugsareal - resultat'!$F$6:$H$19,,MATCH(E307,'Landbrugsareal - resultat'!$F$5:$H$5,0)))),SUMPRODUCT((B307='Landbrugsareal - resultat'!$B$6:$B$19)*(INDEX('Landbrugsareal - resultat'!$I$6:$K$19,,MATCH(E307,'Landbrugsareal - resultat'!$I$5:$K$5,0)))))),IF(C307=2019,SUMPRODUCT((B307='Landbrugsareal - resultat'!$B$6:$B$19)*(INDEX('Landbrugsareal - resultat'!$L$6:$N$19,,MATCH(E307,'Landbrugsareal - resultat'!$L$5:$N$5,0)))),IF(C307=2030,SUMPRODUCT((B307='Landbrugsareal - resultat'!$B$6:$B$19)*(INDEX('Landbrugsareal - resultat'!$O$6:$Q$19,,MATCH(E307,'Landbrugsareal - resultat'!$O$5:$Q$5,0)))),SUMPRODUCT((B307='Landbrugsareal - resultat'!$B$6:$B$19)*(INDEX('Landbrugsareal - resultat'!$R$6:$T$19,,MATCH(E307,'Landbrugsareal - resultat'!$R$5:$T$5,0))))))),IF(D307="Konventionel",IF(C307=2019,SUMPRODUCT((B307='Landbrugsareal - resultat'!$B$33:$B$46)*(INDEX('Landbrugsareal - resultat'!$C$33:$E$46,,MATCH(E307,'Landbrugsareal - resultat'!$C$5:$E$5,0)))),IF(C307=2030,SUMPRODUCT((B307='Landbrugsareal - resultat'!$B$33:$B$46)*(INDEX('Landbrugsareal - resultat'!$F$33:$H$46,,MATCH(E307,'Landbrugsareal - resultat'!$F$5:$H$5,0)))),SUMPRODUCT((B307='Landbrugsareal - resultat'!$B$33:$B$46)*(INDEX('Landbrugsareal - resultat'!$I$33:$K$46,,MATCH(E307,'Landbrugsareal - resultat'!$I$5:$K$5,0)))))),IF(C307=2019,SUMPRODUCT((B307='Landbrugsareal - resultat'!$B$33:$B$46)*(INDEX('Landbrugsareal - resultat'!$L$33:$N$46,,MATCH(E307,'Landbrugsareal - resultat'!$L$5:$N$5,0)))),IF(C307=2030,SUMPRODUCT((B307='Landbrugsareal - resultat'!$B$33:$B$46)*(INDEX('Landbrugsareal - resultat'!$O$33:$Q$46,,MATCH(E307,'Landbrugsareal - resultat'!$O$5:$Q$5,0)))),SUMPRODUCT((B307='Landbrugsareal - resultat'!$B$33:$B$46)*(INDEX('Landbrugsareal - resultat'!$R$33:$T$46,,MATCH(E307,'Landbrugsareal - resultat'!$R$5:$T$5,0))))))))</f>
        <v>334.84852666763254</v>
      </c>
      <c r="H307" s="168">
        <f>G307*VLOOKUP(B307,[1]Afgrødedata!$A$5:$F$18,2,FALSE)*IF(D307="Økologisk",VLOOKUP(B307,[1]Afgrødedata!$A$5:$F$18,4,FALSE),1)*IF(E307&lt;&gt;Jordbund1,IF(E307=Organ6,VLOOKUP(B307,[1]Afgrødedata!$A$5:$F$18,5,FALSE),VLOOKUP(B307,[1]Afgrødedata!$A$5:$F$18,6,FALSE)),1)*0.1</f>
        <v>9543.1830100275256</v>
      </c>
      <c r="I307" s="168">
        <f>G307*VLOOKUP(B307,[1]Afgrødedata!$A$5:$F$18,3,FALSE)*IF(D307="Økologisk",VLOOKUP(B307,[1]Afgrødedata!$A$5:$F$18,4,FALSE),1)*IF(E307&lt;&gt;Jordbund1,IF(E307=Organ6,VLOOKUP(B307,[1]Afgrødedata!$A$5:$F$18,5,FALSE),VLOOKUP(B307,[1]Afgrødedata!$A$5:$F$18,6,FALSE)),1)*HLOOKUP(C307,Landbrug!$C$15:$E$17,2,FALSE)*HLOOKUP(C307,Landbrug!$C$15:$E$17,3,FALSE)*0.1</f>
        <v>0</v>
      </c>
      <c r="J307" s="76">
        <f t="shared" si="55"/>
        <v>9543.1830100275256</v>
      </c>
    </row>
    <row r="308" spans="1:10" x14ac:dyDescent="0.25">
      <c r="A308" t="s">
        <v>24</v>
      </c>
      <c r="B308" s="1" t="str">
        <f>[1]Afgrødefordeling!$C$14</f>
        <v>Pil &amp; poppel</v>
      </c>
      <c r="C308">
        <v>2019</v>
      </c>
      <c r="D308" t="s">
        <v>8</v>
      </c>
      <c r="E308" s="168" t="str">
        <f t="shared" si="56"/>
        <v>JB1-10</v>
      </c>
      <c r="F308" t="str">
        <f t="shared" si="54"/>
        <v>Pil &amp; poppel</v>
      </c>
      <c r="G308" s="76" cm="1">
        <f t="array" ref="G308">IF(A308="Vestdanmark",IF(D308="Konventionel",IF(C308=2019,SUMPRODUCT((B308='Landbrugsareal - resultat'!$B$6:$B$19)*(INDEX('Landbrugsareal - resultat'!$C$6:$E$19,,MATCH(E308,'Landbrugsareal - resultat'!$C$5:$E$5,0)))),IF(C308=2030,SUMPRODUCT((B308='Landbrugsareal - resultat'!$B$6:$B$19)*(INDEX('Landbrugsareal - resultat'!$F$6:$H$19,,MATCH(E308,'Landbrugsareal - resultat'!$F$5:$H$5,0)))),SUMPRODUCT((B308='Landbrugsareal - resultat'!$B$6:$B$19)*(INDEX('Landbrugsareal - resultat'!$I$6:$K$19,,MATCH(E308,'Landbrugsareal - resultat'!$I$5:$K$5,0)))))),IF(C308=2019,SUMPRODUCT((B308='Landbrugsareal - resultat'!$B$6:$B$19)*(INDEX('Landbrugsareal - resultat'!$L$6:$N$19,,MATCH(E308,'Landbrugsareal - resultat'!$L$5:$N$5,0)))),IF(C308=2030,SUMPRODUCT((B308='Landbrugsareal - resultat'!$B$6:$B$19)*(INDEX('Landbrugsareal - resultat'!$O$6:$Q$19,,MATCH(E308,'Landbrugsareal - resultat'!$O$5:$Q$5,0)))),SUMPRODUCT((B308='Landbrugsareal - resultat'!$B$6:$B$19)*(INDEX('Landbrugsareal - resultat'!$R$6:$T$19,,MATCH(E308,'Landbrugsareal - resultat'!$R$5:$T$5,0))))))),IF(D308="Konventionel",IF(C308=2019,SUMPRODUCT((B308='Landbrugsareal - resultat'!$B$33:$B$46)*(INDEX('Landbrugsareal - resultat'!$C$33:$E$46,,MATCH(E308,'Landbrugsareal - resultat'!$C$5:$E$5,0)))),IF(C308=2030,SUMPRODUCT((B308='Landbrugsareal - resultat'!$B$33:$B$46)*(INDEX('Landbrugsareal - resultat'!$F$33:$H$46,,MATCH(E308,'Landbrugsareal - resultat'!$F$5:$H$5,0)))),SUMPRODUCT((B308='Landbrugsareal - resultat'!$B$33:$B$46)*(INDEX('Landbrugsareal - resultat'!$I$33:$K$46,,MATCH(E308,'Landbrugsareal - resultat'!$I$5:$K$5,0)))))),IF(C308=2019,SUMPRODUCT((B308='Landbrugsareal - resultat'!$B$33:$B$46)*(INDEX('Landbrugsareal - resultat'!$L$33:$N$46,,MATCH(E308,'Landbrugsareal - resultat'!$L$5:$N$5,0)))),IF(C308=2030,SUMPRODUCT((B308='Landbrugsareal - resultat'!$B$33:$B$46)*(INDEX('Landbrugsareal - resultat'!$O$33:$Q$46,,MATCH(E308,'Landbrugsareal - resultat'!$O$5:$Q$5,0)))),SUMPRODUCT((B308='Landbrugsareal - resultat'!$B$33:$B$46)*(INDEX('Landbrugsareal - resultat'!$R$33:$T$46,,MATCH(E308,'Landbrugsareal - resultat'!$R$5:$T$5,0))))))))</f>
        <v>159.16557506189815</v>
      </c>
      <c r="H308" s="168">
        <f>G308*VLOOKUP(B308,[1]Afgrødedata!$A$5:$F$18,2,FALSE)*IF(D308="Økologisk",VLOOKUP(B308,[1]Afgrødedata!$A$5:$F$18,4,FALSE),1)*IF(E308&lt;&gt;Jordbund1,IF(E308=Organ6,VLOOKUP(B308,[1]Afgrødedata!$A$5:$F$18,5,FALSE),VLOOKUP(B308,[1]Afgrødedata!$A$5:$F$18,6,FALSE)),1)*0.1</f>
        <v>2212.7897020800478</v>
      </c>
      <c r="I308" s="168">
        <f>G308*VLOOKUP(B308,[1]Afgrødedata!$A$5:$F$18,3,FALSE)*IF(D308="Økologisk",VLOOKUP(B308,[1]Afgrødedata!$A$5:$F$18,4,FALSE),1)*IF(E308&lt;&gt;Jordbund1,IF(E308=Organ6,VLOOKUP(B308,[1]Afgrødedata!$A$5:$F$18,5,FALSE),VLOOKUP(B308,[1]Afgrødedata!$A$5:$F$18,6,FALSE)),1)*HLOOKUP(C308,Landbrug!$C$15:$E$17,2,FALSE)*HLOOKUP(C308,Landbrug!$C$15:$E$17,3,FALSE)*0.1</f>
        <v>0</v>
      </c>
      <c r="J308" s="76">
        <f t="shared" si="55"/>
        <v>2212.7897020800478</v>
      </c>
    </row>
    <row r="309" spans="1:10" x14ac:dyDescent="0.25">
      <c r="A309" t="s">
        <v>24</v>
      </c>
      <c r="B309" s="1" t="str">
        <f>[1]Afgrødefordeling!$C$15</f>
        <v>Permanent græs</v>
      </c>
      <c r="C309">
        <v>2019</v>
      </c>
      <c r="D309" t="s">
        <v>8</v>
      </c>
      <c r="E309" s="168" t="str">
        <f t="shared" si="56"/>
        <v>JB1-10</v>
      </c>
      <c r="F309" t="str">
        <f t="shared" si="54"/>
        <v>Græs</v>
      </c>
      <c r="G309" s="76" cm="1">
        <f t="array" ref="G309">IF(A309="Vestdanmark",IF(D309="Konventionel",IF(C309=2019,SUMPRODUCT((B309='Landbrugsareal - resultat'!$B$6:$B$19)*(INDEX('Landbrugsareal - resultat'!$C$6:$E$19,,MATCH(E309,'Landbrugsareal - resultat'!$C$5:$E$5,0)))),IF(C309=2030,SUMPRODUCT((B309='Landbrugsareal - resultat'!$B$6:$B$19)*(INDEX('Landbrugsareal - resultat'!$F$6:$H$19,,MATCH(E309,'Landbrugsareal - resultat'!$F$5:$H$5,0)))),SUMPRODUCT((B309='Landbrugsareal - resultat'!$B$6:$B$19)*(INDEX('Landbrugsareal - resultat'!$I$6:$K$19,,MATCH(E309,'Landbrugsareal - resultat'!$I$5:$K$5,0)))))),IF(C309=2019,SUMPRODUCT((B309='Landbrugsareal - resultat'!$B$6:$B$19)*(INDEX('Landbrugsareal - resultat'!$L$6:$N$19,,MATCH(E309,'Landbrugsareal - resultat'!$L$5:$N$5,0)))),IF(C309=2030,SUMPRODUCT((B309='Landbrugsareal - resultat'!$B$6:$B$19)*(INDEX('Landbrugsareal - resultat'!$O$6:$Q$19,,MATCH(E309,'Landbrugsareal - resultat'!$O$5:$Q$5,0)))),SUMPRODUCT((B309='Landbrugsareal - resultat'!$B$6:$B$19)*(INDEX('Landbrugsareal - resultat'!$R$6:$T$19,,MATCH(E309,'Landbrugsareal - resultat'!$R$5:$T$5,0))))))),IF(D309="Konventionel",IF(C309=2019,SUMPRODUCT((B309='Landbrugsareal - resultat'!$B$33:$B$46)*(INDEX('Landbrugsareal - resultat'!$C$33:$E$46,,MATCH(E309,'Landbrugsareal - resultat'!$C$5:$E$5,0)))),IF(C309=2030,SUMPRODUCT((B309='Landbrugsareal - resultat'!$B$33:$B$46)*(INDEX('Landbrugsareal - resultat'!$F$33:$H$46,,MATCH(E309,'Landbrugsareal - resultat'!$F$5:$H$5,0)))),SUMPRODUCT((B309='Landbrugsareal - resultat'!$B$33:$B$46)*(INDEX('Landbrugsareal - resultat'!$I$33:$K$46,,MATCH(E309,'Landbrugsareal - resultat'!$I$5:$K$5,0)))))),IF(C309=2019,SUMPRODUCT((B309='Landbrugsareal - resultat'!$B$33:$B$46)*(INDEX('Landbrugsareal - resultat'!$L$33:$N$46,,MATCH(E309,'Landbrugsareal - resultat'!$L$5:$N$5,0)))),IF(C309=2030,SUMPRODUCT((B309='Landbrugsareal - resultat'!$B$33:$B$46)*(INDEX('Landbrugsareal - resultat'!$O$33:$Q$46,,MATCH(E309,'Landbrugsareal - resultat'!$O$5:$Q$5,0)))),SUMPRODUCT((B309='Landbrugsareal - resultat'!$B$33:$B$46)*(INDEX('Landbrugsareal - resultat'!$R$33:$T$46,,MATCH(E309,'Landbrugsareal - resultat'!$R$5:$T$5,0))))))))</f>
        <v>3964.3701310794295</v>
      </c>
      <c r="H309" s="168">
        <f>G309*VLOOKUP(B309,[1]Afgrødedata!$A$5:$F$18,2,FALSE)*IF(D309="Økologisk",VLOOKUP(B309,[1]Afgrødedata!$A$5:$F$18,4,FALSE),1)*IF(E309&lt;&gt;Jordbund1,IF(E309=Organ6,VLOOKUP(B309,[1]Afgrødedata!$A$5:$F$18,5,FALSE),VLOOKUP(B309,[1]Afgrødedata!$A$5:$F$18,6,FALSE)),1)*0.1</f>
        <v>54668.66410758534</v>
      </c>
      <c r="I309" s="168">
        <f>G309*VLOOKUP(B309,[1]Afgrødedata!$A$5:$F$18,3,FALSE)*IF(D309="Økologisk",VLOOKUP(B309,[1]Afgrødedata!$A$5:$F$18,4,FALSE),1)*IF(E309&lt;&gt;Jordbund1,IF(E309=Organ6,VLOOKUP(B309,[1]Afgrødedata!$A$5:$F$18,5,FALSE),VLOOKUP(B309,[1]Afgrødedata!$A$5:$F$18,6,FALSE)),1)*HLOOKUP(C309,Landbrug!$C$15:$E$17,2,FALSE)*HLOOKUP(C309,Landbrug!$C$15:$E$17,3,FALSE)*0.1</f>
        <v>0</v>
      </c>
      <c r="J309" s="76">
        <f t="shared" si="55"/>
        <v>54668.66410758534</v>
      </c>
    </row>
    <row r="310" spans="1:10" x14ac:dyDescent="0.25">
      <c r="A310" t="s">
        <v>24</v>
      </c>
      <c r="B310" s="1" t="str">
        <f>[1]Afgrødefordeling!$C$2</f>
        <v>Korn</v>
      </c>
      <c r="C310">
        <v>2030</v>
      </c>
      <c r="D310" t="s">
        <v>8</v>
      </c>
      <c r="E310" s="168" t="str">
        <f t="shared" si="56"/>
        <v>JB1-10</v>
      </c>
      <c r="F310" t="str">
        <f t="shared" si="54"/>
        <v>Halm</v>
      </c>
      <c r="G310" s="76" cm="1">
        <f t="array" ref="G310">IF(A310="Vestdanmark",IF(D310="Konventionel",IF(C310=2019,SUMPRODUCT((B310='Landbrugsareal - resultat'!$B$6:$B$19)*(INDEX('Landbrugsareal - resultat'!$C$6:$E$19,,MATCH(E310,'Landbrugsareal - resultat'!$C$5:$E$5,0)))),IF(C310=2030,SUMPRODUCT((B310='Landbrugsareal - resultat'!$B$6:$B$19)*(INDEX('Landbrugsareal - resultat'!$F$6:$H$19,,MATCH(E310,'Landbrugsareal - resultat'!$F$5:$H$5,0)))),SUMPRODUCT((B310='Landbrugsareal - resultat'!$B$6:$B$19)*(INDEX('Landbrugsareal - resultat'!$I$6:$K$19,,MATCH(E310,'Landbrugsareal - resultat'!$I$5:$K$5,0)))))),IF(C310=2019,SUMPRODUCT((B310='Landbrugsareal - resultat'!$B$6:$B$19)*(INDEX('Landbrugsareal - resultat'!$L$6:$N$19,,MATCH(E310,'Landbrugsareal - resultat'!$L$5:$N$5,0)))),IF(C310=2030,SUMPRODUCT((B310='Landbrugsareal - resultat'!$B$6:$B$19)*(INDEX('Landbrugsareal - resultat'!$O$6:$Q$19,,MATCH(E310,'Landbrugsareal - resultat'!$O$5:$Q$5,0)))),SUMPRODUCT((B310='Landbrugsareal - resultat'!$B$6:$B$19)*(INDEX('Landbrugsareal - resultat'!$R$6:$T$19,,MATCH(E310,'Landbrugsareal - resultat'!$R$5:$T$5,0))))))),IF(D310="Konventionel",IF(C310=2019,SUMPRODUCT((B310='Landbrugsareal - resultat'!$B$33:$B$46)*(INDEX('Landbrugsareal - resultat'!$C$33:$E$46,,MATCH(E310,'Landbrugsareal - resultat'!$C$5:$E$5,0)))),IF(C310=2030,SUMPRODUCT((B310='Landbrugsareal - resultat'!$B$33:$B$46)*(INDEX('Landbrugsareal - resultat'!$F$33:$H$46,,MATCH(E310,'Landbrugsareal - resultat'!$F$5:$H$5,0)))),SUMPRODUCT((B310='Landbrugsareal - resultat'!$B$33:$B$46)*(INDEX('Landbrugsareal - resultat'!$I$33:$K$46,,MATCH(E310,'Landbrugsareal - resultat'!$I$5:$K$5,0)))))),IF(C310=2019,SUMPRODUCT((B310='Landbrugsareal - resultat'!$B$33:$B$46)*(INDEX('Landbrugsareal - resultat'!$L$33:$N$46,,MATCH(E310,'Landbrugsareal - resultat'!$L$5:$N$5,0)))),IF(C310=2030,SUMPRODUCT((B310='Landbrugsareal - resultat'!$B$33:$B$46)*(INDEX('Landbrugsareal - resultat'!$O$33:$Q$46,,MATCH(E310,'Landbrugsareal - resultat'!$O$5:$Q$5,0)))),SUMPRODUCT((B310='Landbrugsareal - resultat'!$B$33:$B$46)*(INDEX('Landbrugsareal - resultat'!$R$33:$T$46,,MATCH(E310,'Landbrugsareal - resultat'!$R$5:$T$5,0))))))))</f>
        <v>43830.597584630392</v>
      </c>
      <c r="H310" s="168">
        <f>G310*VLOOKUP(B310,[1]Afgrødedata!$A$5:$F$18,2,FALSE)*IF(D310="Økologisk",VLOOKUP(B310,[1]Afgrødedata!$A$5:$F$18,4,FALSE),1)*IF(E310&lt;&gt;Jordbund1,IF(E310=Organ6,VLOOKUP(B310,[1]Afgrødedata!$A$5:$F$18,5,FALSE),VLOOKUP(B310,[1]Afgrødedata!$A$5:$F$18,6,FALSE)),1)*0.1</f>
        <v>205859.16767573357</v>
      </c>
      <c r="I310" s="168">
        <f>G310*VLOOKUP(B310,[1]Afgrødedata!$A$5:$F$18,3,FALSE)*IF(D310="Økologisk",VLOOKUP(B310,[1]Afgrødedata!$A$5:$F$18,4,FALSE),1)*IF(E310&lt;&gt;Jordbund1,IF(E310=Organ6,VLOOKUP(B310,[1]Afgrødedata!$A$5:$F$18,5,FALSE),VLOOKUP(B310,[1]Afgrødedata!$A$5:$F$18,6,FALSE)),1)*HLOOKUP(C310,Landbrug!$C$15:$E$17,2,FALSE)*HLOOKUP(C310,Landbrug!$C$15:$E$17,3,FALSE)*0.1</f>
        <v>66801.299910775546</v>
      </c>
      <c r="J310" s="76">
        <f t="shared" si="55"/>
        <v>66801.299910775546</v>
      </c>
    </row>
    <row r="311" spans="1:10" x14ac:dyDescent="0.25">
      <c r="A311" t="s">
        <v>24</v>
      </c>
      <c r="B311" s="1" t="str">
        <f>[1]Afgrødefordeling!$C$3</f>
        <v>Bælgsæd</v>
      </c>
      <c r="C311">
        <v>2030</v>
      </c>
      <c r="D311" t="s">
        <v>8</v>
      </c>
      <c r="E311" s="168" t="str">
        <f t="shared" si="56"/>
        <v>JB1-10</v>
      </c>
      <c r="F311" t="str">
        <f t="shared" si="54"/>
        <v>Halm</v>
      </c>
      <c r="G311" s="76" cm="1">
        <f t="array" ref="G311">IF(A311="Vestdanmark",IF(D311="Konventionel",IF(C311=2019,SUMPRODUCT((B311='Landbrugsareal - resultat'!$B$6:$B$19)*(INDEX('Landbrugsareal - resultat'!$C$6:$E$19,,MATCH(E311,'Landbrugsareal - resultat'!$C$5:$E$5,0)))),IF(C311=2030,SUMPRODUCT((B311='Landbrugsareal - resultat'!$B$6:$B$19)*(INDEX('Landbrugsareal - resultat'!$F$6:$H$19,,MATCH(E311,'Landbrugsareal - resultat'!$F$5:$H$5,0)))),SUMPRODUCT((B311='Landbrugsareal - resultat'!$B$6:$B$19)*(INDEX('Landbrugsareal - resultat'!$I$6:$K$19,,MATCH(E311,'Landbrugsareal - resultat'!$I$5:$K$5,0)))))),IF(C311=2019,SUMPRODUCT((B311='Landbrugsareal - resultat'!$B$6:$B$19)*(INDEX('Landbrugsareal - resultat'!$L$6:$N$19,,MATCH(E311,'Landbrugsareal - resultat'!$L$5:$N$5,0)))),IF(C311=2030,SUMPRODUCT((B311='Landbrugsareal - resultat'!$B$6:$B$19)*(INDEX('Landbrugsareal - resultat'!$O$6:$Q$19,,MATCH(E311,'Landbrugsareal - resultat'!$O$5:$Q$5,0)))),SUMPRODUCT((B311='Landbrugsareal - resultat'!$B$6:$B$19)*(INDEX('Landbrugsareal - resultat'!$R$6:$T$19,,MATCH(E311,'Landbrugsareal - resultat'!$R$5:$T$5,0))))))),IF(D311="Konventionel",IF(C311=2019,SUMPRODUCT((B311='Landbrugsareal - resultat'!$B$33:$B$46)*(INDEX('Landbrugsareal - resultat'!$C$33:$E$46,,MATCH(E311,'Landbrugsareal - resultat'!$C$5:$E$5,0)))),IF(C311=2030,SUMPRODUCT((B311='Landbrugsareal - resultat'!$B$33:$B$46)*(INDEX('Landbrugsareal - resultat'!$F$33:$H$46,,MATCH(E311,'Landbrugsareal - resultat'!$F$5:$H$5,0)))),SUMPRODUCT((B311='Landbrugsareal - resultat'!$B$33:$B$46)*(INDEX('Landbrugsareal - resultat'!$I$33:$K$46,,MATCH(E311,'Landbrugsareal - resultat'!$I$5:$K$5,0)))))),IF(C311=2019,SUMPRODUCT((B311='Landbrugsareal - resultat'!$B$33:$B$46)*(INDEX('Landbrugsareal - resultat'!$L$33:$N$46,,MATCH(E311,'Landbrugsareal - resultat'!$L$5:$N$5,0)))),IF(C311=2030,SUMPRODUCT((B311='Landbrugsareal - resultat'!$B$33:$B$46)*(INDEX('Landbrugsareal - resultat'!$O$33:$Q$46,,MATCH(E311,'Landbrugsareal - resultat'!$O$5:$Q$5,0)))),SUMPRODUCT((B311='Landbrugsareal - resultat'!$B$33:$B$46)*(INDEX('Landbrugsareal - resultat'!$R$33:$T$46,,MATCH(E311,'Landbrugsareal - resultat'!$R$5:$T$5,0))))))))</f>
        <v>955.28072172581835</v>
      </c>
      <c r="H311" s="168">
        <f>G311*VLOOKUP(B311,[1]Afgrødedata!$A$5:$F$18,2,FALSE)*IF(D311="Økologisk",VLOOKUP(B311,[1]Afgrødedata!$A$5:$F$18,4,FALSE),1)*IF(E311&lt;&gt;Jordbund1,IF(E311=Organ6,VLOOKUP(B311,[1]Afgrødedata!$A$5:$F$18,5,FALSE),VLOOKUP(B311,[1]Afgrødedata!$A$5:$F$18,6,FALSE)),1)*0.1</f>
        <v>2101.8086439411454</v>
      </c>
      <c r="I311" s="168">
        <f>G311*VLOOKUP(B311,[1]Afgrødedata!$A$5:$F$18,3,FALSE)*IF(D311="Økologisk",VLOOKUP(B311,[1]Afgrødedata!$A$5:$F$18,4,FALSE),1)*IF(E311&lt;&gt;Jordbund1,IF(E311=Organ6,VLOOKUP(B311,[1]Afgrødedata!$A$5:$F$18,5,FALSE),VLOOKUP(B311,[1]Afgrødedata!$A$5:$F$18,6,FALSE)),1)*HLOOKUP(C311,Landbrug!$C$15:$E$17,2,FALSE)*HLOOKUP(C311,Landbrug!$C$15:$E$17,3,FALSE)*0.1</f>
        <v>620.35481086935431</v>
      </c>
      <c r="J311" s="76">
        <f t="shared" si="55"/>
        <v>620.35481086935431</v>
      </c>
    </row>
    <row r="312" spans="1:10" x14ac:dyDescent="0.25">
      <c r="A312" t="s">
        <v>24</v>
      </c>
      <c r="B312" s="1" t="str">
        <f>[1]Afgrødefordeling!$C$4</f>
        <v>Raps</v>
      </c>
      <c r="C312">
        <v>2030</v>
      </c>
      <c r="D312" t="s">
        <v>8</v>
      </c>
      <c r="E312" s="168" t="str">
        <f t="shared" si="56"/>
        <v>JB1-10</v>
      </c>
      <c r="F312" t="str">
        <f t="shared" si="54"/>
        <v>Halm</v>
      </c>
      <c r="G312" s="76" cm="1">
        <f t="array" ref="G312">IF(A312="Vestdanmark",IF(D312="Konventionel",IF(C312=2019,SUMPRODUCT((B312='Landbrugsareal - resultat'!$B$6:$B$19)*(INDEX('Landbrugsareal - resultat'!$C$6:$E$19,,MATCH(E312,'Landbrugsareal - resultat'!$C$5:$E$5,0)))),IF(C312=2030,SUMPRODUCT((B312='Landbrugsareal - resultat'!$B$6:$B$19)*(INDEX('Landbrugsareal - resultat'!$F$6:$H$19,,MATCH(E312,'Landbrugsareal - resultat'!$F$5:$H$5,0)))),SUMPRODUCT((B312='Landbrugsareal - resultat'!$B$6:$B$19)*(INDEX('Landbrugsareal - resultat'!$I$6:$K$19,,MATCH(E312,'Landbrugsareal - resultat'!$I$5:$K$5,0)))))),IF(C312=2019,SUMPRODUCT((B312='Landbrugsareal - resultat'!$B$6:$B$19)*(INDEX('Landbrugsareal - resultat'!$L$6:$N$19,,MATCH(E312,'Landbrugsareal - resultat'!$L$5:$N$5,0)))),IF(C312=2030,SUMPRODUCT((B312='Landbrugsareal - resultat'!$B$6:$B$19)*(INDEX('Landbrugsareal - resultat'!$O$6:$Q$19,,MATCH(E312,'Landbrugsareal - resultat'!$O$5:$Q$5,0)))),SUMPRODUCT((B312='Landbrugsareal - resultat'!$B$6:$B$19)*(INDEX('Landbrugsareal - resultat'!$R$6:$T$19,,MATCH(E312,'Landbrugsareal - resultat'!$R$5:$T$5,0))))))),IF(D312="Konventionel",IF(C312=2019,SUMPRODUCT((B312='Landbrugsareal - resultat'!$B$33:$B$46)*(INDEX('Landbrugsareal - resultat'!$C$33:$E$46,,MATCH(E312,'Landbrugsareal - resultat'!$C$5:$E$5,0)))),IF(C312=2030,SUMPRODUCT((B312='Landbrugsareal - resultat'!$B$33:$B$46)*(INDEX('Landbrugsareal - resultat'!$F$33:$H$46,,MATCH(E312,'Landbrugsareal - resultat'!$F$5:$H$5,0)))),SUMPRODUCT((B312='Landbrugsareal - resultat'!$B$33:$B$46)*(INDEX('Landbrugsareal - resultat'!$I$33:$K$46,,MATCH(E312,'Landbrugsareal - resultat'!$I$5:$K$5,0)))))),IF(C312=2019,SUMPRODUCT((B312='Landbrugsareal - resultat'!$B$33:$B$46)*(INDEX('Landbrugsareal - resultat'!$L$33:$N$46,,MATCH(E312,'Landbrugsareal - resultat'!$L$5:$N$5,0)))),IF(C312=2030,SUMPRODUCT((B312='Landbrugsareal - resultat'!$B$33:$B$46)*(INDEX('Landbrugsareal - resultat'!$O$33:$Q$46,,MATCH(E312,'Landbrugsareal - resultat'!$O$5:$Q$5,0)))),SUMPRODUCT((B312='Landbrugsareal - resultat'!$B$33:$B$46)*(INDEX('Landbrugsareal - resultat'!$R$33:$T$46,,MATCH(E312,'Landbrugsareal - resultat'!$R$5:$T$5,0))))))))</f>
        <v>6059.733453720256</v>
      </c>
      <c r="H312" s="168">
        <f>G312*VLOOKUP(B312,[1]Afgrødedata!$A$5:$F$18,2,FALSE)*IF(D312="Økologisk",VLOOKUP(B312,[1]Afgrødedata!$A$5:$F$18,4,FALSE),1)*IF(E312&lt;&gt;Jordbund1,IF(E312=Organ6,VLOOKUP(B312,[1]Afgrødedata!$A$5:$F$18,5,FALSE),VLOOKUP(B312,[1]Afgrødedata!$A$5:$F$18,6,FALSE)),1)*0.1</f>
        <v>14664.554958003024</v>
      </c>
      <c r="I312" s="168">
        <f>G312*VLOOKUP(B312,[1]Afgrødedata!$A$5:$F$18,3,FALSE)*IF(D312="Økologisk",VLOOKUP(B312,[1]Afgrødedata!$A$5:$F$18,4,FALSE),1)*IF(E312&lt;&gt;Jordbund1,IF(E312=Organ6,VLOOKUP(B312,[1]Afgrødedata!$A$5:$F$18,5,FALSE),VLOOKUP(B312,[1]Afgrødedata!$A$5:$F$18,6,FALSE)),1)*HLOOKUP(C312,Landbrug!$C$15:$E$17,2,FALSE)*HLOOKUP(C312,Landbrug!$C$15:$E$17,3,FALSE)*0.1</f>
        <v>7786.8786826996047</v>
      </c>
      <c r="J312" s="76">
        <f t="shared" si="55"/>
        <v>7786.8786826996047</v>
      </c>
    </row>
    <row r="313" spans="1:10" x14ac:dyDescent="0.25">
      <c r="A313" t="s">
        <v>24</v>
      </c>
      <c r="B313" s="1" t="str">
        <f>[1]Afgrødefordeling!$C$5</f>
        <v>Græs</v>
      </c>
      <c r="C313">
        <v>2030</v>
      </c>
      <c r="D313" t="s">
        <v>8</v>
      </c>
      <c r="E313" s="168" t="str">
        <f t="shared" si="56"/>
        <v>JB1-10</v>
      </c>
      <c r="F313" t="str">
        <f t="shared" si="54"/>
        <v>Græs</v>
      </c>
      <c r="G313" s="76" cm="1">
        <f t="array" ref="G313">IF(A313="Vestdanmark",IF(D313="Konventionel",IF(C313=2019,SUMPRODUCT((B313='Landbrugsareal - resultat'!$B$6:$B$19)*(INDEX('Landbrugsareal - resultat'!$C$6:$E$19,,MATCH(E313,'Landbrugsareal - resultat'!$C$5:$E$5,0)))),IF(C313=2030,SUMPRODUCT((B313='Landbrugsareal - resultat'!$B$6:$B$19)*(INDEX('Landbrugsareal - resultat'!$F$6:$H$19,,MATCH(E313,'Landbrugsareal - resultat'!$F$5:$H$5,0)))),SUMPRODUCT((B313='Landbrugsareal - resultat'!$B$6:$B$19)*(INDEX('Landbrugsareal - resultat'!$I$6:$K$19,,MATCH(E313,'Landbrugsareal - resultat'!$I$5:$K$5,0)))))),IF(C313=2019,SUMPRODUCT((B313='Landbrugsareal - resultat'!$B$6:$B$19)*(INDEX('Landbrugsareal - resultat'!$L$6:$N$19,,MATCH(E313,'Landbrugsareal - resultat'!$L$5:$N$5,0)))),IF(C313=2030,SUMPRODUCT((B313='Landbrugsareal - resultat'!$B$6:$B$19)*(INDEX('Landbrugsareal - resultat'!$O$6:$Q$19,,MATCH(E313,'Landbrugsareal - resultat'!$O$5:$Q$5,0)))),SUMPRODUCT((B313='Landbrugsareal - resultat'!$B$6:$B$19)*(INDEX('Landbrugsareal - resultat'!$R$6:$T$19,,MATCH(E313,'Landbrugsareal - resultat'!$R$5:$T$5,0))))))),IF(D313="Konventionel",IF(C313=2019,SUMPRODUCT((B313='Landbrugsareal - resultat'!$B$33:$B$46)*(INDEX('Landbrugsareal - resultat'!$C$33:$E$46,,MATCH(E313,'Landbrugsareal - resultat'!$C$5:$E$5,0)))),IF(C313=2030,SUMPRODUCT((B313='Landbrugsareal - resultat'!$B$33:$B$46)*(INDEX('Landbrugsareal - resultat'!$F$33:$H$46,,MATCH(E313,'Landbrugsareal - resultat'!$F$5:$H$5,0)))),SUMPRODUCT((B313='Landbrugsareal - resultat'!$B$33:$B$46)*(INDEX('Landbrugsareal - resultat'!$I$33:$K$46,,MATCH(E313,'Landbrugsareal - resultat'!$I$5:$K$5,0)))))),IF(C313=2019,SUMPRODUCT((B313='Landbrugsareal - resultat'!$B$33:$B$46)*(INDEX('Landbrugsareal - resultat'!$L$33:$N$46,,MATCH(E313,'Landbrugsareal - resultat'!$L$5:$N$5,0)))),IF(C313=2030,SUMPRODUCT((B313='Landbrugsareal - resultat'!$B$33:$B$46)*(INDEX('Landbrugsareal - resultat'!$O$33:$Q$46,,MATCH(E313,'Landbrugsareal - resultat'!$O$5:$Q$5,0)))),SUMPRODUCT((B313='Landbrugsareal - resultat'!$B$33:$B$46)*(INDEX('Landbrugsareal - resultat'!$R$33:$T$46,,MATCH(E313,'Landbrugsareal - resultat'!$R$5:$T$5,0))))))))</f>
        <v>3681.4389687869621</v>
      </c>
      <c r="H313" s="168">
        <f>G313*VLOOKUP(B313,[1]Afgrødedata!$A$5:$F$18,2,FALSE)*IF(D313="Økologisk",VLOOKUP(B313,[1]Afgrødedata!$A$5:$F$18,4,FALSE),1)*IF(E313&lt;&gt;Jordbund1,IF(E313=Organ6,VLOOKUP(B313,[1]Afgrødedata!$A$5:$F$18,5,FALSE),VLOOKUP(B313,[1]Afgrødedata!$A$5:$F$18,6,FALSE)),1)*0.1</f>
        <v>142484.94127234307</v>
      </c>
      <c r="I313" s="168">
        <f>G313*VLOOKUP(B313,[1]Afgrødedata!$A$5:$F$18,3,FALSE)*IF(D313="Økologisk",VLOOKUP(B313,[1]Afgrødedata!$A$5:$F$18,4,FALSE),1)*IF(E313&lt;&gt;Jordbund1,IF(E313=Organ6,VLOOKUP(B313,[1]Afgrødedata!$A$5:$F$18,5,FALSE),VLOOKUP(B313,[1]Afgrødedata!$A$5:$F$18,6,FALSE)),1)*HLOOKUP(C313,Landbrug!$C$15:$E$17,2,FALSE)*HLOOKUP(C313,Landbrug!$C$15:$E$17,3,FALSE)*0.1</f>
        <v>0</v>
      </c>
      <c r="J313" s="76">
        <f t="shared" si="55"/>
        <v>142484.94127234307</v>
      </c>
    </row>
    <row r="314" spans="1:10" x14ac:dyDescent="0.25">
      <c r="A314" t="s">
        <v>24</v>
      </c>
      <c r="B314" s="1" t="str">
        <f>[1]Afgrødefordeling!$C$6</f>
        <v>Grøntsager</v>
      </c>
      <c r="C314">
        <v>2030</v>
      </c>
      <c r="D314" t="s">
        <v>8</v>
      </c>
      <c r="E314" s="168" t="str">
        <f t="shared" si="56"/>
        <v>JB1-10</v>
      </c>
      <c r="F314" t="str">
        <f t="shared" si="54"/>
        <v>Grøntsager</v>
      </c>
      <c r="G314" s="76" cm="1">
        <f t="array" ref="G314">IF(A314="Vestdanmark",IF(D314="Konventionel",IF(C314=2019,SUMPRODUCT((B314='Landbrugsareal - resultat'!$B$6:$B$19)*(INDEX('Landbrugsareal - resultat'!$C$6:$E$19,,MATCH(E314,'Landbrugsareal - resultat'!$C$5:$E$5,0)))),IF(C314=2030,SUMPRODUCT((B314='Landbrugsareal - resultat'!$B$6:$B$19)*(INDEX('Landbrugsareal - resultat'!$F$6:$H$19,,MATCH(E314,'Landbrugsareal - resultat'!$F$5:$H$5,0)))),SUMPRODUCT((B314='Landbrugsareal - resultat'!$B$6:$B$19)*(INDEX('Landbrugsareal - resultat'!$I$6:$K$19,,MATCH(E314,'Landbrugsareal - resultat'!$I$5:$K$5,0)))))),IF(C314=2019,SUMPRODUCT((B314='Landbrugsareal - resultat'!$B$6:$B$19)*(INDEX('Landbrugsareal - resultat'!$L$6:$N$19,,MATCH(E314,'Landbrugsareal - resultat'!$L$5:$N$5,0)))),IF(C314=2030,SUMPRODUCT((B314='Landbrugsareal - resultat'!$B$6:$B$19)*(INDEX('Landbrugsareal - resultat'!$O$6:$Q$19,,MATCH(E314,'Landbrugsareal - resultat'!$O$5:$Q$5,0)))),SUMPRODUCT((B314='Landbrugsareal - resultat'!$B$6:$B$19)*(INDEX('Landbrugsareal - resultat'!$R$6:$T$19,,MATCH(E314,'Landbrugsareal - resultat'!$R$5:$T$5,0))))))),IF(D314="Konventionel",IF(C314=2019,SUMPRODUCT((B314='Landbrugsareal - resultat'!$B$33:$B$46)*(INDEX('Landbrugsareal - resultat'!$C$33:$E$46,,MATCH(E314,'Landbrugsareal - resultat'!$C$5:$E$5,0)))),IF(C314=2030,SUMPRODUCT((B314='Landbrugsareal - resultat'!$B$33:$B$46)*(INDEX('Landbrugsareal - resultat'!$F$33:$H$46,,MATCH(E314,'Landbrugsareal - resultat'!$F$5:$H$5,0)))),SUMPRODUCT((B314='Landbrugsareal - resultat'!$B$33:$B$46)*(INDEX('Landbrugsareal - resultat'!$I$33:$K$46,,MATCH(E314,'Landbrugsareal - resultat'!$I$5:$K$5,0)))))),IF(C314=2019,SUMPRODUCT((B314='Landbrugsareal - resultat'!$B$33:$B$46)*(INDEX('Landbrugsareal - resultat'!$L$33:$N$46,,MATCH(E314,'Landbrugsareal - resultat'!$L$5:$N$5,0)))),IF(C314=2030,SUMPRODUCT((B314='Landbrugsareal - resultat'!$B$33:$B$46)*(INDEX('Landbrugsareal - resultat'!$O$33:$Q$46,,MATCH(E314,'Landbrugsareal - resultat'!$O$5:$Q$5,0)))),SUMPRODUCT((B314='Landbrugsareal - resultat'!$B$33:$B$46)*(INDEX('Landbrugsareal - resultat'!$R$33:$T$46,,MATCH(E314,'Landbrugsareal - resultat'!$R$5:$T$5,0))))))))</f>
        <v>576.88244936443721</v>
      </c>
      <c r="H314" s="168">
        <f>G314*VLOOKUP(B314,[1]Afgrødedata!$A$5:$F$18,2,FALSE)*IF(D314="Økologisk",VLOOKUP(B314,[1]Afgrødedata!$A$5:$F$18,4,FALSE),1)*IF(E314&lt;&gt;Jordbund1,IF(E314=Organ6,VLOOKUP(B314,[1]Afgrødedata!$A$5:$F$18,5,FALSE),VLOOKUP(B314,[1]Afgrødedata!$A$5:$F$18,6,FALSE)),1)*0.1</f>
        <v>6823.0771698578801</v>
      </c>
      <c r="I314" s="168">
        <f>G314*VLOOKUP(B314,[1]Afgrødedata!$A$5:$F$18,3,FALSE)*IF(D314="Økologisk",VLOOKUP(B314,[1]Afgrødedata!$A$5:$F$18,4,FALSE),1)*IF(E314&lt;&gt;Jordbund1,IF(E314=Organ6,VLOOKUP(B314,[1]Afgrødedata!$A$5:$F$18,5,FALSE),VLOOKUP(B314,[1]Afgrødedata!$A$5:$F$18,6,FALSE)),1)*HLOOKUP(C314,Landbrug!$C$15:$E$17,2,FALSE)*HLOOKUP(C314,Landbrug!$C$15:$E$17,3,FALSE)*0.1</f>
        <v>0</v>
      </c>
      <c r="J314" s="76">
        <f t="shared" si="55"/>
        <v>6823.0771698578801</v>
      </c>
    </row>
    <row r="315" spans="1:10" x14ac:dyDescent="0.25">
      <c r="A315" t="s">
        <v>24</v>
      </c>
      <c r="B315" s="1" t="str">
        <f>[1]Afgrødefordeling!$C$7</f>
        <v>Kartofler</v>
      </c>
      <c r="C315">
        <v>2030</v>
      </c>
      <c r="D315" t="s">
        <v>8</v>
      </c>
      <c r="E315" s="168" t="str">
        <f t="shared" si="56"/>
        <v>JB1-10</v>
      </c>
      <c r="F315" t="str">
        <f t="shared" si="54"/>
        <v>Kartofler</v>
      </c>
      <c r="G315" s="76" cm="1">
        <f t="array" ref="G315">IF(A315="Vestdanmark",IF(D315="Konventionel",IF(C315=2019,SUMPRODUCT((B315='Landbrugsareal - resultat'!$B$6:$B$19)*(INDEX('Landbrugsareal - resultat'!$C$6:$E$19,,MATCH(E315,'Landbrugsareal - resultat'!$C$5:$E$5,0)))),IF(C315=2030,SUMPRODUCT((B315='Landbrugsareal - resultat'!$B$6:$B$19)*(INDEX('Landbrugsareal - resultat'!$F$6:$H$19,,MATCH(E315,'Landbrugsareal - resultat'!$F$5:$H$5,0)))),SUMPRODUCT((B315='Landbrugsareal - resultat'!$B$6:$B$19)*(INDEX('Landbrugsareal - resultat'!$I$6:$K$19,,MATCH(E315,'Landbrugsareal - resultat'!$I$5:$K$5,0)))))),IF(C315=2019,SUMPRODUCT((B315='Landbrugsareal - resultat'!$B$6:$B$19)*(INDEX('Landbrugsareal - resultat'!$L$6:$N$19,,MATCH(E315,'Landbrugsareal - resultat'!$L$5:$N$5,0)))),IF(C315=2030,SUMPRODUCT((B315='Landbrugsareal - resultat'!$B$6:$B$19)*(INDEX('Landbrugsareal - resultat'!$O$6:$Q$19,,MATCH(E315,'Landbrugsareal - resultat'!$O$5:$Q$5,0)))),SUMPRODUCT((B315='Landbrugsareal - resultat'!$B$6:$B$19)*(INDEX('Landbrugsareal - resultat'!$R$6:$T$19,,MATCH(E315,'Landbrugsareal - resultat'!$R$5:$T$5,0))))))),IF(D315="Konventionel",IF(C315=2019,SUMPRODUCT((B315='Landbrugsareal - resultat'!$B$33:$B$46)*(INDEX('Landbrugsareal - resultat'!$C$33:$E$46,,MATCH(E315,'Landbrugsareal - resultat'!$C$5:$E$5,0)))),IF(C315=2030,SUMPRODUCT((B315='Landbrugsareal - resultat'!$B$33:$B$46)*(INDEX('Landbrugsareal - resultat'!$F$33:$H$46,,MATCH(E315,'Landbrugsareal - resultat'!$F$5:$H$5,0)))),SUMPRODUCT((B315='Landbrugsareal - resultat'!$B$33:$B$46)*(INDEX('Landbrugsareal - resultat'!$I$33:$K$46,,MATCH(E315,'Landbrugsareal - resultat'!$I$5:$K$5,0)))))),IF(C315=2019,SUMPRODUCT((B315='Landbrugsareal - resultat'!$B$33:$B$46)*(INDEX('Landbrugsareal - resultat'!$L$33:$N$46,,MATCH(E315,'Landbrugsareal - resultat'!$L$5:$N$5,0)))),IF(C315=2030,SUMPRODUCT((B315='Landbrugsareal - resultat'!$B$33:$B$46)*(INDEX('Landbrugsareal - resultat'!$O$33:$Q$46,,MATCH(E315,'Landbrugsareal - resultat'!$O$5:$Q$5,0)))),SUMPRODUCT((B315='Landbrugsareal - resultat'!$B$33:$B$46)*(INDEX('Landbrugsareal - resultat'!$R$33:$T$46,,MATCH(E315,'Landbrugsareal - resultat'!$R$5:$T$5,0))))))))</f>
        <v>370.07150757959914</v>
      </c>
      <c r="H315" s="168">
        <f>G315*VLOOKUP(B315,[1]Afgrødedata!$A$5:$F$18,2,FALSE)*IF(D315="Økologisk",VLOOKUP(B315,[1]Afgrødedata!$A$5:$F$18,4,FALSE),1)*IF(E315&lt;&gt;Jordbund1,IF(E315=Organ6,VLOOKUP(B315,[1]Afgrødedata!$A$5:$F$18,5,FALSE),VLOOKUP(B315,[1]Afgrødedata!$A$5:$F$18,6,FALSE)),1)*0.1</f>
        <v>8958.843783410699</v>
      </c>
      <c r="I315" s="168">
        <f>G315*VLOOKUP(B315,[1]Afgrødedata!$A$5:$F$18,3,FALSE)*IF(D315="Økologisk",VLOOKUP(B315,[1]Afgrødedata!$A$5:$F$18,4,FALSE),1)*IF(E315&lt;&gt;Jordbund1,IF(E315=Organ6,VLOOKUP(B315,[1]Afgrødedata!$A$5:$F$18,5,FALSE),VLOOKUP(B315,[1]Afgrødedata!$A$5:$F$18,6,FALSE)),1)*HLOOKUP(C315,Landbrug!$C$15:$E$17,2,FALSE)*HLOOKUP(C315,Landbrug!$C$15:$E$17,3,FALSE)*0.1</f>
        <v>0</v>
      </c>
      <c r="J315" s="76">
        <f t="shared" si="55"/>
        <v>8958.843783410699</v>
      </c>
    </row>
    <row r="316" spans="1:10" x14ac:dyDescent="0.25">
      <c r="A316" t="s">
        <v>24</v>
      </c>
      <c r="B316" s="1" t="str">
        <f>[1]Afgrødefordeling!$C$8</f>
        <v>Roer</v>
      </c>
      <c r="C316">
        <v>2030</v>
      </c>
      <c r="D316" t="s">
        <v>8</v>
      </c>
      <c r="E316" s="168" t="str">
        <f t="shared" si="56"/>
        <v>JB1-10</v>
      </c>
      <c r="F316" t="str">
        <f t="shared" si="54"/>
        <v>Roer</v>
      </c>
      <c r="G316" s="76" cm="1">
        <f t="array" ref="G316">IF(A316="Vestdanmark",IF(D316="Konventionel",IF(C316=2019,SUMPRODUCT((B316='Landbrugsareal - resultat'!$B$6:$B$19)*(INDEX('Landbrugsareal - resultat'!$C$6:$E$19,,MATCH(E316,'Landbrugsareal - resultat'!$C$5:$E$5,0)))),IF(C316=2030,SUMPRODUCT((B316='Landbrugsareal - resultat'!$B$6:$B$19)*(INDEX('Landbrugsareal - resultat'!$F$6:$H$19,,MATCH(E316,'Landbrugsareal - resultat'!$F$5:$H$5,0)))),SUMPRODUCT((B316='Landbrugsareal - resultat'!$B$6:$B$19)*(INDEX('Landbrugsareal - resultat'!$I$6:$K$19,,MATCH(E316,'Landbrugsareal - resultat'!$I$5:$K$5,0)))))),IF(C316=2019,SUMPRODUCT((B316='Landbrugsareal - resultat'!$B$6:$B$19)*(INDEX('Landbrugsareal - resultat'!$L$6:$N$19,,MATCH(E316,'Landbrugsareal - resultat'!$L$5:$N$5,0)))),IF(C316=2030,SUMPRODUCT((B316='Landbrugsareal - resultat'!$B$6:$B$19)*(INDEX('Landbrugsareal - resultat'!$O$6:$Q$19,,MATCH(E316,'Landbrugsareal - resultat'!$O$5:$Q$5,0)))),SUMPRODUCT((B316='Landbrugsareal - resultat'!$B$6:$B$19)*(INDEX('Landbrugsareal - resultat'!$R$6:$T$19,,MATCH(E316,'Landbrugsareal - resultat'!$R$5:$T$5,0))))))),IF(D316="Konventionel",IF(C316=2019,SUMPRODUCT((B316='Landbrugsareal - resultat'!$B$33:$B$46)*(INDEX('Landbrugsareal - resultat'!$C$33:$E$46,,MATCH(E316,'Landbrugsareal - resultat'!$C$5:$E$5,0)))),IF(C316=2030,SUMPRODUCT((B316='Landbrugsareal - resultat'!$B$33:$B$46)*(INDEX('Landbrugsareal - resultat'!$F$33:$H$46,,MATCH(E316,'Landbrugsareal - resultat'!$F$5:$H$5,0)))),SUMPRODUCT((B316='Landbrugsareal - resultat'!$B$33:$B$46)*(INDEX('Landbrugsareal - resultat'!$I$33:$K$46,,MATCH(E316,'Landbrugsareal - resultat'!$I$5:$K$5,0)))))),IF(C316=2019,SUMPRODUCT((B316='Landbrugsareal - resultat'!$B$33:$B$46)*(INDEX('Landbrugsareal - resultat'!$L$33:$N$46,,MATCH(E316,'Landbrugsareal - resultat'!$L$5:$N$5,0)))),IF(C316=2030,SUMPRODUCT((B316='Landbrugsareal - resultat'!$B$33:$B$46)*(INDEX('Landbrugsareal - resultat'!$O$33:$Q$46,,MATCH(E316,'Landbrugsareal - resultat'!$O$5:$Q$5,0)))),SUMPRODUCT((B316='Landbrugsareal - resultat'!$B$33:$B$46)*(INDEX('Landbrugsareal - resultat'!$R$33:$T$46,,MATCH(E316,'Landbrugsareal - resultat'!$R$5:$T$5,0))))))))</f>
        <v>3847.1183364738454</v>
      </c>
      <c r="H316" s="168">
        <f>G316*VLOOKUP(B316,[1]Afgrødedata!$A$5:$F$18,2,FALSE)*IF(D316="Økologisk",VLOOKUP(B316,[1]Afgrødedata!$A$5:$F$18,4,FALSE),1)*IF(E316&lt;&gt;Jordbund1,IF(E316=Organ6,VLOOKUP(B316,[1]Afgrødedata!$A$5:$F$18,5,FALSE),VLOOKUP(B316,[1]Afgrødedata!$A$5:$F$18,6,FALSE)),1)*0.1</f>
        <v>178177.85026186952</v>
      </c>
      <c r="I316" s="168">
        <f>G316*VLOOKUP(B316,[1]Afgrødedata!$A$5:$F$18,3,FALSE)*IF(D316="Økologisk",VLOOKUP(B316,[1]Afgrødedata!$A$5:$F$18,4,FALSE),1)*IF(E316&lt;&gt;Jordbund1,IF(E316=Organ6,VLOOKUP(B316,[1]Afgrødedata!$A$5:$F$18,5,FALSE),VLOOKUP(B316,[1]Afgrødedata!$A$5:$F$18,6,FALSE)),1)*HLOOKUP(C316,Landbrug!$C$15:$E$17,2,FALSE)*HLOOKUP(C316,Landbrug!$C$15:$E$17,3,FALSE)*0.1</f>
        <v>0</v>
      </c>
      <c r="J316" s="76">
        <f t="shared" si="55"/>
        <v>178177.85026186952</v>
      </c>
    </row>
    <row r="317" spans="1:10" x14ac:dyDescent="0.25">
      <c r="A317" t="s">
        <v>24</v>
      </c>
      <c r="B317" s="1" t="str">
        <f>[1]Afgrødefordeling!$C$9</f>
        <v>Majs</v>
      </c>
      <c r="C317">
        <v>2030</v>
      </c>
      <c r="D317" t="s">
        <v>8</v>
      </c>
      <c r="E317" s="168" t="str">
        <f t="shared" si="56"/>
        <v>JB1-10</v>
      </c>
      <c r="F317" t="str">
        <f t="shared" si="54"/>
        <v>Majs</v>
      </c>
      <c r="G317" s="76" cm="1">
        <f t="array" ref="G317">IF(A317="Vestdanmark",IF(D317="Konventionel",IF(C317=2019,SUMPRODUCT((B317='Landbrugsareal - resultat'!$B$6:$B$19)*(INDEX('Landbrugsareal - resultat'!$C$6:$E$19,,MATCH(E317,'Landbrugsareal - resultat'!$C$5:$E$5,0)))),IF(C317=2030,SUMPRODUCT((B317='Landbrugsareal - resultat'!$B$6:$B$19)*(INDEX('Landbrugsareal - resultat'!$F$6:$H$19,,MATCH(E317,'Landbrugsareal - resultat'!$F$5:$H$5,0)))),SUMPRODUCT((B317='Landbrugsareal - resultat'!$B$6:$B$19)*(INDEX('Landbrugsareal - resultat'!$I$6:$K$19,,MATCH(E317,'Landbrugsareal - resultat'!$I$5:$K$5,0)))))),IF(C317=2019,SUMPRODUCT((B317='Landbrugsareal - resultat'!$B$6:$B$19)*(INDEX('Landbrugsareal - resultat'!$L$6:$N$19,,MATCH(E317,'Landbrugsareal - resultat'!$L$5:$N$5,0)))),IF(C317=2030,SUMPRODUCT((B317='Landbrugsareal - resultat'!$B$6:$B$19)*(INDEX('Landbrugsareal - resultat'!$O$6:$Q$19,,MATCH(E317,'Landbrugsareal - resultat'!$O$5:$Q$5,0)))),SUMPRODUCT((B317='Landbrugsareal - resultat'!$B$6:$B$19)*(INDEX('Landbrugsareal - resultat'!$R$6:$T$19,,MATCH(E317,'Landbrugsareal - resultat'!$R$5:$T$5,0))))))),IF(D317="Konventionel",IF(C317=2019,SUMPRODUCT((B317='Landbrugsareal - resultat'!$B$33:$B$46)*(INDEX('Landbrugsareal - resultat'!$C$33:$E$46,,MATCH(E317,'Landbrugsareal - resultat'!$C$5:$E$5,0)))),IF(C317=2030,SUMPRODUCT((B317='Landbrugsareal - resultat'!$B$33:$B$46)*(INDEX('Landbrugsareal - resultat'!$F$33:$H$46,,MATCH(E317,'Landbrugsareal - resultat'!$F$5:$H$5,0)))),SUMPRODUCT((B317='Landbrugsareal - resultat'!$B$33:$B$46)*(INDEX('Landbrugsareal - resultat'!$I$33:$K$46,,MATCH(E317,'Landbrugsareal - resultat'!$I$5:$K$5,0)))))),IF(C317=2019,SUMPRODUCT((B317='Landbrugsareal - resultat'!$B$33:$B$46)*(INDEX('Landbrugsareal - resultat'!$L$33:$N$46,,MATCH(E317,'Landbrugsareal - resultat'!$L$5:$N$5,0)))),IF(C317=2030,SUMPRODUCT((B317='Landbrugsareal - resultat'!$B$33:$B$46)*(INDEX('Landbrugsareal - resultat'!$O$33:$Q$46,,MATCH(E317,'Landbrugsareal - resultat'!$O$5:$Q$5,0)))),SUMPRODUCT((B317='Landbrugsareal - resultat'!$B$33:$B$46)*(INDEX('Landbrugsareal - resultat'!$R$33:$T$46,,MATCH(E317,'Landbrugsareal - resultat'!$R$5:$T$5,0))))))))</f>
        <v>1088.1082295878459</v>
      </c>
      <c r="H317" s="168">
        <f>G317*VLOOKUP(B317,[1]Afgrødedata!$A$5:$F$18,2,FALSE)*IF(D317="Økologisk",VLOOKUP(B317,[1]Afgrødedata!$A$5:$F$18,4,FALSE),1)*IF(E317&lt;&gt;Jordbund1,IF(E317=Organ6,VLOOKUP(B317,[1]Afgrødedata!$A$5:$F$18,5,FALSE),VLOOKUP(B317,[1]Afgrødedata!$A$5:$F$18,6,FALSE)),1)*0.1</f>
        <v>40198.308758132676</v>
      </c>
      <c r="I317" s="168">
        <f>G317*VLOOKUP(B317,[1]Afgrødedata!$A$5:$F$18,3,FALSE)*IF(D317="Økologisk",VLOOKUP(B317,[1]Afgrødedata!$A$5:$F$18,4,FALSE),1)*IF(E317&lt;&gt;Jordbund1,IF(E317=Organ6,VLOOKUP(B317,[1]Afgrødedata!$A$5:$F$18,5,FALSE),VLOOKUP(B317,[1]Afgrødedata!$A$5:$F$18,6,FALSE)),1)*HLOOKUP(C317,Landbrug!$C$15:$E$17,2,FALSE)*HLOOKUP(C317,Landbrug!$C$15:$E$17,3,FALSE)*0.1</f>
        <v>0</v>
      </c>
      <c r="J317" s="76">
        <f t="shared" si="55"/>
        <v>40198.308758132676</v>
      </c>
    </row>
    <row r="318" spans="1:10" x14ac:dyDescent="0.25">
      <c r="A318" t="s">
        <v>24</v>
      </c>
      <c r="B318" s="1" t="str">
        <f>[1]Afgrødefordeling!$C$10</f>
        <v>Frugt</v>
      </c>
      <c r="C318">
        <v>2030</v>
      </c>
      <c r="D318" t="s">
        <v>8</v>
      </c>
      <c r="E318" s="168" t="str">
        <f t="shared" ref="E318:E337" si="57">Jordbund1</f>
        <v>JB1-10</v>
      </c>
      <c r="F318" t="str">
        <f t="shared" si="54"/>
        <v>Frugt</v>
      </c>
      <c r="G318" s="76" cm="1">
        <f t="array" ref="G318">IF(A318="Vestdanmark",IF(D318="Konventionel",IF(C318=2019,SUMPRODUCT((B318='Landbrugsareal - resultat'!$B$6:$B$19)*(INDEX('Landbrugsareal - resultat'!$C$6:$E$19,,MATCH(E318,'Landbrugsareal - resultat'!$C$5:$E$5,0)))),IF(C318=2030,SUMPRODUCT((B318='Landbrugsareal - resultat'!$B$6:$B$19)*(INDEX('Landbrugsareal - resultat'!$F$6:$H$19,,MATCH(E318,'Landbrugsareal - resultat'!$F$5:$H$5,0)))),SUMPRODUCT((B318='Landbrugsareal - resultat'!$B$6:$B$19)*(INDEX('Landbrugsareal - resultat'!$I$6:$K$19,,MATCH(E318,'Landbrugsareal - resultat'!$I$5:$K$5,0)))))),IF(C318=2019,SUMPRODUCT((B318='Landbrugsareal - resultat'!$B$6:$B$19)*(INDEX('Landbrugsareal - resultat'!$L$6:$N$19,,MATCH(E318,'Landbrugsareal - resultat'!$L$5:$N$5,0)))),IF(C318=2030,SUMPRODUCT((B318='Landbrugsareal - resultat'!$B$6:$B$19)*(INDEX('Landbrugsareal - resultat'!$O$6:$Q$19,,MATCH(E318,'Landbrugsareal - resultat'!$O$5:$Q$5,0)))),SUMPRODUCT((B318='Landbrugsareal - resultat'!$B$6:$B$19)*(INDEX('Landbrugsareal - resultat'!$R$6:$T$19,,MATCH(E318,'Landbrugsareal - resultat'!$R$5:$T$5,0))))))),IF(D318="Konventionel",IF(C318=2019,SUMPRODUCT((B318='Landbrugsareal - resultat'!$B$33:$B$46)*(INDEX('Landbrugsareal - resultat'!$C$33:$E$46,,MATCH(E318,'Landbrugsareal - resultat'!$C$5:$E$5,0)))),IF(C318=2030,SUMPRODUCT((B318='Landbrugsareal - resultat'!$B$33:$B$46)*(INDEX('Landbrugsareal - resultat'!$F$33:$H$46,,MATCH(E318,'Landbrugsareal - resultat'!$F$5:$H$5,0)))),SUMPRODUCT((B318='Landbrugsareal - resultat'!$B$33:$B$46)*(INDEX('Landbrugsareal - resultat'!$I$33:$K$46,,MATCH(E318,'Landbrugsareal - resultat'!$I$5:$K$5,0)))))),IF(C318=2019,SUMPRODUCT((B318='Landbrugsareal - resultat'!$B$33:$B$46)*(INDEX('Landbrugsareal - resultat'!$L$33:$N$46,,MATCH(E318,'Landbrugsareal - resultat'!$L$5:$N$5,0)))),IF(C318=2030,SUMPRODUCT((B318='Landbrugsareal - resultat'!$B$33:$B$46)*(INDEX('Landbrugsareal - resultat'!$O$33:$Q$46,,MATCH(E318,'Landbrugsareal - resultat'!$O$5:$Q$5,0)))),SUMPRODUCT((B318='Landbrugsareal - resultat'!$B$33:$B$46)*(INDEX('Landbrugsareal - resultat'!$R$33:$T$46,,MATCH(E318,'Landbrugsareal - resultat'!$R$5:$T$5,0))))))))</f>
        <v>253.1823634274453</v>
      </c>
      <c r="H318" s="168">
        <f>G318*VLOOKUP(B318,[1]Afgrødedata!$A$5:$F$18,2,FALSE)*IF(D318="Økologisk",VLOOKUP(B318,[1]Afgrødedata!$A$5:$F$18,4,FALSE),1)*IF(E318&lt;&gt;Jordbund1,IF(E318=Organ6,VLOOKUP(B318,[1]Afgrødedata!$A$5:$F$18,5,FALSE),VLOOKUP(B318,[1]Afgrødedata!$A$5:$F$18,6,FALSE)),1)*0.1</f>
        <v>1225.2254113344361</v>
      </c>
      <c r="I318" s="168">
        <f>G318*VLOOKUP(B318,[1]Afgrødedata!$A$5:$F$18,3,FALSE)*IF(D318="Økologisk",VLOOKUP(B318,[1]Afgrødedata!$A$5:$F$18,4,FALSE),1)*IF(E318&lt;&gt;Jordbund1,IF(E318=Organ6,VLOOKUP(B318,[1]Afgrødedata!$A$5:$F$18,5,FALSE),VLOOKUP(B318,[1]Afgrødedata!$A$5:$F$18,6,FALSE)),1)*HLOOKUP(C318,Landbrug!$C$15:$E$17,2,FALSE)*HLOOKUP(C318,Landbrug!$C$15:$E$17,3,FALSE)*0.1</f>
        <v>0</v>
      </c>
      <c r="J318" s="76">
        <f t="shared" si="55"/>
        <v>1225.2254113344361</v>
      </c>
    </row>
    <row r="319" spans="1:10" x14ac:dyDescent="0.25">
      <c r="A319" t="s">
        <v>24</v>
      </c>
      <c r="B319" s="1" t="str">
        <f>[1]Afgrødefordeling!$C$11</f>
        <v>Øvrige</v>
      </c>
      <c r="C319">
        <v>2030</v>
      </c>
      <c r="D319" t="s">
        <v>8</v>
      </c>
      <c r="E319" s="168" t="str">
        <f t="shared" si="57"/>
        <v>JB1-10</v>
      </c>
      <c r="F319" t="str">
        <f t="shared" si="54"/>
        <v>Øvrige</v>
      </c>
      <c r="G319" s="76" cm="1">
        <f t="array" ref="G319">IF(A319="Vestdanmark",IF(D319="Konventionel",IF(C319=2019,SUMPRODUCT((B319='Landbrugsareal - resultat'!$B$6:$B$19)*(INDEX('Landbrugsareal - resultat'!$C$6:$E$19,,MATCH(E319,'Landbrugsareal - resultat'!$C$5:$E$5,0)))),IF(C319=2030,SUMPRODUCT((B319='Landbrugsareal - resultat'!$B$6:$B$19)*(INDEX('Landbrugsareal - resultat'!$F$6:$H$19,,MATCH(E319,'Landbrugsareal - resultat'!$F$5:$H$5,0)))),SUMPRODUCT((B319='Landbrugsareal - resultat'!$B$6:$B$19)*(INDEX('Landbrugsareal - resultat'!$I$6:$K$19,,MATCH(E319,'Landbrugsareal - resultat'!$I$5:$K$5,0)))))),IF(C319=2019,SUMPRODUCT((B319='Landbrugsareal - resultat'!$B$6:$B$19)*(INDEX('Landbrugsareal - resultat'!$L$6:$N$19,,MATCH(E319,'Landbrugsareal - resultat'!$L$5:$N$5,0)))),IF(C319=2030,SUMPRODUCT((B319='Landbrugsareal - resultat'!$B$6:$B$19)*(INDEX('Landbrugsareal - resultat'!$O$6:$Q$19,,MATCH(E319,'Landbrugsareal - resultat'!$O$5:$Q$5,0)))),SUMPRODUCT((B319='Landbrugsareal - resultat'!$B$6:$B$19)*(INDEX('Landbrugsareal - resultat'!$R$6:$T$19,,MATCH(E319,'Landbrugsareal - resultat'!$R$5:$T$5,0))))))),IF(D319="Konventionel",IF(C319=2019,SUMPRODUCT((B319='Landbrugsareal - resultat'!$B$33:$B$46)*(INDEX('Landbrugsareal - resultat'!$C$33:$E$46,,MATCH(E319,'Landbrugsareal - resultat'!$C$5:$E$5,0)))),IF(C319=2030,SUMPRODUCT((B319='Landbrugsareal - resultat'!$B$33:$B$46)*(INDEX('Landbrugsareal - resultat'!$F$33:$H$46,,MATCH(E319,'Landbrugsareal - resultat'!$F$5:$H$5,0)))),SUMPRODUCT((B319='Landbrugsareal - resultat'!$B$33:$B$46)*(INDEX('Landbrugsareal - resultat'!$I$33:$K$46,,MATCH(E319,'Landbrugsareal - resultat'!$I$5:$K$5,0)))))),IF(C319=2019,SUMPRODUCT((B319='Landbrugsareal - resultat'!$B$33:$B$46)*(INDEX('Landbrugsareal - resultat'!$L$33:$N$46,,MATCH(E319,'Landbrugsareal - resultat'!$L$5:$N$5,0)))),IF(C319=2030,SUMPRODUCT((B319='Landbrugsareal - resultat'!$B$33:$B$46)*(INDEX('Landbrugsareal - resultat'!$O$33:$Q$46,,MATCH(E319,'Landbrugsareal - resultat'!$O$5:$Q$5,0)))),SUMPRODUCT((B319='Landbrugsareal - resultat'!$B$33:$B$46)*(INDEX('Landbrugsareal - resultat'!$R$33:$T$46,,MATCH(E319,'Landbrugsareal - resultat'!$R$5:$T$5,0))))))))</f>
        <v>1807.8448712804081</v>
      </c>
      <c r="H319" s="168">
        <f>G319*VLOOKUP(B319,[1]Afgrødedata!$A$5:$F$18,2,FALSE)*IF(D319="Økologisk",VLOOKUP(B319,[1]Afgrødedata!$A$5:$F$18,4,FALSE),1)*IF(E319&lt;&gt;Jordbund1,IF(E319=Organ6,VLOOKUP(B319,[1]Afgrødedata!$A$5:$F$18,5,FALSE),VLOOKUP(B319,[1]Afgrødedata!$A$5:$F$18,6,FALSE)),1)*0.1</f>
        <v>30703.87288405417</v>
      </c>
      <c r="I319" s="168">
        <f>G319*VLOOKUP(B319,[1]Afgrødedata!$A$5:$F$18,3,FALSE)*IF(D319="Økologisk",VLOOKUP(B319,[1]Afgrødedata!$A$5:$F$18,4,FALSE),1)*IF(E319&lt;&gt;Jordbund1,IF(E319=Organ6,VLOOKUP(B319,[1]Afgrødedata!$A$5:$F$18,5,FALSE),VLOOKUP(B319,[1]Afgrødedata!$A$5:$F$18,6,FALSE)),1)*HLOOKUP(C319,Landbrug!$C$15:$E$17,2,FALSE)*HLOOKUP(C319,Landbrug!$C$15:$E$17,3,FALSE)*0.1</f>
        <v>0</v>
      </c>
      <c r="J319" s="76">
        <f t="shared" si="55"/>
        <v>30703.87288405417</v>
      </c>
    </row>
    <row r="320" spans="1:10" x14ac:dyDescent="0.25">
      <c r="A320" t="s">
        <v>24</v>
      </c>
      <c r="B320" s="1" t="str">
        <f>[1]Afgrødefordeling!$C$12</f>
        <v>Frø</v>
      </c>
      <c r="C320">
        <v>2030</v>
      </c>
      <c r="D320" t="s">
        <v>8</v>
      </c>
      <c r="E320" s="168" t="str">
        <f t="shared" si="57"/>
        <v>JB1-10</v>
      </c>
      <c r="F320" t="str">
        <f t="shared" si="54"/>
        <v>Halm</v>
      </c>
      <c r="G320" s="76" cm="1">
        <f t="array" ref="G320">IF(A320="Vestdanmark",IF(D320="Konventionel",IF(C320=2019,SUMPRODUCT((B320='Landbrugsareal - resultat'!$B$6:$B$19)*(INDEX('Landbrugsareal - resultat'!$C$6:$E$19,,MATCH(E320,'Landbrugsareal - resultat'!$C$5:$E$5,0)))),IF(C320=2030,SUMPRODUCT((B320='Landbrugsareal - resultat'!$B$6:$B$19)*(INDEX('Landbrugsareal - resultat'!$F$6:$H$19,,MATCH(E320,'Landbrugsareal - resultat'!$F$5:$H$5,0)))),SUMPRODUCT((B320='Landbrugsareal - resultat'!$B$6:$B$19)*(INDEX('Landbrugsareal - resultat'!$I$6:$K$19,,MATCH(E320,'Landbrugsareal - resultat'!$I$5:$K$5,0)))))),IF(C320=2019,SUMPRODUCT((B320='Landbrugsareal - resultat'!$B$6:$B$19)*(INDEX('Landbrugsareal - resultat'!$L$6:$N$19,,MATCH(E320,'Landbrugsareal - resultat'!$L$5:$N$5,0)))),IF(C320=2030,SUMPRODUCT((B320='Landbrugsareal - resultat'!$B$6:$B$19)*(INDEX('Landbrugsareal - resultat'!$O$6:$Q$19,,MATCH(E320,'Landbrugsareal - resultat'!$O$5:$Q$5,0)))),SUMPRODUCT((B320='Landbrugsareal - resultat'!$B$6:$B$19)*(INDEX('Landbrugsareal - resultat'!$R$6:$T$19,,MATCH(E320,'Landbrugsareal - resultat'!$R$5:$T$5,0))))))),IF(D320="Konventionel",IF(C320=2019,SUMPRODUCT((B320='Landbrugsareal - resultat'!$B$33:$B$46)*(INDEX('Landbrugsareal - resultat'!$C$33:$E$46,,MATCH(E320,'Landbrugsareal - resultat'!$C$5:$E$5,0)))),IF(C320=2030,SUMPRODUCT((B320='Landbrugsareal - resultat'!$B$33:$B$46)*(INDEX('Landbrugsareal - resultat'!$F$33:$H$46,,MATCH(E320,'Landbrugsareal - resultat'!$F$5:$H$5,0)))),SUMPRODUCT((B320='Landbrugsareal - resultat'!$B$33:$B$46)*(INDEX('Landbrugsareal - resultat'!$I$33:$K$46,,MATCH(E320,'Landbrugsareal - resultat'!$I$5:$K$5,0)))))),IF(C320=2019,SUMPRODUCT((B320='Landbrugsareal - resultat'!$B$33:$B$46)*(INDEX('Landbrugsareal - resultat'!$L$33:$N$46,,MATCH(E320,'Landbrugsareal - resultat'!$L$5:$N$5,0)))),IF(C320=2030,SUMPRODUCT((B320='Landbrugsareal - resultat'!$B$33:$B$46)*(INDEX('Landbrugsareal - resultat'!$O$33:$Q$46,,MATCH(E320,'Landbrugsareal - resultat'!$O$5:$Q$5,0)))),SUMPRODUCT((B320='Landbrugsareal - resultat'!$B$33:$B$46)*(INDEX('Landbrugsareal - resultat'!$R$33:$T$46,,MATCH(E320,'Landbrugsareal - resultat'!$R$5:$T$5,0))))))))</f>
        <v>5593.4187099759929</v>
      </c>
      <c r="H320" s="168">
        <f>G320*VLOOKUP(B320,[1]Afgrødedata!$A$5:$F$18,2,FALSE)*IF(D320="Økologisk",VLOOKUP(B320,[1]Afgrødedata!$A$5:$F$18,4,FALSE),1)*IF(E320&lt;&gt;Jordbund1,IF(E320=Organ6,VLOOKUP(B320,[1]Afgrødedata!$A$5:$F$18,5,FALSE),VLOOKUP(B320,[1]Afgrødedata!$A$5:$F$18,6,FALSE)),1)*0.1</f>
        <v>45556.441236344399</v>
      </c>
      <c r="I320" s="168">
        <f>G320*VLOOKUP(B320,[1]Afgrødedata!$A$5:$F$18,3,FALSE)*IF(D320="Økologisk",VLOOKUP(B320,[1]Afgrødedata!$A$5:$F$18,4,FALSE),1)*IF(E320&lt;&gt;Jordbund1,IF(E320=Organ6,VLOOKUP(B320,[1]Afgrødedata!$A$5:$F$18,5,FALSE),VLOOKUP(B320,[1]Afgrødedata!$A$5:$F$18,6,FALSE)),1)*HLOOKUP(C320,Landbrug!$C$15:$E$17,2,FALSE)*HLOOKUP(C320,Landbrug!$C$15:$E$17,3,FALSE)*0.1</f>
        <v>7524.2668486597049</v>
      </c>
      <c r="J320" s="76">
        <f t="shared" si="55"/>
        <v>7524.2668486597049</v>
      </c>
    </row>
    <row r="321" spans="1:10" x14ac:dyDescent="0.25">
      <c r="A321" t="s">
        <v>24</v>
      </c>
      <c r="B321" s="1" t="str">
        <f>[1]Afgrødefordeling!$C$13</f>
        <v>Juletræer</v>
      </c>
      <c r="C321">
        <v>2030</v>
      </c>
      <c r="D321" t="s">
        <v>8</v>
      </c>
      <c r="E321" s="168" t="str">
        <f t="shared" si="57"/>
        <v>JB1-10</v>
      </c>
      <c r="F321" t="str">
        <f t="shared" si="54"/>
        <v>Juletræer</v>
      </c>
      <c r="G321" s="76" cm="1">
        <f t="array" ref="G321">IF(A321="Vestdanmark",IF(D321="Konventionel",IF(C321=2019,SUMPRODUCT((B321='Landbrugsareal - resultat'!$B$6:$B$19)*(INDEX('Landbrugsareal - resultat'!$C$6:$E$19,,MATCH(E321,'Landbrugsareal - resultat'!$C$5:$E$5,0)))),IF(C321=2030,SUMPRODUCT((B321='Landbrugsareal - resultat'!$B$6:$B$19)*(INDEX('Landbrugsareal - resultat'!$F$6:$H$19,,MATCH(E321,'Landbrugsareal - resultat'!$F$5:$H$5,0)))),SUMPRODUCT((B321='Landbrugsareal - resultat'!$B$6:$B$19)*(INDEX('Landbrugsareal - resultat'!$I$6:$K$19,,MATCH(E321,'Landbrugsareal - resultat'!$I$5:$K$5,0)))))),IF(C321=2019,SUMPRODUCT((B321='Landbrugsareal - resultat'!$B$6:$B$19)*(INDEX('Landbrugsareal - resultat'!$L$6:$N$19,,MATCH(E321,'Landbrugsareal - resultat'!$L$5:$N$5,0)))),IF(C321=2030,SUMPRODUCT((B321='Landbrugsareal - resultat'!$B$6:$B$19)*(INDEX('Landbrugsareal - resultat'!$O$6:$Q$19,,MATCH(E321,'Landbrugsareal - resultat'!$O$5:$Q$5,0)))),SUMPRODUCT((B321='Landbrugsareal - resultat'!$B$6:$B$19)*(INDEX('Landbrugsareal - resultat'!$R$6:$T$19,,MATCH(E321,'Landbrugsareal - resultat'!$R$5:$T$5,0))))))),IF(D321="Konventionel",IF(C321=2019,SUMPRODUCT((B321='Landbrugsareal - resultat'!$B$33:$B$46)*(INDEX('Landbrugsareal - resultat'!$C$33:$E$46,,MATCH(E321,'Landbrugsareal - resultat'!$C$5:$E$5,0)))),IF(C321=2030,SUMPRODUCT((B321='Landbrugsareal - resultat'!$B$33:$B$46)*(INDEX('Landbrugsareal - resultat'!$F$33:$H$46,,MATCH(E321,'Landbrugsareal - resultat'!$F$5:$H$5,0)))),SUMPRODUCT((B321='Landbrugsareal - resultat'!$B$33:$B$46)*(INDEX('Landbrugsareal - resultat'!$I$33:$K$46,,MATCH(E321,'Landbrugsareal - resultat'!$I$5:$K$5,0)))))),IF(C321=2019,SUMPRODUCT((B321='Landbrugsareal - resultat'!$B$33:$B$46)*(INDEX('Landbrugsareal - resultat'!$L$33:$N$46,,MATCH(E321,'Landbrugsareal - resultat'!$L$5:$N$5,0)))),IF(C321=2030,SUMPRODUCT((B321='Landbrugsareal - resultat'!$B$33:$B$46)*(INDEX('Landbrugsareal - resultat'!$O$33:$Q$46,,MATCH(E321,'Landbrugsareal - resultat'!$O$5:$Q$5,0)))),SUMPRODUCT((B321='Landbrugsareal - resultat'!$B$33:$B$46)*(INDEX('Landbrugsareal - resultat'!$R$33:$T$46,,MATCH(E321,'Landbrugsareal - resultat'!$R$5:$T$5,0))))))))</f>
        <v>396.73532272205472</v>
      </c>
      <c r="H321" s="168">
        <f>G321*VLOOKUP(B321,[1]Afgrødedata!$A$5:$F$18,2,FALSE)*IF(D321="Økologisk",VLOOKUP(B321,[1]Afgrødedata!$A$5:$F$18,4,FALSE),1)*IF(E321&lt;&gt;Jordbund1,IF(E321=Organ6,VLOOKUP(B321,[1]Afgrødedata!$A$5:$F$18,5,FALSE),VLOOKUP(B321,[1]Afgrødedata!$A$5:$F$18,6,FALSE)),1)*0.1</f>
        <v>11306.95669757856</v>
      </c>
      <c r="I321" s="168">
        <f>G321*VLOOKUP(B321,[1]Afgrødedata!$A$5:$F$18,3,FALSE)*IF(D321="Økologisk",VLOOKUP(B321,[1]Afgrødedata!$A$5:$F$18,4,FALSE),1)*IF(E321&lt;&gt;Jordbund1,IF(E321=Organ6,VLOOKUP(B321,[1]Afgrødedata!$A$5:$F$18,5,FALSE),VLOOKUP(B321,[1]Afgrødedata!$A$5:$F$18,6,FALSE)),1)*HLOOKUP(C321,Landbrug!$C$15:$E$17,2,FALSE)*HLOOKUP(C321,Landbrug!$C$15:$E$17,3,FALSE)*0.1</f>
        <v>0</v>
      </c>
      <c r="J321" s="76">
        <f t="shared" si="55"/>
        <v>11306.95669757856</v>
      </c>
    </row>
    <row r="322" spans="1:10" x14ac:dyDescent="0.25">
      <c r="A322" t="s">
        <v>24</v>
      </c>
      <c r="B322" s="1" t="str">
        <f>[1]Afgrødefordeling!$C$14</f>
        <v>Pil &amp; poppel</v>
      </c>
      <c r="C322">
        <v>2030</v>
      </c>
      <c r="D322" t="s">
        <v>8</v>
      </c>
      <c r="E322" s="168" t="str">
        <f t="shared" si="57"/>
        <v>JB1-10</v>
      </c>
      <c r="F322" t="str">
        <f t="shared" si="54"/>
        <v>Pil &amp; poppel</v>
      </c>
      <c r="G322" s="76" cm="1">
        <f t="array" ref="G322">IF(A322="Vestdanmark",IF(D322="Konventionel",IF(C322=2019,SUMPRODUCT((B322='Landbrugsareal - resultat'!$B$6:$B$19)*(INDEX('Landbrugsareal - resultat'!$C$6:$E$19,,MATCH(E322,'Landbrugsareal - resultat'!$C$5:$E$5,0)))),IF(C322=2030,SUMPRODUCT((B322='Landbrugsareal - resultat'!$B$6:$B$19)*(INDEX('Landbrugsareal - resultat'!$F$6:$H$19,,MATCH(E322,'Landbrugsareal - resultat'!$F$5:$H$5,0)))),SUMPRODUCT((B322='Landbrugsareal - resultat'!$B$6:$B$19)*(INDEX('Landbrugsareal - resultat'!$I$6:$K$19,,MATCH(E322,'Landbrugsareal - resultat'!$I$5:$K$5,0)))))),IF(C322=2019,SUMPRODUCT((B322='Landbrugsareal - resultat'!$B$6:$B$19)*(INDEX('Landbrugsareal - resultat'!$L$6:$N$19,,MATCH(E322,'Landbrugsareal - resultat'!$L$5:$N$5,0)))),IF(C322=2030,SUMPRODUCT((B322='Landbrugsareal - resultat'!$B$6:$B$19)*(INDEX('Landbrugsareal - resultat'!$O$6:$Q$19,,MATCH(E322,'Landbrugsareal - resultat'!$O$5:$Q$5,0)))),SUMPRODUCT((B322='Landbrugsareal - resultat'!$B$6:$B$19)*(INDEX('Landbrugsareal - resultat'!$R$6:$T$19,,MATCH(E322,'Landbrugsareal - resultat'!$R$5:$T$5,0))))))),IF(D322="Konventionel",IF(C322=2019,SUMPRODUCT((B322='Landbrugsareal - resultat'!$B$33:$B$46)*(INDEX('Landbrugsareal - resultat'!$C$33:$E$46,,MATCH(E322,'Landbrugsareal - resultat'!$C$5:$E$5,0)))),IF(C322=2030,SUMPRODUCT((B322='Landbrugsareal - resultat'!$B$33:$B$46)*(INDEX('Landbrugsareal - resultat'!$F$33:$H$46,,MATCH(E322,'Landbrugsareal - resultat'!$F$5:$H$5,0)))),SUMPRODUCT((B322='Landbrugsareal - resultat'!$B$33:$B$46)*(INDEX('Landbrugsareal - resultat'!$I$33:$K$46,,MATCH(E322,'Landbrugsareal - resultat'!$I$5:$K$5,0)))))),IF(C322=2019,SUMPRODUCT((B322='Landbrugsareal - resultat'!$B$33:$B$46)*(INDEX('Landbrugsareal - resultat'!$L$33:$N$46,,MATCH(E322,'Landbrugsareal - resultat'!$L$5:$N$5,0)))),IF(C322=2030,SUMPRODUCT((B322='Landbrugsareal - resultat'!$B$33:$B$46)*(INDEX('Landbrugsareal - resultat'!$O$33:$Q$46,,MATCH(E322,'Landbrugsareal - resultat'!$O$5:$Q$5,0)))),SUMPRODUCT((B322='Landbrugsareal - resultat'!$B$33:$B$46)*(INDEX('Landbrugsareal - resultat'!$R$33:$T$46,,MATCH(E322,'Landbrugsareal - resultat'!$R$5:$T$5,0))))))))</f>
        <v>188.58260006950039</v>
      </c>
      <c r="H322" s="168">
        <f>G322*VLOOKUP(B322,[1]Afgrødedata!$A$5:$F$18,2,FALSE)*IF(D322="Økologisk",VLOOKUP(B322,[1]Afgrødedata!$A$5:$F$18,4,FALSE),1)*IF(E322&lt;&gt;Jordbund1,IF(E322=Organ6,VLOOKUP(B322,[1]Afgrødedata!$A$5:$F$18,5,FALSE),VLOOKUP(B322,[1]Afgrødedata!$A$5:$F$18,6,FALSE)),1)*0.1</f>
        <v>2621.7580985272002</v>
      </c>
      <c r="I322" s="168">
        <f>G322*VLOOKUP(B322,[1]Afgrødedata!$A$5:$F$18,3,FALSE)*IF(D322="Økologisk",VLOOKUP(B322,[1]Afgrødedata!$A$5:$F$18,4,FALSE),1)*IF(E322&lt;&gt;Jordbund1,IF(E322=Organ6,VLOOKUP(B322,[1]Afgrødedata!$A$5:$F$18,5,FALSE),VLOOKUP(B322,[1]Afgrødedata!$A$5:$F$18,6,FALSE)),1)*HLOOKUP(C322,Landbrug!$C$15:$E$17,2,FALSE)*HLOOKUP(C322,Landbrug!$C$15:$E$17,3,FALSE)*0.1</f>
        <v>0</v>
      </c>
      <c r="J322" s="76">
        <f t="shared" si="55"/>
        <v>2621.7580985272002</v>
      </c>
    </row>
    <row r="323" spans="1:10" x14ac:dyDescent="0.25">
      <c r="A323" t="s">
        <v>24</v>
      </c>
      <c r="B323" s="1" t="str">
        <f>[1]Afgrødefordeling!$C$15</f>
        <v>Permanent græs</v>
      </c>
      <c r="C323">
        <v>2030</v>
      </c>
      <c r="D323" t="s">
        <v>8</v>
      </c>
      <c r="E323" s="168" t="str">
        <f t="shared" si="57"/>
        <v>JB1-10</v>
      </c>
      <c r="F323" t="str">
        <f t="shared" si="54"/>
        <v>Græs</v>
      </c>
      <c r="G323" s="76" cm="1">
        <f t="array" ref="G323">IF(A323="Vestdanmark",IF(D323="Konventionel",IF(C323=2019,SUMPRODUCT((B323='Landbrugsareal - resultat'!$B$6:$B$19)*(INDEX('Landbrugsareal - resultat'!$C$6:$E$19,,MATCH(E323,'Landbrugsareal - resultat'!$C$5:$E$5,0)))),IF(C323=2030,SUMPRODUCT((B323='Landbrugsareal - resultat'!$B$6:$B$19)*(INDEX('Landbrugsareal - resultat'!$F$6:$H$19,,MATCH(E323,'Landbrugsareal - resultat'!$F$5:$H$5,0)))),SUMPRODUCT((B323='Landbrugsareal - resultat'!$B$6:$B$19)*(INDEX('Landbrugsareal - resultat'!$I$6:$K$19,,MATCH(E323,'Landbrugsareal - resultat'!$I$5:$K$5,0)))))),IF(C323=2019,SUMPRODUCT((B323='Landbrugsareal - resultat'!$B$6:$B$19)*(INDEX('Landbrugsareal - resultat'!$L$6:$N$19,,MATCH(E323,'Landbrugsareal - resultat'!$L$5:$N$5,0)))),IF(C323=2030,SUMPRODUCT((B323='Landbrugsareal - resultat'!$B$6:$B$19)*(INDEX('Landbrugsareal - resultat'!$O$6:$Q$19,,MATCH(E323,'Landbrugsareal - resultat'!$O$5:$Q$5,0)))),SUMPRODUCT((B323='Landbrugsareal - resultat'!$B$6:$B$19)*(INDEX('Landbrugsareal - resultat'!$R$6:$T$19,,MATCH(E323,'Landbrugsareal - resultat'!$R$5:$T$5,0))))))),IF(D323="Konventionel",IF(C323=2019,SUMPRODUCT((B323='Landbrugsareal - resultat'!$B$33:$B$46)*(INDEX('Landbrugsareal - resultat'!$C$33:$E$46,,MATCH(E323,'Landbrugsareal - resultat'!$C$5:$E$5,0)))),IF(C323=2030,SUMPRODUCT((B323='Landbrugsareal - resultat'!$B$33:$B$46)*(INDEX('Landbrugsareal - resultat'!$F$33:$H$46,,MATCH(E323,'Landbrugsareal - resultat'!$F$5:$H$5,0)))),SUMPRODUCT((B323='Landbrugsareal - resultat'!$B$33:$B$46)*(INDEX('Landbrugsareal - resultat'!$I$33:$K$46,,MATCH(E323,'Landbrugsareal - resultat'!$I$5:$K$5,0)))))),IF(C323=2019,SUMPRODUCT((B323='Landbrugsareal - resultat'!$B$33:$B$46)*(INDEX('Landbrugsareal - resultat'!$L$33:$N$46,,MATCH(E323,'Landbrugsareal - resultat'!$L$5:$N$5,0)))),IF(C323=2030,SUMPRODUCT((B323='Landbrugsareal - resultat'!$B$33:$B$46)*(INDEX('Landbrugsareal - resultat'!$O$33:$Q$46,,MATCH(E323,'Landbrugsareal - resultat'!$O$5:$Q$5,0)))),SUMPRODUCT((B323='Landbrugsareal - resultat'!$B$33:$B$46)*(INDEX('Landbrugsareal - resultat'!$R$33:$T$46,,MATCH(E323,'Landbrugsareal - resultat'!$R$5:$T$5,0))))))))</f>
        <v>4697.0661002926372</v>
      </c>
      <c r="H323" s="168">
        <f>G323*VLOOKUP(B323,[1]Afgrødedata!$A$5:$F$18,2,FALSE)*IF(D323="Økologisk",VLOOKUP(B323,[1]Afgrødedata!$A$5:$F$18,4,FALSE),1)*IF(E323&lt;&gt;Jordbund1,IF(E323=Organ6,VLOOKUP(B323,[1]Afgrødedata!$A$5:$F$18,5,FALSE),VLOOKUP(B323,[1]Afgrødedata!$A$5:$F$18,6,FALSE)),1)*0.1</f>
        <v>64772.54152303547</v>
      </c>
      <c r="I323" s="168">
        <f>G323*VLOOKUP(B323,[1]Afgrødedata!$A$5:$F$18,3,FALSE)*IF(D323="Økologisk",VLOOKUP(B323,[1]Afgrødedata!$A$5:$F$18,4,FALSE),1)*IF(E323&lt;&gt;Jordbund1,IF(E323=Organ6,VLOOKUP(B323,[1]Afgrødedata!$A$5:$F$18,5,FALSE),VLOOKUP(B323,[1]Afgrødedata!$A$5:$F$18,6,FALSE)),1)*HLOOKUP(C323,Landbrug!$C$15:$E$17,2,FALSE)*HLOOKUP(C323,Landbrug!$C$15:$E$17,3,FALSE)*0.1</f>
        <v>0</v>
      </c>
      <c r="J323" s="76">
        <f t="shared" si="55"/>
        <v>64772.54152303547</v>
      </c>
    </row>
    <row r="324" spans="1:10" x14ac:dyDescent="0.25">
      <c r="A324" t="s">
        <v>24</v>
      </c>
      <c r="B324" s="1" t="str">
        <f>[1]Afgrødefordeling!$C$2</f>
        <v>Korn</v>
      </c>
      <c r="C324">
        <v>2050</v>
      </c>
      <c r="D324" t="s">
        <v>8</v>
      </c>
      <c r="E324" s="168" t="str">
        <f t="shared" si="57"/>
        <v>JB1-10</v>
      </c>
      <c r="F324" t="str">
        <f t="shared" si="54"/>
        <v>Halm</v>
      </c>
      <c r="G324" s="76" cm="1">
        <f t="array" ref="G324">IF(A324="Vestdanmark",IF(D324="Konventionel",IF(C324=2019,SUMPRODUCT((B324='Landbrugsareal - resultat'!$B$6:$B$19)*(INDEX('Landbrugsareal - resultat'!$C$6:$E$19,,MATCH(E324,'Landbrugsareal - resultat'!$C$5:$E$5,0)))),IF(C324=2030,SUMPRODUCT((B324='Landbrugsareal - resultat'!$B$6:$B$19)*(INDEX('Landbrugsareal - resultat'!$F$6:$H$19,,MATCH(E324,'Landbrugsareal - resultat'!$F$5:$H$5,0)))),SUMPRODUCT((B324='Landbrugsareal - resultat'!$B$6:$B$19)*(INDEX('Landbrugsareal - resultat'!$I$6:$K$19,,MATCH(E324,'Landbrugsareal - resultat'!$I$5:$K$5,0)))))),IF(C324=2019,SUMPRODUCT((B324='Landbrugsareal - resultat'!$B$6:$B$19)*(INDEX('Landbrugsareal - resultat'!$L$6:$N$19,,MATCH(E324,'Landbrugsareal - resultat'!$L$5:$N$5,0)))),IF(C324=2030,SUMPRODUCT((B324='Landbrugsareal - resultat'!$B$6:$B$19)*(INDEX('Landbrugsareal - resultat'!$O$6:$Q$19,,MATCH(E324,'Landbrugsareal - resultat'!$O$5:$Q$5,0)))),SUMPRODUCT((B324='Landbrugsareal - resultat'!$B$6:$B$19)*(INDEX('Landbrugsareal - resultat'!$R$6:$T$19,,MATCH(E324,'Landbrugsareal - resultat'!$R$5:$T$5,0))))))),IF(D324="Konventionel",IF(C324=2019,SUMPRODUCT((B324='Landbrugsareal - resultat'!$B$33:$B$46)*(INDEX('Landbrugsareal - resultat'!$C$33:$E$46,,MATCH(E324,'Landbrugsareal - resultat'!$C$5:$E$5,0)))),IF(C324=2030,SUMPRODUCT((B324='Landbrugsareal - resultat'!$B$33:$B$46)*(INDEX('Landbrugsareal - resultat'!$F$33:$H$46,,MATCH(E324,'Landbrugsareal - resultat'!$F$5:$H$5,0)))),SUMPRODUCT((B324='Landbrugsareal - resultat'!$B$33:$B$46)*(INDEX('Landbrugsareal - resultat'!$I$33:$K$46,,MATCH(E324,'Landbrugsareal - resultat'!$I$5:$K$5,0)))))),IF(C324=2019,SUMPRODUCT((B324='Landbrugsareal - resultat'!$B$33:$B$46)*(INDEX('Landbrugsareal - resultat'!$L$33:$N$46,,MATCH(E324,'Landbrugsareal - resultat'!$L$5:$N$5,0)))),IF(C324=2030,SUMPRODUCT((B324='Landbrugsareal - resultat'!$B$33:$B$46)*(INDEX('Landbrugsareal - resultat'!$O$33:$Q$46,,MATCH(E324,'Landbrugsareal - resultat'!$O$5:$Q$5,0)))),SUMPRODUCT((B324='Landbrugsareal - resultat'!$B$33:$B$46)*(INDEX('Landbrugsareal - resultat'!$R$33:$T$46,,MATCH(E324,'Landbrugsareal - resultat'!$R$5:$T$5,0))))))))</f>
        <v>56293.468837378547</v>
      </c>
      <c r="H324" s="168">
        <f>G324*VLOOKUP(B324,[1]Afgrødedata!$A$5:$F$18,2,FALSE)*IF(D324="Økologisk",VLOOKUP(B324,[1]Afgrødedata!$A$5:$F$18,4,FALSE),1)*IF(E324&lt;&gt;Jordbund1,IF(E324=Organ6,VLOOKUP(B324,[1]Afgrødedata!$A$5:$F$18,5,FALSE),VLOOKUP(B324,[1]Afgrødedata!$A$5:$F$18,6,FALSE)),1)*0.1</f>
        <v>264393.53508851578</v>
      </c>
      <c r="I324" s="168">
        <f>G324*VLOOKUP(B324,[1]Afgrødedata!$A$5:$F$18,3,FALSE)*IF(D324="Økologisk",VLOOKUP(B324,[1]Afgrødedata!$A$5:$F$18,4,FALSE),1)*IF(E324&lt;&gt;Jordbund1,IF(E324=Organ6,VLOOKUP(B324,[1]Afgrødedata!$A$5:$F$18,5,FALSE),VLOOKUP(B324,[1]Afgrødedata!$A$5:$F$18,6,FALSE)),1)*HLOOKUP(C324,Landbrug!$C$15:$E$17,2,FALSE)*HLOOKUP(C324,Landbrug!$C$15:$E$17,3,FALSE)*0.1</f>
        <v>85795.702136223394</v>
      </c>
      <c r="J324" s="76">
        <f t="shared" si="55"/>
        <v>85795.702136223394</v>
      </c>
    </row>
    <row r="325" spans="1:10" x14ac:dyDescent="0.25">
      <c r="A325" t="s">
        <v>24</v>
      </c>
      <c r="B325" s="1" t="str">
        <f>[1]Afgrødefordeling!$C$3</f>
        <v>Bælgsæd</v>
      </c>
      <c r="C325">
        <v>2050</v>
      </c>
      <c r="D325" t="s">
        <v>8</v>
      </c>
      <c r="E325" s="168" t="str">
        <f t="shared" si="57"/>
        <v>JB1-10</v>
      </c>
      <c r="F325" t="str">
        <f t="shared" si="54"/>
        <v>Halm</v>
      </c>
      <c r="G325" s="76" cm="1">
        <f t="array" ref="G325">IF(A325="Vestdanmark",IF(D325="Konventionel",IF(C325=2019,SUMPRODUCT((B325='Landbrugsareal - resultat'!$B$6:$B$19)*(INDEX('Landbrugsareal - resultat'!$C$6:$E$19,,MATCH(E325,'Landbrugsareal - resultat'!$C$5:$E$5,0)))),IF(C325=2030,SUMPRODUCT((B325='Landbrugsareal - resultat'!$B$6:$B$19)*(INDEX('Landbrugsareal - resultat'!$F$6:$H$19,,MATCH(E325,'Landbrugsareal - resultat'!$F$5:$H$5,0)))),SUMPRODUCT((B325='Landbrugsareal - resultat'!$B$6:$B$19)*(INDEX('Landbrugsareal - resultat'!$I$6:$K$19,,MATCH(E325,'Landbrugsareal - resultat'!$I$5:$K$5,0)))))),IF(C325=2019,SUMPRODUCT((B325='Landbrugsareal - resultat'!$B$6:$B$19)*(INDEX('Landbrugsareal - resultat'!$L$6:$N$19,,MATCH(E325,'Landbrugsareal - resultat'!$L$5:$N$5,0)))),IF(C325=2030,SUMPRODUCT((B325='Landbrugsareal - resultat'!$B$6:$B$19)*(INDEX('Landbrugsareal - resultat'!$O$6:$Q$19,,MATCH(E325,'Landbrugsareal - resultat'!$O$5:$Q$5,0)))),SUMPRODUCT((B325='Landbrugsareal - resultat'!$B$6:$B$19)*(INDEX('Landbrugsareal - resultat'!$R$6:$T$19,,MATCH(E325,'Landbrugsareal - resultat'!$R$5:$T$5,0))))))),IF(D325="Konventionel",IF(C325=2019,SUMPRODUCT((B325='Landbrugsareal - resultat'!$B$33:$B$46)*(INDEX('Landbrugsareal - resultat'!$C$33:$E$46,,MATCH(E325,'Landbrugsareal - resultat'!$C$5:$E$5,0)))),IF(C325=2030,SUMPRODUCT((B325='Landbrugsareal - resultat'!$B$33:$B$46)*(INDEX('Landbrugsareal - resultat'!$F$33:$H$46,,MATCH(E325,'Landbrugsareal - resultat'!$F$5:$H$5,0)))),SUMPRODUCT((B325='Landbrugsareal - resultat'!$B$33:$B$46)*(INDEX('Landbrugsareal - resultat'!$I$33:$K$46,,MATCH(E325,'Landbrugsareal - resultat'!$I$5:$K$5,0)))))),IF(C325=2019,SUMPRODUCT((B325='Landbrugsareal - resultat'!$B$33:$B$46)*(INDEX('Landbrugsareal - resultat'!$L$33:$N$46,,MATCH(E325,'Landbrugsareal - resultat'!$L$5:$N$5,0)))),IF(C325=2030,SUMPRODUCT((B325='Landbrugsareal - resultat'!$B$33:$B$46)*(INDEX('Landbrugsareal - resultat'!$O$33:$Q$46,,MATCH(E325,'Landbrugsareal - resultat'!$O$5:$Q$5,0)))),SUMPRODUCT((B325='Landbrugsareal - resultat'!$B$33:$B$46)*(INDEX('Landbrugsareal - resultat'!$R$33:$T$46,,MATCH(E325,'Landbrugsareal - resultat'!$R$5:$T$5,0))))))))</f>
        <v>1226.9069668873949</v>
      </c>
      <c r="H325" s="168">
        <f>G325*VLOOKUP(B325,[1]Afgrødedata!$A$5:$F$18,2,FALSE)*IF(D325="Økologisk",VLOOKUP(B325,[1]Afgrødedata!$A$5:$F$18,4,FALSE),1)*IF(E325&lt;&gt;Jordbund1,IF(E325=Organ6,VLOOKUP(B325,[1]Afgrødedata!$A$5:$F$18,5,FALSE),VLOOKUP(B325,[1]Afgrødedata!$A$5:$F$18,6,FALSE)),1)*0.1</f>
        <v>2699.4407085456464</v>
      </c>
      <c r="I325" s="168">
        <f>G325*VLOOKUP(B325,[1]Afgrødedata!$A$5:$F$18,3,FALSE)*IF(D325="Økologisk",VLOOKUP(B325,[1]Afgrødedata!$A$5:$F$18,4,FALSE),1)*IF(E325&lt;&gt;Jordbund1,IF(E325=Organ6,VLOOKUP(B325,[1]Afgrødedata!$A$5:$F$18,5,FALSE),VLOOKUP(B325,[1]Afgrødedata!$A$5:$F$18,6,FALSE)),1)*HLOOKUP(C325,Landbrug!$C$15:$E$17,2,FALSE)*HLOOKUP(C325,Landbrug!$C$15:$E$17,3,FALSE)*0.1</f>
        <v>796.74761783392978</v>
      </c>
      <c r="J325" s="76">
        <f t="shared" si="55"/>
        <v>796.74761783392978</v>
      </c>
    </row>
    <row r="326" spans="1:10" x14ac:dyDescent="0.25">
      <c r="A326" t="s">
        <v>24</v>
      </c>
      <c r="B326" s="1" t="str">
        <f>[1]Afgrødefordeling!$C$4</f>
        <v>Raps</v>
      </c>
      <c r="C326">
        <v>2050</v>
      </c>
      <c r="D326" t="s">
        <v>8</v>
      </c>
      <c r="E326" s="168" t="str">
        <f t="shared" si="57"/>
        <v>JB1-10</v>
      </c>
      <c r="F326" t="str">
        <f t="shared" si="54"/>
        <v>Halm</v>
      </c>
      <c r="G326" s="76" cm="1">
        <f t="array" ref="G326">IF(A326="Vestdanmark",IF(D326="Konventionel",IF(C326=2019,SUMPRODUCT((B326='Landbrugsareal - resultat'!$B$6:$B$19)*(INDEX('Landbrugsareal - resultat'!$C$6:$E$19,,MATCH(E326,'Landbrugsareal - resultat'!$C$5:$E$5,0)))),IF(C326=2030,SUMPRODUCT((B326='Landbrugsareal - resultat'!$B$6:$B$19)*(INDEX('Landbrugsareal - resultat'!$F$6:$H$19,,MATCH(E326,'Landbrugsareal - resultat'!$F$5:$H$5,0)))),SUMPRODUCT((B326='Landbrugsareal - resultat'!$B$6:$B$19)*(INDEX('Landbrugsareal - resultat'!$I$6:$K$19,,MATCH(E326,'Landbrugsareal - resultat'!$I$5:$K$5,0)))))),IF(C326=2019,SUMPRODUCT((B326='Landbrugsareal - resultat'!$B$6:$B$19)*(INDEX('Landbrugsareal - resultat'!$L$6:$N$19,,MATCH(E326,'Landbrugsareal - resultat'!$L$5:$N$5,0)))),IF(C326=2030,SUMPRODUCT((B326='Landbrugsareal - resultat'!$B$6:$B$19)*(INDEX('Landbrugsareal - resultat'!$O$6:$Q$19,,MATCH(E326,'Landbrugsareal - resultat'!$O$5:$Q$5,0)))),SUMPRODUCT((B326='Landbrugsareal - resultat'!$B$6:$B$19)*(INDEX('Landbrugsareal - resultat'!$R$6:$T$19,,MATCH(E326,'Landbrugsareal - resultat'!$R$5:$T$5,0))))))),IF(D326="Konventionel",IF(C326=2019,SUMPRODUCT((B326='Landbrugsareal - resultat'!$B$33:$B$46)*(INDEX('Landbrugsareal - resultat'!$C$33:$E$46,,MATCH(E326,'Landbrugsareal - resultat'!$C$5:$E$5,0)))),IF(C326=2030,SUMPRODUCT((B326='Landbrugsareal - resultat'!$B$33:$B$46)*(INDEX('Landbrugsareal - resultat'!$F$33:$H$46,,MATCH(E326,'Landbrugsareal - resultat'!$F$5:$H$5,0)))),SUMPRODUCT((B326='Landbrugsareal - resultat'!$B$33:$B$46)*(INDEX('Landbrugsareal - resultat'!$I$33:$K$46,,MATCH(E326,'Landbrugsareal - resultat'!$I$5:$K$5,0)))))),IF(C326=2019,SUMPRODUCT((B326='Landbrugsareal - resultat'!$B$33:$B$46)*(INDEX('Landbrugsareal - resultat'!$L$33:$N$46,,MATCH(E326,'Landbrugsareal - resultat'!$L$5:$N$5,0)))),IF(C326=2030,SUMPRODUCT((B326='Landbrugsareal - resultat'!$B$33:$B$46)*(INDEX('Landbrugsareal - resultat'!$O$33:$Q$46,,MATCH(E326,'Landbrugsareal - resultat'!$O$5:$Q$5,0)))),SUMPRODUCT((B326='Landbrugsareal - resultat'!$B$33:$B$46)*(INDEX('Landbrugsareal - resultat'!$R$33:$T$46,,MATCH(E326,'Landbrugsareal - resultat'!$R$5:$T$5,0))))))))</f>
        <v>7782.7690047155465</v>
      </c>
      <c r="H326" s="168">
        <f>G326*VLOOKUP(B326,[1]Afgrødedata!$A$5:$F$18,2,FALSE)*IF(D326="Økologisk",VLOOKUP(B326,[1]Afgrødedata!$A$5:$F$18,4,FALSE),1)*IF(E326&lt;&gt;Jordbund1,IF(E326=Organ6,VLOOKUP(B326,[1]Afgrødedata!$A$5:$F$18,5,FALSE),VLOOKUP(B326,[1]Afgrødedata!$A$5:$F$18,6,FALSE)),1)*0.1</f>
        <v>18834.300991411626</v>
      </c>
      <c r="I326" s="168">
        <f>G326*VLOOKUP(B326,[1]Afgrødedata!$A$5:$F$18,3,FALSE)*IF(D326="Økologisk",VLOOKUP(B326,[1]Afgrødedata!$A$5:$F$18,4,FALSE),1)*IF(E326&lt;&gt;Jordbund1,IF(E326=Organ6,VLOOKUP(B326,[1]Afgrødedata!$A$5:$F$18,5,FALSE),VLOOKUP(B326,[1]Afgrødedata!$A$5:$F$18,6,FALSE)),1)*HLOOKUP(C326,Landbrug!$C$15:$E$17,2,FALSE)*HLOOKUP(C326,Landbrug!$C$15:$E$17,3,FALSE)*0.1</f>
        <v>10001.013826439572</v>
      </c>
      <c r="J326" s="76">
        <f t="shared" si="55"/>
        <v>10001.013826439572</v>
      </c>
    </row>
    <row r="327" spans="1:10" x14ac:dyDescent="0.25">
      <c r="A327" t="s">
        <v>24</v>
      </c>
      <c r="B327" s="1" t="str">
        <f>[1]Afgrødefordeling!$C$5</f>
        <v>Græs</v>
      </c>
      <c r="C327">
        <v>2050</v>
      </c>
      <c r="D327" t="s">
        <v>8</v>
      </c>
      <c r="E327" s="168" t="str">
        <f t="shared" si="57"/>
        <v>JB1-10</v>
      </c>
      <c r="F327" t="str">
        <f t="shared" si="54"/>
        <v>Græs</v>
      </c>
      <c r="G327" s="76" cm="1">
        <f t="array" ref="G327">IF(A327="Vestdanmark",IF(D327="Konventionel",IF(C327=2019,SUMPRODUCT((B327='Landbrugsareal - resultat'!$B$6:$B$19)*(INDEX('Landbrugsareal - resultat'!$C$6:$E$19,,MATCH(E327,'Landbrugsareal - resultat'!$C$5:$E$5,0)))),IF(C327=2030,SUMPRODUCT((B327='Landbrugsareal - resultat'!$B$6:$B$19)*(INDEX('Landbrugsareal - resultat'!$F$6:$H$19,,MATCH(E327,'Landbrugsareal - resultat'!$F$5:$H$5,0)))),SUMPRODUCT((B327='Landbrugsareal - resultat'!$B$6:$B$19)*(INDEX('Landbrugsareal - resultat'!$I$6:$K$19,,MATCH(E327,'Landbrugsareal - resultat'!$I$5:$K$5,0)))))),IF(C327=2019,SUMPRODUCT((B327='Landbrugsareal - resultat'!$B$6:$B$19)*(INDEX('Landbrugsareal - resultat'!$L$6:$N$19,,MATCH(E327,'Landbrugsareal - resultat'!$L$5:$N$5,0)))),IF(C327=2030,SUMPRODUCT((B327='Landbrugsareal - resultat'!$B$6:$B$19)*(INDEX('Landbrugsareal - resultat'!$O$6:$Q$19,,MATCH(E327,'Landbrugsareal - resultat'!$O$5:$Q$5,0)))),SUMPRODUCT((B327='Landbrugsareal - resultat'!$B$6:$B$19)*(INDEX('Landbrugsareal - resultat'!$R$6:$T$19,,MATCH(E327,'Landbrugsareal - resultat'!$R$5:$T$5,0))))))),IF(D327="Konventionel",IF(C327=2019,SUMPRODUCT((B327='Landbrugsareal - resultat'!$B$33:$B$46)*(INDEX('Landbrugsareal - resultat'!$C$33:$E$46,,MATCH(E327,'Landbrugsareal - resultat'!$C$5:$E$5,0)))),IF(C327=2030,SUMPRODUCT((B327='Landbrugsareal - resultat'!$B$33:$B$46)*(INDEX('Landbrugsareal - resultat'!$F$33:$H$46,,MATCH(E327,'Landbrugsareal - resultat'!$F$5:$H$5,0)))),SUMPRODUCT((B327='Landbrugsareal - resultat'!$B$33:$B$46)*(INDEX('Landbrugsareal - resultat'!$I$33:$K$46,,MATCH(E327,'Landbrugsareal - resultat'!$I$5:$K$5,0)))))),IF(C327=2019,SUMPRODUCT((B327='Landbrugsareal - resultat'!$B$33:$B$46)*(INDEX('Landbrugsareal - resultat'!$L$33:$N$46,,MATCH(E327,'Landbrugsareal - resultat'!$L$5:$N$5,0)))),IF(C327=2030,SUMPRODUCT((B327='Landbrugsareal - resultat'!$B$33:$B$46)*(INDEX('Landbrugsareal - resultat'!$O$33:$Q$46,,MATCH(E327,'Landbrugsareal - resultat'!$O$5:$Q$5,0)))),SUMPRODUCT((B327='Landbrugsareal - resultat'!$B$33:$B$46)*(INDEX('Landbrugsareal - resultat'!$R$33:$T$46,,MATCH(E327,'Landbrugsareal - resultat'!$R$5:$T$5,0))))))))</f>
        <v>4728.2259719587037</v>
      </c>
      <c r="H327" s="168">
        <f>G327*VLOOKUP(B327,[1]Afgrødedata!$A$5:$F$18,2,FALSE)*IF(D327="Økologisk",VLOOKUP(B327,[1]Afgrødedata!$A$5:$F$18,4,FALSE),1)*IF(E327&lt;&gt;Jordbund1,IF(E327=Organ6,VLOOKUP(B327,[1]Afgrødedata!$A$5:$F$18,5,FALSE),VLOOKUP(B327,[1]Afgrødedata!$A$5:$F$18,6,FALSE)),1)*0.1</f>
        <v>182999.3667283009</v>
      </c>
      <c r="I327" s="168">
        <f>G327*VLOOKUP(B327,[1]Afgrødedata!$A$5:$F$18,3,FALSE)*IF(D327="Økologisk",VLOOKUP(B327,[1]Afgrødedata!$A$5:$F$18,4,FALSE),1)*IF(E327&lt;&gt;Jordbund1,IF(E327=Organ6,VLOOKUP(B327,[1]Afgrødedata!$A$5:$F$18,5,FALSE),VLOOKUP(B327,[1]Afgrødedata!$A$5:$F$18,6,FALSE)),1)*HLOOKUP(C327,Landbrug!$C$15:$E$17,2,FALSE)*HLOOKUP(C327,Landbrug!$C$15:$E$17,3,FALSE)*0.1</f>
        <v>0</v>
      </c>
      <c r="J327" s="76">
        <f t="shared" si="55"/>
        <v>182999.3667283009</v>
      </c>
    </row>
    <row r="328" spans="1:10" x14ac:dyDescent="0.25">
      <c r="A328" t="s">
        <v>24</v>
      </c>
      <c r="B328" s="1" t="str">
        <f>[1]Afgrødefordeling!$C$6</f>
        <v>Grøntsager</v>
      </c>
      <c r="C328">
        <v>2050</v>
      </c>
      <c r="D328" t="s">
        <v>8</v>
      </c>
      <c r="E328" s="168" t="str">
        <f t="shared" si="57"/>
        <v>JB1-10</v>
      </c>
      <c r="F328" t="str">
        <f t="shared" si="54"/>
        <v>Grøntsager</v>
      </c>
      <c r="G328" s="76" cm="1">
        <f t="array" ref="G328">IF(A328="Vestdanmark",IF(D328="Konventionel",IF(C328=2019,SUMPRODUCT((B328='Landbrugsareal - resultat'!$B$6:$B$19)*(INDEX('Landbrugsareal - resultat'!$C$6:$E$19,,MATCH(E328,'Landbrugsareal - resultat'!$C$5:$E$5,0)))),IF(C328=2030,SUMPRODUCT((B328='Landbrugsareal - resultat'!$B$6:$B$19)*(INDEX('Landbrugsareal - resultat'!$F$6:$H$19,,MATCH(E328,'Landbrugsareal - resultat'!$F$5:$H$5,0)))),SUMPRODUCT((B328='Landbrugsareal - resultat'!$B$6:$B$19)*(INDEX('Landbrugsareal - resultat'!$I$6:$K$19,,MATCH(E328,'Landbrugsareal - resultat'!$I$5:$K$5,0)))))),IF(C328=2019,SUMPRODUCT((B328='Landbrugsareal - resultat'!$B$6:$B$19)*(INDEX('Landbrugsareal - resultat'!$L$6:$N$19,,MATCH(E328,'Landbrugsareal - resultat'!$L$5:$N$5,0)))),IF(C328=2030,SUMPRODUCT((B328='Landbrugsareal - resultat'!$B$6:$B$19)*(INDEX('Landbrugsareal - resultat'!$O$6:$Q$19,,MATCH(E328,'Landbrugsareal - resultat'!$O$5:$Q$5,0)))),SUMPRODUCT((B328='Landbrugsareal - resultat'!$B$6:$B$19)*(INDEX('Landbrugsareal - resultat'!$R$6:$T$19,,MATCH(E328,'Landbrugsareal - resultat'!$R$5:$T$5,0))))))),IF(D328="Konventionel",IF(C328=2019,SUMPRODUCT((B328='Landbrugsareal - resultat'!$B$33:$B$46)*(INDEX('Landbrugsareal - resultat'!$C$33:$E$46,,MATCH(E328,'Landbrugsareal - resultat'!$C$5:$E$5,0)))),IF(C328=2030,SUMPRODUCT((B328='Landbrugsareal - resultat'!$B$33:$B$46)*(INDEX('Landbrugsareal - resultat'!$F$33:$H$46,,MATCH(E328,'Landbrugsareal - resultat'!$F$5:$H$5,0)))),SUMPRODUCT((B328='Landbrugsareal - resultat'!$B$33:$B$46)*(INDEX('Landbrugsareal - resultat'!$I$33:$K$46,,MATCH(E328,'Landbrugsareal - resultat'!$I$5:$K$5,0)))))),IF(C328=2019,SUMPRODUCT((B328='Landbrugsareal - resultat'!$B$33:$B$46)*(INDEX('Landbrugsareal - resultat'!$L$33:$N$46,,MATCH(E328,'Landbrugsareal - resultat'!$L$5:$N$5,0)))),IF(C328=2030,SUMPRODUCT((B328='Landbrugsareal - resultat'!$B$33:$B$46)*(INDEX('Landbrugsareal - resultat'!$O$33:$Q$46,,MATCH(E328,'Landbrugsareal - resultat'!$O$5:$Q$5,0)))),SUMPRODUCT((B328='Landbrugsareal - resultat'!$B$33:$B$46)*(INDEX('Landbrugsareal - resultat'!$R$33:$T$46,,MATCH(E328,'Landbrugsareal - resultat'!$R$5:$T$5,0))))))))</f>
        <v>740.91424656996037</v>
      </c>
      <c r="H328" s="168">
        <f>G328*VLOOKUP(B328,[1]Afgrødedata!$A$5:$F$18,2,FALSE)*IF(D328="Økologisk",VLOOKUP(B328,[1]Afgrødedata!$A$5:$F$18,4,FALSE),1)*IF(E328&lt;&gt;Jordbund1,IF(E328=Organ6,VLOOKUP(B328,[1]Afgrødedata!$A$5:$F$18,5,FALSE),VLOOKUP(B328,[1]Afgrødedata!$A$5:$F$18,6,FALSE)),1)*0.1</f>
        <v>8763.1632513062068</v>
      </c>
      <c r="I328" s="168">
        <f>G328*VLOOKUP(B328,[1]Afgrødedata!$A$5:$F$18,3,FALSE)*IF(D328="Økologisk",VLOOKUP(B328,[1]Afgrødedata!$A$5:$F$18,4,FALSE),1)*IF(E328&lt;&gt;Jordbund1,IF(E328=Organ6,VLOOKUP(B328,[1]Afgrødedata!$A$5:$F$18,5,FALSE),VLOOKUP(B328,[1]Afgrødedata!$A$5:$F$18,6,FALSE)),1)*HLOOKUP(C328,Landbrug!$C$15:$E$17,2,FALSE)*HLOOKUP(C328,Landbrug!$C$15:$E$17,3,FALSE)*0.1</f>
        <v>0</v>
      </c>
      <c r="J328" s="76">
        <f t="shared" si="55"/>
        <v>8763.1632513062068</v>
      </c>
    </row>
    <row r="329" spans="1:10" x14ac:dyDescent="0.25">
      <c r="A329" t="s">
        <v>24</v>
      </c>
      <c r="B329" s="1" t="str">
        <f>[1]Afgrødefordeling!$C$7</f>
        <v>Kartofler</v>
      </c>
      <c r="C329">
        <v>2050</v>
      </c>
      <c r="D329" t="s">
        <v>8</v>
      </c>
      <c r="E329" s="168" t="str">
        <f t="shared" si="57"/>
        <v>JB1-10</v>
      </c>
      <c r="F329" t="str">
        <f t="shared" si="54"/>
        <v>Kartofler</v>
      </c>
      <c r="G329" s="76" cm="1">
        <f t="array" ref="G329">IF(A329="Vestdanmark",IF(D329="Konventionel",IF(C329=2019,SUMPRODUCT((B329='Landbrugsareal - resultat'!$B$6:$B$19)*(INDEX('Landbrugsareal - resultat'!$C$6:$E$19,,MATCH(E329,'Landbrugsareal - resultat'!$C$5:$E$5,0)))),IF(C329=2030,SUMPRODUCT((B329='Landbrugsareal - resultat'!$B$6:$B$19)*(INDEX('Landbrugsareal - resultat'!$F$6:$H$19,,MATCH(E329,'Landbrugsareal - resultat'!$F$5:$H$5,0)))),SUMPRODUCT((B329='Landbrugsareal - resultat'!$B$6:$B$19)*(INDEX('Landbrugsareal - resultat'!$I$6:$K$19,,MATCH(E329,'Landbrugsareal - resultat'!$I$5:$K$5,0)))))),IF(C329=2019,SUMPRODUCT((B329='Landbrugsareal - resultat'!$B$6:$B$19)*(INDEX('Landbrugsareal - resultat'!$L$6:$N$19,,MATCH(E329,'Landbrugsareal - resultat'!$L$5:$N$5,0)))),IF(C329=2030,SUMPRODUCT((B329='Landbrugsareal - resultat'!$B$6:$B$19)*(INDEX('Landbrugsareal - resultat'!$O$6:$Q$19,,MATCH(E329,'Landbrugsareal - resultat'!$O$5:$Q$5,0)))),SUMPRODUCT((B329='Landbrugsareal - resultat'!$B$6:$B$19)*(INDEX('Landbrugsareal - resultat'!$R$6:$T$19,,MATCH(E329,'Landbrugsareal - resultat'!$R$5:$T$5,0))))))),IF(D329="Konventionel",IF(C329=2019,SUMPRODUCT((B329='Landbrugsareal - resultat'!$B$33:$B$46)*(INDEX('Landbrugsareal - resultat'!$C$33:$E$46,,MATCH(E329,'Landbrugsareal - resultat'!$C$5:$E$5,0)))),IF(C329=2030,SUMPRODUCT((B329='Landbrugsareal - resultat'!$B$33:$B$46)*(INDEX('Landbrugsareal - resultat'!$F$33:$H$46,,MATCH(E329,'Landbrugsareal - resultat'!$F$5:$H$5,0)))),SUMPRODUCT((B329='Landbrugsareal - resultat'!$B$33:$B$46)*(INDEX('Landbrugsareal - resultat'!$I$33:$K$46,,MATCH(E329,'Landbrugsareal - resultat'!$I$5:$K$5,0)))))),IF(C329=2019,SUMPRODUCT((B329='Landbrugsareal - resultat'!$B$33:$B$46)*(INDEX('Landbrugsareal - resultat'!$L$33:$N$46,,MATCH(E329,'Landbrugsareal - resultat'!$L$5:$N$5,0)))),IF(C329=2030,SUMPRODUCT((B329='Landbrugsareal - resultat'!$B$33:$B$46)*(INDEX('Landbrugsareal - resultat'!$O$33:$Q$46,,MATCH(E329,'Landbrugsareal - resultat'!$O$5:$Q$5,0)))),SUMPRODUCT((B329='Landbrugsareal - resultat'!$B$33:$B$46)*(INDEX('Landbrugsareal - resultat'!$R$33:$T$46,,MATCH(E329,'Landbrugsareal - resultat'!$R$5:$T$5,0))))))))</f>
        <v>475.29830820374241</v>
      </c>
      <c r="H329" s="168">
        <f>G329*VLOOKUP(B329,[1]Afgrødedata!$A$5:$F$18,2,FALSE)*IF(D329="Økologisk",VLOOKUP(B329,[1]Afgrødedata!$A$5:$F$18,4,FALSE),1)*IF(E329&lt;&gt;Jordbund1,IF(E329=Organ6,VLOOKUP(B329,[1]Afgrødedata!$A$5:$F$18,5,FALSE),VLOOKUP(B329,[1]Afgrødedata!$A$5:$F$18,6,FALSE)),1)*0.1</f>
        <v>11506.217599853549</v>
      </c>
      <c r="I329" s="168">
        <f>G329*VLOOKUP(B329,[1]Afgrødedata!$A$5:$F$18,3,FALSE)*IF(D329="Økologisk",VLOOKUP(B329,[1]Afgrødedata!$A$5:$F$18,4,FALSE),1)*IF(E329&lt;&gt;Jordbund1,IF(E329=Organ6,VLOOKUP(B329,[1]Afgrødedata!$A$5:$F$18,5,FALSE),VLOOKUP(B329,[1]Afgrødedata!$A$5:$F$18,6,FALSE)),1)*HLOOKUP(C329,Landbrug!$C$15:$E$17,2,FALSE)*HLOOKUP(C329,Landbrug!$C$15:$E$17,3,FALSE)*0.1</f>
        <v>0</v>
      </c>
      <c r="J329" s="76">
        <f t="shared" si="55"/>
        <v>11506.217599853549</v>
      </c>
    </row>
    <row r="330" spans="1:10" x14ac:dyDescent="0.25">
      <c r="A330" t="s">
        <v>24</v>
      </c>
      <c r="B330" s="1" t="str">
        <f>[1]Afgrødefordeling!$C$8</f>
        <v>Roer</v>
      </c>
      <c r="C330">
        <v>2050</v>
      </c>
      <c r="D330" t="s">
        <v>8</v>
      </c>
      <c r="E330" s="168" t="str">
        <f t="shared" si="57"/>
        <v>JB1-10</v>
      </c>
      <c r="F330" t="str">
        <f t="shared" si="54"/>
        <v>Roer</v>
      </c>
      <c r="G330" s="76" cm="1">
        <f t="array" ref="G330">IF(A330="Vestdanmark",IF(D330="Konventionel",IF(C330=2019,SUMPRODUCT((B330='Landbrugsareal - resultat'!$B$6:$B$19)*(INDEX('Landbrugsareal - resultat'!$C$6:$E$19,,MATCH(E330,'Landbrugsareal - resultat'!$C$5:$E$5,0)))),IF(C330=2030,SUMPRODUCT((B330='Landbrugsareal - resultat'!$B$6:$B$19)*(INDEX('Landbrugsareal - resultat'!$F$6:$H$19,,MATCH(E330,'Landbrugsareal - resultat'!$F$5:$H$5,0)))),SUMPRODUCT((B330='Landbrugsareal - resultat'!$B$6:$B$19)*(INDEX('Landbrugsareal - resultat'!$I$6:$K$19,,MATCH(E330,'Landbrugsareal - resultat'!$I$5:$K$5,0)))))),IF(C330=2019,SUMPRODUCT((B330='Landbrugsareal - resultat'!$B$6:$B$19)*(INDEX('Landbrugsareal - resultat'!$L$6:$N$19,,MATCH(E330,'Landbrugsareal - resultat'!$L$5:$N$5,0)))),IF(C330=2030,SUMPRODUCT((B330='Landbrugsareal - resultat'!$B$6:$B$19)*(INDEX('Landbrugsareal - resultat'!$O$6:$Q$19,,MATCH(E330,'Landbrugsareal - resultat'!$O$5:$Q$5,0)))),SUMPRODUCT((B330='Landbrugsareal - resultat'!$B$6:$B$19)*(INDEX('Landbrugsareal - resultat'!$R$6:$T$19,,MATCH(E330,'Landbrugsareal - resultat'!$R$5:$T$5,0))))))),IF(D330="Konventionel",IF(C330=2019,SUMPRODUCT((B330='Landbrugsareal - resultat'!$B$33:$B$46)*(INDEX('Landbrugsareal - resultat'!$C$33:$E$46,,MATCH(E330,'Landbrugsareal - resultat'!$C$5:$E$5,0)))),IF(C330=2030,SUMPRODUCT((B330='Landbrugsareal - resultat'!$B$33:$B$46)*(INDEX('Landbrugsareal - resultat'!$F$33:$H$46,,MATCH(E330,'Landbrugsareal - resultat'!$F$5:$H$5,0)))),SUMPRODUCT((B330='Landbrugsareal - resultat'!$B$33:$B$46)*(INDEX('Landbrugsareal - resultat'!$I$33:$K$46,,MATCH(E330,'Landbrugsareal - resultat'!$I$5:$K$5,0)))))),IF(C330=2019,SUMPRODUCT((B330='Landbrugsareal - resultat'!$B$33:$B$46)*(INDEX('Landbrugsareal - resultat'!$L$33:$N$46,,MATCH(E330,'Landbrugsareal - resultat'!$L$5:$N$5,0)))),IF(C330=2030,SUMPRODUCT((B330='Landbrugsareal - resultat'!$B$33:$B$46)*(INDEX('Landbrugsareal - resultat'!$O$33:$Q$46,,MATCH(E330,'Landbrugsareal - resultat'!$O$5:$Q$5,0)))),SUMPRODUCT((B330='Landbrugsareal - resultat'!$B$33:$B$46)*(INDEX('Landbrugsareal - resultat'!$R$33:$T$46,,MATCH(E330,'Landbrugsareal - resultat'!$R$5:$T$5,0))))))))</f>
        <v>4941.0149101854695</v>
      </c>
      <c r="H330" s="168">
        <f>G330*VLOOKUP(B330,[1]Afgrødedata!$A$5:$F$18,2,FALSE)*IF(D330="Økologisk",VLOOKUP(B330,[1]Afgrødedata!$A$5:$F$18,4,FALSE),1)*IF(E330&lt;&gt;Jordbund1,IF(E330=Organ6,VLOOKUP(B330,[1]Afgrødedata!$A$5:$F$18,5,FALSE),VLOOKUP(B330,[1]Afgrødedata!$A$5:$F$18,6,FALSE)),1)*0.1</f>
        <v>228841.26190296008</v>
      </c>
      <c r="I330" s="168">
        <f>G330*VLOOKUP(B330,[1]Afgrødedata!$A$5:$F$18,3,FALSE)*IF(D330="Økologisk",VLOOKUP(B330,[1]Afgrødedata!$A$5:$F$18,4,FALSE),1)*IF(E330&lt;&gt;Jordbund1,IF(E330=Organ6,VLOOKUP(B330,[1]Afgrødedata!$A$5:$F$18,5,FALSE),VLOOKUP(B330,[1]Afgrødedata!$A$5:$F$18,6,FALSE)),1)*HLOOKUP(C330,Landbrug!$C$15:$E$17,2,FALSE)*HLOOKUP(C330,Landbrug!$C$15:$E$17,3,FALSE)*0.1</f>
        <v>0</v>
      </c>
      <c r="J330" s="76">
        <f t="shared" si="55"/>
        <v>228841.26190296008</v>
      </c>
    </row>
    <row r="331" spans="1:10" x14ac:dyDescent="0.25">
      <c r="A331" t="s">
        <v>24</v>
      </c>
      <c r="B331" s="1" t="str">
        <f>[1]Afgrødefordeling!$C$9</f>
        <v>Majs</v>
      </c>
      <c r="C331">
        <v>2050</v>
      </c>
      <c r="D331" t="s">
        <v>8</v>
      </c>
      <c r="E331" s="168" t="str">
        <f t="shared" si="57"/>
        <v>JB1-10</v>
      </c>
      <c r="F331" t="str">
        <f t="shared" si="54"/>
        <v>Majs</v>
      </c>
      <c r="G331" s="76" cm="1">
        <f t="array" ref="G331">IF(A331="Vestdanmark",IF(D331="Konventionel",IF(C331=2019,SUMPRODUCT((B331='Landbrugsareal - resultat'!$B$6:$B$19)*(INDEX('Landbrugsareal - resultat'!$C$6:$E$19,,MATCH(E331,'Landbrugsareal - resultat'!$C$5:$E$5,0)))),IF(C331=2030,SUMPRODUCT((B331='Landbrugsareal - resultat'!$B$6:$B$19)*(INDEX('Landbrugsareal - resultat'!$F$6:$H$19,,MATCH(E331,'Landbrugsareal - resultat'!$F$5:$H$5,0)))),SUMPRODUCT((B331='Landbrugsareal - resultat'!$B$6:$B$19)*(INDEX('Landbrugsareal - resultat'!$I$6:$K$19,,MATCH(E331,'Landbrugsareal - resultat'!$I$5:$K$5,0)))))),IF(C331=2019,SUMPRODUCT((B331='Landbrugsareal - resultat'!$B$6:$B$19)*(INDEX('Landbrugsareal - resultat'!$L$6:$N$19,,MATCH(E331,'Landbrugsareal - resultat'!$L$5:$N$5,0)))),IF(C331=2030,SUMPRODUCT((B331='Landbrugsareal - resultat'!$B$6:$B$19)*(INDEX('Landbrugsareal - resultat'!$O$6:$Q$19,,MATCH(E331,'Landbrugsareal - resultat'!$O$5:$Q$5,0)))),SUMPRODUCT((B331='Landbrugsareal - resultat'!$B$6:$B$19)*(INDEX('Landbrugsareal - resultat'!$R$6:$T$19,,MATCH(E331,'Landbrugsareal - resultat'!$R$5:$T$5,0))))))),IF(D331="Konventionel",IF(C331=2019,SUMPRODUCT((B331='Landbrugsareal - resultat'!$B$33:$B$46)*(INDEX('Landbrugsareal - resultat'!$C$33:$E$46,,MATCH(E331,'Landbrugsareal - resultat'!$C$5:$E$5,0)))),IF(C331=2030,SUMPRODUCT((B331='Landbrugsareal - resultat'!$B$33:$B$46)*(INDEX('Landbrugsareal - resultat'!$F$33:$H$46,,MATCH(E331,'Landbrugsareal - resultat'!$F$5:$H$5,0)))),SUMPRODUCT((B331='Landbrugsareal - resultat'!$B$33:$B$46)*(INDEX('Landbrugsareal - resultat'!$I$33:$K$46,,MATCH(E331,'Landbrugsareal - resultat'!$I$5:$K$5,0)))))),IF(C331=2019,SUMPRODUCT((B331='Landbrugsareal - resultat'!$B$33:$B$46)*(INDEX('Landbrugsareal - resultat'!$L$33:$N$46,,MATCH(E331,'Landbrugsareal - resultat'!$L$5:$N$5,0)))),IF(C331=2030,SUMPRODUCT((B331='Landbrugsareal - resultat'!$B$33:$B$46)*(INDEX('Landbrugsareal - resultat'!$O$33:$Q$46,,MATCH(E331,'Landbrugsareal - resultat'!$O$5:$Q$5,0)))),SUMPRODUCT((B331='Landbrugsareal - resultat'!$B$33:$B$46)*(INDEX('Landbrugsareal - resultat'!$R$33:$T$46,,MATCH(E331,'Landbrugsareal - resultat'!$R$5:$T$5,0))))))))</f>
        <v>1397.5028881531293</v>
      </c>
      <c r="H331" s="168">
        <f>G331*VLOOKUP(B331,[1]Afgrødedata!$A$5:$F$18,2,FALSE)*IF(D331="Økologisk",VLOOKUP(B331,[1]Afgrødedata!$A$5:$F$18,4,FALSE),1)*IF(E331&lt;&gt;Jordbund1,IF(E331=Organ6,VLOOKUP(B331,[1]Afgrødedata!$A$5:$F$18,5,FALSE),VLOOKUP(B331,[1]Afgrødedata!$A$5:$F$18,6,FALSE)),1)*0.1</f>
        <v>51628.368447907502</v>
      </c>
      <c r="I331" s="168">
        <f>G331*VLOOKUP(B331,[1]Afgrødedata!$A$5:$F$18,3,FALSE)*IF(D331="Økologisk",VLOOKUP(B331,[1]Afgrødedata!$A$5:$F$18,4,FALSE),1)*IF(E331&lt;&gt;Jordbund1,IF(E331=Organ6,VLOOKUP(B331,[1]Afgrødedata!$A$5:$F$18,5,FALSE),VLOOKUP(B331,[1]Afgrødedata!$A$5:$F$18,6,FALSE)),1)*HLOOKUP(C331,Landbrug!$C$15:$E$17,2,FALSE)*HLOOKUP(C331,Landbrug!$C$15:$E$17,3,FALSE)*0.1</f>
        <v>0</v>
      </c>
      <c r="J331" s="76">
        <f t="shared" si="55"/>
        <v>51628.368447907502</v>
      </c>
    </row>
    <row r="332" spans="1:10" x14ac:dyDescent="0.25">
      <c r="A332" t="s">
        <v>24</v>
      </c>
      <c r="B332" s="1" t="str">
        <f>[1]Afgrødefordeling!$C$10</f>
        <v>Frugt</v>
      </c>
      <c r="C332">
        <v>2050</v>
      </c>
      <c r="D332" t="s">
        <v>8</v>
      </c>
      <c r="E332" s="168" t="str">
        <f t="shared" si="57"/>
        <v>JB1-10</v>
      </c>
      <c r="F332" t="str">
        <f t="shared" si="54"/>
        <v>Frugt</v>
      </c>
      <c r="G332" s="76" cm="1">
        <f t="array" ref="G332">IF(A332="Vestdanmark",IF(D332="Konventionel",IF(C332=2019,SUMPRODUCT((B332='Landbrugsareal - resultat'!$B$6:$B$19)*(INDEX('Landbrugsareal - resultat'!$C$6:$E$19,,MATCH(E332,'Landbrugsareal - resultat'!$C$5:$E$5,0)))),IF(C332=2030,SUMPRODUCT((B332='Landbrugsareal - resultat'!$B$6:$B$19)*(INDEX('Landbrugsareal - resultat'!$F$6:$H$19,,MATCH(E332,'Landbrugsareal - resultat'!$F$5:$H$5,0)))),SUMPRODUCT((B332='Landbrugsareal - resultat'!$B$6:$B$19)*(INDEX('Landbrugsareal - resultat'!$I$6:$K$19,,MATCH(E332,'Landbrugsareal - resultat'!$I$5:$K$5,0)))))),IF(C332=2019,SUMPRODUCT((B332='Landbrugsareal - resultat'!$B$6:$B$19)*(INDEX('Landbrugsareal - resultat'!$L$6:$N$19,,MATCH(E332,'Landbrugsareal - resultat'!$L$5:$N$5,0)))),IF(C332=2030,SUMPRODUCT((B332='Landbrugsareal - resultat'!$B$6:$B$19)*(INDEX('Landbrugsareal - resultat'!$O$6:$Q$19,,MATCH(E332,'Landbrugsareal - resultat'!$O$5:$Q$5,0)))),SUMPRODUCT((B332='Landbrugsareal - resultat'!$B$6:$B$19)*(INDEX('Landbrugsareal - resultat'!$R$6:$T$19,,MATCH(E332,'Landbrugsareal - resultat'!$R$5:$T$5,0))))))),IF(D332="Konventionel",IF(C332=2019,SUMPRODUCT((B332='Landbrugsareal - resultat'!$B$33:$B$46)*(INDEX('Landbrugsareal - resultat'!$C$33:$E$46,,MATCH(E332,'Landbrugsareal - resultat'!$C$5:$E$5,0)))),IF(C332=2030,SUMPRODUCT((B332='Landbrugsareal - resultat'!$B$33:$B$46)*(INDEX('Landbrugsareal - resultat'!$F$33:$H$46,,MATCH(E332,'Landbrugsareal - resultat'!$F$5:$H$5,0)))),SUMPRODUCT((B332='Landbrugsareal - resultat'!$B$33:$B$46)*(INDEX('Landbrugsareal - resultat'!$I$33:$K$46,,MATCH(E332,'Landbrugsareal - resultat'!$I$5:$K$5,0)))))),IF(C332=2019,SUMPRODUCT((B332='Landbrugsareal - resultat'!$B$33:$B$46)*(INDEX('Landbrugsareal - resultat'!$L$33:$N$46,,MATCH(E332,'Landbrugsareal - resultat'!$L$5:$N$5,0)))),IF(C332=2030,SUMPRODUCT((B332='Landbrugsareal - resultat'!$B$33:$B$46)*(INDEX('Landbrugsareal - resultat'!$O$33:$Q$46,,MATCH(E332,'Landbrugsareal - resultat'!$O$5:$Q$5,0)))),SUMPRODUCT((B332='Landbrugsareal - resultat'!$B$33:$B$46)*(INDEX('Landbrugsareal - resultat'!$R$33:$T$46,,MATCH(E332,'Landbrugsareal - resultat'!$R$5:$T$5,0))))))))</f>
        <v>325.17269376164109</v>
      </c>
      <c r="H332" s="168">
        <f>G332*VLOOKUP(B332,[1]Afgrødedata!$A$5:$F$18,2,FALSE)*IF(D332="Økologisk",VLOOKUP(B332,[1]Afgrødedata!$A$5:$F$18,4,FALSE),1)*IF(E332&lt;&gt;Jordbund1,IF(E332=Organ6,VLOOKUP(B332,[1]Afgrødedata!$A$5:$F$18,5,FALSE),VLOOKUP(B332,[1]Afgrødedata!$A$5:$F$18,6,FALSE)),1)*0.1</f>
        <v>1573.6082169207098</v>
      </c>
      <c r="I332" s="168">
        <f>G332*VLOOKUP(B332,[1]Afgrødedata!$A$5:$F$18,3,FALSE)*IF(D332="Økologisk",VLOOKUP(B332,[1]Afgrødedata!$A$5:$F$18,4,FALSE),1)*IF(E332&lt;&gt;Jordbund1,IF(E332=Organ6,VLOOKUP(B332,[1]Afgrødedata!$A$5:$F$18,5,FALSE),VLOOKUP(B332,[1]Afgrødedata!$A$5:$F$18,6,FALSE)),1)*HLOOKUP(C332,Landbrug!$C$15:$E$17,2,FALSE)*HLOOKUP(C332,Landbrug!$C$15:$E$17,3,FALSE)*0.1</f>
        <v>0</v>
      </c>
      <c r="J332" s="76">
        <f t="shared" si="55"/>
        <v>1573.6082169207098</v>
      </c>
    </row>
    <row r="333" spans="1:10" x14ac:dyDescent="0.25">
      <c r="A333" t="s">
        <v>24</v>
      </c>
      <c r="B333" s="1" t="str">
        <f>[1]Afgrødefordeling!$C$11</f>
        <v>Øvrige</v>
      </c>
      <c r="C333">
        <v>2050</v>
      </c>
      <c r="D333" t="s">
        <v>8</v>
      </c>
      <c r="E333" s="168" t="str">
        <f t="shared" si="57"/>
        <v>JB1-10</v>
      </c>
      <c r="F333" t="str">
        <f t="shared" si="54"/>
        <v>Øvrige</v>
      </c>
      <c r="G333" s="76" cm="1">
        <f t="array" ref="G333">IF(A333="Vestdanmark",IF(D333="Konventionel",IF(C333=2019,SUMPRODUCT((B333='Landbrugsareal - resultat'!$B$6:$B$19)*(INDEX('Landbrugsareal - resultat'!$C$6:$E$19,,MATCH(E333,'Landbrugsareal - resultat'!$C$5:$E$5,0)))),IF(C333=2030,SUMPRODUCT((B333='Landbrugsareal - resultat'!$B$6:$B$19)*(INDEX('Landbrugsareal - resultat'!$F$6:$H$19,,MATCH(E333,'Landbrugsareal - resultat'!$F$5:$H$5,0)))),SUMPRODUCT((B333='Landbrugsareal - resultat'!$B$6:$B$19)*(INDEX('Landbrugsareal - resultat'!$I$6:$K$19,,MATCH(E333,'Landbrugsareal - resultat'!$I$5:$K$5,0)))))),IF(C333=2019,SUMPRODUCT((B333='Landbrugsareal - resultat'!$B$6:$B$19)*(INDEX('Landbrugsareal - resultat'!$L$6:$N$19,,MATCH(E333,'Landbrugsareal - resultat'!$L$5:$N$5,0)))),IF(C333=2030,SUMPRODUCT((B333='Landbrugsareal - resultat'!$B$6:$B$19)*(INDEX('Landbrugsareal - resultat'!$O$6:$Q$19,,MATCH(E333,'Landbrugsareal - resultat'!$O$5:$Q$5,0)))),SUMPRODUCT((B333='Landbrugsareal - resultat'!$B$6:$B$19)*(INDEX('Landbrugsareal - resultat'!$R$6:$T$19,,MATCH(E333,'Landbrugsareal - resultat'!$R$5:$T$5,0))))))),IF(D333="Konventionel",IF(C333=2019,SUMPRODUCT((B333='Landbrugsareal - resultat'!$B$33:$B$46)*(INDEX('Landbrugsareal - resultat'!$C$33:$E$46,,MATCH(E333,'Landbrugsareal - resultat'!$C$5:$E$5,0)))),IF(C333=2030,SUMPRODUCT((B333='Landbrugsareal - resultat'!$B$33:$B$46)*(INDEX('Landbrugsareal - resultat'!$F$33:$H$46,,MATCH(E333,'Landbrugsareal - resultat'!$F$5:$H$5,0)))),SUMPRODUCT((B333='Landbrugsareal - resultat'!$B$33:$B$46)*(INDEX('Landbrugsareal - resultat'!$I$33:$K$46,,MATCH(E333,'Landbrugsareal - resultat'!$I$5:$K$5,0)))))),IF(C333=2019,SUMPRODUCT((B333='Landbrugsareal - resultat'!$B$33:$B$46)*(INDEX('Landbrugsareal - resultat'!$L$33:$N$46,,MATCH(E333,'Landbrugsareal - resultat'!$L$5:$N$5,0)))),IF(C333=2030,SUMPRODUCT((B333='Landbrugsareal - resultat'!$B$33:$B$46)*(INDEX('Landbrugsareal - resultat'!$O$33:$Q$46,,MATCH(E333,'Landbrugsareal - resultat'!$O$5:$Q$5,0)))),SUMPRODUCT((B333='Landbrugsareal - resultat'!$B$33:$B$46)*(INDEX('Landbrugsareal - resultat'!$R$33:$T$46,,MATCH(E333,'Landbrugsareal - resultat'!$R$5:$T$5,0))))))))</f>
        <v>2321.8907460190512</v>
      </c>
      <c r="H333" s="168">
        <f>G333*VLOOKUP(B333,[1]Afgrødedata!$A$5:$F$18,2,FALSE)*IF(D333="Økologisk",VLOOKUP(B333,[1]Afgrødedata!$A$5:$F$18,4,FALSE),1)*IF(E333&lt;&gt;Jordbund1,IF(E333=Organ6,VLOOKUP(B333,[1]Afgrødedata!$A$5:$F$18,5,FALSE),VLOOKUP(B333,[1]Afgrødedata!$A$5:$F$18,6,FALSE)),1)*0.1</f>
        <v>39434.267535321596</v>
      </c>
      <c r="I333" s="168">
        <f>G333*VLOOKUP(B333,[1]Afgrødedata!$A$5:$F$18,3,FALSE)*IF(D333="Økologisk",VLOOKUP(B333,[1]Afgrødedata!$A$5:$F$18,4,FALSE),1)*IF(E333&lt;&gt;Jordbund1,IF(E333=Organ6,VLOOKUP(B333,[1]Afgrødedata!$A$5:$F$18,5,FALSE),VLOOKUP(B333,[1]Afgrødedata!$A$5:$F$18,6,FALSE)),1)*HLOOKUP(C333,Landbrug!$C$15:$E$17,2,FALSE)*HLOOKUP(C333,Landbrug!$C$15:$E$17,3,FALSE)*0.1</f>
        <v>0</v>
      </c>
      <c r="J333" s="76">
        <f t="shared" si="55"/>
        <v>39434.267535321596</v>
      </c>
    </row>
    <row r="334" spans="1:10" x14ac:dyDescent="0.25">
      <c r="A334" t="s">
        <v>24</v>
      </c>
      <c r="B334" s="1" t="str">
        <f>[1]Afgrødefordeling!$C$12</f>
        <v>Frø</v>
      </c>
      <c r="C334">
        <v>2050</v>
      </c>
      <c r="D334" t="s">
        <v>8</v>
      </c>
      <c r="E334" s="168" t="str">
        <f t="shared" si="57"/>
        <v>JB1-10</v>
      </c>
      <c r="F334" t="str">
        <f t="shared" si="54"/>
        <v>Halm</v>
      </c>
      <c r="G334" s="76" cm="1">
        <f t="array" ref="G334">IF(A334="Vestdanmark",IF(D334="Konventionel",IF(C334=2019,SUMPRODUCT((B334='Landbrugsareal - resultat'!$B$6:$B$19)*(INDEX('Landbrugsareal - resultat'!$C$6:$E$19,,MATCH(E334,'Landbrugsareal - resultat'!$C$5:$E$5,0)))),IF(C334=2030,SUMPRODUCT((B334='Landbrugsareal - resultat'!$B$6:$B$19)*(INDEX('Landbrugsareal - resultat'!$F$6:$H$19,,MATCH(E334,'Landbrugsareal - resultat'!$F$5:$H$5,0)))),SUMPRODUCT((B334='Landbrugsareal - resultat'!$B$6:$B$19)*(INDEX('Landbrugsareal - resultat'!$I$6:$K$19,,MATCH(E334,'Landbrugsareal - resultat'!$I$5:$K$5,0)))))),IF(C334=2019,SUMPRODUCT((B334='Landbrugsareal - resultat'!$B$6:$B$19)*(INDEX('Landbrugsareal - resultat'!$L$6:$N$19,,MATCH(E334,'Landbrugsareal - resultat'!$L$5:$N$5,0)))),IF(C334=2030,SUMPRODUCT((B334='Landbrugsareal - resultat'!$B$6:$B$19)*(INDEX('Landbrugsareal - resultat'!$O$6:$Q$19,,MATCH(E334,'Landbrugsareal - resultat'!$O$5:$Q$5,0)))),SUMPRODUCT((B334='Landbrugsareal - resultat'!$B$6:$B$19)*(INDEX('Landbrugsareal - resultat'!$R$6:$T$19,,MATCH(E334,'Landbrugsareal - resultat'!$R$5:$T$5,0))))))),IF(D334="Konventionel",IF(C334=2019,SUMPRODUCT((B334='Landbrugsareal - resultat'!$B$33:$B$46)*(INDEX('Landbrugsareal - resultat'!$C$33:$E$46,,MATCH(E334,'Landbrugsareal - resultat'!$C$5:$E$5,0)))),IF(C334=2030,SUMPRODUCT((B334='Landbrugsareal - resultat'!$B$33:$B$46)*(INDEX('Landbrugsareal - resultat'!$F$33:$H$46,,MATCH(E334,'Landbrugsareal - resultat'!$F$5:$H$5,0)))),SUMPRODUCT((B334='Landbrugsareal - resultat'!$B$33:$B$46)*(INDEX('Landbrugsareal - resultat'!$I$33:$K$46,,MATCH(E334,'Landbrugsareal - resultat'!$I$5:$K$5,0)))))),IF(C334=2019,SUMPRODUCT((B334='Landbrugsareal - resultat'!$B$33:$B$46)*(INDEX('Landbrugsareal - resultat'!$L$33:$N$46,,MATCH(E334,'Landbrugsareal - resultat'!$L$5:$N$5,0)))),IF(C334=2030,SUMPRODUCT((B334='Landbrugsareal - resultat'!$B$33:$B$46)*(INDEX('Landbrugsareal - resultat'!$O$33:$Q$46,,MATCH(E334,'Landbrugsareal - resultat'!$O$5:$Q$5,0)))),SUMPRODUCT((B334='Landbrugsareal - resultat'!$B$33:$B$46)*(INDEX('Landbrugsareal - resultat'!$R$33:$T$46,,MATCH(E334,'Landbrugsareal - resultat'!$R$5:$T$5,0))))))))</f>
        <v>7183.8614848102561</v>
      </c>
      <c r="H334" s="168">
        <f>G334*VLOOKUP(B334,[1]Afgrødedata!$A$5:$F$18,2,FALSE)*IF(D334="Økologisk",VLOOKUP(B334,[1]Afgrødedata!$A$5:$F$18,4,FALSE),1)*IF(E334&lt;&gt;Jordbund1,IF(E334=Organ6,VLOOKUP(B334,[1]Afgrødedata!$A$5:$F$18,5,FALSE),VLOOKUP(B334,[1]Afgrødedata!$A$5:$F$18,6,FALSE)),1)*0.1</f>
        <v>58510.04198900763</v>
      </c>
      <c r="I334" s="168">
        <f>G334*VLOOKUP(B334,[1]Afgrødedata!$A$5:$F$18,3,FALSE)*IF(D334="Økologisk",VLOOKUP(B334,[1]Afgrødedata!$A$5:$F$18,4,FALSE),1)*IF(E334&lt;&gt;Jordbund1,IF(E334=Organ6,VLOOKUP(B334,[1]Afgrødedata!$A$5:$F$18,5,FALSE),VLOOKUP(B334,[1]Afgrødedata!$A$5:$F$18,6,FALSE)),1)*HLOOKUP(C334,Landbrug!$C$15:$E$17,2,FALSE)*HLOOKUP(C334,Landbrug!$C$15:$E$17,3,FALSE)*0.1</f>
        <v>9663.7304693667538</v>
      </c>
      <c r="J334" s="76">
        <f t="shared" si="55"/>
        <v>9663.7304693667538</v>
      </c>
    </row>
    <row r="335" spans="1:10" x14ac:dyDescent="0.25">
      <c r="A335" t="s">
        <v>24</v>
      </c>
      <c r="B335" s="1" t="str">
        <f>[1]Afgrødefordeling!$C$13</f>
        <v>Juletræer</v>
      </c>
      <c r="C335">
        <v>2050</v>
      </c>
      <c r="D335" t="s">
        <v>8</v>
      </c>
      <c r="E335" s="168" t="str">
        <f t="shared" si="57"/>
        <v>JB1-10</v>
      </c>
      <c r="F335" t="str">
        <f t="shared" si="54"/>
        <v>Juletræer</v>
      </c>
      <c r="G335" s="76" cm="1">
        <f t="array" ref="G335">IF(A335="Vestdanmark",IF(D335="Konventionel",IF(C335=2019,SUMPRODUCT((B335='Landbrugsareal - resultat'!$B$6:$B$19)*(INDEX('Landbrugsareal - resultat'!$C$6:$E$19,,MATCH(E335,'Landbrugsareal - resultat'!$C$5:$E$5,0)))),IF(C335=2030,SUMPRODUCT((B335='Landbrugsareal - resultat'!$B$6:$B$19)*(INDEX('Landbrugsareal - resultat'!$F$6:$H$19,,MATCH(E335,'Landbrugsareal - resultat'!$F$5:$H$5,0)))),SUMPRODUCT((B335='Landbrugsareal - resultat'!$B$6:$B$19)*(INDEX('Landbrugsareal - resultat'!$I$6:$K$19,,MATCH(E335,'Landbrugsareal - resultat'!$I$5:$K$5,0)))))),IF(C335=2019,SUMPRODUCT((B335='Landbrugsareal - resultat'!$B$6:$B$19)*(INDEX('Landbrugsareal - resultat'!$L$6:$N$19,,MATCH(E335,'Landbrugsareal - resultat'!$L$5:$N$5,0)))),IF(C335=2030,SUMPRODUCT((B335='Landbrugsareal - resultat'!$B$6:$B$19)*(INDEX('Landbrugsareal - resultat'!$O$6:$Q$19,,MATCH(E335,'Landbrugsareal - resultat'!$O$5:$Q$5,0)))),SUMPRODUCT((B335='Landbrugsareal - resultat'!$B$6:$B$19)*(INDEX('Landbrugsareal - resultat'!$R$6:$T$19,,MATCH(E335,'Landbrugsareal - resultat'!$R$5:$T$5,0))))))),IF(D335="Konventionel",IF(C335=2019,SUMPRODUCT((B335='Landbrugsareal - resultat'!$B$33:$B$46)*(INDEX('Landbrugsareal - resultat'!$C$33:$E$46,,MATCH(E335,'Landbrugsareal - resultat'!$C$5:$E$5,0)))),IF(C335=2030,SUMPRODUCT((B335='Landbrugsareal - resultat'!$B$33:$B$46)*(INDEX('Landbrugsareal - resultat'!$F$33:$H$46,,MATCH(E335,'Landbrugsareal - resultat'!$F$5:$H$5,0)))),SUMPRODUCT((B335='Landbrugsareal - resultat'!$B$33:$B$46)*(INDEX('Landbrugsareal - resultat'!$I$33:$K$46,,MATCH(E335,'Landbrugsareal - resultat'!$I$5:$K$5,0)))))),IF(C335=2019,SUMPRODUCT((B335='Landbrugsareal - resultat'!$B$33:$B$46)*(INDEX('Landbrugsareal - resultat'!$L$33:$N$46,,MATCH(E335,'Landbrugsareal - resultat'!$L$5:$N$5,0)))),IF(C335=2030,SUMPRODUCT((B335='Landbrugsareal - resultat'!$B$33:$B$46)*(INDEX('Landbrugsareal - resultat'!$O$33:$Q$46,,MATCH(E335,'Landbrugsareal - resultat'!$O$5:$Q$5,0)))),SUMPRODUCT((B335='Landbrugsareal - resultat'!$B$33:$B$46)*(INDEX('Landbrugsareal - resultat'!$R$33:$T$46,,MATCH(E335,'Landbrugsareal - resultat'!$R$5:$T$5,0))))))))</f>
        <v>509.54376068495122</v>
      </c>
      <c r="H335" s="168">
        <f>G335*VLOOKUP(B335,[1]Afgrødedata!$A$5:$F$18,2,FALSE)*IF(D335="Økologisk",VLOOKUP(B335,[1]Afgrødedata!$A$5:$F$18,4,FALSE),1)*IF(E335&lt;&gt;Jordbund1,IF(E335=Organ6,VLOOKUP(B335,[1]Afgrødedata!$A$5:$F$18,5,FALSE),VLOOKUP(B335,[1]Afgrødedata!$A$5:$F$18,6,FALSE)),1)*0.1</f>
        <v>14521.99717952111</v>
      </c>
      <c r="I335" s="168">
        <f>G335*VLOOKUP(B335,[1]Afgrødedata!$A$5:$F$18,3,FALSE)*IF(D335="Økologisk",VLOOKUP(B335,[1]Afgrødedata!$A$5:$F$18,4,FALSE),1)*IF(E335&lt;&gt;Jordbund1,IF(E335=Organ6,VLOOKUP(B335,[1]Afgrødedata!$A$5:$F$18,5,FALSE),VLOOKUP(B335,[1]Afgrødedata!$A$5:$F$18,6,FALSE)),1)*HLOOKUP(C335,Landbrug!$C$15:$E$17,2,FALSE)*HLOOKUP(C335,Landbrug!$C$15:$E$17,3,FALSE)*0.1</f>
        <v>0</v>
      </c>
      <c r="J335" s="76">
        <f t="shared" si="55"/>
        <v>14521.99717952111</v>
      </c>
    </row>
    <row r="336" spans="1:10" x14ac:dyDescent="0.25">
      <c r="A336" t="s">
        <v>24</v>
      </c>
      <c r="B336" s="1" t="str">
        <f>[1]Afgrødefordeling!$C$14</f>
        <v>Pil &amp; poppel</v>
      </c>
      <c r="C336">
        <v>2050</v>
      </c>
      <c r="D336" t="s">
        <v>8</v>
      </c>
      <c r="E336" s="168" t="str">
        <f t="shared" si="57"/>
        <v>JB1-10</v>
      </c>
      <c r="F336" t="str">
        <f t="shared" ref="F336:F399" si="58">IF(I336&lt;&gt;0,"Halm",IF(B336&lt;&gt;"Permanent græs",B336,"Græs"))</f>
        <v>Pil &amp; poppel</v>
      </c>
      <c r="G336" s="76" cm="1">
        <f t="array" ref="G336">IF(A336="Vestdanmark",IF(D336="Konventionel",IF(C336=2019,SUMPRODUCT((B336='Landbrugsareal - resultat'!$B$6:$B$19)*(INDEX('Landbrugsareal - resultat'!$C$6:$E$19,,MATCH(E336,'Landbrugsareal - resultat'!$C$5:$E$5,0)))),IF(C336=2030,SUMPRODUCT((B336='Landbrugsareal - resultat'!$B$6:$B$19)*(INDEX('Landbrugsareal - resultat'!$F$6:$H$19,,MATCH(E336,'Landbrugsareal - resultat'!$F$5:$H$5,0)))),SUMPRODUCT((B336='Landbrugsareal - resultat'!$B$6:$B$19)*(INDEX('Landbrugsareal - resultat'!$I$6:$K$19,,MATCH(E336,'Landbrugsareal - resultat'!$I$5:$K$5,0)))))),IF(C336=2019,SUMPRODUCT((B336='Landbrugsareal - resultat'!$B$6:$B$19)*(INDEX('Landbrugsareal - resultat'!$L$6:$N$19,,MATCH(E336,'Landbrugsareal - resultat'!$L$5:$N$5,0)))),IF(C336=2030,SUMPRODUCT((B336='Landbrugsareal - resultat'!$B$6:$B$19)*(INDEX('Landbrugsareal - resultat'!$O$6:$Q$19,,MATCH(E336,'Landbrugsareal - resultat'!$O$5:$Q$5,0)))),SUMPRODUCT((B336='Landbrugsareal - resultat'!$B$6:$B$19)*(INDEX('Landbrugsareal - resultat'!$R$6:$T$19,,MATCH(E336,'Landbrugsareal - resultat'!$R$5:$T$5,0))))))),IF(D336="Konventionel",IF(C336=2019,SUMPRODUCT((B336='Landbrugsareal - resultat'!$B$33:$B$46)*(INDEX('Landbrugsareal - resultat'!$C$33:$E$46,,MATCH(E336,'Landbrugsareal - resultat'!$C$5:$E$5,0)))),IF(C336=2030,SUMPRODUCT((B336='Landbrugsareal - resultat'!$B$33:$B$46)*(INDEX('Landbrugsareal - resultat'!$F$33:$H$46,,MATCH(E336,'Landbrugsareal - resultat'!$F$5:$H$5,0)))),SUMPRODUCT((B336='Landbrugsareal - resultat'!$B$33:$B$46)*(INDEX('Landbrugsareal - resultat'!$I$33:$K$46,,MATCH(E336,'Landbrugsareal - resultat'!$I$5:$K$5,0)))))),IF(C336=2019,SUMPRODUCT((B336='Landbrugsareal - resultat'!$B$33:$B$46)*(INDEX('Landbrugsareal - resultat'!$L$33:$N$46,,MATCH(E336,'Landbrugsareal - resultat'!$L$5:$N$5,0)))),IF(C336=2030,SUMPRODUCT((B336='Landbrugsareal - resultat'!$B$33:$B$46)*(INDEX('Landbrugsareal - resultat'!$O$33:$Q$46,,MATCH(E336,'Landbrugsareal - resultat'!$O$5:$Q$5,0)))),SUMPRODUCT((B336='Landbrugsareal - resultat'!$B$33:$B$46)*(INDEX('Landbrugsareal - resultat'!$R$33:$T$46,,MATCH(E336,'Landbrugsareal - resultat'!$R$5:$T$5,0))))))))</f>
        <v>242.20451705652377</v>
      </c>
      <c r="H336" s="168">
        <f>G336*VLOOKUP(B336,[1]Afgrødedata!$A$5:$F$18,2,FALSE)*IF(D336="Økologisk",VLOOKUP(B336,[1]Afgrødedata!$A$5:$F$18,4,FALSE),1)*IF(E336&lt;&gt;Jordbund1,IF(E336=Organ6,VLOOKUP(B336,[1]Afgrødedata!$A$5:$F$18,5,FALSE),VLOOKUP(B336,[1]Afgrødedata!$A$5:$F$18,6,FALSE)),1)*0.1</f>
        <v>3367.233529810208</v>
      </c>
      <c r="I336" s="168">
        <f>G336*VLOOKUP(B336,[1]Afgrødedata!$A$5:$F$18,3,FALSE)*IF(D336="Økologisk",VLOOKUP(B336,[1]Afgrødedata!$A$5:$F$18,4,FALSE),1)*IF(E336&lt;&gt;Jordbund1,IF(E336=Organ6,VLOOKUP(B336,[1]Afgrødedata!$A$5:$F$18,5,FALSE),VLOOKUP(B336,[1]Afgrødedata!$A$5:$F$18,6,FALSE)),1)*HLOOKUP(C336,Landbrug!$C$15:$E$17,2,FALSE)*HLOOKUP(C336,Landbrug!$C$15:$E$17,3,FALSE)*0.1</f>
        <v>0</v>
      </c>
      <c r="J336" s="76">
        <f t="shared" si="55"/>
        <v>3367.233529810208</v>
      </c>
    </row>
    <row r="337" spans="1:10" x14ac:dyDescent="0.25">
      <c r="A337" t="s">
        <v>24</v>
      </c>
      <c r="B337" s="1" t="str">
        <f>[1]Afgrødefordeling!$C$15</f>
        <v>Permanent græs</v>
      </c>
      <c r="C337">
        <v>2050</v>
      </c>
      <c r="D337" t="s">
        <v>8</v>
      </c>
      <c r="E337" s="168" t="str">
        <f t="shared" si="57"/>
        <v>JB1-10</v>
      </c>
      <c r="F337" t="str">
        <f t="shared" si="58"/>
        <v>Græs</v>
      </c>
      <c r="G337" s="76" cm="1">
        <f t="array" ref="G337">IF(A337="Vestdanmark",IF(D337="Konventionel",IF(C337=2019,SUMPRODUCT((B337='Landbrugsareal - resultat'!$B$6:$B$19)*(INDEX('Landbrugsareal - resultat'!$C$6:$E$19,,MATCH(E337,'Landbrugsareal - resultat'!$C$5:$E$5,0)))),IF(C337=2030,SUMPRODUCT((B337='Landbrugsareal - resultat'!$B$6:$B$19)*(INDEX('Landbrugsareal - resultat'!$F$6:$H$19,,MATCH(E337,'Landbrugsareal - resultat'!$F$5:$H$5,0)))),SUMPRODUCT((B337='Landbrugsareal - resultat'!$B$6:$B$19)*(INDEX('Landbrugsareal - resultat'!$I$6:$K$19,,MATCH(E337,'Landbrugsareal - resultat'!$I$5:$K$5,0)))))),IF(C337=2019,SUMPRODUCT((B337='Landbrugsareal - resultat'!$B$6:$B$19)*(INDEX('Landbrugsareal - resultat'!$L$6:$N$19,,MATCH(E337,'Landbrugsareal - resultat'!$L$5:$N$5,0)))),IF(C337=2030,SUMPRODUCT((B337='Landbrugsareal - resultat'!$B$6:$B$19)*(INDEX('Landbrugsareal - resultat'!$O$6:$Q$19,,MATCH(E337,'Landbrugsareal - resultat'!$O$5:$Q$5,0)))),SUMPRODUCT((B337='Landbrugsareal - resultat'!$B$6:$B$19)*(INDEX('Landbrugsareal - resultat'!$R$6:$T$19,,MATCH(E337,'Landbrugsareal - resultat'!$R$5:$T$5,0))))))),IF(D337="Konventionel",IF(C337=2019,SUMPRODUCT((B337='Landbrugsareal - resultat'!$B$33:$B$46)*(INDEX('Landbrugsareal - resultat'!$C$33:$E$46,,MATCH(E337,'Landbrugsareal - resultat'!$C$5:$E$5,0)))),IF(C337=2030,SUMPRODUCT((B337='Landbrugsareal - resultat'!$B$33:$B$46)*(INDEX('Landbrugsareal - resultat'!$F$33:$H$46,,MATCH(E337,'Landbrugsareal - resultat'!$F$5:$H$5,0)))),SUMPRODUCT((B337='Landbrugsareal - resultat'!$B$33:$B$46)*(INDEX('Landbrugsareal - resultat'!$I$33:$K$46,,MATCH(E337,'Landbrugsareal - resultat'!$I$5:$K$5,0)))))),IF(C337=2019,SUMPRODUCT((B337='Landbrugsareal - resultat'!$B$33:$B$46)*(INDEX('Landbrugsareal - resultat'!$L$33:$N$46,,MATCH(E337,'Landbrugsareal - resultat'!$L$5:$N$5,0)))),IF(C337=2030,SUMPRODUCT((B337='Landbrugsareal - resultat'!$B$33:$B$46)*(INDEX('Landbrugsareal - resultat'!$O$33:$Q$46,,MATCH(E337,'Landbrugsareal - resultat'!$O$5:$Q$5,0)))),SUMPRODUCT((B337='Landbrugsareal - resultat'!$B$33:$B$46)*(INDEX('Landbrugsareal - resultat'!$R$33:$T$46,,MATCH(E337,'Landbrugsareal - resultat'!$R$5:$T$5,0))))))))</f>
        <v>6032.6383557373629</v>
      </c>
      <c r="H337" s="168">
        <f>G337*VLOOKUP(B337,[1]Afgrødedata!$A$5:$F$18,2,FALSE)*IF(D337="Økologisk",VLOOKUP(B337,[1]Afgrødedata!$A$5:$F$18,4,FALSE),1)*IF(E337&lt;&gt;Jordbund1,IF(E337=Organ6,VLOOKUP(B337,[1]Afgrødedata!$A$5:$F$18,5,FALSE),VLOOKUP(B337,[1]Afgrødedata!$A$5:$F$18,6,FALSE)),1)*0.1</f>
        <v>83190.082925618248</v>
      </c>
      <c r="I337" s="168">
        <f>G337*VLOOKUP(B337,[1]Afgrødedata!$A$5:$F$18,3,FALSE)*IF(D337="Økologisk",VLOOKUP(B337,[1]Afgrødedata!$A$5:$F$18,4,FALSE),1)*IF(E337&lt;&gt;Jordbund1,IF(E337=Organ6,VLOOKUP(B337,[1]Afgrødedata!$A$5:$F$18,5,FALSE),VLOOKUP(B337,[1]Afgrødedata!$A$5:$F$18,6,FALSE)),1)*HLOOKUP(C337,Landbrug!$C$15:$E$17,2,FALSE)*HLOOKUP(C337,Landbrug!$C$15:$E$17,3,FALSE)*0.1</f>
        <v>0</v>
      </c>
      <c r="J337" s="76">
        <f t="shared" si="55"/>
        <v>83190.082925618248</v>
      </c>
    </row>
    <row r="338" spans="1:10" x14ac:dyDescent="0.25">
      <c r="A338" t="s">
        <v>24</v>
      </c>
      <c r="B338" s="1" t="str">
        <f>[1]Afgrødefordeling!$C$2</f>
        <v>Korn</v>
      </c>
      <c r="C338">
        <v>2019</v>
      </c>
      <c r="D338" t="s">
        <v>7</v>
      </c>
      <c r="E338" s="168" t="str">
        <f t="shared" ref="E338:E369" si="59">Organ6</f>
        <v>OC6</v>
      </c>
      <c r="F338" t="str">
        <f t="shared" si="58"/>
        <v>Halm</v>
      </c>
      <c r="G338" s="76" cm="1">
        <f t="array" ref="G338">IF(A338="Vestdanmark",IF(D338="Konventionel",IF(C338=2019,SUMPRODUCT((B338='Landbrugsareal - resultat'!$B$6:$B$19)*(INDEX('Landbrugsareal - resultat'!$C$6:$E$19,,MATCH(E338,'Landbrugsareal - resultat'!$C$5:$E$5,0)))),IF(C338=2030,SUMPRODUCT((B338='Landbrugsareal - resultat'!$B$6:$B$19)*(INDEX('Landbrugsareal - resultat'!$F$6:$H$19,,MATCH(E338,'Landbrugsareal - resultat'!$F$5:$H$5,0)))),SUMPRODUCT((B338='Landbrugsareal - resultat'!$B$6:$B$19)*(INDEX('Landbrugsareal - resultat'!$I$6:$K$19,,MATCH(E338,'Landbrugsareal - resultat'!$I$5:$K$5,0)))))),IF(C338=2019,SUMPRODUCT((B338='Landbrugsareal - resultat'!$B$6:$B$19)*(INDEX('Landbrugsareal - resultat'!$L$6:$N$19,,MATCH(E338,'Landbrugsareal - resultat'!$L$5:$N$5,0)))),IF(C338=2030,SUMPRODUCT((B338='Landbrugsareal - resultat'!$B$6:$B$19)*(INDEX('Landbrugsareal - resultat'!$O$6:$Q$19,,MATCH(E338,'Landbrugsareal - resultat'!$O$5:$Q$5,0)))),SUMPRODUCT((B338='Landbrugsareal - resultat'!$B$6:$B$19)*(INDEX('Landbrugsareal - resultat'!$R$6:$T$19,,MATCH(E338,'Landbrugsareal - resultat'!$R$5:$T$5,0))))))),IF(D338="Konventionel",IF(C338=2019,SUMPRODUCT((B338='Landbrugsareal - resultat'!$B$33:$B$46)*(INDEX('Landbrugsareal - resultat'!$C$33:$E$46,,MATCH(E338,'Landbrugsareal - resultat'!$C$5:$E$5,0)))),IF(C338=2030,SUMPRODUCT((B338='Landbrugsareal - resultat'!$B$33:$B$46)*(INDEX('Landbrugsareal - resultat'!$F$33:$H$46,,MATCH(E338,'Landbrugsareal - resultat'!$F$5:$H$5,0)))),SUMPRODUCT((B338='Landbrugsareal - resultat'!$B$33:$B$46)*(INDEX('Landbrugsareal - resultat'!$I$33:$K$46,,MATCH(E338,'Landbrugsareal - resultat'!$I$5:$K$5,0)))))),IF(C338=2019,SUMPRODUCT((B338='Landbrugsareal - resultat'!$B$33:$B$46)*(INDEX('Landbrugsareal - resultat'!$L$33:$N$46,,MATCH(E338,'Landbrugsareal - resultat'!$L$5:$N$5,0)))),IF(C338=2030,SUMPRODUCT((B338='Landbrugsareal - resultat'!$B$33:$B$46)*(INDEX('Landbrugsareal - resultat'!$O$33:$Q$46,,MATCH(E338,'Landbrugsareal - resultat'!$O$5:$Q$5,0)))),SUMPRODUCT((B338='Landbrugsareal - resultat'!$B$33:$B$46)*(INDEX('Landbrugsareal - resultat'!$R$33:$T$46,,MATCH(E338,'Landbrugsareal - resultat'!$R$5:$T$5,0))))))))</f>
        <v>4501.5258539517936</v>
      </c>
      <c r="H338" s="168">
        <f>G338*VLOOKUP(B338,[1]Afgrødedata!$A$5:$F$18,2,FALSE)*IF(D338="Økologisk",VLOOKUP(B338,[1]Afgrødedata!$A$5:$F$18,4,FALSE),1)*IF(E338&lt;&gt;Jordbund1,IF(E338=Organ6,VLOOKUP(B338,[1]Afgrødedata!$A$5:$F$18,5,FALSE),VLOOKUP(B338,[1]Afgrødedata!$A$5:$F$18,6,FALSE)),1)*0.1</f>
        <v>37866.835483442483</v>
      </c>
      <c r="I338" s="168">
        <f>G338*VLOOKUP(B338,[1]Afgrødedata!$A$5:$F$18,3,FALSE)*IF(D338="Økologisk",VLOOKUP(B338,[1]Afgrødedata!$A$5:$F$18,4,FALSE),1)*IF(E338&lt;&gt;Jordbund1,IF(E338=Organ6,VLOOKUP(B338,[1]Afgrødedata!$A$5:$F$18,5,FALSE),VLOOKUP(B338,[1]Afgrødedata!$A$5:$F$18,6,FALSE)),1)*HLOOKUP(C338,Landbrug!$C$15:$E$17,2,FALSE)*HLOOKUP(C338,Landbrug!$C$15:$E$17,3,FALSE)*0.1</f>
        <v>12359.640434706922</v>
      </c>
      <c r="J338" s="76">
        <f t="shared" si="55"/>
        <v>12359.640434706922</v>
      </c>
    </row>
    <row r="339" spans="1:10" x14ac:dyDescent="0.25">
      <c r="A339" t="s">
        <v>24</v>
      </c>
      <c r="B339" s="1" t="str">
        <f>[1]Afgrødefordeling!$C$3</f>
        <v>Bælgsæd</v>
      </c>
      <c r="C339">
        <v>2019</v>
      </c>
      <c r="D339" t="s">
        <v>7</v>
      </c>
      <c r="E339" s="168" t="str">
        <f t="shared" si="59"/>
        <v>OC6</v>
      </c>
      <c r="F339" t="str">
        <f t="shared" si="58"/>
        <v>Halm</v>
      </c>
      <c r="G339" s="76" cm="1">
        <f t="array" ref="G339">IF(A339="Vestdanmark",IF(D339="Konventionel",IF(C339=2019,SUMPRODUCT((B339='Landbrugsareal - resultat'!$B$6:$B$19)*(INDEX('Landbrugsareal - resultat'!$C$6:$E$19,,MATCH(E339,'Landbrugsareal - resultat'!$C$5:$E$5,0)))),IF(C339=2030,SUMPRODUCT((B339='Landbrugsareal - resultat'!$B$6:$B$19)*(INDEX('Landbrugsareal - resultat'!$F$6:$H$19,,MATCH(E339,'Landbrugsareal - resultat'!$F$5:$H$5,0)))),SUMPRODUCT((B339='Landbrugsareal - resultat'!$B$6:$B$19)*(INDEX('Landbrugsareal - resultat'!$I$6:$K$19,,MATCH(E339,'Landbrugsareal - resultat'!$I$5:$K$5,0)))))),IF(C339=2019,SUMPRODUCT((B339='Landbrugsareal - resultat'!$B$6:$B$19)*(INDEX('Landbrugsareal - resultat'!$L$6:$N$19,,MATCH(E339,'Landbrugsareal - resultat'!$L$5:$N$5,0)))),IF(C339=2030,SUMPRODUCT((B339='Landbrugsareal - resultat'!$B$6:$B$19)*(INDEX('Landbrugsareal - resultat'!$O$6:$Q$19,,MATCH(E339,'Landbrugsareal - resultat'!$O$5:$Q$5,0)))),SUMPRODUCT((B339='Landbrugsareal - resultat'!$B$6:$B$19)*(INDEX('Landbrugsareal - resultat'!$R$6:$T$19,,MATCH(E339,'Landbrugsareal - resultat'!$R$5:$T$5,0))))))),IF(D339="Konventionel",IF(C339=2019,SUMPRODUCT((B339='Landbrugsareal - resultat'!$B$33:$B$46)*(INDEX('Landbrugsareal - resultat'!$C$33:$E$46,,MATCH(E339,'Landbrugsareal - resultat'!$C$5:$E$5,0)))),IF(C339=2030,SUMPRODUCT((B339='Landbrugsareal - resultat'!$B$33:$B$46)*(INDEX('Landbrugsareal - resultat'!$F$33:$H$46,,MATCH(E339,'Landbrugsareal - resultat'!$F$5:$H$5,0)))),SUMPRODUCT((B339='Landbrugsareal - resultat'!$B$33:$B$46)*(INDEX('Landbrugsareal - resultat'!$I$33:$K$46,,MATCH(E339,'Landbrugsareal - resultat'!$I$5:$K$5,0)))))),IF(C339=2019,SUMPRODUCT((B339='Landbrugsareal - resultat'!$B$33:$B$46)*(INDEX('Landbrugsareal - resultat'!$L$33:$N$46,,MATCH(E339,'Landbrugsareal - resultat'!$L$5:$N$5,0)))),IF(C339=2030,SUMPRODUCT((B339='Landbrugsareal - resultat'!$B$33:$B$46)*(INDEX('Landbrugsareal - resultat'!$O$33:$Q$46,,MATCH(E339,'Landbrugsareal - resultat'!$O$5:$Q$5,0)))),SUMPRODUCT((B339='Landbrugsareal - resultat'!$B$33:$B$46)*(INDEX('Landbrugsareal - resultat'!$R$33:$T$46,,MATCH(E339,'Landbrugsareal - resultat'!$R$5:$T$5,0))))))))</f>
        <v>121.72845469783576</v>
      </c>
      <c r="H339" s="168">
        <f>G339*VLOOKUP(B339,[1]Afgrødedata!$A$5:$F$18,2,FALSE)*IF(D339="Økologisk",VLOOKUP(B339,[1]Afgrødedata!$A$5:$F$18,4,FALSE),1)*IF(E339&lt;&gt;Jordbund1,IF(E339=Organ6,VLOOKUP(B339,[1]Afgrødedata!$A$5:$F$18,5,FALSE),VLOOKUP(B339,[1]Afgrødedata!$A$5:$F$18,6,FALSE)),1)*0.1</f>
        <v>563.84620216037536</v>
      </c>
      <c r="I339" s="168">
        <f>G339*VLOOKUP(B339,[1]Afgrødedata!$A$5:$F$18,3,FALSE)*IF(D339="Økologisk",VLOOKUP(B339,[1]Afgrødedata!$A$5:$F$18,4,FALSE),1)*IF(E339&lt;&gt;Jordbund1,IF(E339=Organ6,VLOOKUP(B339,[1]Afgrødedata!$A$5:$F$18,5,FALSE),VLOOKUP(B339,[1]Afgrødedata!$A$5:$F$18,6,FALSE)),1)*HLOOKUP(C339,Landbrug!$C$15:$E$17,2,FALSE)*HLOOKUP(C339,Landbrug!$C$15:$E$17,3,FALSE)*0.1</f>
        <v>167.39395203776587</v>
      </c>
      <c r="J339" s="76">
        <f t="shared" si="55"/>
        <v>167.39395203776587</v>
      </c>
    </row>
    <row r="340" spans="1:10" x14ac:dyDescent="0.25">
      <c r="A340" t="s">
        <v>24</v>
      </c>
      <c r="B340" s="1" t="str">
        <f>[1]Afgrødefordeling!$C$4</f>
        <v>Raps</v>
      </c>
      <c r="C340">
        <v>2019</v>
      </c>
      <c r="D340" t="s">
        <v>7</v>
      </c>
      <c r="E340" s="168" t="str">
        <f t="shared" si="59"/>
        <v>OC6</v>
      </c>
      <c r="F340" t="str">
        <f t="shared" si="58"/>
        <v>Halm</v>
      </c>
      <c r="G340" s="76" cm="1">
        <f t="array" ref="G340">IF(A340="Vestdanmark",IF(D340="Konventionel",IF(C340=2019,SUMPRODUCT((B340='Landbrugsareal - resultat'!$B$6:$B$19)*(INDEX('Landbrugsareal - resultat'!$C$6:$E$19,,MATCH(E340,'Landbrugsareal - resultat'!$C$5:$E$5,0)))),IF(C340=2030,SUMPRODUCT((B340='Landbrugsareal - resultat'!$B$6:$B$19)*(INDEX('Landbrugsareal - resultat'!$F$6:$H$19,,MATCH(E340,'Landbrugsareal - resultat'!$F$5:$H$5,0)))),SUMPRODUCT((B340='Landbrugsareal - resultat'!$B$6:$B$19)*(INDEX('Landbrugsareal - resultat'!$I$6:$K$19,,MATCH(E340,'Landbrugsareal - resultat'!$I$5:$K$5,0)))))),IF(C340=2019,SUMPRODUCT((B340='Landbrugsareal - resultat'!$B$6:$B$19)*(INDEX('Landbrugsareal - resultat'!$L$6:$N$19,,MATCH(E340,'Landbrugsareal - resultat'!$L$5:$N$5,0)))),IF(C340=2030,SUMPRODUCT((B340='Landbrugsareal - resultat'!$B$6:$B$19)*(INDEX('Landbrugsareal - resultat'!$O$6:$Q$19,,MATCH(E340,'Landbrugsareal - resultat'!$O$5:$Q$5,0)))),SUMPRODUCT((B340='Landbrugsareal - resultat'!$B$6:$B$19)*(INDEX('Landbrugsareal - resultat'!$R$6:$T$19,,MATCH(E340,'Landbrugsareal - resultat'!$R$5:$T$5,0))))))),IF(D340="Konventionel",IF(C340=2019,SUMPRODUCT((B340='Landbrugsareal - resultat'!$B$33:$B$46)*(INDEX('Landbrugsareal - resultat'!$C$33:$E$46,,MATCH(E340,'Landbrugsareal - resultat'!$C$5:$E$5,0)))),IF(C340=2030,SUMPRODUCT((B340='Landbrugsareal - resultat'!$B$33:$B$46)*(INDEX('Landbrugsareal - resultat'!$F$33:$H$46,,MATCH(E340,'Landbrugsareal - resultat'!$F$5:$H$5,0)))),SUMPRODUCT((B340='Landbrugsareal - resultat'!$B$33:$B$46)*(INDEX('Landbrugsareal - resultat'!$I$33:$K$46,,MATCH(E340,'Landbrugsareal - resultat'!$I$5:$K$5,0)))))),IF(C340=2019,SUMPRODUCT((B340='Landbrugsareal - resultat'!$B$33:$B$46)*(INDEX('Landbrugsareal - resultat'!$L$33:$N$46,,MATCH(E340,'Landbrugsareal - resultat'!$L$5:$N$5,0)))),IF(C340=2030,SUMPRODUCT((B340='Landbrugsareal - resultat'!$B$33:$B$46)*(INDEX('Landbrugsareal - resultat'!$O$33:$Q$46,,MATCH(E340,'Landbrugsareal - resultat'!$O$5:$Q$5,0)))),SUMPRODUCT((B340='Landbrugsareal - resultat'!$B$33:$B$46)*(INDEX('Landbrugsareal - resultat'!$R$33:$T$46,,MATCH(E340,'Landbrugsareal - resultat'!$R$5:$T$5,0))))))))</f>
        <v>491.68024413286827</v>
      </c>
      <c r="H340" s="168">
        <f>G340*VLOOKUP(B340,[1]Afgrødedata!$A$5:$F$18,2,FALSE)*IF(D340="Økologisk",VLOOKUP(B340,[1]Afgrødedata!$A$5:$F$18,4,FALSE),1)*IF(E340&lt;&gt;Jordbund1,IF(E340=Organ6,VLOOKUP(B340,[1]Afgrødedata!$A$5:$F$18,5,FALSE),VLOOKUP(B340,[1]Afgrødedata!$A$5:$F$18,6,FALSE)),1)*0.1</f>
        <v>2596.0716890215444</v>
      </c>
      <c r="I340" s="168">
        <f>G340*VLOOKUP(B340,[1]Afgrødedata!$A$5:$F$18,3,FALSE)*IF(D340="Økologisk",VLOOKUP(B340,[1]Afgrødedata!$A$5:$F$18,4,FALSE),1)*IF(E340&lt;&gt;Jordbund1,IF(E340=Organ6,VLOOKUP(B340,[1]Afgrødedata!$A$5:$F$18,5,FALSE),VLOOKUP(B340,[1]Afgrødedata!$A$5:$F$18,6,FALSE)),1)*HLOOKUP(C340,Landbrug!$C$15:$E$17,2,FALSE)*HLOOKUP(C340,Landbrug!$C$15:$E$17,3,FALSE)*0.1</f>
        <v>1386.5748694648521</v>
      </c>
      <c r="J340" s="76">
        <f t="shared" si="55"/>
        <v>1386.5748694648521</v>
      </c>
    </row>
    <row r="341" spans="1:10" x14ac:dyDescent="0.25">
      <c r="A341" t="s">
        <v>24</v>
      </c>
      <c r="B341" s="1" t="str">
        <f>[1]Afgrødefordeling!$C$5</f>
        <v>Græs</v>
      </c>
      <c r="C341">
        <v>2019</v>
      </c>
      <c r="D341" t="s">
        <v>7</v>
      </c>
      <c r="E341" s="168" t="str">
        <f t="shared" si="59"/>
        <v>OC6</v>
      </c>
      <c r="F341" t="str">
        <f t="shared" si="58"/>
        <v>Græs</v>
      </c>
      <c r="G341" s="76" cm="1">
        <f t="array" ref="G341">IF(A341="Vestdanmark",IF(D341="Konventionel",IF(C341=2019,SUMPRODUCT((B341='Landbrugsareal - resultat'!$B$6:$B$19)*(INDEX('Landbrugsareal - resultat'!$C$6:$E$19,,MATCH(E341,'Landbrugsareal - resultat'!$C$5:$E$5,0)))),IF(C341=2030,SUMPRODUCT((B341='Landbrugsareal - resultat'!$B$6:$B$19)*(INDEX('Landbrugsareal - resultat'!$F$6:$H$19,,MATCH(E341,'Landbrugsareal - resultat'!$F$5:$H$5,0)))),SUMPRODUCT((B341='Landbrugsareal - resultat'!$B$6:$B$19)*(INDEX('Landbrugsareal - resultat'!$I$6:$K$19,,MATCH(E341,'Landbrugsareal - resultat'!$I$5:$K$5,0)))))),IF(C341=2019,SUMPRODUCT((B341='Landbrugsareal - resultat'!$B$6:$B$19)*(INDEX('Landbrugsareal - resultat'!$L$6:$N$19,,MATCH(E341,'Landbrugsareal - resultat'!$L$5:$N$5,0)))),IF(C341=2030,SUMPRODUCT((B341='Landbrugsareal - resultat'!$B$6:$B$19)*(INDEX('Landbrugsareal - resultat'!$O$6:$Q$19,,MATCH(E341,'Landbrugsareal - resultat'!$O$5:$Q$5,0)))),SUMPRODUCT((B341='Landbrugsareal - resultat'!$B$6:$B$19)*(INDEX('Landbrugsareal - resultat'!$R$6:$T$19,,MATCH(E341,'Landbrugsareal - resultat'!$R$5:$T$5,0))))))),IF(D341="Konventionel",IF(C341=2019,SUMPRODUCT((B341='Landbrugsareal - resultat'!$B$33:$B$46)*(INDEX('Landbrugsareal - resultat'!$C$33:$E$46,,MATCH(E341,'Landbrugsareal - resultat'!$C$5:$E$5,0)))),IF(C341=2030,SUMPRODUCT((B341='Landbrugsareal - resultat'!$B$33:$B$46)*(INDEX('Landbrugsareal - resultat'!$F$33:$H$46,,MATCH(E341,'Landbrugsareal - resultat'!$F$5:$H$5,0)))),SUMPRODUCT((B341='Landbrugsareal - resultat'!$B$33:$B$46)*(INDEX('Landbrugsareal - resultat'!$I$33:$K$46,,MATCH(E341,'Landbrugsareal - resultat'!$I$5:$K$5,0)))))),IF(C341=2019,SUMPRODUCT((B341='Landbrugsareal - resultat'!$B$33:$B$46)*(INDEX('Landbrugsareal - resultat'!$L$33:$N$46,,MATCH(E341,'Landbrugsareal - resultat'!$L$5:$N$5,0)))),IF(C341=2030,SUMPRODUCT((B341='Landbrugsareal - resultat'!$B$33:$B$46)*(INDEX('Landbrugsareal - resultat'!$O$33:$Q$46,,MATCH(E341,'Landbrugsareal - resultat'!$O$5:$Q$5,0)))),SUMPRODUCT((B341='Landbrugsareal - resultat'!$B$33:$B$46)*(INDEX('Landbrugsareal - resultat'!$R$33:$T$46,,MATCH(E341,'Landbrugsareal - resultat'!$R$5:$T$5,0))))))))</f>
        <v>1445.7459335058077</v>
      </c>
      <c r="H341" s="168">
        <f>G341*VLOOKUP(B341,[1]Afgrødedata!$A$5:$F$18,2,FALSE)*IF(D341="Økologisk",VLOOKUP(B341,[1]Afgrødedata!$A$5:$F$18,4,FALSE),1)*IF(E341&lt;&gt;Jordbund1,IF(E341=Organ6,VLOOKUP(B341,[1]Afgrødedata!$A$5:$F$18,5,FALSE),VLOOKUP(B341,[1]Afgrødedata!$A$5:$F$18,6,FALSE)),1)*0.1</f>
        <v>86085.495864669807</v>
      </c>
      <c r="I341" s="168">
        <f>G341*VLOOKUP(B341,[1]Afgrødedata!$A$5:$F$18,3,FALSE)*IF(D341="Økologisk",VLOOKUP(B341,[1]Afgrødedata!$A$5:$F$18,4,FALSE),1)*IF(E341&lt;&gt;Jordbund1,IF(E341=Organ6,VLOOKUP(B341,[1]Afgrødedata!$A$5:$F$18,5,FALSE),VLOOKUP(B341,[1]Afgrødedata!$A$5:$F$18,6,FALSE)),1)*HLOOKUP(C341,Landbrug!$C$15:$E$17,2,FALSE)*HLOOKUP(C341,Landbrug!$C$15:$E$17,3,FALSE)*0.1</f>
        <v>0</v>
      </c>
      <c r="J341" s="76">
        <f t="shared" ref="J341:J404" si="60">IF(I341&lt;&gt;0,I341,H341)</f>
        <v>86085.495864669807</v>
      </c>
    </row>
    <row r="342" spans="1:10" x14ac:dyDescent="0.25">
      <c r="A342" t="s">
        <v>24</v>
      </c>
      <c r="B342" s="1" t="str">
        <f>[1]Afgrødefordeling!$C$6</f>
        <v>Grøntsager</v>
      </c>
      <c r="C342">
        <v>2019</v>
      </c>
      <c r="D342" t="s">
        <v>7</v>
      </c>
      <c r="E342" s="168" t="str">
        <f t="shared" si="59"/>
        <v>OC6</v>
      </c>
      <c r="F342" t="str">
        <f t="shared" si="58"/>
        <v>Grøntsager</v>
      </c>
      <c r="G342" s="76" cm="1">
        <f t="array" ref="G342">IF(A342="Vestdanmark",IF(D342="Konventionel",IF(C342=2019,SUMPRODUCT((B342='Landbrugsareal - resultat'!$B$6:$B$19)*(INDEX('Landbrugsareal - resultat'!$C$6:$E$19,,MATCH(E342,'Landbrugsareal - resultat'!$C$5:$E$5,0)))),IF(C342=2030,SUMPRODUCT((B342='Landbrugsareal - resultat'!$B$6:$B$19)*(INDEX('Landbrugsareal - resultat'!$F$6:$H$19,,MATCH(E342,'Landbrugsareal - resultat'!$F$5:$H$5,0)))),SUMPRODUCT((B342='Landbrugsareal - resultat'!$B$6:$B$19)*(INDEX('Landbrugsareal - resultat'!$I$6:$K$19,,MATCH(E342,'Landbrugsareal - resultat'!$I$5:$K$5,0)))))),IF(C342=2019,SUMPRODUCT((B342='Landbrugsareal - resultat'!$B$6:$B$19)*(INDEX('Landbrugsareal - resultat'!$L$6:$N$19,,MATCH(E342,'Landbrugsareal - resultat'!$L$5:$N$5,0)))),IF(C342=2030,SUMPRODUCT((B342='Landbrugsareal - resultat'!$B$6:$B$19)*(INDEX('Landbrugsareal - resultat'!$O$6:$Q$19,,MATCH(E342,'Landbrugsareal - resultat'!$O$5:$Q$5,0)))),SUMPRODUCT((B342='Landbrugsareal - resultat'!$B$6:$B$19)*(INDEX('Landbrugsareal - resultat'!$R$6:$T$19,,MATCH(E342,'Landbrugsareal - resultat'!$R$5:$T$5,0))))))),IF(D342="Konventionel",IF(C342=2019,SUMPRODUCT((B342='Landbrugsareal - resultat'!$B$33:$B$46)*(INDEX('Landbrugsareal - resultat'!$C$33:$E$46,,MATCH(E342,'Landbrugsareal - resultat'!$C$5:$E$5,0)))),IF(C342=2030,SUMPRODUCT((B342='Landbrugsareal - resultat'!$B$33:$B$46)*(INDEX('Landbrugsareal - resultat'!$F$33:$H$46,,MATCH(E342,'Landbrugsareal - resultat'!$F$5:$H$5,0)))),SUMPRODUCT((B342='Landbrugsareal - resultat'!$B$33:$B$46)*(INDEX('Landbrugsareal - resultat'!$I$33:$K$46,,MATCH(E342,'Landbrugsareal - resultat'!$I$5:$K$5,0)))))),IF(C342=2019,SUMPRODUCT((B342='Landbrugsareal - resultat'!$B$33:$B$46)*(INDEX('Landbrugsareal - resultat'!$L$33:$N$46,,MATCH(E342,'Landbrugsareal - resultat'!$L$5:$N$5,0)))),IF(C342=2030,SUMPRODUCT((B342='Landbrugsareal - resultat'!$B$33:$B$46)*(INDEX('Landbrugsareal - resultat'!$O$33:$Q$46,,MATCH(E342,'Landbrugsareal - resultat'!$O$5:$Q$5,0)))),SUMPRODUCT((B342='Landbrugsareal - resultat'!$B$33:$B$46)*(INDEX('Landbrugsareal - resultat'!$R$33:$T$46,,MATCH(E342,'Landbrugsareal - resultat'!$R$5:$T$5,0))))))))</f>
        <v>27.380862281417578</v>
      </c>
      <c r="H342" s="168">
        <f>G342*VLOOKUP(B342,[1]Afgrødedata!$A$5:$F$18,2,FALSE)*IF(D342="Økologisk",VLOOKUP(B342,[1]Afgrødedata!$A$5:$F$18,4,FALSE),1)*IF(E342&lt;&gt;Jordbund1,IF(E342=Organ6,VLOOKUP(B342,[1]Afgrødedata!$A$5:$F$18,5,FALSE),VLOOKUP(B342,[1]Afgrødedata!$A$5:$F$18,6,FALSE)),1)*0.1</f>
        <v>681.78347080729782</v>
      </c>
      <c r="I342" s="168">
        <f>G342*VLOOKUP(B342,[1]Afgrødedata!$A$5:$F$18,3,FALSE)*IF(D342="Økologisk",VLOOKUP(B342,[1]Afgrødedata!$A$5:$F$18,4,FALSE),1)*IF(E342&lt;&gt;Jordbund1,IF(E342=Organ6,VLOOKUP(B342,[1]Afgrødedata!$A$5:$F$18,5,FALSE),VLOOKUP(B342,[1]Afgrødedata!$A$5:$F$18,6,FALSE)),1)*HLOOKUP(C342,Landbrug!$C$15:$E$17,2,FALSE)*HLOOKUP(C342,Landbrug!$C$15:$E$17,3,FALSE)*0.1</f>
        <v>0</v>
      </c>
      <c r="J342" s="76">
        <f t="shared" si="60"/>
        <v>681.78347080729782</v>
      </c>
    </row>
    <row r="343" spans="1:10" x14ac:dyDescent="0.25">
      <c r="A343" t="s">
        <v>24</v>
      </c>
      <c r="B343" s="1" t="str">
        <f>[1]Afgrødefordeling!$C$7</f>
        <v>Kartofler</v>
      </c>
      <c r="C343">
        <v>2019</v>
      </c>
      <c r="D343" t="s">
        <v>7</v>
      </c>
      <c r="E343" s="168" t="str">
        <f t="shared" si="59"/>
        <v>OC6</v>
      </c>
      <c r="F343" t="str">
        <f t="shared" si="58"/>
        <v>Kartofler</v>
      </c>
      <c r="G343" s="76" cm="1">
        <f t="array" ref="G343">IF(A343="Vestdanmark",IF(D343="Konventionel",IF(C343=2019,SUMPRODUCT((B343='Landbrugsareal - resultat'!$B$6:$B$19)*(INDEX('Landbrugsareal - resultat'!$C$6:$E$19,,MATCH(E343,'Landbrugsareal - resultat'!$C$5:$E$5,0)))),IF(C343=2030,SUMPRODUCT((B343='Landbrugsareal - resultat'!$B$6:$B$19)*(INDEX('Landbrugsareal - resultat'!$F$6:$H$19,,MATCH(E343,'Landbrugsareal - resultat'!$F$5:$H$5,0)))),SUMPRODUCT((B343='Landbrugsareal - resultat'!$B$6:$B$19)*(INDEX('Landbrugsareal - resultat'!$I$6:$K$19,,MATCH(E343,'Landbrugsareal - resultat'!$I$5:$K$5,0)))))),IF(C343=2019,SUMPRODUCT((B343='Landbrugsareal - resultat'!$B$6:$B$19)*(INDEX('Landbrugsareal - resultat'!$L$6:$N$19,,MATCH(E343,'Landbrugsareal - resultat'!$L$5:$N$5,0)))),IF(C343=2030,SUMPRODUCT((B343='Landbrugsareal - resultat'!$B$6:$B$19)*(INDEX('Landbrugsareal - resultat'!$O$6:$Q$19,,MATCH(E343,'Landbrugsareal - resultat'!$O$5:$Q$5,0)))),SUMPRODUCT((B343='Landbrugsareal - resultat'!$B$6:$B$19)*(INDEX('Landbrugsareal - resultat'!$R$6:$T$19,,MATCH(E343,'Landbrugsareal - resultat'!$R$5:$T$5,0))))))),IF(D343="Konventionel",IF(C343=2019,SUMPRODUCT((B343='Landbrugsareal - resultat'!$B$33:$B$46)*(INDEX('Landbrugsareal - resultat'!$C$33:$E$46,,MATCH(E343,'Landbrugsareal - resultat'!$C$5:$E$5,0)))),IF(C343=2030,SUMPRODUCT((B343='Landbrugsareal - resultat'!$B$33:$B$46)*(INDEX('Landbrugsareal - resultat'!$F$33:$H$46,,MATCH(E343,'Landbrugsareal - resultat'!$F$5:$H$5,0)))),SUMPRODUCT((B343='Landbrugsareal - resultat'!$B$33:$B$46)*(INDEX('Landbrugsareal - resultat'!$I$33:$K$46,,MATCH(E343,'Landbrugsareal - resultat'!$I$5:$K$5,0)))))),IF(C343=2019,SUMPRODUCT((B343='Landbrugsareal - resultat'!$B$33:$B$46)*(INDEX('Landbrugsareal - resultat'!$L$33:$N$46,,MATCH(E343,'Landbrugsareal - resultat'!$L$5:$N$5,0)))),IF(C343=2030,SUMPRODUCT((B343='Landbrugsareal - resultat'!$B$33:$B$46)*(INDEX('Landbrugsareal - resultat'!$O$33:$Q$46,,MATCH(E343,'Landbrugsareal - resultat'!$O$5:$Q$5,0)))),SUMPRODUCT((B343='Landbrugsareal - resultat'!$B$33:$B$46)*(INDEX('Landbrugsareal - resultat'!$R$33:$T$46,,MATCH(E343,'Landbrugsareal - resultat'!$R$5:$T$5,0))))))))</f>
        <v>46.549971840812717</v>
      </c>
      <c r="H343" s="168">
        <f>G343*VLOOKUP(B343,[1]Afgrødedata!$A$5:$F$18,2,FALSE)*IF(D343="Økologisk",VLOOKUP(B343,[1]Afgrødedata!$A$5:$F$18,4,FALSE),1)*IF(E343&lt;&gt;Jordbund1,IF(E343=Organ6,VLOOKUP(B343,[1]Afgrødedata!$A$5:$F$18,5,FALSE),VLOOKUP(B343,[1]Afgrødedata!$A$5:$F$18,6,FALSE)),1)*0.1</f>
        <v>2372.4230093092297</v>
      </c>
      <c r="I343" s="168">
        <f>G343*VLOOKUP(B343,[1]Afgrødedata!$A$5:$F$18,3,FALSE)*IF(D343="Økologisk",VLOOKUP(B343,[1]Afgrødedata!$A$5:$F$18,4,FALSE),1)*IF(E343&lt;&gt;Jordbund1,IF(E343=Organ6,VLOOKUP(B343,[1]Afgrødedata!$A$5:$F$18,5,FALSE),VLOOKUP(B343,[1]Afgrødedata!$A$5:$F$18,6,FALSE)),1)*HLOOKUP(C343,Landbrug!$C$15:$E$17,2,FALSE)*HLOOKUP(C343,Landbrug!$C$15:$E$17,3,FALSE)*0.1</f>
        <v>0</v>
      </c>
      <c r="J343" s="76">
        <f t="shared" si="60"/>
        <v>2372.4230093092297</v>
      </c>
    </row>
    <row r="344" spans="1:10" x14ac:dyDescent="0.25">
      <c r="A344" t="s">
        <v>24</v>
      </c>
      <c r="B344" s="1" t="str">
        <f>[1]Afgrødefordeling!$C$8</f>
        <v>Roer</v>
      </c>
      <c r="C344">
        <v>2019</v>
      </c>
      <c r="D344" t="s">
        <v>7</v>
      </c>
      <c r="E344" s="168" t="str">
        <f t="shared" si="59"/>
        <v>OC6</v>
      </c>
      <c r="F344" t="str">
        <f t="shared" si="58"/>
        <v>Roer</v>
      </c>
      <c r="G344" s="76" cm="1">
        <f t="array" ref="G344">IF(A344="Vestdanmark",IF(D344="Konventionel",IF(C344=2019,SUMPRODUCT((B344='Landbrugsareal - resultat'!$B$6:$B$19)*(INDEX('Landbrugsareal - resultat'!$C$6:$E$19,,MATCH(E344,'Landbrugsareal - resultat'!$C$5:$E$5,0)))),IF(C344=2030,SUMPRODUCT((B344='Landbrugsareal - resultat'!$B$6:$B$19)*(INDEX('Landbrugsareal - resultat'!$F$6:$H$19,,MATCH(E344,'Landbrugsareal - resultat'!$F$5:$H$5,0)))),SUMPRODUCT((B344='Landbrugsareal - resultat'!$B$6:$B$19)*(INDEX('Landbrugsareal - resultat'!$I$6:$K$19,,MATCH(E344,'Landbrugsareal - resultat'!$I$5:$K$5,0)))))),IF(C344=2019,SUMPRODUCT((B344='Landbrugsareal - resultat'!$B$6:$B$19)*(INDEX('Landbrugsareal - resultat'!$L$6:$N$19,,MATCH(E344,'Landbrugsareal - resultat'!$L$5:$N$5,0)))),IF(C344=2030,SUMPRODUCT((B344='Landbrugsareal - resultat'!$B$6:$B$19)*(INDEX('Landbrugsareal - resultat'!$O$6:$Q$19,,MATCH(E344,'Landbrugsareal - resultat'!$O$5:$Q$5,0)))),SUMPRODUCT((B344='Landbrugsareal - resultat'!$B$6:$B$19)*(INDEX('Landbrugsareal - resultat'!$R$6:$T$19,,MATCH(E344,'Landbrugsareal - resultat'!$R$5:$T$5,0))))))),IF(D344="Konventionel",IF(C344=2019,SUMPRODUCT((B344='Landbrugsareal - resultat'!$B$33:$B$46)*(INDEX('Landbrugsareal - resultat'!$C$33:$E$46,,MATCH(E344,'Landbrugsareal - resultat'!$C$5:$E$5,0)))),IF(C344=2030,SUMPRODUCT((B344='Landbrugsareal - resultat'!$B$33:$B$46)*(INDEX('Landbrugsareal - resultat'!$F$33:$H$46,,MATCH(E344,'Landbrugsareal - resultat'!$F$5:$H$5,0)))),SUMPRODUCT((B344='Landbrugsareal - resultat'!$B$33:$B$46)*(INDEX('Landbrugsareal - resultat'!$I$33:$K$46,,MATCH(E344,'Landbrugsareal - resultat'!$I$5:$K$5,0)))))),IF(C344=2019,SUMPRODUCT((B344='Landbrugsareal - resultat'!$B$33:$B$46)*(INDEX('Landbrugsareal - resultat'!$L$33:$N$46,,MATCH(E344,'Landbrugsareal - resultat'!$L$5:$N$5,0)))),IF(C344=2030,SUMPRODUCT((B344='Landbrugsareal - resultat'!$B$33:$B$46)*(INDEX('Landbrugsareal - resultat'!$O$33:$Q$46,,MATCH(E344,'Landbrugsareal - resultat'!$O$5:$Q$5,0)))),SUMPRODUCT((B344='Landbrugsareal - resultat'!$B$33:$B$46)*(INDEX('Landbrugsareal - resultat'!$R$33:$T$46,,MATCH(E344,'Landbrugsareal - resultat'!$R$5:$T$5,0))))))))</f>
        <v>130.05082769586514</v>
      </c>
      <c r="H344" s="168">
        <f>G344*VLOOKUP(B344,[1]Afgrødedata!$A$5:$F$18,2,FALSE)*IF(D344="Økologisk",VLOOKUP(B344,[1]Afgrødedata!$A$5:$F$18,4,FALSE),1)*IF(E344&lt;&gt;Jordbund1,IF(E344=Organ6,VLOOKUP(B344,[1]Afgrødedata!$A$5:$F$18,5,FALSE),VLOOKUP(B344,[1]Afgrødedata!$A$5:$F$18,6,FALSE)),1)*0.1</f>
        <v>12680.538017485786</v>
      </c>
      <c r="I344" s="168">
        <f>G344*VLOOKUP(B344,[1]Afgrødedata!$A$5:$F$18,3,FALSE)*IF(D344="Økologisk",VLOOKUP(B344,[1]Afgrødedata!$A$5:$F$18,4,FALSE),1)*IF(E344&lt;&gt;Jordbund1,IF(E344=Organ6,VLOOKUP(B344,[1]Afgrødedata!$A$5:$F$18,5,FALSE),VLOOKUP(B344,[1]Afgrødedata!$A$5:$F$18,6,FALSE)),1)*HLOOKUP(C344,Landbrug!$C$15:$E$17,2,FALSE)*HLOOKUP(C344,Landbrug!$C$15:$E$17,3,FALSE)*0.1</f>
        <v>0</v>
      </c>
      <c r="J344" s="76">
        <f t="shared" si="60"/>
        <v>12680.538017485786</v>
      </c>
    </row>
    <row r="345" spans="1:10" x14ac:dyDescent="0.25">
      <c r="A345" t="s">
        <v>24</v>
      </c>
      <c r="B345" s="1" t="str">
        <f>[1]Afgrødefordeling!$C$9</f>
        <v>Majs</v>
      </c>
      <c r="C345">
        <v>2019</v>
      </c>
      <c r="D345" t="s">
        <v>7</v>
      </c>
      <c r="E345" s="168" t="str">
        <f t="shared" si="59"/>
        <v>OC6</v>
      </c>
      <c r="F345" t="str">
        <f t="shared" si="58"/>
        <v>Majs</v>
      </c>
      <c r="G345" s="76" cm="1">
        <f t="array" ref="G345">IF(A345="Vestdanmark",IF(D345="Konventionel",IF(C345=2019,SUMPRODUCT((B345='Landbrugsareal - resultat'!$B$6:$B$19)*(INDEX('Landbrugsareal - resultat'!$C$6:$E$19,,MATCH(E345,'Landbrugsareal - resultat'!$C$5:$E$5,0)))),IF(C345=2030,SUMPRODUCT((B345='Landbrugsareal - resultat'!$B$6:$B$19)*(INDEX('Landbrugsareal - resultat'!$F$6:$H$19,,MATCH(E345,'Landbrugsareal - resultat'!$F$5:$H$5,0)))),SUMPRODUCT((B345='Landbrugsareal - resultat'!$B$6:$B$19)*(INDEX('Landbrugsareal - resultat'!$I$6:$K$19,,MATCH(E345,'Landbrugsareal - resultat'!$I$5:$K$5,0)))))),IF(C345=2019,SUMPRODUCT((B345='Landbrugsareal - resultat'!$B$6:$B$19)*(INDEX('Landbrugsareal - resultat'!$L$6:$N$19,,MATCH(E345,'Landbrugsareal - resultat'!$L$5:$N$5,0)))),IF(C345=2030,SUMPRODUCT((B345='Landbrugsareal - resultat'!$B$6:$B$19)*(INDEX('Landbrugsareal - resultat'!$O$6:$Q$19,,MATCH(E345,'Landbrugsareal - resultat'!$O$5:$Q$5,0)))),SUMPRODUCT((B345='Landbrugsareal - resultat'!$B$6:$B$19)*(INDEX('Landbrugsareal - resultat'!$R$6:$T$19,,MATCH(E345,'Landbrugsareal - resultat'!$R$5:$T$5,0))))))),IF(D345="Konventionel",IF(C345=2019,SUMPRODUCT((B345='Landbrugsareal - resultat'!$B$33:$B$46)*(INDEX('Landbrugsareal - resultat'!$C$33:$E$46,,MATCH(E345,'Landbrugsareal - resultat'!$C$5:$E$5,0)))),IF(C345=2030,SUMPRODUCT((B345='Landbrugsareal - resultat'!$B$33:$B$46)*(INDEX('Landbrugsareal - resultat'!$F$33:$H$46,,MATCH(E345,'Landbrugsareal - resultat'!$F$5:$H$5,0)))),SUMPRODUCT((B345='Landbrugsareal - resultat'!$B$33:$B$46)*(INDEX('Landbrugsareal - resultat'!$I$33:$K$46,,MATCH(E345,'Landbrugsareal - resultat'!$I$5:$K$5,0)))))),IF(C345=2019,SUMPRODUCT((B345='Landbrugsareal - resultat'!$B$33:$B$46)*(INDEX('Landbrugsareal - resultat'!$L$33:$N$46,,MATCH(E345,'Landbrugsareal - resultat'!$L$5:$N$5,0)))),IF(C345=2030,SUMPRODUCT((B345='Landbrugsareal - resultat'!$B$33:$B$46)*(INDEX('Landbrugsareal - resultat'!$O$33:$Q$46,,MATCH(E345,'Landbrugsareal - resultat'!$O$5:$Q$5,0)))),SUMPRODUCT((B345='Landbrugsareal - resultat'!$B$33:$B$46)*(INDEX('Landbrugsareal - resultat'!$R$33:$T$46,,MATCH(E345,'Landbrugsareal - resultat'!$R$5:$T$5,0))))))))</f>
        <v>138.65425138323147</v>
      </c>
      <c r="H345" s="168">
        <f>G345*VLOOKUP(B345,[1]Afgrødedata!$A$5:$F$18,2,FALSE)*IF(D345="Økologisk",VLOOKUP(B345,[1]Afgrødedata!$A$5:$F$18,4,FALSE),1)*IF(E345&lt;&gt;Jordbund1,IF(E345=Organ6,VLOOKUP(B345,[1]Afgrødedata!$A$5:$F$18,5,FALSE),VLOOKUP(B345,[1]Afgrødedata!$A$5:$F$18,6,FALSE)),1)*0.1</f>
        <v>7405.8008748811599</v>
      </c>
      <c r="I345" s="168">
        <f>G345*VLOOKUP(B345,[1]Afgrødedata!$A$5:$F$18,3,FALSE)*IF(D345="Økologisk",VLOOKUP(B345,[1]Afgrødedata!$A$5:$F$18,4,FALSE),1)*IF(E345&lt;&gt;Jordbund1,IF(E345=Organ6,VLOOKUP(B345,[1]Afgrødedata!$A$5:$F$18,5,FALSE),VLOOKUP(B345,[1]Afgrødedata!$A$5:$F$18,6,FALSE)),1)*HLOOKUP(C345,Landbrug!$C$15:$E$17,2,FALSE)*HLOOKUP(C345,Landbrug!$C$15:$E$17,3,FALSE)*0.1</f>
        <v>0</v>
      </c>
      <c r="J345" s="76">
        <f t="shared" si="60"/>
        <v>7405.8008748811599</v>
      </c>
    </row>
    <row r="346" spans="1:10" x14ac:dyDescent="0.25">
      <c r="A346" t="s">
        <v>24</v>
      </c>
      <c r="B346" s="1" t="str">
        <f>[1]Afgrødefordeling!$C$10</f>
        <v>Frugt</v>
      </c>
      <c r="C346">
        <v>2019</v>
      </c>
      <c r="D346" t="s">
        <v>7</v>
      </c>
      <c r="E346" s="168" t="str">
        <f t="shared" si="59"/>
        <v>OC6</v>
      </c>
      <c r="F346" t="str">
        <f t="shared" si="58"/>
        <v>Frugt</v>
      </c>
      <c r="G346" s="76" cm="1">
        <f t="array" ref="G346">IF(A346="Vestdanmark",IF(D346="Konventionel",IF(C346=2019,SUMPRODUCT((B346='Landbrugsareal - resultat'!$B$6:$B$19)*(INDEX('Landbrugsareal - resultat'!$C$6:$E$19,,MATCH(E346,'Landbrugsareal - resultat'!$C$5:$E$5,0)))),IF(C346=2030,SUMPRODUCT((B346='Landbrugsareal - resultat'!$B$6:$B$19)*(INDEX('Landbrugsareal - resultat'!$F$6:$H$19,,MATCH(E346,'Landbrugsareal - resultat'!$F$5:$H$5,0)))),SUMPRODUCT((B346='Landbrugsareal - resultat'!$B$6:$B$19)*(INDEX('Landbrugsareal - resultat'!$I$6:$K$19,,MATCH(E346,'Landbrugsareal - resultat'!$I$5:$K$5,0)))))),IF(C346=2019,SUMPRODUCT((B346='Landbrugsareal - resultat'!$B$6:$B$19)*(INDEX('Landbrugsareal - resultat'!$L$6:$N$19,,MATCH(E346,'Landbrugsareal - resultat'!$L$5:$N$5,0)))),IF(C346=2030,SUMPRODUCT((B346='Landbrugsareal - resultat'!$B$6:$B$19)*(INDEX('Landbrugsareal - resultat'!$O$6:$Q$19,,MATCH(E346,'Landbrugsareal - resultat'!$O$5:$Q$5,0)))),SUMPRODUCT((B346='Landbrugsareal - resultat'!$B$6:$B$19)*(INDEX('Landbrugsareal - resultat'!$R$6:$T$19,,MATCH(E346,'Landbrugsareal - resultat'!$R$5:$T$5,0))))))),IF(D346="Konventionel",IF(C346=2019,SUMPRODUCT((B346='Landbrugsareal - resultat'!$B$33:$B$46)*(INDEX('Landbrugsareal - resultat'!$C$33:$E$46,,MATCH(E346,'Landbrugsareal - resultat'!$C$5:$E$5,0)))),IF(C346=2030,SUMPRODUCT((B346='Landbrugsareal - resultat'!$B$33:$B$46)*(INDEX('Landbrugsareal - resultat'!$F$33:$H$46,,MATCH(E346,'Landbrugsareal - resultat'!$F$5:$H$5,0)))),SUMPRODUCT((B346='Landbrugsareal - resultat'!$B$33:$B$46)*(INDEX('Landbrugsareal - resultat'!$I$33:$K$46,,MATCH(E346,'Landbrugsareal - resultat'!$I$5:$K$5,0)))))),IF(C346=2019,SUMPRODUCT((B346='Landbrugsareal - resultat'!$B$33:$B$46)*(INDEX('Landbrugsareal - resultat'!$L$33:$N$46,,MATCH(E346,'Landbrugsareal - resultat'!$L$5:$N$5,0)))),IF(C346=2030,SUMPRODUCT((B346='Landbrugsareal - resultat'!$B$33:$B$46)*(INDEX('Landbrugsareal - resultat'!$O$33:$Q$46,,MATCH(E346,'Landbrugsareal - resultat'!$O$5:$Q$5,0)))),SUMPRODUCT((B346='Landbrugsareal - resultat'!$B$33:$B$46)*(INDEX('Landbrugsareal - resultat'!$R$33:$T$46,,MATCH(E346,'Landbrugsareal - resultat'!$R$5:$T$5,0))))))))</f>
        <v>29.910572274561464</v>
      </c>
      <c r="H346" s="168">
        <f>G346*VLOOKUP(B346,[1]Afgrødedata!$A$5:$F$18,2,FALSE)*IF(D346="Økologisk",VLOOKUP(B346,[1]Afgrødedata!$A$5:$F$18,4,FALSE),1)*IF(E346&lt;&gt;Jordbund1,IF(E346=Organ6,VLOOKUP(B346,[1]Afgrødedata!$A$5:$F$18,5,FALSE),VLOOKUP(B346,[1]Afgrødedata!$A$5:$F$18,6,FALSE)),1)*0.1</f>
        <v>304.72891033323219</v>
      </c>
      <c r="I346" s="168">
        <f>G346*VLOOKUP(B346,[1]Afgrødedata!$A$5:$F$18,3,FALSE)*IF(D346="Økologisk",VLOOKUP(B346,[1]Afgrødedata!$A$5:$F$18,4,FALSE),1)*IF(E346&lt;&gt;Jordbund1,IF(E346=Organ6,VLOOKUP(B346,[1]Afgrødedata!$A$5:$F$18,5,FALSE),VLOOKUP(B346,[1]Afgrødedata!$A$5:$F$18,6,FALSE)),1)*HLOOKUP(C346,Landbrug!$C$15:$E$17,2,FALSE)*HLOOKUP(C346,Landbrug!$C$15:$E$17,3,FALSE)*0.1</f>
        <v>0</v>
      </c>
      <c r="J346" s="76">
        <f t="shared" si="60"/>
        <v>304.72891033323219</v>
      </c>
    </row>
    <row r="347" spans="1:10" x14ac:dyDescent="0.25">
      <c r="A347" t="s">
        <v>24</v>
      </c>
      <c r="B347" s="1" t="str">
        <f>[1]Afgrødefordeling!$C$11</f>
        <v>Øvrige</v>
      </c>
      <c r="C347">
        <v>2019</v>
      </c>
      <c r="D347" t="s">
        <v>7</v>
      </c>
      <c r="E347" s="168" t="str">
        <f t="shared" si="59"/>
        <v>OC6</v>
      </c>
      <c r="F347" t="str">
        <f t="shared" si="58"/>
        <v>Øvrige</v>
      </c>
      <c r="G347" s="76" cm="1">
        <f t="array" ref="G347">IF(A347="Vestdanmark",IF(D347="Konventionel",IF(C347=2019,SUMPRODUCT((B347='Landbrugsareal - resultat'!$B$6:$B$19)*(INDEX('Landbrugsareal - resultat'!$C$6:$E$19,,MATCH(E347,'Landbrugsareal - resultat'!$C$5:$E$5,0)))),IF(C347=2030,SUMPRODUCT((B347='Landbrugsareal - resultat'!$B$6:$B$19)*(INDEX('Landbrugsareal - resultat'!$F$6:$H$19,,MATCH(E347,'Landbrugsareal - resultat'!$F$5:$H$5,0)))),SUMPRODUCT((B347='Landbrugsareal - resultat'!$B$6:$B$19)*(INDEX('Landbrugsareal - resultat'!$I$6:$K$19,,MATCH(E347,'Landbrugsareal - resultat'!$I$5:$K$5,0)))))),IF(C347=2019,SUMPRODUCT((B347='Landbrugsareal - resultat'!$B$6:$B$19)*(INDEX('Landbrugsareal - resultat'!$L$6:$N$19,,MATCH(E347,'Landbrugsareal - resultat'!$L$5:$N$5,0)))),IF(C347=2030,SUMPRODUCT((B347='Landbrugsareal - resultat'!$B$6:$B$19)*(INDEX('Landbrugsareal - resultat'!$O$6:$Q$19,,MATCH(E347,'Landbrugsareal - resultat'!$O$5:$Q$5,0)))),SUMPRODUCT((B347='Landbrugsareal - resultat'!$B$6:$B$19)*(INDEX('Landbrugsareal - resultat'!$R$6:$T$19,,MATCH(E347,'Landbrugsareal - resultat'!$R$5:$T$5,0))))))),IF(D347="Konventionel",IF(C347=2019,SUMPRODUCT((B347='Landbrugsareal - resultat'!$B$33:$B$46)*(INDEX('Landbrugsareal - resultat'!$C$33:$E$46,,MATCH(E347,'Landbrugsareal - resultat'!$C$5:$E$5,0)))),IF(C347=2030,SUMPRODUCT((B347='Landbrugsareal - resultat'!$B$33:$B$46)*(INDEX('Landbrugsareal - resultat'!$F$33:$H$46,,MATCH(E347,'Landbrugsareal - resultat'!$F$5:$H$5,0)))),SUMPRODUCT((B347='Landbrugsareal - resultat'!$B$33:$B$46)*(INDEX('Landbrugsareal - resultat'!$I$33:$K$46,,MATCH(E347,'Landbrugsareal - resultat'!$I$5:$K$5,0)))))),IF(C347=2019,SUMPRODUCT((B347='Landbrugsareal - resultat'!$B$33:$B$46)*(INDEX('Landbrugsareal - resultat'!$L$33:$N$46,,MATCH(E347,'Landbrugsareal - resultat'!$L$5:$N$5,0)))),IF(C347=2030,SUMPRODUCT((B347='Landbrugsareal - resultat'!$B$33:$B$46)*(INDEX('Landbrugsareal - resultat'!$O$33:$Q$46,,MATCH(E347,'Landbrugsareal - resultat'!$O$5:$Q$5,0)))),SUMPRODUCT((B347='Landbrugsareal - resultat'!$B$33:$B$46)*(INDEX('Landbrugsareal - resultat'!$R$33:$T$46,,MATCH(E347,'Landbrugsareal - resultat'!$R$5:$T$5,0))))))))</f>
        <v>213.57599301787013</v>
      </c>
      <c r="H347" s="168">
        <f>G347*VLOOKUP(B347,[1]Afgrødedata!$A$5:$F$18,2,FALSE)*IF(D347="Økologisk",VLOOKUP(B347,[1]Afgrødedata!$A$5:$F$18,4,FALSE),1)*IF(E347&lt;&gt;Jordbund1,IF(E347=Organ6,VLOOKUP(B347,[1]Afgrødedata!$A$5:$F$18,5,FALSE),VLOOKUP(B347,[1]Afgrødedata!$A$5:$F$18,6,FALSE)),1)*0.1</f>
        <v>7636.4378671983013</v>
      </c>
      <c r="I347" s="168">
        <f>G347*VLOOKUP(B347,[1]Afgrødedata!$A$5:$F$18,3,FALSE)*IF(D347="Økologisk",VLOOKUP(B347,[1]Afgrødedata!$A$5:$F$18,4,FALSE),1)*IF(E347&lt;&gt;Jordbund1,IF(E347=Organ6,VLOOKUP(B347,[1]Afgrødedata!$A$5:$F$18,5,FALSE),VLOOKUP(B347,[1]Afgrødedata!$A$5:$F$18,6,FALSE)),1)*HLOOKUP(C347,Landbrug!$C$15:$E$17,2,FALSE)*HLOOKUP(C347,Landbrug!$C$15:$E$17,3,FALSE)*0.1</f>
        <v>0</v>
      </c>
      <c r="J347" s="76">
        <f t="shared" si="60"/>
        <v>7636.4378671983013</v>
      </c>
    </row>
    <row r="348" spans="1:10" x14ac:dyDescent="0.25">
      <c r="A348" t="s">
        <v>24</v>
      </c>
      <c r="B348" s="1" t="str">
        <f>[1]Afgrødefordeling!$C$12</f>
        <v>Frø</v>
      </c>
      <c r="C348">
        <v>2019</v>
      </c>
      <c r="D348" t="s">
        <v>7</v>
      </c>
      <c r="E348" s="168" t="str">
        <f t="shared" si="59"/>
        <v>OC6</v>
      </c>
      <c r="F348" t="str">
        <f t="shared" si="58"/>
        <v>Halm</v>
      </c>
      <c r="G348" s="76" cm="1">
        <f t="array" ref="G348">IF(A348="Vestdanmark",IF(D348="Konventionel",IF(C348=2019,SUMPRODUCT((B348='Landbrugsareal - resultat'!$B$6:$B$19)*(INDEX('Landbrugsareal - resultat'!$C$6:$E$19,,MATCH(E348,'Landbrugsareal - resultat'!$C$5:$E$5,0)))),IF(C348=2030,SUMPRODUCT((B348='Landbrugsareal - resultat'!$B$6:$B$19)*(INDEX('Landbrugsareal - resultat'!$F$6:$H$19,,MATCH(E348,'Landbrugsareal - resultat'!$F$5:$H$5,0)))),SUMPRODUCT((B348='Landbrugsareal - resultat'!$B$6:$B$19)*(INDEX('Landbrugsareal - resultat'!$I$6:$K$19,,MATCH(E348,'Landbrugsareal - resultat'!$I$5:$K$5,0)))))),IF(C348=2019,SUMPRODUCT((B348='Landbrugsareal - resultat'!$B$6:$B$19)*(INDEX('Landbrugsareal - resultat'!$L$6:$N$19,,MATCH(E348,'Landbrugsareal - resultat'!$L$5:$N$5,0)))),IF(C348=2030,SUMPRODUCT((B348='Landbrugsareal - resultat'!$B$6:$B$19)*(INDEX('Landbrugsareal - resultat'!$O$6:$Q$19,,MATCH(E348,'Landbrugsareal - resultat'!$O$5:$Q$5,0)))),SUMPRODUCT((B348='Landbrugsareal - resultat'!$B$6:$B$19)*(INDEX('Landbrugsareal - resultat'!$R$6:$T$19,,MATCH(E348,'Landbrugsareal - resultat'!$R$5:$T$5,0))))))),IF(D348="Konventionel",IF(C348=2019,SUMPRODUCT((B348='Landbrugsareal - resultat'!$B$33:$B$46)*(INDEX('Landbrugsareal - resultat'!$C$33:$E$46,,MATCH(E348,'Landbrugsareal - resultat'!$C$5:$E$5,0)))),IF(C348=2030,SUMPRODUCT((B348='Landbrugsareal - resultat'!$B$33:$B$46)*(INDEX('Landbrugsareal - resultat'!$F$33:$H$46,,MATCH(E348,'Landbrugsareal - resultat'!$F$5:$H$5,0)))),SUMPRODUCT((B348='Landbrugsareal - resultat'!$B$33:$B$46)*(INDEX('Landbrugsareal - resultat'!$I$33:$K$46,,MATCH(E348,'Landbrugsareal - resultat'!$I$5:$K$5,0)))))),IF(C348=2019,SUMPRODUCT((B348='Landbrugsareal - resultat'!$B$33:$B$46)*(INDEX('Landbrugsareal - resultat'!$L$33:$N$46,,MATCH(E348,'Landbrugsareal - resultat'!$L$5:$N$5,0)))),IF(C348=2030,SUMPRODUCT((B348='Landbrugsareal - resultat'!$B$33:$B$46)*(INDEX('Landbrugsareal - resultat'!$O$33:$Q$46,,MATCH(E348,'Landbrugsareal - resultat'!$O$5:$Q$5,0)))),SUMPRODUCT((B348='Landbrugsareal - resultat'!$B$33:$B$46)*(INDEX('Landbrugsareal - resultat'!$R$33:$T$46,,MATCH(E348,'Landbrugsareal - resultat'!$R$5:$T$5,0))))))))</f>
        <v>1550.5515811624623</v>
      </c>
      <c r="H348" s="168">
        <f>G348*VLOOKUP(B348,[1]Afgrødedata!$A$5:$F$18,2,FALSE)*IF(D348="Økologisk",VLOOKUP(B348,[1]Afgrødedata!$A$5:$F$18,4,FALSE),1)*IF(E348&lt;&gt;Jordbund1,IF(E348=Organ6,VLOOKUP(B348,[1]Afgrødedata!$A$5:$F$18,5,FALSE),VLOOKUP(B348,[1]Afgrødedata!$A$5:$F$18,6,FALSE)),1)*0.1</f>
        <v>26586.738772371809</v>
      </c>
      <c r="I348" s="168">
        <f>G348*VLOOKUP(B348,[1]Afgrødedata!$A$5:$F$18,3,FALSE)*IF(D348="Økologisk",VLOOKUP(B348,[1]Afgrødedata!$A$5:$F$18,4,FALSE),1)*IF(E348&lt;&gt;Jordbund1,IF(E348=Organ6,VLOOKUP(B348,[1]Afgrødedata!$A$5:$F$18,5,FALSE),VLOOKUP(B348,[1]Afgrødedata!$A$5:$F$18,6,FALSE)),1)*HLOOKUP(C348,Landbrug!$C$15:$E$17,2,FALSE)*HLOOKUP(C348,Landbrug!$C$15:$E$17,3,FALSE)*0.1</f>
        <v>4416.839212036145</v>
      </c>
      <c r="J348" s="76">
        <f t="shared" si="60"/>
        <v>4416.839212036145</v>
      </c>
    </row>
    <row r="349" spans="1:10" x14ac:dyDescent="0.25">
      <c r="A349" t="s">
        <v>24</v>
      </c>
      <c r="B349" s="1" t="str">
        <f>[1]Afgrødefordeling!$C$13</f>
        <v>Juletræer</v>
      </c>
      <c r="C349">
        <v>2019</v>
      </c>
      <c r="D349" t="s">
        <v>7</v>
      </c>
      <c r="E349" s="168" t="str">
        <f t="shared" si="59"/>
        <v>OC6</v>
      </c>
      <c r="F349" t="str">
        <f t="shared" si="58"/>
        <v>Juletræer</v>
      </c>
      <c r="G349" s="76" cm="1">
        <f t="array" ref="G349">IF(A349="Vestdanmark",IF(D349="Konventionel",IF(C349=2019,SUMPRODUCT((B349='Landbrugsareal - resultat'!$B$6:$B$19)*(INDEX('Landbrugsareal - resultat'!$C$6:$E$19,,MATCH(E349,'Landbrugsareal - resultat'!$C$5:$E$5,0)))),IF(C349=2030,SUMPRODUCT((B349='Landbrugsareal - resultat'!$B$6:$B$19)*(INDEX('Landbrugsareal - resultat'!$F$6:$H$19,,MATCH(E349,'Landbrugsareal - resultat'!$F$5:$H$5,0)))),SUMPRODUCT((B349='Landbrugsareal - resultat'!$B$6:$B$19)*(INDEX('Landbrugsareal - resultat'!$I$6:$K$19,,MATCH(E349,'Landbrugsareal - resultat'!$I$5:$K$5,0)))))),IF(C349=2019,SUMPRODUCT((B349='Landbrugsareal - resultat'!$B$6:$B$19)*(INDEX('Landbrugsareal - resultat'!$L$6:$N$19,,MATCH(E349,'Landbrugsareal - resultat'!$L$5:$N$5,0)))),IF(C349=2030,SUMPRODUCT((B349='Landbrugsareal - resultat'!$B$6:$B$19)*(INDEX('Landbrugsareal - resultat'!$O$6:$Q$19,,MATCH(E349,'Landbrugsareal - resultat'!$O$5:$Q$5,0)))),SUMPRODUCT((B349='Landbrugsareal - resultat'!$B$6:$B$19)*(INDEX('Landbrugsareal - resultat'!$R$6:$T$19,,MATCH(E349,'Landbrugsareal - resultat'!$R$5:$T$5,0))))))),IF(D349="Konventionel",IF(C349=2019,SUMPRODUCT((B349='Landbrugsareal - resultat'!$B$33:$B$46)*(INDEX('Landbrugsareal - resultat'!$C$33:$E$46,,MATCH(E349,'Landbrugsareal - resultat'!$C$5:$E$5,0)))),IF(C349=2030,SUMPRODUCT((B349='Landbrugsareal - resultat'!$B$33:$B$46)*(INDEX('Landbrugsareal - resultat'!$F$33:$H$46,,MATCH(E349,'Landbrugsareal - resultat'!$F$5:$H$5,0)))),SUMPRODUCT((B349='Landbrugsareal - resultat'!$B$33:$B$46)*(INDEX('Landbrugsareal - resultat'!$I$33:$K$46,,MATCH(E349,'Landbrugsareal - resultat'!$I$5:$K$5,0)))))),IF(C349=2019,SUMPRODUCT((B349='Landbrugsareal - resultat'!$B$33:$B$46)*(INDEX('Landbrugsareal - resultat'!$L$33:$N$46,,MATCH(E349,'Landbrugsareal - resultat'!$L$5:$N$5,0)))),IF(C349=2030,SUMPRODUCT((B349='Landbrugsareal - resultat'!$B$33:$B$46)*(INDEX('Landbrugsareal - resultat'!$O$33:$Q$46,,MATCH(E349,'Landbrugsareal - resultat'!$O$5:$Q$5,0)))),SUMPRODUCT((B349='Landbrugsareal - resultat'!$B$33:$B$46)*(INDEX('Landbrugsareal - resultat'!$R$33:$T$46,,MATCH(E349,'Landbrugsareal - resultat'!$R$5:$T$5,0))))))))</f>
        <v>46.869696544048971</v>
      </c>
      <c r="H349" s="168">
        <f>G349*VLOOKUP(B349,[1]Afgrødedata!$A$5:$F$18,2,FALSE)*IF(D349="Økologisk",VLOOKUP(B349,[1]Afgrødedata!$A$5:$F$18,4,FALSE),1)*IF(E349&lt;&gt;Jordbund1,IF(E349=Organ6,VLOOKUP(B349,[1]Afgrødedata!$A$5:$F$18,5,FALSE),VLOOKUP(B349,[1]Afgrødedata!$A$5:$F$18,6,FALSE)),1)*0.1</f>
        <v>2812.1817926429385</v>
      </c>
      <c r="I349" s="168">
        <f>G349*VLOOKUP(B349,[1]Afgrødedata!$A$5:$F$18,3,FALSE)*IF(D349="Økologisk",VLOOKUP(B349,[1]Afgrødedata!$A$5:$F$18,4,FALSE),1)*IF(E349&lt;&gt;Jordbund1,IF(E349=Organ6,VLOOKUP(B349,[1]Afgrødedata!$A$5:$F$18,5,FALSE),VLOOKUP(B349,[1]Afgrødedata!$A$5:$F$18,6,FALSE)),1)*HLOOKUP(C349,Landbrug!$C$15:$E$17,2,FALSE)*HLOOKUP(C349,Landbrug!$C$15:$E$17,3,FALSE)*0.1</f>
        <v>0</v>
      </c>
      <c r="J349" s="76">
        <f t="shared" si="60"/>
        <v>2812.1817926429385</v>
      </c>
    </row>
    <row r="350" spans="1:10" x14ac:dyDescent="0.25">
      <c r="A350" t="s">
        <v>24</v>
      </c>
      <c r="B350" s="1" t="str">
        <f>[1]Afgrødefordeling!$C$14</f>
        <v>Pil &amp; poppel</v>
      </c>
      <c r="C350">
        <v>2019</v>
      </c>
      <c r="D350" t="s">
        <v>7</v>
      </c>
      <c r="E350" s="168" t="str">
        <f t="shared" si="59"/>
        <v>OC6</v>
      </c>
      <c r="F350" t="str">
        <f t="shared" si="58"/>
        <v>Pil &amp; poppel</v>
      </c>
      <c r="G350" s="76" cm="1">
        <f t="array" ref="G350">IF(A350="Vestdanmark",IF(D350="Konventionel",IF(C350=2019,SUMPRODUCT((B350='Landbrugsareal - resultat'!$B$6:$B$19)*(INDEX('Landbrugsareal - resultat'!$C$6:$E$19,,MATCH(E350,'Landbrugsareal - resultat'!$C$5:$E$5,0)))),IF(C350=2030,SUMPRODUCT((B350='Landbrugsareal - resultat'!$B$6:$B$19)*(INDEX('Landbrugsareal - resultat'!$F$6:$H$19,,MATCH(E350,'Landbrugsareal - resultat'!$F$5:$H$5,0)))),SUMPRODUCT((B350='Landbrugsareal - resultat'!$B$6:$B$19)*(INDEX('Landbrugsareal - resultat'!$I$6:$K$19,,MATCH(E350,'Landbrugsareal - resultat'!$I$5:$K$5,0)))))),IF(C350=2019,SUMPRODUCT((B350='Landbrugsareal - resultat'!$B$6:$B$19)*(INDEX('Landbrugsareal - resultat'!$L$6:$N$19,,MATCH(E350,'Landbrugsareal - resultat'!$L$5:$N$5,0)))),IF(C350=2030,SUMPRODUCT((B350='Landbrugsareal - resultat'!$B$6:$B$19)*(INDEX('Landbrugsareal - resultat'!$O$6:$Q$19,,MATCH(E350,'Landbrugsareal - resultat'!$O$5:$Q$5,0)))),SUMPRODUCT((B350='Landbrugsareal - resultat'!$B$6:$B$19)*(INDEX('Landbrugsareal - resultat'!$R$6:$T$19,,MATCH(E350,'Landbrugsareal - resultat'!$R$5:$T$5,0))))))),IF(D350="Konventionel",IF(C350=2019,SUMPRODUCT((B350='Landbrugsareal - resultat'!$B$33:$B$46)*(INDEX('Landbrugsareal - resultat'!$C$33:$E$46,,MATCH(E350,'Landbrugsareal - resultat'!$C$5:$E$5,0)))),IF(C350=2030,SUMPRODUCT((B350='Landbrugsareal - resultat'!$B$33:$B$46)*(INDEX('Landbrugsareal - resultat'!$F$33:$H$46,,MATCH(E350,'Landbrugsareal - resultat'!$F$5:$H$5,0)))),SUMPRODUCT((B350='Landbrugsareal - resultat'!$B$33:$B$46)*(INDEX('Landbrugsareal - resultat'!$I$33:$K$46,,MATCH(E350,'Landbrugsareal - resultat'!$I$5:$K$5,0)))))),IF(C350=2019,SUMPRODUCT((B350='Landbrugsareal - resultat'!$B$33:$B$46)*(INDEX('Landbrugsareal - resultat'!$L$33:$N$46,,MATCH(E350,'Landbrugsareal - resultat'!$L$5:$N$5,0)))),IF(C350=2030,SUMPRODUCT((B350='Landbrugsareal - resultat'!$B$33:$B$46)*(INDEX('Landbrugsareal - resultat'!$O$33:$Q$46,,MATCH(E350,'Landbrugsareal - resultat'!$O$5:$Q$5,0)))),SUMPRODUCT((B350='Landbrugsareal - resultat'!$B$33:$B$46)*(INDEX('Landbrugsareal - resultat'!$R$33:$T$46,,MATCH(E350,'Landbrugsareal - resultat'!$R$5:$T$5,0))))))))</f>
        <v>99.475001424808809</v>
      </c>
      <c r="H350" s="168">
        <f>G350*VLOOKUP(B350,[1]Afgrødedata!$A$5:$F$18,2,FALSE)*IF(D350="Økologisk",VLOOKUP(B350,[1]Afgrødedata!$A$5:$F$18,4,FALSE),1)*IF(E350&lt;&gt;Jordbund1,IF(E350=Organ6,VLOOKUP(B350,[1]Afgrødedata!$A$5:$F$18,5,FALSE),VLOOKUP(B350,[1]Afgrødedata!$A$5:$F$18,6,FALSE)),1)*0.1</f>
        <v>2911.4634563358682</v>
      </c>
      <c r="I350" s="168">
        <f>G350*VLOOKUP(B350,[1]Afgrødedata!$A$5:$F$18,3,FALSE)*IF(D350="Økologisk",VLOOKUP(B350,[1]Afgrødedata!$A$5:$F$18,4,FALSE),1)*IF(E350&lt;&gt;Jordbund1,IF(E350=Organ6,VLOOKUP(B350,[1]Afgrødedata!$A$5:$F$18,5,FALSE),VLOOKUP(B350,[1]Afgrødedata!$A$5:$F$18,6,FALSE)),1)*HLOOKUP(C350,Landbrug!$C$15:$E$17,2,FALSE)*HLOOKUP(C350,Landbrug!$C$15:$E$17,3,FALSE)*0.1</f>
        <v>0</v>
      </c>
      <c r="J350" s="76">
        <f t="shared" si="60"/>
        <v>2911.4634563358682</v>
      </c>
    </row>
    <row r="351" spans="1:10" x14ac:dyDescent="0.25">
      <c r="A351" t="s">
        <v>24</v>
      </c>
      <c r="B351" s="1" t="str">
        <f>[1]Afgrødefordeling!$C$15</f>
        <v>Permanent græs</v>
      </c>
      <c r="C351">
        <v>2019</v>
      </c>
      <c r="D351" t="s">
        <v>7</v>
      </c>
      <c r="E351" s="168" t="str">
        <f t="shared" si="59"/>
        <v>OC6</v>
      </c>
      <c r="F351" t="str">
        <f t="shared" si="58"/>
        <v>Græs</v>
      </c>
      <c r="G351" s="76" cm="1">
        <f t="array" ref="G351">IF(A351="Vestdanmark",IF(D351="Konventionel",IF(C351=2019,SUMPRODUCT((B351='Landbrugsareal - resultat'!$B$6:$B$19)*(INDEX('Landbrugsareal - resultat'!$C$6:$E$19,,MATCH(E351,'Landbrugsareal - resultat'!$C$5:$E$5,0)))),IF(C351=2030,SUMPRODUCT((B351='Landbrugsareal - resultat'!$B$6:$B$19)*(INDEX('Landbrugsareal - resultat'!$F$6:$H$19,,MATCH(E351,'Landbrugsareal - resultat'!$F$5:$H$5,0)))),SUMPRODUCT((B351='Landbrugsareal - resultat'!$B$6:$B$19)*(INDEX('Landbrugsareal - resultat'!$I$6:$K$19,,MATCH(E351,'Landbrugsareal - resultat'!$I$5:$K$5,0)))))),IF(C351=2019,SUMPRODUCT((B351='Landbrugsareal - resultat'!$B$6:$B$19)*(INDEX('Landbrugsareal - resultat'!$L$6:$N$19,,MATCH(E351,'Landbrugsareal - resultat'!$L$5:$N$5,0)))),IF(C351=2030,SUMPRODUCT((B351='Landbrugsareal - resultat'!$B$6:$B$19)*(INDEX('Landbrugsareal - resultat'!$O$6:$Q$19,,MATCH(E351,'Landbrugsareal - resultat'!$O$5:$Q$5,0)))),SUMPRODUCT((B351='Landbrugsareal - resultat'!$B$6:$B$19)*(INDEX('Landbrugsareal - resultat'!$R$6:$T$19,,MATCH(E351,'Landbrugsareal - resultat'!$R$5:$T$5,0))))))),IF(D351="Konventionel",IF(C351=2019,SUMPRODUCT((B351='Landbrugsareal - resultat'!$B$33:$B$46)*(INDEX('Landbrugsareal - resultat'!$C$33:$E$46,,MATCH(E351,'Landbrugsareal - resultat'!$C$5:$E$5,0)))),IF(C351=2030,SUMPRODUCT((B351='Landbrugsareal - resultat'!$B$33:$B$46)*(INDEX('Landbrugsareal - resultat'!$F$33:$H$46,,MATCH(E351,'Landbrugsareal - resultat'!$F$5:$H$5,0)))),SUMPRODUCT((B351='Landbrugsareal - resultat'!$B$33:$B$46)*(INDEX('Landbrugsareal - resultat'!$I$33:$K$46,,MATCH(E351,'Landbrugsareal - resultat'!$I$5:$K$5,0)))))),IF(C351=2019,SUMPRODUCT((B351='Landbrugsareal - resultat'!$B$33:$B$46)*(INDEX('Landbrugsareal - resultat'!$L$33:$N$46,,MATCH(E351,'Landbrugsareal - resultat'!$L$5:$N$5,0)))),IF(C351=2030,SUMPRODUCT((B351='Landbrugsareal - resultat'!$B$33:$B$46)*(INDEX('Landbrugsareal - resultat'!$O$33:$Q$46,,MATCH(E351,'Landbrugsareal - resultat'!$O$5:$Q$5,0)))),SUMPRODUCT((B351='Landbrugsareal - resultat'!$B$33:$B$46)*(INDEX('Landbrugsareal - resultat'!$R$33:$T$46,,MATCH(E351,'Landbrugsareal - resultat'!$R$5:$T$5,0))))))))</f>
        <v>2905.4159151668305</v>
      </c>
      <c r="H351" s="168">
        <f>G351*VLOOKUP(B351,[1]Afgrødedata!$A$5:$F$18,2,FALSE)*IF(D351="Økologisk",VLOOKUP(B351,[1]Afgrødedata!$A$5:$F$18,4,FALSE),1)*IF(E351&lt;&gt;Jordbund1,IF(E351=Organ6,VLOOKUP(B351,[1]Afgrødedata!$A$5:$F$18,5,FALSE),VLOOKUP(B351,[1]Afgrødedata!$A$5:$F$18,6,FALSE)),1)*0.1</f>
        <v>48078.822564180708</v>
      </c>
      <c r="I351" s="168">
        <f>G351*VLOOKUP(B351,[1]Afgrødedata!$A$5:$F$18,3,FALSE)*IF(D351="Økologisk",VLOOKUP(B351,[1]Afgrødedata!$A$5:$F$18,4,FALSE),1)*IF(E351&lt;&gt;Jordbund1,IF(E351=Organ6,VLOOKUP(B351,[1]Afgrødedata!$A$5:$F$18,5,FALSE),VLOOKUP(B351,[1]Afgrødedata!$A$5:$F$18,6,FALSE)),1)*HLOOKUP(C351,Landbrug!$C$15:$E$17,2,FALSE)*HLOOKUP(C351,Landbrug!$C$15:$E$17,3,FALSE)*0.1</f>
        <v>0</v>
      </c>
      <c r="J351" s="76">
        <f t="shared" si="60"/>
        <v>48078.822564180708</v>
      </c>
    </row>
    <row r="352" spans="1:10" x14ac:dyDescent="0.25">
      <c r="A352" t="s">
        <v>24</v>
      </c>
      <c r="B352" s="1" t="str">
        <f>[1]Afgrødefordeling!$C$2</f>
        <v>Korn</v>
      </c>
      <c r="C352">
        <v>2030</v>
      </c>
      <c r="D352" t="s">
        <v>7</v>
      </c>
      <c r="E352" s="168" t="str">
        <f t="shared" si="59"/>
        <v>OC6</v>
      </c>
      <c r="F352" t="str">
        <f t="shared" si="58"/>
        <v>Halm</v>
      </c>
      <c r="G352" s="76" cm="1">
        <f t="array" ref="G352">IF(A352="Vestdanmark",IF(D352="Konventionel",IF(C352=2019,SUMPRODUCT((B352='Landbrugsareal - resultat'!$B$6:$B$19)*(INDEX('Landbrugsareal - resultat'!$C$6:$E$19,,MATCH(E352,'Landbrugsareal - resultat'!$C$5:$E$5,0)))),IF(C352=2030,SUMPRODUCT((B352='Landbrugsareal - resultat'!$B$6:$B$19)*(INDEX('Landbrugsareal - resultat'!$F$6:$H$19,,MATCH(E352,'Landbrugsareal - resultat'!$F$5:$H$5,0)))),SUMPRODUCT((B352='Landbrugsareal - resultat'!$B$6:$B$19)*(INDEX('Landbrugsareal - resultat'!$I$6:$K$19,,MATCH(E352,'Landbrugsareal - resultat'!$I$5:$K$5,0)))))),IF(C352=2019,SUMPRODUCT((B352='Landbrugsareal - resultat'!$B$6:$B$19)*(INDEX('Landbrugsareal - resultat'!$L$6:$N$19,,MATCH(E352,'Landbrugsareal - resultat'!$L$5:$N$5,0)))),IF(C352=2030,SUMPRODUCT((B352='Landbrugsareal - resultat'!$B$6:$B$19)*(INDEX('Landbrugsareal - resultat'!$O$6:$Q$19,,MATCH(E352,'Landbrugsareal - resultat'!$O$5:$Q$5,0)))),SUMPRODUCT((B352='Landbrugsareal - resultat'!$B$6:$B$19)*(INDEX('Landbrugsareal - resultat'!$R$6:$T$19,,MATCH(E352,'Landbrugsareal - resultat'!$R$5:$T$5,0))))))),IF(D352="Konventionel",IF(C352=2019,SUMPRODUCT((B352='Landbrugsareal - resultat'!$B$33:$B$46)*(INDEX('Landbrugsareal - resultat'!$C$33:$E$46,,MATCH(E352,'Landbrugsareal - resultat'!$C$5:$E$5,0)))),IF(C352=2030,SUMPRODUCT((B352='Landbrugsareal - resultat'!$B$33:$B$46)*(INDEX('Landbrugsareal - resultat'!$F$33:$H$46,,MATCH(E352,'Landbrugsareal - resultat'!$F$5:$H$5,0)))),SUMPRODUCT((B352='Landbrugsareal - resultat'!$B$33:$B$46)*(INDEX('Landbrugsareal - resultat'!$I$33:$K$46,,MATCH(E352,'Landbrugsareal - resultat'!$I$5:$K$5,0)))))),IF(C352=2019,SUMPRODUCT((B352='Landbrugsareal - resultat'!$B$33:$B$46)*(INDEX('Landbrugsareal - resultat'!$L$33:$N$46,,MATCH(E352,'Landbrugsareal - resultat'!$L$5:$N$5,0)))),IF(C352=2030,SUMPRODUCT((B352='Landbrugsareal - resultat'!$B$33:$B$46)*(INDEX('Landbrugsareal - resultat'!$O$33:$Q$46,,MATCH(E352,'Landbrugsareal - resultat'!$O$5:$Q$5,0)))),SUMPRODUCT((B352='Landbrugsareal - resultat'!$B$33:$B$46)*(INDEX('Landbrugsareal - resultat'!$R$33:$T$46,,MATCH(E352,'Landbrugsareal - resultat'!$R$5:$T$5,0))))))))</f>
        <v>4071.7505277200084</v>
      </c>
      <c r="H352" s="168">
        <f>G352*VLOOKUP(B352,[1]Afgrødedata!$A$5:$F$18,2,FALSE)*IF(D352="Økologisk",VLOOKUP(B352,[1]Afgrødedata!$A$5:$F$18,4,FALSE),1)*IF(E352&lt;&gt;Jordbund1,IF(E352=Organ6,VLOOKUP(B352,[1]Afgrødedata!$A$5:$F$18,5,FALSE),VLOOKUP(B352,[1]Afgrødedata!$A$5:$F$18,6,FALSE)),1)*0.1</f>
        <v>34251.565439180711</v>
      </c>
      <c r="I352" s="168">
        <f>G352*VLOOKUP(B352,[1]Afgrødedata!$A$5:$F$18,3,FALSE)*IF(D352="Økologisk",VLOOKUP(B352,[1]Afgrødedata!$A$5:$F$18,4,FALSE),1)*IF(E352&lt;&gt;Jordbund1,IF(E352=Organ6,VLOOKUP(B352,[1]Afgrødedata!$A$5:$F$18,5,FALSE),VLOOKUP(B352,[1]Afgrødedata!$A$5:$F$18,6,FALSE)),1)*HLOOKUP(C352,Landbrug!$C$15:$E$17,2,FALSE)*HLOOKUP(C352,Landbrug!$C$15:$E$17,3,FALSE)*0.1</f>
        <v>11114.632985014141</v>
      </c>
      <c r="J352" s="76">
        <f t="shared" si="60"/>
        <v>11114.632985014141</v>
      </c>
    </row>
    <row r="353" spans="1:10" x14ac:dyDescent="0.25">
      <c r="A353" t="s">
        <v>24</v>
      </c>
      <c r="B353" s="1" t="str">
        <f>[1]Afgrødefordeling!$C$3</f>
        <v>Bælgsæd</v>
      </c>
      <c r="C353">
        <v>2030</v>
      </c>
      <c r="D353" t="s">
        <v>7</v>
      </c>
      <c r="E353" s="168" t="str">
        <f t="shared" si="59"/>
        <v>OC6</v>
      </c>
      <c r="F353" t="str">
        <f t="shared" si="58"/>
        <v>Halm</v>
      </c>
      <c r="G353" s="76" cm="1">
        <f t="array" ref="G353">IF(A353="Vestdanmark",IF(D353="Konventionel",IF(C353=2019,SUMPRODUCT((B353='Landbrugsareal - resultat'!$B$6:$B$19)*(INDEX('Landbrugsareal - resultat'!$C$6:$E$19,,MATCH(E353,'Landbrugsareal - resultat'!$C$5:$E$5,0)))),IF(C353=2030,SUMPRODUCT((B353='Landbrugsareal - resultat'!$B$6:$B$19)*(INDEX('Landbrugsareal - resultat'!$F$6:$H$19,,MATCH(E353,'Landbrugsareal - resultat'!$F$5:$H$5,0)))),SUMPRODUCT((B353='Landbrugsareal - resultat'!$B$6:$B$19)*(INDEX('Landbrugsareal - resultat'!$I$6:$K$19,,MATCH(E353,'Landbrugsareal - resultat'!$I$5:$K$5,0)))))),IF(C353=2019,SUMPRODUCT((B353='Landbrugsareal - resultat'!$B$6:$B$19)*(INDEX('Landbrugsareal - resultat'!$L$6:$N$19,,MATCH(E353,'Landbrugsareal - resultat'!$L$5:$N$5,0)))),IF(C353=2030,SUMPRODUCT((B353='Landbrugsareal - resultat'!$B$6:$B$19)*(INDEX('Landbrugsareal - resultat'!$O$6:$Q$19,,MATCH(E353,'Landbrugsareal - resultat'!$O$5:$Q$5,0)))),SUMPRODUCT((B353='Landbrugsareal - resultat'!$B$6:$B$19)*(INDEX('Landbrugsareal - resultat'!$R$6:$T$19,,MATCH(E353,'Landbrugsareal - resultat'!$R$5:$T$5,0))))))),IF(D353="Konventionel",IF(C353=2019,SUMPRODUCT((B353='Landbrugsareal - resultat'!$B$33:$B$46)*(INDEX('Landbrugsareal - resultat'!$C$33:$E$46,,MATCH(E353,'Landbrugsareal - resultat'!$C$5:$E$5,0)))),IF(C353=2030,SUMPRODUCT((B353='Landbrugsareal - resultat'!$B$33:$B$46)*(INDEX('Landbrugsareal - resultat'!$F$33:$H$46,,MATCH(E353,'Landbrugsareal - resultat'!$F$5:$H$5,0)))),SUMPRODUCT((B353='Landbrugsareal - resultat'!$B$33:$B$46)*(INDEX('Landbrugsareal - resultat'!$I$33:$K$46,,MATCH(E353,'Landbrugsareal - resultat'!$I$5:$K$5,0)))))),IF(C353=2019,SUMPRODUCT((B353='Landbrugsareal - resultat'!$B$33:$B$46)*(INDEX('Landbrugsareal - resultat'!$L$33:$N$46,,MATCH(E353,'Landbrugsareal - resultat'!$L$5:$N$5,0)))),IF(C353=2030,SUMPRODUCT((B353='Landbrugsareal - resultat'!$B$33:$B$46)*(INDEX('Landbrugsareal - resultat'!$O$33:$Q$46,,MATCH(E353,'Landbrugsareal - resultat'!$O$5:$Q$5,0)))),SUMPRODUCT((B353='Landbrugsareal - resultat'!$B$33:$B$46)*(INDEX('Landbrugsareal - resultat'!$R$33:$T$46,,MATCH(E353,'Landbrugsareal - resultat'!$R$5:$T$5,0))))))))</f>
        <v>110.10664288850748</v>
      </c>
      <c r="H353" s="168">
        <f>G353*VLOOKUP(B353,[1]Afgrødedata!$A$5:$F$18,2,FALSE)*IF(D353="Økologisk",VLOOKUP(B353,[1]Afgrødedata!$A$5:$F$18,4,FALSE),1)*IF(E353&lt;&gt;Jordbund1,IF(E353=Organ6,VLOOKUP(B353,[1]Afgrødedata!$A$5:$F$18,5,FALSE),VLOOKUP(B353,[1]Afgrødedata!$A$5:$F$18,6,FALSE)),1)*0.1</f>
        <v>510.01396985956666</v>
      </c>
      <c r="I353" s="168">
        <f>G353*VLOOKUP(B353,[1]Afgrødedata!$A$5:$F$18,3,FALSE)*IF(D353="Økologisk",VLOOKUP(B353,[1]Afgrødedata!$A$5:$F$18,4,FALSE),1)*IF(E353&lt;&gt;Jordbund1,IF(E353=Organ6,VLOOKUP(B353,[1]Afgrødedata!$A$5:$F$18,5,FALSE),VLOOKUP(B353,[1]Afgrødedata!$A$5:$F$18,6,FALSE)),1)*HLOOKUP(C353,Landbrug!$C$15:$E$17,2,FALSE)*HLOOKUP(C353,Landbrug!$C$15:$E$17,3,FALSE)*0.1</f>
        <v>150.53207661173718</v>
      </c>
      <c r="J353" s="76">
        <f t="shared" si="60"/>
        <v>150.53207661173718</v>
      </c>
    </row>
    <row r="354" spans="1:10" x14ac:dyDescent="0.25">
      <c r="A354" t="s">
        <v>24</v>
      </c>
      <c r="B354" s="1" t="str">
        <f>[1]Afgrødefordeling!$C$4</f>
        <v>Raps</v>
      </c>
      <c r="C354">
        <v>2030</v>
      </c>
      <c r="D354" t="s">
        <v>7</v>
      </c>
      <c r="E354" s="168" t="str">
        <f t="shared" si="59"/>
        <v>OC6</v>
      </c>
      <c r="F354" t="str">
        <f t="shared" si="58"/>
        <v>Halm</v>
      </c>
      <c r="G354" s="76" cm="1">
        <f t="array" ref="G354">IF(A354="Vestdanmark",IF(D354="Konventionel",IF(C354=2019,SUMPRODUCT((B354='Landbrugsareal - resultat'!$B$6:$B$19)*(INDEX('Landbrugsareal - resultat'!$C$6:$E$19,,MATCH(E354,'Landbrugsareal - resultat'!$C$5:$E$5,0)))),IF(C354=2030,SUMPRODUCT((B354='Landbrugsareal - resultat'!$B$6:$B$19)*(INDEX('Landbrugsareal - resultat'!$F$6:$H$19,,MATCH(E354,'Landbrugsareal - resultat'!$F$5:$H$5,0)))),SUMPRODUCT((B354='Landbrugsareal - resultat'!$B$6:$B$19)*(INDEX('Landbrugsareal - resultat'!$I$6:$K$19,,MATCH(E354,'Landbrugsareal - resultat'!$I$5:$K$5,0)))))),IF(C354=2019,SUMPRODUCT((B354='Landbrugsareal - resultat'!$B$6:$B$19)*(INDEX('Landbrugsareal - resultat'!$L$6:$N$19,,MATCH(E354,'Landbrugsareal - resultat'!$L$5:$N$5,0)))),IF(C354=2030,SUMPRODUCT((B354='Landbrugsareal - resultat'!$B$6:$B$19)*(INDEX('Landbrugsareal - resultat'!$O$6:$Q$19,,MATCH(E354,'Landbrugsareal - resultat'!$O$5:$Q$5,0)))),SUMPRODUCT((B354='Landbrugsareal - resultat'!$B$6:$B$19)*(INDEX('Landbrugsareal - resultat'!$R$6:$T$19,,MATCH(E354,'Landbrugsareal - resultat'!$R$5:$T$5,0))))))),IF(D354="Konventionel",IF(C354=2019,SUMPRODUCT((B354='Landbrugsareal - resultat'!$B$33:$B$46)*(INDEX('Landbrugsareal - resultat'!$C$33:$E$46,,MATCH(E354,'Landbrugsareal - resultat'!$C$5:$E$5,0)))),IF(C354=2030,SUMPRODUCT((B354='Landbrugsareal - resultat'!$B$33:$B$46)*(INDEX('Landbrugsareal - resultat'!$F$33:$H$46,,MATCH(E354,'Landbrugsareal - resultat'!$F$5:$H$5,0)))),SUMPRODUCT((B354='Landbrugsareal - resultat'!$B$33:$B$46)*(INDEX('Landbrugsareal - resultat'!$I$33:$K$46,,MATCH(E354,'Landbrugsareal - resultat'!$I$5:$K$5,0)))))),IF(C354=2019,SUMPRODUCT((B354='Landbrugsareal - resultat'!$B$33:$B$46)*(INDEX('Landbrugsareal - resultat'!$L$33:$N$46,,MATCH(E354,'Landbrugsareal - resultat'!$L$5:$N$5,0)))),IF(C354=2030,SUMPRODUCT((B354='Landbrugsareal - resultat'!$B$33:$B$46)*(INDEX('Landbrugsareal - resultat'!$O$33:$Q$46,,MATCH(E354,'Landbrugsareal - resultat'!$O$5:$Q$5,0)))),SUMPRODUCT((B354='Landbrugsareal - resultat'!$B$33:$B$46)*(INDEX('Landbrugsareal - resultat'!$R$33:$T$46,,MATCH(E354,'Landbrugsareal - resultat'!$R$5:$T$5,0))))))))</f>
        <v>444.73793075296811</v>
      </c>
      <c r="H354" s="168">
        <f>G354*VLOOKUP(B354,[1]Afgrødedata!$A$5:$F$18,2,FALSE)*IF(D354="Økologisk",VLOOKUP(B354,[1]Afgrødedata!$A$5:$F$18,4,FALSE),1)*IF(E354&lt;&gt;Jordbund1,IF(E354=Organ6,VLOOKUP(B354,[1]Afgrødedata!$A$5:$F$18,5,FALSE),VLOOKUP(B354,[1]Afgrødedata!$A$5:$F$18,6,FALSE)),1)*0.1</f>
        <v>2348.2162743756717</v>
      </c>
      <c r="I354" s="168">
        <f>G354*VLOOKUP(B354,[1]Afgrødedata!$A$5:$F$18,3,FALSE)*IF(D354="Økologisk",VLOOKUP(B354,[1]Afgrødedata!$A$5:$F$18,4,FALSE),1)*IF(E354&lt;&gt;Jordbund1,IF(E354=Organ6,VLOOKUP(B354,[1]Afgrødedata!$A$5:$F$18,5,FALSE),VLOOKUP(B354,[1]Afgrødedata!$A$5:$F$18,6,FALSE)),1)*HLOOKUP(C354,Landbrug!$C$15:$E$17,2,FALSE)*HLOOKUP(C354,Landbrug!$C$15:$E$17,3,FALSE)*0.1</f>
        <v>1246.9028416934816</v>
      </c>
      <c r="J354" s="76">
        <f t="shared" si="60"/>
        <v>1246.9028416934816</v>
      </c>
    </row>
    <row r="355" spans="1:10" x14ac:dyDescent="0.25">
      <c r="A355" t="s">
        <v>24</v>
      </c>
      <c r="B355" s="1" t="str">
        <f>[1]Afgrødefordeling!$C$5</f>
        <v>Græs</v>
      </c>
      <c r="C355">
        <v>2030</v>
      </c>
      <c r="D355" t="s">
        <v>7</v>
      </c>
      <c r="E355" s="168" t="str">
        <f t="shared" si="59"/>
        <v>OC6</v>
      </c>
      <c r="F355" t="str">
        <f t="shared" si="58"/>
        <v>Græs</v>
      </c>
      <c r="G355" s="76" cm="1">
        <f t="array" ref="G355">IF(A355="Vestdanmark",IF(D355="Konventionel",IF(C355=2019,SUMPRODUCT((B355='Landbrugsareal - resultat'!$B$6:$B$19)*(INDEX('Landbrugsareal - resultat'!$C$6:$E$19,,MATCH(E355,'Landbrugsareal - resultat'!$C$5:$E$5,0)))),IF(C355=2030,SUMPRODUCT((B355='Landbrugsareal - resultat'!$B$6:$B$19)*(INDEX('Landbrugsareal - resultat'!$F$6:$H$19,,MATCH(E355,'Landbrugsareal - resultat'!$F$5:$H$5,0)))),SUMPRODUCT((B355='Landbrugsareal - resultat'!$B$6:$B$19)*(INDEX('Landbrugsareal - resultat'!$I$6:$K$19,,MATCH(E355,'Landbrugsareal - resultat'!$I$5:$K$5,0)))))),IF(C355=2019,SUMPRODUCT((B355='Landbrugsareal - resultat'!$B$6:$B$19)*(INDEX('Landbrugsareal - resultat'!$L$6:$N$19,,MATCH(E355,'Landbrugsareal - resultat'!$L$5:$N$5,0)))),IF(C355=2030,SUMPRODUCT((B355='Landbrugsareal - resultat'!$B$6:$B$19)*(INDEX('Landbrugsareal - resultat'!$O$6:$Q$19,,MATCH(E355,'Landbrugsareal - resultat'!$O$5:$Q$5,0)))),SUMPRODUCT((B355='Landbrugsareal - resultat'!$B$6:$B$19)*(INDEX('Landbrugsareal - resultat'!$R$6:$T$19,,MATCH(E355,'Landbrugsareal - resultat'!$R$5:$T$5,0))))))),IF(D355="Konventionel",IF(C355=2019,SUMPRODUCT((B355='Landbrugsareal - resultat'!$B$33:$B$46)*(INDEX('Landbrugsareal - resultat'!$C$33:$E$46,,MATCH(E355,'Landbrugsareal - resultat'!$C$5:$E$5,0)))),IF(C355=2030,SUMPRODUCT((B355='Landbrugsareal - resultat'!$B$33:$B$46)*(INDEX('Landbrugsareal - resultat'!$F$33:$H$46,,MATCH(E355,'Landbrugsareal - resultat'!$F$5:$H$5,0)))),SUMPRODUCT((B355='Landbrugsareal - resultat'!$B$33:$B$46)*(INDEX('Landbrugsareal - resultat'!$I$33:$K$46,,MATCH(E355,'Landbrugsareal - resultat'!$I$5:$K$5,0)))))),IF(C355=2019,SUMPRODUCT((B355='Landbrugsareal - resultat'!$B$33:$B$46)*(INDEX('Landbrugsareal - resultat'!$L$33:$N$46,,MATCH(E355,'Landbrugsareal - resultat'!$L$5:$N$5,0)))),IF(C355=2030,SUMPRODUCT((B355='Landbrugsareal - resultat'!$B$33:$B$46)*(INDEX('Landbrugsareal - resultat'!$O$33:$Q$46,,MATCH(E355,'Landbrugsareal - resultat'!$O$5:$Q$5,0)))),SUMPRODUCT((B355='Landbrugsareal - resultat'!$B$33:$B$46)*(INDEX('Landbrugsareal - resultat'!$R$33:$T$46,,MATCH(E355,'Landbrugsareal - resultat'!$R$5:$T$5,0))))))))</f>
        <v>1307.7158631741513</v>
      </c>
      <c r="H355" s="168">
        <f>G355*VLOOKUP(B355,[1]Afgrødedata!$A$5:$F$18,2,FALSE)*IF(D355="Økologisk",VLOOKUP(B355,[1]Afgrødedata!$A$5:$F$18,4,FALSE),1)*IF(E355&lt;&gt;Jordbund1,IF(E355=Organ6,VLOOKUP(B355,[1]Afgrødedata!$A$5:$F$18,5,FALSE),VLOOKUP(B355,[1]Afgrødedata!$A$5:$F$18,6,FALSE)),1)*0.1</f>
        <v>77866.633356841674</v>
      </c>
      <c r="I355" s="168">
        <f>G355*VLOOKUP(B355,[1]Afgrødedata!$A$5:$F$18,3,FALSE)*IF(D355="Økologisk",VLOOKUP(B355,[1]Afgrødedata!$A$5:$F$18,4,FALSE),1)*IF(E355&lt;&gt;Jordbund1,IF(E355=Organ6,VLOOKUP(B355,[1]Afgrødedata!$A$5:$F$18,5,FALSE),VLOOKUP(B355,[1]Afgrødedata!$A$5:$F$18,6,FALSE)),1)*HLOOKUP(C355,Landbrug!$C$15:$E$17,2,FALSE)*HLOOKUP(C355,Landbrug!$C$15:$E$17,3,FALSE)*0.1</f>
        <v>0</v>
      </c>
      <c r="J355" s="76">
        <f t="shared" si="60"/>
        <v>77866.633356841674</v>
      </c>
    </row>
    <row r="356" spans="1:10" x14ac:dyDescent="0.25">
      <c r="A356" t="s">
        <v>24</v>
      </c>
      <c r="B356" s="1" t="str">
        <f>[1]Afgrødefordeling!$C$6</f>
        <v>Grøntsager</v>
      </c>
      <c r="C356">
        <v>2030</v>
      </c>
      <c r="D356" t="s">
        <v>7</v>
      </c>
      <c r="E356" s="168" t="str">
        <f t="shared" si="59"/>
        <v>OC6</v>
      </c>
      <c r="F356" t="str">
        <f t="shared" si="58"/>
        <v>Grøntsager</v>
      </c>
      <c r="G356" s="76" cm="1">
        <f t="array" ref="G356">IF(A356="Vestdanmark",IF(D356="Konventionel",IF(C356=2019,SUMPRODUCT((B356='Landbrugsareal - resultat'!$B$6:$B$19)*(INDEX('Landbrugsareal - resultat'!$C$6:$E$19,,MATCH(E356,'Landbrugsareal - resultat'!$C$5:$E$5,0)))),IF(C356=2030,SUMPRODUCT((B356='Landbrugsareal - resultat'!$B$6:$B$19)*(INDEX('Landbrugsareal - resultat'!$F$6:$H$19,,MATCH(E356,'Landbrugsareal - resultat'!$F$5:$H$5,0)))),SUMPRODUCT((B356='Landbrugsareal - resultat'!$B$6:$B$19)*(INDEX('Landbrugsareal - resultat'!$I$6:$K$19,,MATCH(E356,'Landbrugsareal - resultat'!$I$5:$K$5,0)))))),IF(C356=2019,SUMPRODUCT((B356='Landbrugsareal - resultat'!$B$6:$B$19)*(INDEX('Landbrugsareal - resultat'!$L$6:$N$19,,MATCH(E356,'Landbrugsareal - resultat'!$L$5:$N$5,0)))),IF(C356=2030,SUMPRODUCT((B356='Landbrugsareal - resultat'!$B$6:$B$19)*(INDEX('Landbrugsareal - resultat'!$O$6:$Q$19,,MATCH(E356,'Landbrugsareal - resultat'!$O$5:$Q$5,0)))),SUMPRODUCT((B356='Landbrugsareal - resultat'!$B$6:$B$19)*(INDEX('Landbrugsareal - resultat'!$R$6:$T$19,,MATCH(E356,'Landbrugsareal - resultat'!$R$5:$T$5,0))))))),IF(D356="Konventionel",IF(C356=2019,SUMPRODUCT((B356='Landbrugsareal - resultat'!$B$33:$B$46)*(INDEX('Landbrugsareal - resultat'!$C$33:$E$46,,MATCH(E356,'Landbrugsareal - resultat'!$C$5:$E$5,0)))),IF(C356=2030,SUMPRODUCT((B356='Landbrugsareal - resultat'!$B$33:$B$46)*(INDEX('Landbrugsareal - resultat'!$F$33:$H$46,,MATCH(E356,'Landbrugsareal - resultat'!$F$5:$H$5,0)))),SUMPRODUCT((B356='Landbrugsareal - resultat'!$B$33:$B$46)*(INDEX('Landbrugsareal - resultat'!$I$33:$K$46,,MATCH(E356,'Landbrugsareal - resultat'!$I$5:$K$5,0)))))),IF(C356=2019,SUMPRODUCT((B356='Landbrugsareal - resultat'!$B$33:$B$46)*(INDEX('Landbrugsareal - resultat'!$L$33:$N$46,,MATCH(E356,'Landbrugsareal - resultat'!$L$5:$N$5,0)))),IF(C356=2030,SUMPRODUCT((B356='Landbrugsareal - resultat'!$B$33:$B$46)*(INDEX('Landbrugsareal - resultat'!$O$33:$Q$46,,MATCH(E356,'Landbrugsareal - resultat'!$O$5:$Q$5,0)))),SUMPRODUCT((B356='Landbrugsareal - resultat'!$B$33:$B$46)*(INDEX('Landbrugsareal - resultat'!$R$33:$T$46,,MATCH(E356,'Landbrugsareal - resultat'!$R$5:$T$5,0))))))))</f>
        <v>24.766722231733471</v>
      </c>
      <c r="H356" s="168">
        <f>G356*VLOOKUP(B356,[1]Afgrødedata!$A$5:$F$18,2,FALSE)*IF(D356="Økologisk",VLOOKUP(B356,[1]Afgrødedata!$A$5:$F$18,4,FALSE),1)*IF(E356&lt;&gt;Jordbund1,IF(E356=Organ6,VLOOKUP(B356,[1]Afgrødedata!$A$5:$F$18,5,FALSE),VLOOKUP(B356,[1]Afgrødedata!$A$5:$F$18,6,FALSE)),1)*0.1</f>
        <v>616.69138357016345</v>
      </c>
      <c r="I356" s="168">
        <f>G356*VLOOKUP(B356,[1]Afgrødedata!$A$5:$F$18,3,FALSE)*IF(D356="Økologisk",VLOOKUP(B356,[1]Afgrødedata!$A$5:$F$18,4,FALSE),1)*IF(E356&lt;&gt;Jordbund1,IF(E356=Organ6,VLOOKUP(B356,[1]Afgrødedata!$A$5:$F$18,5,FALSE),VLOOKUP(B356,[1]Afgrødedata!$A$5:$F$18,6,FALSE)),1)*HLOOKUP(C356,Landbrug!$C$15:$E$17,2,FALSE)*HLOOKUP(C356,Landbrug!$C$15:$E$17,3,FALSE)*0.1</f>
        <v>0</v>
      </c>
      <c r="J356" s="76">
        <f t="shared" si="60"/>
        <v>616.69138357016345</v>
      </c>
    </row>
    <row r="357" spans="1:10" x14ac:dyDescent="0.25">
      <c r="A357" t="s">
        <v>24</v>
      </c>
      <c r="B357" s="1" t="str">
        <f>[1]Afgrødefordeling!$C$7</f>
        <v>Kartofler</v>
      </c>
      <c r="C357">
        <v>2030</v>
      </c>
      <c r="D357" t="s">
        <v>7</v>
      </c>
      <c r="E357" s="168" t="str">
        <f t="shared" si="59"/>
        <v>OC6</v>
      </c>
      <c r="F357" t="str">
        <f t="shared" si="58"/>
        <v>Kartofler</v>
      </c>
      <c r="G357" s="76" cm="1">
        <f t="array" ref="G357">IF(A357="Vestdanmark",IF(D357="Konventionel",IF(C357=2019,SUMPRODUCT((B357='Landbrugsareal - resultat'!$B$6:$B$19)*(INDEX('Landbrugsareal - resultat'!$C$6:$E$19,,MATCH(E357,'Landbrugsareal - resultat'!$C$5:$E$5,0)))),IF(C357=2030,SUMPRODUCT((B357='Landbrugsareal - resultat'!$B$6:$B$19)*(INDEX('Landbrugsareal - resultat'!$F$6:$H$19,,MATCH(E357,'Landbrugsareal - resultat'!$F$5:$H$5,0)))),SUMPRODUCT((B357='Landbrugsareal - resultat'!$B$6:$B$19)*(INDEX('Landbrugsareal - resultat'!$I$6:$K$19,,MATCH(E357,'Landbrugsareal - resultat'!$I$5:$K$5,0)))))),IF(C357=2019,SUMPRODUCT((B357='Landbrugsareal - resultat'!$B$6:$B$19)*(INDEX('Landbrugsareal - resultat'!$L$6:$N$19,,MATCH(E357,'Landbrugsareal - resultat'!$L$5:$N$5,0)))),IF(C357=2030,SUMPRODUCT((B357='Landbrugsareal - resultat'!$B$6:$B$19)*(INDEX('Landbrugsareal - resultat'!$O$6:$Q$19,,MATCH(E357,'Landbrugsareal - resultat'!$O$5:$Q$5,0)))),SUMPRODUCT((B357='Landbrugsareal - resultat'!$B$6:$B$19)*(INDEX('Landbrugsareal - resultat'!$R$6:$T$19,,MATCH(E357,'Landbrugsareal - resultat'!$R$5:$T$5,0))))))),IF(D357="Konventionel",IF(C357=2019,SUMPRODUCT((B357='Landbrugsareal - resultat'!$B$33:$B$46)*(INDEX('Landbrugsareal - resultat'!$C$33:$E$46,,MATCH(E357,'Landbrugsareal - resultat'!$C$5:$E$5,0)))),IF(C357=2030,SUMPRODUCT((B357='Landbrugsareal - resultat'!$B$33:$B$46)*(INDEX('Landbrugsareal - resultat'!$F$33:$H$46,,MATCH(E357,'Landbrugsareal - resultat'!$F$5:$H$5,0)))),SUMPRODUCT((B357='Landbrugsareal - resultat'!$B$33:$B$46)*(INDEX('Landbrugsareal - resultat'!$I$33:$K$46,,MATCH(E357,'Landbrugsareal - resultat'!$I$5:$K$5,0)))))),IF(C357=2019,SUMPRODUCT((B357='Landbrugsareal - resultat'!$B$33:$B$46)*(INDEX('Landbrugsareal - resultat'!$L$33:$N$46,,MATCH(E357,'Landbrugsareal - resultat'!$L$5:$N$5,0)))),IF(C357=2030,SUMPRODUCT((B357='Landbrugsareal - resultat'!$B$33:$B$46)*(INDEX('Landbrugsareal - resultat'!$O$33:$Q$46,,MATCH(E357,'Landbrugsareal - resultat'!$O$5:$Q$5,0)))),SUMPRODUCT((B357='Landbrugsareal - resultat'!$B$33:$B$46)*(INDEX('Landbrugsareal - resultat'!$R$33:$T$46,,MATCH(E357,'Landbrugsareal - resultat'!$R$5:$T$5,0))))))))</f>
        <v>42.105694503961956</v>
      </c>
      <c r="H357" s="168">
        <f>G357*VLOOKUP(B357,[1]Afgrødedata!$A$5:$F$18,2,FALSE)*IF(D357="Økologisk",VLOOKUP(B357,[1]Afgrødedata!$A$5:$F$18,4,FALSE),1)*IF(E357&lt;&gt;Jordbund1,IF(E357=Organ6,VLOOKUP(B357,[1]Afgrødedata!$A$5:$F$18,5,FALSE),VLOOKUP(B357,[1]Afgrødedata!$A$5:$F$18,6,FALSE)),1)*0.1</f>
        <v>2145.9200621162067</v>
      </c>
      <c r="I357" s="168">
        <f>G357*VLOOKUP(B357,[1]Afgrødedata!$A$5:$F$18,3,FALSE)*IF(D357="Økologisk",VLOOKUP(B357,[1]Afgrødedata!$A$5:$F$18,4,FALSE),1)*IF(E357&lt;&gt;Jordbund1,IF(E357=Organ6,VLOOKUP(B357,[1]Afgrødedata!$A$5:$F$18,5,FALSE),VLOOKUP(B357,[1]Afgrødedata!$A$5:$F$18,6,FALSE)),1)*HLOOKUP(C357,Landbrug!$C$15:$E$17,2,FALSE)*HLOOKUP(C357,Landbrug!$C$15:$E$17,3,FALSE)*0.1</f>
        <v>0</v>
      </c>
      <c r="J357" s="76">
        <f t="shared" si="60"/>
        <v>2145.9200621162067</v>
      </c>
    </row>
    <row r="358" spans="1:10" x14ac:dyDescent="0.25">
      <c r="A358" t="s">
        <v>24</v>
      </c>
      <c r="B358" s="1" t="str">
        <f>[1]Afgrødefordeling!$C$8</f>
        <v>Roer</v>
      </c>
      <c r="C358">
        <v>2030</v>
      </c>
      <c r="D358" t="s">
        <v>7</v>
      </c>
      <c r="E358" s="168" t="str">
        <f t="shared" si="59"/>
        <v>OC6</v>
      </c>
      <c r="F358" t="str">
        <f t="shared" si="58"/>
        <v>Roer</v>
      </c>
      <c r="G358" s="76" cm="1">
        <f t="array" ref="G358">IF(A358="Vestdanmark",IF(D358="Konventionel",IF(C358=2019,SUMPRODUCT((B358='Landbrugsareal - resultat'!$B$6:$B$19)*(INDEX('Landbrugsareal - resultat'!$C$6:$E$19,,MATCH(E358,'Landbrugsareal - resultat'!$C$5:$E$5,0)))),IF(C358=2030,SUMPRODUCT((B358='Landbrugsareal - resultat'!$B$6:$B$19)*(INDEX('Landbrugsareal - resultat'!$F$6:$H$19,,MATCH(E358,'Landbrugsareal - resultat'!$F$5:$H$5,0)))),SUMPRODUCT((B358='Landbrugsareal - resultat'!$B$6:$B$19)*(INDEX('Landbrugsareal - resultat'!$I$6:$K$19,,MATCH(E358,'Landbrugsareal - resultat'!$I$5:$K$5,0)))))),IF(C358=2019,SUMPRODUCT((B358='Landbrugsareal - resultat'!$B$6:$B$19)*(INDEX('Landbrugsareal - resultat'!$L$6:$N$19,,MATCH(E358,'Landbrugsareal - resultat'!$L$5:$N$5,0)))),IF(C358=2030,SUMPRODUCT((B358='Landbrugsareal - resultat'!$B$6:$B$19)*(INDEX('Landbrugsareal - resultat'!$O$6:$Q$19,,MATCH(E358,'Landbrugsareal - resultat'!$O$5:$Q$5,0)))),SUMPRODUCT((B358='Landbrugsareal - resultat'!$B$6:$B$19)*(INDEX('Landbrugsareal - resultat'!$R$6:$T$19,,MATCH(E358,'Landbrugsareal - resultat'!$R$5:$T$5,0))))))),IF(D358="Konventionel",IF(C358=2019,SUMPRODUCT((B358='Landbrugsareal - resultat'!$B$33:$B$46)*(INDEX('Landbrugsareal - resultat'!$C$33:$E$46,,MATCH(E358,'Landbrugsareal - resultat'!$C$5:$E$5,0)))),IF(C358=2030,SUMPRODUCT((B358='Landbrugsareal - resultat'!$B$33:$B$46)*(INDEX('Landbrugsareal - resultat'!$F$33:$H$46,,MATCH(E358,'Landbrugsareal - resultat'!$F$5:$H$5,0)))),SUMPRODUCT((B358='Landbrugsareal - resultat'!$B$33:$B$46)*(INDEX('Landbrugsareal - resultat'!$I$33:$K$46,,MATCH(E358,'Landbrugsareal - resultat'!$I$5:$K$5,0)))))),IF(C358=2019,SUMPRODUCT((B358='Landbrugsareal - resultat'!$B$33:$B$46)*(INDEX('Landbrugsareal - resultat'!$L$33:$N$46,,MATCH(E358,'Landbrugsareal - resultat'!$L$5:$N$5,0)))),IF(C358=2030,SUMPRODUCT((B358='Landbrugsareal - resultat'!$B$33:$B$46)*(INDEX('Landbrugsareal - resultat'!$O$33:$Q$46,,MATCH(E358,'Landbrugsareal - resultat'!$O$5:$Q$5,0)))),SUMPRODUCT((B358='Landbrugsareal - resultat'!$B$33:$B$46)*(INDEX('Landbrugsareal - resultat'!$R$33:$T$46,,MATCH(E358,'Landbrugsareal - resultat'!$R$5:$T$5,0))))))))</f>
        <v>117.634451846188</v>
      </c>
      <c r="H358" s="168">
        <f>G358*VLOOKUP(B358,[1]Afgrødedata!$A$5:$F$18,2,FALSE)*IF(D358="Økologisk",VLOOKUP(B358,[1]Afgrødedata!$A$5:$F$18,4,FALSE),1)*IF(E358&lt;&gt;Jordbund1,IF(E358=Organ6,VLOOKUP(B358,[1]Afgrødedata!$A$5:$F$18,5,FALSE),VLOOKUP(B358,[1]Afgrødedata!$A$5:$F$18,6,FALSE)),1)*0.1</f>
        <v>11469.885776429506</v>
      </c>
      <c r="I358" s="168">
        <f>G358*VLOOKUP(B358,[1]Afgrødedata!$A$5:$F$18,3,FALSE)*IF(D358="Økologisk",VLOOKUP(B358,[1]Afgrødedata!$A$5:$F$18,4,FALSE),1)*IF(E358&lt;&gt;Jordbund1,IF(E358=Organ6,VLOOKUP(B358,[1]Afgrødedata!$A$5:$F$18,5,FALSE),VLOOKUP(B358,[1]Afgrødedata!$A$5:$F$18,6,FALSE)),1)*HLOOKUP(C358,Landbrug!$C$15:$E$17,2,FALSE)*HLOOKUP(C358,Landbrug!$C$15:$E$17,3,FALSE)*0.1</f>
        <v>0</v>
      </c>
      <c r="J358" s="76">
        <f t="shared" si="60"/>
        <v>11469.885776429506</v>
      </c>
    </row>
    <row r="359" spans="1:10" x14ac:dyDescent="0.25">
      <c r="A359" t="s">
        <v>24</v>
      </c>
      <c r="B359" s="1" t="str">
        <f>[1]Afgrødefordeling!$C$9</f>
        <v>Majs</v>
      </c>
      <c r="C359">
        <v>2030</v>
      </c>
      <c r="D359" t="s">
        <v>7</v>
      </c>
      <c r="E359" s="168" t="str">
        <f t="shared" si="59"/>
        <v>OC6</v>
      </c>
      <c r="F359" t="str">
        <f t="shared" si="58"/>
        <v>Majs</v>
      </c>
      <c r="G359" s="76" cm="1">
        <f t="array" ref="G359">IF(A359="Vestdanmark",IF(D359="Konventionel",IF(C359=2019,SUMPRODUCT((B359='Landbrugsareal - resultat'!$B$6:$B$19)*(INDEX('Landbrugsareal - resultat'!$C$6:$E$19,,MATCH(E359,'Landbrugsareal - resultat'!$C$5:$E$5,0)))),IF(C359=2030,SUMPRODUCT((B359='Landbrugsareal - resultat'!$B$6:$B$19)*(INDEX('Landbrugsareal - resultat'!$F$6:$H$19,,MATCH(E359,'Landbrugsareal - resultat'!$F$5:$H$5,0)))),SUMPRODUCT((B359='Landbrugsareal - resultat'!$B$6:$B$19)*(INDEX('Landbrugsareal - resultat'!$I$6:$K$19,,MATCH(E359,'Landbrugsareal - resultat'!$I$5:$K$5,0)))))),IF(C359=2019,SUMPRODUCT((B359='Landbrugsareal - resultat'!$B$6:$B$19)*(INDEX('Landbrugsareal - resultat'!$L$6:$N$19,,MATCH(E359,'Landbrugsareal - resultat'!$L$5:$N$5,0)))),IF(C359=2030,SUMPRODUCT((B359='Landbrugsareal - resultat'!$B$6:$B$19)*(INDEX('Landbrugsareal - resultat'!$O$6:$Q$19,,MATCH(E359,'Landbrugsareal - resultat'!$O$5:$Q$5,0)))),SUMPRODUCT((B359='Landbrugsareal - resultat'!$B$6:$B$19)*(INDEX('Landbrugsareal - resultat'!$R$6:$T$19,,MATCH(E359,'Landbrugsareal - resultat'!$R$5:$T$5,0))))))),IF(D359="Konventionel",IF(C359=2019,SUMPRODUCT((B359='Landbrugsareal - resultat'!$B$33:$B$46)*(INDEX('Landbrugsareal - resultat'!$C$33:$E$46,,MATCH(E359,'Landbrugsareal - resultat'!$C$5:$E$5,0)))),IF(C359=2030,SUMPRODUCT((B359='Landbrugsareal - resultat'!$B$33:$B$46)*(INDEX('Landbrugsareal - resultat'!$F$33:$H$46,,MATCH(E359,'Landbrugsareal - resultat'!$F$5:$H$5,0)))),SUMPRODUCT((B359='Landbrugsareal - resultat'!$B$33:$B$46)*(INDEX('Landbrugsareal - resultat'!$I$33:$K$46,,MATCH(E359,'Landbrugsareal - resultat'!$I$5:$K$5,0)))))),IF(C359=2019,SUMPRODUCT((B359='Landbrugsareal - resultat'!$B$33:$B$46)*(INDEX('Landbrugsareal - resultat'!$L$33:$N$46,,MATCH(E359,'Landbrugsareal - resultat'!$L$5:$N$5,0)))),IF(C359=2030,SUMPRODUCT((B359='Landbrugsareal - resultat'!$B$33:$B$46)*(INDEX('Landbrugsareal - resultat'!$O$33:$Q$46,,MATCH(E359,'Landbrugsareal - resultat'!$O$5:$Q$5,0)))),SUMPRODUCT((B359='Landbrugsareal - resultat'!$B$33:$B$46)*(INDEX('Landbrugsareal - resultat'!$R$33:$T$46,,MATCH(E359,'Landbrugsareal - resultat'!$R$5:$T$5,0))))))))</f>
        <v>125.41647866904403</v>
      </c>
      <c r="H359" s="168">
        <f>G359*VLOOKUP(B359,[1]Afgrødedata!$A$5:$F$18,2,FALSE)*IF(D359="Økologisk",VLOOKUP(B359,[1]Afgrødedata!$A$5:$F$18,4,FALSE),1)*IF(E359&lt;&gt;Jordbund1,IF(E359=Organ6,VLOOKUP(B359,[1]Afgrødedata!$A$5:$F$18,5,FALSE),VLOOKUP(B359,[1]Afgrødedata!$A$5:$F$18,6,FALSE)),1)*0.1</f>
        <v>6698.7449586709809</v>
      </c>
      <c r="I359" s="168">
        <f>G359*VLOOKUP(B359,[1]Afgrødedata!$A$5:$F$18,3,FALSE)*IF(D359="Økologisk",VLOOKUP(B359,[1]Afgrødedata!$A$5:$F$18,4,FALSE),1)*IF(E359&lt;&gt;Jordbund1,IF(E359=Organ6,VLOOKUP(B359,[1]Afgrødedata!$A$5:$F$18,5,FALSE),VLOOKUP(B359,[1]Afgrødedata!$A$5:$F$18,6,FALSE)),1)*HLOOKUP(C359,Landbrug!$C$15:$E$17,2,FALSE)*HLOOKUP(C359,Landbrug!$C$15:$E$17,3,FALSE)*0.1</f>
        <v>0</v>
      </c>
      <c r="J359" s="76">
        <f t="shared" si="60"/>
        <v>6698.7449586709809</v>
      </c>
    </row>
    <row r="360" spans="1:10" x14ac:dyDescent="0.25">
      <c r="A360" t="s">
        <v>24</v>
      </c>
      <c r="B360" s="1" t="str">
        <f>[1]Afgrødefordeling!$C$10</f>
        <v>Frugt</v>
      </c>
      <c r="C360">
        <v>2030</v>
      </c>
      <c r="D360" t="s">
        <v>7</v>
      </c>
      <c r="E360" s="168" t="str">
        <f t="shared" si="59"/>
        <v>OC6</v>
      </c>
      <c r="F360" t="str">
        <f t="shared" si="58"/>
        <v>Frugt</v>
      </c>
      <c r="G360" s="76" cm="1">
        <f t="array" ref="G360">IF(A360="Vestdanmark",IF(D360="Konventionel",IF(C360=2019,SUMPRODUCT((B360='Landbrugsareal - resultat'!$B$6:$B$19)*(INDEX('Landbrugsareal - resultat'!$C$6:$E$19,,MATCH(E360,'Landbrugsareal - resultat'!$C$5:$E$5,0)))),IF(C360=2030,SUMPRODUCT((B360='Landbrugsareal - resultat'!$B$6:$B$19)*(INDEX('Landbrugsareal - resultat'!$F$6:$H$19,,MATCH(E360,'Landbrugsareal - resultat'!$F$5:$H$5,0)))),SUMPRODUCT((B360='Landbrugsareal - resultat'!$B$6:$B$19)*(INDEX('Landbrugsareal - resultat'!$I$6:$K$19,,MATCH(E360,'Landbrugsareal - resultat'!$I$5:$K$5,0)))))),IF(C360=2019,SUMPRODUCT((B360='Landbrugsareal - resultat'!$B$6:$B$19)*(INDEX('Landbrugsareal - resultat'!$L$6:$N$19,,MATCH(E360,'Landbrugsareal - resultat'!$L$5:$N$5,0)))),IF(C360=2030,SUMPRODUCT((B360='Landbrugsareal - resultat'!$B$6:$B$19)*(INDEX('Landbrugsareal - resultat'!$O$6:$Q$19,,MATCH(E360,'Landbrugsareal - resultat'!$O$5:$Q$5,0)))),SUMPRODUCT((B360='Landbrugsareal - resultat'!$B$6:$B$19)*(INDEX('Landbrugsareal - resultat'!$R$6:$T$19,,MATCH(E360,'Landbrugsareal - resultat'!$R$5:$T$5,0))))))),IF(D360="Konventionel",IF(C360=2019,SUMPRODUCT((B360='Landbrugsareal - resultat'!$B$33:$B$46)*(INDEX('Landbrugsareal - resultat'!$C$33:$E$46,,MATCH(E360,'Landbrugsareal - resultat'!$C$5:$E$5,0)))),IF(C360=2030,SUMPRODUCT((B360='Landbrugsareal - resultat'!$B$33:$B$46)*(INDEX('Landbrugsareal - resultat'!$F$33:$H$46,,MATCH(E360,'Landbrugsareal - resultat'!$F$5:$H$5,0)))),SUMPRODUCT((B360='Landbrugsareal - resultat'!$B$33:$B$46)*(INDEX('Landbrugsareal - resultat'!$I$33:$K$46,,MATCH(E360,'Landbrugsareal - resultat'!$I$5:$K$5,0)))))),IF(C360=2019,SUMPRODUCT((B360='Landbrugsareal - resultat'!$B$33:$B$46)*(INDEX('Landbrugsareal - resultat'!$L$33:$N$46,,MATCH(E360,'Landbrugsareal - resultat'!$L$5:$N$5,0)))),IF(C360=2030,SUMPRODUCT((B360='Landbrugsareal - resultat'!$B$33:$B$46)*(INDEX('Landbrugsareal - resultat'!$O$33:$Q$46,,MATCH(E360,'Landbrugsareal - resultat'!$O$5:$Q$5,0)))),SUMPRODUCT((B360='Landbrugsareal - resultat'!$B$33:$B$46)*(INDEX('Landbrugsareal - resultat'!$R$33:$T$46,,MATCH(E360,'Landbrugsareal - resultat'!$R$5:$T$5,0))))))))</f>
        <v>27.054912577351441</v>
      </c>
      <c r="H360" s="168">
        <f>G360*VLOOKUP(B360,[1]Afgrødedata!$A$5:$F$18,2,FALSE)*IF(D360="Økologisk",VLOOKUP(B360,[1]Afgrødedata!$A$5:$F$18,4,FALSE),1)*IF(E360&lt;&gt;Jordbund1,IF(E360=Organ6,VLOOKUP(B360,[1]Afgrødedata!$A$5:$F$18,5,FALSE),VLOOKUP(B360,[1]Afgrødedata!$A$5:$F$18,6,FALSE)),1)*0.1</f>
        <v>275.6354493380565</v>
      </c>
      <c r="I360" s="168">
        <f>G360*VLOOKUP(B360,[1]Afgrødedata!$A$5:$F$18,3,FALSE)*IF(D360="Økologisk",VLOOKUP(B360,[1]Afgrødedata!$A$5:$F$18,4,FALSE),1)*IF(E360&lt;&gt;Jordbund1,IF(E360=Organ6,VLOOKUP(B360,[1]Afgrødedata!$A$5:$F$18,5,FALSE),VLOOKUP(B360,[1]Afgrødedata!$A$5:$F$18,6,FALSE)),1)*HLOOKUP(C360,Landbrug!$C$15:$E$17,2,FALSE)*HLOOKUP(C360,Landbrug!$C$15:$E$17,3,FALSE)*0.1</f>
        <v>0</v>
      </c>
      <c r="J360" s="76">
        <f t="shared" si="60"/>
        <v>275.6354493380565</v>
      </c>
    </row>
    <row r="361" spans="1:10" x14ac:dyDescent="0.25">
      <c r="A361" t="s">
        <v>24</v>
      </c>
      <c r="B361" s="1" t="str">
        <f>[1]Afgrødefordeling!$C$11</f>
        <v>Øvrige</v>
      </c>
      <c r="C361">
        <v>2030</v>
      </c>
      <c r="D361" t="s">
        <v>7</v>
      </c>
      <c r="E361" s="168" t="str">
        <f t="shared" si="59"/>
        <v>OC6</v>
      </c>
      <c r="F361" t="str">
        <f t="shared" si="58"/>
        <v>Øvrige</v>
      </c>
      <c r="G361" s="76" cm="1">
        <f t="array" ref="G361">IF(A361="Vestdanmark",IF(D361="Konventionel",IF(C361=2019,SUMPRODUCT((B361='Landbrugsareal - resultat'!$B$6:$B$19)*(INDEX('Landbrugsareal - resultat'!$C$6:$E$19,,MATCH(E361,'Landbrugsareal - resultat'!$C$5:$E$5,0)))),IF(C361=2030,SUMPRODUCT((B361='Landbrugsareal - resultat'!$B$6:$B$19)*(INDEX('Landbrugsareal - resultat'!$F$6:$H$19,,MATCH(E361,'Landbrugsareal - resultat'!$F$5:$H$5,0)))),SUMPRODUCT((B361='Landbrugsareal - resultat'!$B$6:$B$19)*(INDEX('Landbrugsareal - resultat'!$I$6:$K$19,,MATCH(E361,'Landbrugsareal - resultat'!$I$5:$K$5,0)))))),IF(C361=2019,SUMPRODUCT((B361='Landbrugsareal - resultat'!$B$6:$B$19)*(INDEX('Landbrugsareal - resultat'!$L$6:$N$19,,MATCH(E361,'Landbrugsareal - resultat'!$L$5:$N$5,0)))),IF(C361=2030,SUMPRODUCT((B361='Landbrugsareal - resultat'!$B$6:$B$19)*(INDEX('Landbrugsareal - resultat'!$O$6:$Q$19,,MATCH(E361,'Landbrugsareal - resultat'!$O$5:$Q$5,0)))),SUMPRODUCT((B361='Landbrugsareal - resultat'!$B$6:$B$19)*(INDEX('Landbrugsareal - resultat'!$R$6:$T$19,,MATCH(E361,'Landbrugsareal - resultat'!$R$5:$T$5,0))))))),IF(D361="Konventionel",IF(C361=2019,SUMPRODUCT((B361='Landbrugsareal - resultat'!$B$33:$B$46)*(INDEX('Landbrugsareal - resultat'!$C$33:$E$46,,MATCH(E361,'Landbrugsareal - resultat'!$C$5:$E$5,0)))),IF(C361=2030,SUMPRODUCT((B361='Landbrugsareal - resultat'!$B$33:$B$46)*(INDEX('Landbrugsareal - resultat'!$F$33:$H$46,,MATCH(E361,'Landbrugsareal - resultat'!$F$5:$H$5,0)))),SUMPRODUCT((B361='Landbrugsareal - resultat'!$B$33:$B$46)*(INDEX('Landbrugsareal - resultat'!$I$33:$K$46,,MATCH(E361,'Landbrugsareal - resultat'!$I$5:$K$5,0)))))),IF(C361=2019,SUMPRODUCT((B361='Landbrugsareal - resultat'!$B$33:$B$46)*(INDEX('Landbrugsareal - resultat'!$L$33:$N$46,,MATCH(E361,'Landbrugsareal - resultat'!$L$5:$N$5,0)))),IF(C361=2030,SUMPRODUCT((B361='Landbrugsareal - resultat'!$B$33:$B$46)*(INDEX('Landbrugsareal - resultat'!$O$33:$Q$46,,MATCH(E361,'Landbrugsareal - resultat'!$O$5:$Q$5,0)))),SUMPRODUCT((B361='Landbrugsareal - resultat'!$B$33:$B$46)*(INDEX('Landbrugsareal - resultat'!$R$33:$T$46,,MATCH(E361,'Landbrugsareal - resultat'!$R$5:$T$5,0))))))))</f>
        <v>193.18519775142676</v>
      </c>
      <c r="H361" s="168">
        <f>G361*VLOOKUP(B361,[1]Afgrødedata!$A$5:$F$18,2,FALSE)*IF(D361="Økologisk",VLOOKUP(B361,[1]Afgrødedata!$A$5:$F$18,4,FALSE),1)*IF(E361&lt;&gt;Jordbund1,IF(E361=Organ6,VLOOKUP(B361,[1]Afgrødedata!$A$5:$F$18,5,FALSE),VLOOKUP(B361,[1]Afgrødedata!$A$5:$F$18,6,FALSE)),1)*0.1</f>
        <v>6907.362286583173</v>
      </c>
      <c r="I361" s="168">
        <f>G361*VLOOKUP(B361,[1]Afgrødedata!$A$5:$F$18,3,FALSE)*IF(D361="Økologisk",VLOOKUP(B361,[1]Afgrødedata!$A$5:$F$18,4,FALSE),1)*IF(E361&lt;&gt;Jordbund1,IF(E361=Organ6,VLOOKUP(B361,[1]Afgrødedata!$A$5:$F$18,5,FALSE),VLOOKUP(B361,[1]Afgrødedata!$A$5:$F$18,6,FALSE)),1)*HLOOKUP(C361,Landbrug!$C$15:$E$17,2,FALSE)*HLOOKUP(C361,Landbrug!$C$15:$E$17,3,FALSE)*0.1</f>
        <v>0</v>
      </c>
      <c r="J361" s="76">
        <f t="shared" si="60"/>
        <v>6907.362286583173</v>
      </c>
    </row>
    <row r="362" spans="1:10" x14ac:dyDescent="0.25">
      <c r="A362" t="s">
        <v>24</v>
      </c>
      <c r="B362" s="1" t="str">
        <f>[1]Afgrødefordeling!$C$12</f>
        <v>Frø</v>
      </c>
      <c r="C362">
        <v>2030</v>
      </c>
      <c r="D362" t="s">
        <v>7</v>
      </c>
      <c r="E362" s="168" t="str">
        <f t="shared" si="59"/>
        <v>OC6</v>
      </c>
      <c r="F362" t="str">
        <f t="shared" si="58"/>
        <v>Halm</v>
      </c>
      <c r="G362" s="76" cm="1">
        <f t="array" ref="G362">IF(A362="Vestdanmark",IF(D362="Konventionel",IF(C362=2019,SUMPRODUCT((B362='Landbrugsareal - resultat'!$B$6:$B$19)*(INDEX('Landbrugsareal - resultat'!$C$6:$E$19,,MATCH(E362,'Landbrugsareal - resultat'!$C$5:$E$5,0)))),IF(C362=2030,SUMPRODUCT((B362='Landbrugsareal - resultat'!$B$6:$B$19)*(INDEX('Landbrugsareal - resultat'!$F$6:$H$19,,MATCH(E362,'Landbrugsareal - resultat'!$F$5:$H$5,0)))),SUMPRODUCT((B362='Landbrugsareal - resultat'!$B$6:$B$19)*(INDEX('Landbrugsareal - resultat'!$I$6:$K$19,,MATCH(E362,'Landbrugsareal - resultat'!$I$5:$K$5,0)))))),IF(C362=2019,SUMPRODUCT((B362='Landbrugsareal - resultat'!$B$6:$B$19)*(INDEX('Landbrugsareal - resultat'!$L$6:$N$19,,MATCH(E362,'Landbrugsareal - resultat'!$L$5:$N$5,0)))),IF(C362=2030,SUMPRODUCT((B362='Landbrugsareal - resultat'!$B$6:$B$19)*(INDEX('Landbrugsareal - resultat'!$O$6:$Q$19,,MATCH(E362,'Landbrugsareal - resultat'!$O$5:$Q$5,0)))),SUMPRODUCT((B362='Landbrugsareal - resultat'!$B$6:$B$19)*(INDEX('Landbrugsareal - resultat'!$R$6:$T$19,,MATCH(E362,'Landbrugsareal - resultat'!$R$5:$T$5,0))))))),IF(D362="Konventionel",IF(C362=2019,SUMPRODUCT((B362='Landbrugsareal - resultat'!$B$33:$B$46)*(INDEX('Landbrugsareal - resultat'!$C$33:$E$46,,MATCH(E362,'Landbrugsareal - resultat'!$C$5:$E$5,0)))),IF(C362=2030,SUMPRODUCT((B362='Landbrugsareal - resultat'!$B$33:$B$46)*(INDEX('Landbrugsareal - resultat'!$F$33:$H$46,,MATCH(E362,'Landbrugsareal - resultat'!$F$5:$H$5,0)))),SUMPRODUCT((B362='Landbrugsareal - resultat'!$B$33:$B$46)*(INDEX('Landbrugsareal - resultat'!$I$33:$K$46,,MATCH(E362,'Landbrugsareal - resultat'!$I$5:$K$5,0)))))),IF(C362=2019,SUMPRODUCT((B362='Landbrugsareal - resultat'!$B$33:$B$46)*(INDEX('Landbrugsareal - resultat'!$L$33:$N$46,,MATCH(E362,'Landbrugsareal - resultat'!$L$5:$N$5,0)))),IF(C362=2030,SUMPRODUCT((B362='Landbrugsareal - resultat'!$B$33:$B$46)*(INDEX('Landbrugsareal - resultat'!$O$33:$Q$46,,MATCH(E362,'Landbrugsareal - resultat'!$O$5:$Q$5,0)))),SUMPRODUCT((B362='Landbrugsareal - resultat'!$B$33:$B$46)*(INDEX('Landbrugsareal - resultat'!$R$33:$T$46,,MATCH(E362,'Landbrugsareal - resultat'!$R$5:$T$5,0))))))))</f>
        <v>1402.515374495272</v>
      </c>
      <c r="H362" s="168">
        <f>G362*VLOOKUP(B362,[1]Afgrødedata!$A$5:$F$18,2,FALSE)*IF(D362="Økologisk",VLOOKUP(B362,[1]Afgrødedata!$A$5:$F$18,4,FALSE),1)*IF(E362&lt;&gt;Jordbund1,IF(E362=Organ6,VLOOKUP(B362,[1]Afgrødedata!$A$5:$F$18,5,FALSE),VLOOKUP(B362,[1]Afgrødedata!$A$5:$F$18,6,FALSE)),1)*0.1</f>
        <v>24048.416279054476</v>
      </c>
      <c r="I362" s="168">
        <f>G362*VLOOKUP(B362,[1]Afgrødedata!$A$5:$F$18,3,FALSE)*IF(D362="Økologisk",VLOOKUP(B362,[1]Afgrødedata!$A$5:$F$18,4,FALSE),1)*IF(E362&lt;&gt;Jordbund1,IF(E362=Organ6,VLOOKUP(B362,[1]Afgrødedata!$A$5:$F$18,5,FALSE),VLOOKUP(B362,[1]Afgrødedata!$A$5:$F$18,6,FALSE)),1)*HLOOKUP(C362,Landbrug!$C$15:$E$17,2,FALSE)*HLOOKUP(C362,Landbrug!$C$15:$E$17,3,FALSE)*0.1</f>
        <v>3971.9235405706104</v>
      </c>
      <c r="J362" s="76">
        <f t="shared" si="60"/>
        <v>3971.9235405706104</v>
      </c>
    </row>
    <row r="363" spans="1:10" x14ac:dyDescent="0.25">
      <c r="A363" t="s">
        <v>24</v>
      </c>
      <c r="B363" s="1" t="str">
        <f>[1]Afgrødefordeling!$C$13</f>
        <v>Juletræer</v>
      </c>
      <c r="C363">
        <v>2030</v>
      </c>
      <c r="D363" t="s">
        <v>7</v>
      </c>
      <c r="E363" s="168" t="str">
        <f t="shared" si="59"/>
        <v>OC6</v>
      </c>
      <c r="F363" t="str">
        <f t="shared" si="58"/>
        <v>Juletræer</v>
      </c>
      <c r="G363" s="76" cm="1">
        <f t="array" ref="G363">IF(A363="Vestdanmark",IF(D363="Konventionel",IF(C363=2019,SUMPRODUCT((B363='Landbrugsareal - resultat'!$B$6:$B$19)*(INDEX('Landbrugsareal - resultat'!$C$6:$E$19,,MATCH(E363,'Landbrugsareal - resultat'!$C$5:$E$5,0)))),IF(C363=2030,SUMPRODUCT((B363='Landbrugsareal - resultat'!$B$6:$B$19)*(INDEX('Landbrugsareal - resultat'!$F$6:$H$19,,MATCH(E363,'Landbrugsareal - resultat'!$F$5:$H$5,0)))),SUMPRODUCT((B363='Landbrugsareal - resultat'!$B$6:$B$19)*(INDEX('Landbrugsareal - resultat'!$I$6:$K$19,,MATCH(E363,'Landbrugsareal - resultat'!$I$5:$K$5,0)))))),IF(C363=2019,SUMPRODUCT((B363='Landbrugsareal - resultat'!$B$6:$B$19)*(INDEX('Landbrugsareal - resultat'!$L$6:$N$19,,MATCH(E363,'Landbrugsareal - resultat'!$L$5:$N$5,0)))),IF(C363=2030,SUMPRODUCT((B363='Landbrugsareal - resultat'!$B$6:$B$19)*(INDEX('Landbrugsareal - resultat'!$O$6:$Q$19,,MATCH(E363,'Landbrugsareal - resultat'!$O$5:$Q$5,0)))),SUMPRODUCT((B363='Landbrugsareal - resultat'!$B$6:$B$19)*(INDEX('Landbrugsareal - resultat'!$R$6:$T$19,,MATCH(E363,'Landbrugsareal - resultat'!$R$5:$T$5,0))))))),IF(D363="Konventionel",IF(C363=2019,SUMPRODUCT((B363='Landbrugsareal - resultat'!$B$33:$B$46)*(INDEX('Landbrugsareal - resultat'!$C$33:$E$46,,MATCH(E363,'Landbrugsareal - resultat'!$C$5:$E$5,0)))),IF(C363=2030,SUMPRODUCT((B363='Landbrugsareal - resultat'!$B$33:$B$46)*(INDEX('Landbrugsareal - resultat'!$F$33:$H$46,,MATCH(E363,'Landbrugsareal - resultat'!$F$5:$H$5,0)))),SUMPRODUCT((B363='Landbrugsareal - resultat'!$B$33:$B$46)*(INDEX('Landbrugsareal - resultat'!$I$33:$K$46,,MATCH(E363,'Landbrugsareal - resultat'!$I$5:$K$5,0)))))),IF(C363=2019,SUMPRODUCT((B363='Landbrugsareal - resultat'!$B$33:$B$46)*(INDEX('Landbrugsareal - resultat'!$L$33:$N$46,,MATCH(E363,'Landbrugsareal - resultat'!$L$5:$N$5,0)))),IF(C363=2030,SUMPRODUCT((B363='Landbrugsareal - resultat'!$B$33:$B$46)*(INDEX('Landbrugsareal - resultat'!$O$33:$Q$46,,MATCH(E363,'Landbrugsareal - resultat'!$O$5:$Q$5,0)))),SUMPRODUCT((B363='Landbrugsareal - resultat'!$B$33:$B$46)*(INDEX('Landbrugsareal - resultat'!$R$33:$T$46,,MATCH(E363,'Landbrugsareal - resultat'!$R$5:$T$5,0))))))))</f>
        <v>42.39489404904166</v>
      </c>
      <c r="H363" s="168">
        <f>G363*VLOOKUP(B363,[1]Afgrødedata!$A$5:$F$18,2,FALSE)*IF(D363="Økologisk",VLOOKUP(B363,[1]Afgrødedata!$A$5:$F$18,4,FALSE),1)*IF(E363&lt;&gt;Jordbund1,IF(E363=Organ6,VLOOKUP(B363,[1]Afgrødedata!$A$5:$F$18,5,FALSE),VLOOKUP(B363,[1]Afgrødedata!$A$5:$F$18,6,FALSE)),1)*0.1</f>
        <v>2543.6936429424995</v>
      </c>
      <c r="I363" s="168">
        <f>G363*VLOOKUP(B363,[1]Afgrødedata!$A$5:$F$18,3,FALSE)*IF(D363="Økologisk",VLOOKUP(B363,[1]Afgrødedata!$A$5:$F$18,4,FALSE),1)*IF(E363&lt;&gt;Jordbund1,IF(E363=Organ6,VLOOKUP(B363,[1]Afgrødedata!$A$5:$F$18,5,FALSE),VLOOKUP(B363,[1]Afgrødedata!$A$5:$F$18,6,FALSE)),1)*HLOOKUP(C363,Landbrug!$C$15:$E$17,2,FALSE)*HLOOKUP(C363,Landbrug!$C$15:$E$17,3,FALSE)*0.1</f>
        <v>0</v>
      </c>
      <c r="J363" s="76">
        <f t="shared" si="60"/>
        <v>2543.6936429424995</v>
      </c>
    </row>
    <row r="364" spans="1:10" x14ac:dyDescent="0.25">
      <c r="A364" t="s">
        <v>24</v>
      </c>
      <c r="B364" s="1" t="str">
        <f>[1]Afgrødefordeling!$C$14</f>
        <v>Pil &amp; poppel</v>
      </c>
      <c r="C364">
        <v>2030</v>
      </c>
      <c r="D364" t="s">
        <v>7</v>
      </c>
      <c r="E364" s="168" t="str">
        <f t="shared" si="59"/>
        <v>OC6</v>
      </c>
      <c r="F364" t="str">
        <f t="shared" si="58"/>
        <v>Pil &amp; poppel</v>
      </c>
      <c r="G364" s="76" cm="1">
        <f t="array" ref="G364">IF(A364="Vestdanmark",IF(D364="Konventionel",IF(C364=2019,SUMPRODUCT((B364='Landbrugsareal - resultat'!$B$6:$B$19)*(INDEX('Landbrugsareal - resultat'!$C$6:$E$19,,MATCH(E364,'Landbrugsareal - resultat'!$C$5:$E$5,0)))),IF(C364=2030,SUMPRODUCT((B364='Landbrugsareal - resultat'!$B$6:$B$19)*(INDEX('Landbrugsareal - resultat'!$F$6:$H$19,,MATCH(E364,'Landbrugsareal - resultat'!$F$5:$H$5,0)))),SUMPRODUCT((B364='Landbrugsareal - resultat'!$B$6:$B$19)*(INDEX('Landbrugsareal - resultat'!$I$6:$K$19,,MATCH(E364,'Landbrugsareal - resultat'!$I$5:$K$5,0)))))),IF(C364=2019,SUMPRODUCT((B364='Landbrugsareal - resultat'!$B$6:$B$19)*(INDEX('Landbrugsareal - resultat'!$L$6:$N$19,,MATCH(E364,'Landbrugsareal - resultat'!$L$5:$N$5,0)))),IF(C364=2030,SUMPRODUCT((B364='Landbrugsareal - resultat'!$B$6:$B$19)*(INDEX('Landbrugsareal - resultat'!$O$6:$Q$19,,MATCH(E364,'Landbrugsareal - resultat'!$O$5:$Q$5,0)))),SUMPRODUCT((B364='Landbrugsareal - resultat'!$B$6:$B$19)*(INDEX('Landbrugsareal - resultat'!$R$6:$T$19,,MATCH(E364,'Landbrugsareal - resultat'!$R$5:$T$5,0))))))),IF(D364="Konventionel",IF(C364=2019,SUMPRODUCT((B364='Landbrugsareal - resultat'!$B$33:$B$46)*(INDEX('Landbrugsareal - resultat'!$C$33:$E$46,,MATCH(E364,'Landbrugsareal - resultat'!$C$5:$E$5,0)))),IF(C364=2030,SUMPRODUCT((B364='Landbrugsareal - resultat'!$B$33:$B$46)*(INDEX('Landbrugsareal - resultat'!$F$33:$H$46,,MATCH(E364,'Landbrugsareal - resultat'!$F$5:$H$5,0)))),SUMPRODUCT((B364='Landbrugsareal - resultat'!$B$33:$B$46)*(INDEX('Landbrugsareal - resultat'!$I$33:$K$46,,MATCH(E364,'Landbrugsareal - resultat'!$I$5:$K$5,0)))))),IF(C364=2019,SUMPRODUCT((B364='Landbrugsareal - resultat'!$B$33:$B$46)*(INDEX('Landbrugsareal - resultat'!$L$33:$N$46,,MATCH(E364,'Landbrugsareal - resultat'!$L$5:$N$5,0)))),IF(C364=2030,SUMPRODUCT((B364='Landbrugsareal - resultat'!$B$33:$B$46)*(INDEX('Landbrugsareal - resultat'!$O$33:$Q$46,,MATCH(E364,'Landbrugsareal - resultat'!$O$5:$Q$5,0)))),SUMPRODUCT((B364='Landbrugsareal - resultat'!$B$33:$B$46)*(INDEX('Landbrugsareal - resultat'!$R$33:$T$46,,MATCH(E364,'Landbrugsareal - resultat'!$R$5:$T$5,0))))))))</f>
        <v>89.977799236861017</v>
      </c>
      <c r="H364" s="168">
        <f>G364*VLOOKUP(B364,[1]Afgrødedata!$A$5:$F$18,2,FALSE)*IF(D364="Økologisk",VLOOKUP(B364,[1]Afgrødedata!$A$5:$F$18,4,FALSE),1)*IF(E364&lt;&gt;Jordbund1,IF(E364=Organ6,VLOOKUP(B364,[1]Afgrødedata!$A$5:$F$18,5,FALSE),VLOOKUP(B364,[1]Afgrødedata!$A$5:$F$18,6,FALSE)),1)*0.1</f>
        <v>2633.4965630300785</v>
      </c>
      <c r="I364" s="168">
        <f>G364*VLOOKUP(B364,[1]Afgrødedata!$A$5:$F$18,3,FALSE)*IF(D364="Økologisk",VLOOKUP(B364,[1]Afgrødedata!$A$5:$F$18,4,FALSE),1)*IF(E364&lt;&gt;Jordbund1,IF(E364=Organ6,VLOOKUP(B364,[1]Afgrødedata!$A$5:$F$18,5,FALSE),VLOOKUP(B364,[1]Afgrødedata!$A$5:$F$18,6,FALSE)),1)*HLOOKUP(C364,Landbrug!$C$15:$E$17,2,FALSE)*HLOOKUP(C364,Landbrug!$C$15:$E$17,3,FALSE)*0.1</f>
        <v>0</v>
      </c>
      <c r="J364" s="76">
        <f t="shared" si="60"/>
        <v>2633.4965630300785</v>
      </c>
    </row>
    <row r="365" spans="1:10" x14ac:dyDescent="0.25">
      <c r="A365" t="s">
        <v>24</v>
      </c>
      <c r="B365" s="1" t="str">
        <f>[1]Afgrødefordeling!$C$15</f>
        <v>Permanent græs</v>
      </c>
      <c r="C365">
        <v>2030</v>
      </c>
      <c r="D365" t="s">
        <v>7</v>
      </c>
      <c r="E365" s="168" t="str">
        <f t="shared" si="59"/>
        <v>OC6</v>
      </c>
      <c r="F365" t="str">
        <f t="shared" si="58"/>
        <v>Græs</v>
      </c>
      <c r="G365" s="76" cm="1">
        <f t="array" ref="G365">IF(A365="Vestdanmark",IF(D365="Konventionel",IF(C365=2019,SUMPRODUCT((B365='Landbrugsareal - resultat'!$B$6:$B$19)*(INDEX('Landbrugsareal - resultat'!$C$6:$E$19,,MATCH(E365,'Landbrugsareal - resultat'!$C$5:$E$5,0)))),IF(C365=2030,SUMPRODUCT((B365='Landbrugsareal - resultat'!$B$6:$B$19)*(INDEX('Landbrugsareal - resultat'!$F$6:$H$19,,MATCH(E365,'Landbrugsareal - resultat'!$F$5:$H$5,0)))),SUMPRODUCT((B365='Landbrugsareal - resultat'!$B$6:$B$19)*(INDEX('Landbrugsareal - resultat'!$I$6:$K$19,,MATCH(E365,'Landbrugsareal - resultat'!$I$5:$K$5,0)))))),IF(C365=2019,SUMPRODUCT((B365='Landbrugsareal - resultat'!$B$6:$B$19)*(INDEX('Landbrugsareal - resultat'!$L$6:$N$19,,MATCH(E365,'Landbrugsareal - resultat'!$L$5:$N$5,0)))),IF(C365=2030,SUMPRODUCT((B365='Landbrugsareal - resultat'!$B$6:$B$19)*(INDEX('Landbrugsareal - resultat'!$O$6:$Q$19,,MATCH(E365,'Landbrugsareal - resultat'!$O$5:$Q$5,0)))),SUMPRODUCT((B365='Landbrugsareal - resultat'!$B$6:$B$19)*(INDEX('Landbrugsareal - resultat'!$R$6:$T$19,,MATCH(E365,'Landbrugsareal - resultat'!$R$5:$T$5,0))))))),IF(D365="Konventionel",IF(C365=2019,SUMPRODUCT((B365='Landbrugsareal - resultat'!$B$33:$B$46)*(INDEX('Landbrugsareal - resultat'!$C$33:$E$46,,MATCH(E365,'Landbrugsareal - resultat'!$C$5:$E$5,0)))),IF(C365=2030,SUMPRODUCT((B365='Landbrugsareal - resultat'!$B$33:$B$46)*(INDEX('Landbrugsareal - resultat'!$F$33:$H$46,,MATCH(E365,'Landbrugsareal - resultat'!$F$5:$H$5,0)))),SUMPRODUCT((B365='Landbrugsareal - resultat'!$B$33:$B$46)*(INDEX('Landbrugsareal - resultat'!$I$33:$K$46,,MATCH(E365,'Landbrugsareal - resultat'!$I$5:$K$5,0)))))),IF(C365=2019,SUMPRODUCT((B365='Landbrugsareal - resultat'!$B$33:$B$46)*(INDEX('Landbrugsareal - resultat'!$L$33:$N$46,,MATCH(E365,'Landbrugsareal - resultat'!$L$5:$N$5,0)))),IF(C365=2030,SUMPRODUCT((B365='Landbrugsareal - resultat'!$B$33:$B$46)*(INDEX('Landbrugsareal - resultat'!$O$33:$Q$46,,MATCH(E365,'Landbrugsareal - resultat'!$O$5:$Q$5,0)))),SUMPRODUCT((B365='Landbrugsareal - resultat'!$B$33:$B$46)*(INDEX('Landbrugsareal - resultat'!$R$33:$T$46,,MATCH(E365,'Landbrugsareal - resultat'!$R$5:$T$5,0))))))))</f>
        <v>2607.6878360294108</v>
      </c>
      <c r="H365" s="168">
        <f>G365*VLOOKUP(B365,[1]Afgrødedata!$A$5:$F$18,2,FALSE)*IF(D365="Økologisk",VLOOKUP(B365,[1]Afgrødedata!$A$5:$F$18,4,FALSE),1)*IF(E365&lt;&gt;Jordbund1,IF(E365=Organ6,VLOOKUP(B365,[1]Afgrødedata!$A$5:$F$18,5,FALSE),VLOOKUP(B365,[1]Afgrødedata!$A$5:$F$18,6,FALSE)),1)*0.1</f>
        <v>43152.018310614694</v>
      </c>
      <c r="I365" s="168">
        <f>G365*VLOOKUP(B365,[1]Afgrødedata!$A$5:$F$18,3,FALSE)*IF(D365="Økologisk",VLOOKUP(B365,[1]Afgrødedata!$A$5:$F$18,4,FALSE),1)*IF(E365&lt;&gt;Jordbund1,IF(E365=Organ6,VLOOKUP(B365,[1]Afgrødedata!$A$5:$F$18,5,FALSE),VLOOKUP(B365,[1]Afgrødedata!$A$5:$F$18,6,FALSE)),1)*HLOOKUP(C365,Landbrug!$C$15:$E$17,2,FALSE)*HLOOKUP(C365,Landbrug!$C$15:$E$17,3,FALSE)*0.1</f>
        <v>0</v>
      </c>
      <c r="J365" s="76">
        <f t="shared" si="60"/>
        <v>43152.018310614694</v>
      </c>
    </row>
    <row r="366" spans="1:10" x14ac:dyDescent="0.25">
      <c r="A366" t="s">
        <v>24</v>
      </c>
      <c r="B366" s="1" t="str">
        <f>[1]Afgrødefordeling!$C$2</f>
        <v>Korn</v>
      </c>
      <c r="C366">
        <v>2050</v>
      </c>
      <c r="D366" t="s">
        <v>7</v>
      </c>
      <c r="E366" s="168" t="str">
        <f t="shared" si="59"/>
        <v>OC6</v>
      </c>
      <c r="F366" t="str">
        <f t="shared" si="58"/>
        <v>Halm</v>
      </c>
      <c r="G366" s="76" cm="1">
        <f t="array" ref="G366">IF(A366="Vestdanmark",IF(D366="Konventionel",IF(C366=2019,SUMPRODUCT((B366='Landbrugsareal - resultat'!$B$6:$B$19)*(INDEX('Landbrugsareal - resultat'!$C$6:$E$19,,MATCH(E366,'Landbrugsareal - resultat'!$C$5:$E$5,0)))),IF(C366=2030,SUMPRODUCT((B366='Landbrugsareal - resultat'!$B$6:$B$19)*(INDEX('Landbrugsareal - resultat'!$F$6:$H$19,,MATCH(E366,'Landbrugsareal - resultat'!$F$5:$H$5,0)))),SUMPRODUCT((B366='Landbrugsareal - resultat'!$B$6:$B$19)*(INDEX('Landbrugsareal - resultat'!$I$6:$K$19,,MATCH(E366,'Landbrugsareal - resultat'!$I$5:$K$5,0)))))),IF(C366=2019,SUMPRODUCT((B366='Landbrugsareal - resultat'!$B$6:$B$19)*(INDEX('Landbrugsareal - resultat'!$L$6:$N$19,,MATCH(E366,'Landbrugsareal - resultat'!$L$5:$N$5,0)))),IF(C366=2030,SUMPRODUCT((B366='Landbrugsareal - resultat'!$B$6:$B$19)*(INDEX('Landbrugsareal - resultat'!$O$6:$Q$19,,MATCH(E366,'Landbrugsareal - resultat'!$O$5:$Q$5,0)))),SUMPRODUCT((B366='Landbrugsareal - resultat'!$B$6:$B$19)*(INDEX('Landbrugsareal - resultat'!$R$6:$T$19,,MATCH(E366,'Landbrugsareal - resultat'!$R$5:$T$5,0))))))),IF(D366="Konventionel",IF(C366=2019,SUMPRODUCT((B366='Landbrugsareal - resultat'!$B$33:$B$46)*(INDEX('Landbrugsareal - resultat'!$C$33:$E$46,,MATCH(E366,'Landbrugsareal - resultat'!$C$5:$E$5,0)))),IF(C366=2030,SUMPRODUCT((B366='Landbrugsareal - resultat'!$B$33:$B$46)*(INDEX('Landbrugsareal - resultat'!$F$33:$H$46,,MATCH(E366,'Landbrugsareal - resultat'!$F$5:$H$5,0)))),SUMPRODUCT((B366='Landbrugsareal - resultat'!$B$33:$B$46)*(INDEX('Landbrugsareal - resultat'!$I$33:$K$46,,MATCH(E366,'Landbrugsareal - resultat'!$I$5:$K$5,0)))))),IF(C366=2019,SUMPRODUCT((B366='Landbrugsareal - resultat'!$B$33:$B$46)*(INDEX('Landbrugsareal - resultat'!$L$33:$N$46,,MATCH(E366,'Landbrugsareal - resultat'!$L$5:$N$5,0)))),IF(C366=2030,SUMPRODUCT((B366='Landbrugsareal - resultat'!$B$33:$B$46)*(INDEX('Landbrugsareal - resultat'!$O$33:$Q$46,,MATCH(E366,'Landbrugsareal - resultat'!$O$5:$Q$5,0)))),SUMPRODUCT((B366='Landbrugsareal - resultat'!$B$33:$B$46)*(INDEX('Landbrugsareal - resultat'!$R$33:$T$46,,MATCH(E366,'Landbrugsareal - resultat'!$R$5:$T$5,0))))))))</f>
        <v>3883.4614859757307</v>
      </c>
      <c r="H366" s="168">
        <f>G366*VLOOKUP(B366,[1]Afgrødedata!$A$5:$F$18,2,FALSE)*IF(D366="Økologisk",VLOOKUP(B366,[1]Afgrødedata!$A$5:$F$18,4,FALSE),1)*IF(E366&lt;&gt;Jordbund1,IF(E366=Organ6,VLOOKUP(B366,[1]Afgrødedata!$A$5:$F$18,5,FALSE),VLOOKUP(B366,[1]Afgrødedata!$A$5:$F$18,6,FALSE)),1)*0.1</f>
        <v>32667.678020027841</v>
      </c>
      <c r="I366" s="168">
        <f>G366*VLOOKUP(B366,[1]Afgrødedata!$A$5:$F$18,3,FALSE)*IF(D366="Økologisk",VLOOKUP(B366,[1]Afgrødedata!$A$5:$F$18,4,FALSE),1)*IF(E366&lt;&gt;Jordbund1,IF(E366=Organ6,VLOOKUP(B366,[1]Afgrødedata!$A$5:$F$18,5,FALSE),VLOOKUP(B366,[1]Afgrødedata!$A$5:$F$18,6,FALSE)),1)*HLOOKUP(C366,Landbrug!$C$15:$E$17,2,FALSE)*HLOOKUP(C366,Landbrug!$C$15:$E$17,3,FALSE)*0.1</f>
        <v>10600.661517499037</v>
      </c>
      <c r="J366" s="76">
        <f t="shared" si="60"/>
        <v>10600.661517499037</v>
      </c>
    </row>
    <row r="367" spans="1:10" x14ac:dyDescent="0.25">
      <c r="A367" t="s">
        <v>24</v>
      </c>
      <c r="B367" s="1" t="str">
        <f>[1]Afgrødefordeling!$C$3</f>
        <v>Bælgsæd</v>
      </c>
      <c r="C367">
        <v>2050</v>
      </c>
      <c r="D367" t="s">
        <v>7</v>
      </c>
      <c r="E367" s="168" t="str">
        <f t="shared" si="59"/>
        <v>OC6</v>
      </c>
      <c r="F367" t="str">
        <f t="shared" si="58"/>
        <v>Halm</v>
      </c>
      <c r="G367" s="76" cm="1">
        <f t="array" ref="G367">IF(A367="Vestdanmark",IF(D367="Konventionel",IF(C367=2019,SUMPRODUCT((B367='Landbrugsareal - resultat'!$B$6:$B$19)*(INDEX('Landbrugsareal - resultat'!$C$6:$E$19,,MATCH(E367,'Landbrugsareal - resultat'!$C$5:$E$5,0)))),IF(C367=2030,SUMPRODUCT((B367='Landbrugsareal - resultat'!$B$6:$B$19)*(INDEX('Landbrugsareal - resultat'!$F$6:$H$19,,MATCH(E367,'Landbrugsareal - resultat'!$F$5:$H$5,0)))),SUMPRODUCT((B367='Landbrugsareal - resultat'!$B$6:$B$19)*(INDEX('Landbrugsareal - resultat'!$I$6:$K$19,,MATCH(E367,'Landbrugsareal - resultat'!$I$5:$K$5,0)))))),IF(C367=2019,SUMPRODUCT((B367='Landbrugsareal - resultat'!$B$6:$B$19)*(INDEX('Landbrugsareal - resultat'!$L$6:$N$19,,MATCH(E367,'Landbrugsareal - resultat'!$L$5:$N$5,0)))),IF(C367=2030,SUMPRODUCT((B367='Landbrugsareal - resultat'!$B$6:$B$19)*(INDEX('Landbrugsareal - resultat'!$O$6:$Q$19,,MATCH(E367,'Landbrugsareal - resultat'!$O$5:$Q$5,0)))),SUMPRODUCT((B367='Landbrugsareal - resultat'!$B$6:$B$19)*(INDEX('Landbrugsareal - resultat'!$R$6:$T$19,,MATCH(E367,'Landbrugsareal - resultat'!$R$5:$T$5,0))))))),IF(D367="Konventionel",IF(C367=2019,SUMPRODUCT((B367='Landbrugsareal - resultat'!$B$33:$B$46)*(INDEX('Landbrugsareal - resultat'!$C$33:$E$46,,MATCH(E367,'Landbrugsareal - resultat'!$C$5:$E$5,0)))),IF(C367=2030,SUMPRODUCT((B367='Landbrugsareal - resultat'!$B$33:$B$46)*(INDEX('Landbrugsareal - resultat'!$F$33:$H$46,,MATCH(E367,'Landbrugsareal - resultat'!$F$5:$H$5,0)))),SUMPRODUCT((B367='Landbrugsareal - resultat'!$B$33:$B$46)*(INDEX('Landbrugsareal - resultat'!$I$33:$K$46,,MATCH(E367,'Landbrugsareal - resultat'!$I$5:$K$5,0)))))),IF(C367=2019,SUMPRODUCT((B367='Landbrugsareal - resultat'!$B$33:$B$46)*(INDEX('Landbrugsareal - resultat'!$L$33:$N$46,,MATCH(E367,'Landbrugsareal - resultat'!$L$5:$N$5,0)))),IF(C367=2030,SUMPRODUCT((B367='Landbrugsareal - resultat'!$B$33:$B$46)*(INDEX('Landbrugsareal - resultat'!$O$33:$Q$46,,MATCH(E367,'Landbrugsareal - resultat'!$O$5:$Q$5,0)))),SUMPRODUCT((B367='Landbrugsareal - resultat'!$B$33:$B$46)*(INDEX('Landbrugsareal - resultat'!$R$33:$T$46,,MATCH(E367,'Landbrugsareal - resultat'!$R$5:$T$5,0))))))))</f>
        <v>105.01500622314298</v>
      </c>
      <c r="H367" s="168">
        <f>G367*VLOOKUP(B367,[1]Afgrødedata!$A$5:$F$18,2,FALSE)*IF(D367="Økologisk",VLOOKUP(B367,[1]Afgrødedata!$A$5:$F$18,4,FALSE),1)*IF(E367&lt;&gt;Jordbund1,IF(E367=Organ6,VLOOKUP(B367,[1]Afgrødedata!$A$5:$F$18,5,FALSE),VLOOKUP(B367,[1]Afgrødedata!$A$5:$F$18,6,FALSE)),1)*0.1</f>
        <v>486.4295088255983</v>
      </c>
      <c r="I367" s="168">
        <f>G367*VLOOKUP(B367,[1]Afgrødedata!$A$5:$F$18,3,FALSE)*IF(D367="Økologisk",VLOOKUP(B367,[1]Afgrødedata!$A$5:$F$18,4,FALSE),1)*IF(E367&lt;&gt;Jordbund1,IF(E367=Organ6,VLOOKUP(B367,[1]Afgrødedata!$A$5:$F$18,5,FALSE),VLOOKUP(B367,[1]Afgrødedata!$A$5:$F$18,6,FALSE)),1)*HLOOKUP(C367,Landbrug!$C$15:$E$17,2,FALSE)*HLOOKUP(C367,Landbrug!$C$15:$E$17,3,FALSE)*0.1</f>
        <v>143.57105572795746</v>
      </c>
      <c r="J367" s="76">
        <f t="shared" si="60"/>
        <v>143.57105572795746</v>
      </c>
    </row>
    <row r="368" spans="1:10" x14ac:dyDescent="0.25">
      <c r="A368" t="s">
        <v>24</v>
      </c>
      <c r="B368" s="1" t="str">
        <f>[1]Afgrødefordeling!$C$4</f>
        <v>Raps</v>
      </c>
      <c r="C368">
        <v>2050</v>
      </c>
      <c r="D368" t="s">
        <v>7</v>
      </c>
      <c r="E368" s="168" t="str">
        <f t="shared" si="59"/>
        <v>OC6</v>
      </c>
      <c r="F368" t="str">
        <f t="shared" si="58"/>
        <v>Halm</v>
      </c>
      <c r="G368" s="76" cm="1">
        <f t="array" ref="G368">IF(A368="Vestdanmark",IF(D368="Konventionel",IF(C368=2019,SUMPRODUCT((B368='Landbrugsareal - resultat'!$B$6:$B$19)*(INDEX('Landbrugsareal - resultat'!$C$6:$E$19,,MATCH(E368,'Landbrugsareal - resultat'!$C$5:$E$5,0)))),IF(C368=2030,SUMPRODUCT((B368='Landbrugsareal - resultat'!$B$6:$B$19)*(INDEX('Landbrugsareal - resultat'!$F$6:$H$19,,MATCH(E368,'Landbrugsareal - resultat'!$F$5:$H$5,0)))),SUMPRODUCT((B368='Landbrugsareal - resultat'!$B$6:$B$19)*(INDEX('Landbrugsareal - resultat'!$I$6:$K$19,,MATCH(E368,'Landbrugsareal - resultat'!$I$5:$K$5,0)))))),IF(C368=2019,SUMPRODUCT((B368='Landbrugsareal - resultat'!$B$6:$B$19)*(INDEX('Landbrugsareal - resultat'!$L$6:$N$19,,MATCH(E368,'Landbrugsareal - resultat'!$L$5:$N$5,0)))),IF(C368=2030,SUMPRODUCT((B368='Landbrugsareal - resultat'!$B$6:$B$19)*(INDEX('Landbrugsareal - resultat'!$O$6:$Q$19,,MATCH(E368,'Landbrugsareal - resultat'!$O$5:$Q$5,0)))),SUMPRODUCT((B368='Landbrugsareal - resultat'!$B$6:$B$19)*(INDEX('Landbrugsareal - resultat'!$R$6:$T$19,,MATCH(E368,'Landbrugsareal - resultat'!$R$5:$T$5,0))))))),IF(D368="Konventionel",IF(C368=2019,SUMPRODUCT((B368='Landbrugsareal - resultat'!$B$33:$B$46)*(INDEX('Landbrugsareal - resultat'!$C$33:$E$46,,MATCH(E368,'Landbrugsareal - resultat'!$C$5:$E$5,0)))),IF(C368=2030,SUMPRODUCT((B368='Landbrugsareal - resultat'!$B$33:$B$46)*(INDEX('Landbrugsareal - resultat'!$F$33:$H$46,,MATCH(E368,'Landbrugsareal - resultat'!$F$5:$H$5,0)))),SUMPRODUCT((B368='Landbrugsareal - resultat'!$B$33:$B$46)*(INDEX('Landbrugsareal - resultat'!$I$33:$K$46,,MATCH(E368,'Landbrugsareal - resultat'!$I$5:$K$5,0)))))),IF(C368=2019,SUMPRODUCT((B368='Landbrugsareal - resultat'!$B$33:$B$46)*(INDEX('Landbrugsareal - resultat'!$L$33:$N$46,,MATCH(E368,'Landbrugsareal - resultat'!$L$5:$N$5,0)))),IF(C368=2030,SUMPRODUCT((B368='Landbrugsareal - resultat'!$B$33:$B$46)*(INDEX('Landbrugsareal - resultat'!$O$33:$Q$46,,MATCH(E368,'Landbrugsareal - resultat'!$O$5:$Q$5,0)))),SUMPRODUCT((B368='Landbrugsareal - resultat'!$B$33:$B$46)*(INDEX('Landbrugsareal - resultat'!$R$33:$T$46,,MATCH(E368,'Landbrugsareal - resultat'!$R$5:$T$5,0))))))))</f>
        <v>424.17201487999847</v>
      </c>
      <c r="H368" s="168">
        <f>G368*VLOOKUP(B368,[1]Afgrødedata!$A$5:$F$18,2,FALSE)*IF(D368="Økologisk",VLOOKUP(B368,[1]Afgrødedata!$A$5:$F$18,4,FALSE),1)*IF(E368&lt;&gt;Jordbund1,IF(E368=Organ6,VLOOKUP(B368,[1]Afgrødedata!$A$5:$F$18,5,FALSE),VLOOKUP(B368,[1]Afgrødedata!$A$5:$F$18,6,FALSE)),1)*0.1</f>
        <v>2239.6282385663922</v>
      </c>
      <c r="I368" s="168">
        <f>G368*VLOOKUP(B368,[1]Afgrødedata!$A$5:$F$18,3,FALSE)*IF(D368="Økologisk",VLOOKUP(B368,[1]Afgrødedata!$A$5:$F$18,4,FALSE),1)*IF(E368&lt;&gt;Jordbund1,IF(E368=Organ6,VLOOKUP(B368,[1]Afgrødedata!$A$5:$F$18,5,FALSE),VLOOKUP(B368,[1]Afgrødedata!$A$5:$F$18,6,FALSE)),1)*HLOOKUP(C368,Landbrug!$C$15:$E$17,2,FALSE)*HLOOKUP(C368,Landbrug!$C$15:$E$17,3,FALSE)*0.1</f>
        <v>1189.2425946787541</v>
      </c>
      <c r="J368" s="76">
        <f t="shared" si="60"/>
        <v>1189.2425946787541</v>
      </c>
    </row>
    <row r="369" spans="1:10" x14ac:dyDescent="0.25">
      <c r="A369" t="s">
        <v>24</v>
      </c>
      <c r="B369" s="1" t="str">
        <f>[1]Afgrødefordeling!$C$5</f>
        <v>Græs</v>
      </c>
      <c r="C369">
        <v>2050</v>
      </c>
      <c r="D369" t="s">
        <v>7</v>
      </c>
      <c r="E369" s="168" t="str">
        <f t="shared" si="59"/>
        <v>OC6</v>
      </c>
      <c r="F369" t="str">
        <f t="shared" si="58"/>
        <v>Græs</v>
      </c>
      <c r="G369" s="76" cm="1">
        <f t="array" ref="G369">IF(A369="Vestdanmark",IF(D369="Konventionel",IF(C369=2019,SUMPRODUCT((B369='Landbrugsareal - resultat'!$B$6:$B$19)*(INDEX('Landbrugsareal - resultat'!$C$6:$E$19,,MATCH(E369,'Landbrugsareal - resultat'!$C$5:$E$5,0)))),IF(C369=2030,SUMPRODUCT((B369='Landbrugsareal - resultat'!$B$6:$B$19)*(INDEX('Landbrugsareal - resultat'!$F$6:$H$19,,MATCH(E369,'Landbrugsareal - resultat'!$F$5:$H$5,0)))),SUMPRODUCT((B369='Landbrugsareal - resultat'!$B$6:$B$19)*(INDEX('Landbrugsareal - resultat'!$I$6:$K$19,,MATCH(E369,'Landbrugsareal - resultat'!$I$5:$K$5,0)))))),IF(C369=2019,SUMPRODUCT((B369='Landbrugsareal - resultat'!$B$6:$B$19)*(INDEX('Landbrugsareal - resultat'!$L$6:$N$19,,MATCH(E369,'Landbrugsareal - resultat'!$L$5:$N$5,0)))),IF(C369=2030,SUMPRODUCT((B369='Landbrugsareal - resultat'!$B$6:$B$19)*(INDEX('Landbrugsareal - resultat'!$O$6:$Q$19,,MATCH(E369,'Landbrugsareal - resultat'!$O$5:$Q$5,0)))),SUMPRODUCT((B369='Landbrugsareal - resultat'!$B$6:$B$19)*(INDEX('Landbrugsareal - resultat'!$R$6:$T$19,,MATCH(E369,'Landbrugsareal - resultat'!$R$5:$T$5,0))))))),IF(D369="Konventionel",IF(C369=2019,SUMPRODUCT((B369='Landbrugsareal - resultat'!$B$33:$B$46)*(INDEX('Landbrugsareal - resultat'!$C$33:$E$46,,MATCH(E369,'Landbrugsareal - resultat'!$C$5:$E$5,0)))),IF(C369=2030,SUMPRODUCT((B369='Landbrugsareal - resultat'!$B$33:$B$46)*(INDEX('Landbrugsareal - resultat'!$F$33:$H$46,,MATCH(E369,'Landbrugsareal - resultat'!$F$5:$H$5,0)))),SUMPRODUCT((B369='Landbrugsareal - resultat'!$B$33:$B$46)*(INDEX('Landbrugsareal - resultat'!$I$33:$K$46,,MATCH(E369,'Landbrugsareal - resultat'!$I$5:$K$5,0)))))),IF(C369=2019,SUMPRODUCT((B369='Landbrugsareal - resultat'!$B$33:$B$46)*(INDEX('Landbrugsareal - resultat'!$L$33:$N$46,,MATCH(E369,'Landbrugsareal - resultat'!$L$5:$N$5,0)))),IF(C369=2030,SUMPRODUCT((B369='Landbrugsareal - resultat'!$B$33:$B$46)*(INDEX('Landbrugsareal - resultat'!$O$33:$Q$46,,MATCH(E369,'Landbrugsareal - resultat'!$O$5:$Q$5,0)))),SUMPRODUCT((B369='Landbrugsareal - resultat'!$B$33:$B$46)*(INDEX('Landbrugsareal - resultat'!$R$33:$T$46,,MATCH(E369,'Landbrugsareal - resultat'!$R$5:$T$5,0))))))))</f>
        <v>1247.2434533163869</v>
      </c>
      <c r="H369" s="168">
        <f>G369*VLOOKUP(B369,[1]Afgrødedata!$A$5:$F$18,2,FALSE)*IF(D369="Økologisk",VLOOKUP(B369,[1]Afgrødedata!$A$5:$F$18,4,FALSE),1)*IF(E369&lt;&gt;Jordbund1,IF(E369=Organ6,VLOOKUP(B369,[1]Afgrødedata!$A$5:$F$18,5,FALSE),VLOOKUP(B369,[1]Afgrødedata!$A$5:$F$18,6,FALSE)),1)*0.1</f>
        <v>74265.864184270948</v>
      </c>
      <c r="I369" s="168">
        <f>G369*VLOOKUP(B369,[1]Afgrødedata!$A$5:$F$18,3,FALSE)*IF(D369="Økologisk",VLOOKUP(B369,[1]Afgrødedata!$A$5:$F$18,4,FALSE),1)*IF(E369&lt;&gt;Jordbund1,IF(E369=Organ6,VLOOKUP(B369,[1]Afgrødedata!$A$5:$F$18,5,FALSE),VLOOKUP(B369,[1]Afgrødedata!$A$5:$F$18,6,FALSE)),1)*HLOOKUP(C369,Landbrug!$C$15:$E$17,2,FALSE)*HLOOKUP(C369,Landbrug!$C$15:$E$17,3,FALSE)*0.1</f>
        <v>0</v>
      </c>
      <c r="J369" s="76">
        <f t="shared" si="60"/>
        <v>74265.864184270948</v>
      </c>
    </row>
    <row r="370" spans="1:10" x14ac:dyDescent="0.25">
      <c r="A370" t="s">
        <v>24</v>
      </c>
      <c r="B370" s="1" t="str">
        <f>[1]Afgrødefordeling!$C$6</f>
        <v>Grøntsager</v>
      </c>
      <c r="C370">
        <v>2050</v>
      </c>
      <c r="D370" t="s">
        <v>7</v>
      </c>
      <c r="E370" s="168" t="str">
        <f t="shared" ref="E370:E401" si="61">Organ6</f>
        <v>OC6</v>
      </c>
      <c r="F370" t="str">
        <f t="shared" si="58"/>
        <v>Grøntsager</v>
      </c>
      <c r="G370" s="76" cm="1">
        <f t="array" ref="G370">IF(A370="Vestdanmark",IF(D370="Konventionel",IF(C370=2019,SUMPRODUCT((B370='Landbrugsareal - resultat'!$B$6:$B$19)*(INDEX('Landbrugsareal - resultat'!$C$6:$E$19,,MATCH(E370,'Landbrugsareal - resultat'!$C$5:$E$5,0)))),IF(C370=2030,SUMPRODUCT((B370='Landbrugsareal - resultat'!$B$6:$B$19)*(INDEX('Landbrugsareal - resultat'!$F$6:$H$19,,MATCH(E370,'Landbrugsareal - resultat'!$F$5:$H$5,0)))),SUMPRODUCT((B370='Landbrugsareal - resultat'!$B$6:$B$19)*(INDEX('Landbrugsareal - resultat'!$I$6:$K$19,,MATCH(E370,'Landbrugsareal - resultat'!$I$5:$K$5,0)))))),IF(C370=2019,SUMPRODUCT((B370='Landbrugsareal - resultat'!$B$6:$B$19)*(INDEX('Landbrugsareal - resultat'!$L$6:$N$19,,MATCH(E370,'Landbrugsareal - resultat'!$L$5:$N$5,0)))),IF(C370=2030,SUMPRODUCT((B370='Landbrugsareal - resultat'!$B$6:$B$19)*(INDEX('Landbrugsareal - resultat'!$O$6:$Q$19,,MATCH(E370,'Landbrugsareal - resultat'!$O$5:$Q$5,0)))),SUMPRODUCT((B370='Landbrugsareal - resultat'!$B$6:$B$19)*(INDEX('Landbrugsareal - resultat'!$R$6:$T$19,,MATCH(E370,'Landbrugsareal - resultat'!$R$5:$T$5,0))))))),IF(D370="Konventionel",IF(C370=2019,SUMPRODUCT((B370='Landbrugsareal - resultat'!$B$33:$B$46)*(INDEX('Landbrugsareal - resultat'!$C$33:$E$46,,MATCH(E370,'Landbrugsareal - resultat'!$C$5:$E$5,0)))),IF(C370=2030,SUMPRODUCT((B370='Landbrugsareal - resultat'!$B$33:$B$46)*(INDEX('Landbrugsareal - resultat'!$F$33:$H$46,,MATCH(E370,'Landbrugsareal - resultat'!$F$5:$H$5,0)))),SUMPRODUCT((B370='Landbrugsareal - resultat'!$B$33:$B$46)*(INDEX('Landbrugsareal - resultat'!$I$33:$K$46,,MATCH(E370,'Landbrugsareal - resultat'!$I$5:$K$5,0)))))),IF(C370=2019,SUMPRODUCT((B370='Landbrugsareal - resultat'!$B$33:$B$46)*(INDEX('Landbrugsareal - resultat'!$L$33:$N$46,,MATCH(E370,'Landbrugsareal - resultat'!$L$5:$N$5,0)))),IF(C370=2030,SUMPRODUCT((B370='Landbrugsareal - resultat'!$B$33:$B$46)*(INDEX('Landbrugsareal - resultat'!$O$33:$Q$46,,MATCH(E370,'Landbrugsareal - resultat'!$O$5:$Q$5,0)))),SUMPRODUCT((B370='Landbrugsareal - resultat'!$B$33:$B$46)*(INDEX('Landbrugsareal - resultat'!$R$33:$T$46,,MATCH(E370,'Landbrugsareal - resultat'!$R$5:$T$5,0))))))))</f>
        <v>23.621440278820938</v>
      </c>
      <c r="H370" s="168">
        <f>G370*VLOOKUP(B370,[1]Afgrødedata!$A$5:$F$18,2,FALSE)*IF(D370="Økologisk",VLOOKUP(B370,[1]Afgrødedata!$A$5:$F$18,4,FALSE),1)*IF(E370&lt;&gt;Jordbund1,IF(E370=Organ6,VLOOKUP(B370,[1]Afgrødedata!$A$5:$F$18,5,FALSE),VLOOKUP(B370,[1]Afgrødedata!$A$5:$F$18,6,FALSE)),1)*0.1</f>
        <v>588.17386294264134</v>
      </c>
      <c r="I370" s="168">
        <f>G370*VLOOKUP(B370,[1]Afgrødedata!$A$5:$F$18,3,FALSE)*IF(D370="Økologisk",VLOOKUP(B370,[1]Afgrødedata!$A$5:$F$18,4,FALSE),1)*IF(E370&lt;&gt;Jordbund1,IF(E370=Organ6,VLOOKUP(B370,[1]Afgrødedata!$A$5:$F$18,5,FALSE),VLOOKUP(B370,[1]Afgrødedata!$A$5:$F$18,6,FALSE)),1)*HLOOKUP(C370,Landbrug!$C$15:$E$17,2,FALSE)*HLOOKUP(C370,Landbrug!$C$15:$E$17,3,FALSE)*0.1</f>
        <v>0</v>
      </c>
      <c r="J370" s="76">
        <f t="shared" si="60"/>
        <v>588.17386294264134</v>
      </c>
    </row>
    <row r="371" spans="1:10" x14ac:dyDescent="0.25">
      <c r="A371" t="s">
        <v>24</v>
      </c>
      <c r="B371" s="1" t="str">
        <f>[1]Afgrødefordeling!$C$7</f>
        <v>Kartofler</v>
      </c>
      <c r="C371">
        <v>2050</v>
      </c>
      <c r="D371" t="s">
        <v>7</v>
      </c>
      <c r="E371" s="168" t="str">
        <f t="shared" si="61"/>
        <v>OC6</v>
      </c>
      <c r="F371" t="str">
        <f t="shared" si="58"/>
        <v>Kartofler</v>
      </c>
      <c r="G371" s="76" cm="1">
        <f t="array" ref="G371">IF(A371="Vestdanmark",IF(D371="Konventionel",IF(C371=2019,SUMPRODUCT((B371='Landbrugsareal - resultat'!$B$6:$B$19)*(INDEX('Landbrugsareal - resultat'!$C$6:$E$19,,MATCH(E371,'Landbrugsareal - resultat'!$C$5:$E$5,0)))),IF(C371=2030,SUMPRODUCT((B371='Landbrugsareal - resultat'!$B$6:$B$19)*(INDEX('Landbrugsareal - resultat'!$F$6:$H$19,,MATCH(E371,'Landbrugsareal - resultat'!$F$5:$H$5,0)))),SUMPRODUCT((B371='Landbrugsareal - resultat'!$B$6:$B$19)*(INDEX('Landbrugsareal - resultat'!$I$6:$K$19,,MATCH(E371,'Landbrugsareal - resultat'!$I$5:$K$5,0)))))),IF(C371=2019,SUMPRODUCT((B371='Landbrugsareal - resultat'!$B$6:$B$19)*(INDEX('Landbrugsareal - resultat'!$L$6:$N$19,,MATCH(E371,'Landbrugsareal - resultat'!$L$5:$N$5,0)))),IF(C371=2030,SUMPRODUCT((B371='Landbrugsareal - resultat'!$B$6:$B$19)*(INDEX('Landbrugsareal - resultat'!$O$6:$Q$19,,MATCH(E371,'Landbrugsareal - resultat'!$O$5:$Q$5,0)))),SUMPRODUCT((B371='Landbrugsareal - resultat'!$B$6:$B$19)*(INDEX('Landbrugsareal - resultat'!$R$6:$T$19,,MATCH(E371,'Landbrugsareal - resultat'!$R$5:$T$5,0))))))),IF(D371="Konventionel",IF(C371=2019,SUMPRODUCT((B371='Landbrugsareal - resultat'!$B$33:$B$46)*(INDEX('Landbrugsareal - resultat'!$C$33:$E$46,,MATCH(E371,'Landbrugsareal - resultat'!$C$5:$E$5,0)))),IF(C371=2030,SUMPRODUCT((B371='Landbrugsareal - resultat'!$B$33:$B$46)*(INDEX('Landbrugsareal - resultat'!$F$33:$H$46,,MATCH(E371,'Landbrugsareal - resultat'!$F$5:$H$5,0)))),SUMPRODUCT((B371='Landbrugsareal - resultat'!$B$33:$B$46)*(INDEX('Landbrugsareal - resultat'!$I$33:$K$46,,MATCH(E371,'Landbrugsareal - resultat'!$I$5:$K$5,0)))))),IF(C371=2019,SUMPRODUCT((B371='Landbrugsareal - resultat'!$B$33:$B$46)*(INDEX('Landbrugsareal - resultat'!$L$33:$N$46,,MATCH(E371,'Landbrugsareal - resultat'!$L$5:$N$5,0)))),IF(C371=2030,SUMPRODUCT((B371='Landbrugsareal - resultat'!$B$33:$B$46)*(INDEX('Landbrugsareal - resultat'!$O$33:$Q$46,,MATCH(E371,'Landbrugsareal - resultat'!$O$5:$Q$5,0)))),SUMPRODUCT((B371='Landbrugsareal - resultat'!$B$33:$B$46)*(INDEX('Landbrugsareal - resultat'!$R$33:$T$46,,MATCH(E371,'Landbrugsareal - resultat'!$R$5:$T$5,0))))))))</f>
        <v>40.158610365050421</v>
      </c>
      <c r="H371" s="168">
        <f>G371*VLOOKUP(B371,[1]Afgrødedata!$A$5:$F$18,2,FALSE)*IF(D371="Økologisk",VLOOKUP(B371,[1]Afgrødedata!$A$5:$F$18,4,FALSE),1)*IF(E371&lt;&gt;Jordbund1,IF(E371=Organ6,VLOOKUP(B371,[1]Afgrødedata!$A$5:$F$18,5,FALSE),VLOOKUP(B371,[1]Afgrødedata!$A$5:$F$18,6,FALSE)),1)*0.1</f>
        <v>2046.6867644460935</v>
      </c>
      <c r="I371" s="168">
        <f>G371*VLOOKUP(B371,[1]Afgrødedata!$A$5:$F$18,3,FALSE)*IF(D371="Økologisk",VLOOKUP(B371,[1]Afgrødedata!$A$5:$F$18,4,FALSE),1)*IF(E371&lt;&gt;Jordbund1,IF(E371=Organ6,VLOOKUP(B371,[1]Afgrødedata!$A$5:$F$18,5,FALSE),VLOOKUP(B371,[1]Afgrødedata!$A$5:$F$18,6,FALSE)),1)*HLOOKUP(C371,Landbrug!$C$15:$E$17,2,FALSE)*HLOOKUP(C371,Landbrug!$C$15:$E$17,3,FALSE)*0.1</f>
        <v>0</v>
      </c>
      <c r="J371" s="76">
        <f t="shared" si="60"/>
        <v>2046.6867644460935</v>
      </c>
    </row>
    <row r="372" spans="1:10" x14ac:dyDescent="0.25">
      <c r="A372" t="s">
        <v>24</v>
      </c>
      <c r="B372" s="1" t="str">
        <f>[1]Afgrødefordeling!$C$8</f>
        <v>Roer</v>
      </c>
      <c r="C372">
        <v>2050</v>
      </c>
      <c r="D372" t="s">
        <v>7</v>
      </c>
      <c r="E372" s="168" t="str">
        <f t="shared" si="61"/>
        <v>OC6</v>
      </c>
      <c r="F372" t="str">
        <f t="shared" si="58"/>
        <v>Roer</v>
      </c>
      <c r="G372" s="76" cm="1">
        <f t="array" ref="G372">IF(A372="Vestdanmark",IF(D372="Konventionel",IF(C372=2019,SUMPRODUCT((B372='Landbrugsareal - resultat'!$B$6:$B$19)*(INDEX('Landbrugsareal - resultat'!$C$6:$E$19,,MATCH(E372,'Landbrugsareal - resultat'!$C$5:$E$5,0)))),IF(C372=2030,SUMPRODUCT((B372='Landbrugsareal - resultat'!$B$6:$B$19)*(INDEX('Landbrugsareal - resultat'!$F$6:$H$19,,MATCH(E372,'Landbrugsareal - resultat'!$F$5:$H$5,0)))),SUMPRODUCT((B372='Landbrugsareal - resultat'!$B$6:$B$19)*(INDEX('Landbrugsareal - resultat'!$I$6:$K$19,,MATCH(E372,'Landbrugsareal - resultat'!$I$5:$K$5,0)))))),IF(C372=2019,SUMPRODUCT((B372='Landbrugsareal - resultat'!$B$6:$B$19)*(INDEX('Landbrugsareal - resultat'!$L$6:$N$19,,MATCH(E372,'Landbrugsareal - resultat'!$L$5:$N$5,0)))),IF(C372=2030,SUMPRODUCT((B372='Landbrugsareal - resultat'!$B$6:$B$19)*(INDEX('Landbrugsareal - resultat'!$O$6:$Q$19,,MATCH(E372,'Landbrugsareal - resultat'!$O$5:$Q$5,0)))),SUMPRODUCT((B372='Landbrugsareal - resultat'!$B$6:$B$19)*(INDEX('Landbrugsareal - resultat'!$R$6:$T$19,,MATCH(E372,'Landbrugsareal - resultat'!$R$5:$T$5,0))))))),IF(D372="Konventionel",IF(C372=2019,SUMPRODUCT((B372='Landbrugsareal - resultat'!$B$33:$B$46)*(INDEX('Landbrugsareal - resultat'!$C$33:$E$46,,MATCH(E372,'Landbrugsareal - resultat'!$C$5:$E$5,0)))),IF(C372=2030,SUMPRODUCT((B372='Landbrugsareal - resultat'!$B$33:$B$46)*(INDEX('Landbrugsareal - resultat'!$F$33:$H$46,,MATCH(E372,'Landbrugsareal - resultat'!$F$5:$H$5,0)))),SUMPRODUCT((B372='Landbrugsareal - resultat'!$B$33:$B$46)*(INDEX('Landbrugsareal - resultat'!$I$33:$K$46,,MATCH(E372,'Landbrugsareal - resultat'!$I$5:$K$5,0)))))),IF(C372=2019,SUMPRODUCT((B372='Landbrugsareal - resultat'!$B$33:$B$46)*(INDEX('Landbrugsareal - resultat'!$L$33:$N$46,,MATCH(E372,'Landbrugsareal - resultat'!$L$5:$N$5,0)))),IF(C372=2030,SUMPRODUCT((B372='Landbrugsareal - resultat'!$B$33:$B$46)*(INDEX('Landbrugsareal - resultat'!$O$33:$Q$46,,MATCH(E372,'Landbrugsareal - resultat'!$O$5:$Q$5,0)))),SUMPRODUCT((B372='Landbrugsareal - resultat'!$B$33:$B$46)*(INDEX('Landbrugsareal - resultat'!$R$33:$T$46,,MATCH(E372,'Landbrugsareal - resultat'!$R$5:$T$5,0))))))))</f>
        <v>112.19470840821398</v>
      </c>
      <c r="H372" s="168">
        <f>G372*VLOOKUP(B372,[1]Afgrødedata!$A$5:$F$18,2,FALSE)*IF(D372="Økologisk",VLOOKUP(B372,[1]Afgrødedata!$A$5:$F$18,4,FALSE),1)*IF(E372&lt;&gt;Jordbund1,IF(E372=Organ6,VLOOKUP(B372,[1]Afgrødedata!$A$5:$F$18,5,FALSE),VLOOKUP(B372,[1]Afgrødedata!$A$5:$F$18,6,FALSE)),1)*0.1</f>
        <v>10939.486434166871</v>
      </c>
      <c r="I372" s="168">
        <f>G372*VLOOKUP(B372,[1]Afgrødedata!$A$5:$F$18,3,FALSE)*IF(D372="Økologisk",VLOOKUP(B372,[1]Afgrødedata!$A$5:$F$18,4,FALSE),1)*IF(E372&lt;&gt;Jordbund1,IF(E372=Organ6,VLOOKUP(B372,[1]Afgrødedata!$A$5:$F$18,5,FALSE),VLOOKUP(B372,[1]Afgrødedata!$A$5:$F$18,6,FALSE)),1)*HLOOKUP(C372,Landbrug!$C$15:$E$17,2,FALSE)*HLOOKUP(C372,Landbrug!$C$15:$E$17,3,FALSE)*0.1</f>
        <v>0</v>
      </c>
      <c r="J372" s="76">
        <f t="shared" si="60"/>
        <v>10939.486434166871</v>
      </c>
    </row>
    <row r="373" spans="1:10" x14ac:dyDescent="0.25">
      <c r="A373" t="s">
        <v>24</v>
      </c>
      <c r="B373" s="1" t="str">
        <f>[1]Afgrødefordeling!$C$9</f>
        <v>Majs</v>
      </c>
      <c r="C373">
        <v>2050</v>
      </c>
      <c r="D373" t="s">
        <v>7</v>
      </c>
      <c r="E373" s="168" t="str">
        <f t="shared" si="61"/>
        <v>OC6</v>
      </c>
      <c r="F373" t="str">
        <f t="shared" si="58"/>
        <v>Majs</v>
      </c>
      <c r="G373" s="76" cm="1">
        <f t="array" ref="G373">IF(A373="Vestdanmark",IF(D373="Konventionel",IF(C373=2019,SUMPRODUCT((B373='Landbrugsareal - resultat'!$B$6:$B$19)*(INDEX('Landbrugsareal - resultat'!$C$6:$E$19,,MATCH(E373,'Landbrugsareal - resultat'!$C$5:$E$5,0)))),IF(C373=2030,SUMPRODUCT((B373='Landbrugsareal - resultat'!$B$6:$B$19)*(INDEX('Landbrugsareal - resultat'!$F$6:$H$19,,MATCH(E373,'Landbrugsareal - resultat'!$F$5:$H$5,0)))),SUMPRODUCT((B373='Landbrugsareal - resultat'!$B$6:$B$19)*(INDEX('Landbrugsareal - resultat'!$I$6:$K$19,,MATCH(E373,'Landbrugsareal - resultat'!$I$5:$K$5,0)))))),IF(C373=2019,SUMPRODUCT((B373='Landbrugsareal - resultat'!$B$6:$B$19)*(INDEX('Landbrugsareal - resultat'!$L$6:$N$19,,MATCH(E373,'Landbrugsareal - resultat'!$L$5:$N$5,0)))),IF(C373=2030,SUMPRODUCT((B373='Landbrugsareal - resultat'!$B$6:$B$19)*(INDEX('Landbrugsareal - resultat'!$O$6:$Q$19,,MATCH(E373,'Landbrugsareal - resultat'!$O$5:$Q$5,0)))),SUMPRODUCT((B373='Landbrugsareal - resultat'!$B$6:$B$19)*(INDEX('Landbrugsareal - resultat'!$R$6:$T$19,,MATCH(E373,'Landbrugsareal - resultat'!$R$5:$T$5,0))))))),IF(D373="Konventionel",IF(C373=2019,SUMPRODUCT((B373='Landbrugsareal - resultat'!$B$33:$B$46)*(INDEX('Landbrugsareal - resultat'!$C$33:$E$46,,MATCH(E373,'Landbrugsareal - resultat'!$C$5:$E$5,0)))),IF(C373=2030,SUMPRODUCT((B373='Landbrugsareal - resultat'!$B$33:$B$46)*(INDEX('Landbrugsareal - resultat'!$F$33:$H$46,,MATCH(E373,'Landbrugsareal - resultat'!$F$5:$H$5,0)))),SUMPRODUCT((B373='Landbrugsareal - resultat'!$B$33:$B$46)*(INDEX('Landbrugsareal - resultat'!$I$33:$K$46,,MATCH(E373,'Landbrugsareal - resultat'!$I$5:$K$5,0)))))),IF(C373=2019,SUMPRODUCT((B373='Landbrugsareal - resultat'!$B$33:$B$46)*(INDEX('Landbrugsareal - resultat'!$L$33:$N$46,,MATCH(E373,'Landbrugsareal - resultat'!$L$5:$N$5,0)))),IF(C373=2030,SUMPRODUCT((B373='Landbrugsareal - resultat'!$B$33:$B$46)*(INDEX('Landbrugsareal - resultat'!$O$33:$Q$46,,MATCH(E373,'Landbrugsareal - resultat'!$O$5:$Q$5,0)))),SUMPRODUCT((B373='Landbrugsareal - resultat'!$B$33:$B$46)*(INDEX('Landbrugsareal - resultat'!$R$33:$T$46,,MATCH(E373,'Landbrugsareal - resultat'!$R$5:$T$5,0))))))))</f>
        <v>119.61687271903044</v>
      </c>
      <c r="H373" s="168">
        <f>G373*VLOOKUP(B373,[1]Afgrødedata!$A$5:$F$18,2,FALSE)*IF(D373="Økologisk",VLOOKUP(B373,[1]Afgrødedata!$A$5:$F$18,4,FALSE),1)*IF(E373&lt;&gt;Jordbund1,IF(E373=Organ6,VLOOKUP(B373,[1]Afgrødedata!$A$5:$F$18,5,FALSE),VLOOKUP(B373,[1]Afgrødedata!$A$5:$F$18,6,FALSE)),1)*0.1</f>
        <v>6388.9764056688546</v>
      </c>
      <c r="I373" s="168">
        <f>G373*VLOOKUP(B373,[1]Afgrødedata!$A$5:$F$18,3,FALSE)*IF(D373="Økologisk",VLOOKUP(B373,[1]Afgrødedata!$A$5:$F$18,4,FALSE),1)*IF(E373&lt;&gt;Jordbund1,IF(E373=Organ6,VLOOKUP(B373,[1]Afgrødedata!$A$5:$F$18,5,FALSE),VLOOKUP(B373,[1]Afgrødedata!$A$5:$F$18,6,FALSE)),1)*HLOOKUP(C373,Landbrug!$C$15:$E$17,2,FALSE)*HLOOKUP(C373,Landbrug!$C$15:$E$17,3,FALSE)*0.1</f>
        <v>0</v>
      </c>
      <c r="J373" s="76">
        <f t="shared" si="60"/>
        <v>6388.9764056688546</v>
      </c>
    </row>
    <row r="374" spans="1:10" x14ac:dyDescent="0.25">
      <c r="A374" t="s">
        <v>24</v>
      </c>
      <c r="B374" s="1" t="str">
        <f>[1]Afgrødefordeling!$C$10</f>
        <v>Frugt</v>
      </c>
      <c r="C374">
        <v>2050</v>
      </c>
      <c r="D374" t="s">
        <v>7</v>
      </c>
      <c r="E374" s="168" t="str">
        <f t="shared" si="61"/>
        <v>OC6</v>
      </c>
      <c r="F374" t="str">
        <f t="shared" si="58"/>
        <v>Frugt</v>
      </c>
      <c r="G374" s="76" cm="1">
        <f t="array" ref="G374">IF(A374="Vestdanmark",IF(D374="Konventionel",IF(C374=2019,SUMPRODUCT((B374='Landbrugsareal - resultat'!$B$6:$B$19)*(INDEX('Landbrugsareal - resultat'!$C$6:$E$19,,MATCH(E374,'Landbrugsareal - resultat'!$C$5:$E$5,0)))),IF(C374=2030,SUMPRODUCT((B374='Landbrugsareal - resultat'!$B$6:$B$19)*(INDEX('Landbrugsareal - resultat'!$F$6:$H$19,,MATCH(E374,'Landbrugsareal - resultat'!$F$5:$H$5,0)))),SUMPRODUCT((B374='Landbrugsareal - resultat'!$B$6:$B$19)*(INDEX('Landbrugsareal - resultat'!$I$6:$K$19,,MATCH(E374,'Landbrugsareal - resultat'!$I$5:$K$5,0)))))),IF(C374=2019,SUMPRODUCT((B374='Landbrugsareal - resultat'!$B$6:$B$19)*(INDEX('Landbrugsareal - resultat'!$L$6:$N$19,,MATCH(E374,'Landbrugsareal - resultat'!$L$5:$N$5,0)))),IF(C374=2030,SUMPRODUCT((B374='Landbrugsareal - resultat'!$B$6:$B$19)*(INDEX('Landbrugsareal - resultat'!$O$6:$Q$19,,MATCH(E374,'Landbrugsareal - resultat'!$O$5:$Q$5,0)))),SUMPRODUCT((B374='Landbrugsareal - resultat'!$B$6:$B$19)*(INDEX('Landbrugsareal - resultat'!$R$6:$T$19,,MATCH(E374,'Landbrugsareal - resultat'!$R$5:$T$5,0))))))),IF(D374="Konventionel",IF(C374=2019,SUMPRODUCT((B374='Landbrugsareal - resultat'!$B$33:$B$46)*(INDEX('Landbrugsareal - resultat'!$C$33:$E$46,,MATCH(E374,'Landbrugsareal - resultat'!$C$5:$E$5,0)))),IF(C374=2030,SUMPRODUCT((B374='Landbrugsareal - resultat'!$B$33:$B$46)*(INDEX('Landbrugsareal - resultat'!$F$33:$H$46,,MATCH(E374,'Landbrugsareal - resultat'!$F$5:$H$5,0)))),SUMPRODUCT((B374='Landbrugsareal - resultat'!$B$33:$B$46)*(INDEX('Landbrugsareal - resultat'!$I$33:$K$46,,MATCH(E374,'Landbrugsareal - resultat'!$I$5:$K$5,0)))))),IF(C374=2019,SUMPRODUCT((B374='Landbrugsareal - resultat'!$B$33:$B$46)*(INDEX('Landbrugsareal - resultat'!$L$33:$N$46,,MATCH(E374,'Landbrugsareal - resultat'!$L$5:$N$5,0)))),IF(C374=2030,SUMPRODUCT((B374='Landbrugsareal - resultat'!$B$33:$B$46)*(INDEX('Landbrugsareal - resultat'!$O$33:$Q$46,,MATCH(E374,'Landbrugsareal - resultat'!$O$5:$Q$5,0)))),SUMPRODUCT((B374='Landbrugsareal - resultat'!$B$33:$B$46)*(INDEX('Landbrugsareal - resultat'!$R$33:$T$46,,MATCH(E374,'Landbrugsareal - resultat'!$R$5:$T$5,0))))))))</f>
        <v>25.803818354121319</v>
      </c>
      <c r="H374" s="168">
        <f>G374*VLOOKUP(B374,[1]Afgrødedata!$A$5:$F$18,2,FALSE)*IF(D374="Økologisk",VLOOKUP(B374,[1]Afgrødedata!$A$5:$F$18,4,FALSE),1)*IF(E374&lt;&gt;Jordbund1,IF(E374=Organ6,VLOOKUP(B374,[1]Afgrødedata!$A$5:$F$18,5,FALSE),VLOOKUP(B374,[1]Afgrødedata!$A$5:$F$18,6,FALSE)),1)*0.1</f>
        <v>262.88930139178802</v>
      </c>
      <c r="I374" s="168">
        <f>G374*VLOOKUP(B374,[1]Afgrødedata!$A$5:$F$18,3,FALSE)*IF(D374="Økologisk",VLOOKUP(B374,[1]Afgrødedata!$A$5:$F$18,4,FALSE),1)*IF(E374&lt;&gt;Jordbund1,IF(E374=Organ6,VLOOKUP(B374,[1]Afgrødedata!$A$5:$F$18,5,FALSE),VLOOKUP(B374,[1]Afgrødedata!$A$5:$F$18,6,FALSE)),1)*HLOOKUP(C374,Landbrug!$C$15:$E$17,2,FALSE)*HLOOKUP(C374,Landbrug!$C$15:$E$17,3,FALSE)*0.1</f>
        <v>0</v>
      </c>
      <c r="J374" s="76">
        <f t="shared" si="60"/>
        <v>262.88930139178802</v>
      </c>
    </row>
    <row r="375" spans="1:10" x14ac:dyDescent="0.25">
      <c r="A375" t="s">
        <v>24</v>
      </c>
      <c r="B375" s="1" t="str">
        <f>[1]Afgrødefordeling!$C$11</f>
        <v>Øvrige</v>
      </c>
      <c r="C375">
        <v>2050</v>
      </c>
      <c r="D375" t="s">
        <v>7</v>
      </c>
      <c r="E375" s="168" t="str">
        <f t="shared" si="61"/>
        <v>OC6</v>
      </c>
      <c r="F375" t="str">
        <f t="shared" si="58"/>
        <v>Øvrige</v>
      </c>
      <c r="G375" s="76" cm="1">
        <f t="array" ref="G375">IF(A375="Vestdanmark",IF(D375="Konventionel",IF(C375=2019,SUMPRODUCT((B375='Landbrugsareal - resultat'!$B$6:$B$19)*(INDEX('Landbrugsareal - resultat'!$C$6:$E$19,,MATCH(E375,'Landbrugsareal - resultat'!$C$5:$E$5,0)))),IF(C375=2030,SUMPRODUCT((B375='Landbrugsareal - resultat'!$B$6:$B$19)*(INDEX('Landbrugsareal - resultat'!$F$6:$H$19,,MATCH(E375,'Landbrugsareal - resultat'!$F$5:$H$5,0)))),SUMPRODUCT((B375='Landbrugsareal - resultat'!$B$6:$B$19)*(INDEX('Landbrugsareal - resultat'!$I$6:$K$19,,MATCH(E375,'Landbrugsareal - resultat'!$I$5:$K$5,0)))))),IF(C375=2019,SUMPRODUCT((B375='Landbrugsareal - resultat'!$B$6:$B$19)*(INDEX('Landbrugsareal - resultat'!$L$6:$N$19,,MATCH(E375,'Landbrugsareal - resultat'!$L$5:$N$5,0)))),IF(C375=2030,SUMPRODUCT((B375='Landbrugsareal - resultat'!$B$6:$B$19)*(INDEX('Landbrugsareal - resultat'!$O$6:$Q$19,,MATCH(E375,'Landbrugsareal - resultat'!$O$5:$Q$5,0)))),SUMPRODUCT((B375='Landbrugsareal - resultat'!$B$6:$B$19)*(INDEX('Landbrugsareal - resultat'!$R$6:$T$19,,MATCH(E375,'Landbrugsareal - resultat'!$R$5:$T$5,0))))))),IF(D375="Konventionel",IF(C375=2019,SUMPRODUCT((B375='Landbrugsareal - resultat'!$B$33:$B$46)*(INDEX('Landbrugsareal - resultat'!$C$33:$E$46,,MATCH(E375,'Landbrugsareal - resultat'!$C$5:$E$5,0)))),IF(C375=2030,SUMPRODUCT((B375='Landbrugsareal - resultat'!$B$33:$B$46)*(INDEX('Landbrugsareal - resultat'!$F$33:$H$46,,MATCH(E375,'Landbrugsareal - resultat'!$F$5:$H$5,0)))),SUMPRODUCT((B375='Landbrugsareal - resultat'!$B$33:$B$46)*(INDEX('Landbrugsareal - resultat'!$I$33:$K$46,,MATCH(E375,'Landbrugsareal - resultat'!$I$5:$K$5,0)))))),IF(C375=2019,SUMPRODUCT((B375='Landbrugsareal - resultat'!$B$33:$B$46)*(INDEX('Landbrugsareal - resultat'!$L$33:$N$46,,MATCH(E375,'Landbrugsareal - resultat'!$L$5:$N$5,0)))),IF(C375=2030,SUMPRODUCT((B375='Landbrugsareal - resultat'!$B$33:$B$46)*(INDEX('Landbrugsareal - resultat'!$O$33:$Q$46,,MATCH(E375,'Landbrugsareal - resultat'!$O$5:$Q$5,0)))),SUMPRODUCT((B375='Landbrugsareal - resultat'!$B$33:$B$46)*(INDEX('Landbrugsareal - resultat'!$R$33:$T$46,,MATCH(E375,'Landbrugsareal - resultat'!$R$5:$T$5,0))))))))</f>
        <v>184.2517782022278</v>
      </c>
      <c r="H375" s="168">
        <f>G375*VLOOKUP(B375,[1]Afgrødedata!$A$5:$F$18,2,FALSE)*IF(D375="Økologisk",VLOOKUP(B375,[1]Afgrødedata!$A$5:$F$18,4,FALSE),1)*IF(E375&lt;&gt;Jordbund1,IF(E375=Organ6,VLOOKUP(B375,[1]Afgrødedata!$A$5:$F$18,5,FALSE),VLOOKUP(B375,[1]Afgrødedata!$A$5:$F$18,6,FALSE)),1)*0.1</f>
        <v>6587.9466895157429</v>
      </c>
      <c r="I375" s="168">
        <f>G375*VLOOKUP(B375,[1]Afgrødedata!$A$5:$F$18,3,FALSE)*IF(D375="Økologisk",VLOOKUP(B375,[1]Afgrødedata!$A$5:$F$18,4,FALSE),1)*IF(E375&lt;&gt;Jordbund1,IF(E375=Organ6,VLOOKUP(B375,[1]Afgrødedata!$A$5:$F$18,5,FALSE),VLOOKUP(B375,[1]Afgrødedata!$A$5:$F$18,6,FALSE)),1)*HLOOKUP(C375,Landbrug!$C$15:$E$17,2,FALSE)*HLOOKUP(C375,Landbrug!$C$15:$E$17,3,FALSE)*0.1</f>
        <v>0</v>
      </c>
      <c r="J375" s="76">
        <f t="shared" si="60"/>
        <v>6587.9466895157429</v>
      </c>
    </row>
    <row r="376" spans="1:10" x14ac:dyDescent="0.25">
      <c r="A376" t="s">
        <v>24</v>
      </c>
      <c r="B376" s="1" t="str">
        <f>[1]Afgrødefordeling!$C$12</f>
        <v>Frø</v>
      </c>
      <c r="C376">
        <v>2050</v>
      </c>
      <c r="D376" t="s">
        <v>7</v>
      </c>
      <c r="E376" s="168" t="str">
        <f t="shared" si="61"/>
        <v>OC6</v>
      </c>
      <c r="F376" t="str">
        <f t="shared" si="58"/>
        <v>Halm</v>
      </c>
      <c r="G376" s="76" cm="1">
        <f t="array" ref="G376">IF(A376="Vestdanmark",IF(D376="Konventionel",IF(C376=2019,SUMPRODUCT((B376='Landbrugsareal - resultat'!$B$6:$B$19)*(INDEX('Landbrugsareal - resultat'!$C$6:$E$19,,MATCH(E376,'Landbrugsareal - resultat'!$C$5:$E$5,0)))),IF(C376=2030,SUMPRODUCT((B376='Landbrugsareal - resultat'!$B$6:$B$19)*(INDEX('Landbrugsareal - resultat'!$F$6:$H$19,,MATCH(E376,'Landbrugsareal - resultat'!$F$5:$H$5,0)))),SUMPRODUCT((B376='Landbrugsareal - resultat'!$B$6:$B$19)*(INDEX('Landbrugsareal - resultat'!$I$6:$K$19,,MATCH(E376,'Landbrugsareal - resultat'!$I$5:$K$5,0)))))),IF(C376=2019,SUMPRODUCT((B376='Landbrugsareal - resultat'!$B$6:$B$19)*(INDEX('Landbrugsareal - resultat'!$L$6:$N$19,,MATCH(E376,'Landbrugsareal - resultat'!$L$5:$N$5,0)))),IF(C376=2030,SUMPRODUCT((B376='Landbrugsareal - resultat'!$B$6:$B$19)*(INDEX('Landbrugsareal - resultat'!$O$6:$Q$19,,MATCH(E376,'Landbrugsareal - resultat'!$O$5:$Q$5,0)))),SUMPRODUCT((B376='Landbrugsareal - resultat'!$B$6:$B$19)*(INDEX('Landbrugsareal - resultat'!$R$6:$T$19,,MATCH(E376,'Landbrugsareal - resultat'!$R$5:$T$5,0))))))),IF(D376="Konventionel",IF(C376=2019,SUMPRODUCT((B376='Landbrugsareal - resultat'!$B$33:$B$46)*(INDEX('Landbrugsareal - resultat'!$C$33:$E$46,,MATCH(E376,'Landbrugsareal - resultat'!$C$5:$E$5,0)))),IF(C376=2030,SUMPRODUCT((B376='Landbrugsareal - resultat'!$B$33:$B$46)*(INDEX('Landbrugsareal - resultat'!$F$33:$H$46,,MATCH(E376,'Landbrugsareal - resultat'!$F$5:$H$5,0)))),SUMPRODUCT((B376='Landbrugsareal - resultat'!$B$33:$B$46)*(INDEX('Landbrugsareal - resultat'!$I$33:$K$46,,MATCH(E376,'Landbrugsareal - resultat'!$I$5:$K$5,0)))))),IF(C376=2019,SUMPRODUCT((B376='Landbrugsareal - resultat'!$B$33:$B$46)*(INDEX('Landbrugsareal - resultat'!$L$33:$N$46,,MATCH(E376,'Landbrugsareal - resultat'!$L$5:$N$5,0)))),IF(C376=2030,SUMPRODUCT((B376='Landbrugsareal - resultat'!$B$33:$B$46)*(INDEX('Landbrugsareal - resultat'!$O$33:$Q$46,,MATCH(E376,'Landbrugsareal - resultat'!$O$5:$Q$5,0)))),SUMPRODUCT((B376='Landbrugsareal - resultat'!$B$33:$B$46)*(INDEX('Landbrugsareal - resultat'!$R$33:$T$46,,MATCH(E376,'Landbrugsareal - resultat'!$R$5:$T$5,0))))))))</f>
        <v>1337.6591722064732</v>
      </c>
      <c r="H376" s="168">
        <f>G376*VLOOKUP(B376,[1]Afgrødedata!$A$5:$F$18,2,FALSE)*IF(D376="Økologisk",VLOOKUP(B376,[1]Afgrødedata!$A$5:$F$18,4,FALSE),1)*IF(E376&lt;&gt;Jordbund1,IF(E376=Organ6,VLOOKUP(B376,[1]Afgrødedata!$A$5:$F$18,5,FALSE),VLOOKUP(B376,[1]Afgrødedata!$A$5:$F$18,6,FALSE)),1)*0.1</f>
        <v>22936.35078638143</v>
      </c>
      <c r="I376" s="168">
        <f>G376*VLOOKUP(B376,[1]Afgrødedata!$A$5:$F$18,3,FALSE)*IF(D376="Økologisk",VLOOKUP(B376,[1]Afgrødedata!$A$5:$F$18,4,FALSE),1)*IF(E376&lt;&gt;Jordbund1,IF(E376=Organ6,VLOOKUP(B376,[1]Afgrødedata!$A$5:$F$18,5,FALSE),VLOOKUP(B376,[1]Afgrødedata!$A$5:$F$18,6,FALSE)),1)*HLOOKUP(C376,Landbrug!$C$15:$E$17,2,FALSE)*HLOOKUP(C376,Landbrug!$C$15:$E$17,3,FALSE)*0.1</f>
        <v>3788.2507756887317</v>
      </c>
      <c r="J376" s="76">
        <f t="shared" si="60"/>
        <v>3788.2507756887317</v>
      </c>
    </row>
    <row r="377" spans="1:10" x14ac:dyDescent="0.25">
      <c r="A377" t="s">
        <v>24</v>
      </c>
      <c r="B377" s="1" t="str">
        <f>[1]Afgrødefordeling!$C$13</f>
        <v>Juletræer</v>
      </c>
      <c r="C377">
        <v>2050</v>
      </c>
      <c r="D377" t="s">
        <v>7</v>
      </c>
      <c r="E377" s="168" t="str">
        <f t="shared" si="61"/>
        <v>OC6</v>
      </c>
      <c r="F377" t="str">
        <f t="shared" si="58"/>
        <v>Juletræer</v>
      </c>
      <c r="G377" s="76" cm="1">
        <f t="array" ref="G377">IF(A377="Vestdanmark",IF(D377="Konventionel",IF(C377=2019,SUMPRODUCT((B377='Landbrugsareal - resultat'!$B$6:$B$19)*(INDEX('Landbrugsareal - resultat'!$C$6:$E$19,,MATCH(E377,'Landbrugsareal - resultat'!$C$5:$E$5,0)))),IF(C377=2030,SUMPRODUCT((B377='Landbrugsareal - resultat'!$B$6:$B$19)*(INDEX('Landbrugsareal - resultat'!$F$6:$H$19,,MATCH(E377,'Landbrugsareal - resultat'!$F$5:$H$5,0)))),SUMPRODUCT((B377='Landbrugsareal - resultat'!$B$6:$B$19)*(INDEX('Landbrugsareal - resultat'!$I$6:$K$19,,MATCH(E377,'Landbrugsareal - resultat'!$I$5:$K$5,0)))))),IF(C377=2019,SUMPRODUCT((B377='Landbrugsareal - resultat'!$B$6:$B$19)*(INDEX('Landbrugsareal - resultat'!$L$6:$N$19,,MATCH(E377,'Landbrugsareal - resultat'!$L$5:$N$5,0)))),IF(C377=2030,SUMPRODUCT((B377='Landbrugsareal - resultat'!$B$6:$B$19)*(INDEX('Landbrugsareal - resultat'!$O$6:$Q$19,,MATCH(E377,'Landbrugsareal - resultat'!$O$5:$Q$5,0)))),SUMPRODUCT((B377='Landbrugsareal - resultat'!$B$6:$B$19)*(INDEX('Landbrugsareal - resultat'!$R$6:$T$19,,MATCH(E377,'Landbrugsareal - resultat'!$R$5:$T$5,0))))))),IF(D377="Konventionel",IF(C377=2019,SUMPRODUCT((B377='Landbrugsareal - resultat'!$B$33:$B$46)*(INDEX('Landbrugsareal - resultat'!$C$33:$E$46,,MATCH(E377,'Landbrugsareal - resultat'!$C$5:$E$5,0)))),IF(C377=2030,SUMPRODUCT((B377='Landbrugsareal - resultat'!$B$33:$B$46)*(INDEX('Landbrugsareal - resultat'!$F$33:$H$46,,MATCH(E377,'Landbrugsareal - resultat'!$F$5:$H$5,0)))),SUMPRODUCT((B377='Landbrugsareal - resultat'!$B$33:$B$46)*(INDEX('Landbrugsareal - resultat'!$I$33:$K$46,,MATCH(E377,'Landbrugsareal - resultat'!$I$5:$K$5,0)))))),IF(C377=2019,SUMPRODUCT((B377='Landbrugsareal - resultat'!$B$33:$B$46)*(INDEX('Landbrugsareal - resultat'!$L$33:$N$46,,MATCH(E377,'Landbrugsareal - resultat'!$L$5:$N$5,0)))),IF(C377=2030,SUMPRODUCT((B377='Landbrugsareal - resultat'!$B$33:$B$46)*(INDEX('Landbrugsareal - resultat'!$O$33:$Q$46,,MATCH(E377,'Landbrugsareal - resultat'!$O$5:$Q$5,0)))),SUMPRODUCT((B377='Landbrugsareal - resultat'!$B$33:$B$46)*(INDEX('Landbrugsareal - resultat'!$R$33:$T$46,,MATCH(E377,'Landbrugsareal - resultat'!$R$5:$T$5,0))))))))</f>
        <v>40.434436520762276</v>
      </c>
      <c r="H377" s="168">
        <f>G377*VLOOKUP(B377,[1]Afgrødedata!$A$5:$F$18,2,FALSE)*IF(D377="Økologisk",VLOOKUP(B377,[1]Afgrødedata!$A$5:$F$18,4,FALSE),1)*IF(E377&lt;&gt;Jordbund1,IF(E377=Organ6,VLOOKUP(B377,[1]Afgrødedata!$A$5:$F$18,5,FALSE),VLOOKUP(B377,[1]Afgrødedata!$A$5:$F$18,6,FALSE)),1)*0.1</f>
        <v>2426.0661912457367</v>
      </c>
      <c r="I377" s="168">
        <f>G377*VLOOKUP(B377,[1]Afgrødedata!$A$5:$F$18,3,FALSE)*IF(D377="Økologisk",VLOOKUP(B377,[1]Afgrødedata!$A$5:$F$18,4,FALSE),1)*IF(E377&lt;&gt;Jordbund1,IF(E377=Organ6,VLOOKUP(B377,[1]Afgrødedata!$A$5:$F$18,5,FALSE),VLOOKUP(B377,[1]Afgrødedata!$A$5:$F$18,6,FALSE)),1)*HLOOKUP(C377,Landbrug!$C$15:$E$17,2,FALSE)*HLOOKUP(C377,Landbrug!$C$15:$E$17,3,FALSE)*0.1</f>
        <v>0</v>
      </c>
      <c r="J377" s="76">
        <f t="shared" si="60"/>
        <v>2426.0661912457367</v>
      </c>
    </row>
    <row r="378" spans="1:10" x14ac:dyDescent="0.25">
      <c r="A378" t="s">
        <v>24</v>
      </c>
      <c r="B378" s="1" t="str">
        <f>[1]Afgrødefordeling!$C$14</f>
        <v>Pil &amp; poppel</v>
      </c>
      <c r="C378">
        <v>2050</v>
      </c>
      <c r="D378" t="s">
        <v>7</v>
      </c>
      <c r="E378" s="168" t="str">
        <f t="shared" si="61"/>
        <v>OC6</v>
      </c>
      <c r="F378" t="str">
        <f t="shared" si="58"/>
        <v>Pil &amp; poppel</v>
      </c>
      <c r="G378" s="76" cm="1">
        <f t="array" ref="G378">IF(A378="Vestdanmark",IF(D378="Konventionel",IF(C378=2019,SUMPRODUCT((B378='Landbrugsareal - resultat'!$B$6:$B$19)*(INDEX('Landbrugsareal - resultat'!$C$6:$E$19,,MATCH(E378,'Landbrugsareal - resultat'!$C$5:$E$5,0)))),IF(C378=2030,SUMPRODUCT((B378='Landbrugsareal - resultat'!$B$6:$B$19)*(INDEX('Landbrugsareal - resultat'!$F$6:$H$19,,MATCH(E378,'Landbrugsareal - resultat'!$F$5:$H$5,0)))),SUMPRODUCT((B378='Landbrugsareal - resultat'!$B$6:$B$19)*(INDEX('Landbrugsareal - resultat'!$I$6:$K$19,,MATCH(E378,'Landbrugsareal - resultat'!$I$5:$K$5,0)))))),IF(C378=2019,SUMPRODUCT((B378='Landbrugsareal - resultat'!$B$6:$B$19)*(INDEX('Landbrugsareal - resultat'!$L$6:$N$19,,MATCH(E378,'Landbrugsareal - resultat'!$L$5:$N$5,0)))),IF(C378=2030,SUMPRODUCT((B378='Landbrugsareal - resultat'!$B$6:$B$19)*(INDEX('Landbrugsareal - resultat'!$O$6:$Q$19,,MATCH(E378,'Landbrugsareal - resultat'!$O$5:$Q$5,0)))),SUMPRODUCT((B378='Landbrugsareal - resultat'!$B$6:$B$19)*(INDEX('Landbrugsareal - resultat'!$R$6:$T$19,,MATCH(E378,'Landbrugsareal - resultat'!$R$5:$T$5,0))))))),IF(D378="Konventionel",IF(C378=2019,SUMPRODUCT((B378='Landbrugsareal - resultat'!$B$33:$B$46)*(INDEX('Landbrugsareal - resultat'!$C$33:$E$46,,MATCH(E378,'Landbrugsareal - resultat'!$C$5:$E$5,0)))),IF(C378=2030,SUMPRODUCT((B378='Landbrugsareal - resultat'!$B$33:$B$46)*(INDEX('Landbrugsareal - resultat'!$F$33:$H$46,,MATCH(E378,'Landbrugsareal - resultat'!$F$5:$H$5,0)))),SUMPRODUCT((B378='Landbrugsareal - resultat'!$B$33:$B$46)*(INDEX('Landbrugsareal - resultat'!$I$33:$K$46,,MATCH(E378,'Landbrugsareal - resultat'!$I$5:$K$5,0)))))),IF(C378=2019,SUMPRODUCT((B378='Landbrugsareal - resultat'!$B$33:$B$46)*(INDEX('Landbrugsareal - resultat'!$L$33:$N$46,,MATCH(E378,'Landbrugsareal - resultat'!$L$5:$N$5,0)))),IF(C378=2030,SUMPRODUCT((B378='Landbrugsareal - resultat'!$B$33:$B$46)*(INDEX('Landbrugsareal - resultat'!$O$33:$Q$46,,MATCH(E378,'Landbrugsareal - resultat'!$O$5:$Q$5,0)))),SUMPRODUCT((B378='Landbrugsareal - resultat'!$B$33:$B$46)*(INDEX('Landbrugsareal - resultat'!$R$33:$T$46,,MATCH(E378,'Landbrugsareal - resultat'!$R$5:$T$5,0))))))))</f>
        <v>85.816976150763395</v>
      </c>
      <c r="H378" s="168">
        <f>G378*VLOOKUP(B378,[1]Afgrødedata!$A$5:$F$18,2,FALSE)*IF(D378="Økologisk",VLOOKUP(B378,[1]Afgrødedata!$A$5:$F$18,4,FALSE),1)*IF(E378&lt;&gt;Jordbund1,IF(E378=Organ6,VLOOKUP(B378,[1]Afgrødedata!$A$5:$F$18,5,FALSE),VLOOKUP(B378,[1]Afgrødedata!$A$5:$F$18,6,FALSE)),1)*0.1</f>
        <v>2511.7163751442945</v>
      </c>
      <c r="I378" s="168">
        <f>G378*VLOOKUP(B378,[1]Afgrødedata!$A$5:$F$18,3,FALSE)*IF(D378="Økologisk",VLOOKUP(B378,[1]Afgrødedata!$A$5:$F$18,4,FALSE),1)*IF(E378&lt;&gt;Jordbund1,IF(E378=Organ6,VLOOKUP(B378,[1]Afgrødedata!$A$5:$F$18,5,FALSE),VLOOKUP(B378,[1]Afgrødedata!$A$5:$F$18,6,FALSE)),1)*HLOOKUP(C378,Landbrug!$C$15:$E$17,2,FALSE)*HLOOKUP(C378,Landbrug!$C$15:$E$17,3,FALSE)*0.1</f>
        <v>0</v>
      </c>
      <c r="J378" s="76">
        <f t="shared" si="60"/>
        <v>2511.7163751442945</v>
      </c>
    </row>
    <row r="379" spans="1:10" x14ac:dyDescent="0.25">
      <c r="A379" t="s">
        <v>24</v>
      </c>
      <c r="B379" s="1" t="str">
        <f>[1]Afgrødefordeling!$C$15</f>
        <v>Permanent græs</v>
      </c>
      <c r="C379">
        <v>2050</v>
      </c>
      <c r="D379" t="s">
        <v>7</v>
      </c>
      <c r="E379" s="168" t="str">
        <f t="shared" si="61"/>
        <v>OC6</v>
      </c>
      <c r="F379" t="str">
        <f t="shared" si="58"/>
        <v>Græs</v>
      </c>
      <c r="G379" s="76" cm="1">
        <f t="array" ref="G379">IF(A379="Vestdanmark",IF(D379="Konventionel",IF(C379=2019,SUMPRODUCT((B379='Landbrugsareal - resultat'!$B$6:$B$19)*(INDEX('Landbrugsareal - resultat'!$C$6:$E$19,,MATCH(E379,'Landbrugsareal - resultat'!$C$5:$E$5,0)))),IF(C379=2030,SUMPRODUCT((B379='Landbrugsareal - resultat'!$B$6:$B$19)*(INDEX('Landbrugsareal - resultat'!$F$6:$H$19,,MATCH(E379,'Landbrugsareal - resultat'!$F$5:$H$5,0)))),SUMPRODUCT((B379='Landbrugsareal - resultat'!$B$6:$B$19)*(INDEX('Landbrugsareal - resultat'!$I$6:$K$19,,MATCH(E379,'Landbrugsareal - resultat'!$I$5:$K$5,0)))))),IF(C379=2019,SUMPRODUCT((B379='Landbrugsareal - resultat'!$B$6:$B$19)*(INDEX('Landbrugsareal - resultat'!$L$6:$N$19,,MATCH(E379,'Landbrugsareal - resultat'!$L$5:$N$5,0)))),IF(C379=2030,SUMPRODUCT((B379='Landbrugsareal - resultat'!$B$6:$B$19)*(INDEX('Landbrugsareal - resultat'!$O$6:$Q$19,,MATCH(E379,'Landbrugsareal - resultat'!$O$5:$Q$5,0)))),SUMPRODUCT((B379='Landbrugsareal - resultat'!$B$6:$B$19)*(INDEX('Landbrugsareal - resultat'!$R$6:$T$19,,MATCH(E379,'Landbrugsareal - resultat'!$R$5:$T$5,0))))))),IF(D379="Konventionel",IF(C379=2019,SUMPRODUCT((B379='Landbrugsareal - resultat'!$B$33:$B$46)*(INDEX('Landbrugsareal - resultat'!$C$33:$E$46,,MATCH(E379,'Landbrugsareal - resultat'!$C$5:$E$5,0)))),IF(C379=2030,SUMPRODUCT((B379='Landbrugsareal - resultat'!$B$33:$B$46)*(INDEX('Landbrugsareal - resultat'!$F$33:$H$46,,MATCH(E379,'Landbrugsareal - resultat'!$F$5:$H$5,0)))),SUMPRODUCT((B379='Landbrugsareal - resultat'!$B$33:$B$46)*(INDEX('Landbrugsareal - resultat'!$I$33:$K$46,,MATCH(E379,'Landbrugsareal - resultat'!$I$5:$K$5,0)))))),IF(C379=2019,SUMPRODUCT((B379='Landbrugsareal - resultat'!$B$33:$B$46)*(INDEX('Landbrugsareal - resultat'!$L$33:$N$46,,MATCH(E379,'Landbrugsareal - resultat'!$L$5:$N$5,0)))),IF(C379=2030,SUMPRODUCT((B379='Landbrugsareal - resultat'!$B$33:$B$46)*(INDEX('Landbrugsareal - resultat'!$O$33:$Q$46,,MATCH(E379,'Landbrugsareal - resultat'!$O$5:$Q$5,0)))),SUMPRODUCT((B379='Landbrugsareal - resultat'!$B$33:$B$46)*(INDEX('Landbrugsareal - resultat'!$R$33:$T$46,,MATCH(E379,'Landbrugsareal - resultat'!$R$5:$T$5,0))))))))</f>
        <v>2487.1011152881665</v>
      </c>
      <c r="H379" s="168">
        <f>G379*VLOOKUP(B379,[1]Afgrødedata!$A$5:$F$18,2,FALSE)*IF(D379="Økologisk",VLOOKUP(B379,[1]Afgrødedata!$A$5:$F$18,4,FALSE),1)*IF(E379&lt;&gt;Jordbund1,IF(E379=Organ6,VLOOKUP(B379,[1]Afgrødedata!$A$5:$F$18,5,FALSE),VLOOKUP(B379,[1]Afgrødedata!$A$5:$F$18,6,FALSE)),1)*0.1</f>
        <v>41156.549255788581</v>
      </c>
      <c r="I379" s="168">
        <f>G379*VLOOKUP(B379,[1]Afgrødedata!$A$5:$F$18,3,FALSE)*IF(D379="Økologisk",VLOOKUP(B379,[1]Afgrødedata!$A$5:$F$18,4,FALSE),1)*IF(E379&lt;&gt;Jordbund1,IF(E379=Organ6,VLOOKUP(B379,[1]Afgrødedata!$A$5:$F$18,5,FALSE),VLOOKUP(B379,[1]Afgrødedata!$A$5:$F$18,6,FALSE)),1)*HLOOKUP(C379,Landbrug!$C$15:$E$17,2,FALSE)*HLOOKUP(C379,Landbrug!$C$15:$E$17,3,FALSE)*0.1</f>
        <v>0</v>
      </c>
      <c r="J379" s="76">
        <f t="shared" si="60"/>
        <v>41156.549255788581</v>
      </c>
    </row>
    <row r="380" spans="1:10" x14ac:dyDescent="0.25">
      <c r="A380" t="s">
        <v>24</v>
      </c>
      <c r="B380" s="1" t="str">
        <f>[1]Afgrødefordeling!$C$2</f>
        <v>Korn</v>
      </c>
      <c r="C380">
        <v>2019</v>
      </c>
      <c r="D380" t="s">
        <v>8</v>
      </c>
      <c r="E380" s="168" t="str">
        <f t="shared" si="61"/>
        <v>OC6</v>
      </c>
      <c r="F380" t="str">
        <f t="shared" si="58"/>
        <v>Halm</v>
      </c>
      <c r="G380" s="76" cm="1">
        <f t="array" ref="G380">IF(A380="Vestdanmark",IF(D380="Konventionel",IF(C380=2019,SUMPRODUCT((B380='Landbrugsareal - resultat'!$B$6:$B$19)*(INDEX('Landbrugsareal - resultat'!$C$6:$E$19,,MATCH(E380,'Landbrugsareal - resultat'!$C$5:$E$5,0)))),IF(C380=2030,SUMPRODUCT((B380='Landbrugsareal - resultat'!$B$6:$B$19)*(INDEX('Landbrugsareal - resultat'!$F$6:$H$19,,MATCH(E380,'Landbrugsareal - resultat'!$F$5:$H$5,0)))),SUMPRODUCT((B380='Landbrugsareal - resultat'!$B$6:$B$19)*(INDEX('Landbrugsareal - resultat'!$I$6:$K$19,,MATCH(E380,'Landbrugsareal - resultat'!$I$5:$K$5,0)))))),IF(C380=2019,SUMPRODUCT((B380='Landbrugsareal - resultat'!$B$6:$B$19)*(INDEX('Landbrugsareal - resultat'!$L$6:$N$19,,MATCH(E380,'Landbrugsareal - resultat'!$L$5:$N$5,0)))),IF(C380=2030,SUMPRODUCT((B380='Landbrugsareal - resultat'!$B$6:$B$19)*(INDEX('Landbrugsareal - resultat'!$O$6:$Q$19,,MATCH(E380,'Landbrugsareal - resultat'!$O$5:$Q$5,0)))),SUMPRODUCT((B380='Landbrugsareal - resultat'!$B$6:$B$19)*(INDEX('Landbrugsareal - resultat'!$R$6:$T$19,,MATCH(E380,'Landbrugsareal - resultat'!$R$5:$T$5,0))))))),IF(D380="Konventionel",IF(C380=2019,SUMPRODUCT((B380='Landbrugsareal - resultat'!$B$33:$B$46)*(INDEX('Landbrugsareal - resultat'!$C$33:$E$46,,MATCH(E380,'Landbrugsareal - resultat'!$C$5:$E$5,0)))),IF(C380=2030,SUMPRODUCT((B380='Landbrugsareal - resultat'!$B$33:$B$46)*(INDEX('Landbrugsareal - resultat'!$F$33:$H$46,,MATCH(E380,'Landbrugsareal - resultat'!$F$5:$H$5,0)))),SUMPRODUCT((B380='Landbrugsareal - resultat'!$B$33:$B$46)*(INDEX('Landbrugsareal - resultat'!$I$33:$K$46,,MATCH(E380,'Landbrugsareal - resultat'!$I$5:$K$5,0)))))),IF(C380=2019,SUMPRODUCT((B380='Landbrugsareal - resultat'!$B$33:$B$46)*(INDEX('Landbrugsareal - resultat'!$L$33:$N$46,,MATCH(E380,'Landbrugsareal - resultat'!$L$5:$N$5,0)))),IF(C380=2030,SUMPRODUCT((B380='Landbrugsareal - resultat'!$B$33:$B$46)*(INDEX('Landbrugsareal - resultat'!$O$33:$Q$46,,MATCH(E380,'Landbrugsareal - resultat'!$O$5:$Q$5,0)))),SUMPRODUCT((B380='Landbrugsareal - resultat'!$B$33:$B$46)*(INDEX('Landbrugsareal - resultat'!$R$33:$T$46,,MATCH(E380,'Landbrugsareal - resultat'!$R$5:$T$5,0))))))))</f>
        <v>575.57191227389683</v>
      </c>
      <c r="H380" s="168">
        <f>G380*VLOOKUP(B380,[1]Afgrødedata!$A$5:$F$18,2,FALSE)*IF(D380="Økologisk",VLOOKUP(B380,[1]Afgrødedata!$A$5:$F$18,4,FALSE),1)*IF(E380&lt;&gt;Jordbund1,IF(E380=Organ6,VLOOKUP(B380,[1]Afgrødedata!$A$5:$F$18,5,FALSE),VLOOKUP(B380,[1]Afgrødedata!$A$5:$F$18,6,FALSE)),1)*0.1</f>
        <v>3243.9463204521735</v>
      </c>
      <c r="I380" s="168">
        <f>G380*VLOOKUP(B380,[1]Afgrødedata!$A$5:$F$18,3,FALSE)*IF(D380="Økologisk",VLOOKUP(B380,[1]Afgrødedata!$A$5:$F$18,4,FALSE),1)*IF(E380&lt;&gt;Jordbund1,IF(E380=Organ6,VLOOKUP(B380,[1]Afgrødedata!$A$5:$F$18,5,FALSE),VLOOKUP(B380,[1]Afgrødedata!$A$5:$F$18,6,FALSE)),1)*HLOOKUP(C380,Landbrug!$C$15:$E$17,2,FALSE)*HLOOKUP(C380,Landbrug!$C$15:$E$17,3,FALSE)*0.1</f>
        <v>1058.8159691297883</v>
      </c>
      <c r="J380" s="76">
        <f t="shared" si="60"/>
        <v>1058.8159691297883</v>
      </c>
    </row>
    <row r="381" spans="1:10" x14ac:dyDescent="0.25">
      <c r="A381" t="s">
        <v>24</v>
      </c>
      <c r="B381" s="1" t="str">
        <f>[1]Afgrødefordeling!$C$3</f>
        <v>Bælgsæd</v>
      </c>
      <c r="C381">
        <v>2019</v>
      </c>
      <c r="D381" t="s">
        <v>8</v>
      </c>
      <c r="E381" s="168" t="str">
        <f t="shared" si="61"/>
        <v>OC6</v>
      </c>
      <c r="F381" t="str">
        <f t="shared" si="58"/>
        <v>Halm</v>
      </c>
      <c r="G381" s="76" cm="1">
        <f t="array" ref="G381">IF(A381="Vestdanmark",IF(D381="Konventionel",IF(C381=2019,SUMPRODUCT((B381='Landbrugsareal - resultat'!$B$6:$B$19)*(INDEX('Landbrugsareal - resultat'!$C$6:$E$19,,MATCH(E381,'Landbrugsareal - resultat'!$C$5:$E$5,0)))),IF(C381=2030,SUMPRODUCT((B381='Landbrugsareal - resultat'!$B$6:$B$19)*(INDEX('Landbrugsareal - resultat'!$F$6:$H$19,,MATCH(E381,'Landbrugsareal - resultat'!$F$5:$H$5,0)))),SUMPRODUCT((B381='Landbrugsareal - resultat'!$B$6:$B$19)*(INDEX('Landbrugsareal - resultat'!$I$6:$K$19,,MATCH(E381,'Landbrugsareal - resultat'!$I$5:$K$5,0)))))),IF(C381=2019,SUMPRODUCT((B381='Landbrugsareal - resultat'!$B$6:$B$19)*(INDEX('Landbrugsareal - resultat'!$L$6:$N$19,,MATCH(E381,'Landbrugsareal - resultat'!$L$5:$N$5,0)))),IF(C381=2030,SUMPRODUCT((B381='Landbrugsareal - resultat'!$B$6:$B$19)*(INDEX('Landbrugsareal - resultat'!$O$6:$Q$19,,MATCH(E381,'Landbrugsareal - resultat'!$O$5:$Q$5,0)))),SUMPRODUCT((B381='Landbrugsareal - resultat'!$B$6:$B$19)*(INDEX('Landbrugsareal - resultat'!$R$6:$T$19,,MATCH(E381,'Landbrugsareal - resultat'!$R$5:$T$5,0))))))),IF(D381="Konventionel",IF(C381=2019,SUMPRODUCT((B381='Landbrugsareal - resultat'!$B$33:$B$46)*(INDEX('Landbrugsareal - resultat'!$C$33:$E$46,,MATCH(E381,'Landbrugsareal - resultat'!$C$5:$E$5,0)))),IF(C381=2030,SUMPRODUCT((B381='Landbrugsareal - resultat'!$B$33:$B$46)*(INDEX('Landbrugsareal - resultat'!$F$33:$H$46,,MATCH(E381,'Landbrugsareal - resultat'!$F$5:$H$5,0)))),SUMPRODUCT((B381='Landbrugsareal - resultat'!$B$33:$B$46)*(INDEX('Landbrugsareal - resultat'!$I$33:$K$46,,MATCH(E381,'Landbrugsareal - resultat'!$I$5:$K$5,0)))))),IF(C381=2019,SUMPRODUCT((B381='Landbrugsareal - resultat'!$B$33:$B$46)*(INDEX('Landbrugsareal - resultat'!$L$33:$N$46,,MATCH(E381,'Landbrugsareal - resultat'!$L$5:$N$5,0)))),IF(C381=2030,SUMPRODUCT((B381='Landbrugsareal - resultat'!$B$33:$B$46)*(INDEX('Landbrugsareal - resultat'!$O$33:$Q$46,,MATCH(E381,'Landbrugsareal - resultat'!$O$5:$Q$5,0)))),SUMPRODUCT((B381='Landbrugsareal - resultat'!$B$33:$B$46)*(INDEX('Landbrugsareal - resultat'!$R$33:$T$46,,MATCH(E381,'Landbrugsareal - resultat'!$R$5:$T$5,0))))))))</f>
        <v>15.564384549090725</v>
      </c>
      <c r="H381" s="168">
        <f>G381*VLOOKUP(B381,[1]Afgrødedata!$A$5:$F$18,2,FALSE)*IF(D381="Økologisk",VLOOKUP(B381,[1]Afgrødedata!$A$5:$F$18,4,FALSE),1)*IF(E381&lt;&gt;Jordbund1,IF(E381=Organ6,VLOOKUP(B381,[1]Afgrødedata!$A$5:$F$18,5,FALSE),VLOOKUP(B381,[1]Afgrødedata!$A$5:$F$18,6,FALSE)),1)*0.1</f>
        <v>41.093710661891294</v>
      </c>
      <c r="I381" s="168">
        <f>G381*VLOOKUP(B381,[1]Afgrødedata!$A$5:$F$18,3,FALSE)*IF(D381="Økologisk",VLOOKUP(B381,[1]Afgrødedata!$A$5:$F$18,4,FALSE),1)*IF(E381&lt;&gt;Jordbund1,IF(E381=Organ6,VLOOKUP(B381,[1]Afgrødedata!$A$5:$F$18,5,FALSE),VLOOKUP(B381,[1]Afgrødedata!$A$5:$F$18,6,FALSE)),1)*HLOOKUP(C381,Landbrug!$C$15:$E$17,2,FALSE)*HLOOKUP(C381,Landbrug!$C$15:$E$17,3,FALSE)*0.1</f>
        <v>12.199849188012983</v>
      </c>
      <c r="J381" s="76">
        <f t="shared" si="60"/>
        <v>12.199849188012983</v>
      </c>
    </row>
    <row r="382" spans="1:10" x14ac:dyDescent="0.25">
      <c r="A382" t="s">
        <v>24</v>
      </c>
      <c r="B382" s="1" t="str">
        <f>[1]Afgrødefordeling!$C$4</f>
        <v>Raps</v>
      </c>
      <c r="C382">
        <v>2019</v>
      </c>
      <c r="D382" t="s">
        <v>8</v>
      </c>
      <c r="E382" s="168" t="str">
        <f t="shared" si="61"/>
        <v>OC6</v>
      </c>
      <c r="F382" t="str">
        <f t="shared" si="58"/>
        <v>Halm</v>
      </c>
      <c r="G382" s="76" cm="1">
        <f t="array" ref="G382">IF(A382="Vestdanmark",IF(D382="Konventionel",IF(C382=2019,SUMPRODUCT((B382='Landbrugsareal - resultat'!$B$6:$B$19)*(INDEX('Landbrugsareal - resultat'!$C$6:$E$19,,MATCH(E382,'Landbrugsareal - resultat'!$C$5:$E$5,0)))),IF(C382=2030,SUMPRODUCT((B382='Landbrugsareal - resultat'!$B$6:$B$19)*(INDEX('Landbrugsareal - resultat'!$F$6:$H$19,,MATCH(E382,'Landbrugsareal - resultat'!$F$5:$H$5,0)))),SUMPRODUCT((B382='Landbrugsareal - resultat'!$B$6:$B$19)*(INDEX('Landbrugsareal - resultat'!$I$6:$K$19,,MATCH(E382,'Landbrugsareal - resultat'!$I$5:$K$5,0)))))),IF(C382=2019,SUMPRODUCT((B382='Landbrugsareal - resultat'!$B$6:$B$19)*(INDEX('Landbrugsareal - resultat'!$L$6:$N$19,,MATCH(E382,'Landbrugsareal - resultat'!$L$5:$N$5,0)))),IF(C382=2030,SUMPRODUCT((B382='Landbrugsareal - resultat'!$B$6:$B$19)*(INDEX('Landbrugsareal - resultat'!$O$6:$Q$19,,MATCH(E382,'Landbrugsareal - resultat'!$O$5:$Q$5,0)))),SUMPRODUCT((B382='Landbrugsareal - resultat'!$B$6:$B$19)*(INDEX('Landbrugsareal - resultat'!$R$6:$T$19,,MATCH(E382,'Landbrugsareal - resultat'!$R$5:$T$5,0))))))),IF(D382="Konventionel",IF(C382=2019,SUMPRODUCT((B382='Landbrugsareal - resultat'!$B$33:$B$46)*(INDEX('Landbrugsareal - resultat'!$C$33:$E$46,,MATCH(E382,'Landbrugsareal - resultat'!$C$5:$E$5,0)))),IF(C382=2030,SUMPRODUCT((B382='Landbrugsareal - resultat'!$B$33:$B$46)*(INDEX('Landbrugsareal - resultat'!$F$33:$H$46,,MATCH(E382,'Landbrugsareal - resultat'!$F$5:$H$5,0)))),SUMPRODUCT((B382='Landbrugsareal - resultat'!$B$33:$B$46)*(INDEX('Landbrugsareal - resultat'!$I$33:$K$46,,MATCH(E382,'Landbrugsareal - resultat'!$I$5:$K$5,0)))))),IF(C382=2019,SUMPRODUCT((B382='Landbrugsareal - resultat'!$B$33:$B$46)*(INDEX('Landbrugsareal - resultat'!$L$33:$N$46,,MATCH(E382,'Landbrugsareal - resultat'!$L$5:$N$5,0)))),IF(C382=2030,SUMPRODUCT((B382='Landbrugsareal - resultat'!$B$33:$B$46)*(INDEX('Landbrugsareal - resultat'!$O$33:$Q$46,,MATCH(E382,'Landbrugsareal - resultat'!$O$5:$Q$5,0)))),SUMPRODUCT((B382='Landbrugsareal - resultat'!$B$33:$B$46)*(INDEX('Landbrugsareal - resultat'!$R$33:$T$46,,MATCH(E382,'Landbrugsareal - resultat'!$R$5:$T$5,0))))))))</f>
        <v>62.866980558250944</v>
      </c>
      <c r="H382" s="168">
        <f>G382*VLOOKUP(B382,[1]Afgrødedata!$A$5:$F$18,2,FALSE)*IF(D382="Økologisk",VLOOKUP(B382,[1]Afgrødedata!$A$5:$F$18,4,FALSE),1)*IF(E382&lt;&gt;Jordbund1,IF(E382=Organ6,VLOOKUP(B382,[1]Afgrødedata!$A$5:$F$18,5,FALSE),VLOOKUP(B382,[1]Afgrødedata!$A$5:$F$18,6,FALSE)),1)*0.1</f>
        <v>182.56571154116074</v>
      </c>
      <c r="I382" s="168">
        <f>G382*VLOOKUP(B382,[1]Afgrødedata!$A$5:$F$18,3,FALSE)*IF(D382="Økologisk",VLOOKUP(B382,[1]Afgrødedata!$A$5:$F$18,4,FALSE),1)*IF(E382&lt;&gt;Jordbund1,IF(E382=Organ6,VLOOKUP(B382,[1]Afgrødedata!$A$5:$F$18,5,FALSE),VLOOKUP(B382,[1]Afgrødedata!$A$5:$F$18,6,FALSE)),1)*HLOOKUP(C382,Landbrug!$C$15:$E$17,2,FALSE)*HLOOKUP(C382,Landbrug!$C$15:$E$17,3,FALSE)*0.1</f>
        <v>97.509259362691679</v>
      </c>
      <c r="J382" s="76">
        <f t="shared" si="60"/>
        <v>97.509259362691679</v>
      </c>
    </row>
    <row r="383" spans="1:10" x14ac:dyDescent="0.25">
      <c r="A383" t="s">
        <v>24</v>
      </c>
      <c r="B383" s="1" t="str">
        <f>[1]Afgrødefordeling!$C$5</f>
        <v>Græs</v>
      </c>
      <c r="C383">
        <v>2019</v>
      </c>
      <c r="D383" t="s">
        <v>8</v>
      </c>
      <c r="E383" s="168" t="str">
        <f t="shared" si="61"/>
        <v>OC6</v>
      </c>
      <c r="F383" t="str">
        <f t="shared" si="58"/>
        <v>Græs</v>
      </c>
      <c r="G383" s="76" cm="1">
        <f t="array" ref="G383">IF(A383="Vestdanmark",IF(D383="Konventionel",IF(C383=2019,SUMPRODUCT((B383='Landbrugsareal - resultat'!$B$6:$B$19)*(INDEX('Landbrugsareal - resultat'!$C$6:$E$19,,MATCH(E383,'Landbrugsareal - resultat'!$C$5:$E$5,0)))),IF(C383=2030,SUMPRODUCT((B383='Landbrugsareal - resultat'!$B$6:$B$19)*(INDEX('Landbrugsareal - resultat'!$F$6:$H$19,,MATCH(E383,'Landbrugsareal - resultat'!$F$5:$H$5,0)))),SUMPRODUCT((B383='Landbrugsareal - resultat'!$B$6:$B$19)*(INDEX('Landbrugsareal - resultat'!$I$6:$K$19,,MATCH(E383,'Landbrugsareal - resultat'!$I$5:$K$5,0)))))),IF(C383=2019,SUMPRODUCT((B383='Landbrugsareal - resultat'!$B$6:$B$19)*(INDEX('Landbrugsareal - resultat'!$L$6:$N$19,,MATCH(E383,'Landbrugsareal - resultat'!$L$5:$N$5,0)))),IF(C383=2030,SUMPRODUCT((B383='Landbrugsareal - resultat'!$B$6:$B$19)*(INDEX('Landbrugsareal - resultat'!$O$6:$Q$19,,MATCH(E383,'Landbrugsareal - resultat'!$O$5:$Q$5,0)))),SUMPRODUCT((B383='Landbrugsareal - resultat'!$B$6:$B$19)*(INDEX('Landbrugsareal - resultat'!$R$6:$T$19,,MATCH(E383,'Landbrugsareal - resultat'!$R$5:$T$5,0))))))),IF(D383="Konventionel",IF(C383=2019,SUMPRODUCT((B383='Landbrugsareal - resultat'!$B$33:$B$46)*(INDEX('Landbrugsareal - resultat'!$C$33:$E$46,,MATCH(E383,'Landbrugsareal - resultat'!$C$5:$E$5,0)))),IF(C383=2030,SUMPRODUCT((B383='Landbrugsareal - resultat'!$B$33:$B$46)*(INDEX('Landbrugsareal - resultat'!$F$33:$H$46,,MATCH(E383,'Landbrugsareal - resultat'!$F$5:$H$5,0)))),SUMPRODUCT((B383='Landbrugsareal - resultat'!$B$33:$B$46)*(INDEX('Landbrugsareal - resultat'!$I$33:$K$46,,MATCH(E383,'Landbrugsareal - resultat'!$I$5:$K$5,0)))))),IF(C383=2019,SUMPRODUCT((B383='Landbrugsareal - resultat'!$B$33:$B$46)*(INDEX('Landbrugsareal - resultat'!$L$33:$N$46,,MATCH(E383,'Landbrugsareal - resultat'!$L$5:$N$5,0)))),IF(C383=2030,SUMPRODUCT((B383='Landbrugsareal - resultat'!$B$33:$B$46)*(INDEX('Landbrugsareal - resultat'!$O$33:$Q$46,,MATCH(E383,'Landbrugsareal - resultat'!$O$5:$Q$5,0)))),SUMPRODUCT((B383='Landbrugsareal - resultat'!$B$33:$B$46)*(INDEX('Landbrugsareal - resultat'!$R$33:$T$46,,MATCH(E383,'Landbrugsareal - resultat'!$R$5:$T$5,0))))))))</f>
        <v>184.85526432768077</v>
      </c>
      <c r="H383" s="168">
        <f>G383*VLOOKUP(B383,[1]Afgrødedata!$A$5:$F$18,2,FALSE)*IF(D383="Økologisk",VLOOKUP(B383,[1]Afgrødedata!$A$5:$F$18,4,FALSE),1)*IF(E383&lt;&gt;Jordbund1,IF(E383=Organ6,VLOOKUP(B383,[1]Afgrødedata!$A$5:$F$18,5,FALSE),VLOOKUP(B383,[1]Afgrødedata!$A$5:$F$18,6,FALSE)),1)*0.1</f>
        <v>8585.4770501193907</v>
      </c>
      <c r="I383" s="168">
        <f>G383*VLOOKUP(B383,[1]Afgrødedata!$A$5:$F$18,3,FALSE)*IF(D383="Økologisk",VLOOKUP(B383,[1]Afgrødedata!$A$5:$F$18,4,FALSE),1)*IF(E383&lt;&gt;Jordbund1,IF(E383=Organ6,VLOOKUP(B383,[1]Afgrødedata!$A$5:$F$18,5,FALSE),VLOOKUP(B383,[1]Afgrødedata!$A$5:$F$18,6,FALSE)),1)*HLOOKUP(C383,Landbrug!$C$15:$E$17,2,FALSE)*HLOOKUP(C383,Landbrug!$C$15:$E$17,3,FALSE)*0.1</f>
        <v>0</v>
      </c>
      <c r="J383" s="76">
        <f t="shared" si="60"/>
        <v>8585.4770501193907</v>
      </c>
    </row>
    <row r="384" spans="1:10" x14ac:dyDescent="0.25">
      <c r="A384" t="s">
        <v>24</v>
      </c>
      <c r="B384" s="1" t="str">
        <f>[1]Afgrødefordeling!$C$6</f>
        <v>Grøntsager</v>
      </c>
      <c r="C384">
        <v>2019</v>
      </c>
      <c r="D384" t="s">
        <v>8</v>
      </c>
      <c r="E384" s="168" t="str">
        <f t="shared" si="61"/>
        <v>OC6</v>
      </c>
      <c r="F384" t="str">
        <f t="shared" si="58"/>
        <v>Grøntsager</v>
      </c>
      <c r="G384" s="76" cm="1">
        <f t="array" ref="G384">IF(A384="Vestdanmark",IF(D384="Konventionel",IF(C384=2019,SUMPRODUCT((B384='Landbrugsareal - resultat'!$B$6:$B$19)*(INDEX('Landbrugsareal - resultat'!$C$6:$E$19,,MATCH(E384,'Landbrugsareal - resultat'!$C$5:$E$5,0)))),IF(C384=2030,SUMPRODUCT((B384='Landbrugsareal - resultat'!$B$6:$B$19)*(INDEX('Landbrugsareal - resultat'!$F$6:$H$19,,MATCH(E384,'Landbrugsareal - resultat'!$F$5:$H$5,0)))),SUMPRODUCT((B384='Landbrugsareal - resultat'!$B$6:$B$19)*(INDEX('Landbrugsareal - resultat'!$I$6:$K$19,,MATCH(E384,'Landbrugsareal - resultat'!$I$5:$K$5,0)))))),IF(C384=2019,SUMPRODUCT((B384='Landbrugsareal - resultat'!$B$6:$B$19)*(INDEX('Landbrugsareal - resultat'!$L$6:$N$19,,MATCH(E384,'Landbrugsareal - resultat'!$L$5:$N$5,0)))),IF(C384=2030,SUMPRODUCT((B384='Landbrugsareal - resultat'!$B$6:$B$19)*(INDEX('Landbrugsareal - resultat'!$O$6:$Q$19,,MATCH(E384,'Landbrugsareal - resultat'!$O$5:$Q$5,0)))),SUMPRODUCT((B384='Landbrugsareal - resultat'!$B$6:$B$19)*(INDEX('Landbrugsareal - resultat'!$R$6:$T$19,,MATCH(E384,'Landbrugsareal - resultat'!$R$5:$T$5,0))))))),IF(D384="Konventionel",IF(C384=2019,SUMPRODUCT((B384='Landbrugsareal - resultat'!$B$33:$B$46)*(INDEX('Landbrugsareal - resultat'!$C$33:$E$46,,MATCH(E384,'Landbrugsareal - resultat'!$C$5:$E$5,0)))),IF(C384=2030,SUMPRODUCT((B384='Landbrugsareal - resultat'!$B$33:$B$46)*(INDEX('Landbrugsareal - resultat'!$F$33:$H$46,,MATCH(E384,'Landbrugsareal - resultat'!$F$5:$H$5,0)))),SUMPRODUCT((B384='Landbrugsareal - resultat'!$B$33:$B$46)*(INDEX('Landbrugsareal - resultat'!$I$33:$K$46,,MATCH(E384,'Landbrugsareal - resultat'!$I$5:$K$5,0)))))),IF(C384=2019,SUMPRODUCT((B384='Landbrugsareal - resultat'!$B$33:$B$46)*(INDEX('Landbrugsareal - resultat'!$L$33:$N$46,,MATCH(E384,'Landbrugsareal - resultat'!$L$5:$N$5,0)))),IF(C384=2030,SUMPRODUCT((B384='Landbrugsareal - resultat'!$B$33:$B$46)*(INDEX('Landbrugsareal - resultat'!$O$33:$Q$46,,MATCH(E384,'Landbrugsareal - resultat'!$O$5:$Q$5,0)))),SUMPRODUCT((B384='Landbrugsareal - resultat'!$B$33:$B$46)*(INDEX('Landbrugsareal - resultat'!$R$33:$T$46,,MATCH(E384,'Landbrugsareal - resultat'!$R$5:$T$5,0))))))))</f>
        <v>3.5009585136978965</v>
      </c>
      <c r="H384" s="168">
        <f>G384*VLOOKUP(B384,[1]Afgrødedata!$A$5:$F$18,2,FALSE)*IF(D384="Økologisk",VLOOKUP(B384,[1]Afgrødedata!$A$5:$F$18,4,FALSE),1)*IF(E384&lt;&gt;Jordbund1,IF(E384=Organ6,VLOOKUP(B384,[1]Afgrødedata!$A$5:$F$18,5,FALSE),VLOOKUP(B384,[1]Afgrødedata!$A$5:$F$18,6,FALSE)),1)*0.1</f>
        <v>49.689104184914243</v>
      </c>
      <c r="I384" s="168">
        <f>G384*VLOOKUP(B384,[1]Afgrødedata!$A$5:$F$18,3,FALSE)*IF(D384="Økologisk",VLOOKUP(B384,[1]Afgrødedata!$A$5:$F$18,4,FALSE),1)*IF(E384&lt;&gt;Jordbund1,IF(E384=Organ6,VLOOKUP(B384,[1]Afgrødedata!$A$5:$F$18,5,FALSE),VLOOKUP(B384,[1]Afgrødedata!$A$5:$F$18,6,FALSE)),1)*HLOOKUP(C384,Landbrug!$C$15:$E$17,2,FALSE)*HLOOKUP(C384,Landbrug!$C$15:$E$17,3,FALSE)*0.1</f>
        <v>0</v>
      </c>
      <c r="J384" s="76">
        <f t="shared" si="60"/>
        <v>49.689104184914243</v>
      </c>
    </row>
    <row r="385" spans="1:10" x14ac:dyDescent="0.25">
      <c r="A385" t="s">
        <v>24</v>
      </c>
      <c r="B385" s="1" t="str">
        <f>[1]Afgrødefordeling!$C$7</f>
        <v>Kartofler</v>
      </c>
      <c r="C385">
        <v>2019</v>
      </c>
      <c r="D385" t="s">
        <v>8</v>
      </c>
      <c r="E385" s="168" t="str">
        <f t="shared" si="61"/>
        <v>OC6</v>
      </c>
      <c r="F385" t="str">
        <f t="shared" si="58"/>
        <v>Kartofler</v>
      </c>
      <c r="G385" s="76" cm="1">
        <f t="array" ref="G385">IF(A385="Vestdanmark",IF(D385="Konventionel",IF(C385=2019,SUMPRODUCT((B385='Landbrugsareal - resultat'!$B$6:$B$19)*(INDEX('Landbrugsareal - resultat'!$C$6:$E$19,,MATCH(E385,'Landbrugsareal - resultat'!$C$5:$E$5,0)))),IF(C385=2030,SUMPRODUCT((B385='Landbrugsareal - resultat'!$B$6:$B$19)*(INDEX('Landbrugsareal - resultat'!$F$6:$H$19,,MATCH(E385,'Landbrugsareal - resultat'!$F$5:$H$5,0)))),SUMPRODUCT((B385='Landbrugsareal - resultat'!$B$6:$B$19)*(INDEX('Landbrugsareal - resultat'!$I$6:$K$19,,MATCH(E385,'Landbrugsareal - resultat'!$I$5:$K$5,0)))))),IF(C385=2019,SUMPRODUCT((B385='Landbrugsareal - resultat'!$B$6:$B$19)*(INDEX('Landbrugsareal - resultat'!$L$6:$N$19,,MATCH(E385,'Landbrugsareal - resultat'!$L$5:$N$5,0)))),IF(C385=2030,SUMPRODUCT((B385='Landbrugsareal - resultat'!$B$6:$B$19)*(INDEX('Landbrugsareal - resultat'!$O$6:$Q$19,,MATCH(E385,'Landbrugsareal - resultat'!$O$5:$Q$5,0)))),SUMPRODUCT((B385='Landbrugsareal - resultat'!$B$6:$B$19)*(INDEX('Landbrugsareal - resultat'!$R$6:$T$19,,MATCH(E385,'Landbrugsareal - resultat'!$R$5:$T$5,0))))))),IF(D385="Konventionel",IF(C385=2019,SUMPRODUCT((B385='Landbrugsareal - resultat'!$B$33:$B$46)*(INDEX('Landbrugsareal - resultat'!$C$33:$E$46,,MATCH(E385,'Landbrugsareal - resultat'!$C$5:$E$5,0)))),IF(C385=2030,SUMPRODUCT((B385='Landbrugsareal - resultat'!$B$33:$B$46)*(INDEX('Landbrugsareal - resultat'!$F$33:$H$46,,MATCH(E385,'Landbrugsareal - resultat'!$F$5:$H$5,0)))),SUMPRODUCT((B385='Landbrugsareal - resultat'!$B$33:$B$46)*(INDEX('Landbrugsareal - resultat'!$I$33:$K$46,,MATCH(E385,'Landbrugsareal - resultat'!$I$5:$K$5,0)))))),IF(C385=2019,SUMPRODUCT((B385='Landbrugsareal - resultat'!$B$33:$B$46)*(INDEX('Landbrugsareal - resultat'!$L$33:$N$46,,MATCH(E385,'Landbrugsareal - resultat'!$L$5:$N$5,0)))),IF(C385=2030,SUMPRODUCT((B385='Landbrugsareal - resultat'!$B$33:$B$46)*(INDEX('Landbrugsareal - resultat'!$O$33:$Q$46,,MATCH(E385,'Landbrugsareal - resultat'!$O$5:$Q$5,0)))),SUMPRODUCT((B385='Landbrugsareal - resultat'!$B$33:$B$46)*(INDEX('Landbrugsareal - resultat'!$R$33:$T$46,,MATCH(E385,'Landbrugsareal - resultat'!$R$5:$T$5,0))))))))</f>
        <v>5.9519498894339895</v>
      </c>
      <c r="H385" s="168">
        <f>G385*VLOOKUP(B385,[1]Afgrødedata!$A$5:$F$18,2,FALSE)*IF(D385="Økologisk",VLOOKUP(B385,[1]Afgrødedata!$A$5:$F$18,4,FALSE),1)*IF(E385&lt;&gt;Jordbund1,IF(E385=Organ6,VLOOKUP(B385,[1]Afgrødedata!$A$5:$F$18,5,FALSE),VLOOKUP(B385,[1]Afgrødedata!$A$5:$F$18,6,FALSE)),1)*0.1</f>
        <v>172.90471114042779</v>
      </c>
      <c r="I385" s="168">
        <f>G385*VLOOKUP(B385,[1]Afgrødedata!$A$5:$F$18,3,FALSE)*IF(D385="Økologisk",VLOOKUP(B385,[1]Afgrødedata!$A$5:$F$18,4,FALSE),1)*IF(E385&lt;&gt;Jordbund1,IF(E385=Organ6,VLOOKUP(B385,[1]Afgrødedata!$A$5:$F$18,5,FALSE),VLOOKUP(B385,[1]Afgrødedata!$A$5:$F$18,6,FALSE)),1)*HLOOKUP(C385,Landbrug!$C$15:$E$17,2,FALSE)*HLOOKUP(C385,Landbrug!$C$15:$E$17,3,FALSE)*0.1</f>
        <v>0</v>
      </c>
      <c r="J385" s="76">
        <f t="shared" si="60"/>
        <v>172.90471114042779</v>
      </c>
    </row>
    <row r="386" spans="1:10" x14ac:dyDescent="0.25">
      <c r="A386" t="s">
        <v>24</v>
      </c>
      <c r="B386" s="1" t="str">
        <f>[1]Afgrødefordeling!$C$8</f>
        <v>Roer</v>
      </c>
      <c r="C386">
        <v>2019</v>
      </c>
      <c r="D386" t="s">
        <v>8</v>
      </c>
      <c r="E386" s="168" t="str">
        <f t="shared" si="61"/>
        <v>OC6</v>
      </c>
      <c r="F386" t="str">
        <f t="shared" si="58"/>
        <v>Roer</v>
      </c>
      <c r="G386" s="76" cm="1">
        <f t="array" ref="G386">IF(A386="Vestdanmark",IF(D386="Konventionel",IF(C386=2019,SUMPRODUCT((B386='Landbrugsareal - resultat'!$B$6:$B$19)*(INDEX('Landbrugsareal - resultat'!$C$6:$E$19,,MATCH(E386,'Landbrugsareal - resultat'!$C$5:$E$5,0)))),IF(C386=2030,SUMPRODUCT((B386='Landbrugsareal - resultat'!$B$6:$B$19)*(INDEX('Landbrugsareal - resultat'!$F$6:$H$19,,MATCH(E386,'Landbrugsareal - resultat'!$F$5:$H$5,0)))),SUMPRODUCT((B386='Landbrugsareal - resultat'!$B$6:$B$19)*(INDEX('Landbrugsareal - resultat'!$I$6:$K$19,,MATCH(E386,'Landbrugsareal - resultat'!$I$5:$K$5,0)))))),IF(C386=2019,SUMPRODUCT((B386='Landbrugsareal - resultat'!$B$6:$B$19)*(INDEX('Landbrugsareal - resultat'!$L$6:$N$19,,MATCH(E386,'Landbrugsareal - resultat'!$L$5:$N$5,0)))),IF(C386=2030,SUMPRODUCT((B386='Landbrugsareal - resultat'!$B$6:$B$19)*(INDEX('Landbrugsareal - resultat'!$O$6:$Q$19,,MATCH(E386,'Landbrugsareal - resultat'!$O$5:$Q$5,0)))),SUMPRODUCT((B386='Landbrugsareal - resultat'!$B$6:$B$19)*(INDEX('Landbrugsareal - resultat'!$R$6:$T$19,,MATCH(E386,'Landbrugsareal - resultat'!$R$5:$T$5,0))))))),IF(D386="Konventionel",IF(C386=2019,SUMPRODUCT((B386='Landbrugsareal - resultat'!$B$33:$B$46)*(INDEX('Landbrugsareal - resultat'!$C$33:$E$46,,MATCH(E386,'Landbrugsareal - resultat'!$C$5:$E$5,0)))),IF(C386=2030,SUMPRODUCT((B386='Landbrugsareal - resultat'!$B$33:$B$46)*(INDEX('Landbrugsareal - resultat'!$F$33:$H$46,,MATCH(E386,'Landbrugsareal - resultat'!$F$5:$H$5,0)))),SUMPRODUCT((B386='Landbrugsareal - resultat'!$B$33:$B$46)*(INDEX('Landbrugsareal - resultat'!$I$33:$K$46,,MATCH(E386,'Landbrugsareal - resultat'!$I$5:$K$5,0)))))),IF(C386=2019,SUMPRODUCT((B386='Landbrugsareal - resultat'!$B$33:$B$46)*(INDEX('Landbrugsareal - resultat'!$L$33:$N$46,,MATCH(E386,'Landbrugsareal - resultat'!$L$5:$N$5,0)))),IF(C386=2030,SUMPRODUCT((B386='Landbrugsareal - resultat'!$B$33:$B$46)*(INDEX('Landbrugsareal - resultat'!$O$33:$Q$46,,MATCH(E386,'Landbrugsareal - resultat'!$O$5:$Q$5,0)))),SUMPRODUCT((B386='Landbrugsareal - resultat'!$B$33:$B$46)*(INDEX('Landbrugsareal - resultat'!$R$33:$T$46,,MATCH(E386,'Landbrugsareal - resultat'!$R$5:$T$5,0))))))))</f>
        <v>16.628495763053266</v>
      </c>
      <c r="H386" s="168">
        <f>G386*VLOOKUP(B386,[1]Afgrødedata!$A$5:$F$18,2,FALSE)*IF(D386="Økologisk",VLOOKUP(B386,[1]Afgrødedata!$A$5:$F$18,4,FALSE),1)*IF(E386&lt;&gt;Jordbund1,IF(E386=Organ6,VLOOKUP(B386,[1]Afgrødedata!$A$5:$F$18,5,FALSE),VLOOKUP(B386,[1]Afgrødedata!$A$5:$F$18,6,FALSE)),1)*0.1</f>
        <v>924.17109192385658</v>
      </c>
      <c r="I386" s="168">
        <f>G386*VLOOKUP(B386,[1]Afgrødedata!$A$5:$F$18,3,FALSE)*IF(D386="Økologisk",VLOOKUP(B386,[1]Afgrødedata!$A$5:$F$18,4,FALSE),1)*IF(E386&lt;&gt;Jordbund1,IF(E386=Organ6,VLOOKUP(B386,[1]Afgrødedata!$A$5:$F$18,5,FALSE),VLOOKUP(B386,[1]Afgrødedata!$A$5:$F$18,6,FALSE)),1)*HLOOKUP(C386,Landbrug!$C$15:$E$17,2,FALSE)*HLOOKUP(C386,Landbrug!$C$15:$E$17,3,FALSE)*0.1</f>
        <v>0</v>
      </c>
      <c r="J386" s="76">
        <f t="shared" si="60"/>
        <v>924.17109192385658</v>
      </c>
    </row>
    <row r="387" spans="1:10" x14ac:dyDescent="0.25">
      <c r="A387" t="s">
        <v>24</v>
      </c>
      <c r="B387" s="1" t="str">
        <f>[1]Afgrødefordeling!$C$9</f>
        <v>Majs</v>
      </c>
      <c r="C387">
        <v>2019</v>
      </c>
      <c r="D387" t="s">
        <v>8</v>
      </c>
      <c r="E387" s="168" t="str">
        <f t="shared" si="61"/>
        <v>OC6</v>
      </c>
      <c r="F387" t="str">
        <f t="shared" si="58"/>
        <v>Majs</v>
      </c>
      <c r="G387" s="76" cm="1">
        <f t="array" ref="G387">IF(A387="Vestdanmark",IF(D387="Konventionel",IF(C387=2019,SUMPRODUCT((B387='Landbrugsareal - resultat'!$B$6:$B$19)*(INDEX('Landbrugsareal - resultat'!$C$6:$E$19,,MATCH(E387,'Landbrugsareal - resultat'!$C$5:$E$5,0)))),IF(C387=2030,SUMPRODUCT((B387='Landbrugsareal - resultat'!$B$6:$B$19)*(INDEX('Landbrugsareal - resultat'!$F$6:$H$19,,MATCH(E387,'Landbrugsareal - resultat'!$F$5:$H$5,0)))),SUMPRODUCT((B387='Landbrugsareal - resultat'!$B$6:$B$19)*(INDEX('Landbrugsareal - resultat'!$I$6:$K$19,,MATCH(E387,'Landbrugsareal - resultat'!$I$5:$K$5,0)))))),IF(C387=2019,SUMPRODUCT((B387='Landbrugsareal - resultat'!$B$6:$B$19)*(INDEX('Landbrugsareal - resultat'!$L$6:$N$19,,MATCH(E387,'Landbrugsareal - resultat'!$L$5:$N$5,0)))),IF(C387=2030,SUMPRODUCT((B387='Landbrugsareal - resultat'!$B$6:$B$19)*(INDEX('Landbrugsareal - resultat'!$O$6:$Q$19,,MATCH(E387,'Landbrugsareal - resultat'!$O$5:$Q$5,0)))),SUMPRODUCT((B387='Landbrugsareal - resultat'!$B$6:$B$19)*(INDEX('Landbrugsareal - resultat'!$R$6:$T$19,,MATCH(E387,'Landbrugsareal - resultat'!$R$5:$T$5,0))))))),IF(D387="Konventionel",IF(C387=2019,SUMPRODUCT((B387='Landbrugsareal - resultat'!$B$33:$B$46)*(INDEX('Landbrugsareal - resultat'!$C$33:$E$46,,MATCH(E387,'Landbrugsareal - resultat'!$C$5:$E$5,0)))),IF(C387=2030,SUMPRODUCT((B387='Landbrugsareal - resultat'!$B$33:$B$46)*(INDEX('Landbrugsareal - resultat'!$F$33:$H$46,,MATCH(E387,'Landbrugsareal - resultat'!$F$5:$H$5,0)))),SUMPRODUCT((B387='Landbrugsareal - resultat'!$B$33:$B$46)*(INDEX('Landbrugsareal - resultat'!$I$33:$K$46,,MATCH(E387,'Landbrugsareal - resultat'!$I$5:$K$5,0)))))),IF(C387=2019,SUMPRODUCT((B387='Landbrugsareal - resultat'!$B$33:$B$46)*(INDEX('Landbrugsareal - resultat'!$L$33:$N$46,,MATCH(E387,'Landbrugsareal - resultat'!$L$5:$N$5,0)))),IF(C387=2030,SUMPRODUCT((B387='Landbrugsareal - resultat'!$B$33:$B$46)*(INDEX('Landbrugsareal - resultat'!$O$33:$Q$46,,MATCH(E387,'Landbrugsareal - resultat'!$O$5:$Q$5,0)))),SUMPRODUCT((B387='Landbrugsareal - resultat'!$B$33:$B$46)*(INDEX('Landbrugsareal - resultat'!$R$33:$T$46,,MATCH(E387,'Landbrugsareal - resultat'!$R$5:$T$5,0))))))))</f>
        <v>17.728542543744936</v>
      </c>
      <c r="H387" s="168">
        <f>G387*VLOOKUP(B387,[1]Afgrødedata!$A$5:$F$18,2,FALSE)*IF(D387="Økologisk",VLOOKUP(B387,[1]Afgrødedata!$A$5:$F$18,4,FALSE),1)*IF(E387&lt;&gt;Jordbund1,IF(E387=Organ6,VLOOKUP(B387,[1]Afgrødedata!$A$5:$F$18,5,FALSE),VLOOKUP(B387,[1]Afgrødedata!$A$5:$F$18,6,FALSE)),1)*0.1</f>
        <v>785.9410389075988</v>
      </c>
      <c r="I387" s="168">
        <f>G387*VLOOKUP(B387,[1]Afgrødedata!$A$5:$F$18,3,FALSE)*IF(D387="Økologisk",VLOOKUP(B387,[1]Afgrødedata!$A$5:$F$18,4,FALSE),1)*IF(E387&lt;&gt;Jordbund1,IF(E387=Organ6,VLOOKUP(B387,[1]Afgrødedata!$A$5:$F$18,5,FALSE),VLOOKUP(B387,[1]Afgrødedata!$A$5:$F$18,6,FALSE)),1)*HLOOKUP(C387,Landbrug!$C$15:$E$17,2,FALSE)*HLOOKUP(C387,Landbrug!$C$15:$E$17,3,FALSE)*0.1</f>
        <v>0</v>
      </c>
      <c r="J387" s="76">
        <f t="shared" si="60"/>
        <v>785.9410389075988</v>
      </c>
    </row>
    <row r="388" spans="1:10" x14ac:dyDescent="0.25">
      <c r="A388" t="s">
        <v>24</v>
      </c>
      <c r="B388" s="1" t="str">
        <f>[1]Afgrødefordeling!$C$10</f>
        <v>Frugt</v>
      </c>
      <c r="C388">
        <v>2019</v>
      </c>
      <c r="D388" t="s">
        <v>8</v>
      </c>
      <c r="E388" s="168" t="str">
        <f t="shared" si="61"/>
        <v>OC6</v>
      </c>
      <c r="F388" t="str">
        <f t="shared" si="58"/>
        <v>Frugt</v>
      </c>
      <c r="G388" s="76" cm="1">
        <f t="array" ref="G388">IF(A388="Vestdanmark",IF(D388="Konventionel",IF(C388=2019,SUMPRODUCT((B388='Landbrugsareal - resultat'!$B$6:$B$19)*(INDEX('Landbrugsareal - resultat'!$C$6:$E$19,,MATCH(E388,'Landbrugsareal - resultat'!$C$5:$E$5,0)))),IF(C388=2030,SUMPRODUCT((B388='Landbrugsareal - resultat'!$B$6:$B$19)*(INDEX('Landbrugsareal - resultat'!$F$6:$H$19,,MATCH(E388,'Landbrugsareal - resultat'!$F$5:$H$5,0)))),SUMPRODUCT((B388='Landbrugsareal - resultat'!$B$6:$B$19)*(INDEX('Landbrugsareal - resultat'!$I$6:$K$19,,MATCH(E388,'Landbrugsareal - resultat'!$I$5:$K$5,0)))))),IF(C388=2019,SUMPRODUCT((B388='Landbrugsareal - resultat'!$B$6:$B$19)*(INDEX('Landbrugsareal - resultat'!$L$6:$N$19,,MATCH(E388,'Landbrugsareal - resultat'!$L$5:$N$5,0)))),IF(C388=2030,SUMPRODUCT((B388='Landbrugsareal - resultat'!$B$6:$B$19)*(INDEX('Landbrugsareal - resultat'!$O$6:$Q$19,,MATCH(E388,'Landbrugsareal - resultat'!$O$5:$Q$5,0)))),SUMPRODUCT((B388='Landbrugsareal - resultat'!$B$6:$B$19)*(INDEX('Landbrugsareal - resultat'!$R$6:$T$19,,MATCH(E388,'Landbrugsareal - resultat'!$R$5:$T$5,0))))))),IF(D388="Konventionel",IF(C388=2019,SUMPRODUCT((B388='Landbrugsareal - resultat'!$B$33:$B$46)*(INDEX('Landbrugsareal - resultat'!$C$33:$E$46,,MATCH(E388,'Landbrugsareal - resultat'!$C$5:$E$5,0)))),IF(C388=2030,SUMPRODUCT((B388='Landbrugsareal - resultat'!$B$33:$B$46)*(INDEX('Landbrugsareal - resultat'!$F$33:$H$46,,MATCH(E388,'Landbrugsareal - resultat'!$F$5:$H$5,0)))),SUMPRODUCT((B388='Landbrugsareal - resultat'!$B$33:$B$46)*(INDEX('Landbrugsareal - resultat'!$I$33:$K$46,,MATCH(E388,'Landbrugsareal - resultat'!$I$5:$K$5,0)))))),IF(C388=2019,SUMPRODUCT((B388='Landbrugsareal - resultat'!$B$33:$B$46)*(INDEX('Landbrugsareal - resultat'!$L$33:$N$46,,MATCH(E388,'Landbrugsareal - resultat'!$L$5:$N$5,0)))),IF(C388=2030,SUMPRODUCT((B388='Landbrugsareal - resultat'!$B$33:$B$46)*(INDEX('Landbrugsareal - resultat'!$O$33:$Q$46,,MATCH(E388,'Landbrugsareal - resultat'!$O$5:$Q$5,0)))),SUMPRODUCT((B388='Landbrugsareal - resultat'!$B$33:$B$46)*(INDEX('Landbrugsareal - resultat'!$R$33:$T$46,,MATCH(E388,'Landbrugsareal - resultat'!$R$5:$T$5,0))))))))</f>
        <v>3.8244110641201035</v>
      </c>
      <c r="H388" s="168">
        <f>G388*VLOOKUP(B388,[1]Afgrødedata!$A$5:$F$18,2,FALSE)*IF(D388="Økologisk",VLOOKUP(B388,[1]Afgrødedata!$A$5:$F$18,4,FALSE),1)*IF(E388&lt;&gt;Jordbund1,IF(E388=Organ6,VLOOKUP(B388,[1]Afgrødedata!$A$5:$F$18,5,FALSE),VLOOKUP(B388,[1]Afgrødedata!$A$5:$F$18,6,FALSE)),1)*0.1</f>
        <v>22.208966955115699</v>
      </c>
      <c r="I388" s="168">
        <f>G388*VLOOKUP(B388,[1]Afgrødedata!$A$5:$F$18,3,FALSE)*IF(D388="Økologisk",VLOOKUP(B388,[1]Afgrødedata!$A$5:$F$18,4,FALSE),1)*IF(E388&lt;&gt;Jordbund1,IF(E388=Organ6,VLOOKUP(B388,[1]Afgrødedata!$A$5:$F$18,5,FALSE),VLOOKUP(B388,[1]Afgrødedata!$A$5:$F$18,6,FALSE)),1)*HLOOKUP(C388,Landbrug!$C$15:$E$17,2,FALSE)*HLOOKUP(C388,Landbrug!$C$15:$E$17,3,FALSE)*0.1</f>
        <v>0</v>
      </c>
      <c r="J388" s="76">
        <f t="shared" si="60"/>
        <v>22.208966955115699</v>
      </c>
    </row>
    <row r="389" spans="1:10" x14ac:dyDescent="0.25">
      <c r="A389" t="s">
        <v>24</v>
      </c>
      <c r="B389" s="1" t="str">
        <f>[1]Afgrødefordeling!$C$11</f>
        <v>Øvrige</v>
      </c>
      <c r="C389">
        <v>2019</v>
      </c>
      <c r="D389" t="s">
        <v>8</v>
      </c>
      <c r="E389" s="168" t="str">
        <f t="shared" si="61"/>
        <v>OC6</v>
      </c>
      <c r="F389" t="str">
        <f t="shared" si="58"/>
        <v>Øvrige</v>
      </c>
      <c r="G389" s="76" cm="1">
        <f t="array" ref="G389">IF(A389="Vestdanmark",IF(D389="Konventionel",IF(C389=2019,SUMPRODUCT((B389='Landbrugsareal - resultat'!$B$6:$B$19)*(INDEX('Landbrugsareal - resultat'!$C$6:$E$19,,MATCH(E389,'Landbrugsareal - resultat'!$C$5:$E$5,0)))),IF(C389=2030,SUMPRODUCT((B389='Landbrugsareal - resultat'!$B$6:$B$19)*(INDEX('Landbrugsareal - resultat'!$F$6:$H$19,,MATCH(E389,'Landbrugsareal - resultat'!$F$5:$H$5,0)))),SUMPRODUCT((B389='Landbrugsareal - resultat'!$B$6:$B$19)*(INDEX('Landbrugsareal - resultat'!$I$6:$K$19,,MATCH(E389,'Landbrugsareal - resultat'!$I$5:$K$5,0)))))),IF(C389=2019,SUMPRODUCT((B389='Landbrugsareal - resultat'!$B$6:$B$19)*(INDEX('Landbrugsareal - resultat'!$L$6:$N$19,,MATCH(E389,'Landbrugsareal - resultat'!$L$5:$N$5,0)))),IF(C389=2030,SUMPRODUCT((B389='Landbrugsareal - resultat'!$B$6:$B$19)*(INDEX('Landbrugsareal - resultat'!$O$6:$Q$19,,MATCH(E389,'Landbrugsareal - resultat'!$O$5:$Q$5,0)))),SUMPRODUCT((B389='Landbrugsareal - resultat'!$B$6:$B$19)*(INDEX('Landbrugsareal - resultat'!$R$6:$T$19,,MATCH(E389,'Landbrugsareal - resultat'!$R$5:$T$5,0))))))),IF(D389="Konventionel",IF(C389=2019,SUMPRODUCT((B389='Landbrugsareal - resultat'!$B$33:$B$46)*(INDEX('Landbrugsareal - resultat'!$C$33:$E$46,,MATCH(E389,'Landbrugsareal - resultat'!$C$5:$E$5,0)))),IF(C389=2030,SUMPRODUCT((B389='Landbrugsareal - resultat'!$B$33:$B$46)*(INDEX('Landbrugsareal - resultat'!$F$33:$H$46,,MATCH(E389,'Landbrugsareal - resultat'!$F$5:$H$5,0)))),SUMPRODUCT((B389='Landbrugsareal - resultat'!$B$33:$B$46)*(INDEX('Landbrugsareal - resultat'!$I$33:$K$46,,MATCH(E389,'Landbrugsareal - resultat'!$I$5:$K$5,0)))))),IF(C389=2019,SUMPRODUCT((B389='Landbrugsareal - resultat'!$B$33:$B$46)*(INDEX('Landbrugsareal - resultat'!$L$33:$N$46,,MATCH(E389,'Landbrugsareal - resultat'!$L$5:$N$5,0)))),IF(C389=2030,SUMPRODUCT((B389='Landbrugsareal - resultat'!$B$33:$B$46)*(INDEX('Landbrugsareal - resultat'!$O$33:$Q$46,,MATCH(E389,'Landbrugsareal - resultat'!$O$5:$Q$5,0)))),SUMPRODUCT((B389='Landbrugsareal - resultat'!$B$33:$B$46)*(INDEX('Landbrugsareal - resultat'!$R$33:$T$46,,MATCH(E389,'Landbrugsareal - resultat'!$R$5:$T$5,0))))))))</f>
        <v>27.308149881928532</v>
      </c>
      <c r="H389" s="168">
        <f>G389*VLOOKUP(B389,[1]Afgrødedata!$A$5:$F$18,2,FALSE)*IF(D389="Økologisk",VLOOKUP(B389,[1]Afgrødedata!$A$5:$F$18,4,FALSE),1)*IF(E389&lt;&gt;Jordbund1,IF(E389=Organ6,VLOOKUP(B389,[1]Afgrødedata!$A$5:$F$18,5,FALSE),VLOOKUP(B389,[1]Afgrødedata!$A$5:$F$18,6,FALSE)),1)*0.1</f>
        <v>556.55171037739842</v>
      </c>
      <c r="I389" s="168">
        <f>G389*VLOOKUP(B389,[1]Afgrødedata!$A$5:$F$18,3,FALSE)*IF(D389="Økologisk",VLOOKUP(B389,[1]Afgrødedata!$A$5:$F$18,4,FALSE),1)*IF(E389&lt;&gt;Jordbund1,IF(E389=Organ6,VLOOKUP(B389,[1]Afgrødedata!$A$5:$F$18,5,FALSE),VLOOKUP(B389,[1]Afgrødedata!$A$5:$F$18,6,FALSE)),1)*HLOOKUP(C389,Landbrug!$C$15:$E$17,2,FALSE)*HLOOKUP(C389,Landbrug!$C$15:$E$17,3,FALSE)*0.1</f>
        <v>0</v>
      </c>
      <c r="J389" s="76">
        <f t="shared" si="60"/>
        <v>556.55171037739842</v>
      </c>
    </row>
    <row r="390" spans="1:10" x14ac:dyDescent="0.25">
      <c r="A390" t="s">
        <v>24</v>
      </c>
      <c r="B390" s="1" t="str">
        <f>[1]Afgrødefordeling!$C$12</f>
        <v>Frø</v>
      </c>
      <c r="C390">
        <v>2019</v>
      </c>
      <c r="D390" t="s">
        <v>8</v>
      </c>
      <c r="E390" s="168" t="str">
        <f t="shared" si="61"/>
        <v>OC6</v>
      </c>
      <c r="F390" t="str">
        <f t="shared" si="58"/>
        <v>Halm</v>
      </c>
      <c r="G390" s="76" cm="1">
        <f t="array" ref="G390">IF(A390="Vestdanmark",IF(D390="Konventionel",IF(C390=2019,SUMPRODUCT((B390='Landbrugsareal - resultat'!$B$6:$B$19)*(INDEX('Landbrugsareal - resultat'!$C$6:$E$19,,MATCH(E390,'Landbrugsareal - resultat'!$C$5:$E$5,0)))),IF(C390=2030,SUMPRODUCT((B390='Landbrugsareal - resultat'!$B$6:$B$19)*(INDEX('Landbrugsareal - resultat'!$F$6:$H$19,,MATCH(E390,'Landbrugsareal - resultat'!$F$5:$H$5,0)))),SUMPRODUCT((B390='Landbrugsareal - resultat'!$B$6:$B$19)*(INDEX('Landbrugsareal - resultat'!$I$6:$K$19,,MATCH(E390,'Landbrugsareal - resultat'!$I$5:$K$5,0)))))),IF(C390=2019,SUMPRODUCT((B390='Landbrugsareal - resultat'!$B$6:$B$19)*(INDEX('Landbrugsareal - resultat'!$L$6:$N$19,,MATCH(E390,'Landbrugsareal - resultat'!$L$5:$N$5,0)))),IF(C390=2030,SUMPRODUCT((B390='Landbrugsareal - resultat'!$B$6:$B$19)*(INDEX('Landbrugsareal - resultat'!$O$6:$Q$19,,MATCH(E390,'Landbrugsareal - resultat'!$O$5:$Q$5,0)))),SUMPRODUCT((B390='Landbrugsareal - resultat'!$B$6:$B$19)*(INDEX('Landbrugsareal - resultat'!$R$6:$T$19,,MATCH(E390,'Landbrugsareal - resultat'!$R$5:$T$5,0))))))),IF(D390="Konventionel",IF(C390=2019,SUMPRODUCT((B390='Landbrugsareal - resultat'!$B$33:$B$46)*(INDEX('Landbrugsareal - resultat'!$C$33:$E$46,,MATCH(E390,'Landbrugsareal - resultat'!$C$5:$E$5,0)))),IF(C390=2030,SUMPRODUCT((B390='Landbrugsareal - resultat'!$B$33:$B$46)*(INDEX('Landbrugsareal - resultat'!$F$33:$H$46,,MATCH(E390,'Landbrugsareal - resultat'!$F$5:$H$5,0)))),SUMPRODUCT((B390='Landbrugsareal - resultat'!$B$33:$B$46)*(INDEX('Landbrugsareal - resultat'!$I$33:$K$46,,MATCH(E390,'Landbrugsareal - resultat'!$I$5:$K$5,0)))))),IF(C390=2019,SUMPRODUCT((B390='Landbrugsareal - resultat'!$B$33:$B$46)*(INDEX('Landbrugsareal - resultat'!$L$33:$N$46,,MATCH(E390,'Landbrugsareal - resultat'!$L$5:$N$5,0)))),IF(C390=2030,SUMPRODUCT((B390='Landbrugsareal - resultat'!$B$33:$B$46)*(INDEX('Landbrugsareal - resultat'!$O$33:$Q$46,,MATCH(E390,'Landbrugsareal - resultat'!$O$5:$Q$5,0)))),SUMPRODUCT((B390='Landbrugsareal - resultat'!$B$33:$B$46)*(INDEX('Landbrugsareal - resultat'!$R$33:$T$46,,MATCH(E390,'Landbrugsareal - resultat'!$R$5:$T$5,0))))))))</f>
        <v>198.25587314255372</v>
      </c>
      <c r="H390" s="168">
        <f>G390*VLOOKUP(B390,[1]Afgrødedata!$A$5:$F$18,2,FALSE)*IF(D390="Økologisk",VLOOKUP(B390,[1]Afgrødedata!$A$5:$F$18,4,FALSE),1)*IF(E390&lt;&gt;Jordbund1,IF(E390=Organ6,VLOOKUP(B390,[1]Afgrødedata!$A$5:$F$18,5,FALSE),VLOOKUP(B390,[1]Afgrødedata!$A$5:$F$18,6,FALSE)),1)*0.1</f>
        <v>1937.6697872026809</v>
      </c>
      <c r="I390" s="168">
        <f>G390*VLOOKUP(B390,[1]Afgrødedata!$A$5:$F$18,3,FALSE)*IF(D390="Økologisk",VLOOKUP(B390,[1]Afgrødedata!$A$5:$F$18,4,FALSE),1)*IF(E390&lt;&gt;Jordbund1,IF(E390=Organ6,VLOOKUP(B390,[1]Afgrødedata!$A$5:$F$18,5,FALSE),VLOOKUP(B390,[1]Afgrødedata!$A$5:$F$18,6,FALSE)),1)*HLOOKUP(C390,Landbrug!$C$15:$E$17,2,FALSE)*HLOOKUP(C390,Landbrug!$C$15:$E$17,3,FALSE)*0.1</f>
        <v>321.90393749940307</v>
      </c>
      <c r="J390" s="76">
        <f t="shared" si="60"/>
        <v>321.90393749940307</v>
      </c>
    </row>
    <row r="391" spans="1:10" x14ac:dyDescent="0.25">
      <c r="A391" t="s">
        <v>24</v>
      </c>
      <c r="B391" s="1" t="str">
        <f>[1]Afgrødefordeling!$C$13</f>
        <v>Juletræer</v>
      </c>
      <c r="C391">
        <v>2019</v>
      </c>
      <c r="D391" t="s">
        <v>8</v>
      </c>
      <c r="E391" s="168" t="str">
        <f t="shared" si="61"/>
        <v>OC6</v>
      </c>
      <c r="F391" t="str">
        <f t="shared" si="58"/>
        <v>Juletræer</v>
      </c>
      <c r="G391" s="76" cm="1">
        <f t="array" ref="G391">IF(A391="Vestdanmark",IF(D391="Konventionel",IF(C391=2019,SUMPRODUCT((B391='Landbrugsareal - resultat'!$B$6:$B$19)*(INDEX('Landbrugsareal - resultat'!$C$6:$E$19,,MATCH(E391,'Landbrugsareal - resultat'!$C$5:$E$5,0)))),IF(C391=2030,SUMPRODUCT((B391='Landbrugsareal - resultat'!$B$6:$B$19)*(INDEX('Landbrugsareal - resultat'!$F$6:$H$19,,MATCH(E391,'Landbrugsareal - resultat'!$F$5:$H$5,0)))),SUMPRODUCT((B391='Landbrugsareal - resultat'!$B$6:$B$19)*(INDEX('Landbrugsareal - resultat'!$I$6:$K$19,,MATCH(E391,'Landbrugsareal - resultat'!$I$5:$K$5,0)))))),IF(C391=2019,SUMPRODUCT((B391='Landbrugsareal - resultat'!$B$6:$B$19)*(INDEX('Landbrugsareal - resultat'!$L$6:$N$19,,MATCH(E391,'Landbrugsareal - resultat'!$L$5:$N$5,0)))),IF(C391=2030,SUMPRODUCT((B391='Landbrugsareal - resultat'!$B$6:$B$19)*(INDEX('Landbrugsareal - resultat'!$O$6:$Q$19,,MATCH(E391,'Landbrugsareal - resultat'!$O$5:$Q$5,0)))),SUMPRODUCT((B391='Landbrugsareal - resultat'!$B$6:$B$19)*(INDEX('Landbrugsareal - resultat'!$R$6:$T$19,,MATCH(E391,'Landbrugsareal - resultat'!$R$5:$T$5,0))))))),IF(D391="Konventionel",IF(C391=2019,SUMPRODUCT((B391='Landbrugsareal - resultat'!$B$33:$B$46)*(INDEX('Landbrugsareal - resultat'!$C$33:$E$46,,MATCH(E391,'Landbrugsareal - resultat'!$C$5:$E$5,0)))),IF(C391=2030,SUMPRODUCT((B391='Landbrugsareal - resultat'!$B$33:$B$46)*(INDEX('Landbrugsareal - resultat'!$F$33:$H$46,,MATCH(E391,'Landbrugsareal - resultat'!$F$5:$H$5,0)))),SUMPRODUCT((B391='Landbrugsareal - resultat'!$B$33:$B$46)*(INDEX('Landbrugsareal - resultat'!$I$33:$K$46,,MATCH(E391,'Landbrugsareal - resultat'!$I$5:$K$5,0)))))),IF(C391=2019,SUMPRODUCT((B391='Landbrugsareal - resultat'!$B$33:$B$46)*(INDEX('Landbrugsareal - resultat'!$L$33:$N$46,,MATCH(E391,'Landbrugsareal - resultat'!$L$5:$N$5,0)))),IF(C391=2030,SUMPRODUCT((B391='Landbrugsareal - resultat'!$B$33:$B$46)*(INDEX('Landbrugsareal - resultat'!$O$33:$Q$46,,MATCH(E391,'Landbrugsareal - resultat'!$O$5:$Q$5,0)))),SUMPRODUCT((B391='Landbrugsareal - resultat'!$B$33:$B$46)*(INDEX('Landbrugsareal - resultat'!$R$33:$T$46,,MATCH(E391,'Landbrugsareal - resultat'!$R$5:$T$5,0))))))))</f>
        <v>5.9928303741437112</v>
      </c>
      <c r="H391" s="168">
        <f>G391*VLOOKUP(B391,[1]Afgrødedata!$A$5:$F$18,2,FALSE)*IF(D391="Økologisk",VLOOKUP(B391,[1]Afgrødedata!$A$5:$F$18,4,FALSE),1)*IF(E391&lt;&gt;Jordbund1,IF(E391=Organ6,VLOOKUP(B391,[1]Afgrødedata!$A$5:$F$18,5,FALSE),VLOOKUP(B391,[1]Afgrødedata!$A$5:$F$18,6,FALSE)),1)*0.1</f>
        <v>204.95479879571491</v>
      </c>
      <c r="I391" s="168">
        <f>G391*VLOOKUP(B391,[1]Afgrødedata!$A$5:$F$18,3,FALSE)*IF(D391="Økologisk",VLOOKUP(B391,[1]Afgrødedata!$A$5:$F$18,4,FALSE),1)*IF(E391&lt;&gt;Jordbund1,IF(E391=Organ6,VLOOKUP(B391,[1]Afgrødedata!$A$5:$F$18,5,FALSE),VLOOKUP(B391,[1]Afgrødedata!$A$5:$F$18,6,FALSE)),1)*HLOOKUP(C391,Landbrug!$C$15:$E$17,2,FALSE)*HLOOKUP(C391,Landbrug!$C$15:$E$17,3,FALSE)*0.1</f>
        <v>0</v>
      </c>
      <c r="J391" s="76">
        <f t="shared" si="60"/>
        <v>204.95479879571491</v>
      </c>
    </row>
    <row r="392" spans="1:10" x14ac:dyDescent="0.25">
      <c r="A392" t="s">
        <v>24</v>
      </c>
      <c r="B392" s="1" t="str">
        <f>[1]Afgrødefordeling!$C$14</f>
        <v>Pil &amp; poppel</v>
      </c>
      <c r="C392">
        <v>2019</v>
      </c>
      <c r="D392" t="s">
        <v>8</v>
      </c>
      <c r="E392" s="168" t="str">
        <f t="shared" si="61"/>
        <v>OC6</v>
      </c>
      <c r="F392" t="str">
        <f t="shared" si="58"/>
        <v>Pil &amp; poppel</v>
      </c>
      <c r="G392" s="76" cm="1">
        <f t="array" ref="G392">IF(A392="Vestdanmark",IF(D392="Konventionel",IF(C392=2019,SUMPRODUCT((B392='Landbrugsareal - resultat'!$B$6:$B$19)*(INDEX('Landbrugsareal - resultat'!$C$6:$E$19,,MATCH(E392,'Landbrugsareal - resultat'!$C$5:$E$5,0)))),IF(C392=2030,SUMPRODUCT((B392='Landbrugsareal - resultat'!$B$6:$B$19)*(INDEX('Landbrugsareal - resultat'!$F$6:$H$19,,MATCH(E392,'Landbrugsareal - resultat'!$F$5:$H$5,0)))),SUMPRODUCT((B392='Landbrugsareal - resultat'!$B$6:$B$19)*(INDEX('Landbrugsareal - resultat'!$I$6:$K$19,,MATCH(E392,'Landbrugsareal - resultat'!$I$5:$K$5,0)))))),IF(C392=2019,SUMPRODUCT((B392='Landbrugsareal - resultat'!$B$6:$B$19)*(INDEX('Landbrugsareal - resultat'!$L$6:$N$19,,MATCH(E392,'Landbrugsareal - resultat'!$L$5:$N$5,0)))),IF(C392=2030,SUMPRODUCT((B392='Landbrugsareal - resultat'!$B$6:$B$19)*(INDEX('Landbrugsareal - resultat'!$O$6:$Q$19,,MATCH(E392,'Landbrugsareal - resultat'!$O$5:$Q$5,0)))),SUMPRODUCT((B392='Landbrugsareal - resultat'!$B$6:$B$19)*(INDEX('Landbrugsareal - resultat'!$R$6:$T$19,,MATCH(E392,'Landbrugsareal - resultat'!$R$5:$T$5,0))))))),IF(D392="Konventionel",IF(C392=2019,SUMPRODUCT((B392='Landbrugsareal - resultat'!$B$33:$B$46)*(INDEX('Landbrugsareal - resultat'!$C$33:$E$46,,MATCH(E392,'Landbrugsareal - resultat'!$C$5:$E$5,0)))),IF(C392=2030,SUMPRODUCT((B392='Landbrugsareal - resultat'!$B$33:$B$46)*(INDEX('Landbrugsareal - resultat'!$F$33:$H$46,,MATCH(E392,'Landbrugsareal - resultat'!$F$5:$H$5,0)))),SUMPRODUCT((B392='Landbrugsareal - resultat'!$B$33:$B$46)*(INDEX('Landbrugsareal - resultat'!$I$33:$K$46,,MATCH(E392,'Landbrugsareal - resultat'!$I$5:$K$5,0)))))),IF(C392=2019,SUMPRODUCT((B392='Landbrugsareal - resultat'!$B$33:$B$46)*(INDEX('Landbrugsareal - resultat'!$L$33:$N$46,,MATCH(E392,'Landbrugsareal - resultat'!$L$5:$N$5,0)))),IF(C392=2030,SUMPRODUCT((B392='Landbrugsareal - resultat'!$B$33:$B$46)*(INDEX('Landbrugsareal - resultat'!$O$33:$Q$46,,MATCH(E392,'Landbrugsareal - resultat'!$O$5:$Q$5,0)))),SUMPRODUCT((B392='Landbrugsareal - resultat'!$B$33:$B$46)*(INDEX('Landbrugsareal - resultat'!$R$33:$T$46,,MATCH(E392,'Landbrugsareal - resultat'!$R$5:$T$5,0))))))))</f>
        <v>12.71902431555799</v>
      </c>
      <c r="H392" s="168">
        <f>G392*VLOOKUP(B392,[1]Afgrødedata!$A$5:$F$18,2,FALSE)*IF(D392="Økologisk",VLOOKUP(B392,[1]Afgrødedata!$A$5:$F$18,4,FALSE),1)*IF(E392&lt;&gt;Jordbund1,IF(E392=Organ6,VLOOKUP(B392,[1]Afgrødedata!$A$5:$F$18,5,FALSE),VLOOKUP(B392,[1]Afgrødedata!$A$5:$F$18,6,FALSE)),1)*0.1</f>
        <v>212.19055199613814</v>
      </c>
      <c r="I392" s="168">
        <f>G392*VLOOKUP(B392,[1]Afgrødedata!$A$5:$F$18,3,FALSE)*IF(D392="Økologisk",VLOOKUP(B392,[1]Afgrødedata!$A$5:$F$18,4,FALSE),1)*IF(E392&lt;&gt;Jordbund1,IF(E392=Organ6,VLOOKUP(B392,[1]Afgrødedata!$A$5:$F$18,5,FALSE),VLOOKUP(B392,[1]Afgrødedata!$A$5:$F$18,6,FALSE)),1)*HLOOKUP(C392,Landbrug!$C$15:$E$17,2,FALSE)*HLOOKUP(C392,Landbrug!$C$15:$E$17,3,FALSE)*0.1</f>
        <v>0</v>
      </c>
      <c r="J392" s="76">
        <f t="shared" si="60"/>
        <v>212.19055199613814</v>
      </c>
    </row>
    <row r="393" spans="1:10" x14ac:dyDescent="0.25">
      <c r="A393" t="s">
        <v>24</v>
      </c>
      <c r="B393" s="1" t="str">
        <f>[1]Afgrødefordeling!$C$15</f>
        <v>Permanent græs</v>
      </c>
      <c r="C393">
        <v>2019</v>
      </c>
      <c r="D393" t="s">
        <v>8</v>
      </c>
      <c r="E393" s="168" t="str">
        <f t="shared" si="61"/>
        <v>OC6</v>
      </c>
      <c r="F393" t="str">
        <f t="shared" si="58"/>
        <v>Græs</v>
      </c>
      <c r="G393" s="76" cm="1">
        <f t="array" ref="G393">IF(A393="Vestdanmark",IF(D393="Konventionel",IF(C393=2019,SUMPRODUCT((B393='Landbrugsareal - resultat'!$B$6:$B$19)*(INDEX('Landbrugsareal - resultat'!$C$6:$E$19,,MATCH(E393,'Landbrugsareal - resultat'!$C$5:$E$5,0)))),IF(C393=2030,SUMPRODUCT((B393='Landbrugsareal - resultat'!$B$6:$B$19)*(INDEX('Landbrugsareal - resultat'!$F$6:$H$19,,MATCH(E393,'Landbrugsareal - resultat'!$F$5:$H$5,0)))),SUMPRODUCT((B393='Landbrugsareal - resultat'!$B$6:$B$19)*(INDEX('Landbrugsareal - resultat'!$I$6:$K$19,,MATCH(E393,'Landbrugsareal - resultat'!$I$5:$K$5,0)))))),IF(C393=2019,SUMPRODUCT((B393='Landbrugsareal - resultat'!$B$6:$B$19)*(INDEX('Landbrugsareal - resultat'!$L$6:$N$19,,MATCH(E393,'Landbrugsareal - resultat'!$L$5:$N$5,0)))),IF(C393=2030,SUMPRODUCT((B393='Landbrugsareal - resultat'!$B$6:$B$19)*(INDEX('Landbrugsareal - resultat'!$O$6:$Q$19,,MATCH(E393,'Landbrugsareal - resultat'!$O$5:$Q$5,0)))),SUMPRODUCT((B393='Landbrugsareal - resultat'!$B$6:$B$19)*(INDEX('Landbrugsareal - resultat'!$R$6:$T$19,,MATCH(E393,'Landbrugsareal - resultat'!$R$5:$T$5,0))))))),IF(D393="Konventionel",IF(C393=2019,SUMPRODUCT((B393='Landbrugsareal - resultat'!$B$33:$B$46)*(INDEX('Landbrugsareal - resultat'!$C$33:$E$46,,MATCH(E393,'Landbrugsareal - resultat'!$C$5:$E$5,0)))),IF(C393=2030,SUMPRODUCT((B393='Landbrugsareal - resultat'!$B$33:$B$46)*(INDEX('Landbrugsareal - resultat'!$F$33:$H$46,,MATCH(E393,'Landbrugsareal - resultat'!$F$5:$H$5,0)))),SUMPRODUCT((B393='Landbrugsareal - resultat'!$B$33:$B$46)*(INDEX('Landbrugsareal - resultat'!$I$33:$K$46,,MATCH(E393,'Landbrugsareal - resultat'!$I$5:$K$5,0)))))),IF(C393=2019,SUMPRODUCT((B393='Landbrugsareal - resultat'!$B$33:$B$46)*(INDEX('Landbrugsareal - resultat'!$L$33:$N$46,,MATCH(E393,'Landbrugsareal - resultat'!$L$5:$N$5,0)))),IF(C393=2030,SUMPRODUCT((B393='Landbrugsareal - resultat'!$B$33:$B$46)*(INDEX('Landbrugsareal - resultat'!$O$33:$Q$46,,MATCH(E393,'Landbrugsareal - resultat'!$O$5:$Q$5,0)))),SUMPRODUCT((B393='Landbrugsareal - resultat'!$B$33:$B$46)*(INDEX('Landbrugsareal - resultat'!$R$33:$T$46,,MATCH(E393,'Landbrugsareal - resultat'!$R$5:$T$5,0))))))))</f>
        <v>371.49087853744766</v>
      </c>
      <c r="H393" s="168">
        <f>G393*VLOOKUP(B393,[1]Afgrødedata!$A$5:$F$18,2,FALSE)*IF(D393="Økologisk",VLOOKUP(B393,[1]Afgrødedata!$A$5:$F$18,4,FALSE),1)*IF(E393&lt;&gt;Jordbund1,IF(E393=Organ6,VLOOKUP(B393,[1]Afgrødedata!$A$5:$F$18,5,FALSE),VLOOKUP(B393,[1]Afgrødedata!$A$5:$F$18,6,FALSE)),1)*0.1</f>
        <v>6147.4310580376841</v>
      </c>
      <c r="I393" s="168">
        <f>G393*VLOOKUP(B393,[1]Afgrødedata!$A$5:$F$18,3,FALSE)*IF(D393="Økologisk",VLOOKUP(B393,[1]Afgrødedata!$A$5:$F$18,4,FALSE),1)*IF(E393&lt;&gt;Jordbund1,IF(E393=Organ6,VLOOKUP(B393,[1]Afgrødedata!$A$5:$F$18,5,FALSE),VLOOKUP(B393,[1]Afgrødedata!$A$5:$F$18,6,FALSE)),1)*HLOOKUP(C393,Landbrug!$C$15:$E$17,2,FALSE)*HLOOKUP(C393,Landbrug!$C$15:$E$17,3,FALSE)*0.1</f>
        <v>0</v>
      </c>
      <c r="J393" s="76">
        <f t="shared" si="60"/>
        <v>6147.4310580376841</v>
      </c>
    </row>
    <row r="394" spans="1:10" x14ac:dyDescent="0.25">
      <c r="A394" t="s">
        <v>24</v>
      </c>
      <c r="B394" s="1" t="str">
        <f>[1]Afgrødefordeling!$C$2</f>
        <v>Korn</v>
      </c>
      <c r="C394">
        <v>2030</v>
      </c>
      <c r="D394" t="s">
        <v>8</v>
      </c>
      <c r="E394" s="168" t="str">
        <f t="shared" si="61"/>
        <v>OC6</v>
      </c>
      <c r="F394" t="str">
        <f t="shared" si="58"/>
        <v>Halm</v>
      </c>
      <c r="G394" s="76" cm="1">
        <f t="array" ref="G394">IF(A394="Vestdanmark",IF(D394="Konventionel",IF(C394=2019,SUMPRODUCT((B394='Landbrugsareal - resultat'!$B$6:$B$19)*(INDEX('Landbrugsareal - resultat'!$C$6:$E$19,,MATCH(E394,'Landbrugsareal - resultat'!$C$5:$E$5,0)))),IF(C394=2030,SUMPRODUCT((B394='Landbrugsareal - resultat'!$B$6:$B$19)*(INDEX('Landbrugsareal - resultat'!$F$6:$H$19,,MATCH(E394,'Landbrugsareal - resultat'!$F$5:$H$5,0)))),SUMPRODUCT((B394='Landbrugsareal - resultat'!$B$6:$B$19)*(INDEX('Landbrugsareal - resultat'!$I$6:$K$19,,MATCH(E394,'Landbrugsareal - resultat'!$I$5:$K$5,0)))))),IF(C394=2019,SUMPRODUCT((B394='Landbrugsareal - resultat'!$B$6:$B$19)*(INDEX('Landbrugsareal - resultat'!$L$6:$N$19,,MATCH(E394,'Landbrugsareal - resultat'!$L$5:$N$5,0)))),IF(C394=2030,SUMPRODUCT((B394='Landbrugsareal - resultat'!$B$6:$B$19)*(INDEX('Landbrugsareal - resultat'!$O$6:$Q$19,,MATCH(E394,'Landbrugsareal - resultat'!$O$5:$Q$5,0)))),SUMPRODUCT((B394='Landbrugsareal - resultat'!$B$6:$B$19)*(INDEX('Landbrugsareal - resultat'!$R$6:$T$19,,MATCH(E394,'Landbrugsareal - resultat'!$R$5:$T$5,0))))))),IF(D394="Konventionel",IF(C394=2019,SUMPRODUCT((B394='Landbrugsareal - resultat'!$B$33:$B$46)*(INDEX('Landbrugsareal - resultat'!$C$33:$E$46,,MATCH(E394,'Landbrugsareal - resultat'!$C$5:$E$5,0)))),IF(C394=2030,SUMPRODUCT((B394='Landbrugsareal - resultat'!$B$33:$B$46)*(INDEX('Landbrugsareal - resultat'!$F$33:$H$46,,MATCH(E394,'Landbrugsareal - resultat'!$F$5:$H$5,0)))),SUMPRODUCT((B394='Landbrugsareal - resultat'!$B$33:$B$46)*(INDEX('Landbrugsareal - resultat'!$I$33:$K$46,,MATCH(E394,'Landbrugsareal - resultat'!$I$5:$K$5,0)))))),IF(C394=2019,SUMPRODUCT((B394='Landbrugsareal - resultat'!$B$33:$B$46)*(INDEX('Landbrugsareal - resultat'!$L$33:$N$46,,MATCH(E394,'Landbrugsareal - resultat'!$L$5:$N$5,0)))),IF(C394=2030,SUMPRODUCT((B394='Landbrugsareal - resultat'!$B$33:$B$46)*(INDEX('Landbrugsareal - resultat'!$O$33:$Q$46,,MATCH(E394,'Landbrugsareal - resultat'!$O$5:$Q$5,0)))),SUMPRODUCT((B394='Landbrugsareal - resultat'!$B$33:$B$46)*(INDEX('Landbrugsareal - resultat'!$R$33:$T$46,,MATCH(E394,'Landbrugsareal - resultat'!$R$5:$T$5,0))))))))</f>
        <v>635.47551588693773</v>
      </c>
      <c r="H394" s="168">
        <f>G394*VLOOKUP(B394,[1]Afgrødedata!$A$5:$F$18,2,FALSE)*IF(D394="Økologisk",VLOOKUP(B394,[1]Afgrødedata!$A$5:$F$18,4,FALSE),1)*IF(E394&lt;&gt;Jordbund1,IF(E394=Organ6,VLOOKUP(B394,[1]Afgrødedata!$A$5:$F$18,5,FALSE),VLOOKUP(B394,[1]Afgrødedata!$A$5:$F$18,6,FALSE)),1)*0.1</f>
        <v>3581.5654265594167</v>
      </c>
      <c r="I394" s="168">
        <f>G394*VLOOKUP(B394,[1]Afgrødedata!$A$5:$F$18,3,FALSE)*IF(D394="Økologisk",VLOOKUP(B394,[1]Afgrødedata!$A$5:$F$18,4,FALSE),1)*IF(E394&lt;&gt;Jordbund1,IF(E394=Organ6,VLOOKUP(B394,[1]Afgrødedata!$A$5:$F$18,5,FALSE),VLOOKUP(B394,[1]Afgrødedata!$A$5:$F$18,6,FALSE)),1)*HLOOKUP(C394,Landbrug!$C$15:$E$17,2,FALSE)*HLOOKUP(C394,Landbrug!$C$15:$E$17,3,FALSE)*0.1</f>
        <v>1162.2179809185307</v>
      </c>
      <c r="J394" s="76">
        <f t="shared" si="60"/>
        <v>1162.2179809185307</v>
      </c>
    </row>
    <row r="395" spans="1:10" x14ac:dyDescent="0.25">
      <c r="A395" t="s">
        <v>24</v>
      </c>
      <c r="B395" s="1" t="str">
        <f>[1]Afgrødefordeling!$C$3</f>
        <v>Bælgsæd</v>
      </c>
      <c r="C395">
        <v>2030</v>
      </c>
      <c r="D395" t="s">
        <v>8</v>
      </c>
      <c r="E395" s="168" t="str">
        <f t="shared" si="61"/>
        <v>OC6</v>
      </c>
      <c r="F395" t="str">
        <f t="shared" si="58"/>
        <v>Halm</v>
      </c>
      <c r="G395" s="76" cm="1">
        <f t="array" ref="G395">IF(A395="Vestdanmark",IF(D395="Konventionel",IF(C395=2019,SUMPRODUCT((B395='Landbrugsareal - resultat'!$B$6:$B$19)*(INDEX('Landbrugsareal - resultat'!$C$6:$E$19,,MATCH(E395,'Landbrugsareal - resultat'!$C$5:$E$5,0)))),IF(C395=2030,SUMPRODUCT((B395='Landbrugsareal - resultat'!$B$6:$B$19)*(INDEX('Landbrugsareal - resultat'!$F$6:$H$19,,MATCH(E395,'Landbrugsareal - resultat'!$F$5:$H$5,0)))),SUMPRODUCT((B395='Landbrugsareal - resultat'!$B$6:$B$19)*(INDEX('Landbrugsareal - resultat'!$I$6:$K$19,,MATCH(E395,'Landbrugsareal - resultat'!$I$5:$K$5,0)))))),IF(C395=2019,SUMPRODUCT((B395='Landbrugsareal - resultat'!$B$6:$B$19)*(INDEX('Landbrugsareal - resultat'!$L$6:$N$19,,MATCH(E395,'Landbrugsareal - resultat'!$L$5:$N$5,0)))),IF(C395=2030,SUMPRODUCT((B395='Landbrugsareal - resultat'!$B$6:$B$19)*(INDEX('Landbrugsareal - resultat'!$O$6:$Q$19,,MATCH(E395,'Landbrugsareal - resultat'!$O$5:$Q$5,0)))),SUMPRODUCT((B395='Landbrugsareal - resultat'!$B$6:$B$19)*(INDEX('Landbrugsareal - resultat'!$R$6:$T$19,,MATCH(E395,'Landbrugsareal - resultat'!$R$5:$T$5,0))))))),IF(D395="Konventionel",IF(C395=2019,SUMPRODUCT((B395='Landbrugsareal - resultat'!$B$33:$B$46)*(INDEX('Landbrugsareal - resultat'!$C$33:$E$46,,MATCH(E395,'Landbrugsareal - resultat'!$C$5:$E$5,0)))),IF(C395=2030,SUMPRODUCT((B395='Landbrugsareal - resultat'!$B$33:$B$46)*(INDEX('Landbrugsareal - resultat'!$F$33:$H$46,,MATCH(E395,'Landbrugsareal - resultat'!$F$5:$H$5,0)))),SUMPRODUCT((B395='Landbrugsareal - resultat'!$B$33:$B$46)*(INDEX('Landbrugsareal - resultat'!$I$33:$K$46,,MATCH(E395,'Landbrugsareal - resultat'!$I$5:$K$5,0)))))),IF(C395=2019,SUMPRODUCT((B395='Landbrugsareal - resultat'!$B$33:$B$46)*(INDEX('Landbrugsareal - resultat'!$L$33:$N$46,,MATCH(E395,'Landbrugsareal - resultat'!$L$5:$N$5,0)))),IF(C395=2030,SUMPRODUCT((B395='Landbrugsareal - resultat'!$B$33:$B$46)*(INDEX('Landbrugsareal - resultat'!$O$33:$Q$46,,MATCH(E395,'Landbrugsareal - resultat'!$O$5:$Q$5,0)))),SUMPRODUCT((B395='Landbrugsareal - resultat'!$B$33:$B$46)*(INDEX('Landbrugsareal - resultat'!$R$33:$T$46,,MATCH(E395,'Landbrugsareal - resultat'!$R$5:$T$5,0))))))))</f>
        <v>17.184273745605214</v>
      </c>
      <c r="H395" s="168">
        <f>G395*VLOOKUP(B395,[1]Afgrødedata!$A$5:$F$18,2,FALSE)*IF(D395="Økologisk",VLOOKUP(B395,[1]Afgrødedata!$A$5:$F$18,4,FALSE),1)*IF(E395&lt;&gt;Jordbund1,IF(E395=Organ6,VLOOKUP(B395,[1]Afgrødedata!$A$5:$F$18,5,FALSE),VLOOKUP(B395,[1]Afgrødedata!$A$5:$F$18,6,FALSE)),1)*0.1</f>
        <v>45.370606914096705</v>
      </c>
      <c r="I395" s="168">
        <f>G395*VLOOKUP(B395,[1]Afgrødedata!$A$5:$F$18,3,FALSE)*IF(D395="Økologisk",VLOOKUP(B395,[1]Afgrødedata!$A$5:$F$18,4,FALSE),1)*IF(E395&lt;&gt;Jordbund1,IF(E395=Organ6,VLOOKUP(B395,[1]Afgrødedata!$A$5:$F$18,5,FALSE),VLOOKUP(B395,[1]Afgrødedata!$A$5:$F$18,6,FALSE)),1)*HLOOKUP(C395,Landbrug!$C$15:$E$17,2,FALSE)*HLOOKUP(C395,Landbrug!$C$15:$E$17,3,FALSE)*0.1</f>
        <v>13.391263925171302</v>
      </c>
      <c r="J395" s="76">
        <f t="shared" si="60"/>
        <v>13.391263925171302</v>
      </c>
    </row>
    <row r="396" spans="1:10" x14ac:dyDescent="0.25">
      <c r="A396" t="s">
        <v>24</v>
      </c>
      <c r="B396" s="1" t="str">
        <f>[1]Afgrødefordeling!$C$4</f>
        <v>Raps</v>
      </c>
      <c r="C396">
        <v>2030</v>
      </c>
      <c r="D396" t="s">
        <v>8</v>
      </c>
      <c r="E396" s="168" t="str">
        <f t="shared" si="61"/>
        <v>OC6</v>
      </c>
      <c r="F396" t="str">
        <f t="shared" si="58"/>
        <v>Halm</v>
      </c>
      <c r="G396" s="76" cm="1">
        <f t="array" ref="G396">IF(A396="Vestdanmark",IF(D396="Konventionel",IF(C396=2019,SUMPRODUCT((B396='Landbrugsareal - resultat'!$B$6:$B$19)*(INDEX('Landbrugsareal - resultat'!$C$6:$E$19,,MATCH(E396,'Landbrugsareal - resultat'!$C$5:$E$5,0)))),IF(C396=2030,SUMPRODUCT((B396='Landbrugsareal - resultat'!$B$6:$B$19)*(INDEX('Landbrugsareal - resultat'!$F$6:$H$19,,MATCH(E396,'Landbrugsareal - resultat'!$F$5:$H$5,0)))),SUMPRODUCT((B396='Landbrugsareal - resultat'!$B$6:$B$19)*(INDEX('Landbrugsareal - resultat'!$I$6:$K$19,,MATCH(E396,'Landbrugsareal - resultat'!$I$5:$K$5,0)))))),IF(C396=2019,SUMPRODUCT((B396='Landbrugsareal - resultat'!$B$6:$B$19)*(INDEX('Landbrugsareal - resultat'!$L$6:$N$19,,MATCH(E396,'Landbrugsareal - resultat'!$L$5:$N$5,0)))),IF(C396=2030,SUMPRODUCT((B396='Landbrugsareal - resultat'!$B$6:$B$19)*(INDEX('Landbrugsareal - resultat'!$O$6:$Q$19,,MATCH(E396,'Landbrugsareal - resultat'!$O$5:$Q$5,0)))),SUMPRODUCT((B396='Landbrugsareal - resultat'!$B$6:$B$19)*(INDEX('Landbrugsareal - resultat'!$R$6:$T$19,,MATCH(E396,'Landbrugsareal - resultat'!$R$5:$T$5,0))))))),IF(D396="Konventionel",IF(C396=2019,SUMPRODUCT((B396='Landbrugsareal - resultat'!$B$33:$B$46)*(INDEX('Landbrugsareal - resultat'!$C$33:$E$46,,MATCH(E396,'Landbrugsareal - resultat'!$C$5:$E$5,0)))),IF(C396=2030,SUMPRODUCT((B396='Landbrugsareal - resultat'!$B$33:$B$46)*(INDEX('Landbrugsareal - resultat'!$F$33:$H$46,,MATCH(E396,'Landbrugsareal - resultat'!$F$5:$H$5,0)))),SUMPRODUCT((B396='Landbrugsareal - resultat'!$B$33:$B$46)*(INDEX('Landbrugsareal - resultat'!$I$33:$K$46,,MATCH(E396,'Landbrugsareal - resultat'!$I$5:$K$5,0)))))),IF(C396=2019,SUMPRODUCT((B396='Landbrugsareal - resultat'!$B$33:$B$46)*(INDEX('Landbrugsareal - resultat'!$L$33:$N$46,,MATCH(E396,'Landbrugsareal - resultat'!$L$5:$N$5,0)))),IF(C396=2030,SUMPRODUCT((B396='Landbrugsareal - resultat'!$B$33:$B$46)*(INDEX('Landbrugsareal - resultat'!$O$33:$Q$46,,MATCH(E396,'Landbrugsareal - resultat'!$O$5:$Q$5,0)))),SUMPRODUCT((B396='Landbrugsareal - resultat'!$B$33:$B$46)*(INDEX('Landbrugsareal - resultat'!$R$33:$T$46,,MATCH(E396,'Landbrugsareal - resultat'!$R$5:$T$5,0))))))))</f>
        <v>69.409966071272493</v>
      </c>
      <c r="H396" s="168">
        <f>G396*VLOOKUP(B396,[1]Afgrødedata!$A$5:$F$18,2,FALSE)*IF(D396="Økologisk",VLOOKUP(B396,[1]Afgrødedata!$A$5:$F$18,4,FALSE),1)*IF(E396&lt;&gt;Jordbund1,IF(E396=Organ6,VLOOKUP(B396,[1]Afgrødedata!$A$5:$F$18,5,FALSE),VLOOKUP(B396,[1]Afgrødedata!$A$5:$F$18,6,FALSE)),1)*0.1</f>
        <v>201.56654147097535</v>
      </c>
      <c r="I396" s="168">
        <f>G396*VLOOKUP(B396,[1]Afgrødedata!$A$5:$F$18,3,FALSE)*IF(D396="Økologisk",VLOOKUP(B396,[1]Afgrødedata!$A$5:$F$18,4,FALSE),1)*IF(E396&lt;&gt;Jordbund1,IF(E396=Organ6,VLOOKUP(B396,[1]Afgrødedata!$A$5:$F$18,5,FALSE),VLOOKUP(B396,[1]Afgrødedata!$A$5:$F$18,6,FALSE)),1)*HLOOKUP(C396,Landbrug!$C$15:$E$17,2,FALSE)*HLOOKUP(C396,Landbrug!$C$15:$E$17,3,FALSE)*0.1</f>
        <v>107.0318335210879</v>
      </c>
      <c r="J396" s="76">
        <f t="shared" si="60"/>
        <v>107.0318335210879</v>
      </c>
    </row>
    <row r="397" spans="1:10" x14ac:dyDescent="0.25">
      <c r="A397" t="s">
        <v>24</v>
      </c>
      <c r="B397" s="1" t="str">
        <f>[1]Afgrødefordeling!$C$5</f>
        <v>Græs</v>
      </c>
      <c r="C397">
        <v>2030</v>
      </c>
      <c r="D397" t="s">
        <v>8</v>
      </c>
      <c r="E397" s="168" t="str">
        <f t="shared" si="61"/>
        <v>OC6</v>
      </c>
      <c r="F397" t="str">
        <f t="shared" si="58"/>
        <v>Græs</v>
      </c>
      <c r="G397" s="76" cm="1">
        <f t="array" ref="G397">IF(A397="Vestdanmark",IF(D397="Konventionel",IF(C397=2019,SUMPRODUCT((B397='Landbrugsareal - resultat'!$B$6:$B$19)*(INDEX('Landbrugsareal - resultat'!$C$6:$E$19,,MATCH(E397,'Landbrugsareal - resultat'!$C$5:$E$5,0)))),IF(C397=2030,SUMPRODUCT((B397='Landbrugsareal - resultat'!$B$6:$B$19)*(INDEX('Landbrugsareal - resultat'!$F$6:$H$19,,MATCH(E397,'Landbrugsareal - resultat'!$F$5:$H$5,0)))),SUMPRODUCT((B397='Landbrugsareal - resultat'!$B$6:$B$19)*(INDEX('Landbrugsareal - resultat'!$I$6:$K$19,,MATCH(E397,'Landbrugsareal - resultat'!$I$5:$K$5,0)))))),IF(C397=2019,SUMPRODUCT((B397='Landbrugsareal - resultat'!$B$6:$B$19)*(INDEX('Landbrugsareal - resultat'!$L$6:$N$19,,MATCH(E397,'Landbrugsareal - resultat'!$L$5:$N$5,0)))),IF(C397=2030,SUMPRODUCT((B397='Landbrugsareal - resultat'!$B$6:$B$19)*(INDEX('Landbrugsareal - resultat'!$O$6:$Q$19,,MATCH(E397,'Landbrugsareal - resultat'!$O$5:$Q$5,0)))),SUMPRODUCT((B397='Landbrugsareal - resultat'!$B$6:$B$19)*(INDEX('Landbrugsareal - resultat'!$R$6:$T$19,,MATCH(E397,'Landbrugsareal - resultat'!$R$5:$T$5,0))))))),IF(D397="Konventionel",IF(C397=2019,SUMPRODUCT((B397='Landbrugsareal - resultat'!$B$33:$B$46)*(INDEX('Landbrugsareal - resultat'!$C$33:$E$46,,MATCH(E397,'Landbrugsareal - resultat'!$C$5:$E$5,0)))),IF(C397=2030,SUMPRODUCT((B397='Landbrugsareal - resultat'!$B$33:$B$46)*(INDEX('Landbrugsareal - resultat'!$F$33:$H$46,,MATCH(E397,'Landbrugsareal - resultat'!$F$5:$H$5,0)))),SUMPRODUCT((B397='Landbrugsareal - resultat'!$B$33:$B$46)*(INDEX('Landbrugsareal - resultat'!$I$33:$K$46,,MATCH(E397,'Landbrugsareal - resultat'!$I$5:$K$5,0)))))),IF(C397=2019,SUMPRODUCT((B397='Landbrugsareal - resultat'!$B$33:$B$46)*(INDEX('Landbrugsareal - resultat'!$L$33:$N$46,,MATCH(E397,'Landbrugsareal - resultat'!$L$5:$N$5,0)))),IF(C397=2030,SUMPRODUCT((B397='Landbrugsareal - resultat'!$B$33:$B$46)*(INDEX('Landbrugsareal - resultat'!$O$33:$Q$46,,MATCH(E397,'Landbrugsareal - resultat'!$O$5:$Q$5,0)))),SUMPRODUCT((B397='Landbrugsareal - resultat'!$B$33:$B$46)*(INDEX('Landbrugsareal - resultat'!$R$33:$T$46,,MATCH(E397,'Landbrugsareal - resultat'!$R$5:$T$5,0))))))))</f>
        <v>204.09438326995422</v>
      </c>
      <c r="H397" s="168">
        <f>G397*VLOOKUP(B397,[1]Afgrødedata!$A$5:$F$18,2,FALSE)*IF(D397="Økologisk",VLOOKUP(B397,[1]Afgrødedata!$A$5:$F$18,4,FALSE),1)*IF(E397&lt;&gt;Jordbund1,IF(E397=Organ6,VLOOKUP(B397,[1]Afgrødedata!$A$5:$F$18,5,FALSE),VLOOKUP(B397,[1]Afgrødedata!$A$5:$F$18,6,FALSE)),1)*0.1</f>
        <v>9479.0248467923993</v>
      </c>
      <c r="I397" s="168">
        <f>G397*VLOOKUP(B397,[1]Afgrødedata!$A$5:$F$18,3,FALSE)*IF(D397="Økologisk",VLOOKUP(B397,[1]Afgrødedata!$A$5:$F$18,4,FALSE),1)*IF(E397&lt;&gt;Jordbund1,IF(E397=Organ6,VLOOKUP(B397,[1]Afgrødedata!$A$5:$F$18,5,FALSE),VLOOKUP(B397,[1]Afgrødedata!$A$5:$F$18,6,FALSE)),1)*HLOOKUP(C397,Landbrug!$C$15:$E$17,2,FALSE)*HLOOKUP(C397,Landbrug!$C$15:$E$17,3,FALSE)*0.1</f>
        <v>0</v>
      </c>
      <c r="J397" s="76">
        <f t="shared" si="60"/>
        <v>9479.0248467923993</v>
      </c>
    </row>
    <row r="398" spans="1:10" x14ac:dyDescent="0.25">
      <c r="A398" t="s">
        <v>24</v>
      </c>
      <c r="B398" s="1" t="str">
        <f>[1]Afgrødefordeling!$C$6</f>
        <v>Grøntsager</v>
      </c>
      <c r="C398">
        <v>2030</v>
      </c>
      <c r="D398" t="s">
        <v>8</v>
      </c>
      <c r="E398" s="168" t="str">
        <f t="shared" si="61"/>
        <v>OC6</v>
      </c>
      <c r="F398" t="str">
        <f t="shared" si="58"/>
        <v>Grøntsager</v>
      </c>
      <c r="G398" s="76" cm="1">
        <f t="array" ref="G398">IF(A398="Vestdanmark",IF(D398="Konventionel",IF(C398=2019,SUMPRODUCT((B398='Landbrugsareal - resultat'!$B$6:$B$19)*(INDEX('Landbrugsareal - resultat'!$C$6:$E$19,,MATCH(E398,'Landbrugsareal - resultat'!$C$5:$E$5,0)))),IF(C398=2030,SUMPRODUCT((B398='Landbrugsareal - resultat'!$B$6:$B$19)*(INDEX('Landbrugsareal - resultat'!$F$6:$H$19,,MATCH(E398,'Landbrugsareal - resultat'!$F$5:$H$5,0)))),SUMPRODUCT((B398='Landbrugsareal - resultat'!$B$6:$B$19)*(INDEX('Landbrugsareal - resultat'!$I$6:$K$19,,MATCH(E398,'Landbrugsareal - resultat'!$I$5:$K$5,0)))))),IF(C398=2019,SUMPRODUCT((B398='Landbrugsareal - resultat'!$B$6:$B$19)*(INDEX('Landbrugsareal - resultat'!$L$6:$N$19,,MATCH(E398,'Landbrugsareal - resultat'!$L$5:$N$5,0)))),IF(C398=2030,SUMPRODUCT((B398='Landbrugsareal - resultat'!$B$6:$B$19)*(INDEX('Landbrugsareal - resultat'!$O$6:$Q$19,,MATCH(E398,'Landbrugsareal - resultat'!$O$5:$Q$5,0)))),SUMPRODUCT((B398='Landbrugsareal - resultat'!$B$6:$B$19)*(INDEX('Landbrugsareal - resultat'!$R$6:$T$19,,MATCH(E398,'Landbrugsareal - resultat'!$R$5:$T$5,0))))))),IF(D398="Konventionel",IF(C398=2019,SUMPRODUCT((B398='Landbrugsareal - resultat'!$B$33:$B$46)*(INDEX('Landbrugsareal - resultat'!$C$33:$E$46,,MATCH(E398,'Landbrugsareal - resultat'!$C$5:$E$5,0)))),IF(C398=2030,SUMPRODUCT((B398='Landbrugsareal - resultat'!$B$33:$B$46)*(INDEX('Landbrugsareal - resultat'!$F$33:$H$46,,MATCH(E398,'Landbrugsareal - resultat'!$F$5:$H$5,0)))),SUMPRODUCT((B398='Landbrugsareal - resultat'!$B$33:$B$46)*(INDEX('Landbrugsareal - resultat'!$I$33:$K$46,,MATCH(E398,'Landbrugsareal - resultat'!$I$5:$K$5,0)))))),IF(C398=2019,SUMPRODUCT((B398='Landbrugsareal - resultat'!$B$33:$B$46)*(INDEX('Landbrugsareal - resultat'!$L$33:$N$46,,MATCH(E398,'Landbrugsareal - resultat'!$L$5:$N$5,0)))),IF(C398=2030,SUMPRODUCT((B398='Landbrugsareal - resultat'!$B$33:$B$46)*(INDEX('Landbrugsareal - resultat'!$O$33:$Q$46,,MATCH(E398,'Landbrugsareal - resultat'!$O$5:$Q$5,0)))),SUMPRODUCT((B398='Landbrugsareal - resultat'!$B$33:$B$46)*(INDEX('Landbrugsareal - resultat'!$R$33:$T$46,,MATCH(E398,'Landbrugsareal - resultat'!$R$5:$T$5,0))))))))</f>
        <v>3.86532659107979</v>
      </c>
      <c r="H398" s="168">
        <f>G398*VLOOKUP(B398,[1]Afgrødedata!$A$5:$F$18,2,FALSE)*IF(D398="Økologisk",VLOOKUP(B398,[1]Afgrødedata!$A$5:$F$18,4,FALSE),1)*IF(E398&lt;&gt;Jordbund1,IF(E398=Organ6,VLOOKUP(B398,[1]Afgrødedata!$A$5:$F$18,5,FALSE),VLOOKUP(B398,[1]Afgrødedata!$A$5:$F$18,6,FALSE)),1)*0.1</f>
        <v>54.860580307195448</v>
      </c>
      <c r="I398" s="168">
        <f>G398*VLOOKUP(B398,[1]Afgrødedata!$A$5:$F$18,3,FALSE)*IF(D398="Økologisk",VLOOKUP(B398,[1]Afgrødedata!$A$5:$F$18,4,FALSE),1)*IF(E398&lt;&gt;Jordbund1,IF(E398=Organ6,VLOOKUP(B398,[1]Afgrødedata!$A$5:$F$18,5,FALSE),VLOOKUP(B398,[1]Afgrødedata!$A$5:$F$18,6,FALSE)),1)*HLOOKUP(C398,Landbrug!$C$15:$E$17,2,FALSE)*HLOOKUP(C398,Landbrug!$C$15:$E$17,3,FALSE)*0.1</f>
        <v>0</v>
      </c>
      <c r="J398" s="76">
        <f t="shared" si="60"/>
        <v>54.860580307195448</v>
      </c>
    </row>
    <row r="399" spans="1:10" x14ac:dyDescent="0.25">
      <c r="A399" t="s">
        <v>24</v>
      </c>
      <c r="B399" s="1" t="str">
        <f>[1]Afgrødefordeling!$C$7</f>
        <v>Kartofler</v>
      </c>
      <c r="C399">
        <v>2030</v>
      </c>
      <c r="D399" t="s">
        <v>8</v>
      </c>
      <c r="E399" s="168" t="str">
        <f t="shared" si="61"/>
        <v>OC6</v>
      </c>
      <c r="F399" t="str">
        <f t="shared" si="58"/>
        <v>Kartofler</v>
      </c>
      <c r="G399" s="76" cm="1">
        <f t="array" ref="G399">IF(A399="Vestdanmark",IF(D399="Konventionel",IF(C399=2019,SUMPRODUCT((B399='Landbrugsareal - resultat'!$B$6:$B$19)*(INDEX('Landbrugsareal - resultat'!$C$6:$E$19,,MATCH(E399,'Landbrugsareal - resultat'!$C$5:$E$5,0)))),IF(C399=2030,SUMPRODUCT((B399='Landbrugsareal - resultat'!$B$6:$B$19)*(INDEX('Landbrugsareal - resultat'!$F$6:$H$19,,MATCH(E399,'Landbrugsareal - resultat'!$F$5:$H$5,0)))),SUMPRODUCT((B399='Landbrugsareal - resultat'!$B$6:$B$19)*(INDEX('Landbrugsareal - resultat'!$I$6:$K$19,,MATCH(E399,'Landbrugsareal - resultat'!$I$5:$K$5,0)))))),IF(C399=2019,SUMPRODUCT((B399='Landbrugsareal - resultat'!$B$6:$B$19)*(INDEX('Landbrugsareal - resultat'!$L$6:$N$19,,MATCH(E399,'Landbrugsareal - resultat'!$L$5:$N$5,0)))),IF(C399=2030,SUMPRODUCT((B399='Landbrugsareal - resultat'!$B$6:$B$19)*(INDEX('Landbrugsareal - resultat'!$O$6:$Q$19,,MATCH(E399,'Landbrugsareal - resultat'!$O$5:$Q$5,0)))),SUMPRODUCT((B399='Landbrugsareal - resultat'!$B$6:$B$19)*(INDEX('Landbrugsareal - resultat'!$R$6:$T$19,,MATCH(E399,'Landbrugsareal - resultat'!$R$5:$T$5,0))))))),IF(D399="Konventionel",IF(C399=2019,SUMPRODUCT((B399='Landbrugsareal - resultat'!$B$33:$B$46)*(INDEX('Landbrugsareal - resultat'!$C$33:$E$46,,MATCH(E399,'Landbrugsareal - resultat'!$C$5:$E$5,0)))),IF(C399=2030,SUMPRODUCT((B399='Landbrugsareal - resultat'!$B$33:$B$46)*(INDEX('Landbrugsareal - resultat'!$F$33:$H$46,,MATCH(E399,'Landbrugsareal - resultat'!$F$5:$H$5,0)))),SUMPRODUCT((B399='Landbrugsareal - resultat'!$B$33:$B$46)*(INDEX('Landbrugsareal - resultat'!$I$33:$K$46,,MATCH(E399,'Landbrugsareal - resultat'!$I$5:$K$5,0)))))),IF(C399=2019,SUMPRODUCT((B399='Landbrugsareal - resultat'!$B$33:$B$46)*(INDEX('Landbrugsareal - resultat'!$L$33:$N$46,,MATCH(E399,'Landbrugsareal - resultat'!$L$5:$N$5,0)))),IF(C399=2030,SUMPRODUCT((B399='Landbrugsareal - resultat'!$B$33:$B$46)*(INDEX('Landbrugsareal - resultat'!$O$33:$Q$46,,MATCH(E399,'Landbrugsareal - resultat'!$O$5:$Q$5,0)))),SUMPRODUCT((B399='Landbrugsareal - resultat'!$B$33:$B$46)*(INDEX('Landbrugsareal - resultat'!$R$33:$T$46,,MATCH(E399,'Landbrugsareal - resultat'!$R$5:$T$5,0))))))))</f>
        <v>6.5714089688264332</v>
      </c>
      <c r="H399" s="168">
        <f>G399*VLOOKUP(B399,[1]Afgrødedata!$A$5:$F$18,2,FALSE)*IF(D399="Økologisk",VLOOKUP(B399,[1]Afgrødedata!$A$5:$F$18,4,FALSE),1)*IF(E399&lt;&gt;Jordbund1,IF(E399=Organ6,VLOOKUP(B399,[1]Afgrødedata!$A$5:$F$18,5,FALSE),VLOOKUP(B399,[1]Afgrødedata!$A$5:$F$18,6,FALSE)),1)*0.1</f>
        <v>190.90005639288108</v>
      </c>
      <c r="I399" s="168">
        <f>G399*VLOOKUP(B399,[1]Afgrødedata!$A$5:$F$18,3,FALSE)*IF(D399="Økologisk",VLOOKUP(B399,[1]Afgrødedata!$A$5:$F$18,4,FALSE),1)*IF(E399&lt;&gt;Jordbund1,IF(E399=Organ6,VLOOKUP(B399,[1]Afgrødedata!$A$5:$F$18,5,FALSE),VLOOKUP(B399,[1]Afgrødedata!$A$5:$F$18,6,FALSE)),1)*HLOOKUP(C399,Landbrug!$C$15:$E$17,2,FALSE)*HLOOKUP(C399,Landbrug!$C$15:$E$17,3,FALSE)*0.1</f>
        <v>0</v>
      </c>
      <c r="J399" s="76">
        <f t="shared" si="60"/>
        <v>190.90005639288108</v>
      </c>
    </row>
    <row r="400" spans="1:10" x14ac:dyDescent="0.25">
      <c r="A400" t="s">
        <v>24</v>
      </c>
      <c r="B400" s="1" t="str">
        <f>[1]Afgrødefordeling!$C$8</f>
        <v>Roer</v>
      </c>
      <c r="C400">
        <v>2030</v>
      </c>
      <c r="D400" t="s">
        <v>8</v>
      </c>
      <c r="E400" s="168" t="str">
        <f t="shared" si="61"/>
        <v>OC6</v>
      </c>
      <c r="F400" t="str">
        <f t="shared" ref="F400:F467" si="62">IF(I400&lt;&gt;0,"Halm",IF(B400&lt;&gt;"Permanent græs",B400,"Græs"))</f>
        <v>Roer</v>
      </c>
      <c r="G400" s="76" cm="1">
        <f t="array" ref="G400">IF(A400="Vestdanmark",IF(D400="Konventionel",IF(C400=2019,SUMPRODUCT((B400='Landbrugsareal - resultat'!$B$6:$B$19)*(INDEX('Landbrugsareal - resultat'!$C$6:$E$19,,MATCH(E400,'Landbrugsareal - resultat'!$C$5:$E$5,0)))),IF(C400=2030,SUMPRODUCT((B400='Landbrugsareal - resultat'!$B$6:$B$19)*(INDEX('Landbrugsareal - resultat'!$F$6:$H$19,,MATCH(E400,'Landbrugsareal - resultat'!$F$5:$H$5,0)))),SUMPRODUCT((B400='Landbrugsareal - resultat'!$B$6:$B$19)*(INDEX('Landbrugsareal - resultat'!$I$6:$K$19,,MATCH(E400,'Landbrugsareal - resultat'!$I$5:$K$5,0)))))),IF(C400=2019,SUMPRODUCT((B400='Landbrugsareal - resultat'!$B$6:$B$19)*(INDEX('Landbrugsareal - resultat'!$L$6:$N$19,,MATCH(E400,'Landbrugsareal - resultat'!$L$5:$N$5,0)))),IF(C400=2030,SUMPRODUCT((B400='Landbrugsareal - resultat'!$B$6:$B$19)*(INDEX('Landbrugsareal - resultat'!$O$6:$Q$19,,MATCH(E400,'Landbrugsareal - resultat'!$O$5:$Q$5,0)))),SUMPRODUCT((B400='Landbrugsareal - resultat'!$B$6:$B$19)*(INDEX('Landbrugsareal - resultat'!$R$6:$T$19,,MATCH(E400,'Landbrugsareal - resultat'!$R$5:$T$5,0))))))),IF(D400="Konventionel",IF(C400=2019,SUMPRODUCT((B400='Landbrugsareal - resultat'!$B$33:$B$46)*(INDEX('Landbrugsareal - resultat'!$C$33:$E$46,,MATCH(E400,'Landbrugsareal - resultat'!$C$5:$E$5,0)))),IF(C400=2030,SUMPRODUCT((B400='Landbrugsareal - resultat'!$B$33:$B$46)*(INDEX('Landbrugsareal - resultat'!$F$33:$H$46,,MATCH(E400,'Landbrugsareal - resultat'!$F$5:$H$5,0)))),SUMPRODUCT((B400='Landbrugsareal - resultat'!$B$33:$B$46)*(INDEX('Landbrugsareal - resultat'!$I$33:$K$46,,MATCH(E400,'Landbrugsareal - resultat'!$I$5:$K$5,0)))))),IF(C400=2019,SUMPRODUCT((B400='Landbrugsareal - resultat'!$B$33:$B$46)*(INDEX('Landbrugsareal - resultat'!$L$33:$N$46,,MATCH(E400,'Landbrugsareal - resultat'!$L$5:$N$5,0)))),IF(C400=2030,SUMPRODUCT((B400='Landbrugsareal - resultat'!$B$33:$B$46)*(INDEX('Landbrugsareal - resultat'!$O$33:$Q$46,,MATCH(E400,'Landbrugsareal - resultat'!$O$5:$Q$5,0)))),SUMPRODUCT((B400='Landbrugsareal - resultat'!$B$33:$B$46)*(INDEX('Landbrugsareal - resultat'!$R$33:$T$46,,MATCH(E400,'Landbrugsareal - resultat'!$R$5:$T$5,0))))))))</f>
        <v>18.35913410316229</v>
      </c>
      <c r="H400" s="168">
        <f>G400*VLOOKUP(B400,[1]Afgrødedata!$A$5:$F$18,2,FALSE)*IF(D400="Økologisk",VLOOKUP(B400,[1]Afgrødedata!$A$5:$F$18,4,FALSE),1)*IF(E400&lt;&gt;Jordbund1,IF(E400=Organ6,VLOOKUP(B400,[1]Afgrødedata!$A$5:$F$18,5,FALSE),VLOOKUP(B400,[1]Afgrødedata!$A$5:$F$18,6,FALSE)),1)*0.1</f>
        <v>1020.3557346777461</v>
      </c>
      <c r="I400" s="168">
        <f>G400*VLOOKUP(B400,[1]Afgrødedata!$A$5:$F$18,3,FALSE)*IF(D400="Økologisk",VLOOKUP(B400,[1]Afgrødedata!$A$5:$F$18,4,FALSE),1)*IF(E400&lt;&gt;Jordbund1,IF(E400=Organ6,VLOOKUP(B400,[1]Afgrødedata!$A$5:$F$18,5,FALSE),VLOOKUP(B400,[1]Afgrødedata!$A$5:$F$18,6,FALSE)),1)*HLOOKUP(C400,Landbrug!$C$15:$E$17,2,FALSE)*HLOOKUP(C400,Landbrug!$C$15:$E$17,3,FALSE)*0.1</f>
        <v>0</v>
      </c>
      <c r="J400" s="76">
        <f t="shared" si="60"/>
        <v>1020.3557346777461</v>
      </c>
    </row>
    <row r="401" spans="1:10" x14ac:dyDescent="0.25">
      <c r="A401" t="s">
        <v>24</v>
      </c>
      <c r="B401" s="1" t="str">
        <f>[1]Afgrødefordeling!$C$9</f>
        <v>Majs</v>
      </c>
      <c r="C401">
        <v>2030</v>
      </c>
      <c r="D401" t="s">
        <v>8</v>
      </c>
      <c r="E401" s="168" t="str">
        <f t="shared" si="61"/>
        <v>OC6</v>
      </c>
      <c r="F401" t="str">
        <f t="shared" si="62"/>
        <v>Majs</v>
      </c>
      <c r="G401" s="76" cm="1">
        <f t="array" ref="G401">IF(A401="Vestdanmark",IF(D401="Konventionel",IF(C401=2019,SUMPRODUCT((B401='Landbrugsareal - resultat'!$B$6:$B$19)*(INDEX('Landbrugsareal - resultat'!$C$6:$E$19,,MATCH(E401,'Landbrugsareal - resultat'!$C$5:$E$5,0)))),IF(C401=2030,SUMPRODUCT((B401='Landbrugsareal - resultat'!$B$6:$B$19)*(INDEX('Landbrugsareal - resultat'!$F$6:$H$19,,MATCH(E401,'Landbrugsareal - resultat'!$F$5:$H$5,0)))),SUMPRODUCT((B401='Landbrugsareal - resultat'!$B$6:$B$19)*(INDEX('Landbrugsareal - resultat'!$I$6:$K$19,,MATCH(E401,'Landbrugsareal - resultat'!$I$5:$K$5,0)))))),IF(C401=2019,SUMPRODUCT((B401='Landbrugsareal - resultat'!$B$6:$B$19)*(INDEX('Landbrugsareal - resultat'!$L$6:$N$19,,MATCH(E401,'Landbrugsareal - resultat'!$L$5:$N$5,0)))),IF(C401=2030,SUMPRODUCT((B401='Landbrugsareal - resultat'!$B$6:$B$19)*(INDEX('Landbrugsareal - resultat'!$O$6:$Q$19,,MATCH(E401,'Landbrugsareal - resultat'!$O$5:$Q$5,0)))),SUMPRODUCT((B401='Landbrugsareal - resultat'!$B$6:$B$19)*(INDEX('Landbrugsareal - resultat'!$R$6:$T$19,,MATCH(E401,'Landbrugsareal - resultat'!$R$5:$T$5,0))))))),IF(D401="Konventionel",IF(C401=2019,SUMPRODUCT((B401='Landbrugsareal - resultat'!$B$33:$B$46)*(INDEX('Landbrugsareal - resultat'!$C$33:$E$46,,MATCH(E401,'Landbrugsareal - resultat'!$C$5:$E$5,0)))),IF(C401=2030,SUMPRODUCT((B401='Landbrugsareal - resultat'!$B$33:$B$46)*(INDEX('Landbrugsareal - resultat'!$F$33:$H$46,,MATCH(E401,'Landbrugsareal - resultat'!$F$5:$H$5,0)))),SUMPRODUCT((B401='Landbrugsareal - resultat'!$B$33:$B$46)*(INDEX('Landbrugsareal - resultat'!$I$33:$K$46,,MATCH(E401,'Landbrugsareal - resultat'!$I$5:$K$5,0)))))),IF(C401=2019,SUMPRODUCT((B401='Landbrugsareal - resultat'!$B$33:$B$46)*(INDEX('Landbrugsareal - resultat'!$L$33:$N$46,,MATCH(E401,'Landbrugsareal - resultat'!$L$5:$N$5,0)))),IF(C401=2030,SUMPRODUCT((B401='Landbrugsareal - resultat'!$B$33:$B$46)*(INDEX('Landbrugsareal - resultat'!$O$33:$Q$46,,MATCH(E401,'Landbrugsareal - resultat'!$O$5:$Q$5,0)))),SUMPRODUCT((B401='Landbrugsareal - resultat'!$B$33:$B$46)*(INDEX('Landbrugsareal - resultat'!$R$33:$T$46,,MATCH(E401,'Landbrugsareal - resultat'!$R$5:$T$5,0))))))))</f>
        <v>19.573670081295891</v>
      </c>
      <c r="H401" s="168">
        <f>G401*VLOOKUP(B401,[1]Afgrødedata!$A$5:$F$18,2,FALSE)*IF(D401="Økologisk",VLOOKUP(B401,[1]Afgrødedata!$A$5:$F$18,4,FALSE),1)*IF(E401&lt;&gt;Jordbund1,IF(E401=Organ6,VLOOKUP(B401,[1]Afgrødedata!$A$5:$F$18,5,FALSE),VLOOKUP(B401,[1]Afgrødedata!$A$5:$F$18,6,FALSE)),1)*0.1</f>
        <v>867.7391590972062</v>
      </c>
      <c r="I401" s="168">
        <f>G401*VLOOKUP(B401,[1]Afgrødedata!$A$5:$F$18,3,FALSE)*IF(D401="Økologisk",VLOOKUP(B401,[1]Afgrødedata!$A$5:$F$18,4,FALSE),1)*IF(E401&lt;&gt;Jordbund1,IF(E401=Organ6,VLOOKUP(B401,[1]Afgrødedata!$A$5:$F$18,5,FALSE),VLOOKUP(B401,[1]Afgrødedata!$A$5:$F$18,6,FALSE)),1)*HLOOKUP(C401,Landbrug!$C$15:$E$17,2,FALSE)*HLOOKUP(C401,Landbrug!$C$15:$E$17,3,FALSE)*0.1</f>
        <v>0</v>
      </c>
      <c r="J401" s="76">
        <f t="shared" si="60"/>
        <v>867.7391590972062</v>
      </c>
    </row>
    <row r="402" spans="1:10" x14ac:dyDescent="0.25">
      <c r="A402" t="s">
        <v>24</v>
      </c>
      <c r="B402" s="1" t="str">
        <f>[1]Afgrødefordeling!$C$10</f>
        <v>Frugt</v>
      </c>
      <c r="C402">
        <v>2030</v>
      </c>
      <c r="D402" t="s">
        <v>8</v>
      </c>
      <c r="E402" s="168" t="str">
        <f t="shared" ref="E402:E421" si="63">Organ6</f>
        <v>OC6</v>
      </c>
      <c r="F402" t="str">
        <f t="shared" si="62"/>
        <v>Frugt</v>
      </c>
      <c r="G402" s="76" cm="1">
        <f t="array" ref="G402">IF(A402="Vestdanmark",IF(D402="Konventionel",IF(C402=2019,SUMPRODUCT((B402='Landbrugsareal - resultat'!$B$6:$B$19)*(INDEX('Landbrugsareal - resultat'!$C$6:$E$19,,MATCH(E402,'Landbrugsareal - resultat'!$C$5:$E$5,0)))),IF(C402=2030,SUMPRODUCT((B402='Landbrugsareal - resultat'!$B$6:$B$19)*(INDEX('Landbrugsareal - resultat'!$F$6:$H$19,,MATCH(E402,'Landbrugsareal - resultat'!$F$5:$H$5,0)))),SUMPRODUCT((B402='Landbrugsareal - resultat'!$B$6:$B$19)*(INDEX('Landbrugsareal - resultat'!$I$6:$K$19,,MATCH(E402,'Landbrugsareal - resultat'!$I$5:$K$5,0)))))),IF(C402=2019,SUMPRODUCT((B402='Landbrugsareal - resultat'!$B$6:$B$19)*(INDEX('Landbrugsareal - resultat'!$L$6:$N$19,,MATCH(E402,'Landbrugsareal - resultat'!$L$5:$N$5,0)))),IF(C402=2030,SUMPRODUCT((B402='Landbrugsareal - resultat'!$B$6:$B$19)*(INDEX('Landbrugsareal - resultat'!$O$6:$Q$19,,MATCH(E402,'Landbrugsareal - resultat'!$O$5:$Q$5,0)))),SUMPRODUCT((B402='Landbrugsareal - resultat'!$B$6:$B$19)*(INDEX('Landbrugsareal - resultat'!$R$6:$T$19,,MATCH(E402,'Landbrugsareal - resultat'!$R$5:$T$5,0))))))),IF(D402="Konventionel",IF(C402=2019,SUMPRODUCT((B402='Landbrugsareal - resultat'!$B$33:$B$46)*(INDEX('Landbrugsareal - resultat'!$C$33:$E$46,,MATCH(E402,'Landbrugsareal - resultat'!$C$5:$E$5,0)))),IF(C402=2030,SUMPRODUCT((B402='Landbrugsareal - resultat'!$B$33:$B$46)*(INDEX('Landbrugsareal - resultat'!$F$33:$H$46,,MATCH(E402,'Landbrugsareal - resultat'!$F$5:$H$5,0)))),SUMPRODUCT((B402='Landbrugsareal - resultat'!$B$33:$B$46)*(INDEX('Landbrugsareal - resultat'!$I$33:$K$46,,MATCH(E402,'Landbrugsareal - resultat'!$I$5:$K$5,0)))))),IF(C402=2019,SUMPRODUCT((B402='Landbrugsareal - resultat'!$B$33:$B$46)*(INDEX('Landbrugsareal - resultat'!$L$33:$N$46,,MATCH(E402,'Landbrugsareal - resultat'!$L$5:$N$5,0)))),IF(C402=2030,SUMPRODUCT((B402='Landbrugsareal - resultat'!$B$33:$B$46)*(INDEX('Landbrugsareal - resultat'!$O$33:$Q$46,,MATCH(E402,'Landbrugsareal - resultat'!$O$5:$Q$5,0)))),SUMPRODUCT((B402='Landbrugsareal - resultat'!$B$33:$B$46)*(INDEX('Landbrugsareal - resultat'!$R$33:$T$46,,MATCH(E402,'Landbrugsareal - resultat'!$R$5:$T$5,0))))))))</f>
        <v>4.2224430034016702</v>
      </c>
      <c r="H402" s="168">
        <f>G402*VLOOKUP(B402,[1]Afgrødedata!$A$5:$F$18,2,FALSE)*IF(D402="Økologisk",VLOOKUP(B402,[1]Afgrødedata!$A$5:$F$18,4,FALSE),1)*IF(E402&lt;&gt;Jordbund1,IF(E402=Organ6,VLOOKUP(B402,[1]Afgrødedata!$A$5:$F$18,5,FALSE),VLOOKUP(B402,[1]Afgrødedata!$A$5:$F$18,6,FALSE)),1)*0.1</f>
        <v>24.520402111634041</v>
      </c>
      <c r="I402" s="168">
        <f>G402*VLOOKUP(B402,[1]Afgrødedata!$A$5:$F$18,3,FALSE)*IF(D402="Økologisk",VLOOKUP(B402,[1]Afgrødedata!$A$5:$F$18,4,FALSE),1)*IF(E402&lt;&gt;Jordbund1,IF(E402=Organ6,VLOOKUP(B402,[1]Afgrødedata!$A$5:$F$18,5,FALSE),VLOOKUP(B402,[1]Afgrødedata!$A$5:$F$18,6,FALSE)),1)*HLOOKUP(C402,Landbrug!$C$15:$E$17,2,FALSE)*HLOOKUP(C402,Landbrug!$C$15:$E$17,3,FALSE)*0.1</f>
        <v>0</v>
      </c>
      <c r="J402" s="76">
        <f t="shared" si="60"/>
        <v>24.520402111634041</v>
      </c>
    </row>
    <row r="403" spans="1:10" x14ac:dyDescent="0.25">
      <c r="A403" t="s">
        <v>24</v>
      </c>
      <c r="B403" s="1" t="str">
        <f>[1]Afgrødefordeling!$C$11</f>
        <v>Øvrige</v>
      </c>
      <c r="C403">
        <v>2030</v>
      </c>
      <c r="D403" t="s">
        <v>8</v>
      </c>
      <c r="E403" s="168" t="str">
        <f t="shared" si="63"/>
        <v>OC6</v>
      </c>
      <c r="F403" t="str">
        <f t="shared" si="62"/>
        <v>Øvrige</v>
      </c>
      <c r="G403" s="76" cm="1">
        <f t="array" ref="G403">IF(A403="Vestdanmark",IF(D403="Konventionel",IF(C403=2019,SUMPRODUCT((B403='Landbrugsareal - resultat'!$B$6:$B$19)*(INDEX('Landbrugsareal - resultat'!$C$6:$E$19,,MATCH(E403,'Landbrugsareal - resultat'!$C$5:$E$5,0)))),IF(C403=2030,SUMPRODUCT((B403='Landbrugsareal - resultat'!$B$6:$B$19)*(INDEX('Landbrugsareal - resultat'!$F$6:$H$19,,MATCH(E403,'Landbrugsareal - resultat'!$F$5:$H$5,0)))),SUMPRODUCT((B403='Landbrugsareal - resultat'!$B$6:$B$19)*(INDEX('Landbrugsareal - resultat'!$I$6:$K$19,,MATCH(E403,'Landbrugsareal - resultat'!$I$5:$K$5,0)))))),IF(C403=2019,SUMPRODUCT((B403='Landbrugsareal - resultat'!$B$6:$B$19)*(INDEX('Landbrugsareal - resultat'!$L$6:$N$19,,MATCH(E403,'Landbrugsareal - resultat'!$L$5:$N$5,0)))),IF(C403=2030,SUMPRODUCT((B403='Landbrugsareal - resultat'!$B$6:$B$19)*(INDEX('Landbrugsareal - resultat'!$O$6:$Q$19,,MATCH(E403,'Landbrugsareal - resultat'!$O$5:$Q$5,0)))),SUMPRODUCT((B403='Landbrugsareal - resultat'!$B$6:$B$19)*(INDEX('Landbrugsareal - resultat'!$R$6:$T$19,,MATCH(E403,'Landbrugsareal - resultat'!$R$5:$T$5,0))))))),IF(D403="Konventionel",IF(C403=2019,SUMPRODUCT((B403='Landbrugsareal - resultat'!$B$33:$B$46)*(INDEX('Landbrugsareal - resultat'!$C$33:$E$46,,MATCH(E403,'Landbrugsareal - resultat'!$C$5:$E$5,0)))),IF(C403=2030,SUMPRODUCT((B403='Landbrugsareal - resultat'!$B$33:$B$46)*(INDEX('Landbrugsareal - resultat'!$F$33:$H$46,,MATCH(E403,'Landbrugsareal - resultat'!$F$5:$H$5,0)))),SUMPRODUCT((B403='Landbrugsareal - resultat'!$B$33:$B$46)*(INDEX('Landbrugsareal - resultat'!$I$33:$K$46,,MATCH(E403,'Landbrugsareal - resultat'!$I$5:$K$5,0)))))),IF(C403=2019,SUMPRODUCT((B403='Landbrugsareal - resultat'!$B$33:$B$46)*(INDEX('Landbrugsareal - resultat'!$L$33:$N$46,,MATCH(E403,'Landbrugsareal - resultat'!$L$5:$N$5,0)))),IF(C403=2030,SUMPRODUCT((B403='Landbrugsareal - resultat'!$B$33:$B$46)*(INDEX('Landbrugsareal - resultat'!$O$33:$Q$46,,MATCH(E403,'Landbrugsareal - resultat'!$O$5:$Q$5,0)))),SUMPRODUCT((B403='Landbrugsareal - resultat'!$B$33:$B$46)*(INDEX('Landbrugsareal - resultat'!$R$33:$T$46,,MATCH(E403,'Landbrugsareal - resultat'!$R$5:$T$5,0))))))))</f>
        <v>30.150290978546373</v>
      </c>
      <c r="H403" s="168">
        <f>G403*VLOOKUP(B403,[1]Afgrødedata!$A$5:$F$18,2,FALSE)*IF(D403="Økologisk",VLOOKUP(B403,[1]Afgrødedata!$A$5:$F$18,4,FALSE),1)*IF(E403&lt;&gt;Jordbund1,IF(E403=Organ6,VLOOKUP(B403,[1]Afgrødedata!$A$5:$F$18,5,FALSE),VLOOKUP(B403,[1]Afgrødedata!$A$5:$F$18,6,FALSE)),1)*0.1</f>
        <v>614.47575485846846</v>
      </c>
      <c r="I403" s="168">
        <f>G403*VLOOKUP(B403,[1]Afgrødedata!$A$5:$F$18,3,FALSE)*IF(D403="Økologisk",VLOOKUP(B403,[1]Afgrødedata!$A$5:$F$18,4,FALSE),1)*IF(E403&lt;&gt;Jordbund1,IF(E403=Organ6,VLOOKUP(B403,[1]Afgrødedata!$A$5:$F$18,5,FALSE),VLOOKUP(B403,[1]Afgrødedata!$A$5:$F$18,6,FALSE)),1)*HLOOKUP(C403,Landbrug!$C$15:$E$17,2,FALSE)*HLOOKUP(C403,Landbrug!$C$15:$E$17,3,FALSE)*0.1</f>
        <v>0</v>
      </c>
      <c r="J403" s="76">
        <f t="shared" si="60"/>
        <v>614.47575485846846</v>
      </c>
    </row>
    <row r="404" spans="1:10" x14ac:dyDescent="0.25">
      <c r="A404" t="s">
        <v>24</v>
      </c>
      <c r="B404" s="1" t="str">
        <f>[1]Afgrødefordeling!$C$12</f>
        <v>Frø</v>
      </c>
      <c r="C404">
        <v>2030</v>
      </c>
      <c r="D404" t="s">
        <v>8</v>
      </c>
      <c r="E404" s="168" t="str">
        <f t="shared" si="63"/>
        <v>OC6</v>
      </c>
      <c r="F404" t="str">
        <f t="shared" si="62"/>
        <v>Halm</v>
      </c>
      <c r="G404" s="76" cm="1">
        <f t="array" ref="G404">IF(A404="Vestdanmark",IF(D404="Konventionel",IF(C404=2019,SUMPRODUCT((B404='Landbrugsareal - resultat'!$B$6:$B$19)*(INDEX('Landbrugsareal - resultat'!$C$6:$E$19,,MATCH(E404,'Landbrugsareal - resultat'!$C$5:$E$5,0)))),IF(C404=2030,SUMPRODUCT((B404='Landbrugsareal - resultat'!$B$6:$B$19)*(INDEX('Landbrugsareal - resultat'!$F$6:$H$19,,MATCH(E404,'Landbrugsareal - resultat'!$F$5:$H$5,0)))),SUMPRODUCT((B404='Landbrugsareal - resultat'!$B$6:$B$19)*(INDEX('Landbrugsareal - resultat'!$I$6:$K$19,,MATCH(E404,'Landbrugsareal - resultat'!$I$5:$K$5,0)))))),IF(C404=2019,SUMPRODUCT((B404='Landbrugsareal - resultat'!$B$6:$B$19)*(INDEX('Landbrugsareal - resultat'!$L$6:$N$19,,MATCH(E404,'Landbrugsareal - resultat'!$L$5:$N$5,0)))),IF(C404=2030,SUMPRODUCT((B404='Landbrugsareal - resultat'!$B$6:$B$19)*(INDEX('Landbrugsareal - resultat'!$O$6:$Q$19,,MATCH(E404,'Landbrugsareal - resultat'!$O$5:$Q$5,0)))),SUMPRODUCT((B404='Landbrugsareal - resultat'!$B$6:$B$19)*(INDEX('Landbrugsareal - resultat'!$R$6:$T$19,,MATCH(E404,'Landbrugsareal - resultat'!$R$5:$T$5,0))))))),IF(D404="Konventionel",IF(C404=2019,SUMPRODUCT((B404='Landbrugsareal - resultat'!$B$33:$B$46)*(INDEX('Landbrugsareal - resultat'!$C$33:$E$46,,MATCH(E404,'Landbrugsareal - resultat'!$C$5:$E$5,0)))),IF(C404=2030,SUMPRODUCT((B404='Landbrugsareal - resultat'!$B$33:$B$46)*(INDEX('Landbrugsareal - resultat'!$F$33:$H$46,,MATCH(E404,'Landbrugsareal - resultat'!$F$5:$H$5,0)))),SUMPRODUCT((B404='Landbrugsareal - resultat'!$B$33:$B$46)*(INDEX('Landbrugsareal - resultat'!$I$33:$K$46,,MATCH(E404,'Landbrugsareal - resultat'!$I$5:$K$5,0)))))),IF(C404=2019,SUMPRODUCT((B404='Landbrugsareal - resultat'!$B$33:$B$46)*(INDEX('Landbrugsareal - resultat'!$L$33:$N$46,,MATCH(E404,'Landbrugsareal - resultat'!$L$5:$N$5,0)))),IF(C404=2030,SUMPRODUCT((B404='Landbrugsareal - resultat'!$B$33:$B$46)*(INDEX('Landbrugsareal - resultat'!$O$33:$Q$46,,MATCH(E404,'Landbrugsareal - resultat'!$O$5:$Q$5,0)))),SUMPRODUCT((B404='Landbrugsareal - resultat'!$B$33:$B$46)*(INDEX('Landbrugsareal - resultat'!$R$33:$T$46,,MATCH(E404,'Landbrugsareal - resultat'!$R$5:$T$5,0))))))))</f>
        <v>218.88968272469563</v>
      </c>
      <c r="H404" s="168">
        <f>G404*VLOOKUP(B404,[1]Afgrødedata!$A$5:$F$18,2,FALSE)*IF(D404="Økologisk",VLOOKUP(B404,[1]Afgrødedata!$A$5:$F$18,4,FALSE),1)*IF(E404&lt;&gt;Jordbund1,IF(E404=Organ6,VLOOKUP(B404,[1]Afgrødedata!$A$5:$F$18,5,FALSE),VLOOKUP(B404,[1]Afgrødedata!$A$5:$F$18,6,FALSE)),1)*0.1</f>
        <v>2139.3359915297588</v>
      </c>
      <c r="I404" s="168">
        <f>G404*VLOOKUP(B404,[1]Afgrødedata!$A$5:$F$18,3,FALSE)*IF(D404="Økologisk",VLOOKUP(B404,[1]Afgrødedata!$A$5:$F$18,4,FALSE),1)*IF(E404&lt;&gt;Jordbund1,IF(E404=Organ6,VLOOKUP(B404,[1]Afgrødedata!$A$5:$F$18,5,FALSE),VLOOKUP(B404,[1]Afgrødedata!$A$5:$F$18,6,FALSE)),1)*HLOOKUP(C404,Landbrug!$C$15:$E$17,2,FALSE)*HLOOKUP(C404,Landbrug!$C$15:$E$17,3,FALSE)*0.1</f>
        <v>353.34048144151268</v>
      </c>
      <c r="J404" s="76">
        <f t="shared" si="60"/>
        <v>353.34048144151268</v>
      </c>
    </row>
    <row r="405" spans="1:10" x14ac:dyDescent="0.25">
      <c r="A405" t="s">
        <v>24</v>
      </c>
      <c r="B405" s="1" t="str">
        <f>[1]Afgrødefordeling!$C$13</f>
        <v>Juletræer</v>
      </c>
      <c r="C405">
        <v>2030</v>
      </c>
      <c r="D405" t="s">
        <v>8</v>
      </c>
      <c r="E405" s="168" t="str">
        <f t="shared" si="63"/>
        <v>OC6</v>
      </c>
      <c r="F405" t="str">
        <f t="shared" si="62"/>
        <v>Juletræer</v>
      </c>
      <c r="G405" s="76" cm="1">
        <f t="array" ref="G405">IF(A405="Vestdanmark",IF(D405="Konventionel",IF(C405=2019,SUMPRODUCT((B405='Landbrugsareal - resultat'!$B$6:$B$19)*(INDEX('Landbrugsareal - resultat'!$C$6:$E$19,,MATCH(E405,'Landbrugsareal - resultat'!$C$5:$E$5,0)))),IF(C405=2030,SUMPRODUCT((B405='Landbrugsareal - resultat'!$B$6:$B$19)*(INDEX('Landbrugsareal - resultat'!$F$6:$H$19,,MATCH(E405,'Landbrugsareal - resultat'!$F$5:$H$5,0)))),SUMPRODUCT((B405='Landbrugsareal - resultat'!$B$6:$B$19)*(INDEX('Landbrugsareal - resultat'!$I$6:$K$19,,MATCH(E405,'Landbrugsareal - resultat'!$I$5:$K$5,0)))))),IF(C405=2019,SUMPRODUCT((B405='Landbrugsareal - resultat'!$B$6:$B$19)*(INDEX('Landbrugsareal - resultat'!$L$6:$N$19,,MATCH(E405,'Landbrugsareal - resultat'!$L$5:$N$5,0)))),IF(C405=2030,SUMPRODUCT((B405='Landbrugsareal - resultat'!$B$6:$B$19)*(INDEX('Landbrugsareal - resultat'!$O$6:$Q$19,,MATCH(E405,'Landbrugsareal - resultat'!$O$5:$Q$5,0)))),SUMPRODUCT((B405='Landbrugsareal - resultat'!$B$6:$B$19)*(INDEX('Landbrugsareal - resultat'!$R$6:$T$19,,MATCH(E405,'Landbrugsareal - resultat'!$R$5:$T$5,0))))))),IF(D405="Konventionel",IF(C405=2019,SUMPRODUCT((B405='Landbrugsareal - resultat'!$B$33:$B$46)*(INDEX('Landbrugsareal - resultat'!$C$33:$E$46,,MATCH(E405,'Landbrugsareal - resultat'!$C$5:$E$5,0)))),IF(C405=2030,SUMPRODUCT((B405='Landbrugsareal - resultat'!$B$33:$B$46)*(INDEX('Landbrugsareal - resultat'!$F$33:$H$46,,MATCH(E405,'Landbrugsareal - resultat'!$F$5:$H$5,0)))),SUMPRODUCT((B405='Landbrugsareal - resultat'!$B$33:$B$46)*(INDEX('Landbrugsareal - resultat'!$I$33:$K$46,,MATCH(E405,'Landbrugsareal - resultat'!$I$5:$K$5,0)))))),IF(C405=2019,SUMPRODUCT((B405='Landbrugsareal - resultat'!$B$33:$B$46)*(INDEX('Landbrugsareal - resultat'!$L$33:$N$46,,MATCH(E405,'Landbrugsareal - resultat'!$L$5:$N$5,0)))),IF(C405=2030,SUMPRODUCT((B405='Landbrugsareal - resultat'!$B$33:$B$46)*(INDEX('Landbrugsareal - resultat'!$O$33:$Q$46,,MATCH(E405,'Landbrugsareal - resultat'!$O$5:$Q$5,0)))),SUMPRODUCT((B405='Landbrugsareal - resultat'!$B$33:$B$46)*(INDEX('Landbrugsareal - resultat'!$R$33:$T$46,,MATCH(E405,'Landbrugsareal - resultat'!$R$5:$T$5,0))))))))</f>
        <v>6.6165441579429185</v>
      </c>
      <c r="H405" s="168">
        <f>G405*VLOOKUP(B405,[1]Afgrødedata!$A$5:$F$18,2,FALSE)*IF(D405="Økologisk",VLOOKUP(B405,[1]Afgrødedata!$A$5:$F$18,4,FALSE),1)*IF(E405&lt;&gt;Jordbund1,IF(E405=Organ6,VLOOKUP(B405,[1]Afgrødedata!$A$5:$F$18,5,FALSE),VLOOKUP(B405,[1]Afgrødedata!$A$5:$F$18,6,FALSE)),1)*0.1</f>
        <v>226.28581020164779</v>
      </c>
      <c r="I405" s="168">
        <f>G405*VLOOKUP(B405,[1]Afgrødedata!$A$5:$F$18,3,FALSE)*IF(D405="Økologisk",VLOOKUP(B405,[1]Afgrødedata!$A$5:$F$18,4,FALSE),1)*IF(E405&lt;&gt;Jordbund1,IF(E405=Organ6,VLOOKUP(B405,[1]Afgrødedata!$A$5:$F$18,5,FALSE),VLOOKUP(B405,[1]Afgrødedata!$A$5:$F$18,6,FALSE)),1)*HLOOKUP(C405,Landbrug!$C$15:$E$17,2,FALSE)*HLOOKUP(C405,Landbrug!$C$15:$E$17,3,FALSE)*0.1</f>
        <v>0</v>
      </c>
      <c r="J405" s="76">
        <f t="shared" ref="J405:J468" si="64">IF(I405&lt;&gt;0,I405,H405)</f>
        <v>226.28581020164779</v>
      </c>
    </row>
    <row r="406" spans="1:10" x14ac:dyDescent="0.25">
      <c r="A406" t="s">
        <v>24</v>
      </c>
      <c r="B406" s="1" t="str">
        <f>[1]Afgrødefordeling!$C$14</f>
        <v>Pil &amp; poppel</v>
      </c>
      <c r="C406">
        <v>2030</v>
      </c>
      <c r="D406" t="s">
        <v>8</v>
      </c>
      <c r="E406" s="168" t="str">
        <f t="shared" si="63"/>
        <v>OC6</v>
      </c>
      <c r="F406" t="str">
        <f t="shared" si="62"/>
        <v>Pil &amp; poppel</v>
      </c>
      <c r="G406" s="76" cm="1">
        <f t="array" ref="G406">IF(A406="Vestdanmark",IF(D406="Konventionel",IF(C406=2019,SUMPRODUCT((B406='Landbrugsareal - resultat'!$B$6:$B$19)*(INDEX('Landbrugsareal - resultat'!$C$6:$E$19,,MATCH(E406,'Landbrugsareal - resultat'!$C$5:$E$5,0)))),IF(C406=2030,SUMPRODUCT((B406='Landbrugsareal - resultat'!$B$6:$B$19)*(INDEX('Landbrugsareal - resultat'!$F$6:$H$19,,MATCH(E406,'Landbrugsareal - resultat'!$F$5:$H$5,0)))),SUMPRODUCT((B406='Landbrugsareal - resultat'!$B$6:$B$19)*(INDEX('Landbrugsareal - resultat'!$I$6:$K$19,,MATCH(E406,'Landbrugsareal - resultat'!$I$5:$K$5,0)))))),IF(C406=2019,SUMPRODUCT((B406='Landbrugsareal - resultat'!$B$6:$B$19)*(INDEX('Landbrugsareal - resultat'!$L$6:$N$19,,MATCH(E406,'Landbrugsareal - resultat'!$L$5:$N$5,0)))),IF(C406=2030,SUMPRODUCT((B406='Landbrugsareal - resultat'!$B$6:$B$19)*(INDEX('Landbrugsareal - resultat'!$O$6:$Q$19,,MATCH(E406,'Landbrugsareal - resultat'!$O$5:$Q$5,0)))),SUMPRODUCT((B406='Landbrugsareal - resultat'!$B$6:$B$19)*(INDEX('Landbrugsareal - resultat'!$R$6:$T$19,,MATCH(E406,'Landbrugsareal - resultat'!$R$5:$T$5,0))))))),IF(D406="Konventionel",IF(C406=2019,SUMPRODUCT((B406='Landbrugsareal - resultat'!$B$33:$B$46)*(INDEX('Landbrugsareal - resultat'!$C$33:$E$46,,MATCH(E406,'Landbrugsareal - resultat'!$C$5:$E$5,0)))),IF(C406=2030,SUMPRODUCT((B406='Landbrugsareal - resultat'!$B$33:$B$46)*(INDEX('Landbrugsareal - resultat'!$F$33:$H$46,,MATCH(E406,'Landbrugsareal - resultat'!$F$5:$H$5,0)))),SUMPRODUCT((B406='Landbrugsareal - resultat'!$B$33:$B$46)*(INDEX('Landbrugsareal - resultat'!$I$33:$K$46,,MATCH(E406,'Landbrugsareal - resultat'!$I$5:$K$5,0)))))),IF(C406=2019,SUMPRODUCT((B406='Landbrugsareal - resultat'!$B$33:$B$46)*(INDEX('Landbrugsareal - resultat'!$L$33:$N$46,,MATCH(E406,'Landbrugsareal - resultat'!$L$5:$N$5,0)))),IF(C406=2030,SUMPRODUCT((B406='Landbrugsareal - resultat'!$B$33:$B$46)*(INDEX('Landbrugsareal - resultat'!$O$33:$Q$46,,MATCH(E406,'Landbrugsareal - resultat'!$O$5:$Q$5,0)))),SUMPRODUCT((B406='Landbrugsareal - resultat'!$B$33:$B$46)*(INDEX('Landbrugsareal - resultat'!$R$33:$T$46,,MATCH(E406,'Landbrugsareal - resultat'!$R$5:$T$5,0))))))))</f>
        <v>14.042777915579466</v>
      </c>
      <c r="H406" s="168">
        <f>G406*VLOOKUP(B406,[1]Afgrødedata!$A$5:$F$18,2,FALSE)*IF(D406="Økologisk",VLOOKUP(B406,[1]Afgrødedata!$A$5:$F$18,4,FALSE),1)*IF(E406&lt;&gt;Jordbund1,IF(E406=Organ6,VLOOKUP(B406,[1]Afgrødedata!$A$5:$F$18,5,FALSE),VLOOKUP(B406,[1]Afgrødedata!$A$5:$F$18,6,FALSE)),1)*0.1</f>
        <v>234.27463644527688</v>
      </c>
      <c r="I406" s="168">
        <f>G406*VLOOKUP(B406,[1]Afgrødedata!$A$5:$F$18,3,FALSE)*IF(D406="Økologisk",VLOOKUP(B406,[1]Afgrødedata!$A$5:$F$18,4,FALSE),1)*IF(E406&lt;&gt;Jordbund1,IF(E406=Organ6,VLOOKUP(B406,[1]Afgrødedata!$A$5:$F$18,5,FALSE),VLOOKUP(B406,[1]Afgrødedata!$A$5:$F$18,6,FALSE)),1)*HLOOKUP(C406,Landbrug!$C$15:$E$17,2,FALSE)*HLOOKUP(C406,Landbrug!$C$15:$E$17,3,FALSE)*0.1</f>
        <v>0</v>
      </c>
      <c r="J406" s="76">
        <f t="shared" si="64"/>
        <v>234.27463644527688</v>
      </c>
    </row>
    <row r="407" spans="1:10" x14ac:dyDescent="0.25">
      <c r="A407" t="s">
        <v>24</v>
      </c>
      <c r="B407" s="1" t="str">
        <f>[1]Afgrødefordeling!$C$15</f>
        <v>Permanent græs</v>
      </c>
      <c r="C407">
        <v>2030</v>
      </c>
      <c r="D407" t="s">
        <v>8</v>
      </c>
      <c r="E407" s="168" t="str">
        <f t="shared" si="63"/>
        <v>OC6</v>
      </c>
      <c r="F407" t="str">
        <f t="shared" si="62"/>
        <v>Græs</v>
      </c>
      <c r="G407" s="76" cm="1">
        <f t="array" ref="G407">IF(A407="Vestdanmark",IF(D407="Konventionel",IF(C407=2019,SUMPRODUCT((B407='Landbrugsareal - resultat'!$B$6:$B$19)*(INDEX('Landbrugsareal - resultat'!$C$6:$E$19,,MATCH(E407,'Landbrugsareal - resultat'!$C$5:$E$5,0)))),IF(C407=2030,SUMPRODUCT((B407='Landbrugsareal - resultat'!$B$6:$B$19)*(INDEX('Landbrugsareal - resultat'!$F$6:$H$19,,MATCH(E407,'Landbrugsareal - resultat'!$F$5:$H$5,0)))),SUMPRODUCT((B407='Landbrugsareal - resultat'!$B$6:$B$19)*(INDEX('Landbrugsareal - resultat'!$I$6:$K$19,,MATCH(E407,'Landbrugsareal - resultat'!$I$5:$K$5,0)))))),IF(C407=2019,SUMPRODUCT((B407='Landbrugsareal - resultat'!$B$6:$B$19)*(INDEX('Landbrugsareal - resultat'!$L$6:$N$19,,MATCH(E407,'Landbrugsareal - resultat'!$L$5:$N$5,0)))),IF(C407=2030,SUMPRODUCT((B407='Landbrugsareal - resultat'!$B$6:$B$19)*(INDEX('Landbrugsareal - resultat'!$O$6:$Q$19,,MATCH(E407,'Landbrugsareal - resultat'!$O$5:$Q$5,0)))),SUMPRODUCT((B407='Landbrugsareal - resultat'!$B$6:$B$19)*(INDEX('Landbrugsareal - resultat'!$R$6:$T$19,,MATCH(E407,'Landbrugsareal - resultat'!$R$5:$T$5,0))))))),IF(D407="Konventionel",IF(C407=2019,SUMPRODUCT((B407='Landbrugsareal - resultat'!$B$33:$B$46)*(INDEX('Landbrugsareal - resultat'!$C$33:$E$46,,MATCH(E407,'Landbrugsareal - resultat'!$C$5:$E$5,0)))),IF(C407=2030,SUMPRODUCT((B407='Landbrugsareal - resultat'!$B$33:$B$46)*(INDEX('Landbrugsareal - resultat'!$F$33:$H$46,,MATCH(E407,'Landbrugsareal - resultat'!$F$5:$H$5,0)))),SUMPRODUCT((B407='Landbrugsareal - resultat'!$B$33:$B$46)*(INDEX('Landbrugsareal - resultat'!$I$33:$K$46,,MATCH(E407,'Landbrugsareal - resultat'!$I$5:$K$5,0)))))),IF(C407=2019,SUMPRODUCT((B407='Landbrugsareal - resultat'!$B$33:$B$46)*(INDEX('Landbrugsareal - resultat'!$L$33:$N$46,,MATCH(E407,'Landbrugsareal - resultat'!$L$5:$N$5,0)))),IF(C407=2030,SUMPRODUCT((B407='Landbrugsareal - resultat'!$B$33:$B$46)*(INDEX('Landbrugsareal - resultat'!$O$33:$Q$46,,MATCH(E407,'Landbrugsareal - resultat'!$O$5:$Q$5,0)))),SUMPRODUCT((B407='Landbrugsareal - resultat'!$B$33:$B$46)*(INDEX('Landbrugsareal - resultat'!$R$33:$T$46,,MATCH(E407,'Landbrugsareal - resultat'!$R$5:$T$5,0))))))))</f>
        <v>406.98018250170003</v>
      </c>
      <c r="H407" s="168">
        <f>G407*VLOOKUP(B407,[1]Afgrødedata!$A$5:$F$18,2,FALSE)*IF(D407="Økologisk",VLOOKUP(B407,[1]Afgrødedata!$A$5:$F$18,4,FALSE),1)*IF(E407&lt;&gt;Jordbund1,IF(E407=Organ6,VLOOKUP(B407,[1]Afgrødedata!$A$5:$F$18,5,FALSE),VLOOKUP(B407,[1]Afgrødedata!$A$5:$F$18,6,FALSE)),1)*0.1</f>
        <v>6734.7080600381323</v>
      </c>
      <c r="I407" s="168">
        <f>G407*VLOOKUP(B407,[1]Afgrødedata!$A$5:$F$18,3,FALSE)*IF(D407="Økologisk",VLOOKUP(B407,[1]Afgrødedata!$A$5:$F$18,4,FALSE),1)*IF(E407&lt;&gt;Jordbund1,IF(E407=Organ6,VLOOKUP(B407,[1]Afgrødedata!$A$5:$F$18,5,FALSE),VLOOKUP(B407,[1]Afgrødedata!$A$5:$F$18,6,FALSE)),1)*HLOOKUP(C407,Landbrug!$C$15:$E$17,2,FALSE)*HLOOKUP(C407,Landbrug!$C$15:$E$17,3,FALSE)*0.1</f>
        <v>0</v>
      </c>
      <c r="J407" s="76">
        <f t="shared" si="64"/>
        <v>6734.7080600381323</v>
      </c>
    </row>
    <row r="408" spans="1:10" x14ac:dyDescent="0.25">
      <c r="A408" t="s">
        <v>24</v>
      </c>
      <c r="B408" s="1" t="str">
        <f>[1]Afgrødefordeling!$C$2</f>
        <v>Korn</v>
      </c>
      <c r="C408">
        <v>2050</v>
      </c>
      <c r="D408" t="s">
        <v>8</v>
      </c>
      <c r="E408" s="168" t="str">
        <f t="shared" si="63"/>
        <v>OC6</v>
      </c>
      <c r="F408" t="str">
        <f t="shared" si="62"/>
        <v>Halm</v>
      </c>
      <c r="G408" s="76" cm="1">
        <f t="array" ref="G408">IF(A408="Vestdanmark",IF(D408="Konventionel",IF(C408=2019,SUMPRODUCT((B408='Landbrugsareal - resultat'!$B$6:$B$19)*(INDEX('Landbrugsareal - resultat'!$C$6:$E$19,,MATCH(E408,'Landbrugsareal - resultat'!$C$5:$E$5,0)))),IF(C408=2030,SUMPRODUCT((B408='Landbrugsareal - resultat'!$B$6:$B$19)*(INDEX('Landbrugsareal - resultat'!$F$6:$H$19,,MATCH(E408,'Landbrugsareal - resultat'!$F$5:$H$5,0)))),SUMPRODUCT((B408='Landbrugsareal - resultat'!$B$6:$B$19)*(INDEX('Landbrugsareal - resultat'!$I$6:$K$19,,MATCH(E408,'Landbrugsareal - resultat'!$I$5:$K$5,0)))))),IF(C408=2019,SUMPRODUCT((B408='Landbrugsareal - resultat'!$B$6:$B$19)*(INDEX('Landbrugsareal - resultat'!$L$6:$N$19,,MATCH(E408,'Landbrugsareal - resultat'!$L$5:$N$5,0)))),IF(C408=2030,SUMPRODUCT((B408='Landbrugsareal - resultat'!$B$6:$B$19)*(INDEX('Landbrugsareal - resultat'!$O$6:$Q$19,,MATCH(E408,'Landbrugsareal - resultat'!$O$5:$Q$5,0)))),SUMPRODUCT((B408='Landbrugsareal - resultat'!$B$6:$B$19)*(INDEX('Landbrugsareal - resultat'!$R$6:$T$19,,MATCH(E408,'Landbrugsareal - resultat'!$R$5:$T$5,0))))))),IF(D408="Konventionel",IF(C408=2019,SUMPRODUCT((B408='Landbrugsareal - resultat'!$B$33:$B$46)*(INDEX('Landbrugsareal - resultat'!$C$33:$E$46,,MATCH(E408,'Landbrugsareal - resultat'!$C$5:$E$5,0)))),IF(C408=2030,SUMPRODUCT((B408='Landbrugsareal - resultat'!$B$33:$B$46)*(INDEX('Landbrugsareal - resultat'!$F$33:$H$46,,MATCH(E408,'Landbrugsareal - resultat'!$F$5:$H$5,0)))),SUMPRODUCT((B408='Landbrugsareal - resultat'!$B$33:$B$46)*(INDEX('Landbrugsareal - resultat'!$I$33:$K$46,,MATCH(E408,'Landbrugsareal - resultat'!$I$5:$K$5,0)))))),IF(C408=2019,SUMPRODUCT((B408='Landbrugsareal - resultat'!$B$33:$B$46)*(INDEX('Landbrugsareal - resultat'!$L$33:$N$46,,MATCH(E408,'Landbrugsareal - resultat'!$L$5:$N$5,0)))),IF(C408=2030,SUMPRODUCT((B408='Landbrugsareal - resultat'!$B$33:$B$46)*(INDEX('Landbrugsareal - resultat'!$O$33:$Q$46,,MATCH(E408,'Landbrugsareal - resultat'!$O$5:$Q$5,0)))),SUMPRODUCT((B408='Landbrugsareal - resultat'!$B$33:$B$46)*(INDEX('Landbrugsareal - resultat'!$R$33:$T$46,,MATCH(E408,'Landbrugsareal - resultat'!$R$5:$T$5,0))))))))</f>
        <v>823.76455763121555</v>
      </c>
      <c r="H408" s="168">
        <f>G408*VLOOKUP(B408,[1]Afgrødedata!$A$5:$F$18,2,FALSE)*IF(D408="Økologisk",VLOOKUP(B408,[1]Afgrødedata!$A$5:$F$18,4,FALSE),1)*IF(E408&lt;&gt;Jordbund1,IF(E408=Organ6,VLOOKUP(B408,[1]Afgrødedata!$A$5:$F$18,5,FALSE),VLOOKUP(B408,[1]Afgrødedata!$A$5:$F$18,6,FALSE)),1)*0.1</f>
        <v>4642.7699973918361</v>
      </c>
      <c r="I408" s="168">
        <f>G408*VLOOKUP(B408,[1]Afgrødedata!$A$5:$F$18,3,FALSE)*IF(D408="Økologisk",VLOOKUP(B408,[1]Afgrødedata!$A$5:$F$18,4,FALSE),1)*IF(E408&lt;&gt;Jordbund1,IF(E408=Organ6,VLOOKUP(B408,[1]Afgrødedata!$A$5:$F$18,5,FALSE),VLOOKUP(B408,[1]Afgrødedata!$A$5:$F$18,6,FALSE)),1)*HLOOKUP(C408,Landbrug!$C$15:$E$17,2,FALSE)*HLOOKUP(C408,Landbrug!$C$15:$E$17,3,FALSE)*0.1</f>
        <v>1506.578864153651</v>
      </c>
      <c r="J408" s="76">
        <f t="shared" si="64"/>
        <v>1506.578864153651</v>
      </c>
    </row>
    <row r="409" spans="1:10" x14ac:dyDescent="0.25">
      <c r="A409" t="s">
        <v>24</v>
      </c>
      <c r="B409" s="1" t="str">
        <f>[1]Afgrødefordeling!$C$3</f>
        <v>Bælgsæd</v>
      </c>
      <c r="C409">
        <v>2050</v>
      </c>
      <c r="D409" t="s">
        <v>8</v>
      </c>
      <c r="E409" s="168" t="str">
        <f t="shared" si="63"/>
        <v>OC6</v>
      </c>
      <c r="F409" t="str">
        <f t="shared" si="62"/>
        <v>Halm</v>
      </c>
      <c r="G409" s="76" cm="1">
        <f t="array" ref="G409">IF(A409="Vestdanmark",IF(D409="Konventionel",IF(C409=2019,SUMPRODUCT((B409='Landbrugsareal - resultat'!$B$6:$B$19)*(INDEX('Landbrugsareal - resultat'!$C$6:$E$19,,MATCH(E409,'Landbrugsareal - resultat'!$C$5:$E$5,0)))),IF(C409=2030,SUMPRODUCT((B409='Landbrugsareal - resultat'!$B$6:$B$19)*(INDEX('Landbrugsareal - resultat'!$F$6:$H$19,,MATCH(E409,'Landbrugsareal - resultat'!$F$5:$H$5,0)))),SUMPRODUCT((B409='Landbrugsareal - resultat'!$B$6:$B$19)*(INDEX('Landbrugsareal - resultat'!$I$6:$K$19,,MATCH(E409,'Landbrugsareal - resultat'!$I$5:$K$5,0)))))),IF(C409=2019,SUMPRODUCT((B409='Landbrugsareal - resultat'!$B$6:$B$19)*(INDEX('Landbrugsareal - resultat'!$L$6:$N$19,,MATCH(E409,'Landbrugsareal - resultat'!$L$5:$N$5,0)))),IF(C409=2030,SUMPRODUCT((B409='Landbrugsareal - resultat'!$B$6:$B$19)*(INDEX('Landbrugsareal - resultat'!$O$6:$Q$19,,MATCH(E409,'Landbrugsareal - resultat'!$O$5:$Q$5,0)))),SUMPRODUCT((B409='Landbrugsareal - resultat'!$B$6:$B$19)*(INDEX('Landbrugsareal - resultat'!$R$6:$T$19,,MATCH(E409,'Landbrugsareal - resultat'!$R$5:$T$5,0))))))),IF(D409="Konventionel",IF(C409=2019,SUMPRODUCT((B409='Landbrugsareal - resultat'!$B$33:$B$46)*(INDEX('Landbrugsareal - resultat'!$C$33:$E$46,,MATCH(E409,'Landbrugsareal - resultat'!$C$5:$E$5,0)))),IF(C409=2030,SUMPRODUCT((B409='Landbrugsareal - resultat'!$B$33:$B$46)*(INDEX('Landbrugsareal - resultat'!$F$33:$H$46,,MATCH(E409,'Landbrugsareal - resultat'!$F$5:$H$5,0)))),SUMPRODUCT((B409='Landbrugsareal - resultat'!$B$33:$B$46)*(INDEX('Landbrugsareal - resultat'!$I$33:$K$46,,MATCH(E409,'Landbrugsareal - resultat'!$I$5:$K$5,0)))))),IF(C409=2019,SUMPRODUCT((B409='Landbrugsareal - resultat'!$B$33:$B$46)*(INDEX('Landbrugsareal - resultat'!$L$33:$N$46,,MATCH(E409,'Landbrugsareal - resultat'!$L$5:$N$5,0)))),IF(C409=2030,SUMPRODUCT((B409='Landbrugsareal - resultat'!$B$33:$B$46)*(INDEX('Landbrugsareal - resultat'!$O$33:$Q$46,,MATCH(E409,'Landbrugsareal - resultat'!$O$5:$Q$5,0)))),SUMPRODUCT((B409='Landbrugsareal - resultat'!$B$33:$B$46)*(INDEX('Landbrugsareal - resultat'!$R$33:$T$46,,MATCH(E409,'Landbrugsareal - resultat'!$R$5:$T$5,0))))))))</f>
        <v>22.275910410969718</v>
      </c>
      <c r="H409" s="168">
        <f>G409*VLOOKUP(B409,[1]Afgrødedata!$A$5:$F$18,2,FALSE)*IF(D409="Økologisk",VLOOKUP(B409,[1]Afgrødedata!$A$5:$F$18,4,FALSE),1)*IF(E409&lt;&gt;Jordbund1,IF(E409=Organ6,VLOOKUP(B409,[1]Afgrødedata!$A$5:$F$18,5,FALSE),VLOOKUP(B409,[1]Afgrødedata!$A$5:$F$18,6,FALSE)),1)*0.1</f>
        <v>58.81374970345869</v>
      </c>
      <c r="I409" s="168">
        <f>G409*VLOOKUP(B409,[1]Afgrødedata!$A$5:$F$18,3,FALSE)*IF(D409="Økologisk",VLOOKUP(B409,[1]Afgrødedata!$A$5:$F$18,4,FALSE),1)*IF(E409&lt;&gt;Jordbund1,IF(E409=Organ6,VLOOKUP(B409,[1]Afgrødedata!$A$5:$F$18,5,FALSE),VLOOKUP(B409,[1]Afgrødedata!$A$5:$F$18,6,FALSE)),1)*HLOOKUP(C409,Landbrug!$C$15:$E$17,2,FALSE)*HLOOKUP(C409,Landbrug!$C$15:$E$17,3,FALSE)*0.1</f>
        <v>17.359045828925758</v>
      </c>
      <c r="J409" s="76">
        <f t="shared" si="64"/>
        <v>17.359045828925758</v>
      </c>
    </row>
    <row r="410" spans="1:10" x14ac:dyDescent="0.25">
      <c r="A410" t="s">
        <v>24</v>
      </c>
      <c r="B410" s="1" t="str">
        <f>[1]Afgrødefordeling!$C$4</f>
        <v>Raps</v>
      </c>
      <c r="C410">
        <v>2050</v>
      </c>
      <c r="D410" t="s">
        <v>8</v>
      </c>
      <c r="E410" s="168" t="str">
        <f t="shared" si="63"/>
        <v>OC6</v>
      </c>
      <c r="F410" t="str">
        <f t="shared" si="62"/>
        <v>Halm</v>
      </c>
      <c r="G410" s="76" cm="1">
        <f t="array" ref="G410">IF(A410="Vestdanmark",IF(D410="Konventionel",IF(C410=2019,SUMPRODUCT((B410='Landbrugsareal - resultat'!$B$6:$B$19)*(INDEX('Landbrugsareal - resultat'!$C$6:$E$19,,MATCH(E410,'Landbrugsareal - resultat'!$C$5:$E$5,0)))),IF(C410=2030,SUMPRODUCT((B410='Landbrugsareal - resultat'!$B$6:$B$19)*(INDEX('Landbrugsareal - resultat'!$F$6:$H$19,,MATCH(E410,'Landbrugsareal - resultat'!$F$5:$H$5,0)))),SUMPRODUCT((B410='Landbrugsareal - resultat'!$B$6:$B$19)*(INDEX('Landbrugsareal - resultat'!$I$6:$K$19,,MATCH(E410,'Landbrugsareal - resultat'!$I$5:$K$5,0)))))),IF(C410=2019,SUMPRODUCT((B410='Landbrugsareal - resultat'!$B$6:$B$19)*(INDEX('Landbrugsareal - resultat'!$L$6:$N$19,,MATCH(E410,'Landbrugsareal - resultat'!$L$5:$N$5,0)))),IF(C410=2030,SUMPRODUCT((B410='Landbrugsareal - resultat'!$B$6:$B$19)*(INDEX('Landbrugsareal - resultat'!$O$6:$Q$19,,MATCH(E410,'Landbrugsareal - resultat'!$O$5:$Q$5,0)))),SUMPRODUCT((B410='Landbrugsareal - resultat'!$B$6:$B$19)*(INDEX('Landbrugsareal - resultat'!$R$6:$T$19,,MATCH(E410,'Landbrugsareal - resultat'!$R$5:$T$5,0))))))),IF(D410="Konventionel",IF(C410=2019,SUMPRODUCT((B410='Landbrugsareal - resultat'!$B$33:$B$46)*(INDEX('Landbrugsareal - resultat'!$C$33:$E$46,,MATCH(E410,'Landbrugsareal - resultat'!$C$5:$E$5,0)))),IF(C410=2030,SUMPRODUCT((B410='Landbrugsareal - resultat'!$B$33:$B$46)*(INDEX('Landbrugsareal - resultat'!$F$33:$H$46,,MATCH(E410,'Landbrugsareal - resultat'!$F$5:$H$5,0)))),SUMPRODUCT((B410='Landbrugsareal - resultat'!$B$33:$B$46)*(INDEX('Landbrugsareal - resultat'!$I$33:$K$46,,MATCH(E410,'Landbrugsareal - resultat'!$I$5:$K$5,0)))))),IF(C410=2019,SUMPRODUCT((B410='Landbrugsareal - resultat'!$B$33:$B$46)*(INDEX('Landbrugsareal - resultat'!$L$33:$N$46,,MATCH(E410,'Landbrugsareal - resultat'!$L$5:$N$5,0)))),IF(C410=2030,SUMPRODUCT((B410='Landbrugsareal - resultat'!$B$33:$B$46)*(INDEX('Landbrugsareal - resultat'!$O$33:$Q$46,,MATCH(E410,'Landbrugsareal - resultat'!$O$5:$Q$5,0)))),SUMPRODUCT((B410='Landbrugsareal - resultat'!$B$33:$B$46)*(INDEX('Landbrugsareal - resultat'!$R$33:$T$46,,MATCH(E410,'Landbrugsareal - resultat'!$R$5:$T$5,0))))))))</f>
        <v>89.97588194424209</v>
      </c>
      <c r="H410" s="168">
        <f>G410*VLOOKUP(B410,[1]Afgrødedata!$A$5:$F$18,2,FALSE)*IF(D410="Økologisk",VLOOKUP(B410,[1]Afgrødedata!$A$5:$F$18,4,FALSE),1)*IF(E410&lt;&gt;Jordbund1,IF(E410=Organ6,VLOOKUP(B410,[1]Afgrødedata!$A$5:$F$18,5,FALSE),VLOOKUP(B410,[1]Afgrødedata!$A$5:$F$18,6,FALSE)),1)*0.1</f>
        <v>261.28996116607908</v>
      </c>
      <c r="I410" s="168">
        <f>G410*VLOOKUP(B410,[1]Afgrødedata!$A$5:$F$18,3,FALSE)*IF(D410="Økologisk",VLOOKUP(B410,[1]Afgrødedata!$A$5:$F$18,4,FALSE),1)*IF(E410&lt;&gt;Jordbund1,IF(E410=Organ6,VLOOKUP(B410,[1]Afgrødedata!$A$5:$F$18,5,FALSE),VLOOKUP(B410,[1]Afgrødedata!$A$5:$F$18,6,FALSE)),1)*HLOOKUP(C410,Landbrug!$C$15:$E$17,2,FALSE)*HLOOKUP(C410,Landbrug!$C$15:$E$17,3,FALSE)*0.1</f>
        <v>138.74496937918798</v>
      </c>
      <c r="J410" s="76">
        <f t="shared" si="64"/>
        <v>138.74496937918798</v>
      </c>
    </row>
    <row r="411" spans="1:10" x14ac:dyDescent="0.25">
      <c r="A411" t="s">
        <v>24</v>
      </c>
      <c r="B411" s="1" t="str">
        <f>[1]Afgrødefordeling!$C$5</f>
        <v>Græs</v>
      </c>
      <c r="C411">
        <v>2050</v>
      </c>
      <c r="D411" t="s">
        <v>8</v>
      </c>
      <c r="E411" s="168" t="str">
        <f t="shared" si="63"/>
        <v>OC6</v>
      </c>
      <c r="F411" t="str">
        <f t="shared" si="62"/>
        <v>Græs</v>
      </c>
      <c r="G411" s="76" cm="1">
        <f t="array" ref="G411">IF(A411="Vestdanmark",IF(D411="Konventionel",IF(C411=2019,SUMPRODUCT((B411='Landbrugsareal - resultat'!$B$6:$B$19)*(INDEX('Landbrugsareal - resultat'!$C$6:$E$19,,MATCH(E411,'Landbrugsareal - resultat'!$C$5:$E$5,0)))),IF(C411=2030,SUMPRODUCT((B411='Landbrugsareal - resultat'!$B$6:$B$19)*(INDEX('Landbrugsareal - resultat'!$F$6:$H$19,,MATCH(E411,'Landbrugsareal - resultat'!$F$5:$H$5,0)))),SUMPRODUCT((B411='Landbrugsareal - resultat'!$B$6:$B$19)*(INDEX('Landbrugsareal - resultat'!$I$6:$K$19,,MATCH(E411,'Landbrugsareal - resultat'!$I$5:$K$5,0)))))),IF(C411=2019,SUMPRODUCT((B411='Landbrugsareal - resultat'!$B$6:$B$19)*(INDEX('Landbrugsareal - resultat'!$L$6:$N$19,,MATCH(E411,'Landbrugsareal - resultat'!$L$5:$N$5,0)))),IF(C411=2030,SUMPRODUCT((B411='Landbrugsareal - resultat'!$B$6:$B$19)*(INDEX('Landbrugsareal - resultat'!$O$6:$Q$19,,MATCH(E411,'Landbrugsareal - resultat'!$O$5:$Q$5,0)))),SUMPRODUCT((B411='Landbrugsareal - resultat'!$B$6:$B$19)*(INDEX('Landbrugsareal - resultat'!$R$6:$T$19,,MATCH(E411,'Landbrugsareal - resultat'!$R$5:$T$5,0))))))),IF(D411="Konventionel",IF(C411=2019,SUMPRODUCT((B411='Landbrugsareal - resultat'!$B$33:$B$46)*(INDEX('Landbrugsareal - resultat'!$C$33:$E$46,,MATCH(E411,'Landbrugsareal - resultat'!$C$5:$E$5,0)))),IF(C411=2030,SUMPRODUCT((B411='Landbrugsareal - resultat'!$B$33:$B$46)*(INDEX('Landbrugsareal - resultat'!$F$33:$H$46,,MATCH(E411,'Landbrugsareal - resultat'!$F$5:$H$5,0)))),SUMPRODUCT((B411='Landbrugsareal - resultat'!$B$33:$B$46)*(INDEX('Landbrugsareal - resultat'!$I$33:$K$46,,MATCH(E411,'Landbrugsareal - resultat'!$I$5:$K$5,0)))))),IF(C411=2019,SUMPRODUCT((B411='Landbrugsareal - resultat'!$B$33:$B$46)*(INDEX('Landbrugsareal - resultat'!$L$33:$N$46,,MATCH(E411,'Landbrugsareal - resultat'!$L$5:$N$5,0)))),IF(C411=2030,SUMPRODUCT((B411='Landbrugsareal - resultat'!$B$33:$B$46)*(INDEX('Landbrugsareal - resultat'!$O$33:$Q$46,,MATCH(E411,'Landbrugsareal - resultat'!$O$5:$Q$5,0)))),SUMPRODUCT((B411='Landbrugsareal - resultat'!$B$33:$B$46)*(INDEX('Landbrugsareal - resultat'!$R$33:$T$46,,MATCH(E411,'Landbrugsareal - resultat'!$R$5:$T$5,0))))))))</f>
        <v>264.56679312771843</v>
      </c>
      <c r="H411" s="168">
        <f>G411*VLOOKUP(B411,[1]Afgrødedata!$A$5:$F$18,2,FALSE)*IF(D411="Økologisk",VLOOKUP(B411,[1]Afgrødedata!$A$5:$F$18,4,FALSE),1)*IF(E411&lt;&gt;Jordbund1,IF(E411=Organ6,VLOOKUP(B411,[1]Afgrødedata!$A$5:$F$18,5,FALSE),VLOOKUP(B411,[1]Afgrødedata!$A$5:$F$18,6,FALSE)),1)*0.1</f>
        <v>12287.624801397556</v>
      </c>
      <c r="I411" s="168">
        <f>G411*VLOOKUP(B411,[1]Afgrødedata!$A$5:$F$18,3,FALSE)*IF(D411="Økologisk",VLOOKUP(B411,[1]Afgrødedata!$A$5:$F$18,4,FALSE),1)*IF(E411&lt;&gt;Jordbund1,IF(E411=Organ6,VLOOKUP(B411,[1]Afgrødedata!$A$5:$F$18,5,FALSE),VLOOKUP(B411,[1]Afgrødedata!$A$5:$F$18,6,FALSE)),1)*HLOOKUP(C411,Landbrug!$C$15:$E$17,2,FALSE)*HLOOKUP(C411,Landbrug!$C$15:$E$17,3,FALSE)*0.1</f>
        <v>0</v>
      </c>
      <c r="J411" s="76">
        <f t="shared" si="64"/>
        <v>12287.624801397556</v>
      </c>
    </row>
    <row r="412" spans="1:10" x14ac:dyDescent="0.25">
      <c r="A412" t="s">
        <v>24</v>
      </c>
      <c r="B412" s="1" t="str">
        <f>[1]Afgrødefordeling!$C$6</f>
        <v>Grøntsager</v>
      </c>
      <c r="C412">
        <v>2050</v>
      </c>
      <c r="D412" t="s">
        <v>8</v>
      </c>
      <c r="E412" s="168" t="str">
        <f t="shared" si="63"/>
        <v>OC6</v>
      </c>
      <c r="F412" t="str">
        <f t="shared" si="62"/>
        <v>Grøntsager</v>
      </c>
      <c r="G412" s="76" cm="1">
        <f t="array" ref="G412">IF(A412="Vestdanmark",IF(D412="Konventionel",IF(C412=2019,SUMPRODUCT((B412='Landbrugsareal - resultat'!$B$6:$B$19)*(INDEX('Landbrugsareal - resultat'!$C$6:$E$19,,MATCH(E412,'Landbrugsareal - resultat'!$C$5:$E$5,0)))),IF(C412=2030,SUMPRODUCT((B412='Landbrugsareal - resultat'!$B$6:$B$19)*(INDEX('Landbrugsareal - resultat'!$F$6:$H$19,,MATCH(E412,'Landbrugsareal - resultat'!$F$5:$H$5,0)))),SUMPRODUCT((B412='Landbrugsareal - resultat'!$B$6:$B$19)*(INDEX('Landbrugsareal - resultat'!$I$6:$K$19,,MATCH(E412,'Landbrugsareal - resultat'!$I$5:$K$5,0)))))),IF(C412=2019,SUMPRODUCT((B412='Landbrugsareal - resultat'!$B$6:$B$19)*(INDEX('Landbrugsareal - resultat'!$L$6:$N$19,,MATCH(E412,'Landbrugsareal - resultat'!$L$5:$N$5,0)))),IF(C412=2030,SUMPRODUCT((B412='Landbrugsareal - resultat'!$B$6:$B$19)*(INDEX('Landbrugsareal - resultat'!$O$6:$Q$19,,MATCH(E412,'Landbrugsareal - resultat'!$O$5:$Q$5,0)))),SUMPRODUCT((B412='Landbrugsareal - resultat'!$B$6:$B$19)*(INDEX('Landbrugsareal - resultat'!$R$6:$T$19,,MATCH(E412,'Landbrugsareal - resultat'!$R$5:$T$5,0))))))),IF(D412="Konventionel",IF(C412=2019,SUMPRODUCT((B412='Landbrugsareal - resultat'!$B$33:$B$46)*(INDEX('Landbrugsareal - resultat'!$C$33:$E$46,,MATCH(E412,'Landbrugsareal - resultat'!$C$5:$E$5,0)))),IF(C412=2030,SUMPRODUCT((B412='Landbrugsareal - resultat'!$B$33:$B$46)*(INDEX('Landbrugsareal - resultat'!$F$33:$H$46,,MATCH(E412,'Landbrugsareal - resultat'!$F$5:$H$5,0)))),SUMPRODUCT((B412='Landbrugsareal - resultat'!$B$33:$B$46)*(INDEX('Landbrugsareal - resultat'!$I$33:$K$46,,MATCH(E412,'Landbrugsareal - resultat'!$I$5:$K$5,0)))))),IF(C412=2019,SUMPRODUCT((B412='Landbrugsareal - resultat'!$B$33:$B$46)*(INDEX('Landbrugsareal - resultat'!$L$33:$N$46,,MATCH(E412,'Landbrugsareal - resultat'!$L$5:$N$5,0)))),IF(C412=2030,SUMPRODUCT((B412='Landbrugsareal - resultat'!$B$33:$B$46)*(INDEX('Landbrugsareal - resultat'!$O$33:$Q$46,,MATCH(E412,'Landbrugsareal - resultat'!$O$5:$Q$5,0)))),SUMPRODUCT((B412='Landbrugsareal - resultat'!$B$33:$B$46)*(INDEX('Landbrugsareal - resultat'!$R$33:$T$46,,MATCH(E412,'Landbrugsareal - resultat'!$R$5:$T$5,0))))))))</f>
        <v>5.01060854399232</v>
      </c>
      <c r="H412" s="168">
        <f>G412*VLOOKUP(B412,[1]Afgrødedata!$A$5:$F$18,2,FALSE)*IF(D412="Økologisk",VLOOKUP(B412,[1]Afgrødedata!$A$5:$F$18,4,FALSE),1)*IF(E412&lt;&gt;Jordbund1,IF(E412=Organ6,VLOOKUP(B412,[1]Afgrødedata!$A$5:$F$18,5,FALSE),VLOOKUP(B412,[1]Afgrødedata!$A$5:$F$18,6,FALSE)),1)*0.1</f>
        <v>71.115567064882995</v>
      </c>
      <c r="I412" s="168">
        <f>G412*VLOOKUP(B412,[1]Afgrødedata!$A$5:$F$18,3,FALSE)*IF(D412="Økologisk",VLOOKUP(B412,[1]Afgrødedata!$A$5:$F$18,4,FALSE),1)*IF(E412&lt;&gt;Jordbund1,IF(E412=Organ6,VLOOKUP(B412,[1]Afgrødedata!$A$5:$F$18,5,FALSE),VLOOKUP(B412,[1]Afgrødedata!$A$5:$F$18,6,FALSE)),1)*HLOOKUP(C412,Landbrug!$C$15:$E$17,2,FALSE)*HLOOKUP(C412,Landbrug!$C$15:$E$17,3,FALSE)*0.1</f>
        <v>0</v>
      </c>
      <c r="J412" s="76">
        <f t="shared" si="64"/>
        <v>71.115567064882995</v>
      </c>
    </row>
    <row r="413" spans="1:10" x14ac:dyDescent="0.25">
      <c r="A413" t="s">
        <v>24</v>
      </c>
      <c r="B413" s="1" t="str">
        <f>[1]Afgrødefordeling!$C$7</f>
        <v>Kartofler</v>
      </c>
      <c r="C413">
        <v>2050</v>
      </c>
      <c r="D413" t="s">
        <v>8</v>
      </c>
      <c r="E413" s="168" t="str">
        <f t="shared" si="63"/>
        <v>OC6</v>
      </c>
      <c r="F413" t="str">
        <f t="shared" si="62"/>
        <v>Kartofler</v>
      </c>
      <c r="G413" s="76" cm="1">
        <f t="array" ref="G413">IF(A413="Vestdanmark",IF(D413="Konventionel",IF(C413=2019,SUMPRODUCT((B413='Landbrugsareal - resultat'!$B$6:$B$19)*(INDEX('Landbrugsareal - resultat'!$C$6:$E$19,,MATCH(E413,'Landbrugsareal - resultat'!$C$5:$E$5,0)))),IF(C413=2030,SUMPRODUCT((B413='Landbrugsareal - resultat'!$B$6:$B$19)*(INDEX('Landbrugsareal - resultat'!$F$6:$H$19,,MATCH(E413,'Landbrugsareal - resultat'!$F$5:$H$5,0)))),SUMPRODUCT((B413='Landbrugsareal - resultat'!$B$6:$B$19)*(INDEX('Landbrugsareal - resultat'!$I$6:$K$19,,MATCH(E413,'Landbrugsareal - resultat'!$I$5:$K$5,0)))))),IF(C413=2019,SUMPRODUCT((B413='Landbrugsareal - resultat'!$B$6:$B$19)*(INDEX('Landbrugsareal - resultat'!$L$6:$N$19,,MATCH(E413,'Landbrugsareal - resultat'!$L$5:$N$5,0)))),IF(C413=2030,SUMPRODUCT((B413='Landbrugsareal - resultat'!$B$6:$B$19)*(INDEX('Landbrugsareal - resultat'!$O$6:$Q$19,,MATCH(E413,'Landbrugsareal - resultat'!$O$5:$Q$5,0)))),SUMPRODUCT((B413='Landbrugsareal - resultat'!$B$6:$B$19)*(INDEX('Landbrugsareal - resultat'!$R$6:$T$19,,MATCH(E413,'Landbrugsareal - resultat'!$R$5:$T$5,0))))))),IF(D413="Konventionel",IF(C413=2019,SUMPRODUCT((B413='Landbrugsareal - resultat'!$B$33:$B$46)*(INDEX('Landbrugsareal - resultat'!$C$33:$E$46,,MATCH(E413,'Landbrugsareal - resultat'!$C$5:$E$5,0)))),IF(C413=2030,SUMPRODUCT((B413='Landbrugsareal - resultat'!$B$33:$B$46)*(INDEX('Landbrugsareal - resultat'!$F$33:$H$46,,MATCH(E413,'Landbrugsareal - resultat'!$F$5:$H$5,0)))),SUMPRODUCT((B413='Landbrugsareal - resultat'!$B$33:$B$46)*(INDEX('Landbrugsareal - resultat'!$I$33:$K$46,,MATCH(E413,'Landbrugsareal - resultat'!$I$5:$K$5,0)))))),IF(C413=2019,SUMPRODUCT((B413='Landbrugsareal - resultat'!$B$33:$B$46)*(INDEX('Landbrugsareal - resultat'!$L$33:$N$46,,MATCH(E413,'Landbrugsareal - resultat'!$L$5:$N$5,0)))),IF(C413=2030,SUMPRODUCT((B413='Landbrugsareal - resultat'!$B$33:$B$46)*(INDEX('Landbrugsareal - resultat'!$O$33:$Q$46,,MATCH(E413,'Landbrugsareal - resultat'!$O$5:$Q$5,0)))),SUMPRODUCT((B413='Landbrugsareal - resultat'!$B$33:$B$46)*(INDEX('Landbrugsareal - resultat'!$R$33:$T$46,,MATCH(E413,'Landbrugsareal - resultat'!$R$5:$T$5,0))))))))</f>
        <v>8.5184931077379673</v>
      </c>
      <c r="H413" s="168">
        <f>G413*VLOOKUP(B413,[1]Afgrødedata!$A$5:$F$18,2,FALSE)*IF(D413="Økologisk",VLOOKUP(B413,[1]Afgrødedata!$A$5:$F$18,4,FALSE),1)*IF(E413&lt;&gt;Jordbund1,IF(E413=Organ6,VLOOKUP(B413,[1]Afgrødedata!$A$5:$F$18,5,FALSE),VLOOKUP(B413,[1]Afgrødedata!$A$5:$F$18,6,FALSE)),1)*0.1</f>
        <v>247.46303606484577</v>
      </c>
      <c r="I413" s="168">
        <f>G413*VLOOKUP(B413,[1]Afgrødedata!$A$5:$F$18,3,FALSE)*IF(D413="Økologisk",VLOOKUP(B413,[1]Afgrødedata!$A$5:$F$18,4,FALSE),1)*IF(E413&lt;&gt;Jordbund1,IF(E413=Organ6,VLOOKUP(B413,[1]Afgrødedata!$A$5:$F$18,5,FALSE),VLOOKUP(B413,[1]Afgrødedata!$A$5:$F$18,6,FALSE)),1)*HLOOKUP(C413,Landbrug!$C$15:$E$17,2,FALSE)*HLOOKUP(C413,Landbrug!$C$15:$E$17,3,FALSE)*0.1</f>
        <v>0</v>
      </c>
      <c r="J413" s="76">
        <f t="shared" si="64"/>
        <v>247.46303606484577</v>
      </c>
    </row>
    <row r="414" spans="1:10" x14ac:dyDescent="0.25">
      <c r="A414" t="s">
        <v>24</v>
      </c>
      <c r="B414" s="1" t="str">
        <f>[1]Afgrødefordeling!$C$8</f>
        <v>Roer</v>
      </c>
      <c r="C414">
        <v>2050</v>
      </c>
      <c r="D414" t="s">
        <v>8</v>
      </c>
      <c r="E414" s="168" t="str">
        <f t="shared" si="63"/>
        <v>OC6</v>
      </c>
      <c r="F414" t="str">
        <f t="shared" si="62"/>
        <v>Roer</v>
      </c>
      <c r="G414" s="76" cm="1">
        <f t="array" ref="G414">IF(A414="Vestdanmark",IF(D414="Konventionel",IF(C414=2019,SUMPRODUCT((B414='Landbrugsareal - resultat'!$B$6:$B$19)*(INDEX('Landbrugsareal - resultat'!$C$6:$E$19,,MATCH(E414,'Landbrugsareal - resultat'!$C$5:$E$5,0)))),IF(C414=2030,SUMPRODUCT((B414='Landbrugsareal - resultat'!$B$6:$B$19)*(INDEX('Landbrugsareal - resultat'!$F$6:$H$19,,MATCH(E414,'Landbrugsareal - resultat'!$F$5:$H$5,0)))),SUMPRODUCT((B414='Landbrugsareal - resultat'!$B$6:$B$19)*(INDEX('Landbrugsareal - resultat'!$I$6:$K$19,,MATCH(E414,'Landbrugsareal - resultat'!$I$5:$K$5,0)))))),IF(C414=2019,SUMPRODUCT((B414='Landbrugsareal - resultat'!$B$6:$B$19)*(INDEX('Landbrugsareal - resultat'!$L$6:$N$19,,MATCH(E414,'Landbrugsareal - resultat'!$L$5:$N$5,0)))),IF(C414=2030,SUMPRODUCT((B414='Landbrugsareal - resultat'!$B$6:$B$19)*(INDEX('Landbrugsareal - resultat'!$O$6:$Q$19,,MATCH(E414,'Landbrugsareal - resultat'!$O$5:$Q$5,0)))),SUMPRODUCT((B414='Landbrugsareal - resultat'!$B$6:$B$19)*(INDEX('Landbrugsareal - resultat'!$R$6:$T$19,,MATCH(E414,'Landbrugsareal - resultat'!$R$5:$T$5,0))))))),IF(D414="Konventionel",IF(C414=2019,SUMPRODUCT((B414='Landbrugsareal - resultat'!$B$33:$B$46)*(INDEX('Landbrugsareal - resultat'!$C$33:$E$46,,MATCH(E414,'Landbrugsareal - resultat'!$C$5:$E$5,0)))),IF(C414=2030,SUMPRODUCT((B414='Landbrugsareal - resultat'!$B$33:$B$46)*(INDEX('Landbrugsareal - resultat'!$F$33:$H$46,,MATCH(E414,'Landbrugsareal - resultat'!$F$5:$H$5,0)))),SUMPRODUCT((B414='Landbrugsareal - resultat'!$B$33:$B$46)*(INDEX('Landbrugsareal - resultat'!$I$33:$K$46,,MATCH(E414,'Landbrugsareal - resultat'!$I$5:$K$5,0)))))),IF(C414=2019,SUMPRODUCT((B414='Landbrugsareal - resultat'!$B$33:$B$46)*(INDEX('Landbrugsareal - resultat'!$L$33:$N$46,,MATCH(E414,'Landbrugsareal - resultat'!$L$5:$N$5,0)))),IF(C414=2030,SUMPRODUCT((B414='Landbrugsareal - resultat'!$B$33:$B$46)*(INDEX('Landbrugsareal - resultat'!$O$33:$Q$46,,MATCH(E414,'Landbrugsareal - resultat'!$O$5:$Q$5,0)))),SUMPRODUCT((B414='Landbrugsareal - resultat'!$B$33:$B$46)*(INDEX('Landbrugsareal - resultat'!$R$33:$T$46,,MATCH(E414,'Landbrugsareal - resultat'!$R$5:$T$5,0))))))))</f>
        <v>23.798877541136303</v>
      </c>
      <c r="H414" s="168">
        <f>G414*VLOOKUP(B414,[1]Afgrødedata!$A$5:$F$18,2,FALSE)*IF(D414="Økologisk",VLOOKUP(B414,[1]Afgrødedata!$A$5:$F$18,4,FALSE),1)*IF(E414&lt;&gt;Jordbund1,IF(E414=Organ6,VLOOKUP(B414,[1]Afgrødedata!$A$5:$F$18,5,FALSE),VLOOKUP(B414,[1]Afgrødedata!$A$5:$F$18,6,FALSE)),1)*0.1</f>
        <v>1322.6833597674488</v>
      </c>
      <c r="I414" s="168">
        <f>G414*VLOOKUP(B414,[1]Afgrødedata!$A$5:$F$18,3,FALSE)*IF(D414="Økologisk",VLOOKUP(B414,[1]Afgrødedata!$A$5:$F$18,4,FALSE),1)*IF(E414&lt;&gt;Jordbund1,IF(E414=Organ6,VLOOKUP(B414,[1]Afgrødedata!$A$5:$F$18,5,FALSE),VLOOKUP(B414,[1]Afgrødedata!$A$5:$F$18,6,FALSE)),1)*HLOOKUP(C414,Landbrug!$C$15:$E$17,2,FALSE)*HLOOKUP(C414,Landbrug!$C$15:$E$17,3,FALSE)*0.1</f>
        <v>0</v>
      </c>
      <c r="J414" s="76">
        <f t="shared" si="64"/>
        <v>1322.6833597674488</v>
      </c>
    </row>
    <row r="415" spans="1:10" x14ac:dyDescent="0.25">
      <c r="A415" t="s">
        <v>24</v>
      </c>
      <c r="B415" s="1" t="str">
        <f>[1]Afgrødefordeling!$C$9</f>
        <v>Majs</v>
      </c>
      <c r="C415">
        <v>2050</v>
      </c>
      <c r="D415" t="s">
        <v>8</v>
      </c>
      <c r="E415" s="168" t="str">
        <f t="shared" si="63"/>
        <v>OC6</v>
      </c>
      <c r="F415" t="str">
        <f t="shared" si="62"/>
        <v>Majs</v>
      </c>
      <c r="G415" s="76" cm="1">
        <f t="array" ref="G415">IF(A415="Vestdanmark",IF(D415="Konventionel",IF(C415=2019,SUMPRODUCT((B415='Landbrugsareal - resultat'!$B$6:$B$19)*(INDEX('Landbrugsareal - resultat'!$C$6:$E$19,,MATCH(E415,'Landbrugsareal - resultat'!$C$5:$E$5,0)))),IF(C415=2030,SUMPRODUCT((B415='Landbrugsareal - resultat'!$B$6:$B$19)*(INDEX('Landbrugsareal - resultat'!$F$6:$H$19,,MATCH(E415,'Landbrugsareal - resultat'!$F$5:$H$5,0)))),SUMPRODUCT((B415='Landbrugsareal - resultat'!$B$6:$B$19)*(INDEX('Landbrugsareal - resultat'!$I$6:$K$19,,MATCH(E415,'Landbrugsareal - resultat'!$I$5:$K$5,0)))))),IF(C415=2019,SUMPRODUCT((B415='Landbrugsareal - resultat'!$B$6:$B$19)*(INDEX('Landbrugsareal - resultat'!$L$6:$N$19,,MATCH(E415,'Landbrugsareal - resultat'!$L$5:$N$5,0)))),IF(C415=2030,SUMPRODUCT((B415='Landbrugsareal - resultat'!$B$6:$B$19)*(INDEX('Landbrugsareal - resultat'!$O$6:$Q$19,,MATCH(E415,'Landbrugsareal - resultat'!$O$5:$Q$5,0)))),SUMPRODUCT((B415='Landbrugsareal - resultat'!$B$6:$B$19)*(INDEX('Landbrugsareal - resultat'!$R$6:$T$19,,MATCH(E415,'Landbrugsareal - resultat'!$R$5:$T$5,0))))))),IF(D415="Konventionel",IF(C415=2019,SUMPRODUCT((B415='Landbrugsareal - resultat'!$B$33:$B$46)*(INDEX('Landbrugsareal - resultat'!$C$33:$E$46,,MATCH(E415,'Landbrugsareal - resultat'!$C$5:$E$5,0)))),IF(C415=2030,SUMPRODUCT((B415='Landbrugsareal - resultat'!$B$33:$B$46)*(INDEX('Landbrugsareal - resultat'!$F$33:$H$46,,MATCH(E415,'Landbrugsareal - resultat'!$F$5:$H$5,0)))),SUMPRODUCT((B415='Landbrugsareal - resultat'!$B$33:$B$46)*(INDEX('Landbrugsareal - resultat'!$I$33:$K$46,,MATCH(E415,'Landbrugsareal - resultat'!$I$5:$K$5,0)))))),IF(C415=2019,SUMPRODUCT((B415='Landbrugsareal - resultat'!$B$33:$B$46)*(INDEX('Landbrugsareal - resultat'!$L$33:$N$46,,MATCH(E415,'Landbrugsareal - resultat'!$L$5:$N$5,0)))),IF(C415=2030,SUMPRODUCT((B415='Landbrugsareal - resultat'!$B$33:$B$46)*(INDEX('Landbrugsareal - resultat'!$O$33:$Q$46,,MATCH(E415,'Landbrugsareal - resultat'!$O$5:$Q$5,0)))),SUMPRODUCT((B415='Landbrugsareal - resultat'!$B$33:$B$46)*(INDEX('Landbrugsareal - resultat'!$R$33:$T$46,,MATCH(E415,'Landbrugsareal - resultat'!$R$5:$T$5,0))))))))</f>
        <v>25.373276031309484</v>
      </c>
      <c r="H415" s="168">
        <f>G415*VLOOKUP(B415,[1]Afgrødedata!$A$5:$F$18,2,FALSE)*IF(D415="Økologisk",VLOOKUP(B415,[1]Afgrødedata!$A$5:$F$18,4,FALSE),1)*IF(E415&lt;&gt;Jordbund1,IF(E415=Organ6,VLOOKUP(B415,[1]Afgrødedata!$A$5:$F$18,5,FALSE),VLOOKUP(B415,[1]Afgrødedata!$A$5:$F$18,6,FALSE)),1)*0.1</f>
        <v>1124.8470580889707</v>
      </c>
      <c r="I415" s="168">
        <f>G415*VLOOKUP(B415,[1]Afgrødedata!$A$5:$F$18,3,FALSE)*IF(D415="Økologisk",VLOOKUP(B415,[1]Afgrødedata!$A$5:$F$18,4,FALSE),1)*IF(E415&lt;&gt;Jordbund1,IF(E415=Organ6,VLOOKUP(B415,[1]Afgrødedata!$A$5:$F$18,5,FALSE),VLOOKUP(B415,[1]Afgrødedata!$A$5:$F$18,6,FALSE)),1)*HLOOKUP(C415,Landbrug!$C$15:$E$17,2,FALSE)*HLOOKUP(C415,Landbrug!$C$15:$E$17,3,FALSE)*0.1</f>
        <v>0</v>
      </c>
      <c r="J415" s="76">
        <f t="shared" si="64"/>
        <v>1124.8470580889707</v>
      </c>
    </row>
    <row r="416" spans="1:10" x14ac:dyDescent="0.25">
      <c r="A416" t="s">
        <v>24</v>
      </c>
      <c r="B416" s="1" t="str">
        <f>[1]Afgrødefordeling!$C$10</f>
        <v>Frugt</v>
      </c>
      <c r="C416">
        <v>2050</v>
      </c>
      <c r="D416" t="s">
        <v>8</v>
      </c>
      <c r="E416" s="168" t="str">
        <f t="shared" si="63"/>
        <v>OC6</v>
      </c>
      <c r="F416" t="str">
        <f t="shared" si="62"/>
        <v>Frugt</v>
      </c>
      <c r="G416" s="76" cm="1">
        <f t="array" ref="G416">IF(A416="Vestdanmark",IF(D416="Konventionel",IF(C416=2019,SUMPRODUCT((B416='Landbrugsareal - resultat'!$B$6:$B$19)*(INDEX('Landbrugsareal - resultat'!$C$6:$E$19,,MATCH(E416,'Landbrugsareal - resultat'!$C$5:$E$5,0)))),IF(C416=2030,SUMPRODUCT((B416='Landbrugsareal - resultat'!$B$6:$B$19)*(INDEX('Landbrugsareal - resultat'!$F$6:$H$19,,MATCH(E416,'Landbrugsareal - resultat'!$F$5:$H$5,0)))),SUMPRODUCT((B416='Landbrugsareal - resultat'!$B$6:$B$19)*(INDEX('Landbrugsareal - resultat'!$I$6:$K$19,,MATCH(E416,'Landbrugsareal - resultat'!$I$5:$K$5,0)))))),IF(C416=2019,SUMPRODUCT((B416='Landbrugsareal - resultat'!$B$6:$B$19)*(INDEX('Landbrugsareal - resultat'!$L$6:$N$19,,MATCH(E416,'Landbrugsareal - resultat'!$L$5:$N$5,0)))),IF(C416=2030,SUMPRODUCT((B416='Landbrugsareal - resultat'!$B$6:$B$19)*(INDEX('Landbrugsareal - resultat'!$O$6:$Q$19,,MATCH(E416,'Landbrugsareal - resultat'!$O$5:$Q$5,0)))),SUMPRODUCT((B416='Landbrugsareal - resultat'!$B$6:$B$19)*(INDEX('Landbrugsareal - resultat'!$R$6:$T$19,,MATCH(E416,'Landbrugsareal - resultat'!$R$5:$T$5,0))))))),IF(D416="Konventionel",IF(C416=2019,SUMPRODUCT((B416='Landbrugsareal - resultat'!$B$33:$B$46)*(INDEX('Landbrugsareal - resultat'!$C$33:$E$46,,MATCH(E416,'Landbrugsareal - resultat'!$C$5:$E$5,0)))),IF(C416=2030,SUMPRODUCT((B416='Landbrugsareal - resultat'!$B$33:$B$46)*(INDEX('Landbrugsareal - resultat'!$F$33:$H$46,,MATCH(E416,'Landbrugsareal - resultat'!$F$5:$H$5,0)))),SUMPRODUCT((B416='Landbrugsareal - resultat'!$B$33:$B$46)*(INDEX('Landbrugsareal - resultat'!$I$33:$K$46,,MATCH(E416,'Landbrugsareal - resultat'!$I$5:$K$5,0)))))),IF(C416=2019,SUMPRODUCT((B416='Landbrugsareal - resultat'!$B$33:$B$46)*(INDEX('Landbrugsareal - resultat'!$L$33:$N$46,,MATCH(E416,'Landbrugsareal - resultat'!$L$5:$N$5,0)))),IF(C416=2030,SUMPRODUCT((B416='Landbrugsareal - resultat'!$B$33:$B$46)*(INDEX('Landbrugsareal - resultat'!$O$33:$Q$46,,MATCH(E416,'Landbrugsareal - resultat'!$O$5:$Q$5,0)))),SUMPRODUCT((B416='Landbrugsareal - resultat'!$B$33:$B$46)*(INDEX('Landbrugsareal - resultat'!$R$33:$T$46,,MATCH(E416,'Landbrugsareal - resultat'!$R$5:$T$5,0))))))))</f>
        <v>5.4735372266317945</v>
      </c>
      <c r="H416" s="168">
        <f>G416*VLOOKUP(B416,[1]Afgrødedata!$A$5:$F$18,2,FALSE)*IF(D416="Økologisk",VLOOKUP(B416,[1]Afgrødedata!$A$5:$F$18,4,FALSE),1)*IF(E416&lt;&gt;Jordbund1,IF(E416=Organ6,VLOOKUP(B416,[1]Afgrødedata!$A$5:$F$18,5,FALSE),VLOOKUP(B416,[1]Afgrødedata!$A$5:$F$18,6,FALSE)),1)*0.1</f>
        <v>31.785706441007093</v>
      </c>
      <c r="I416" s="168">
        <f>G416*VLOOKUP(B416,[1]Afgrødedata!$A$5:$F$18,3,FALSE)*IF(D416="Økologisk",VLOOKUP(B416,[1]Afgrødedata!$A$5:$F$18,4,FALSE),1)*IF(E416&lt;&gt;Jordbund1,IF(E416=Organ6,VLOOKUP(B416,[1]Afgrødedata!$A$5:$F$18,5,FALSE),VLOOKUP(B416,[1]Afgrødedata!$A$5:$F$18,6,FALSE)),1)*HLOOKUP(C416,Landbrug!$C$15:$E$17,2,FALSE)*HLOOKUP(C416,Landbrug!$C$15:$E$17,3,FALSE)*0.1</f>
        <v>0</v>
      </c>
      <c r="J416" s="76">
        <f t="shared" si="64"/>
        <v>31.785706441007093</v>
      </c>
    </row>
    <row r="417" spans="1:10" x14ac:dyDescent="0.25">
      <c r="A417" t="s">
        <v>24</v>
      </c>
      <c r="B417" s="1" t="str">
        <f>[1]Afgrødefordeling!$C$11</f>
        <v>Øvrige</v>
      </c>
      <c r="C417">
        <v>2050</v>
      </c>
      <c r="D417" t="s">
        <v>8</v>
      </c>
      <c r="E417" s="168" t="str">
        <f t="shared" si="63"/>
        <v>OC6</v>
      </c>
      <c r="F417" t="str">
        <f t="shared" si="62"/>
        <v>Øvrige</v>
      </c>
      <c r="G417" s="76" cm="1">
        <f t="array" ref="G417">IF(A417="Vestdanmark",IF(D417="Konventionel",IF(C417=2019,SUMPRODUCT((B417='Landbrugsareal - resultat'!$B$6:$B$19)*(INDEX('Landbrugsareal - resultat'!$C$6:$E$19,,MATCH(E417,'Landbrugsareal - resultat'!$C$5:$E$5,0)))),IF(C417=2030,SUMPRODUCT((B417='Landbrugsareal - resultat'!$B$6:$B$19)*(INDEX('Landbrugsareal - resultat'!$F$6:$H$19,,MATCH(E417,'Landbrugsareal - resultat'!$F$5:$H$5,0)))),SUMPRODUCT((B417='Landbrugsareal - resultat'!$B$6:$B$19)*(INDEX('Landbrugsareal - resultat'!$I$6:$K$19,,MATCH(E417,'Landbrugsareal - resultat'!$I$5:$K$5,0)))))),IF(C417=2019,SUMPRODUCT((B417='Landbrugsareal - resultat'!$B$6:$B$19)*(INDEX('Landbrugsareal - resultat'!$L$6:$N$19,,MATCH(E417,'Landbrugsareal - resultat'!$L$5:$N$5,0)))),IF(C417=2030,SUMPRODUCT((B417='Landbrugsareal - resultat'!$B$6:$B$19)*(INDEX('Landbrugsareal - resultat'!$O$6:$Q$19,,MATCH(E417,'Landbrugsareal - resultat'!$O$5:$Q$5,0)))),SUMPRODUCT((B417='Landbrugsareal - resultat'!$B$6:$B$19)*(INDEX('Landbrugsareal - resultat'!$R$6:$T$19,,MATCH(E417,'Landbrugsareal - resultat'!$R$5:$T$5,0))))))),IF(D417="Konventionel",IF(C417=2019,SUMPRODUCT((B417='Landbrugsareal - resultat'!$B$33:$B$46)*(INDEX('Landbrugsareal - resultat'!$C$33:$E$46,,MATCH(E417,'Landbrugsareal - resultat'!$C$5:$E$5,0)))),IF(C417=2030,SUMPRODUCT((B417='Landbrugsareal - resultat'!$B$33:$B$46)*(INDEX('Landbrugsareal - resultat'!$F$33:$H$46,,MATCH(E417,'Landbrugsareal - resultat'!$F$5:$H$5,0)))),SUMPRODUCT((B417='Landbrugsareal - resultat'!$B$33:$B$46)*(INDEX('Landbrugsareal - resultat'!$I$33:$K$46,,MATCH(E417,'Landbrugsareal - resultat'!$I$5:$K$5,0)))))),IF(C417=2019,SUMPRODUCT((B417='Landbrugsareal - resultat'!$B$33:$B$46)*(INDEX('Landbrugsareal - resultat'!$L$33:$N$46,,MATCH(E417,'Landbrugsareal - resultat'!$L$5:$N$5,0)))),IF(C417=2030,SUMPRODUCT((B417='Landbrugsareal - resultat'!$B$33:$B$46)*(INDEX('Landbrugsareal - resultat'!$O$33:$Q$46,,MATCH(E417,'Landbrugsareal - resultat'!$O$5:$Q$5,0)))),SUMPRODUCT((B417='Landbrugsareal - resultat'!$B$33:$B$46)*(INDEX('Landbrugsareal - resultat'!$R$33:$T$46,,MATCH(E417,'Landbrugsareal - resultat'!$R$5:$T$5,0))))))))</f>
        <v>39.083710527745296</v>
      </c>
      <c r="H417" s="168">
        <f>G417*VLOOKUP(B417,[1]Afgrødedata!$A$5:$F$18,2,FALSE)*IF(D417="Økologisk",VLOOKUP(B417,[1]Afgrødedata!$A$5:$F$18,4,FALSE),1)*IF(E417&lt;&gt;Jordbund1,IF(E417=Organ6,VLOOKUP(B417,[1]Afgrødedata!$A$5:$F$18,5,FALSE),VLOOKUP(B417,[1]Afgrødedata!$A$5:$F$18,6,FALSE)),1)*0.1</f>
        <v>796.54264518690343</v>
      </c>
      <c r="I417" s="168">
        <f>G417*VLOOKUP(B417,[1]Afgrødedata!$A$5:$F$18,3,FALSE)*IF(D417="Økologisk",VLOOKUP(B417,[1]Afgrødedata!$A$5:$F$18,4,FALSE),1)*IF(E417&lt;&gt;Jordbund1,IF(E417=Organ6,VLOOKUP(B417,[1]Afgrødedata!$A$5:$F$18,5,FALSE),VLOOKUP(B417,[1]Afgrødedata!$A$5:$F$18,6,FALSE)),1)*HLOOKUP(C417,Landbrug!$C$15:$E$17,2,FALSE)*HLOOKUP(C417,Landbrug!$C$15:$E$17,3,FALSE)*0.1</f>
        <v>0</v>
      </c>
      <c r="J417" s="76">
        <f t="shared" si="64"/>
        <v>796.54264518690343</v>
      </c>
    </row>
    <row r="418" spans="1:10" x14ac:dyDescent="0.25">
      <c r="A418" t="s">
        <v>24</v>
      </c>
      <c r="B418" s="1" t="str">
        <f>[1]Afgrødefordeling!$C$12</f>
        <v>Frø</v>
      </c>
      <c r="C418">
        <v>2050</v>
      </c>
      <c r="D418" t="s">
        <v>8</v>
      </c>
      <c r="E418" s="168" t="str">
        <f t="shared" si="63"/>
        <v>OC6</v>
      </c>
      <c r="F418" t="str">
        <f t="shared" si="62"/>
        <v>Halm</v>
      </c>
      <c r="G418" s="76" cm="1">
        <f t="array" ref="G418">IF(A418="Vestdanmark",IF(D418="Konventionel",IF(C418=2019,SUMPRODUCT((B418='Landbrugsareal - resultat'!$B$6:$B$19)*(INDEX('Landbrugsareal - resultat'!$C$6:$E$19,,MATCH(E418,'Landbrugsareal - resultat'!$C$5:$E$5,0)))),IF(C418=2030,SUMPRODUCT((B418='Landbrugsareal - resultat'!$B$6:$B$19)*(INDEX('Landbrugsareal - resultat'!$F$6:$H$19,,MATCH(E418,'Landbrugsareal - resultat'!$F$5:$H$5,0)))),SUMPRODUCT((B418='Landbrugsareal - resultat'!$B$6:$B$19)*(INDEX('Landbrugsareal - resultat'!$I$6:$K$19,,MATCH(E418,'Landbrugsareal - resultat'!$I$5:$K$5,0)))))),IF(C418=2019,SUMPRODUCT((B418='Landbrugsareal - resultat'!$B$6:$B$19)*(INDEX('Landbrugsareal - resultat'!$L$6:$N$19,,MATCH(E418,'Landbrugsareal - resultat'!$L$5:$N$5,0)))),IF(C418=2030,SUMPRODUCT((B418='Landbrugsareal - resultat'!$B$6:$B$19)*(INDEX('Landbrugsareal - resultat'!$O$6:$Q$19,,MATCH(E418,'Landbrugsareal - resultat'!$O$5:$Q$5,0)))),SUMPRODUCT((B418='Landbrugsareal - resultat'!$B$6:$B$19)*(INDEX('Landbrugsareal - resultat'!$R$6:$T$19,,MATCH(E418,'Landbrugsareal - resultat'!$R$5:$T$5,0))))))),IF(D418="Konventionel",IF(C418=2019,SUMPRODUCT((B418='Landbrugsareal - resultat'!$B$33:$B$46)*(INDEX('Landbrugsareal - resultat'!$C$33:$E$46,,MATCH(E418,'Landbrugsareal - resultat'!$C$5:$E$5,0)))),IF(C418=2030,SUMPRODUCT((B418='Landbrugsareal - resultat'!$B$33:$B$46)*(INDEX('Landbrugsareal - resultat'!$F$33:$H$46,,MATCH(E418,'Landbrugsareal - resultat'!$F$5:$H$5,0)))),SUMPRODUCT((B418='Landbrugsareal - resultat'!$B$33:$B$46)*(INDEX('Landbrugsareal - resultat'!$I$33:$K$46,,MATCH(E418,'Landbrugsareal - resultat'!$I$5:$K$5,0)))))),IF(C418=2019,SUMPRODUCT((B418='Landbrugsareal - resultat'!$B$33:$B$46)*(INDEX('Landbrugsareal - resultat'!$L$33:$N$46,,MATCH(E418,'Landbrugsareal - resultat'!$L$5:$N$5,0)))),IF(C418=2030,SUMPRODUCT((B418='Landbrugsareal - resultat'!$B$33:$B$46)*(INDEX('Landbrugsareal - resultat'!$O$33:$Q$46,,MATCH(E418,'Landbrugsareal - resultat'!$O$5:$Q$5,0)))),SUMPRODUCT((B418='Landbrugsareal - resultat'!$B$33:$B$46)*(INDEX('Landbrugsareal - resultat'!$R$33:$T$46,,MATCH(E418,'Landbrugsareal - resultat'!$R$5:$T$5,0))))))))</f>
        <v>283.74588501349433</v>
      </c>
      <c r="H418" s="168">
        <f>G418*VLOOKUP(B418,[1]Afgrødedata!$A$5:$F$18,2,FALSE)*IF(D418="Økologisk",VLOOKUP(B418,[1]Afgrødedata!$A$5:$F$18,4,FALSE),1)*IF(E418&lt;&gt;Jordbund1,IF(E418=Organ6,VLOOKUP(B418,[1]Afgrødedata!$A$5:$F$18,5,FALSE),VLOOKUP(B418,[1]Afgrødedata!$A$5:$F$18,6,FALSE)),1)*0.1</f>
        <v>2773.213322353391</v>
      </c>
      <c r="I418" s="168">
        <f>G418*VLOOKUP(B418,[1]Afgrødedata!$A$5:$F$18,3,FALSE)*IF(D418="Økologisk",VLOOKUP(B418,[1]Afgrødedata!$A$5:$F$18,4,FALSE),1)*IF(E418&lt;&gt;Jordbund1,IF(E418=Organ6,VLOOKUP(B418,[1]Afgrødedata!$A$5:$F$18,5,FALSE),VLOOKUP(B418,[1]Afgrødedata!$A$5:$F$18,6,FALSE)),1)*HLOOKUP(C418,Landbrug!$C$15:$E$17,2,FALSE)*HLOOKUP(C418,Landbrug!$C$15:$E$17,3,FALSE)*0.1</f>
        <v>458.03395742418297</v>
      </c>
      <c r="J418" s="76">
        <f t="shared" si="64"/>
        <v>458.03395742418297</v>
      </c>
    </row>
    <row r="419" spans="1:10" x14ac:dyDescent="0.25">
      <c r="A419" t="s">
        <v>24</v>
      </c>
      <c r="B419" s="1" t="str">
        <f>[1]Afgrødefordeling!$C$13</f>
        <v>Juletræer</v>
      </c>
      <c r="C419">
        <v>2050</v>
      </c>
      <c r="D419" t="s">
        <v>8</v>
      </c>
      <c r="E419" s="168" t="str">
        <f t="shared" si="63"/>
        <v>OC6</v>
      </c>
      <c r="F419" t="str">
        <f t="shared" si="62"/>
        <v>Juletræer</v>
      </c>
      <c r="G419" s="76" cm="1">
        <f t="array" ref="G419">IF(A419="Vestdanmark",IF(D419="Konventionel",IF(C419=2019,SUMPRODUCT((B419='Landbrugsareal - resultat'!$B$6:$B$19)*(INDEX('Landbrugsareal - resultat'!$C$6:$E$19,,MATCH(E419,'Landbrugsareal - resultat'!$C$5:$E$5,0)))),IF(C419=2030,SUMPRODUCT((B419='Landbrugsareal - resultat'!$B$6:$B$19)*(INDEX('Landbrugsareal - resultat'!$F$6:$H$19,,MATCH(E419,'Landbrugsareal - resultat'!$F$5:$H$5,0)))),SUMPRODUCT((B419='Landbrugsareal - resultat'!$B$6:$B$19)*(INDEX('Landbrugsareal - resultat'!$I$6:$K$19,,MATCH(E419,'Landbrugsareal - resultat'!$I$5:$K$5,0)))))),IF(C419=2019,SUMPRODUCT((B419='Landbrugsareal - resultat'!$B$6:$B$19)*(INDEX('Landbrugsareal - resultat'!$L$6:$N$19,,MATCH(E419,'Landbrugsareal - resultat'!$L$5:$N$5,0)))),IF(C419=2030,SUMPRODUCT((B419='Landbrugsareal - resultat'!$B$6:$B$19)*(INDEX('Landbrugsareal - resultat'!$O$6:$Q$19,,MATCH(E419,'Landbrugsareal - resultat'!$O$5:$Q$5,0)))),SUMPRODUCT((B419='Landbrugsareal - resultat'!$B$6:$B$19)*(INDEX('Landbrugsareal - resultat'!$R$6:$T$19,,MATCH(E419,'Landbrugsareal - resultat'!$R$5:$T$5,0))))))),IF(D419="Konventionel",IF(C419=2019,SUMPRODUCT((B419='Landbrugsareal - resultat'!$B$33:$B$46)*(INDEX('Landbrugsareal - resultat'!$C$33:$E$46,,MATCH(E419,'Landbrugsareal - resultat'!$C$5:$E$5,0)))),IF(C419=2030,SUMPRODUCT((B419='Landbrugsareal - resultat'!$B$33:$B$46)*(INDEX('Landbrugsareal - resultat'!$F$33:$H$46,,MATCH(E419,'Landbrugsareal - resultat'!$F$5:$H$5,0)))),SUMPRODUCT((B419='Landbrugsareal - resultat'!$B$33:$B$46)*(INDEX('Landbrugsareal - resultat'!$I$33:$K$46,,MATCH(E419,'Landbrugsareal - resultat'!$I$5:$K$5,0)))))),IF(C419=2019,SUMPRODUCT((B419='Landbrugsareal - resultat'!$B$33:$B$46)*(INDEX('Landbrugsareal - resultat'!$L$33:$N$46,,MATCH(E419,'Landbrugsareal - resultat'!$L$5:$N$5,0)))),IF(C419=2030,SUMPRODUCT((B419='Landbrugsareal - resultat'!$B$33:$B$46)*(INDEX('Landbrugsareal - resultat'!$O$33:$Q$46,,MATCH(E419,'Landbrugsareal - resultat'!$O$5:$Q$5,0)))),SUMPRODUCT((B419='Landbrugsareal - resultat'!$B$33:$B$46)*(INDEX('Landbrugsareal - resultat'!$R$33:$T$46,,MATCH(E419,'Landbrugsareal - resultat'!$R$5:$T$5,0))))))))</f>
        <v>8.5770016862223013</v>
      </c>
      <c r="H419" s="168">
        <f>G419*VLOOKUP(B419,[1]Afgrødedata!$A$5:$F$18,2,FALSE)*IF(D419="Økologisk",VLOOKUP(B419,[1]Afgrødedata!$A$5:$F$18,4,FALSE),1)*IF(E419&lt;&gt;Jordbund1,IF(E419=Organ6,VLOOKUP(B419,[1]Afgrødedata!$A$5:$F$18,5,FALSE),VLOOKUP(B419,[1]Afgrødedata!$A$5:$F$18,6,FALSE)),1)*0.1</f>
        <v>293.33345766880274</v>
      </c>
      <c r="I419" s="168">
        <f>G419*VLOOKUP(B419,[1]Afgrødedata!$A$5:$F$18,3,FALSE)*IF(D419="Økologisk",VLOOKUP(B419,[1]Afgrødedata!$A$5:$F$18,4,FALSE),1)*IF(E419&lt;&gt;Jordbund1,IF(E419=Organ6,VLOOKUP(B419,[1]Afgrødedata!$A$5:$F$18,5,FALSE),VLOOKUP(B419,[1]Afgrødedata!$A$5:$F$18,6,FALSE)),1)*HLOOKUP(C419,Landbrug!$C$15:$E$17,2,FALSE)*HLOOKUP(C419,Landbrug!$C$15:$E$17,3,FALSE)*0.1</f>
        <v>0</v>
      </c>
      <c r="J419" s="76">
        <f t="shared" si="64"/>
        <v>293.33345766880274</v>
      </c>
    </row>
    <row r="420" spans="1:10" x14ac:dyDescent="0.25">
      <c r="A420" t="s">
        <v>24</v>
      </c>
      <c r="B420" s="1" t="str">
        <f>[1]Afgrødefordeling!$C$14</f>
        <v>Pil &amp; poppel</v>
      </c>
      <c r="C420">
        <v>2050</v>
      </c>
      <c r="D420" t="s">
        <v>8</v>
      </c>
      <c r="E420" s="168" t="str">
        <f t="shared" si="63"/>
        <v>OC6</v>
      </c>
      <c r="F420" t="str">
        <f t="shared" si="62"/>
        <v>Pil &amp; poppel</v>
      </c>
      <c r="G420" s="76" cm="1">
        <f t="array" ref="G420">IF(A420="Vestdanmark",IF(D420="Konventionel",IF(C420=2019,SUMPRODUCT((B420='Landbrugsareal - resultat'!$B$6:$B$19)*(INDEX('Landbrugsareal - resultat'!$C$6:$E$19,,MATCH(E420,'Landbrugsareal - resultat'!$C$5:$E$5,0)))),IF(C420=2030,SUMPRODUCT((B420='Landbrugsareal - resultat'!$B$6:$B$19)*(INDEX('Landbrugsareal - resultat'!$F$6:$H$19,,MATCH(E420,'Landbrugsareal - resultat'!$F$5:$H$5,0)))),SUMPRODUCT((B420='Landbrugsareal - resultat'!$B$6:$B$19)*(INDEX('Landbrugsareal - resultat'!$I$6:$K$19,,MATCH(E420,'Landbrugsareal - resultat'!$I$5:$K$5,0)))))),IF(C420=2019,SUMPRODUCT((B420='Landbrugsareal - resultat'!$B$6:$B$19)*(INDEX('Landbrugsareal - resultat'!$L$6:$N$19,,MATCH(E420,'Landbrugsareal - resultat'!$L$5:$N$5,0)))),IF(C420=2030,SUMPRODUCT((B420='Landbrugsareal - resultat'!$B$6:$B$19)*(INDEX('Landbrugsareal - resultat'!$O$6:$Q$19,,MATCH(E420,'Landbrugsareal - resultat'!$O$5:$Q$5,0)))),SUMPRODUCT((B420='Landbrugsareal - resultat'!$B$6:$B$19)*(INDEX('Landbrugsareal - resultat'!$R$6:$T$19,,MATCH(E420,'Landbrugsareal - resultat'!$R$5:$T$5,0))))))),IF(D420="Konventionel",IF(C420=2019,SUMPRODUCT((B420='Landbrugsareal - resultat'!$B$33:$B$46)*(INDEX('Landbrugsareal - resultat'!$C$33:$E$46,,MATCH(E420,'Landbrugsareal - resultat'!$C$5:$E$5,0)))),IF(C420=2030,SUMPRODUCT((B420='Landbrugsareal - resultat'!$B$33:$B$46)*(INDEX('Landbrugsareal - resultat'!$F$33:$H$46,,MATCH(E420,'Landbrugsareal - resultat'!$F$5:$H$5,0)))),SUMPRODUCT((B420='Landbrugsareal - resultat'!$B$33:$B$46)*(INDEX('Landbrugsareal - resultat'!$I$33:$K$46,,MATCH(E420,'Landbrugsareal - resultat'!$I$5:$K$5,0)))))),IF(C420=2019,SUMPRODUCT((B420='Landbrugsareal - resultat'!$B$33:$B$46)*(INDEX('Landbrugsareal - resultat'!$L$33:$N$46,,MATCH(E420,'Landbrugsareal - resultat'!$L$5:$N$5,0)))),IF(C420=2030,SUMPRODUCT((B420='Landbrugsareal - resultat'!$B$33:$B$46)*(INDEX('Landbrugsareal - resultat'!$O$33:$Q$46,,MATCH(E420,'Landbrugsareal - resultat'!$O$5:$Q$5,0)))),SUMPRODUCT((B420='Landbrugsareal - resultat'!$B$33:$B$46)*(INDEX('Landbrugsareal - resultat'!$R$33:$T$46,,MATCH(E420,'Landbrugsareal - resultat'!$R$5:$T$5,0))))))))</f>
        <v>18.203601001677082</v>
      </c>
      <c r="H420" s="168">
        <f>G420*VLOOKUP(B420,[1]Afgrødedata!$A$5:$F$18,2,FALSE)*IF(D420="Økologisk",VLOOKUP(B420,[1]Afgrødedata!$A$5:$F$18,4,FALSE),1)*IF(E420&lt;&gt;Jordbund1,IF(E420=Organ6,VLOOKUP(B420,[1]Afgrødedata!$A$5:$F$18,5,FALSE),VLOOKUP(B420,[1]Afgrødedata!$A$5:$F$18,6,FALSE)),1)*0.1</f>
        <v>303.68934354017381</v>
      </c>
      <c r="I420" s="168">
        <f>G420*VLOOKUP(B420,[1]Afgrødedata!$A$5:$F$18,3,FALSE)*IF(D420="Økologisk",VLOOKUP(B420,[1]Afgrødedata!$A$5:$F$18,4,FALSE),1)*IF(E420&lt;&gt;Jordbund1,IF(E420=Organ6,VLOOKUP(B420,[1]Afgrødedata!$A$5:$F$18,5,FALSE),VLOOKUP(B420,[1]Afgrødedata!$A$5:$F$18,6,FALSE)),1)*HLOOKUP(C420,Landbrug!$C$15:$E$17,2,FALSE)*HLOOKUP(C420,Landbrug!$C$15:$E$17,3,FALSE)*0.1</f>
        <v>0</v>
      </c>
      <c r="J420" s="76">
        <f t="shared" si="64"/>
        <v>303.68934354017381</v>
      </c>
    </row>
    <row r="421" spans="1:10" x14ac:dyDescent="0.25">
      <c r="A421" t="s">
        <v>24</v>
      </c>
      <c r="B421" s="1" t="str">
        <f>[1]Afgrødefordeling!$C$15</f>
        <v>Permanent græs</v>
      </c>
      <c r="C421">
        <v>2050</v>
      </c>
      <c r="D421" t="s">
        <v>8</v>
      </c>
      <c r="E421" s="168" t="str">
        <f t="shared" si="63"/>
        <v>OC6</v>
      </c>
      <c r="F421" t="str">
        <f t="shared" si="62"/>
        <v>Græs</v>
      </c>
      <c r="G421" s="76" cm="1">
        <f t="array" ref="G421">IF(A421="Vestdanmark",IF(D421="Konventionel",IF(C421=2019,SUMPRODUCT((B421='Landbrugsareal - resultat'!$B$6:$B$19)*(INDEX('Landbrugsareal - resultat'!$C$6:$E$19,,MATCH(E421,'Landbrugsareal - resultat'!$C$5:$E$5,0)))),IF(C421=2030,SUMPRODUCT((B421='Landbrugsareal - resultat'!$B$6:$B$19)*(INDEX('Landbrugsareal - resultat'!$F$6:$H$19,,MATCH(E421,'Landbrugsareal - resultat'!$F$5:$H$5,0)))),SUMPRODUCT((B421='Landbrugsareal - resultat'!$B$6:$B$19)*(INDEX('Landbrugsareal - resultat'!$I$6:$K$19,,MATCH(E421,'Landbrugsareal - resultat'!$I$5:$K$5,0)))))),IF(C421=2019,SUMPRODUCT((B421='Landbrugsareal - resultat'!$B$6:$B$19)*(INDEX('Landbrugsareal - resultat'!$L$6:$N$19,,MATCH(E421,'Landbrugsareal - resultat'!$L$5:$N$5,0)))),IF(C421=2030,SUMPRODUCT((B421='Landbrugsareal - resultat'!$B$6:$B$19)*(INDEX('Landbrugsareal - resultat'!$O$6:$Q$19,,MATCH(E421,'Landbrugsareal - resultat'!$O$5:$Q$5,0)))),SUMPRODUCT((B421='Landbrugsareal - resultat'!$B$6:$B$19)*(INDEX('Landbrugsareal - resultat'!$R$6:$T$19,,MATCH(E421,'Landbrugsareal - resultat'!$R$5:$T$5,0))))))),IF(D421="Konventionel",IF(C421=2019,SUMPRODUCT((B421='Landbrugsareal - resultat'!$B$33:$B$46)*(INDEX('Landbrugsareal - resultat'!$C$33:$E$46,,MATCH(E421,'Landbrugsareal - resultat'!$C$5:$E$5,0)))),IF(C421=2030,SUMPRODUCT((B421='Landbrugsareal - resultat'!$B$33:$B$46)*(INDEX('Landbrugsareal - resultat'!$F$33:$H$46,,MATCH(E421,'Landbrugsareal - resultat'!$F$5:$H$5,0)))),SUMPRODUCT((B421='Landbrugsareal - resultat'!$B$33:$B$46)*(INDEX('Landbrugsareal - resultat'!$I$33:$K$46,,MATCH(E421,'Landbrugsareal - resultat'!$I$5:$K$5,0)))))),IF(C421=2019,SUMPRODUCT((B421='Landbrugsareal - resultat'!$B$33:$B$46)*(INDEX('Landbrugsareal - resultat'!$L$33:$N$46,,MATCH(E421,'Landbrugsareal - resultat'!$L$5:$N$5,0)))),IF(C421=2030,SUMPRODUCT((B421='Landbrugsareal - resultat'!$B$33:$B$46)*(INDEX('Landbrugsareal - resultat'!$O$33:$Q$46,,MATCH(E421,'Landbrugsareal - resultat'!$O$5:$Q$5,0)))),SUMPRODUCT((B421='Landbrugsareal - resultat'!$B$33:$B$46)*(INDEX('Landbrugsareal - resultat'!$R$33:$T$46,,MATCH(E421,'Landbrugsareal - resultat'!$R$5:$T$5,0))))))))</f>
        <v>527.56690324294436</v>
      </c>
      <c r="H421" s="168">
        <f>G421*VLOOKUP(B421,[1]Afgrødedata!$A$5:$F$18,2,FALSE)*IF(D421="Økologisk",VLOOKUP(B421,[1]Afgrødedata!$A$5:$F$18,4,FALSE),1)*IF(E421&lt;&gt;Jordbund1,IF(E421=Organ6,VLOOKUP(B421,[1]Afgrødedata!$A$5:$F$18,5,FALSE),VLOOKUP(B421,[1]Afgrødedata!$A$5:$F$18,6,FALSE)),1)*0.1</f>
        <v>8730.177114864242</v>
      </c>
      <c r="I421" s="168">
        <f>G421*VLOOKUP(B421,[1]Afgrødedata!$A$5:$F$18,3,FALSE)*IF(D421="Økologisk",VLOOKUP(B421,[1]Afgrødedata!$A$5:$F$18,4,FALSE),1)*IF(E421&lt;&gt;Jordbund1,IF(E421=Organ6,VLOOKUP(B421,[1]Afgrødedata!$A$5:$F$18,5,FALSE),VLOOKUP(B421,[1]Afgrødedata!$A$5:$F$18,6,FALSE)),1)*HLOOKUP(C421,Landbrug!$C$15:$E$17,2,FALSE)*HLOOKUP(C421,Landbrug!$C$15:$E$17,3,FALSE)*0.1</f>
        <v>0</v>
      </c>
      <c r="J421" s="76">
        <f t="shared" si="64"/>
        <v>8730.177114864242</v>
      </c>
    </row>
    <row r="422" spans="1:10" x14ac:dyDescent="0.25">
      <c r="A422" t="s">
        <v>24</v>
      </c>
      <c r="B422" s="1" t="str">
        <f>[1]Afgrødefordeling!$C$2</f>
        <v>Korn</v>
      </c>
      <c r="C422">
        <v>2019</v>
      </c>
      <c r="D422" t="s">
        <v>7</v>
      </c>
      <c r="E422" s="168" t="str">
        <f t="shared" ref="E422:E453" si="65">Organ12</f>
        <v>OC12</v>
      </c>
      <c r="F422" t="str">
        <f t="shared" si="62"/>
        <v>Halm</v>
      </c>
      <c r="G422" s="76" cm="1">
        <f t="array" ref="G422">IF(A422="Vestdanmark",IF(D422="Konventionel",IF(C422=2019,SUMPRODUCT((B422='Landbrugsareal - resultat'!$B$6:$B$19)*(INDEX('Landbrugsareal - resultat'!$C$6:$E$19,,MATCH(E422,'Landbrugsareal - resultat'!$C$5:$E$5,0)))),IF(C422=2030,SUMPRODUCT((B422='Landbrugsareal - resultat'!$B$6:$B$19)*(INDEX('Landbrugsareal - resultat'!$F$6:$H$19,,MATCH(E422,'Landbrugsareal - resultat'!$F$5:$H$5,0)))),SUMPRODUCT((B422='Landbrugsareal - resultat'!$B$6:$B$19)*(INDEX('Landbrugsareal - resultat'!$I$6:$K$19,,MATCH(E422,'Landbrugsareal - resultat'!$I$5:$K$5,0)))))),IF(C422=2019,SUMPRODUCT((B422='Landbrugsareal - resultat'!$B$6:$B$19)*(INDEX('Landbrugsareal - resultat'!$L$6:$N$19,,MATCH(E422,'Landbrugsareal - resultat'!$L$5:$N$5,0)))),IF(C422=2030,SUMPRODUCT((B422='Landbrugsareal - resultat'!$B$6:$B$19)*(INDEX('Landbrugsareal - resultat'!$O$6:$Q$19,,MATCH(E422,'Landbrugsareal - resultat'!$O$5:$Q$5,0)))),SUMPRODUCT((B422='Landbrugsareal - resultat'!$B$6:$B$19)*(INDEX('Landbrugsareal - resultat'!$R$6:$T$19,,MATCH(E422,'Landbrugsareal - resultat'!$R$5:$T$5,0))))))),IF(D422="Konventionel",IF(C422=2019,SUMPRODUCT((B422='Landbrugsareal - resultat'!$B$33:$B$46)*(INDEX('Landbrugsareal - resultat'!$C$33:$E$46,,MATCH(E422,'Landbrugsareal - resultat'!$C$5:$E$5,0)))),IF(C422=2030,SUMPRODUCT((B422='Landbrugsareal - resultat'!$B$33:$B$46)*(INDEX('Landbrugsareal - resultat'!$F$33:$H$46,,MATCH(E422,'Landbrugsareal - resultat'!$F$5:$H$5,0)))),SUMPRODUCT((B422='Landbrugsareal - resultat'!$B$33:$B$46)*(INDEX('Landbrugsareal - resultat'!$I$33:$K$46,,MATCH(E422,'Landbrugsareal - resultat'!$I$5:$K$5,0)))))),IF(C422=2019,SUMPRODUCT((B422='Landbrugsareal - resultat'!$B$33:$B$46)*(INDEX('Landbrugsareal - resultat'!$L$33:$N$46,,MATCH(E422,'Landbrugsareal - resultat'!$L$5:$N$5,0)))),IF(C422=2030,SUMPRODUCT((B422='Landbrugsareal - resultat'!$B$33:$B$46)*(INDEX('Landbrugsareal - resultat'!$O$33:$Q$46,,MATCH(E422,'Landbrugsareal - resultat'!$O$5:$Q$5,0)))),SUMPRODUCT((B422='Landbrugsareal - resultat'!$B$33:$B$46)*(INDEX('Landbrugsareal - resultat'!$R$33:$T$46,,MATCH(E422,'Landbrugsareal - resultat'!$R$5:$T$5,0))))))))</f>
        <v>2405.3656764330426</v>
      </c>
      <c r="H422" s="168">
        <f>G422*VLOOKUP(B422,[1]Afgrødedata!$A$5:$F$18,2,FALSE)*IF(D422="Økologisk",VLOOKUP(B422,[1]Afgrødedata!$A$5:$F$18,4,FALSE),1)*IF(E422&lt;&gt;Jordbund1,IF(E422=Organ6,VLOOKUP(B422,[1]Afgrødedata!$A$5:$F$18,5,FALSE),VLOOKUP(B422,[1]Afgrødedata!$A$5:$F$18,6,FALSE)),1)*0.1</f>
        <v>23606.258748513879</v>
      </c>
      <c r="I422" s="168">
        <f>G422*VLOOKUP(B422,[1]Afgrødedata!$A$5:$F$18,3,FALSE)*IF(D422="Økologisk",VLOOKUP(B422,[1]Afgrødedata!$A$5:$F$18,4,FALSE),1)*IF(E422&lt;&gt;Jordbund1,IF(E422=Organ6,VLOOKUP(B422,[1]Afgrødedata!$A$5:$F$18,5,FALSE),VLOOKUP(B422,[1]Afgrødedata!$A$5:$F$18,6,FALSE)),1)*HLOOKUP(C422,Landbrug!$C$15:$E$17,2,FALSE)*HLOOKUP(C422,Landbrug!$C$15:$E$17,3,FALSE)*0.1</f>
        <v>7705.0238398680594</v>
      </c>
      <c r="J422" s="76">
        <f t="shared" si="64"/>
        <v>7705.0238398680594</v>
      </c>
    </row>
    <row r="423" spans="1:10" x14ac:dyDescent="0.25">
      <c r="A423" t="s">
        <v>24</v>
      </c>
      <c r="B423" s="1" t="str">
        <f>[1]Afgrødefordeling!$C$3</f>
        <v>Bælgsæd</v>
      </c>
      <c r="C423">
        <v>2019</v>
      </c>
      <c r="D423" t="s">
        <v>7</v>
      </c>
      <c r="E423" s="168" t="str">
        <f t="shared" si="65"/>
        <v>OC12</v>
      </c>
      <c r="F423" t="str">
        <f t="shared" si="62"/>
        <v>Halm</v>
      </c>
      <c r="G423" s="76" cm="1">
        <f t="array" ref="G423">IF(A423="Vestdanmark",IF(D423="Konventionel",IF(C423=2019,SUMPRODUCT((B423='Landbrugsareal - resultat'!$B$6:$B$19)*(INDEX('Landbrugsareal - resultat'!$C$6:$E$19,,MATCH(E423,'Landbrugsareal - resultat'!$C$5:$E$5,0)))),IF(C423=2030,SUMPRODUCT((B423='Landbrugsareal - resultat'!$B$6:$B$19)*(INDEX('Landbrugsareal - resultat'!$F$6:$H$19,,MATCH(E423,'Landbrugsareal - resultat'!$F$5:$H$5,0)))),SUMPRODUCT((B423='Landbrugsareal - resultat'!$B$6:$B$19)*(INDEX('Landbrugsareal - resultat'!$I$6:$K$19,,MATCH(E423,'Landbrugsareal - resultat'!$I$5:$K$5,0)))))),IF(C423=2019,SUMPRODUCT((B423='Landbrugsareal - resultat'!$B$6:$B$19)*(INDEX('Landbrugsareal - resultat'!$L$6:$N$19,,MATCH(E423,'Landbrugsareal - resultat'!$L$5:$N$5,0)))),IF(C423=2030,SUMPRODUCT((B423='Landbrugsareal - resultat'!$B$6:$B$19)*(INDEX('Landbrugsareal - resultat'!$O$6:$Q$19,,MATCH(E423,'Landbrugsareal - resultat'!$O$5:$Q$5,0)))),SUMPRODUCT((B423='Landbrugsareal - resultat'!$B$6:$B$19)*(INDEX('Landbrugsareal - resultat'!$R$6:$T$19,,MATCH(E423,'Landbrugsareal - resultat'!$R$5:$T$5,0))))))),IF(D423="Konventionel",IF(C423=2019,SUMPRODUCT((B423='Landbrugsareal - resultat'!$B$33:$B$46)*(INDEX('Landbrugsareal - resultat'!$C$33:$E$46,,MATCH(E423,'Landbrugsareal - resultat'!$C$5:$E$5,0)))),IF(C423=2030,SUMPRODUCT((B423='Landbrugsareal - resultat'!$B$33:$B$46)*(INDEX('Landbrugsareal - resultat'!$F$33:$H$46,,MATCH(E423,'Landbrugsareal - resultat'!$F$5:$H$5,0)))),SUMPRODUCT((B423='Landbrugsareal - resultat'!$B$33:$B$46)*(INDEX('Landbrugsareal - resultat'!$I$33:$K$46,,MATCH(E423,'Landbrugsareal - resultat'!$I$5:$K$5,0)))))),IF(C423=2019,SUMPRODUCT((B423='Landbrugsareal - resultat'!$B$33:$B$46)*(INDEX('Landbrugsareal - resultat'!$L$33:$N$46,,MATCH(E423,'Landbrugsareal - resultat'!$L$5:$N$5,0)))),IF(C423=2030,SUMPRODUCT((B423='Landbrugsareal - resultat'!$B$33:$B$46)*(INDEX('Landbrugsareal - resultat'!$O$33:$Q$46,,MATCH(E423,'Landbrugsareal - resultat'!$O$5:$Q$5,0)))),SUMPRODUCT((B423='Landbrugsareal - resultat'!$B$33:$B$46)*(INDEX('Landbrugsareal - resultat'!$R$33:$T$46,,MATCH(E423,'Landbrugsareal - resultat'!$R$5:$T$5,0))))))))</f>
        <v>43.689372610861462</v>
      </c>
      <c r="H423" s="168">
        <f>G423*VLOOKUP(B423,[1]Afgrødedata!$A$5:$F$18,2,FALSE)*IF(D423="Økologisk",VLOOKUP(B423,[1]Afgrødedata!$A$5:$F$18,4,FALSE),1)*IF(E423&lt;&gt;Jordbund1,IF(E423=Organ6,VLOOKUP(B423,[1]Afgrødedata!$A$5:$F$18,5,FALSE),VLOOKUP(B423,[1]Afgrødedata!$A$5:$F$18,6,FALSE)),1)*0.1</f>
        <v>236.09736958909536</v>
      </c>
      <c r="I423" s="168">
        <f>G423*VLOOKUP(B423,[1]Afgrødedata!$A$5:$F$18,3,FALSE)*IF(D423="Økologisk",VLOOKUP(B423,[1]Afgrødedata!$A$5:$F$18,4,FALSE),1)*IF(E423&lt;&gt;Jordbund1,IF(E423=Organ6,VLOOKUP(B423,[1]Afgrødedata!$A$5:$F$18,5,FALSE),VLOOKUP(B423,[1]Afgrødedata!$A$5:$F$18,6,FALSE)),1)*HLOOKUP(C423,Landbrug!$C$15:$E$17,2,FALSE)*HLOOKUP(C423,Landbrug!$C$15:$E$17,3,FALSE)*0.1</f>
        <v>70.092290432770596</v>
      </c>
      <c r="J423" s="76">
        <f t="shared" si="64"/>
        <v>70.092290432770596</v>
      </c>
    </row>
    <row r="424" spans="1:10" x14ac:dyDescent="0.25">
      <c r="A424" t="s">
        <v>24</v>
      </c>
      <c r="B424" s="1" t="str">
        <f>[1]Afgrødefordeling!$C$4</f>
        <v>Raps</v>
      </c>
      <c r="C424">
        <v>2019</v>
      </c>
      <c r="D424" t="s">
        <v>7</v>
      </c>
      <c r="E424" s="168" t="str">
        <f t="shared" si="65"/>
        <v>OC12</v>
      </c>
      <c r="F424" t="str">
        <f t="shared" si="62"/>
        <v>Halm</v>
      </c>
      <c r="G424" s="76" cm="1">
        <f t="array" ref="G424">IF(A424="Vestdanmark",IF(D424="Konventionel",IF(C424=2019,SUMPRODUCT((B424='Landbrugsareal - resultat'!$B$6:$B$19)*(INDEX('Landbrugsareal - resultat'!$C$6:$E$19,,MATCH(E424,'Landbrugsareal - resultat'!$C$5:$E$5,0)))),IF(C424=2030,SUMPRODUCT((B424='Landbrugsareal - resultat'!$B$6:$B$19)*(INDEX('Landbrugsareal - resultat'!$F$6:$H$19,,MATCH(E424,'Landbrugsareal - resultat'!$F$5:$H$5,0)))),SUMPRODUCT((B424='Landbrugsareal - resultat'!$B$6:$B$19)*(INDEX('Landbrugsareal - resultat'!$I$6:$K$19,,MATCH(E424,'Landbrugsareal - resultat'!$I$5:$K$5,0)))))),IF(C424=2019,SUMPRODUCT((B424='Landbrugsareal - resultat'!$B$6:$B$19)*(INDEX('Landbrugsareal - resultat'!$L$6:$N$19,,MATCH(E424,'Landbrugsareal - resultat'!$L$5:$N$5,0)))),IF(C424=2030,SUMPRODUCT((B424='Landbrugsareal - resultat'!$B$6:$B$19)*(INDEX('Landbrugsareal - resultat'!$O$6:$Q$19,,MATCH(E424,'Landbrugsareal - resultat'!$O$5:$Q$5,0)))),SUMPRODUCT((B424='Landbrugsareal - resultat'!$B$6:$B$19)*(INDEX('Landbrugsareal - resultat'!$R$6:$T$19,,MATCH(E424,'Landbrugsareal - resultat'!$R$5:$T$5,0))))))),IF(D424="Konventionel",IF(C424=2019,SUMPRODUCT((B424='Landbrugsareal - resultat'!$B$33:$B$46)*(INDEX('Landbrugsareal - resultat'!$C$33:$E$46,,MATCH(E424,'Landbrugsareal - resultat'!$C$5:$E$5,0)))),IF(C424=2030,SUMPRODUCT((B424='Landbrugsareal - resultat'!$B$33:$B$46)*(INDEX('Landbrugsareal - resultat'!$F$33:$H$46,,MATCH(E424,'Landbrugsareal - resultat'!$F$5:$H$5,0)))),SUMPRODUCT((B424='Landbrugsareal - resultat'!$B$33:$B$46)*(INDEX('Landbrugsareal - resultat'!$I$33:$K$46,,MATCH(E424,'Landbrugsareal - resultat'!$I$5:$K$5,0)))))),IF(C424=2019,SUMPRODUCT((B424='Landbrugsareal - resultat'!$B$33:$B$46)*(INDEX('Landbrugsareal - resultat'!$L$33:$N$46,,MATCH(E424,'Landbrugsareal - resultat'!$L$5:$N$5,0)))),IF(C424=2030,SUMPRODUCT((B424='Landbrugsareal - resultat'!$B$33:$B$46)*(INDEX('Landbrugsareal - resultat'!$O$33:$Q$46,,MATCH(E424,'Landbrugsareal - resultat'!$O$5:$Q$5,0)))),SUMPRODUCT((B424='Landbrugsareal - resultat'!$B$33:$B$46)*(INDEX('Landbrugsareal - resultat'!$R$33:$T$46,,MATCH(E424,'Landbrugsareal - resultat'!$R$5:$T$5,0))))))))</f>
        <v>213.41236227092585</v>
      </c>
      <c r="H424" s="168">
        <f>G424*VLOOKUP(B424,[1]Afgrødedata!$A$5:$F$18,2,FALSE)*IF(D424="Økologisk",VLOOKUP(B424,[1]Afgrødedata!$A$5:$F$18,4,FALSE),1)*IF(E424&lt;&gt;Jordbund1,IF(E424=Organ6,VLOOKUP(B424,[1]Afgrødedata!$A$5:$F$18,5,FALSE),VLOOKUP(B424,[1]Afgrødedata!$A$5:$F$18,6,FALSE)),1)*0.1</f>
        <v>1314.6201515889034</v>
      </c>
      <c r="I424" s="168">
        <f>G424*VLOOKUP(B424,[1]Afgrødedata!$A$5:$F$18,3,FALSE)*IF(D424="Økologisk",VLOOKUP(B424,[1]Afgrødedata!$A$5:$F$18,4,FALSE),1)*IF(E424&lt;&gt;Jordbund1,IF(E424=Organ6,VLOOKUP(B424,[1]Afgrødedata!$A$5:$F$18,5,FALSE),VLOOKUP(B424,[1]Afgrødedata!$A$5:$F$18,6,FALSE)),1)*HLOOKUP(C424,Landbrug!$C$15:$E$17,2,FALSE)*HLOOKUP(C424,Landbrug!$C$15:$E$17,3,FALSE)*0.1</f>
        <v>702.14519606439126</v>
      </c>
      <c r="J424" s="76">
        <f t="shared" si="64"/>
        <v>702.14519606439126</v>
      </c>
    </row>
    <row r="425" spans="1:10" x14ac:dyDescent="0.25">
      <c r="A425" t="s">
        <v>24</v>
      </c>
      <c r="B425" s="1" t="str">
        <f>[1]Afgrødefordeling!$C$5</f>
        <v>Græs</v>
      </c>
      <c r="C425">
        <v>2019</v>
      </c>
      <c r="D425" t="s">
        <v>7</v>
      </c>
      <c r="E425" s="168" t="str">
        <f t="shared" si="65"/>
        <v>OC12</v>
      </c>
      <c r="F425" t="str">
        <f t="shared" si="62"/>
        <v>Græs</v>
      </c>
      <c r="G425" s="76" cm="1">
        <f t="array" ref="G425">IF(A425="Vestdanmark",IF(D425="Konventionel",IF(C425=2019,SUMPRODUCT((B425='Landbrugsareal - resultat'!$B$6:$B$19)*(INDEX('Landbrugsareal - resultat'!$C$6:$E$19,,MATCH(E425,'Landbrugsareal - resultat'!$C$5:$E$5,0)))),IF(C425=2030,SUMPRODUCT((B425='Landbrugsareal - resultat'!$B$6:$B$19)*(INDEX('Landbrugsareal - resultat'!$F$6:$H$19,,MATCH(E425,'Landbrugsareal - resultat'!$F$5:$H$5,0)))),SUMPRODUCT((B425='Landbrugsareal - resultat'!$B$6:$B$19)*(INDEX('Landbrugsareal - resultat'!$I$6:$K$19,,MATCH(E425,'Landbrugsareal - resultat'!$I$5:$K$5,0)))))),IF(C425=2019,SUMPRODUCT((B425='Landbrugsareal - resultat'!$B$6:$B$19)*(INDEX('Landbrugsareal - resultat'!$L$6:$N$19,,MATCH(E425,'Landbrugsareal - resultat'!$L$5:$N$5,0)))),IF(C425=2030,SUMPRODUCT((B425='Landbrugsareal - resultat'!$B$6:$B$19)*(INDEX('Landbrugsareal - resultat'!$O$6:$Q$19,,MATCH(E425,'Landbrugsareal - resultat'!$O$5:$Q$5,0)))),SUMPRODUCT((B425='Landbrugsareal - resultat'!$B$6:$B$19)*(INDEX('Landbrugsareal - resultat'!$R$6:$T$19,,MATCH(E425,'Landbrugsareal - resultat'!$R$5:$T$5,0))))))),IF(D425="Konventionel",IF(C425=2019,SUMPRODUCT((B425='Landbrugsareal - resultat'!$B$33:$B$46)*(INDEX('Landbrugsareal - resultat'!$C$33:$E$46,,MATCH(E425,'Landbrugsareal - resultat'!$C$5:$E$5,0)))),IF(C425=2030,SUMPRODUCT((B425='Landbrugsareal - resultat'!$B$33:$B$46)*(INDEX('Landbrugsareal - resultat'!$F$33:$H$46,,MATCH(E425,'Landbrugsareal - resultat'!$F$5:$H$5,0)))),SUMPRODUCT((B425='Landbrugsareal - resultat'!$B$33:$B$46)*(INDEX('Landbrugsareal - resultat'!$I$33:$K$46,,MATCH(E425,'Landbrugsareal - resultat'!$I$5:$K$5,0)))))),IF(C425=2019,SUMPRODUCT((B425='Landbrugsareal - resultat'!$B$33:$B$46)*(INDEX('Landbrugsareal - resultat'!$L$33:$N$46,,MATCH(E425,'Landbrugsareal - resultat'!$L$5:$N$5,0)))),IF(C425=2030,SUMPRODUCT((B425='Landbrugsareal - resultat'!$B$33:$B$46)*(INDEX('Landbrugsareal - resultat'!$O$33:$Q$46,,MATCH(E425,'Landbrugsareal - resultat'!$O$5:$Q$5,0)))),SUMPRODUCT((B425='Landbrugsareal - resultat'!$B$33:$B$46)*(INDEX('Landbrugsareal - resultat'!$R$33:$T$46,,MATCH(E425,'Landbrugsareal - resultat'!$R$5:$T$5,0))))))))</f>
        <v>1568.2790703534299</v>
      </c>
      <c r="H425" s="168">
        <f>G425*VLOOKUP(B425,[1]Afgrødedata!$A$5:$F$18,2,FALSE)*IF(D425="Økologisk",VLOOKUP(B425,[1]Afgrødedata!$A$5:$F$18,4,FALSE),1)*IF(E425&lt;&gt;Jordbund1,IF(E425=Organ6,VLOOKUP(B425,[1]Afgrødedata!$A$5:$F$18,5,FALSE),VLOOKUP(B425,[1]Afgrødedata!$A$5:$F$18,6,FALSE)),1)*0.1</f>
        <v>108945.21045931206</v>
      </c>
      <c r="I425" s="168">
        <f>G425*VLOOKUP(B425,[1]Afgrødedata!$A$5:$F$18,3,FALSE)*IF(D425="Økologisk",VLOOKUP(B425,[1]Afgrødedata!$A$5:$F$18,4,FALSE),1)*IF(E425&lt;&gt;Jordbund1,IF(E425=Organ6,VLOOKUP(B425,[1]Afgrødedata!$A$5:$F$18,5,FALSE),VLOOKUP(B425,[1]Afgrødedata!$A$5:$F$18,6,FALSE)),1)*HLOOKUP(C425,Landbrug!$C$15:$E$17,2,FALSE)*HLOOKUP(C425,Landbrug!$C$15:$E$17,3,FALSE)*0.1</f>
        <v>0</v>
      </c>
      <c r="J425" s="76">
        <f t="shared" si="64"/>
        <v>108945.21045931206</v>
      </c>
    </row>
    <row r="426" spans="1:10" x14ac:dyDescent="0.25">
      <c r="A426" t="s">
        <v>24</v>
      </c>
      <c r="B426" s="1" t="str">
        <f>[1]Afgrødefordeling!$C$6</f>
        <v>Grøntsager</v>
      </c>
      <c r="C426">
        <v>2019</v>
      </c>
      <c r="D426" t="s">
        <v>7</v>
      </c>
      <c r="E426" s="168" t="str">
        <f t="shared" si="65"/>
        <v>OC12</v>
      </c>
      <c r="F426" t="str">
        <f t="shared" si="62"/>
        <v>Grøntsager</v>
      </c>
      <c r="G426" s="76" cm="1">
        <f t="array" ref="G426">IF(A426="Vestdanmark",IF(D426="Konventionel",IF(C426=2019,SUMPRODUCT((B426='Landbrugsareal - resultat'!$B$6:$B$19)*(INDEX('Landbrugsareal - resultat'!$C$6:$E$19,,MATCH(E426,'Landbrugsareal - resultat'!$C$5:$E$5,0)))),IF(C426=2030,SUMPRODUCT((B426='Landbrugsareal - resultat'!$B$6:$B$19)*(INDEX('Landbrugsareal - resultat'!$F$6:$H$19,,MATCH(E426,'Landbrugsareal - resultat'!$F$5:$H$5,0)))),SUMPRODUCT((B426='Landbrugsareal - resultat'!$B$6:$B$19)*(INDEX('Landbrugsareal - resultat'!$I$6:$K$19,,MATCH(E426,'Landbrugsareal - resultat'!$I$5:$K$5,0)))))),IF(C426=2019,SUMPRODUCT((B426='Landbrugsareal - resultat'!$B$6:$B$19)*(INDEX('Landbrugsareal - resultat'!$L$6:$N$19,,MATCH(E426,'Landbrugsareal - resultat'!$L$5:$N$5,0)))),IF(C426=2030,SUMPRODUCT((B426='Landbrugsareal - resultat'!$B$6:$B$19)*(INDEX('Landbrugsareal - resultat'!$O$6:$Q$19,,MATCH(E426,'Landbrugsareal - resultat'!$O$5:$Q$5,0)))),SUMPRODUCT((B426='Landbrugsareal - resultat'!$B$6:$B$19)*(INDEX('Landbrugsareal - resultat'!$R$6:$T$19,,MATCH(E426,'Landbrugsareal - resultat'!$R$5:$T$5,0))))))),IF(D426="Konventionel",IF(C426=2019,SUMPRODUCT((B426='Landbrugsareal - resultat'!$B$33:$B$46)*(INDEX('Landbrugsareal - resultat'!$C$33:$E$46,,MATCH(E426,'Landbrugsareal - resultat'!$C$5:$E$5,0)))),IF(C426=2030,SUMPRODUCT((B426='Landbrugsareal - resultat'!$B$33:$B$46)*(INDEX('Landbrugsareal - resultat'!$F$33:$H$46,,MATCH(E426,'Landbrugsareal - resultat'!$F$5:$H$5,0)))),SUMPRODUCT((B426='Landbrugsareal - resultat'!$B$33:$B$46)*(INDEX('Landbrugsareal - resultat'!$I$33:$K$46,,MATCH(E426,'Landbrugsareal - resultat'!$I$5:$K$5,0)))))),IF(C426=2019,SUMPRODUCT((B426='Landbrugsareal - resultat'!$B$33:$B$46)*(INDEX('Landbrugsareal - resultat'!$L$33:$N$46,,MATCH(E426,'Landbrugsareal - resultat'!$L$5:$N$5,0)))),IF(C426=2030,SUMPRODUCT((B426='Landbrugsareal - resultat'!$B$33:$B$46)*(INDEX('Landbrugsareal - resultat'!$O$33:$Q$46,,MATCH(E426,'Landbrugsareal - resultat'!$O$5:$Q$5,0)))),SUMPRODUCT((B426='Landbrugsareal - resultat'!$B$33:$B$46)*(INDEX('Landbrugsareal - resultat'!$R$33:$T$46,,MATCH(E426,'Landbrugsareal - resultat'!$R$5:$T$5,0))))))))</f>
        <v>7.3812605655971391</v>
      </c>
      <c r="H426" s="168">
        <f>G426*VLOOKUP(B426,[1]Afgrødedata!$A$5:$F$18,2,FALSE)*IF(D426="Økologisk",VLOOKUP(B426,[1]Afgrødedata!$A$5:$F$18,4,FALSE),1)*IF(E426&lt;&gt;Jordbund1,IF(E426=Organ6,VLOOKUP(B426,[1]Afgrødedata!$A$5:$F$18,5,FALSE),VLOOKUP(B426,[1]Afgrødedata!$A$5:$F$18,6,FALSE)),1)*0.1</f>
        <v>214.42561943059687</v>
      </c>
      <c r="I426" s="168">
        <f>G426*VLOOKUP(B426,[1]Afgrødedata!$A$5:$F$18,3,FALSE)*IF(D426="Økologisk",VLOOKUP(B426,[1]Afgrødedata!$A$5:$F$18,4,FALSE),1)*IF(E426&lt;&gt;Jordbund1,IF(E426=Organ6,VLOOKUP(B426,[1]Afgrødedata!$A$5:$F$18,5,FALSE),VLOOKUP(B426,[1]Afgrødedata!$A$5:$F$18,6,FALSE)),1)*HLOOKUP(C426,Landbrug!$C$15:$E$17,2,FALSE)*HLOOKUP(C426,Landbrug!$C$15:$E$17,3,FALSE)*0.1</f>
        <v>0</v>
      </c>
      <c r="J426" s="76">
        <f t="shared" si="64"/>
        <v>214.42561943059687</v>
      </c>
    </row>
    <row r="427" spans="1:10" x14ac:dyDescent="0.25">
      <c r="A427" t="s">
        <v>24</v>
      </c>
      <c r="B427" s="1" t="str">
        <f>[1]Afgrødefordeling!$C$7</f>
        <v>Kartofler</v>
      </c>
      <c r="C427">
        <v>2019</v>
      </c>
      <c r="D427" t="s">
        <v>7</v>
      </c>
      <c r="E427" s="168" t="str">
        <f t="shared" si="65"/>
        <v>OC12</v>
      </c>
      <c r="F427" t="str">
        <f t="shared" si="62"/>
        <v>Kartofler</v>
      </c>
      <c r="G427" s="76" cm="1">
        <f t="array" ref="G427">IF(A427="Vestdanmark",IF(D427="Konventionel",IF(C427=2019,SUMPRODUCT((B427='Landbrugsareal - resultat'!$B$6:$B$19)*(INDEX('Landbrugsareal - resultat'!$C$6:$E$19,,MATCH(E427,'Landbrugsareal - resultat'!$C$5:$E$5,0)))),IF(C427=2030,SUMPRODUCT((B427='Landbrugsareal - resultat'!$B$6:$B$19)*(INDEX('Landbrugsareal - resultat'!$F$6:$H$19,,MATCH(E427,'Landbrugsareal - resultat'!$F$5:$H$5,0)))),SUMPRODUCT((B427='Landbrugsareal - resultat'!$B$6:$B$19)*(INDEX('Landbrugsareal - resultat'!$I$6:$K$19,,MATCH(E427,'Landbrugsareal - resultat'!$I$5:$K$5,0)))))),IF(C427=2019,SUMPRODUCT((B427='Landbrugsareal - resultat'!$B$6:$B$19)*(INDEX('Landbrugsareal - resultat'!$L$6:$N$19,,MATCH(E427,'Landbrugsareal - resultat'!$L$5:$N$5,0)))),IF(C427=2030,SUMPRODUCT((B427='Landbrugsareal - resultat'!$B$6:$B$19)*(INDEX('Landbrugsareal - resultat'!$O$6:$Q$19,,MATCH(E427,'Landbrugsareal - resultat'!$O$5:$Q$5,0)))),SUMPRODUCT((B427='Landbrugsareal - resultat'!$B$6:$B$19)*(INDEX('Landbrugsareal - resultat'!$R$6:$T$19,,MATCH(E427,'Landbrugsareal - resultat'!$R$5:$T$5,0))))))),IF(D427="Konventionel",IF(C427=2019,SUMPRODUCT((B427='Landbrugsareal - resultat'!$B$33:$B$46)*(INDEX('Landbrugsareal - resultat'!$C$33:$E$46,,MATCH(E427,'Landbrugsareal - resultat'!$C$5:$E$5,0)))),IF(C427=2030,SUMPRODUCT((B427='Landbrugsareal - resultat'!$B$33:$B$46)*(INDEX('Landbrugsareal - resultat'!$F$33:$H$46,,MATCH(E427,'Landbrugsareal - resultat'!$F$5:$H$5,0)))),SUMPRODUCT((B427='Landbrugsareal - resultat'!$B$33:$B$46)*(INDEX('Landbrugsareal - resultat'!$I$33:$K$46,,MATCH(E427,'Landbrugsareal - resultat'!$I$5:$K$5,0)))))),IF(C427=2019,SUMPRODUCT((B427='Landbrugsareal - resultat'!$B$33:$B$46)*(INDEX('Landbrugsareal - resultat'!$L$33:$N$46,,MATCH(E427,'Landbrugsareal - resultat'!$L$5:$N$5,0)))),IF(C427=2030,SUMPRODUCT((B427='Landbrugsareal - resultat'!$B$33:$B$46)*(INDEX('Landbrugsareal - resultat'!$O$33:$Q$46,,MATCH(E427,'Landbrugsareal - resultat'!$O$5:$Q$5,0)))),SUMPRODUCT((B427='Landbrugsareal - resultat'!$B$33:$B$46)*(INDEX('Landbrugsareal - resultat'!$R$33:$T$46,,MATCH(E427,'Landbrugsareal - resultat'!$R$5:$T$5,0))))))))</f>
        <v>42.07230469683256</v>
      </c>
      <c r="H427" s="168">
        <f>G427*VLOOKUP(B427,[1]Afgrødedata!$A$5:$F$18,2,FALSE)*IF(D427="Økologisk",VLOOKUP(B427,[1]Afgrødedata!$A$5:$F$18,4,FALSE),1)*IF(E427&lt;&gt;Jordbund1,IF(E427=Organ6,VLOOKUP(B427,[1]Afgrødedata!$A$5:$F$18,5,FALSE),VLOOKUP(B427,[1]Afgrødedata!$A$5:$F$18,6,FALSE)),1)*0.1</f>
        <v>2501.588072603518</v>
      </c>
      <c r="I427" s="168">
        <f>G427*VLOOKUP(B427,[1]Afgrødedata!$A$5:$F$18,3,FALSE)*IF(D427="Økologisk",VLOOKUP(B427,[1]Afgrødedata!$A$5:$F$18,4,FALSE),1)*IF(E427&lt;&gt;Jordbund1,IF(E427=Organ6,VLOOKUP(B427,[1]Afgrødedata!$A$5:$F$18,5,FALSE),VLOOKUP(B427,[1]Afgrødedata!$A$5:$F$18,6,FALSE)),1)*HLOOKUP(C427,Landbrug!$C$15:$E$17,2,FALSE)*HLOOKUP(C427,Landbrug!$C$15:$E$17,3,FALSE)*0.1</f>
        <v>0</v>
      </c>
      <c r="J427" s="76">
        <f t="shared" si="64"/>
        <v>2501.588072603518</v>
      </c>
    </row>
    <row r="428" spans="1:10" x14ac:dyDescent="0.25">
      <c r="A428" t="s">
        <v>24</v>
      </c>
      <c r="B428" s="1" t="str">
        <f>[1]Afgrødefordeling!$C$8</f>
        <v>Roer</v>
      </c>
      <c r="C428">
        <v>2019</v>
      </c>
      <c r="D428" t="s">
        <v>7</v>
      </c>
      <c r="E428" s="168" t="str">
        <f t="shared" si="65"/>
        <v>OC12</v>
      </c>
      <c r="F428" t="str">
        <f t="shared" si="62"/>
        <v>Roer</v>
      </c>
      <c r="G428" s="76" cm="1">
        <f t="array" ref="G428">IF(A428="Vestdanmark",IF(D428="Konventionel",IF(C428=2019,SUMPRODUCT((B428='Landbrugsareal - resultat'!$B$6:$B$19)*(INDEX('Landbrugsareal - resultat'!$C$6:$E$19,,MATCH(E428,'Landbrugsareal - resultat'!$C$5:$E$5,0)))),IF(C428=2030,SUMPRODUCT((B428='Landbrugsareal - resultat'!$B$6:$B$19)*(INDEX('Landbrugsareal - resultat'!$F$6:$H$19,,MATCH(E428,'Landbrugsareal - resultat'!$F$5:$H$5,0)))),SUMPRODUCT((B428='Landbrugsareal - resultat'!$B$6:$B$19)*(INDEX('Landbrugsareal - resultat'!$I$6:$K$19,,MATCH(E428,'Landbrugsareal - resultat'!$I$5:$K$5,0)))))),IF(C428=2019,SUMPRODUCT((B428='Landbrugsareal - resultat'!$B$6:$B$19)*(INDEX('Landbrugsareal - resultat'!$L$6:$N$19,,MATCH(E428,'Landbrugsareal - resultat'!$L$5:$N$5,0)))),IF(C428=2030,SUMPRODUCT((B428='Landbrugsareal - resultat'!$B$6:$B$19)*(INDEX('Landbrugsareal - resultat'!$O$6:$Q$19,,MATCH(E428,'Landbrugsareal - resultat'!$O$5:$Q$5,0)))),SUMPRODUCT((B428='Landbrugsareal - resultat'!$B$6:$B$19)*(INDEX('Landbrugsareal - resultat'!$R$6:$T$19,,MATCH(E428,'Landbrugsareal - resultat'!$R$5:$T$5,0))))))),IF(D428="Konventionel",IF(C428=2019,SUMPRODUCT((B428='Landbrugsareal - resultat'!$B$33:$B$46)*(INDEX('Landbrugsareal - resultat'!$C$33:$E$46,,MATCH(E428,'Landbrugsareal - resultat'!$C$5:$E$5,0)))),IF(C428=2030,SUMPRODUCT((B428='Landbrugsareal - resultat'!$B$33:$B$46)*(INDEX('Landbrugsareal - resultat'!$F$33:$H$46,,MATCH(E428,'Landbrugsareal - resultat'!$F$5:$H$5,0)))),SUMPRODUCT((B428='Landbrugsareal - resultat'!$B$33:$B$46)*(INDEX('Landbrugsareal - resultat'!$I$33:$K$46,,MATCH(E428,'Landbrugsareal - resultat'!$I$5:$K$5,0)))))),IF(C428=2019,SUMPRODUCT((B428='Landbrugsareal - resultat'!$B$33:$B$46)*(INDEX('Landbrugsareal - resultat'!$L$33:$N$46,,MATCH(E428,'Landbrugsareal - resultat'!$L$5:$N$5,0)))),IF(C428=2030,SUMPRODUCT((B428='Landbrugsareal - resultat'!$B$33:$B$46)*(INDEX('Landbrugsareal - resultat'!$O$33:$Q$46,,MATCH(E428,'Landbrugsareal - resultat'!$O$5:$Q$5,0)))),SUMPRODUCT((B428='Landbrugsareal - resultat'!$B$33:$B$46)*(INDEX('Landbrugsareal - resultat'!$R$33:$T$46,,MATCH(E428,'Landbrugsareal - resultat'!$R$5:$T$5,0))))))))</f>
        <v>48.449860161125741</v>
      </c>
      <c r="H428" s="168">
        <f>G428*VLOOKUP(B428,[1]Afgrødedata!$A$5:$F$18,2,FALSE)*IF(D428="Økologisk",VLOOKUP(B428,[1]Afgrødedata!$A$5:$F$18,4,FALSE),1)*IF(E428&lt;&gt;Jordbund1,IF(E428=Organ6,VLOOKUP(B428,[1]Afgrødedata!$A$5:$F$18,5,FALSE),VLOOKUP(B428,[1]Afgrødedata!$A$5:$F$18,6,FALSE)),1)*0.1</f>
        <v>5511.424689612476</v>
      </c>
      <c r="I428" s="168">
        <f>G428*VLOOKUP(B428,[1]Afgrødedata!$A$5:$F$18,3,FALSE)*IF(D428="Økologisk",VLOOKUP(B428,[1]Afgrødedata!$A$5:$F$18,4,FALSE),1)*IF(E428&lt;&gt;Jordbund1,IF(E428=Organ6,VLOOKUP(B428,[1]Afgrødedata!$A$5:$F$18,5,FALSE),VLOOKUP(B428,[1]Afgrødedata!$A$5:$F$18,6,FALSE)),1)*HLOOKUP(C428,Landbrug!$C$15:$E$17,2,FALSE)*HLOOKUP(C428,Landbrug!$C$15:$E$17,3,FALSE)*0.1</f>
        <v>0</v>
      </c>
      <c r="J428" s="76">
        <f t="shared" si="64"/>
        <v>5511.424689612476</v>
      </c>
    </row>
    <row r="429" spans="1:10" x14ac:dyDescent="0.25">
      <c r="A429" t="s">
        <v>24</v>
      </c>
      <c r="B429" s="1" t="str">
        <f>[1]Afgrødefordeling!$C$9</f>
        <v>Majs</v>
      </c>
      <c r="C429">
        <v>2019</v>
      </c>
      <c r="D429" t="s">
        <v>7</v>
      </c>
      <c r="E429" s="168" t="str">
        <f t="shared" si="65"/>
        <v>OC12</v>
      </c>
      <c r="F429" t="str">
        <f t="shared" si="62"/>
        <v>Majs</v>
      </c>
      <c r="G429" s="76" cm="1">
        <f t="array" ref="G429">IF(A429="Vestdanmark",IF(D429="Konventionel",IF(C429=2019,SUMPRODUCT((B429='Landbrugsareal - resultat'!$B$6:$B$19)*(INDEX('Landbrugsareal - resultat'!$C$6:$E$19,,MATCH(E429,'Landbrugsareal - resultat'!$C$5:$E$5,0)))),IF(C429=2030,SUMPRODUCT((B429='Landbrugsareal - resultat'!$B$6:$B$19)*(INDEX('Landbrugsareal - resultat'!$F$6:$H$19,,MATCH(E429,'Landbrugsareal - resultat'!$F$5:$H$5,0)))),SUMPRODUCT((B429='Landbrugsareal - resultat'!$B$6:$B$19)*(INDEX('Landbrugsareal - resultat'!$I$6:$K$19,,MATCH(E429,'Landbrugsareal - resultat'!$I$5:$K$5,0)))))),IF(C429=2019,SUMPRODUCT((B429='Landbrugsareal - resultat'!$B$6:$B$19)*(INDEX('Landbrugsareal - resultat'!$L$6:$N$19,,MATCH(E429,'Landbrugsareal - resultat'!$L$5:$N$5,0)))),IF(C429=2030,SUMPRODUCT((B429='Landbrugsareal - resultat'!$B$6:$B$19)*(INDEX('Landbrugsareal - resultat'!$O$6:$Q$19,,MATCH(E429,'Landbrugsareal - resultat'!$O$5:$Q$5,0)))),SUMPRODUCT((B429='Landbrugsareal - resultat'!$B$6:$B$19)*(INDEX('Landbrugsareal - resultat'!$R$6:$T$19,,MATCH(E429,'Landbrugsareal - resultat'!$R$5:$T$5,0))))))),IF(D429="Konventionel",IF(C429=2019,SUMPRODUCT((B429='Landbrugsareal - resultat'!$B$33:$B$46)*(INDEX('Landbrugsareal - resultat'!$C$33:$E$46,,MATCH(E429,'Landbrugsareal - resultat'!$C$5:$E$5,0)))),IF(C429=2030,SUMPRODUCT((B429='Landbrugsareal - resultat'!$B$33:$B$46)*(INDEX('Landbrugsareal - resultat'!$F$33:$H$46,,MATCH(E429,'Landbrugsareal - resultat'!$F$5:$H$5,0)))),SUMPRODUCT((B429='Landbrugsareal - resultat'!$B$33:$B$46)*(INDEX('Landbrugsareal - resultat'!$I$33:$K$46,,MATCH(E429,'Landbrugsareal - resultat'!$I$5:$K$5,0)))))),IF(C429=2019,SUMPRODUCT((B429='Landbrugsareal - resultat'!$B$33:$B$46)*(INDEX('Landbrugsareal - resultat'!$L$33:$N$46,,MATCH(E429,'Landbrugsareal - resultat'!$L$5:$N$5,0)))),IF(C429=2030,SUMPRODUCT((B429='Landbrugsareal - resultat'!$B$33:$B$46)*(INDEX('Landbrugsareal - resultat'!$O$33:$Q$46,,MATCH(E429,'Landbrugsareal - resultat'!$O$5:$Q$5,0)))),SUMPRODUCT((B429='Landbrugsareal - resultat'!$B$33:$B$46)*(INDEX('Landbrugsareal - resultat'!$R$33:$T$46,,MATCH(E429,'Landbrugsareal - resultat'!$R$5:$T$5,0))))))))</f>
        <v>49.764184288702324</v>
      </c>
      <c r="H429" s="168">
        <f>G429*VLOOKUP(B429,[1]Afgrødedata!$A$5:$F$18,2,FALSE)*IF(D429="Økologisk",VLOOKUP(B429,[1]Afgrødedata!$A$5:$F$18,4,FALSE),1)*IF(E429&lt;&gt;Jordbund1,IF(E429=Organ6,VLOOKUP(B429,[1]Afgrødedata!$A$5:$F$18,5,FALSE),VLOOKUP(B429,[1]Afgrødedata!$A$5:$F$18,6,FALSE)),1)*0.1</f>
        <v>3101.0053797661967</v>
      </c>
      <c r="I429" s="168">
        <f>G429*VLOOKUP(B429,[1]Afgrødedata!$A$5:$F$18,3,FALSE)*IF(D429="Økologisk",VLOOKUP(B429,[1]Afgrødedata!$A$5:$F$18,4,FALSE),1)*IF(E429&lt;&gt;Jordbund1,IF(E429=Organ6,VLOOKUP(B429,[1]Afgrødedata!$A$5:$F$18,5,FALSE),VLOOKUP(B429,[1]Afgrødedata!$A$5:$F$18,6,FALSE)),1)*HLOOKUP(C429,Landbrug!$C$15:$E$17,2,FALSE)*HLOOKUP(C429,Landbrug!$C$15:$E$17,3,FALSE)*0.1</f>
        <v>0</v>
      </c>
      <c r="J429" s="76">
        <f t="shared" si="64"/>
        <v>3101.0053797661967</v>
      </c>
    </row>
    <row r="430" spans="1:10" x14ac:dyDescent="0.25">
      <c r="A430" t="s">
        <v>24</v>
      </c>
      <c r="B430" s="1" t="str">
        <f>[1]Afgrødefordeling!$C$10</f>
        <v>Frugt</v>
      </c>
      <c r="C430">
        <v>2019</v>
      </c>
      <c r="D430" t="s">
        <v>7</v>
      </c>
      <c r="E430" s="168" t="str">
        <f t="shared" si="65"/>
        <v>OC12</v>
      </c>
      <c r="F430" t="str">
        <f t="shared" si="62"/>
        <v>Frugt</v>
      </c>
      <c r="G430" s="76" cm="1">
        <f t="array" ref="G430">IF(A430="Vestdanmark",IF(D430="Konventionel",IF(C430=2019,SUMPRODUCT((B430='Landbrugsareal - resultat'!$B$6:$B$19)*(INDEX('Landbrugsareal - resultat'!$C$6:$E$19,,MATCH(E430,'Landbrugsareal - resultat'!$C$5:$E$5,0)))),IF(C430=2030,SUMPRODUCT((B430='Landbrugsareal - resultat'!$B$6:$B$19)*(INDEX('Landbrugsareal - resultat'!$F$6:$H$19,,MATCH(E430,'Landbrugsareal - resultat'!$F$5:$H$5,0)))),SUMPRODUCT((B430='Landbrugsareal - resultat'!$B$6:$B$19)*(INDEX('Landbrugsareal - resultat'!$I$6:$K$19,,MATCH(E430,'Landbrugsareal - resultat'!$I$5:$K$5,0)))))),IF(C430=2019,SUMPRODUCT((B430='Landbrugsareal - resultat'!$B$6:$B$19)*(INDEX('Landbrugsareal - resultat'!$L$6:$N$19,,MATCH(E430,'Landbrugsareal - resultat'!$L$5:$N$5,0)))),IF(C430=2030,SUMPRODUCT((B430='Landbrugsareal - resultat'!$B$6:$B$19)*(INDEX('Landbrugsareal - resultat'!$O$6:$Q$19,,MATCH(E430,'Landbrugsareal - resultat'!$O$5:$Q$5,0)))),SUMPRODUCT((B430='Landbrugsareal - resultat'!$B$6:$B$19)*(INDEX('Landbrugsareal - resultat'!$R$6:$T$19,,MATCH(E430,'Landbrugsareal - resultat'!$R$5:$T$5,0))))))),IF(D430="Konventionel",IF(C430=2019,SUMPRODUCT((B430='Landbrugsareal - resultat'!$B$33:$B$46)*(INDEX('Landbrugsareal - resultat'!$C$33:$E$46,,MATCH(E430,'Landbrugsareal - resultat'!$C$5:$E$5,0)))),IF(C430=2030,SUMPRODUCT((B430='Landbrugsareal - resultat'!$B$33:$B$46)*(INDEX('Landbrugsareal - resultat'!$F$33:$H$46,,MATCH(E430,'Landbrugsareal - resultat'!$F$5:$H$5,0)))),SUMPRODUCT((B430='Landbrugsareal - resultat'!$B$33:$B$46)*(INDEX('Landbrugsareal - resultat'!$I$33:$K$46,,MATCH(E430,'Landbrugsareal - resultat'!$I$5:$K$5,0)))))),IF(C430=2019,SUMPRODUCT((B430='Landbrugsareal - resultat'!$B$33:$B$46)*(INDEX('Landbrugsareal - resultat'!$L$33:$N$46,,MATCH(E430,'Landbrugsareal - resultat'!$L$5:$N$5,0)))),IF(C430=2030,SUMPRODUCT((B430='Landbrugsareal - resultat'!$B$33:$B$46)*(INDEX('Landbrugsareal - resultat'!$O$33:$Q$46,,MATCH(E430,'Landbrugsareal - resultat'!$O$5:$Q$5,0)))),SUMPRODUCT((B430='Landbrugsareal - resultat'!$B$33:$B$46)*(INDEX('Landbrugsareal - resultat'!$R$33:$T$46,,MATCH(E430,'Landbrugsareal - resultat'!$R$5:$T$5,0))))))))</f>
        <v>18.058201878591998</v>
      </c>
      <c r="H430" s="168">
        <f>G430*VLOOKUP(B430,[1]Afgrødedata!$A$5:$F$18,2,FALSE)*IF(D430="Økologisk",VLOOKUP(B430,[1]Afgrødedata!$A$5:$F$18,4,FALSE),1)*IF(E430&lt;&gt;Jordbund1,IF(E430=Organ6,VLOOKUP(B430,[1]Afgrødedata!$A$5:$F$18,5,FALSE),VLOOKUP(B430,[1]Afgrødedata!$A$5:$F$18,6,FALSE)),1)*0.1</f>
        <v>214.63978752894451</v>
      </c>
      <c r="I430" s="168">
        <f>G430*VLOOKUP(B430,[1]Afgrødedata!$A$5:$F$18,3,FALSE)*IF(D430="Økologisk",VLOOKUP(B430,[1]Afgrødedata!$A$5:$F$18,4,FALSE),1)*IF(E430&lt;&gt;Jordbund1,IF(E430=Organ6,VLOOKUP(B430,[1]Afgrødedata!$A$5:$F$18,5,FALSE),VLOOKUP(B430,[1]Afgrødedata!$A$5:$F$18,6,FALSE)),1)*HLOOKUP(C430,Landbrug!$C$15:$E$17,2,FALSE)*HLOOKUP(C430,Landbrug!$C$15:$E$17,3,FALSE)*0.1</f>
        <v>0</v>
      </c>
      <c r="J430" s="76">
        <f t="shared" si="64"/>
        <v>214.63978752894451</v>
      </c>
    </row>
    <row r="431" spans="1:10" x14ac:dyDescent="0.25">
      <c r="A431" t="s">
        <v>24</v>
      </c>
      <c r="B431" s="1" t="str">
        <f>[1]Afgrødefordeling!$C$11</f>
        <v>Øvrige</v>
      </c>
      <c r="C431">
        <v>2019</v>
      </c>
      <c r="D431" t="s">
        <v>7</v>
      </c>
      <c r="E431" s="168" t="str">
        <f t="shared" si="65"/>
        <v>OC12</v>
      </c>
      <c r="F431" t="str">
        <f t="shared" si="62"/>
        <v>Øvrige</v>
      </c>
      <c r="G431" s="76" cm="1">
        <f t="array" ref="G431">IF(A431="Vestdanmark",IF(D431="Konventionel",IF(C431=2019,SUMPRODUCT((B431='Landbrugsareal - resultat'!$B$6:$B$19)*(INDEX('Landbrugsareal - resultat'!$C$6:$E$19,,MATCH(E431,'Landbrugsareal - resultat'!$C$5:$E$5,0)))),IF(C431=2030,SUMPRODUCT((B431='Landbrugsareal - resultat'!$B$6:$B$19)*(INDEX('Landbrugsareal - resultat'!$F$6:$H$19,,MATCH(E431,'Landbrugsareal - resultat'!$F$5:$H$5,0)))),SUMPRODUCT((B431='Landbrugsareal - resultat'!$B$6:$B$19)*(INDEX('Landbrugsareal - resultat'!$I$6:$K$19,,MATCH(E431,'Landbrugsareal - resultat'!$I$5:$K$5,0)))))),IF(C431=2019,SUMPRODUCT((B431='Landbrugsareal - resultat'!$B$6:$B$19)*(INDEX('Landbrugsareal - resultat'!$L$6:$N$19,,MATCH(E431,'Landbrugsareal - resultat'!$L$5:$N$5,0)))),IF(C431=2030,SUMPRODUCT((B431='Landbrugsareal - resultat'!$B$6:$B$19)*(INDEX('Landbrugsareal - resultat'!$O$6:$Q$19,,MATCH(E431,'Landbrugsareal - resultat'!$O$5:$Q$5,0)))),SUMPRODUCT((B431='Landbrugsareal - resultat'!$B$6:$B$19)*(INDEX('Landbrugsareal - resultat'!$R$6:$T$19,,MATCH(E431,'Landbrugsareal - resultat'!$R$5:$T$5,0))))))),IF(D431="Konventionel",IF(C431=2019,SUMPRODUCT((B431='Landbrugsareal - resultat'!$B$33:$B$46)*(INDEX('Landbrugsareal - resultat'!$C$33:$E$46,,MATCH(E431,'Landbrugsareal - resultat'!$C$5:$E$5,0)))),IF(C431=2030,SUMPRODUCT((B431='Landbrugsareal - resultat'!$B$33:$B$46)*(INDEX('Landbrugsareal - resultat'!$F$33:$H$46,,MATCH(E431,'Landbrugsareal - resultat'!$F$5:$H$5,0)))),SUMPRODUCT((B431='Landbrugsareal - resultat'!$B$33:$B$46)*(INDEX('Landbrugsareal - resultat'!$I$33:$K$46,,MATCH(E431,'Landbrugsareal - resultat'!$I$5:$K$5,0)))))),IF(C431=2019,SUMPRODUCT((B431='Landbrugsareal - resultat'!$B$33:$B$46)*(INDEX('Landbrugsareal - resultat'!$L$33:$N$46,,MATCH(E431,'Landbrugsareal - resultat'!$L$5:$N$5,0)))),IF(C431=2030,SUMPRODUCT((B431='Landbrugsareal - resultat'!$B$33:$B$46)*(INDEX('Landbrugsareal - resultat'!$O$33:$Q$46,,MATCH(E431,'Landbrugsareal - resultat'!$O$5:$Q$5,0)))),SUMPRODUCT((B431='Landbrugsareal - resultat'!$B$33:$B$46)*(INDEX('Landbrugsareal - resultat'!$R$33:$T$46,,MATCH(E431,'Landbrugsareal - resultat'!$R$5:$T$5,0))))))))</f>
        <v>128.94431985233555</v>
      </c>
      <c r="H431" s="168">
        <f>G431*VLOOKUP(B431,[1]Afgrødedata!$A$5:$F$18,2,FALSE)*IF(D431="Økologisk",VLOOKUP(B431,[1]Afgrødedata!$A$5:$F$18,4,FALSE),1)*IF(E431&lt;&gt;Jordbund1,IF(E431=Organ6,VLOOKUP(B431,[1]Afgrødedata!$A$5:$F$18,5,FALSE),VLOOKUP(B431,[1]Afgrødedata!$A$5:$F$18,6,FALSE)),1)*0.1</f>
        <v>5378.8247380303737</v>
      </c>
      <c r="I431" s="168">
        <f>G431*VLOOKUP(B431,[1]Afgrødedata!$A$5:$F$18,3,FALSE)*IF(D431="Økologisk",VLOOKUP(B431,[1]Afgrødedata!$A$5:$F$18,4,FALSE),1)*IF(E431&lt;&gt;Jordbund1,IF(E431=Organ6,VLOOKUP(B431,[1]Afgrødedata!$A$5:$F$18,5,FALSE),VLOOKUP(B431,[1]Afgrødedata!$A$5:$F$18,6,FALSE)),1)*HLOOKUP(C431,Landbrug!$C$15:$E$17,2,FALSE)*HLOOKUP(C431,Landbrug!$C$15:$E$17,3,FALSE)*0.1</f>
        <v>0</v>
      </c>
      <c r="J431" s="76">
        <f t="shared" si="64"/>
        <v>5378.8247380303737</v>
      </c>
    </row>
    <row r="432" spans="1:10" x14ac:dyDescent="0.25">
      <c r="A432" t="s">
        <v>24</v>
      </c>
      <c r="B432" s="1" t="str">
        <f>[1]Afgrødefordeling!$C$12</f>
        <v>Frø</v>
      </c>
      <c r="C432">
        <v>2019</v>
      </c>
      <c r="D432" t="s">
        <v>7</v>
      </c>
      <c r="E432" s="168" t="str">
        <f t="shared" si="65"/>
        <v>OC12</v>
      </c>
      <c r="F432" t="str">
        <f t="shared" si="62"/>
        <v>Halm</v>
      </c>
      <c r="G432" s="76" cm="1">
        <f t="array" ref="G432">IF(A432="Vestdanmark",IF(D432="Konventionel",IF(C432=2019,SUMPRODUCT((B432='Landbrugsareal - resultat'!$B$6:$B$19)*(INDEX('Landbrugsareal - resultat'!$C$6:$E$19,,MATCH(E432,'Landbrugsareal - resultat'!$C$5:$E$5,0)))),IF(C432=2030,SUMPRODUCT((B432='Landbrugsareal - resultat'!$B$6:$B$19)*(INDEX('Landbrugsareal - resultat'!$F$6:$H$19,,MATCH(E432,'Landbrugsareal - resultat'!$F$5:$H$5,0)))),SUMPRODUCT((B432='Landbrugsareal - resultat'!$B$6:$B$19)*(INDEX('Landbrugsareal - resultat'!$I$6:$K$19,,MATCH(E432,'Landbrugsareal - resultat'!$I$5:$K$5,0)))))),IF(C432=2019,SUMPRODUCT((B432='Landbrugsareal - resultat'!$B$6:$B$19)*(INDEX('Landbrugsareal - resultat'!$L$6:$N$19,,MATCH(E432,'Landbrugsareal - resultat'!$L$5:$N$5,0)))),IF(C432=2030,SUMPRODUCT((B432='Landbrugsareal - resultat'!$B$6:$B$19)*(INDEX('Landbrugsareal - resultat'!$O$6:$Q$19,,MATCH(E432,'Landbrugsareal - resultat'!$O$5:$Q$5,0)))),SUMPRODUCT((B432='Landbrugsareal - resultat'!$B$6:$B$19)*(INDEX('Landbrugsareal - resultat'!$R$6:$T$19,,MATCH(E432,'Landbrugsareal - resultat'!$R$5:$T$5,0))))))),IF(D432="Konventionel",IF(C432=2019,SUMPRODUCT((B432='Landbrugsareal - resultat'!$B$33:$B$46)*(INDEX('Landbrugsareal - resultat'!$C$33:$E$46,,MATCH(E432,'Landbrugsareal - resultat'!$C$5:$E$5,0)))),IF(C432=2030,SUMPRODUCT((B432='Landbrugsareal - resultat'!$B$33:$B$46)*(INDEX('Landbrugsareal - resultat'!$F$33:$H$46,,MATCH(E432,'Landbrugsareal - resultat'!$F$5:$H$5,0)))),SUMPRODUCT((B432='Landbrugsareal - resultat'!$B$33:$B$46)*(INDEX('Landbrugsareal - resultat'!$I$33:$K$46,,MATCH(E432,'Landbrugsareal - resultat'!$I$5:$K$5,0)))))),IF(C432=2019,SUMPRODUCT((B432='Landbrugsareal - resultat'!$B$33:$B$46)*(INDEX('Landbrugsareal - resultat'!$L$33:$N$46,,MATCH(E432,'Landbrugsareal - resultat'!$L$5:$N$5,0)))),IF(C432=2030,SUMPRODUCT((B432='Landbrugsareal - resultat'!$B$33:$B$46)*(INDEX('Landbrugsareal - resultat'!$O$33:$Q$46,,MATCH(E432,'Landbrugsareal - resultat'!$O$5:$Q$5,0)))),SUMPRODUCT((B432='Landbrugsareal - resultat'!$B$33:$B$46)*(INDEX('Landbrugsareal - resultat'!$R$33:$T$46,,MATCH(E432,'Landbrugsareal - resultat'!$R$5:$T$5,0))))))))</f>
        <v>1206.6838353800997</v>
      </c>
      <c r="H432" s="168">
        <f>G432*VLOOKUP(B432,[1]Afgrødedata!$A$5:$F$18,2,FALSE)*IF(D432="Økologisk",VLOOKUP(B432,[1]Afgrødedata!$A$5:$F$18,4,FALSE),1)*IF(E432&lt;&gt;Jordbund1,IF(E432=Organ6,VLOOKUP(B432,[1]Afgrødedata!$A$5:$F$18,5,FALSE),VLOOKUP(B432,[1]Afgrødedata!$A$5:$F$18,6,FALSE)),1)*0.1</f>
        <v>24138.992226269234</v>
      </c>
      <c r="I432" s="168">
        <f>G432*VLOOKUP(B432,[1]Afgrødedata!$A$5:$F$18,3,FALSE)*IF(D432="Økologisk",VLOOKUP(B432,[1]Afgrødedata!$A$5:$F$18,4,FALSE),1)*IF(E432&lt;&gt;Jordbund1,IF(E432=Organ6,VLOOKUP(B432,[1]Afgrødedata!$A$5:$F$18,5,FALSE),VLOOKUP(B432,[1]Afgrødedata!$A$5:$F$18,6,FALSE)),1)*HLOOKUP(C432,Landbrug!$C$15:$E$17,2,FALSE)*HLOOKUP(C432,Landbrug!$C$15:$E$17,3,FALSE)*0.1</f>
        <v>4010.1965237953927</v>
      </c>
      <c r="J432" s="76">
        <f t="shared" si="64"/>
        <v>4010.1965237953927</v>
      </c>
    </row>
    <row r="433" spans="1:10" x14ac:dyDescent="0.25">
      <c r="A433" t="s">
        <v>24</v>
      </c>
      <c r="B433" s="1" t="str">
        <f>[1]Afgrødefordeling!$C$13</f>
        <v>Juletræer</v>
      </c>
      <c r="C433">
        <v>2019</v>
      </c>
      <c r="D433" t="s">
        <v>7</v>
      </c>
      <c r="E433" s="168" t="str">
        <f t="shared" si="65"/>
        <v>OC12</v>
      </c>
      <c r="F433" t="str">
        <f t="shared" si="62"/>
        <v>Juletræer</v>
      </c>
      <c r="G433" s="76" cm="1">
        <f t="array" ref="G433">IF(A433="Vestdanmark",IF(D433="Konventionel",IF(C433=2019,SUMPRODUCT((B433='Landbrugsareal - resultat'!$B$6:$B$19)*(INDEX('Landbrugsareal - resultat'!$C$6:$E$19,,MATCH(E433,'Landbrugsareal - resultat'!$C$5:$E$5,0)))),IF(C433=2030,SUMPRODUCT((B433='Landbrugsareal - resultat'!$B$6:$B$19)*(INDEX('Landbrugsareal - resultat'!$F$6:$H$19,,MATCH(E433,'Landbrugsareal - resultat'!$F$5:$H$5,0)))),SUMPRODUCT((B433='Landbrugsareal - resultat'!$B$6:$B$19)*(INDEX('Landbrugsareal - resultat'!$I$6:$K$19,,MATCH(E433,'Landbrugsareal - resultat'!$I$5:$K$5,0)))))),IF(C433=2019,SUMPRODUCT((B433='Landbrugsareal - resultat'!$B$6:$B$19)*(INDEX('Landbrugsareal - resultat'!$L$6:$N$19,,MATCH(E433,'Landbrugsareal - resultat'!$L$5:$N$5,0)))),IF(C433=2030,SUMPRODUCT((B433='Landbrugsareal - resultat'!$B$6:$B$19)*(INDEX('Landbrugsareal - resultat'!$O$6:$Q$19,,MATCH(E433,'Landbrugsareal - resultat'!$O$5:$Q$5,0)))),SUMPRODUCT((B433='Landbrugsareal - resultat'!$B$6:$B$19)*(INDEX('Landbrugsareal - resultat'!$R$6:$T$19,,MATCH(E433,'Landbrugsareal - resultat'!$R$5:$T$5,0))))))),IF(D433="Konventionel",IF(C433=2019,SUMPRODUCT((B433='Landbrugsareal - resultat'!$B$33:$B$46)*(INDEX('Landbrugsareal - resultat'!$C$33:$E$46,,MATCH(E433,'Landbrugsareal - resultat'!$C$5:$E$5,0)))),IF(C433=2030,SUMPRODUCT((B433='Landbrugsareal - resultat'!$B$33:$B$46)*(INDEX('Landbrugsareal - resultat'!$F$33:$H$46,,MATCH(E433,'Landbrugsareal - resultat'!$F$5:$H$5,0)))),SUMPRODUCT((B433='Landbrugsareal - resultat'!$B$33:$B$46)*(INDEX('Landbrugsareal - resultat'!$I$33:$K$46,,MATCH(E433,'Landbrugsareal - resultat'!$I$5:$K$5,0)))))),IF(C433=2019,SUMPRODUCT((B433='Landbrugsareal - resultat'!$B$33:$B$46)*(INDEX('Landbrugsareal - resultat'!$L$33:$N$46,,MATCH(E433,'Landbrugsareal - resultat'!$L$5:$N$5,0)))),IF(C433=2030,SUMPRODUCT((B433='Landbrugsareal - resultat'!$B$33:$B$46)*(INDEX('Landbrugsareal - resultat'!$O$33:$Q$46,,MATCH(E433,'Landbrugsareal - resultat'!$O$5:$Q$5,0)))),SUMPRODUCT((B433='Landbrugsareal - resultat'!$B$33:$B$46)*(INDEX('Landbrugsareal - resultat'!$R$33:$T$46,,MATCH(E433,'Landbrugsareal - resultat'!$R$5:$T$5,0))))))))</f>
        <v>28.297099581094237</v>
      </c>
      <c r="H433" s="168">
        <f>G433*VLOOKUP(B433,[1]Afgrødedata!$A$5:$F$18,2,FALSE)*IF(D433="Økologisk",VLOOKUP(B433,[1]Afgrødedata!$A$5:$F$18,4,FALSE),1)*IF(E433&lt;&gt;Jordbund1,IF(E433=Organ6,VLOOKUP(B433,[1]Afgrødedata!$A$5:$F$18,5,FALSE),VLOOKUP(B433,[1]Afgrødedata!$A$5:$F$18,6,FALSE)),1)*0.1</f>
        <v>1980.7969706765966</v>
      </c>
      <c r="I433" s="168">
        <f>G433*VLOOKUP(B433,[1]Afgrødedata!$A$5:$F$18,3,FALSE)*IF(D433="Økologisk",VLOOKUP(B433,[1]Afgrødedata!$A$5:$F$18,4,FALSE),1)*IF(E433&lt;&gt;Jordbund1,IF(E433=Organ6,VLOOKUP(B433,[1]Afgrødedata!$A$5:$F$18,5,FALSE),VLOOKUP(B433,[1]Afgrødedata!$A$5:$F$18,6,FALSE)),1)*HLOOKUP(C433,Landbrug!$C$15:$E$17,2,FALSE)*HLOOKUP(C433,Landbrug!$C$15:$E$17,3,FALSE)*0.1</f>
        <v>0</v>
      </c>
      <c r="J433" s="76">
        <f t="shared" si="64"/>
        <v>1980.7969706765966</v>
      </c>
    </row>
    <row r="434" spans="1:10" x14ac:dyDescent="0.25">
      <c r="A434" t="s">
        <v>24</v>
      </c>
      <c r="B434" s="1" t="str">
        <f>[1]Afgrødefordeling!$C$14</f>
        <v>Pil &amp; poppel</v>
      </c>
      <c r="C434">
        <v>2019</v>
      </c>
      <c r="D434" t="s">
        <v>7</v>
      </c>
      <c r="E434" s="168" t="str">
        <f t="shared" si="65"/>
        <v>OC12</v>
      </c>
      <c r="F434" t="str">
        <f t="shared" si="62"/>
        <v>Pil &amp; poppel</v>
      </c>
      <c r="G434" s="76" cm="1">
        <f t="array" ref="G434">IF(A434="Vestdanmark",IF(D434="Konventionel",IF(C434=2019,SUMPRODUCT((B434='Landbrugsareal - resultat'!$B$6:$B$19)*(INDEX('Landbrugsareal - resultat'!$C$6:$E$19,,MATCH(E434,'Landbrugsareal - resultat'!$C$5:$E$5,0)))),IF(C434=2030,SUMPRODUCT((B434='Landbrugsareal - resultat'!$B$6:$B$19)*(INDEX('Landbrugsareal - resultat'!$F$6:$H$19,,MATCH(E434,'Landbrugsareal - resultat'!$F$5:$H$5,0)))),SUMPRODUCT((B434='Landbrugsareal - resultat'!$B$6:$B$19)*(INDEX('Landbrugsareal - resultat'!$I$6:$K$19,,MATCH(E434,'Landbrugsareal - resultat'!$I$5:$K$5,0)))))),IF(C434=2019,SUMPRODUCT((B434='Landbrugsareal - resultat'!$B$6:$B$19)*(INDEX('Landbrugsareal - resultat'!$L$6:$N$19,,MATCH(E434,'Landbrugsareal - resultat'!$L$5:$N$5,0)))),IF(C434=2030,SUMPRODUCT((B434='Landbrugsareal - resultat'!$B$6:$B$19)*(INDEX('Landbrugsareal - resultat'!$O$6:$Q$19,,MATCH(E434,'Landbrugsareal - resultat'!$O$5:$Q$5,0)))),SUMPRODUCT((B434='Landbrugsareal - resultat'!$B$6:$B$19)*(INDEX('Landbrugsareal - resultat'!$R$6:$T$19,,MATCH(E434,'Landbrugsareal - resultat'!$R$5:$T$5,0))))))),IF(D434="Konventionel",IF(C434=2019,SUMPRODUCT((B434='Landbrugsareal - resultat'!$B$33:$B$46)*(INDEX('Landbrugsareal - resultat'!$C$33:$E$46,,MATCH(E434,'Landbrugsareal - resultat'!$C$5:$E$5,0)))),IF(C434=2030,SUMPRODUCT((B434='Landbrugsareal - resultat'!$B$33:$B$46)*(INDEX('Landbrugsareal - resultat'!$F$33:$H$46,,MATCH(E434,'Landbrugsareal - resultat'!$F$5:$H$5,0)))),SUMPRODUCT((B434='Landbrugsareal - resultat'!$B$33:$B$46)*(INDEX('Landbrugsareal - resultat'!$I$33:$K$46,,MATCH(E434,'Landbrugsareal - resultat'!$I$5:$K$5,0)))))),IF(C434=2019,SUMPRODUCT((B434='Landbrugsareal - resultat'!$B$33:$B$46)*(INDEX('Landbrugsareal - resultat'!$L$33:$N$46,,MATCH(E434,'Landbrugsareal - resultat'!$L$5:$N$5,0)))),IF(C434=2030,SUMPRODUCT((B434='Landbrugsareal - resultat'!$B$33:$B$46)*(INDEX('Landbrugsareal - resultat'!$O$33:$Q$46,,MATCH(E434,'Landbrugsareal - resultat'!$O$5:$Q$5,0)))),SUMPRODUCT((B434='Landbrugsareal - resultat'!$B$33:$B$46)*(INDEX('Landbrugsareal - resultat'!$R$33:$T$46,,MATCH(E434,'Landbrugsareal - resultat'!$R$5:$T$5,0))))))))</f>
        <v>86.318017390470459</v>
      </c>
      <c r="H434" s="168">
        <f>G434*VLOOKUP(B434,[1]Afgrødedata!$A$5:$F$18,2,FALSE)*IF(D434="Økologisk",VLOOKUP(B434,[1]Afgrødedata!$A$5:$F$18,4,FALSE),1)*IF(E434&lt;&gt;Jordbund1,IF(E434=Organ6,VLOOKUP(B434,[1]Afgrødedata!$A$5:$F$18,5,FALSE),VLOOKUP(B434,[1]Afgrødedata!$A$5:$F$18,6,FALSE)),1)*0.1</f>
        <v>2947.4444962599664</v>
      </c>
      <c r="I434" s="168">
        <f>G434*VLOOKUP(B434,[1]Afgrødedata!$A$5:$F$18,3,FALSE)*IF(D434="Økologisk",VLOOKUP(B434,[1]Afgrødedata!$A$5:$F$18,4,FALSE),1)*IF(E434&lt;&gt;Jordbund1,IF(E434=Organ6,VLOOKUP(B434,[1]Afgrødedata!$A$5:$F$18,5,FALSE),VLOOKUP(B434,[1]Afgrødedata!$A$5:$F$18,6,FALSE)),1)*HLOOKUP(C434,Landbrug!$C$15:$E$17,2,FALSE)*HLOOKUP(C434,Landbrug!$C$15:$E$17,3,FALSE)*0.1</f>
        <v>0</v>
      </c>
      <c r="J434" s="76">
        <f t="shared" si="64"/>
        <v>2947.4444962599664</v>
      </c>
    </row>
    <row r="435" spans="1:10" x14ac:dyDescent="0.25">
      <c r="A435" t="s">
        <v>24</v>
      </c>
      <c r="B435" s="1" t="str">
        <f>[1]Afgrødefordeling!$C$15</f>
        <v>Permanent græs</v>
      </c>
      <c r="C435">
        <v>2019</v>
      </c>
      <c r="D435" t="s">
        <v>7</v>
      </c>
      <c r="E435" s="168" t="str">
        <f t="shared" si="65"/>
        <v>OC12</v>
      </c>
      <c r="F435" t="str">
        <f t="shared" si="62"/>
        <v>Græs</v>
      </c>
      <c r="G435" s="76" cm="1">
        <f t="array" ref="G435">IF(A435="Vestdanmark",IF(D435="Konventionel",IF(C435=2019,SUMPRODUCT((B435='Landbrugsareal - resultat'!$B$6:$B$19)*(INDEX('Landbrugsareal - resultat'!$C$6:$E$19,,MATCH(E435,'Landbrugsareal - resultat'!$C$5:$E$5,0)))),IF(C435=2030,SUMPRODUCT((B435='Landbrugsareal - resultat'!$B$6:$B$19)*(INDEX('Landbrugsareal - resultat'!$F$6:$H$19,,MATCH(E435,'Landbrugsareal - resultat'!$F$5:$H$5,0)))),SUMPRODUCT((B435='Landbrugsareal - resultat'!$B$6:$B$19)*(INDEX('Landbrugsareal - resultat'!$I$6:$K$19,,MATCH(E435,'Landbrugsareal - resultat'!$I$5:$K$5,0)))))),IF(C435=2019,SUMPRODUCT((B435='Landbrugsareal - resultat'!$B$6:$B$19)*(INDEX('Landbrugsareal - resultat'!$L$6:$N$19,,MATCH(E435,'Landbrugsareal - resultat'!$L$5:$N$5,0)))),IF(C435=2030,SUMPRODUCT((B435='Landbrugsareal - resultat'!$B$6:$B$19)*(INDEX('Landbrugsareal - resultat'!$O$6:$Q$19,,MATCH(E435,'Landbrugsareal - resultat'!$O$5:$Q$5,0)))),SUMPRODUCT((B435='Landbrugsareal - resultat'!$B$6:$B$19)*(INDEX('Landbrugsareal - resultat'!$R$6:$T$19,,MATCH(E435,'Landbrugsareal - resultat'!$R$5:$T$5,0))))))),IF(D435="Konventionel",IF(C435=2019,SUMPRODUCT((B435='Landbrugsareal - resultat'!$B$33:$B$46)*(INDEX('Landbrugsareal - resultat'!$C$33:$E$46,,MATCH(E435,'Landbrugsareal - resultat'!$C$5:$E$5,0)))),IF(C435=2030,SUMPRODUCT((B435='Landbrugsareal - resultat'!$B$33:$B$46)*(INDEX('Landbrugsareal - resultat'!$F$33:$H$46,,MATCH(E435,'Landbrugsareal - resultat'!$F$5:$H$5,0)))),SUMPRODUCT((B435='Landbrugsareal - resultat'!$B$33:$B$46)*(INDEX('Landbrugsareal - resultat'!$I$33:$K$46,,MATCH(E435,'Landbrugsareal - resultat'!$I$5:$K$5,0)))))),IF(C435=2019,SUMPRODUCT((B435='Landbrugsareal - resultat'!$B$33:$B$46)*(INDEX('Landbrugsareal - resultat'!$L$33:$N$46,,MATCH(E435,'Landbrugsareal - resultat'!$L$5:$N$5,0)))),IF(C435=2030,SUMPRODUCT((B435='Landbrugsareal - resultat'!$B$33:$B$46)*(INDEX('Landbrugsareal - resultat'!$O$33:$Q$46,,MATCH(E435,'Landbrugsareal - resultat'!$O$5:$Q$5,0)))),SUMPRODUCT((B435='Landbrugsareal - resultat'!$B$33:$B$46)*(INDEX('Landbrugsareal - resultat'!$R$33:$T$46,,MATCH(E435,'Landbrugsareal - resultat'!$R$5:$T$5,0))))))))</f>
        <v>3298.9410097807986</v>
      </c>
      <c r="H435" s="168">
        <f>G435*VLOOKUP(B435,[1]Afgrødedata!$A$5:$F$18,2,FALSE)*IF(D435="Økologisk",VLOOKUP(B435,[1]Afgrødedata!$A$5:$F$18,4,FALSE),1)*IF(E435&lt;&gt;Jordbund1,IF(E435=Organ6,VLOOKUP(B435,[1]Afgrødedata!$A$5:$F$18,5,FALSE),VLOOKUP(B435,[1]Afgrødedata!$A$5:$F$18,6,FALSE)),1)*0.1</f>
        <v>63689.355134828103</v>
      </c>
      <c r="I435" s="168">
        <f>G435*VLOOKUP(B435,[1]Afgrødedata!$A$5:$F$18,3,FALSE)*IF(D435="Økologisk",VLOOKUP(B435,[1]Afgrødedata!$A$5:$F$18,4,FALSE),1)*IF(E435&lt;&gt;Jordbund1,IF(E435=Organ6,VLOOKUP(B435,[1]Afgrødedata!$A$5:$F$18,5,FALSE),VLOOKUP(B435,[1]Afgrødedata!$A$5:$F$18,6,FALSE)),1)*HLOOKUP(C435,Landbrug!$C$15:$E$17,2,FALSE)*HLOOKUP(C435,Landbrug!$C$15:$E$17,3,FALSE)*0.1</f>
        <v>0</v>
      </c>
      <c r="J435" s="76">
        <f t="shared" si="64"/>
        <v>63689.355134828103</v>
      </c>
    </row>
    <row r="436" spans="1:10" x14ac:dyDescent="0.25">
      <c r="A436" t="s">
        <v>24</v>
      </c>
      <c r="B436" s="1" t="str">
        <f>[1]Afgrødefordeling!$C$2</f>
        <v>Korn</v>
      </c>
      <c r="C436">
        <v>2030</v>
      </c>
      <c r="D436" t="s">
        <v>7</v>
      </c>
      <c r="E436" s="168" t="str">
        <f t="shared" si="65"/>
        <v>OC12</v>
      </c>
      <c r="F436" t="str">
        <f t="shared" si="62"/>
        <v>Halm</v>
      </c>
      <c r="G436" s="76" cm="1">
        <f t="array" ref="G436">IF(A436="Vestdanmark",IF(D436="Konventionel",IF(C436=2019,SUMPRODUCT((B436='Landbrugsareal - resultat'!$B$6:$B$19)*(INDEX('Landbrugsareal - resultat'!$C$6:$E$19,,MATCH(E436,'Landbrugsareal - resultat'!$C$5:$E$5,0)))),IF(C436=2030,SUMPRODUCT((B436='Landbrugsareal - resultat'!$B$6:$B$19)*(INDEX('Landbrugsareal - resultat'!$F$6:$H$19,,MATCH(E436,'Landbrugsareal - resultat'!$F$5:$H$5,0)))),SUMPRODUCT((B436='Landbrugsareal - resultat'!$B$6:$B$19)*(INDEX('Landbrugsareal - resultat'!$I$6:$K$19,,MATCH(E436,'Landbrugsareal - resultat'!$I$5:$K$5,0)))))),IF(C436=2019,SUMPRODUCT((B436='Landbrugsareal - resultat'!$B$6:$B$19)*(INDEX('Landbrugsareal - resultat'!$L$6:$N$19,,MATCH(E436,'Landbrugsareal - resultat'!$L$5:$N$5,0)))),IF(C436=2030,SUMPRODUCT((B436='Landbrugsareal - resultat'!$B$6:$B$19)*(INDEX('Landbrugsareal - resultat'!$O$6:$Q$19,,MATCH(E436,'Landbrugsareal - resultat'!$O$5:$Q$5,0)))),SUMPRODUCT((B436='Landbrugsareal - resultat'!$B$6:$B$19)*(INDEX('Landbrugsareal - resultat'!$R$6:$T$19,,MATCH(E436,'Landbrugsareal - resultat'!$R$5:$T$5,0))))))),IF(D436="Konventionel",IF(C436=2019,SUMPRODUCT((B436='Landbrugsareal - resultat'!$B$33:$B$46)*(INDEX('Landbrugsareal - resultat'!$C$33:$E$46,,MATCH(E436,'Landbrugsareal - resultat'!$C$5:$E$5,0)))),IF(C436=2030,SUMPRODUCT((B436='Landbrugsareal - resultat'!$B$33:$B$46)*(INDEX('Landbrugsareal - resultat'!$F$33:$H$46,,MATCH(E436,'Landbrugsareal - resultat'!$F$5:$H$5,0)))),SUMPRODUCT((B436='Landbrugsareal - resultat'!$B$33:$B$46)*(INDEX('Landbrugsareal - resultat'!$I$33:$K$46,,MATCH(E436,'Landbrugsareal - resultat'!$I$5:$K$5,0)))))),IF(C436=2019,SUMPRODUCT((B436='Landbrugsareal - resultat'!$B$33:$B$46)*(INDEX('Landbrugsareal - resultat'!$L$33:$N$46,,MATCH(E436,'Landbrugsareal - resultat'!$L$5:$N$5,0)))),IF(C436=2030,SUMPRODUCT((B436='Landbrugsareal - resultat'!$B$33:$B$46)*(INDEX('Landbrugsareal - resultat'!$O$33:$Q$46,,MATCH(E436,'Landbrugsareal - resultat'!$O$5:$Q$5,0)))),SUMPRODUCT((B436='Landbrugsareal - resultat'!$B$33:$B$46)*(INDEX('Landbrugsareal - resultat'!$R$33:$T$46,,MATCH(E436,'Landbrugsareal - resultat'!$R$5:$T$5,0))))))))</f>
        <v>2192.9450163594229</v>
      </c>
      <c r="H436" s="168">
        <f>G436*VLOOKUP(B436,[1]Afgrødedata!$A$5:$F$18,2,FALSE)*IF(D436="Økologisk",VLOOKUP(B436,[1]Afgrødedata!$A$5:$F$18,4,FALSE),1)*IF(E436&lt;&gt;Jordbund1,IF(E436=Organ6,VLOOKUP(B436,[1]Afgrødedata!$A$5:$F$18,5,FALSE),VLOOKUP(B436,[1]Afgrødedata!$A$5:$F$18,6,FALSE)),1)*0.1</f>
        <v>21521.562390551375</v>
      </c>
      <c r="I436" s="168">
        <f>G436*VLOOKUP(B436,[1]Afgrødedata!$A$5:$F$18,3,FALSE)*IF(D436="Økologisk",VLOOKUP(B436,[1]Afgrødedata!$A$5:$F$18,4,FALSE),1)*IF(E436&lt;&gt;Jordbund1,IF(E436=Organ6,VLOOKUP(B436,[1]Afgrødedata!$A$5:$F$18,5,FALSE),VLOOKUP(B436,[1]Afgrødedata!$A$5:$F$18,6,FALSE)),1)*HLOOKUP(C436,Landbrug!$C$15:$E$17,2,FALSE)*HLOOKUP(C436,Landbrug!$C$15:$E$17,3,FALSE)*0.1</f>
        <v>6983.7469957339199</v>
      </c>
      <c r="J436" s="76">
        <f t="shared" si="64"/>
        <v>6983.7469957339199</v>
      </c>
    </row>
    <row r="437" spans="1:10" x14ac:dyDescent="0.25">
      <c r="A437" t="s">
        <v>24</v>
      </c>
      <c r="B437" s="1" t="str">
        <f>[1]Afgrødefordeling!$C$3</f>
        <v>Bælgsæd</v>
      </c>
      <c r="C437">
        <v>2030</v>
      </c>
      <c r="D437" t="s">
        <v>7</v>
      </c>
      <c r="E437" s="168" t="str">
        <f t="shared" si="65"/>
        <v>OC12</v>
      </c>
      <c r="F437" t="str">
        <f t="shared" si="62"/>
        <v>Halm</v>
      </c>
      <c r="G437" s="76" cm="1">
        <f t="array" ref="G437">IF(A437="Vestdanmark",IF(D437="Konventionel",IF(C437=2019,SUMPRODUCT((B437='Landbrugsareal - resultat'!$B$6:$B$19)*(INDEX('Landbrugsareal - resultat'!$C$6:$E$19,,MATCH(E437,'Landbrugsareal - resultat'!$C$5:$E$5,0)))),IF(C437=2030,SUMPRODUCT((B437='Landbrugsareal - resultat'!$B$6:$B$19)*(INDEX('Landbrugsareal - resultat'!$F$6:$H$19,,MATCH(E437,'Landbrugsareal - resultat'!$F$5:$H$5,0)))),SUMPRODUCT((B437='Landbrugsareal - resultat'!$B$6:$B$19)*(INDEX('Landbrugsareal - resultat'!$I$6:$K$19,,MATCH(E437,'Landbrugsareal - resultat'!$I$5:$K$5,0)))))),IF(C437=2019,SUMPRODUCT((B437='Landbrugsareal - resultat'!$B$6:$B$19)*(INDEX('Landbrugsareal - resultat'!$L$6:$N$19,,MATCH(E437,'Landbrugsareal - resultat'!$L$5:$N$5,0)))),IF(C437=2030,SUMPRODUCT((B437='Landbrugsareal - resultat'!$B$6:$B$19)*(INDEX('Landbrugsareal - resultat'!$O$6:$Q$19,,MATCH(E437,'Landbrugsareal - resultat'!$O$5:$Q$5,0)))),SUMPRODUCT((B437='Landbrugsareal - resultat'!$B$6:$B$19)*(INDEX('Landbrugsareal - resultat'!$R$6:$T$19,,MATCH(E437,'Landbrugsareal - resultat'!$R$5:$T$5,0))))))),IF(D437="Konventionel",IF(C437=2019,SUMPRODUCT((B437='Landbrugsareal - resultat'!$B$33:$B$46)*(INDEX('Landbrugsareal - resultat'!$C$33:$E$46,,MATCH(E437,'Landbrugsareal - resultat'!$C$5:$E$5,0)))),IF(C437=2030,SUMPRODUCT((B437='Landbrugsareal - resultat'!$B$33:$B$46)*(INDEX('Landbrugsareal - resultat'!$F$33:$H$46,,MATCH(E437,'Landbrugsareal - resultat'!$F$5:$H$5,0)))),SUMPRODUCT((B437='Landbrugsareal - resultat'!$B$33:$B$46)*(INDEX('Landbrugsareal - resultat'!$I$33:$K$46,,MATCH(E437,'Landbrugsareal - resultat'!$I$5:$K$5,0)))))),IF(C437=2019,SUMPRODUCT((B437='Landbrugsareal - resultat'!$B$33:$B$46)*(INDEX('Landbrugsareal - resultat'!$L$33:$N$46,,MATCH(E437,'Landbrugsareal - resultat'!$L$5:$N$5,0)))),IF(C437=2030,SUMPRODUCT((B437='Landbrugsareal - resultat'!$B$33:$B$46)*(INDEX('Landbrugsareal - resultat'!$O$33:$Q$46,,MATCH(E437,'Landbrugsareal - resultat'!$O$5:$Q$5,0)))),SUMPRODUCT((B437='Landbrugsareal - resultat'!$B$33:$B$46)*(INDEX('Landbrugsareal - resultat'!$R$33:$T$46,,MATCH(E437,'Landbrugsareal - resultat'!$R$5:$T$5,0))))))))</f>
        <v>39.831112946175573</v>
      </c>
      <c r="H437" s="168">
        <f>G437*VLOOKUP(B437,[1]Afgrødedata!$A$5:$F$18,2,FALSE)*IF(D437="Økologisk",VLOOKUP(B437,[1]Afgrødedata!$A$5:$F$18,4,FALSE),1)*IF(E437&lt;&gt;Jordbund1,IF(E437=Organ6,VLOOKUP(B437,[1]Afgrødedata!$A$5:$F$18,5,FALSE),VLOOKUP(B437,[1]Afgrødedata!$A$5:$F$18,6,FALSE)),1)*0.1</f>
        <v>215.2473343611328</v>
      </c>
      <c r="I437" s="168">
        <f>G437*VLOOKUP(B437,[1]Afgrødedata!$A$5:$F$18,3,FALSE)*IF(D437="Økologisk",VLOOKUP(B437,[1]Afgrødedata!$A$5:$F$18,4,FALSE),1)*IF(E437&lt;&gt;Jordbund1,IF(E437=Organ6,VLOOKUP(B437,[1]Afgrødedata!$A$5:$F$18,5,FALSE),VLOOKUP(B437,[1]Afgrødedata!$A$5:$F$18,6,FALSE)),1)*HLOOKUP(C437,Landbrug!$C$15:$E$17,2,FALSE)*HLOOKUP(C437,Landbrug!$C$15:$E$17,3,FALSE)*0.1</f>
        <v>63.530864135827713</v>
      </c>
      <c r="J437" s="76">
        <f t="shared" si="64"/>
        <v>63.530864135827713</v>
      </c>
    </row>
    <row r="438" spans="1:10" x14ac:dyDescent="0.25">
      <c r="A438" t="s">
        <v>24</v>
      </c>
      <c r="B438" s="1" t="str">
        <f>[1]Afgrødefordeling!$C$4</f>
        <v>Raps</v>
      </c>
      <c r="C438">
        <v>2030</v>
      </c>
      <c r="D438" t="s">
        <v>7</v>
      </c>
      <c r="E438" s="168" t="str">
        <f t="shared" si="65"/>
        <v>OC12</v>
      </c>
      <c r="F438" t="str">
        <f t="shared" si="62"/>
        <v>Halm</v>
      </c>
      <c r="G438" s="76" cm="1">
        <f t="array" ref="G438">IF(A438="Vestdanmark",IF(D438="Konventionel",IF(C438=2019,SUMPRODUCT((B438='Landbrugsareal - resultat'!$B$6:$B$19)*(INDEX('Landbrugsareal - resultat'!$C$6:$E$19,,MATCH(E438,'Landbrugsareal - resultat'!$C$5:$E$5,0)))),IF(C438=2030,SUMPRODUCT((B438='Landbrugsareal - resultat'!$B$6:$B$19)*(INDEX('Landbrugsareal - resultat'!$F$6:$H$19,,MATCH(E438,'Landbrugsareal - resultat'!$F$5:$H$5,0)))),SUMPRODUCT((B438='Landbrugsareal - resultat'!$B$6:$B$19)*(INDEX('Landbrugsareal - resultat'!$I$6:$K$19,,MATCH(E438,'Landbrugsareal - resultat'!$I$5:$K$5,0)))))),IF(C438=2019,SUMPRODUCT((B438='Landbrugsareal - resultat'!$B$6:$B$19)*(INDEX('Landbrugsareal - resultat'!$L$6:$N$19,,MATCH(E438,'Landbrugsareal - resultat'!$L$5:$N$5,0)))),IF(C438=2030,SUMPRODUCT((B438='Landbrugsareal - resultat'!$B$6:$B$19)*(INDEX('Landbrugsareal - resultat'!$O$6:$Q$19,,MATCH(E438,'Landbrugsareal - resultat'!$O$5:$Q$5,0)))),SUMPRODUCT((B438='Landbrugsareal - resultat'!$B$6:$B$19)*(INDEX('Landbrugsareal - resultat'!$R$6:$T$19,,MATCH(E438,'Landbrugsareal - resultat'!$R$5:$T$5,0))))))),IF(D438="Konventionel",IF(C438=2019,SUMPRODUCT((B438='Landbrugsareal - resultat'!$B$33:$B$46)*(INDEX('Landbrugsareal - resultat'!$C$33:$E$46,,MATCH(E438,'Landbrugsareal - resultat'!$C$5:$E$5,0)))),IF(C438=2030,SUMPRODUCT((B438='Landbrugsareal - resultat'!$B$33:$B$46)*(INDEX('Landbrugsareal - resultat'!$F$33:$H$46,,MATCH(E438,'Landbrugsareal - resultat'!$F$5:$H$5,0)))),SUMPRODUCT((B438='Landbrugsareal - resultat'!$B$33:$B$46)*(INDEX('Landbrugsareal - resultat'!$I$33:$K$46,,MATCH(E438,'Landbrugsareal - resultat'!$I$5:$K$5,0)))))),IF(C438=2019,SUMPRODUCT((B438='Landbrugsareal - resultat'!$B$33:$B$46)*(INDEX('Landbrugsareal - resultat'!$L$33:$N$46,,MATCH(E438,'Landbrugsareal - resultat'!$L$5:$N$5,0)))),IF(C438=2030,SUMPRODUCT((B438='Landbrugsareal - resultat'!$B$33:$B$46)*(INDEX('Landbrugsareal - resultat'!$O$33:$Q$46,,MATCH(E438,'Landbrugsareal - resultat'!$O$5:$Q$5,0)))),SUMPRODUCT((B438='Landbrugsareal - resultat'!$B$33:$B$46)*(INDEX('Landbrugsareal - resultat'!$R$33:$T$46,,MATCH(E438,'Landbrugsareal - resultat'!$R$5:$T$5,0))))))))</f>
        <v>194.56566660813334</v>
      </c>
      <c r="H438" s="168">
        <f>G438*VLOOKUP(B438,[1]Afgrødedata!$A$5:$F$18,2,FALSE)*IF(D438="Økologisk",VLOOKUP(B438,[1]Afgrødedata!$A$5:$F$18,4,FALSE),1)*IF(E438&lt;&gt;Jordbund1,IF(E438=Organ6,VLOOKUP(B438,[1]Afgrødedata!$A$5:$F$18,5,FALSE),VLOOKUP(B438,[1]Afgrødedata!$A$5:$F$18,6,FALSE)),1)*0.1</f>
        <v>1198.5245063061013</v>
      </c>
      <c r="I438" s="168">
        <f>G438*VLOOKUP(B438,[1]Afgrødedata!$A$5:$F$18,3,FALSE)*IF(D438="Økologisk",VLOOKUP(B438,[1]Afgrødedata!$A$5:$F$18,4,FALSE),1)*IF(E438&lt;&gt;Jordbund1,IF(E438=Organ6,VLOOKUP(B438,[1]Afgrødedata!$A$5:$F$18,5,FALSE),VLOOKUP(B438,[1]Afgrødedata!$A$5:$F$18,6,FALSE)),1)*HLOOKUP(C438,Landbrug!$C$15:$E$17,2,FALSE)*HLOOKUP(C438,Landbrug!$C$15:$E$17,3,FALSE)*0.1</f>
        <v>636.41651284853992</v>
      </c>
      <c r="J438" s="76">
        <f t="shared" si="64"/>
        <v>636.41651284853992</v>
      </c>
    </row>
    <row r="439" spans="1:10" x14ac:dyDescent="0.25">
      <c r="A439" t="s">
        <v>24</v>
      </c>
      <c r="B439" s="1" t="str">
        <f>[1]Afgrødefordeling!$C$5</f>
        <v>Græs</v>
      </c>
      <c r="C439">
        <v>2030</v>
      </c>
      <c r="D439" t="s">
        <v>7</v>
      </c>
      <c r="E439" s="168" t="str">
        <f t="shared" si="65"/>
        <v>OC12</v>
      </c>
      <c r="F439" t="str">
        <f t="shared" si="62"/>
        <v>Græs</v>
      </c>
      <c r="G439" s="76" cm="1">
        <f t="array" ref="G439">IF(A439="Vestdanmark",IF(D439="Konventionel",IF(C439=2019,SUMPRODUCT((B439='Landbrugsareal - resultat'!$B$6:$B$19)*(INDEX('Landbrugsareal - resultat'!$C$6:$E$19,,MATCH(E439,'Landbrugsareal - resultat'!$C$5:$E$5,0)))),IF(C439=2030,SUMPRODUCT((B439='Landbrugsareal - resultat'!$B$6:$B$19)*(INDEX('Landbrugsareal - resultat'!$F$6:$H$19,,MATCH(E439,'Landbrugsareal - resultat'!$F$5:$H$5,0)))),SUMPRODUCT((B439='Landbrugsareal - resultat'!$B$6:$B$19)*(INDEX('Landbrugsareal - resultat'!$I$6:$K$19,,MATCH(E439,'Landbrugsareal - resultat'!$I$5:$K$5,0)))))),IF(C439=2019,SUMPRODUCT((B439='Landbrugsareal - resultat'!$B$6:$B$19)*(INDEX('Landbrugsareal - resultat'!$L$6:$N$19,,MATCH(E439,'Landbrugsareal - resultat'!$L$5:$N$5,0)))),IF(C439=2030,SUMPRODUCT((B439='Landbrugsareal - resultat'!$B$6:$B$19)*(INDEX('Landbrugsareal - resultat'!$O$6:$Q$19,,MATCH(E439,'Landbrugsareal - resultat'!$O$5:$Q$5,0)))),SUMPRODUCT((B439='Landbrugsareal - resultat'!$B$6:$B$19)*(INDEX('Landbrugsareal - resultat'!$R$6:$T$19,,MATCH(E439,'Landbrugsareal - resultat'!$R$5:$T$5,0))))))),IF(D439="Konventionel",IF(C439=2019,SUMPRODUCT((B439='Landbrugsareal - resultat'!$B$33:$B$46)*(INDEX('Landbrugsareal - resultat'!$C$33:$E$46,,MATCH(E439,'Landbrugsareal - resultat'!$C$5:$E$5,0)))),IF(C439=2030,SUMPRODUCT((B439='Landbrugsareal - resultat'!$B$33:$B$46)*(INDEX('Landbrugsareal - resultat'!$F$33:$H$46,,MATCH(E439,'Landbrugsareal - resultat'!$F$5:$H$5,0)))),SUMPRODUCT((B439='Landbrugsareal - resultat'!$B$33:$B$46)*(INDEX('Landbrugsareal - resultat'!$I$33:$K$46,,MATCH(E439,'Landbrugsareal - resultat'!$I$5:$K$5,0)))))),IF(C439=2019,SUMPRODUCT((B439='Landbrugsareal - resultat'!$B$33:$B$46)*(INDEX('Landbrugsareal - resultat'!$L$33:$N$46,,MATCH(E439,'Landbrugsareal - resultat'!$L$5:$N$5,0)))),IF(C439=2030,SUMPRODUCT((B439='Landbrugsareal - resultat'!$B$33:$B$46)*(INDEX('Landbrugsareal - resultat'!$O$33:$Q$46,,MATCH(E439,'Landbrugsareal - resultat'!$O$5:$Q$5,0)))),SUMPRODUCT((B439='Landbrugsareal - resultat'!$B$33:$B$46)*(INDEX('Landbrugsareal - resultat'!$R$33:$T$46,,MATCH(E439,'Landbrugsareal - resultat'!$R$5:$T$5,0))))))))</f>
        <v>1429.782508866725</v>
      </c>
      <c r="H439" s="168">
        <f>G439*VLOOKUP(B439,[1]Afgrødedata!$A$5:$F$18,2,FALSE)*IF(D439="Økologisk",VLOOKUP(B439,[1]Afgrødedata!$A$5:$F$18,4,FALSE),1)*IF(E439&lt;&gt;Jordbund1,IF(E439=Organ6,VLOOKUP(B439,[1]Afgrødedata!$A$5:$F$18,5,FALSE),VLOOKUP(B439,[1]Afgrødedata!$A$5:$F$18,6,FALSE)),1)*0.1</f>
        <v>99324.131325953655</v>
      </c>
      <c r="I439" s="168">
        <f>G439*VLOOKUP(B439,[1]Afgrødedata!$A$5:$F$18,3,FALSE)*IF(D439="Økologisk",VLOOKUP(B439,[1]Afgrødedata!$A$5:$F$18,4,FALSE),1)*IF(E439&lt;&gt;Jordbund1,IF(E439=Organ6,VLOOKUP(B439,[1]Afgrødedata!$A$5:$F$18,5,FALSE),VLOOKUP(B439,[1]Afgrødedata!$A$5:$F$18,6,FALSE)),1)*HLOOKUP(C439,Landbrug!$C$15:$E$17,2,FALSE)*HLOOKUP(C439,Landbrug!$C$15:$E$17,3,FALSE)*0.1</f>
        <v>0</v>
      </c>
      <c r="J439" s="76">
        <f t="shared" si="64"/>
        <v>99324.131325953655</v>
      </c>
    </row>
    <row r="440" spans="1:10" x14ac:dyDescent="0.25">
      <c r="A440" t="s">
        <v>24</v>
      </c>
      <c r="B440" s="1" t="str">
        <f>[1]Afgrødefordeling!$C$6</f>
        <v>Grøntsager</v>
      </c>
      <c r="C440">
        <v>2030</v>
      </c>
      <c r="D440" t="s">
        <v>7</v>
      </c>
      <c r="E440" s="168" t="str">
        <f t="shared" si="65"/>
        <v>OC12</v>
      </c>
      <c r="F440" t="str">
        <f t="shared" si="62"/>
        <v>Grøntsager</v>
      </c>
      <c r="G440" s="76" cm="1">
        <f t="array" ref="G440">IF(A440="Vestdanmark",IF(D440="Konventionel",IF(C440=2019,SUMPRODUCT((B440='Landbrugsareal - resultat'!$B$6:$B$19)*(INDEX('Landbrugsareal - resultat'!$C$6:$E$19,,MATCH(E440,'Landbrugsareal - resultat'!$C$5:$E$5,0)))),IF(C440=2030,SUMPRODUCT((B440='Landbrugsareal - resultat'!$B$6:$B$19)*(INDEX('Landbrugsareal - resultat'!$F$6:$H$19,,MATCH(E440,'Landbrugsareal - resultat'!$F$5:$H$5,0)))),SUMPRODUCT((B440='Landbrugsareal - resultat'!$B$6:$B$19)*(INDEX('Landbrugsareal - resultat'!$I$6:$K$19,,MATCH(E440,'Landbrugsareal - resultat'!$I$5:$K$5,0)))))),IF(C440=2019,SUMPRODUCT((B440='Landbrugsareal - resultat'!$B$6:$B$19)*(INDEX('Landbrugsareal - resultat'!$L$6:$N$19,,MATCH(E440,'Landbrugsareal - resultat'!$L$5:$N$5,0)))),IF(C440=2030,SUMPRODUCT((B440='Landbrugsareal - resultat'!$B$6:$B$19)*(INDEX('Landbrugsareal - resultat'!$O$6:$Q$19,,MATCH(E440,'Landbrugsareal - resultat'!$O$5:$Q$5,0)))),SUMPRODUCT((B440='Landbrugsareal - resultat'!$B$6:$B$19)*(INDEX('Landbrugsareal - resultat'!$R$6:$T$19,,MATCH(E440,'Landbrugsareal - resultat'!$R$5:$T$5,0))))))),IF(D440="Konventionel",IF(C440=2019,SUMPRODUCT((B440='Landbrugsareal - resultat'!$B$33:$B$46)*(INDEX('Landbrugsareal - resultat'!$C$33:$E$46,,MATCH(E440,'Landbrugsareal - resultat'!$C$5:$E$5,0)))),IF(C440=2030,SUMPRODUCT((B440='Landbrugsareal - resultat'!$B$33:$B$46)*(INDEX('Landbrugsareal - resultat'!$F$33:$H$46,,MATCH(E440,'Landbrugsareal - resultat'!$F$5:$H$5,0)))),SUMPRODUCT((B440='Landbrugsareal - resultat'!$B$33:$B$46)*(INDEX('Landbrugsareal - resultat'!$I$33:$K$46,,MATCH(E440,'Landbrugsareal - resultat'!$I$5:$K$5,0)))))),IF(C440=2019,SUMPRODUCT((B440='Landbrugsareal - resultat'!$B$33:$B$46)*(INDEX('Landbrugsareal - resultat'!$L$33:$N$46,,MATCH(E440,'Landbrugsareal - resultat'!$L$5:$N$5,0)))),IF(C440=2030,SUMPRODUCT((B440='Landbrugsareal - resultat'!$B$33:$B$46)*(INDEX('Landbrugsareal - resultat'!$O$33:$Q$46,,MATCH(E440,'Landbrugsareal - resultat'!$O$5:$Q$5,0)))),SUMPRODUCT((B440='Landbrugsareal - resultat'!$B$33:$B$46)*(INDEX('Landbrugsareal - resultat'!$R$33:$T$46,,MATCH(E440,'Landbrugsareal - resultat'!$R$5:$T$5,0))))))))</f>
        <v>6.7294128000446527</v>
      </c>
      <c r="H440" s="168">
        <f>G440*VLOOKUP(B440,[1]Afgrødedata!$A$5:$F$18,2,FALSE)*IF(D440="Økologisk",VLOOKUP(B440,[1]Afgrødedata!$A$5:$F$18,4,FALSE),1)*IF(E440&lt;&gt;Jordbund1,IF(E440=Organ6,VLOOKUP(B440,[1]Afgrødedata!$A$5:$F$18,5,FALSE),VLOOKUP(B440,[1]Afgrødedata!$A$5:$F$18,6,FALSE)),1)*0.1</f>
        <v>195.48944184129715</v>
      </c>
      <c r="I440" s="168">
        <f>G440*VLOOKUP(B440,[1]Afgrødedata!$A$5:$F$18,3,FALSE)*IF(D440="Økologisk",VLOOKUP(B440,[1]Afgrødedata!$A$5:$F$18,4,FALSE),1)*IF(E440&lt;&gt;Jordbund1,IF(E440=Organ6,VLOOKUP(B440,[1]Afgrødedata!$A$5:$F$18,5,FALSE),VLOOKUP(B440,[1]Afgrødedata!$A$5:$F$18,6,FALSE)),1)*HLOOKUP(C440,Landbrug!$C$15:$E$17,2,FALSE)*HLOOKUP(C440,Landbrug!$C$15:$E$17,3,FALSE)*0.1</f>
        <v>0</v>
      </c>
      <c r="J440" s="76">
        <f t="shared" si="64"/>
        <v>195.48944184129715</v>
      </c>
    </row>
    <row r="441" spans="1:10" x14ac:dyDescent="0.25">
      <c r="A441" t="s">
        <v>24</v>
      </c>
      <c r="B441" s="1" t="str">
        <f>[1]Afgrødefordeling!$C$7</f>
        <v>Kartofler</v>
      </c>
      <c r="C441">
        <v>2030</v>
      </c>
      <c r="D441" t="s">
        <v>7</v>
      </c>
      <c r="E441" s="168" t="str">
        <f t="shared" si="65"/>
        <v>OC12</v>
      </c>
      <c r="F441" t="str">
        <f t="shared" si="62"/>
        <v>Kartofler</v>
      </c>
      <c r="G441" s="76" cm="1">
        <f t="array" ref="G441">IF(A441="Vestdanmark",IF(D441="Konventionel",IF(C441=2019,SUMPRODUCT((B441='Landbrugsareal - resultat'!$B$6:$B$19)*(INDEX('Landbrugsareal - resultat'!$C$6:$E$19,,MATCH(E441,'Landbrugsareal - resultat'!$C$5:$E$5,0)))),IF(C441=2030,SUMPRODUCT((B441='Landbrugsareal - resultat'!$B$6:$B$19)*(INDEX('Landbrugsareal - resultat'!$F$6:$H$19,,MATCH(E441,'Landbrugsareal - resultat'!$F$5:$H$5,0)))),SUMPRODUCT((B441='Landbrugsareal - resultat'!$B$6:$B$19)*(INDEX('Landbrugsareal - resultat'!$I$6:$K$19,,MATCH(E441,'Landbrugsareal - resultat'!$I$5:$K$5,0)))))),IF(C441=2019,SUMPRODUCT((B441='Landbrugsareal - resultat'!$B$6:$B$19)*(INDEX('Landbrugsareal - resultat'!$L$6:$N$19,,MATCH(E441,'Landbrugsareal - resultat'!$L$5:$N$5,0)))),IF(C441=2030,SUMPRODUCT((B441='Landbrugsareal - resultat'!$B$6:$B$19)*(INDEX('Landbrugsareal - resultat'!$O$6:$Q$19,,MATCH(E441,'Landbrugsareal - resultat'!$O$5:$Q$5,0)))),SUMPRODUCT((B441='Landbrugsareal - resultat'!$B$6:$B$19)*(INDEX('Landbrugsareal - resultat'!$R$6:$T$19,,MATCH(E441,'Landbrugsareal - resultat'!$R$5:$T$5,0))))))),IF(D441="Konventionel",IF(C441=2019,SUMPRODUCT((B441='Landbrugsareal - resultat'!$B$33:$B$46)*(INDEX('Landbrugsareal - resultat'!$C$33:$E$46,,MATCH(E441,'Landbrugsareal - resultat'!$C$5:$E$5,0)))),IF(C441=2030,SUMPRODUCT((B441='Landbrugsareal - resultat'!$B$33:$B$46)*(INDEX('Landbrugsareal - resultat'!$F$33:$H$46,,MATCH(E441,'Landbrugsareal - resultat'!$F$5:$H$5,0)))),SUMPRODUCT((B441='Landbrugsareal - resultat'!$B$33:$B$46)*(INDEX('Landbrugsareal - resultat'!$I$33:$K$46,,MATCH(E441,'Landbrugsareal - resultat'!$I$5:$K$5,0)))))),IF(C441=2019,SUMPRODUCT((B441='Landbrugsareal - resultat'!$B$33:$B$46)*(INDEX('Landbrugsareal - resultat'!$L$33:$N$46,,MATCH(E441,'Landbrugsareal - resultat'!$L$5:$N$5,0)))),IF(C441=2030,SUMPRODUCT((B441='Landbrugsareal - resultat'!$B$33:$B$46)*(INDEX('Landbrugsareal - resultat'!$O$33:$Q$46,,MATCH(E441,'Landbrugsareal - resultat'!$O$5:$Q$5,0)))),SUMPRODUCT((B441='Landbrugsareal - resultat'!$B$33:$B$46)*(INDEX('Landbrugsareal - resultat'!$R$33:$T$46,,MATCH(E441,'Landbrugsareal - resultat'!$R$5:$T$5,0))))))))</f>
        <v>38.356850193560312</v>
      </c>
      <c r="H441" s="168">
        <f>G441*VLOOKUP(B441,[1]Afgrødedata!$A$5:$F$18,2,FALSE)*IF(D441="Økologisk",VLOOKUP(B441,[1]Afgrødedata!$A$5:$F$18,4,FALSE),1)*IF(E441&lt;&gt;Jordbund1,IF(E441=Organ6,VLOOKUP(B441,[1]Afgrødedata!$A$5:$F$18,5,FALSE),VLOOKUP(B441,[1]Afgrødedata!$A$5:$F$18,6,FALSE)),1)*0.1</f>
        <v>2280.6699000274707</v>
      </c>
      <c r="I441" s="168">
        <f>G441*VLOOKUP(B441,[1]Afgrødedata!$A$5:$F$18,3,FALSE)*IF(D441="Økologisk",VLOOKUP(B441,[1]Afgrødedata!$A$5:$F$18,4,FALSE),1)*IF(E441&lt;&gt;Jordbund1,IF(E441=Organ6,VLOOKUP(B441,[1]Afgrødedata!$A$5:$F$18,5,FALSE),VLOOKUP(B441,[1]Afgrødedata!$A$5:$F$18,6,FALSE)),1)*HLOOKUP(C441,Landbrug!$C$15:$E$17,2,FALSE)*HLOOKUP(C441,Landbrug!$C$15:$E$17,3,FALSE)*0.1</f>
        <v>0</v>
      </c>
      <c r="J441" s="76">
        <f t="shared" si="64"/>
        <v>2280.6699000274707</v>
      </c>
    </row>
    <row r="442" spans="1:10" x14ac:dyDescent="0.25">
      <c r="A442" t="s">
        <v>24</v>
      </c>
      <c r="B442" s="1" t="str">
        <f>[1]Afgrødefordeling!$C$8</f>
        <v>Roer</v>
      </c>
      <c r="C442">
        <v>2030</v>
      </c>
      <c r="D442" t="s">
        <v>7</v>
      </c>
      <c r="E442" s="168" t="str">
        <f t="shared" si="65"/>
        <v>OC12</v>
      </c>
      <c r="F442" t="str">
        <f t="shared" si="62"/>
        <v>Roer</v>
      </c>
      <c r="G442" s="76" cm="1">
        <f t="array" ref="G442">IF(A442="Vestdanmark",IF(D442="Konventionel",IF(C442=2019,SUMPRODUCT((B442='Landbrugsareal - resultat'!$B$6:$B$19)*(INDEX('Landbrugsareal - resultat'!$C$6:$E$19,,MATCH(E442,'Landbrugsareal - resultat'!$C$5:$E$5,0)))),IF(C442=2030,SUMPRODUCT((B442='Landbrugsareal - resultat'!$B$6:$B$19)*(INDEX('Landbrugsareal - resultat'!$F$6:$H$19,,MATCH(E442,'Landbrugsareal - resultat'!$F$5:$H$5,0)))),SUMPRODUCT((B442='Landbrugsareal - resultat'!$B$6:$B$19)*(INDEX('Landbrugsareal - resultat'!$I$6:$K$19,,MATCH(E442,'Landbrugsareal - resultat'!$I$5:$K$5,0)))))),IF(C442=2019,SUMPRODUCT((B442='Landbrugsareal - resultat'!$B$6:$B$19)*(INDEX('Landbrugsareal - resultat'!$L$6:$N$19,,MATCH(E442,'Landbrugsareal - resultat'!$L$5:$N$5,0)))),IF(C442=2030,SUMPRODUCT((B442='Landbrugsareal - resultat'!$B$6:$B$19)*(INDEX('Landbrugsareal - resultat'!$O$6:$Q$19,,MATCH(E442,'Landbrugsareal - resultat'!$O$5:$Q$5,0)))),SUMPRODUCT((B442='Landbrugsareal - resultat'!$B$6:$B$19)*(INDEX('Landbrugsareal - resultat'!$R$6:$T$19,,MATCH(E442,'Landbrugsareal - resultat'!$R$5:$T$5,0))))))),IF(D442="Konventionel",IF(C442=2019,SUMPRODUCT((B442='Landbrugsareal - resultat'!$B$33:$B$46)*(INDEX('Landbrugsareal - resultat'!$C$33:$E$46,,MATCH(E442,'Landbrugsareal - resultat'!$C$5:$E$5,0)))),IF(C442=2030,SUMPRODUCT((B442='Landbrugsareal - resultat'!$B$33:$B$46)*(INDEX('Landbrugsareal - resultat'!$F$33:$H$46,,MATCH(E442,'Landbrugsareal - resultat'!$F$5:$H$5,0)))),SUMPRODUCT((B442='Landbrugsareal - resultat'!$B$33:$B$46)*(INDEX('Landbrugsareal - resultat'!$I$33:$K$46,,MATCH(E442,'Landbrugsareal - resultat'!$I$5:$K$5,0)))))),IF(C442=2019,SUMPRODUCT((B442='Landbrugsareal - resultat'!$B$33:$B$46)*(INDEX('Landbrugsareal - resultat'!$L$33:$N$46,,MATCH(E442,'Landbrugsareal - resultat'!$L$5:$N$5,0)))),IF(C442=2030,SUMPRODUCT((B442='Landbrugsareal - resultat'!$B$33:$B$46)*(INDEX('Landbrugsareal - resultat'!$O$33:$Q$46,,MATCH(E442,'Landbrugsareal - resultat'!$O$5:$Q$5,0)))),SUMPRODUCT((B442='Landbrugsareal - resultat'!$B$33:$B$46)*(INDEX('Landbrugsareal - resultat'!$R$33:$T$46,,MATCH(E442,'Landbrugsareal - resultat'!$R$5:$T$5,0))))))))</f>
        <v>44.171196265346403</v>
      </c>
      <c r="H442" s="168">
        <f>G442*VLOOKUP(B442,[1]Afgrødedata!$A$5:$F$18,2,FALSE)*IF(D442="Økologisk",VLOOKUP(B442,[1]Afgrødedata!$A$5:$F$18,4,FALSE),1)*IF(E442&lt;&gt;Jordbund1,IF(E442=Organ6,VLOOKUP(B442,[1]Afgrødedata!$A$5:$F$18,5,FALSE),VLOOKUP(B442,[1]Afgrødedata!$A$5:$F$18,6,FALSE)),1)*0.1</f>
        <v>5024.7043202382702</v>
      </c>
      <c r="I442" s="168">
        <f>G442*VLOOKUP(B442,[1]Afgrødedata!$A$5:$F$18,3,FALSE)*IF(D442="Økologisk",VLOOKUP(B442,[1]Afgrødedata!$A$5:$F$18,4,FALSE),1)*IF(E442&lt;&gt;Jordbund1,IF(E442=Organ6,VLOOKUP(B442,[1]Afgrødedata!$A$5:$F$18,5,FALSE),VLOOKUP(B442,[1]Afgrødedata!$A$5:$F$18,6,FALSE)),1)*HLOOKUP(C442,Landbrug!$C$15:$E$17,2,FALSE)*HLOOKUP(C442,Landbrug!$C$15:$E$17,3,FALSE)*0.1</f>
        <v>0</v>
      </c>
      <c r="J442" s="76">
        <f t="shared" si="64"/>
        <v>5024.7043202382702</v>
      </c>
    </row>
    <row r="443" spans="1:10" x14ac:dyDescent="0.25">
      <c r="A443" t="s">
        <v>24</v>
      </c>
      <c r="B443" s="1" t="str">
        <f>[1]Afgrødefordeling!$C$9</f>
        <v>Majs</v>
      </c>
      <c r="C443">
        <v>2030</v>
      </c>
      <c r="D443" t="s">
        <v>7</v>
      </c>
      <c r="E443" s="168" t="str">
        <f t="shared" si="65"/>
        <v>OC12</v>
      </c>
      <c r="F443" t="str">
        <f t="shared" si="62"/>
        <v>Majs</v>
      </c>
      <c r="G443" s="76" cm="1">
        <f t="array" ref="G443">IF(A443="Vestdanmark",IF(D443="Konventionel",IF(C443=2019,SUMPRODUCT((B443='Landbrugsareal - resultat'!$B$6:$B$19)*(INDEX('Landbrugsareal - resultat'!$C$6:$E$19,,MATCH(E443,'Landbrugsareal - resultat'!$C$5:$E$5,0)))),IF(C443=2030,SUMPRODUCT((B443='Landbrugsareal - resultat'!$B$6:$B$19)*(INDEX('Landbrugsareal - resultat'!$F$6:$H$19,,MATCH(E443,'Landbrugsareal - resultat'!$F$5:$H$5,0)))),SUMPRODUCT((B443='Landbrugsareal - resultat'!$B$6:$B$19)*(INDEX('Landbrugsareal - resultat'!$I$6:$K$19,,MATCH(E443,'Landbrugsareal - resultat'!$I$5:$K$5,0)))))),IF(C443=2019,SUMPRODUCT((B443='Landbrugsareal - resultat'!$B$6:$B$19)*(INDEX('Landbrugsareal - resultat'!$L$6:$N$19,,MATCH(E443,'Landbrugsareal - resultat'!$L$5:$N$5,0)))),IF(C443=2030,SUMPRODUCT((B443='Landbrugsareal - resultat'!$B$6:$B$19)*(INDEX('Landbrugsareal - resultat'!$O$6:$Q$19,,MATCH(E443,'Landbrugsareal - resultat'!$O$5:$Q$5,0)))),SUMPRODUCT((B443='Landbrugsareal - resultat'!$B$6:$B$19)*(INDEX('Landbrugsareal - resultat'!$R$6:$T$19,,MATCH(E443,'Landbrugsareal - resultat'!$R$5:$T$5,0))))))),IF(D443="Konventionel",IF(C443=2019,SUMPRODUCT((B443='Landbrugsareal - resultat'!$B$33:$B$46)*(INDEX('Landbrugsareal - resultat'!$C$33:$E$46,,MATCH(E443,'Landbrugsareal - resultat'!$C$5:$E$5,0)))),IF(C443=2030,SUMPRODUCT((B443='Landbrugsareal - resultat'!$B$33:$B$46)*(INDEX('Landbrugsareal - resultat'!$F$33:$H$46,,MATCH(E443,'Landbrugsareal - resultat'!$F$5:$H$5,0)))),SUMPRODUCT((B443='Landbrugsareal - resultat'!$B$33:$B$46)*(INDEX('Landbrugsareal - resultat'!$I$33:$K$46,,MATCH(E443,'Landbrugsareal - resultat'!$I$5:$K$5,0)))))),IF(C443=2019,SUMPRODUCT((B443='Landbrugsareal - resultat'!$B$33:$B$46)*(INDEX('Landbrugsareal - resultat'!$L$33:$N$46,,MATCH(E443,'Landbrugsareal - resultat'!$L$5:$N$5,0)))),IF(C443=2030,SUMPRODUCT((B443='Landbrugsareal - resultat'!$B$33:$B$46)*(INDEX('Landbrugsareal - resultat'!$O$33:$Q$46,,MATCH(E443,'Landbrugsareal - resultat'!$O$5:$Q$5,0)))),SUMPRODUCT((B443='Landbrugsareal - resultat'!$B$33:$B$46)*(INDEX('Landbrugsareal - resultat'!$R$33:$T$46,,MATCH(E443,'Landbrugsareal - resultat'!$R$5:$T$5,0))))))))</f>
        <v>45.369450889867416</v>
      </c>
      <c r="H443" s="168">
        <f>G443*VLOOKUP(B443,[1]Afgrødedata!$A$5:$F$18,2,FALSE)*IF(D443="Økologisk",VLOOKUP(B443,[1]Afgrødedata!$A$5:$F$18,4,FALSE),1)*IF(E443&lt;&gt;Jordbund1,IF(E443=Organ6,VLOOKUP(B443,[1]Afgrødedata!$A$5:$F$18,5,FALSE),VLOOKUP(B443,[1]Afgrødedata!$A$5:$F$18,6,FALSE)),1)*0.1</f>
        <v>2827.1519627511984</v>
      </c>
      <c r="I443" s="168">
        <f>G443*VLOOKUP(B443,[1]Afgrødedata!$A$5:$F$18,3,FALSE)*IF(D443="Økologisk",VLOOKUP(B443,[1]Afgrødedata!$A$5:$F$18,4,FALSE),1)*IF(E443&lt;&gt;Jordbund1,IF(E443=Organ6,VLOOKUP(B443,[1]Afgrødedata!$A$5:$F$18,5,FALSE),VLOOKUP(B443,[1]Afgrødedata!$A$5:$F$18,6,FALSE)),1)*HLOOKUP(C443,Landbrug!$C$15:$E$17,2,FALSE)*HLOOKUP(C443,Landbrug!$C$15:$E$17,3,FALSE)*0.1</f>
        <v>0</v>
      </c>
      <c r="J443" s="76">
        <f t="shared" si="64"/>
        <v>2827.1519627511984</v>
      </c>
    </row>
    <row r="444" spans="1:10" x14ac:dyDescent="0.25">
      <c r="A444" t="s">
        <v>24</v>
      </c>
      <c r="B444" s="1" t="str">
        <f>[1]Afgrødefordeling!$C$10</f>
        <v>Frugt</v>
      </c>
      <c r="C444">
        <v>2030</v>
      </c>
      <c r="D444" t="s">
        <v>7</v>
      </c>
      <c r="E444" s="168" t="str">
        <f t="shared" si="65"/>
        <v>OC12</v>
      </c>
      <c r="F444" t="str">
        <f t="shared" si="62"/>
        <v>Frugt</v>
      </c>
      <c r="G444" s="76" cm="1">
        <f t="array" ref="G444">IF(A444="Vestdanmark",IF(D444="Konventionel",IF(C444=2019,SUMPRODUCT((B444='Landbrugsareal - resultat'!$B$6:$B$19)*(INDEX('Landbrugsareal - resultat'!$C$6:$E$19,,MATCH(E444,'Landbrugsareal - resultat'!$C$5:$E$5,0)))),IF(C444=2030,SUMPRODUCT((B444='Landbrugsareal - resultat'!$B$6:$B$19)*(INDEX('Landbrugsareal - resultat'!$F$6:$H$19,,MATCH(E444,'Landbrugsareal - resultat'!$F$5:$H$5,0)))),SUMPRODUCT((B444='Landbrugsareal - resultat'!$B$6:$B$19)*(INDEX('Landbrugsareal - resultat'!$I$6:$K$19,,MATCH(E444,'Landbrugsareal - resultat'!$I$5:$K$5,0)))))),IF(C444=2019,SUMPRODUCT((B444='Landbrugsareal - resultat'!$B$6:$B$19)*(INDEX('Landbrugsareal - resultat'!$L$6:$N$19,,MATCH(E444,'Landbrugsareal - resultat'!$L$5:$N$5,0)))),IF(C444=2030,SUMPRODUCT((B444='Landbrugsareal - resultat'!$B$6:$B$19)*(INDEX('Landbrugsareal - resultat'!$O$6:$Q$19,,MATCH(E444,'Landbrugsareal - resultat'!$O$5:$Q$5,0)))),SUMPRODUCT((B444='Landbrugsareal - resultat'!$B$6:$B$19)*(INDEX('Landbrugsareal - resultat'!$R$6:$T$19,,MATCH(E444,'Landbrugsareal - resultat'!$R$5:$T$5,0))))))),IF(D444="Konventionel",IF(C444=2019,SUMPRODUCT((B444='Landbrugsareal - resultat'!$B$33:$B$46)*(INDEX('Landbrugsareal - resultat'!$C$33:$E$46,,MATCH(E444,'Landbrugsareal - resultat'!$C$5:$E$5,0)))),IF(C444=2030,SUMPRODUCT((B444='Landbrugsareal - resultat'!$B$33:$B$46)*(INDEX('Landbrugsareal - resultat'!$F$33:$H$46,,MATCH(E444,'Landbrugsareal - resultat'!$F$5:$H$5,0)))),SUMPRODUCT((B444='Landbrugsareal - resultat'!$B$33:$B$46)*(INDEX('Landbrugsareal - resultat'!$I$33:$K$46,,MATCH(E444,'Landbrugsareal - resultat'!$I$5:$K$5,0)))))),IF(C444=2019,SUMPRODUCT((B444='Landbrugsareal - resultat'!$B$33:$B$46)*(INDEX('Landbrugsareal - resultat'!$L$33:$N$46,,MATCH(E444,'Landbrugsareal - resultat'!$L$5:$N$5,0)))),IF(C444=2030,SUMPRODUCT((B444='Landbrugsareal - resultat'!$B$33:$B$46)*(INDEX('Landbrugsareal - resultat'!$O$33:$Q$46,,MATCH(E444,'Landbrugsareal - resultat'!$O$5:$Q$5,0)))),SUMPRODUCT((B444='Landbrugsareal - resultat'!$B$33:$B$46)*(INDEX('Landbrugsareal - resultat'!$R$33:$T$46,,MATCH(E444,'Landbrugsareal - resultat'!$R$5:$T$5,0))))))))</f>
        <v>16.463460920750791</v>
      </c>
      <c r="H444" s="168">
        <f>G444*VLOOKUP(B444,[1]Afgrødedata!$A$5:$F$18,2,FALSE)*IF(D444="Økologisk",VLOOKUP(B444,[1]Afgrødedata!$A$5:$F$18,4,FALSE),1)*IF(E444&lt;&gt;Jordbund1,IF(E444=Organ6,VLOOKUP(B444,[1]Afgrødedata!$A$5:$F$18,5,FALSE),VLOOKUP(B444,[1]Afgrødedata!$A$5:$F$18,6,FALSE)),1)*0.1</f>
        <v>195.6846965040439</v>
      </c>
      <c r="I444" s="168">
        <f>G444*VLOOKUP(B444,[1]Afgrødedata!$A$5:$F$18,3,FALSE)*IF(D444="Økologisk",VLOOKUP(B444,[1]Afgrødedata!$A$5:$F$18,4,FALSE),1)*IF(E444&lt;&gt;Jordbund1,IF(E444=Organ6,VLOOKUP(B444,[1]Afgrødedata!$A$5:$F$18,5,FALSE),VLOOKUP(B444,[1]Afgrødedata!$A$5:$F$18,6,FALSE)),1)*HLOOKUP(C444,Landbrug!$C$15:$E$17,2,FALSE)*HLOOKUP(C444,Landbrug!$C$15:$E$17,3,FALSE)*0.1</f>
        <v>0</v>
      </c>
      <c r="J444" s="76">
        <f t="shared" si="64"/>
        <v>195.6846965040439</v>
      </c>
    </row>
    <row r="445" spans="1:10" x14ac:dyDescent="0.25">
      <c r="A445" t="s">
        <v>24</v>
      </c>
      <c r="B445" s="1" t="str">
        <f>[1]Afgrødefordeling!$C$11</f>
        <v>Øvrige</v>
      </c>
      <c r="C445">
        <v>2030</v>
      </c>
      <c r="D445" t="s">
        <v>7</v>
      </c>
      <c r="E445" s="168" t="str">
        <f t="shared" si="65"/>
        <v>OC12</v>
      </c>
      <c r="F445" t="str">
        <f t="shared" si="62"/>
        <v>Øvrige</v>
      </c>
      <c r="G445" s="76" cm="1">
        <f t="array" ref="G445">IF(A445="Vestdanmark",IF(D445="Konventionel",IF(C445=2019,SUMPRODUCT((B445='Landbrugsareal - resultat'!$B$6:$B$19)*(INDEX('Landbrugsareal - resultat'!$C$6:$E$19,,MATCH(E445,'Landbrugsareal - resultat'!$C$5:$E$5,0)))),IF(C445=2030,SUMPRODUCT((B445='Landbrugsareal - resultat'!$B$6:$B$19)*(INDEX('Landbrugsareal - resultat'!$F$6:$H$19,,MATCH(E445,'Landbrugsareal - resultat'!$F$5:$H$5,0)))),SUMPRODUCT((B445='Landbrugsareal - resultat'!$B$6:$B$19)*(INDEX('Landbrugsareal - resultat'!$I$6:$K$19,,MATCH(E445,'Landbrugsareal - resultat'!$I$5:$K$5,0)))))),IF(C445=2019,SUMPRODUCT((B445='Landbrugsareal - resultat'!$B$6:$B$19)*(INDEX('Landbrugsareal - resultat'!$L$6:$N$19,,MATCH(E445,'Landbrugsareal - resultat'!$L$5:$N$5,0)))),IF(C445=2030,SUMPRODUCT((B445='Landbrugsareal - resultat'!$B$6:$B$19)*(INDEX('Landbrugsareal - resultat'!$O$6:$Q$19,,MATCH(E445,'Landbrugsareal - resultat'!$O$5:$Q$5,0)))),SUMPRODUCT((B445='Landbrugsareal - resultat'!$B$6:$B$19)*(INDEX('Landbrugsareal - resultat'!$R$6:$T$19,,MATCH(E445,'Landbrugsareal - resultat'!$R$5:$T$5,0))))))),IF(D445="Konventionel",IF(C445=2019,SUMPRODUCT((B445='Landbrugsareal - resultat'!$B$33:$B$46)*(INDEX('Landbrugsareal - resultat'!$C$33:$E$46,,MATCH(E445,'Landbrugsareal - resultat'!$C$5:$E$5,0)))),IF(C445=2030,SUMPRODUCT((B445='Landbrugsareal - resultat'!$B$33:$B$46)*(INDEX('Landbrugsareal - resultat'!$F$33:$H$46,,MATCH(E445,'Landbrugsareal - resultat'!$F$5:$H$5,0)))),SUMPRODUCT((B445='Landbrugsareal - resultat'!$B$33:$B$46)*(INDEX('Landbrugsareal - resultat'!$I$33:$K$46,,MATCH(E445,'Landbrugsareal - resultat'!$I$5:$K$5,0)))))),IF(C445=2019,SUMPRODUCT((B445='Landbrugsareal - resultat'!$B$33:$B$46)*(INDEX('Landbrugsareal - resultat'!$L$33:$N$46,,MATCH(E445,'Landbrugsareal - resultat'!$L$5:$N$5,0)))),IF(C445=2030,SUMPRODUCT((B445='Landbrugsareal - resultat'!$B$33:$B$46)*(INDEX('Landbrugsareal - resultat'!$O$33:$Q$46,,MATCH(E445,'Landbrugsareal - resultat'!$O$5:$Q$5,0)))),SUMPRODUCT((B445='Landbrugsareal - resultat'!$B$33:$B$46)*(INDEX('Landbrugsareal - resultat'!$R$33:$T$46,,MATCH(E445,'Landbrugsareal - resultat'!$R$5:$T$5,0))))))))</f>
        <v>117.55709594532664</v>
      </c>
      <c r="H445" s="168">
        <f>G445*VLOOKUP(B445,[1]Afgrødedata!$A$5:$F$18,2,FALSE)*IF(D445="Økologisk",VLOOKUP(B445,[1]Afgrødedata!$A$5:$F$18,4,FALSE),1)*IF(E445&lt;&gt;Jordbund1,IF(E445=Organ6,VLOOKUP(B445,[1]Afgrødedata!$A$5:$F$18,5,FALSE),VLOOKUP(B445,[1]Afgrødedata!$A$5:$F$18,6,FALSE)),1)*0.1</f>
        <v>4903.8144256827454</v>
      </c>
      <c r="I445" s="168">
        <f>G445*VLOOKUP(B445,[1]Afgrødedata!$A$5:$F$18,3,FALSE)*IF(D445="Økologisk",VLOOKUP(B445,[1]Afgrødedata!$A$5:$F$18,4,FALSE),1)*IF(E445&lt;&gt;Jordbund1,IF(E445=Organ6,VLOOKUP(B445,[1]Afgrødedata!$A$5:$F$18,5,FALSE),VLOOKUP(B445,[1]Afgrødedata!$A$5:$F$18,6,FALSE)),1)*HLOOKUP(C445,Landbrug!$C$15:$E$17,2,FALSE)*HLOOKUP(C445,Landbrug!$C$15:$E$17,3,FALSE)*0.1</f>
        <v>0</v>
      </c>
      <c r="J445" s="76">
        <f t="shared" si="64"/>
        <v>4903.8144256827454</v>
      </c>
    </row>
    <row r="446" spans="1:10" x14ac:dyDescent="0.25">
      <c r="A446" t="s">
        <v>24</v>
      </c>
      <c r="B446" s="1" t="str">
        <f>[1]Afgrødefordeling!$C$12</f>
        <v>Frø</v>
      </c>
      <c r="C446">
        <v>2030</v>
      </c>
      <c r="D446" t="s">
        <v>7</v>
      </c>
      <c r="E446" s="168" t="str">
        <f t="shared" si="65"/>
        <v>OC12</v>
      </c>
      <c r="F446" t="str">
        <f t="shared" si="62"/>
        <v>Halm</v>
      </c>
      <c r="G446" s="76" cm="1">
        <f t="array" ref="G446">IF(A446="Vestdanmark",IF(D446="Konventionel",IF(C446=2019,SUMPRODUCT((B446='Landbrugsareal - resultat'!$B$6:$B$19)*(INDEX('Landbrugsareal - resultat'!$C$6:$E$19,,MATCH(E446,'Landbrugsareal - resultat'!$C$5:$E$5,0)))),IF(C446=2030,SUMPRODUCT((B446='Landbrugsareal - resultat'!$B$6:$B$19)*(INDEX('Landbrugsareal - resultat'!$F$6:$H$19,,MATCH(E446,'Landbrugsareal - resultat'!$F$5:$H$5,0)))),SUMPRODUCT((B446='Landbrugsareal - resultat'!$B$6:$B$19)*(INDEX('Landbrugsareal - resultat'!$I$6:$K$19,,MATCH(E446,'Landbrugsareal - resultat'!$I$5:$K$5,0)))))),IF(C446=2019,SUMPRODUCT((B446='Landbrugsareal - resultat'!$B$6:$B$19)*(INDEX('Landbrugsareal - resultat'!$L$6:$N$19,,MATCH(E446,'Landbrugsareal - resultat'!$L$5:$N$5,0)))),IF(C446=2030,SUMPRODUCT((B446='Landbrugsareal - resultat'!$B$6:$B$19)*(INDEX('Landbrugsareal - resultat'!$O$6:$Q$19,,MATCH(E446,'Landbrugsareal - resultat'!$O$5:$Q$5,0)))),SUMPRODUCT((B446='Landbrugsareal - resultat'!$B$6:$B$19)*(INDEX('Landbrugsareal - resultat'!$R$6:$T$19,,MATCH(E446,'Landbrugsareal - resultat'!$R$5:$T$5,0))))))),IF(D446="Konventionel",IF(C446=2019,SUMPRODUCT((B446='Landbrugsareal - resultat'!$B$33:$B$46)*(INDEX('Landbrugsareal - resultat'!$C$33:$E$46,,MATCH(E446,'Landbrugsareal - resultat'!$C$5:$E$5,0)))),IF(C446=2030,SUMPRODUCT((B446='Landbrugsareal - resultat'!$B$33:$B$46)*(INDEX('Landbrugsareal - resultat'!$F$33:$H$46,,MATCH(E446,'Landbrugsareal - resultat'!$F$5:$H$5,0)))),SUMPRODUCT((B446='Landbrugsareal - resultat'!$B$33:$B$46)*(INDEX('Landbrugsareal - resultat'!$I$33:$K$46,,MATCH(E446,'Landbrugsareal - resultat'!$I$5:$K$5,0)))))),IF(C446=2019,SUMPRODUCT((B446='Landbrugsareal - resultat'!$B$33:$B$46)*(INDEX('Landbrugsareal - resultat'!$L$33:$N$46,,MATCH(E446,'Landbrugsareal - resultat'!$L$5:$N$5,0)))),IF(C446=2030,SUMPRODUCT((B446='Landbrugsareal - resultat'!$B$33:$B$46)*(INDEX('Landbrugsareal - resultat'!$O$33:$Q$46,,MATCH(E446,'Landbrugsareal - resultat'!$O$5:$Q$5,0)))),SUMPRODUCT((B446='Landbrugsareal - resultat'!$B$33:$B$46)*(INDEX('Landbrugsareal - resultat'!$R$33:$T$46,,MATCH(E446,'Landbrugsareal - resultat'!$R$5:$T$5,0))))))))</f>
        <v>1100.1201725977674</v>
      </c>
      <c r="H446" s="168">
        <f>G446*VLOOKUP(B446,[1]Afgrødedata!$A$5:$F$18,2,FALSE)*IF(D446="Økologisk",VLOOKUP(B446,[1]Afgrødedata!$A$5:$F$18,4,FALSE),1)*IF(E446&lt;&gt;Jordbund1,IF(E446=Organ6,VLOOKUP(B446,[1]Afgrødedata!$A$5:$F$18,5,FALSE),VLOOKUP(B446,[1]Afgrødedata!$A$5:$F$18,6,FALSE)),1)*0.1</f>
        <v>22007.249550943496</v>
      </c>
      <c r="I446" s="168">
        <f>G446*VLOOKUP(B446,[1]Afgrødedata!$A$5:$F$18,3,FALSE)*IF(D446="Økologisk",VLOOKUP(B446,[1]Afgrødedata!$A$5:$F$18,4,FALSE),1)*IF(E446&lt;&gt;Jordbund1,IF(E446=Organ6,VLOOKUP(B446,[1]Afgrødedata!$A$5:$F$18,5,FALSE),VLOOKUP(B446,[1]Afgrødedata!$A$5:$F$18,6,FALSE)),1)*HLOOKUP(C446,Landbrug!$C$15:$E$17,2,FALSE)*HLOOKUP(C446,Landbrug!$C$15:$E$17,3,FALSE)*0.1</f>
        <v>3634.7970502630228</v>
      </c>
      <c r="J446" s="76">
        <f t="shared" si="64"/>
        <v>3634.7970502630228</v>
      </c>
    </row>
    <row r="447" spans="1:10" x14ac:dyDescent="0.25">
      <c r="A447" t="s">
        <v>24</v>
      </c>
      <c r="B447" s="1" t="str">
        <f>[1]Afgrødefordeling!$C$13</f>
        <v>Juletræer</v>
      </c>
      <c r="C447">
        <v>2030</v>
      </c>
      <c r="D447" t="s">
        <v>7</v>
      </c>
      <c r="E447" s="168" t="str">
        <f t="shared" si="65"/>
        <v>OC12</v>
      </c>
      <c r="F447" t="str">
        <f t="shared" si="62"/>
        <v>Juletræer</v>
      </c>
      <c r="G447" s="76" cm="1">
        <f t="array" ref="G447">IF(A447="Vestdanmark",IF(D447="Konventionel",IF(C447=2019,SUMPRODUCT((B447='Landbrugsareal - resultat'!$B$6:$B$19)*(INDEX('Landbrugsareal - resultat'!$C$6:$E$19,,MATCH(E447,'Landbrugsareal - resultat'!$C$5:$E$5,0)))),IF(C447=2030,SUMPRODUCT((B447='Landbrugsareal - resultat'!$B$6:$B$19)*(INDEX('Landbrugsareal - resultat'!$F$6:$H$19,,MATCH(E447,'Landbrugsareal - resultat'!$F$5:$H$5,0)))),SUMPRODUCT((B447='Landbrugsareal - resultat'!$B$6:$B$19)*(INDEX('Landbrugsareal - resultat'!$I$6:$K$19,,MATCH(E447,'Landbrugsareal - resultat'!$I$5:$K$5,0)))))),IF(C447=2019,SUMPRODUCT((B447='Landbrugsareal - resultat'!$B$6:$B$19)*(INDEX('Landbrugsareal - resultat'!$L$6:$N$19,,MATCH(E447,'Landbrugsareal - resultat'!$L$5:$N$5,0)))),IF(C447=2030,SUMPRODUCT((B447='Landbrugsareal - resultat'!$B$6:$B$19)*(INDEX('Landbrugsareal - resultat'!$O$6:$Q$19,,MATCH(E447,'Landbrugsareal - resultat'!$O$5:$Q$5,0)))),SUMPRODUCT((B447='Landbrugsareal - resultat'!$B$6:$B$19)*(INDEX('Landbrugsareal - resultat'!$R$6:$T$19,,MATCH(E447,'Landbrugsareal - resultat'!$R$5:$T$5,0))))))),IF(D447="Konventionel",IF(C447=2019,SUMPRODUCT((B447='Landbrugsareal - resultat'!$B$33:$B$46)*(INDEX('Landbrugsareal - resultat'!$C$33:$E$46,,MATCH(E447,'Landbrugsareal - resultat'!$C$5:$E$5,0)))),IF(C447=2030,SUMPRODUCT((B447='Landbrugsareal - resultat'!$B$33:$B$46)*(INDEX('Landbrugsareal - resultat'!$F$33:$H$46,,MATCH(E447,'Landbrugsareal - resultat'!$F$5:$H$5,0)))),SUMPRODUCT((B447='Landbrugsareal - resultat'!$B$33:$B$46)*(INDEX('Landbrugsareal - resultat'!$I$33:$K$46,,MATCH(E447,'Landbrugsareal - resultat'!$I$5:$K$5,0)))))),IF(C447=2019,SUMPRODUCT((B447='Landbrugsareal - resultat'!$B$33:$B$46)*(INDEX('Landbrugsareal - resultat'!$L$33:$N$46,,MATCH(E447,'Landbrugsareal - resultat'!$L$5:$N$5,0)))),IF(C447=2030,SUMPRODUCT((B447='Landbrugsareal - resultat'!$B$33:$B$46)*(INDEX('Landbrugsareal - resultat'!$O$33:$Q$46,,MATCH(E447,'Landbrugsareal - resultat'!$O$5:$Q$5,0)))),SUMPRODUCT((B447='Landbrugsareal - resultat'!$B$33:$B$46)*(INDEX('Landbrugsareal - resultat'!$R$33:$T$46,,MATCH(E447,'Landbrugsareal - resultat'!$R$5:$T$5,0))))))))</f>
        <v>25.798149575247876</v>
      </c>
      <c r="H447" s="168">
        <f>G447*VLOOKUP(B447,[1]Afgrødedata!$A$5:$F$18,2,FALSE)*IF(D447="Økologisk",VLOOKUP(B447,[1]Afgrødedata!$A$5:$F$18,4,FALSE),1)*IF(E447&lt;&gt;Jordbund1,IF(E447=Organ6,VLOOKUP(B447,[1]Afgrødedata!$A$5:$F$18,5,FALSE),VLOOKUP(B447,[1]Afgrødedata!$A$5:$F$18,6,FALSE)),1)*0.1</f>
        <v>1805.8704702673513</v>
      </c>
      <c r="I447" s="168">
        <f>G447*VLOOKUP(B447,[1]Afgrødedata!$A$5:$F$18,3,FALSE)*IF(D447="Økologisk",VLOOKUP(B447,[1]Afgrødedata!$A$5:$F$18,4,FALSE),1)*IF(E447&lt;&gt;Jordbund1,IF(E447=Organ6,VLOOKUP(B447,[1]Afgrødedata!$A$5:$F$18,5,FALSE),VLOOKUP(B447,[1]Afgrødedata!$A$5:$F$18,6,FALSE)),1)*HLOOKUP(C447,Landbrug!$C$15:$E$17,2,FALSE)*HLOOKUP(C447,Landbrug!$C$15:$E$17,3,FALSE)*0.1</f>
        <v>0</v>
      </c>
      <c r="J447" s="76">
        <f t="shared" si="64"/>
        <v>1805.8704702673513</v>
      </c>
    </row>
    <row r="448" spans="1:10" x14ac:dyDescent="0.25">
      <c r="A448" t="s">
        <v>24</v>
      </c>
      <c r="B448" s="1" t="str">
        <f>[1]Afgrødefordeling!$C$14</f>
        <v>Pil &amp; poppel</v>
      </c>
      <c r="C448">
        <v>2030</v>
      </c>
      <c r="D448" t="s">
        <v>7</v>
      </c>
      <c r="E448" s="168" t="str">
        <f t="shared" si="65"/>
        <v>OC12</v>
      </c>
      <c r="F448" t="str">
        <f t="shared" si="62"/>
        <v>Pil &amp; poppel</v>
      </c>
      <c r="G448" s="76" cm="1">
        <f t="array" ref="G448">IF(A448="Vestdanmark",IF(D448="Konventionel",IF(C448=2019,SUMPRODUCT((B448='Landbrugsareal - resultat'!$B$6:$B$19)*(INDEX('Landbrugsareal - resultat'!$C$6:$E$19,,MATCH(E448,'Landbrugsareal - resultat'!$C$5:$E$5,0)))),IF(C448=2030,SUMPRODUCT((B448='Landbrugsareal - resultat'!$B$6:$B$19)*(INDEX('Landbrugsareal - resultat'!$F$6:$H$19,,MATCH(E448,'Landbrugsareal - resultat'!$F$5:$H$5,0)))),SUMPRODUCT((B448='Landbrugsareal - resultat'!$B$6:$B$19)*(INDEX('Landbrugsareal - resultat'!$I$6:$K$19,,MATCH(E448,'Landbrugsareal - resultat'!$I$5:$K$5,0)))))),IF(C448=2019,SUMPRODUCT((B448='Landbrugsareal - resultat'!$B$6:$B$19)*(INDEX('Landbrugsareal - resultat'!$L$6:$N$19,,MATCH(E448,'Landbrugsareal - resultat'!$L$5:$N$5,0)))),IF(C448=2030,SUMPRODUCT((B448='Landbrugsareal - resultat'!$B$6:$B$19)*(INDEX('Landbrugsareal - resultat'!$O$6:$Q$19,,MATCH(E448,'Landbrugsareal - resultat'!$O$5:$Q$5,0)))),SUMPRODUCT((B448='Landbrugsareal - resultat'!$B$6:$B$19)*(INDEX('Landbrugsareal - resultat'!$R$6:$T$19,,MATCH(E448,'Landbrugsareal - resultat'!$R$5:$T$5,0))))))),IF(D448="Konventionel",IF(C448=2019,SUMPRODUCT((B448='Landbrugsareal - resultat'!$B$33:$B$46)*(INDEX('Landbrugsareal - resultat'!$C$33:$E$46,,MATCH(E448,'Landbrugsareal - resultat'!$C$5:$E$5,0)))),IF(C448=2030,SUMPRODUCT((B448='Landbrugsareal - resultat'!$B$33:$B$46)*(INDEX('Landbrugsareal - resultat'!$F$33:$H$46,,MATCH(E448,'Landbrugsareal - resultat'!$F$5:$H$5,0)))),SUMPRODUCT((B448='Landbrugsareal - resultat'!$B$33:$B$46)*(INDEX('Landbrugsareal - resultat'!$I$33:$K$46,,MATCH(E448,'Landbrugsareal - resultat'!$I$5:$K$5,0)))))),IF(C448=2019,SUMPRODUCT((B448='Landbrugsareal - resultat'!$B$33:$B$46)*(INDEX('Landbrugsareal - resultat'!$L$33:$N$46,,MATCH(E448,'Landbrugsareal - resultat'!$L$5:$N$5,0)))),IF(C448=2030,SUMPRODUCT((B448='Landbrugsareal - resultat'!$B$33:$B$46)*(INDEX('Landbrugsareal - resultat'!$O$33:$Q$46,,MATCH(E448,'Landbrugsareal - resultat'!$O$5:$Q$5,0)))),SUMPRODUCT((B448='Landbrugsareal - resultat'!$B$33:$B$46)*(INDEX('Landbrugsareal - resultat'!$R$33:$T$46,,MATCH(E448,'Landbrugsareal - resultat'!$R$5:$T$5,0))))))))</f>
        <v>78.695172178211379</v>
      </c>
      <c r="H448" s="168">
        <f>G448*VLOOKUP(B448,[1]Afgrødedata!$A$5:$F$18,2,FALSE)*IF(D448="Økologisk",VLOOKUP(B448,[1]Afgrødedata!$A$5:$F$18,4,FALSE),1)*IF(E448&lt;&gt;Jordbund1,IF(E448=Organ6,VLOOKUP(B448,[1]Afgrødedata!$A$5:$F$18,5,FALSE),VLOOKUP(B448,[1]Afgrødedata!$A$5:$F$18,6,FALSE)),1)*0.1</f>
        <v>2687.1522207194134</v>
      </c>
      <c r="I448" s="168">
        <f>G448*VLOOKUP(B448,[1]Afgrødedata!$A$5:$F$18,3,FALSE)*IF(D448="Økologisk",VLOOKUP(B448,[1]Afgrødedata!$A$5:$F$18,4,FALSE),1)*IF(E448&lt;&gt;Jordbund1,IF(E448=Organ6,VLOOKUP(B448,[1]Afgrødedata!$A$5:$F$18,5,FALSE),VLOOKUP(B448,[1]Afgrødedata!$A$5:$F$18,6,FALSE)),1)*HLOOKUP(C448,Landbrug!$C$15:$E$17,2,FALSE)*HLOOKUP(C448,Landbrug!$C$15:$E$17,3,FALSE)*0.1</f>
        <v>0</v>
      </c>
      <c r="J448" s="76">
        <f t="shared" si="64"/>
        <v>2687.1522207194134</v>
      </c>
    </row>
    <row r="449" spans="1:10" x14ac:dyDescent="0.25">
      <c r="A449" t="s">
        <v>24</v>
      </c>
      <c r="B449" s="1" t="str">
        <f>[1]Afgrødefordeling!$C$15</f>
        <v>Permanent græs</v>
      </c>
      <c r="C449">
        <v>2030</v>
      </c>
      <c r="D449" t="s">
        <v>7</v>
      </c>
      <c r="E449" s="168" t="str">
        <f t="shared" si="65"/>
        <v>OC12</v>
      </c>
      <c r="F449" t="str">
        <f t="shared" si="62"/>
        <v>Græs</v>
      </c>
      <c r="G449" s="76" cm="1">
        <f t="array" ref="G449">IF(A449="Vestdanmark",IF(D449="Konventionel",IF(C449=2019,SUMPRODUCT((B449='Landbrugsareal - resultat'!$B$6:$B$19)*(INDEX('Landbrugsareal - resultat'!$C$6:$E$19,,MATCH(E449,'Landbrugsareal - resultat'!$C$5:$E$5,0)))),IF(C449=2030,SUMPRODUCT((B449='Landbrugsareal - resultat'!$B$6:$B$19)*(INDEX('Landbrugsareal - resultat'!$F$6:$H$19,,MATCH(E449,'Landbrugsareal - resultat'!$F$5:$H$5,0)))),SUMPRODUCT((B449='Landbrugsareal - resultat'!$B$6:$B$19)*(INDEX('Landbrugsareal - resultat'!$I$6:$K$19,,MATCH(E449,'Landbrugsareal - resultat'!$I$5:$K$5,0)))))),IF(C449=2019,SUMPRODUCT((B449='Landbrugsareal - resultat'!$B$6:$B$19)*(INDEX('Landbrugsareal - resultat'!$L$6:$N$19,,MATCH(E449,'Landbrugsareal - resultat'!$L$5:$N$5,0)))),IF(C449=2030,SUMPRODUCT((B449='Landbrugsareal - resultat'!$B$6:$B$19)*(INDEX('Landbrugsareal - resultat'!$O$6:$Q$19,,MATCH(E449,'Landbrugsareal - resultat'!$O$5:$Q$5,0)))),SUMPRODUCT((B449='Landbrugsareal - resultat'!$B$6:$B$19)*(INDEX('Landbrugsareal - resultat'!$R$6:$T$19,,MATCH(E449,'Landbrugsareal - resultat'!$R$5:$T$5,0))))))),IF(D449="Konventionel",IF(C449=2019,SUMPRODUCT((B449='Landbrugsareal - resultat'!$B$33:$B$46)*(INDEX('Landbrugsareal - resultat'!$C$33:$E$46,,MATCH(E449,'Landbrugsareal - resultat'!$C$5:$E$5,0)))),IF(C449=2030,SUMPRODUCT((B449='Landbrugsareal - resultat'!$B$33:$B$46)*(INDEX('Landbrugsareal - resultat'!$F$33:$H$46,,MATCH(E449,'Landbrugsareal - resultat'!$F$5:$H$5,0)))),SUMPRODUCT((B449='Landbrugsareal - resultat'!$B$33:$B$46)*(INDEX('Landbrugsareal - resultat'!$I$33:$K$46,,MATCH(E449,'Landbrugsareal - resultat'!$I$5:$K$5,0)))))),IF(C449=2019,SUMPRODUCT((B449='Landbrugsareal - resultat'!$B$33:$B$46)*(INDEX('Landbrugsareal - resultat'!$L$33:$N$46,,MATCH(E449,'Landbrugsareal - resultat'!$L$5:$N$5,0)))),IF(C449=2030,SUMPRODUCT((B449='Landbrugsareal - resultat'!$B$33:$B$46)*(INDEX('Landbrugsareal - resultat'!$O$33:$Q$46,,MATCH(E449,'Landbrugsareal - resultat'!$O$5:$Q$5,0)))),SUMPRODUCT((B449='Landbrugsareal - resultat'!$B$33:$B$46)*(INDEX('Landbrugsareal - resultat'!$R$33:$T$46,,MATCH(E449,'Landbrugsareal - resultat'!$R$5:$T$5,0))))))))</f>
        <v>2736.7303190386051</v>
      </c>
      <c r="H449" s="168">
        <f>G449*VLOOKUP(B449,[1]Afgrødedata!$A$5:$F$18,2,FALSE)*IF(D449="Økologisk",VLOOKUP(B449,[1]Afgrødedata!$A$5:$F$18,4,FALSE),1)*IF(E449&lt;&gt;Jordbund1,IF(E449=Organ6,VLOOKUP(B449,[1]Afgrødedata!$A$5:$F$18,5,FALSE),VLOOKUP(B449,[1]Afgrødedata!$A$5:$F$18,6,FALSE)),1)*0.1</f>
        <v>52835.315539359304</v>
      </c>
      <c r="I449" s="168">
        <f>G449*VLOOKUP(B449,[1]Afgrødedata!$A$5:$F$18,3,FALSE)*IF(D449="Økologisk",VLOOKUP(B449,[1]Afgrødedata!$A$5:$F$18,4,FALSE),1)*IF(E449&lt;&gt;Jordbund1,IF(E449=Organ6,VLOOKUP(B449,[1]Afgrødedata!$A$5:$F$18,5,FALSE),VLOOKUP(B449,[1]Afgrødedata!$A$5:$F$18,6,FALSE)),1)*HLOOKUP(C449,Landbrug!$C$15:$E$17,2,FALSE)*HLOOKUP(C449,Landbrug!$C$15:$E$17,3,FALSE)*0.1</f>
        <v>0</v>
      </c>
      <c r="J449" s="76">
        <f t="shared" si="64"/>
        <v>52835.315539359304</v>
      </c>
    </row>
    <row r="450" spans="1:10" x14ac:dyDescent="0.25">
      <c r="A450" t="s">
        <v>24</v>
      </c>
      <c r="B450" s="1" t="str">
        <f>[1]Afgrødefordeling!$C$2</f>
        <v>Korn</v>
      </c>
      <c r="C450">
        <v>2050</v>
      </c>
      <c r="D450" t="s">
        <v>7</v>
      </c>
      <c r="E450" s="168" t="str">
        <f t="shared" si="65"/>
        <v>OC12</v>
      </c>
      <c r="F450" t="str">
        <f t="shared" si="62"/>
        <v>Halm</v>
      </c>
      <c r="G450" s="76" cm="1">
        <f t="array" ref="G450">IF(A450="Vestdanmark",IF(D450="Konventionel",IF(C450=2019,SUMPRODUCT((B450='Landbrugsareal - resultat'!$B$6:$B$19)*(INDEX('Landbrugsareal - resultat'!$C$6:$E$19,,MATCH(E450,'Landbrugsareal - resultat'!$C$5:$E$5,0)))),IF(C450=2030,SUMPRODUCT((B450='Landbrugsareal - resultat'!$B$6:$B$19)*(INDEX('Landbrugsareal - resultat'!$F$6:$H$19,,MATCH(E450,'Landbrugsareal - resultat'!$F$5:$H$5,0)))),SUMPRODUCT((B450='Landbrugsareal - resultat'!$B$6:$B$19)*(INDEX('Landbrugsareal - resultat'!$I$6:$K$19,,MATCH(E450,'Landbrugsareal - resultat'!$I$5:$K$5,0)))))),IF(C450=2019,SUMPRODUCT((B450='Landbrugsareal - resultat'!$B$6:$B$19)*(INDEX('Landbrugsareal - resultat'!$L$6:$N$19,,MATCH(E450,'Landbrugsareal - resultat'!$L$5:$N$5,0)))),IF(C450=2030,SUMPRODUCT((B450='Landbrugsareal - resultat'!$B$6:$B$19)*(INDEX('Landbrugsareal - resultat'!$O$6:$Q$19,,MATCH(E450,'Landbrugsareal - resultat'!$O$5:$Q$5,0)))),SUMPRODUCT((B450='Landbrugsareal - resultat'!$B$6:$B$19)*(INDEX('Landbrugsareal - resultat'!$R$6:$T$19,,MATCH(E450,'Landbrugsareal - resultat'!$R$5:$T$5,0))))))),IF(D450="Konventionel",IF(C450=2019,SUMPRODUCT((B450='Landbrugsareal - resultat'!$B$33:$B$46)*(INDEX('Landbrugsareal - resultat'!$C$33:$E$46,,MATCH(E450,'Landbrugsareal - resultat'!$C$5:$E$5,0)))),IF(C450=2030,SUMPRODUCT((B450='Landbrugsareal - resultat'!$B$33:$B$46)*(INDEX('Landbrugsareal - resultat'!$F$33:$H$46,,MATCH(E450,'Landbrugsareal - resultat'!$F$5:$H$5,0)))),SUMPRODUCT((B450='Landbrugsareal - resultat'!$B$33:$B$46)*(INDEX('Landbrugsareal - resultat'!$I$33:$K$46,,MATCH(E450,'Landbrugsareal - resultat'!$I$5:$K$5,0)))))),IF(C450=2019,SUMPRODUCT((B450='Landbrugsareal - resultat'!$B$33:$B$46)*(INDEX('Landbrugsareal - resultat'!$L$33:$N$46,,MATCH(E450,'Landbrugsareal - resultat'!$L$5:$N$5,0)))),IF(C450=2030,SUMPRODUCT((B450='Landbrugsareal - resultat'!$B$33:$B$46)*(INDEX('Landbrugsareal - resultat'!$O$33:$Q$46,,MATCH(E450,'Landbrugsareal - resultat'!$O$5:$Q$5,0)))),SUMPRODUCT((B450='Landbrugsareal - resultat'!$B$33:$B$46)*(INDEX('Landbrugsareal - resultat'!$R$33:$T$46,,MATCH(E450,'Landbrugsareal - resultat'!$R$5:$T$5,0))))))))</f>
        <v>2091.5371543312413</v>
      </c>
      <c r="H450" s="168">
        <f>G450*VLOOKUP(B450,[1]Afgrødedata!$A$5:$F$18,2,FALSE)*IF(D450="Økologisk",VLOOKUP(B450,[1]Afgrødedata!$A$5:$F$18,4,FALSE),1)*IF(E450&lt;&gt;Jordbund1,IF(E450=Organ6,VLOOKUP(B450,[1]Afgrødedata!$A$5:$F$18,5,FALSE),VLOOKUP(B450,[1]Afgrødedata!$A$5:$F$18,6,FALSE)),1)*0.1</f>
        <v>20526.345632606801</v>
      </c>
      <c r="I450" s="168">
        <f>G450*VLOOKUP(B450,[1]Afgrødedata!$A$5:$F$18,3,FALSE)*IF(D450="Økologisk",VLOOKUP(B450,[1]Afgrødedata!$A$5:$F$18,4,FALSE),1)*IF(E450&lt;&gt;Jordbund1,IF(E450=Organ6,VLOOKUP(B450,[1]Afgrødedata!$A$5:$F$18,5,FALSE),VLOOKUP(B450,[1]Afgrødedata!$A$5:$F$18,6,FALSE)),1)*HLOOKUP(C450,Landbrug!$C$15:$E$17,2,FALSE)*HLOOKUP(C450,Landbrug!$C$15:$E$17,3,FALSE)*0.1</f>
        <v>6660.7991577809071</v>
      </c>
      <c r="J450" s="76">
        <f t="shared" si="64"/>
        <v>6660.7991577809071</v>
      </c>
    </row>
    <row r="451" spans="1:10" x14ac:dyDescent="0.25">
      <c r="A451" t="s">
        <v>24</v>
      </c>
      <c r="B451" s="1" t="str">
        <f>[1]Afgrødefordeling!$C$3</f>
        <v>Bælgsæd</v>
      </c>
      <c r="C451">
        <v>2050</v>
      </c>
      <c r="D451" t="s">
        <v>7</v>
      </c>
      <c r="E451" s="168" t="str">
        <f t="shared" si="65"/>
        <v>OC12</v>
      </c>
      <c r="F451" t="str">
        <f t="shared" si="62"/>
        <v>Halm</v>
      </c>
      <c r="G451" s="76" cm="1">
        <f t="array" ref="G451">IF(A451="Vestdanmark",IF(D451="Konventionel",IF(C451=2019,SUMPRODUCT((B451='Landbrugsareal - resultat'!$B$6:$B$19)*(INDEX('Landbrugsareal - resultat'!$C$6:$E$19,,MATCH(E451,'Landbrugsareal - resultat'!$C$5:$E$5,0)))),IF(C451=2030,SUMPRODUCT((B451='Landbrugsareal - resultat'!$B$6:$B$19)*(INDEX('Landbrugsareal - resultat'!$F$6:$H$19,,MATCH(E451,'Landbrugsareal - resultat'!$F$5:$H$5,0)))),SUMPRODUCT((B451='Landbrugsareal - resultat'!$B$6:$B$19)*(INDEX('Landbrugsareal - resultat'!$I$6:$K$19,,MATCH(E451,'Landbrugsareal - resultat'!$I$5:$K$5,0)))))),IF(C451=2019,SUMPRODUCT((B451='Landbrugsareal - resultat'!$B$6:$B$19)*(INDEX('Landbrugsareal - resultat'!$L$6:$N$19,,MATCH(E451,'Landbrugsareal - resultat'!$L$5:$N$5,0)))),IF(C451=2030,SUMPRODUCT((B451='Landbrugsareal - resultat'!$B$6:$B$19)*(INDEX('Landbrugsareal - resultat'!$O$6:$Q$19,,MATCH(E451,'Landbrugsareal - resultat'!$O$5:$Q$5,0)))),SUMPRODUCT((B451='Landbrugsareal - resultat'!$B$6:$B$19)*(INDEX('Landbrugsareal - resultat'!$R$6:$T$19,,MATCH(E451,'Landbrugsareal - resultat'!$R$5:$T$5,0))))))),IF(D451="Konventionel",IF(C451=2019,SUMPRODUCT((B451='Landbrugsareal - resultat'!$B$33:$B$46)*(INDEX('Landbrugsareal - resultat'!$C$33:$E$46,,MATCH(E451,'Landbrugsareal - resultat'!$C$5:$E$5,0)))),IF(C451=2030,SUMPRODUCT((B451='Landbrugsareal - resultat'!$B$33:$B$46)*(INDEX('Landbrugsareal - resultat'!$F$33:$H$46,,MATCH(E451,'Landbrugsareal - resultat'!$F$5:$H$5,0)))),SUMPRODUCT((B451='Landbrugsareal - resultat'!$B$33:$B$46)*(INDEX('Landbrugsareal - resultat'!$I$33:$K$46,,MATCH(E451,'Landbrugsareal - resultat'!$I$5:$K$5,0)))))),IF(C451=2019,SUMPRODUCT((B451='Landbrugsareal - resultat'!$B$33:$B$46)*(INDEX('Landbrugsareal - resultat'!$L$33:$N$46,,MATCH(E451,'Landbrugsareal - resultat'!$L$5:$N$5,0)))),IF(C451=2030,SUMPRODUCT((B451='Landbrugsareal - resultat'!$B$33:$B$46)*(INDEX('Landbrugsareal - resultat'!$O$33:$Q$46,,MATCH(E451,'Landbrugsareal - resultat'!$O$5:$Q$5,0)))),SUMPRODUCT((B451='Landbrugsareal - resultat'!$B$33:$B$46)*(INDEX('Landbrugsareal - resultat'!$R$33:$T$46,,MATCH(E451,'Landbrugsareal - resultat'!$R$5:$T$5,0))))))))</f>
        <v>37.989211769473805</v>
      </c>
      <c r="H451" s="168">
        <f>G451*VLOOKUP(B451,[1]Afgrødedata!$A$5:$F$18,2,FALSE)*IF(D451="Økologisk",VLOOKUP(B451,[1]Afgrødedata!$A$5:$F$18,4,FALSE),1)*IF(E451&lt;&gt;Jordbund1,IF(E451=Organ6,VLOOKUP(B451,[1]Afgrødedata!$A$5:$F$18,5,FALSE),VLOOKUP(B451,[1]Afgrødedata!$A$5:$F$18,6,FALSE)),1)*0.1</f>
        <v>205.29370040223645</v>
      </c>
      <c r="I451" s="168">
        <f>G451*VLOOKUP(B451,[1]Afgrødedata!$A$5:$F$18,3,FALSE)*IF(D451="Økologisk",VLOOKUP(B451,[1]Afgrødedata!$A$5:$F$18,4,FALSE),1)*IF(E451&lt;&gt;Jordbund1,IF(E451=Organ6,VLOOKUP(B451,[1]Afgrødedata!$A$5:$F$18,5,FALSE),VLOOKUP(B451,[1]Afgrødedata!$A$5:$F$18,6,FALSE)),1)*HLOOKUP(C451,Landbrug!$C$15:$E$17,2,FALSE)*HLOOKUP(C451,Landbrug!$C$15:$E$17,3,FALSE)*0.1</f>
        <v>60.593020707581324</v>
      </c>
      <c r="J451" s="76">
        <f t="shared" si="64"/>
        <v>60.593020707581324</v>
      </c>
    </row>
    <row r="452" spans="1:10" x14ac:dyDescent="0.25">
      <c r="A452" t="s">
        <v>24</v>
      </c>
      <c r="B452" s="1" t="str">
        <f>[1]Afgrødefordeling!$C$4</f>
        <v>Raps</v>
      </c>
      <c r="C452">
        <v>2050</v>
      </c>
      <c r="D452" t="s">
        <v>7</v>
      </c>
      <c r="E452" s="168" t="str">
        <f t="shared" si="65"/>
        <v>OC12</v>
      </c>
      <c r="F452" t="str">
        <f t="shared" si="62"/>
        <v>Halm</v>
      </c>
      <c r="G452" s="76" cm="1">
        <f t="array" ref="G452">IF(A452="Vestdanmark",IF(D452="Konventionel",IF(C452=2019,SUMPRODUCT((B452='Landbrugsareal - resultat'!$B$6:$B$19)*(INDEX('Landbrugsareal - resultat'!$C$6:$E$19,,MATCH(E452,'Landbrugsareal - resultat'!$C$5:$E$5,0)))),IF(C452=2030,SUMPRODUCT((B452='Landbrugsareal - resultat'!$B$6:$B$19)*(INDEX('Landbrugsareal - resultat'!$F$6:$H$19,,MATCH(E452,'Landbrugsareal - resultat'!$F$5:$H$5,0)))),SUMPRODUCT((B452='Landbrugsareal - resultat'!$B$6:$B$19)*(INDEX('Landbrugsareal - resultat'!$I$6:$K$19,,MATCH(E452,'Landbrugsareal - resultat'!$I$5:$K$5,0)))))),IF(C452=2019,SUMPRODUCT((B452='Landbrugsareal - resultat'!$B$6:$B$19)*(INDEX('Landbrugsareal - resultat'!$L$6:$N$19,,MATCH(E452,'Landbrugsareal - resultat'!$L$5:$N$5,0)))),IF(C452=2030,SUMPRODUCT((B452='Landbrugsareal - resultat'!$B$6:$B$19)*(INDEX('Landbrugsareal - resultat'!$O$6:$Q$19,,MATCH(E452,'Landbrugsareal - resultat'!$O$5:$Q$5,0)))),SUMPRODUCT((B452='Landbrugsareal - resultat'!$B$6:$B$19)*(INDEX('Landbrugsareal - resultat'!$R$6:$T$19,,MATCH(E452,'Landbrugsareal - resultat'!$R$5:$T$5,0))))))),IF(D452="Konventionel",IF(C452=2019,SUMPRODUCT((B452='Landbrugsareal - resultat'!$B$33:$B$46)*(INDEX('Landbrugsareal - resultat'!$C$33:$E$46,,MATCH(E452,'Landbrugsareal - resultat'!$C$5:$E$5,0)))),IF(C452=2030,SUMPRODUCT((B452='Landbrugsareal - resultat'!$B$33:$B$46)*(INDEX('Landbrugsareal - resultat'!$F$33:$H$46,,MATCH(E452,'Landbrugsareal - resultat'!$F$5:$H$5,0)))),SUMPRODUCT((B452='Landbrugsareal - resultat'!$B$33:$B$46)*(INDEX('Landbrugsareal - resultat'!$I$33:$K$46,,MATCH(E452,'Landbrugsareal - resultat'!$I$5:$K$5,0)))))),IF(C452=2019,SUMPRODUCT((B452='Landbrugsareal - resultat'!$B$33:$B$46)*(INDEX('Landbrugsareal - resultat'!$L$33:$N$46,,MATCH(E452,'Landbrugsareal - resultat'!$L$5:$N$5,0)))),IF(C452=2030,SUMPRODUCT((B452='Landbrugsareal - resultat'!$B$33:$B$46)*(INDEX('Landbrugsareal - resultat'!$O$33:$Q$46,,MATCH(E452,'Landbrugsareal - resultat'!$O$5:$Q$5,0)))),SUMPRODUCT((B452='Landbrugsareal - resultat'!$B$33:$B$46)*(INDEX('Landbrugsareal - resultat'!$R$33:$T$46,,MATCH(E452,'Landbrugsareal - resultat'!$R$5:$T$5,0))))))))</f>
        <v>185.5684103487977</v>
      </c>
      <c r="H452" s="168">
        <f>G452*VLOOKUP(B452,[1]Afgrødedata!$A$5:$F$18,2,FALSE)*IF(D452="Økologisk",VLOOKUP(B452,[1]Afgrødedata!$A$5:$F$18,4,FALSE),1)*IF(E452&lt;&gt;Jordbund1,IF(E452=Organ6,VLOOKUP(B452,[1]Afgrødedata!$A$5:$F$18,5,FALSE),VLOOKUP(B452,[1]Afgrødedata!$A$5:$F$18,6,FALSE)),1)*0.1</f>
        <v>1143.1014077485938</v>
      </c>
      <c r="I452" s="168">
        <f>G452*VLOOKUP(B452,[1]Afgrødedata!$A$5:$F$18,3,FALSE)*IF(D452="Økologisk",VLOOKUP(B452,[1]Afgrødedata!$A$5:$F$18,4,FALSE),1)*IF(E452&lt;&gt;Jordbund1,IF(E452=Organ6,VLOOKUP(B452,[1]Afgrødedata!$A$5:$F$18,5,FALSE),VLOOKUP(B452,[1]Afgrødedata!$A$5:$F$18,6,FALSE)),1)*HLOOKUP(C452,Landbrug!$C$15:$E$17,2,FALSE)*HLOOKUP(C452,Landbrug!$C$15:$E$17,3,FALSE)*0.1</f>
        <v>606.98684751450332</v>
      </c>
      <c r="J452" s="76">
        <f t="shared" si="64"/>
        <v>606.98684751450332</v>
      </c>
    </row>
    <row r="453" spans="1:10" x14ac:dyDescent="0.25">
      <c r="A453" t="s">
        <v>24</v>
      </c>
      <c r="B453" s="1" t="str">
        <f>[1]Afgrødefordeling!$C$5</f>
        <v>Græs</v>
      </c>
      <c r="C453">
        <v>2050</v>
      </c>
      <c r="D453" t="s">
        <v>7</v>
      </c>
      <c r="E453" s="168" t="str">
        <f t="shared" si="65"/>
        <v>OC12</v>
      </c>
      <c r="F453" t="str">
        <f t="shared" si="62"/>
        <v>Græs</v>
      </c>
      <c r="G453" s="76" cm="1">
        <f t="array" ref="G453">IF(A453="Vestdanmark",IF(D453="Konventionel",IF(C453=2019,SUMPRODUCT((B453='Landbrugsareal - resultat'!$B$6:$B$19)*(INDEX('Landbrugsareal - resultat'!$C$6:$E$19,,MATCH(E453,'Landbrugsareal - resultat'!$C$5:$E$5,0)))),IF(C453=2030,SUMPRODUCT((B453='Landbrugsareal - resultat'!$B$6:$B$19)*(INDEX('Landbrugsareal - resultat'!$F$6:$H$19,,MATCH(E453,'Landbrugsareal - resultat'!$F$5:$H$5,0)))),SUMPRODUCT((B453='Landbrugsareal - resultat'!$B$6:$B$19)*(INDEX('Landbrugsareal - resultat'!$I$6:$K$19,,MATCH(E453,'Landbrugsareal - resultat'!$I$5:$K$5,0)))))),IF(C453=2019,SUMPRODUCT((B453='Landbrugsareal - resultat'!$B$6:$B$19)*(INDEX('Landbrugsareal - resultat'!$L$6:$N$19,,MATCH(E453,'Landbrugsareal - resultat'!$L$5:$N$5,0)))),IF(C453=2030,SUMPRODUCT((B453='Landbrugsareal - resultat'!$B$6:$B$19)*(INDEX('Landbrugsareal - resultat'!$O$6:$Q$19,,MATCH(E453,'Landbrugsareal - resultat'!$O$5:$Q$5,0)))),SUMPRODUCT((B453='Landbrugsareal - resultat'!$B$6:$B$19)*(INDEX('Landbrugsareal - resultat'!$R$6:$T$19,,MATCH(E453,'Landbrugsareal - resultat'!$R$5:$T$5,0))))))),IF(D453="Konventionel",IF(C453=2019,SUMPRODUCT((B453='Landbrugsareal - resultat'!$B$33:$B$46)*(INDEX('Landbrugsareal - resultat'!$C$33:$E$46,,MATCH(E453,'Landbrugsareal - resultat'!$C$5:$E$5,0)))),IF(C453=2030,SUMPRODUCT((B453='Landbrugsareal - resultat'!$B$33:$B$46)*(INDEX('Landbrugsareal - resultat'!$F$33:$H$46,,MATCH(E453,'Landbrugsareal - resultat'!$F$5:$H$5,0)))),SUMPRODUCT((B453='Landbrugsareal - resultat'!$B$33:$B$46)*(INDEX('Landbrugsareal - resultat'!$I$33:$K$46,,MATCH(E453,'Landbrugsareal - resultat'!$I$5:$K$5,0)))))),IF(C453=2019,SUMPRODUCT((B453='Landbrugsareal - resultat'!$B$33:$B$46)*(INDEX('Landbrugsareal - resultat'!$L$33:$N$46,,MATCH(E453,'Landbrugsareal - resultat'!$L$5:$N$5,0)))),IF(C453=2030,SUMPRODUCT((B453='Landbrugsareal - resultat'!$B$33:$B$46)*(INDEX('Landbrugsareal - resultat'!$O$33:$Q$46,,MATCH(E453,'Landbrugsareal - resultat'!$O$5:$Q$5,0)))),SUMPRODUCT((B453='Landbrugsareal - resultat'!$B$33:$B$46)*(INDEX('Landbrugsareal - resultat'!$R$33:$T$46,,MATCH(E453,'Landbrugsareal - resultat'!$R$5:$T$5,0))))))))</f>
        <v>1363.6653986301135</v>
      </c>
      <c r="H453" s="168">
        <f>G453*VLOOKUP(B453,[1]Afgrødedata!$A$5:$F$18,2,FALSE)*IF(D453="Økologisk",VLOOKUP(B453,[1]Afgrødedata!$A$5:$F$18,4,FALSE),1)*IF(E453&lt;&gt;Jordbund1,IF(E453=Organ6,VLOOKUP(B453,[1]Afgrødedata!$A$5:$F$18,5,FALSE),VLOOKUP(B453,[1]Afgrødedata!$A$5:$F$18,6,FALSE)),1)*0.1</f>
        <v>94731.107912036721</v>
      </c>
      <c r="I453" s="168">
        <f>G453*VLOOKUP(B453,[1]Afgrødedata!$A$5:$F$18,3,FALSE)*IF(D453="Økologisk",VLOOKUP(B453,[1]Afgrødedata!$A$5:$F$18,4,FALSE),1)*IF(E453&lt;&gt;Jordbund1,IF(E453=Organ6,VLOOKUP(B453,[1]Afgrødedata!$A$5:$F$18,5,FALSE),VLOOKUP(B453,[1]Afgrødedata!$A$5:$F$18,6,FALSE)),1)*HLOOKUP(C453,Landbrug!$C$15:$E$17,2,FALSE)*HLOOKUP(C453,Landbrug!$C$15:$E$17,3,FALSE)*0.1</f>
        <v>0</v>
      </c>
      <c r="J453" s="76">
        <f t="shared" si="64"/>
        <v>94731.107912036721</v>
      </c>
    </row>
    <row r="454" spans="1:10" x14ac:dyDescent="0.25">
      <c r="A454" t="s">
        <v>24</v>
      </c>
      <c r="B454" s="1" t="str">
        <f>[1]Afgrødefordeling!$C$6</f>
        <v>Grøntsager</v>
      </c>
      <c r="C454">
        <v>2050</v>
      </c>
      <c r="D454" t="s">
        <v>7</v>
      </c>
      <c r="E454" s="168" t="str">
        <f t="shared" ref="E454:E485" si="66">Organ12</f>
        <v>OC12</v>
      </c>
      <c r="F454" t="str">
        <f t="shared" si="62"/>
        <v>Grøntsager</v>
      </c>
      <c r="G454" s="76" cm="1">
        <f t="array" ref="G454">IF(A454="Vestdanmark",IF(D454="Konventionel",IF(C454=2019,SUMPRODUCT((B454='Landbrugsareal - resultat'!$B$6:$B$19)*(INDEX('Landbrugsareal - resultat'!$C$6:$E$19,,MATCH(E454,'Landbrugsareal - resultat'!$C$5:$E$5,0)))),IF(C454=2030,SUMPRODUCT((B454='Landbrugsareal - resultat'!$B$6:$B$19)*(INDEX('Landbrugsareal - resultat'!$F$6:$H$19,,MATCH(E454,'Landbrugsareal - resultat'!$F$5:$H$5,0)))),SUMPRODUCT((B454='Landbrugsareal - resultat'!$B$6:$B$19)*(INDEX('Landbrugsareal - resultat'!$I$6:$K$19,,MATCH(E454,'Landbrugsareal - resultat'!$I$5:$K$5,0)))))),IF(C454=2019,SUMPRODUCT((B454='Landbrugsareal - resultat'!$B$6:$B$19)*(INDEX('Landbrugsareal - resultat'!$L$6:$N$19,,MATCH(E454,'Landbrugsareal - resultat'!$L$5:$N$5,0)))),IF(C454=2030,SUMPRODUCT((B454='Landbrugsareal - resultat'!$B$6:$B$19)*(INDEX('Landbrugsareal - resultat'!$O$6:$Q$19,,MATCH(E454,'Landbrugsareal - resultat'!$O$5:$Q$5,0)))),SUMPRODUCT((B454='Landbrugsareal - resultat'!$B$6:$B$19)*(INDEX('Landbrugsareal - resultat'!$R$6:$T$19,,MATCH(E454,'Landbrugsareal - resultat'!$R$5:$T$5,0))))))),IF(D454="Konventionel",IF(C454=2019,SUMPRODUCT((B454='Landbrugsareal - resultat'!$B$33:$B$46)*(INDEX('Landbrugsareal - resultat'!$C$33:$E$46,,MATCH(E454,'Landbrugsareal - resultat'!$C$5:$E$5,0)))),IF(C454=2030,SUMPRODUCT((B454='Landbrugsareal - resultat'!$B$33:$B$46)*(INDEX('Landbrugsareal - resultat'!$F$33:$H$46,,MATCH(E454,'Landbrugsareal - resultat'!$F$5:$H$5,0)))),SUMPRODUCT((B454='Landbrugsareal - resultat'!$B$33:$B$46)*(INDEX('Landbrugsareal - resultat'!$I$33:$K$46,,MATCH(E454,'Landbrugsareal - resultat'!$I$5:$K$5,0)))))),IF(C454=2019,SUMPRODUCT((B454='Landbrugsareal - resultat'!$B$33:$B$46)*(INDEX('Landbrugsareal - resultat'!$L$33:$N$46,,MATCH(E454,'Landbrugsareal - resultat'!$L$5:$N$5,0)))),IF(C454=2030,SUMPRODUCT((B454='Landbrugsareal - resultat'!$B$33:$B$46)*(INDEX('Landbrugsareal - resultat'!$O$33:$Q$46,,MATCH(E454,'Landbrugsareal - resultat'!$O$5:$Q$5,0)))),SUMPRODUCT((B454='Landbrugsareal - resultat'!$B$33:$B$46)*(INDEX('Landbrugsareal - resultat'!$R$33:$T$46,,MATCH(E454,'Landbrugsareal - resultat'!$R$5:$T$5,0))))))))</f>
        <v>6.4182260809674432</v>
      </c>
      <c r="H454" s="168">
        <f>G454*VLOOKUP(B454,[1]Afgrødedata!$A$5:$F$18,2,FALSE)*IF(D454="Økologisk",VLOOKUP(B454,[1]Afgrødedata!$A$5:$F$18,4,FALSE),1)*IF(E454&lt;&gt;Jordbund1,IF(E454=Organ6,VLOOKUP(B454,[1]Afgrødedata!$A$5:$F$18,5,FALSE),VLOOKUP(B454,[1]Afgrødedata!$A$5:$F$18,6,FALSE)),1)*0.1</f>
        <v>186.4494676521042</v>
      </c>
      <c r="I454" s="168">
        <f>G454*VLOOKUP(B454,[1]Afgrødedata!$A$5:$F$18,3,FALSE)*IF(D454="Økologisk",VLOOKUP(B454,[1]Afgrødedata!$A$5:$F$18,4,FALSE),1)*IF(E454&lt;&gt;Jordbund1,IF(E454=Organ6,VLOOKUP(B454,[1]Afgrødedata!$A$5:$F$18,5,FALSE),VLOOKUP(B454,[1]Afgrødedata!$A$5:$F$18,6,FALSE)),1)*HLOOKUP(C454,Landbrug!$C$15:$E$17,2,FALSE)*HLOOKUP(C454,Landbrug!$C$15:$E$17,3,FALSE)*0.1</f>
        <v>0</v>
      </c>
      <c r="J454" s="76">
        <f t="shared" si="64"/>
        <v>186.4494676521042</v>
      </c>
    </row>
    <row r="455" spans="1:10" x14ac:dyDescent="0.25">
      <c r="A455" t="s">
        <v>24</v>
      </c>
      <c r="B455" s="1" t="str">
        <f>[1]Afgrødefordeling!$C$7</f>
        <v>Kartofler</v>
      </c>
      <c r="C455">
        <v>2050</v>
      </c>
      <c r="D455" t="s">
        <v>7</v>
      </c>
      <c r="E455" s="168" t="str">
        <f t="shared" si="66"/>
        <v>OC12</v>
      </c>
      <c r="F455" t="str">
        <f t="shared" si="62"/>
        <v>Kartofler</v>
      </c>
      <c r="G455" s="76" cm="1">
        <f t="array" ref="G455">IF(A455="Vestdanmark",IF(D455="Konventionel",IF(C455=2019,SUMPRODUCT((B455='Landbrugsareal - resultat'!$B$6:$B$19)*(INDEX('Landbrugsareal - resultat'!$C$6:$E$19,,MATCH(E455,'Landbrugsareal - resultat'!$C$5:$E$5,0)))),IF(C455=2030,SUMPRODUCT((B455='Landbrugsareal - resultat'!$B$6:$B$19)*(INDEX('Landbrugsareal - resultat'!$F$6:$H$19,,MATCH(E455,'Landbrugsareal - resultat'!$F$5:$H$5,0)))),SUMPRODUCT((B455='Landbrugsareal - resultat'!$B$6:$B$19)*(INDEX('Landbrugsareal - resultat'!$I$6:$K$19,,MATCH(E455,'Landbrugsareal - resultat'!$I$5:$K$5,0)))))),IF(C455=2019,SUMPRODUCT((B455='Landbrugsareal - resultat'!$B$6:$B$19)*(INDEX('Landbrugsareal - resultat'!$L$6:$N$19,,MATCH(E455,'Landbrugsareal - resultat'!$L$5:$N$5,0)))),IF(C455=2030,SUMPRODUCT((B455='Landbrugsareal - resultat'!$B$6:$B$19)*(INDEX('Landbrugsareal - resultat'!$O$6:$Q$19,,MATCH(E455,'Landbrugsareal - resultat'!$O$5:$Q$5,0)))),SUMPRODUCT((B455='Landbrugsareal - resultat'!$B$6:$B$19)*(INDEX('Landbrugsareal - resultat'!$R$6:$T$19,,MATCH(E455,'Landbrugsareal - resultat'!$R$5:$T$5,0))))))),IF(D455="Konventionel",IF(C455=2019,SUMPRODUCT((B455='Landbrugsareal - resultat'!$B$33:$B$46)*(INDEX('Landbrugsareal - resultat'!$C$33:$E$46,,MATCH(E455,'Landbrugsareal - resultat'!$C$5:$E$5,0)))),IF(C455=2030,SUMPRODUCT((B455='Landbrugsareal - resultat'!$B$33:$B$46)*(INDEX('Landbrugsareal - resultat'!$F$33:$H$46,,MATCH(E455,'Landbrugsareal - resultat'!$F$5:$H$5,0)))),SUMPRODUCT((B455='Landbrugsareal - resultat'!$B$33:$B$46)*(INDEX('Landbrugsareal - resultat'!$I$33:$K$46,,MATCH(E455,'Landbrugsareal - resultat'!$I$5:$K$5,0)))))),IF(C455=2019,SUMPRODUCT((B455='Landbrugsareal - resultat'!$B$33:$B$46)*(INDEX('Landbrugsareal - resultat'!$L$33:$N$46,,MATCH(E455,'Landbrugsareal - resultat'!$L$5:$N$5,0)))),IF(C455=2030,SUMPRODUCT((B455='Landbrugsareal - resultat'!$B$33:$B$46)*(INDEX('Landbrugsareal - resultat'!$O$33:$Q$46,,MATCH(E455,'Landbrugsareal - resultat'!$O$5:$Q$5,0)))),SUMPRODUCT((B455='Landbrugsareal - resultat'!$B$33:$B$46)*(INDEX('Landbrugsareal - resultat'!$R$33:$T$46,,MATCH(E455,'Landbrugsareal - resultat'!$R$5:$T$5,0))))))))</f>
        <v>36.583123016979485</v>
      </c>
      <c r="H455" s="168">
        <f>G455*VLOOKUP(B455,[1]Afgrødedata!$A$5:$F$18,2,FALSE)*IF(D455="Økologisk",VLOOKUP(B455,[1]Afgrødedata!$A$5:$F$18,4,FALSE),1)*IF(E455&lt;&gt;Jordbund1,IF(E455=Organ6,VLOOKUP(B455,[1]Afgrødedata!$A$5:$F$18,5,FALSE),VLOOKUP(B455,[1]Afgrødedata!$A$5:$F$18,6,FALSE)),1)*0.1</f>
        <v>2175.2053959799578</v>
      </c>
      <c r="I455" s="168">
        <f>G455*VLOOKUP(B455,[1]Afgrødedata!$A$5:$F$18,3,FALSE)*IF(D455="Økologisk",VLOOKUP(B455,[1]Afgrødedata!$A$5:$F$18,4,FALSE),1)*IF(E455&lt;&gt;Jordbund1,IF(E455=Organ6,VLOOKUP(B455,[1]Afgrødedata!$A$5:$F$18,5,FALSE),VLOOKUP(B455,[1]Afgrødedata!$A$5:$F$18,6,FALSE)),1)*HLOOKUP(C455,Landbrug!$C$15:$E$17,2,FALSE)*HLOOKUP(C455,Landbrug!$C$15:$E$17,3,FALSE)*0.1</f>
        <v>0</v>
      </c>
      <c r="J455" s="76">
        <f t="shared" si="64"/>
        <v>2175.2053959799578</v>
      </c>
    </row>
    <row r="456" spans="1:10" x14ac:dyDescent="0.25">
      <c r="A456" t="s">
        <v>24</v>
      </c>
      <c r="B456" s="1" t="str">
        <f>[1]Afgrødefordeling!$C$8</f>
        <v>Roer</v>
      </c>
      <c r="C456">
        <v>2050</v>
      </c>
      <c r="D456" t="s">
        <v>7</v>
      </c>
      <c r="E456" s="168" t="str">
        <f t="shared" si="66"/>
        <v>OC12</v>
      </c>
      <c r="F456" t="str">
        <f t="shared" si="62"/>
        <v>Roer</v>
      </c>
      <c r="G456" s="76" cm="1">
        <f t="array" ref="G456">IF(A456="Vestdanmark",IF(D456="Konventionel",IF(C456=2019,SUMPRODUCT((B456='Landbrugsareal - resultat'!$B$6:$B$19)*(INDEX('Landbrugsareal - resultat'!$C$6:$E$19,,MATCH(E456,'Landbrugsareal - resultat'!$C$5:$E$5,0)))),IF(C456=2030,SUMPRODUCT((B456='Landbrugsareal - resultat'!$B$6:$B$19)*(INDEX('Landbrugsareal - resultat'!$F$6:$H$19,,MATCH(E456,'Landbrugsareal - resultat'!$F$5:$H$5,0)))),SUMPRODUCT((B456='Landbrugsareal - resultat'!$B$6:$B$19)*(INDEX('Landbrugsareal - resultat'!$I$6:$K$19,,MATCH(E456,'Landbrugsareal - resultat'!$I$5:$K$5,0)))))),IF(C456=2019,SUMPRODUCT((B456='Landbrugsareal - resultat'!$B$6:$B$19)*(INDEX('Landbrugsareal - resultat'!$L$6:$N$19,,MATCH(E456,'Landbrugsareal - resultat'!$L$5:$N$5,0)))),IF(C456=2030,SUMPRODUCT((B456='Landbrugsareal - resultat'!$B$6:$B$19)*(INDEX('Landbrugsareal - resultat'!$O$6:$Q$19,,MATCH(E456,'Landbrugsareal - resultat'!$O$5:$Q$5,0)))),SUMPRODUCT((B456='Landbrugsareal - resultat'!$B$6:$B$19)*(INDEX('Landbrugsareal - resultat'!$R$6:$T$19,,MATCH(E456,'Landbrugsareal - resultat'!$R$5:$T$5,0))))))),IF(D456="Konventionel",IF(C456=2019,SUMPRODUCT((B456='Landbrugsareal - resultat'!$B$33:$B$46)*(INDEX('Landbrugsareal - resultat'!$C$33:$E$46,,MATCH(E456,'Landbrugsareal - resultat'!$C$5:$E$5,0)))),IF(C456=2030,SUMPRODUCT((B456='Landbrugsareal - resultat'!$B$33:$B$46)*(INDEX('Landbrugsareal - resultat'!$F$33:$H$46,,MATCH(E456,'Landbrugsareal - resultat'!$F$5:$H$5,0)))),SUMPRODUCT((B456='Landbrugsareal - resultat'!$B$33:$B$46)*(INDEX('Landbrugsareal - resultat'!$I$33:$K$46,,MATCH(E456,'Landbrugsareal - resultat'!$I$5:$K$5,0)))))),IF(C456=2019,SUMPRODUCT((B456='Landbrugsareal - resultat'!$B$33:$B$46)*(INDEX('Landbrugsareal - resultat'!$L$33:$N$46,,MATCH(E456,'Landbrugsareal - resultat'!$L$5:$N$5,0)))),IF(C456=2030,SUMPRODUCT((B456='Landbrugsareal - resultat'!$B$33:$B$46)*(INDEX('Landbrugsareal - resultat'!$O$33:$Q$46,,MATCH(E456,'Landbrugsareal - resultat'!$O$5:$Q$5,0)))),SUMPRODUCT((B456='Landbrugsareal - resultat'!$B$33:$B$46)*(INDEX('Landbrugsareal - resultat'!$R$33:$T$46,,MATCH(E456,'Landbrugsareal - resultat'!$R$5:$T$5,0))))))))</f>
        <v>42.128597594116513</v>
      </c>
      <c r="H456" s="168">
        <f>G456*VLOOKUP(B456,[1]Afgrødedata!$A$5:$F$18,2,FALSE)*IF(D456="Økologisk",VLOOKUP(B456,[1]Afgrødedata!$A$5:$F$18,4,FALSE),1)*IF(E456&lt;&gt;Jordbund1,IF(E456=Organ6,VLOOKUP(B456,[1]Afgrødedata!$A$5:$F$18,5,FALSE),VLOOKUP(B456,[1]Afgrødedata!$A$5:$F$18,6,FALSE)),1)*0.1</f>
        <v>4792.3480510943045</v>
      </c>
      <c r="I456" s="168">
        <f>G456*VLOOKUP(B456,[1]Afgrødedata!$A$5:$F$18,3,FALSE)*IF(D456="Økologisk",VLOOKUP(B456,[1]Afgrødedata!$A$5:$F$18,4,FALSE),1)*IF(E456&lt;&gt;Jordbund1,IF(E456=Organ6,VLOOKUP(B456,[1]Afgrødedata!$A$5:$F$18,5,FALSE),VLOOKUP(B456,[1]Afgrødedata!$A$5:$F$18,6,FALSE)),1)*HLOOKUP(C456,Landbrug!$C$15:$E$17,2,FALSE)*HLOOKUP(C456,Landbrug!$C$15:$E$17,3,FALSE)*0.1</f>
        <v>0</v>
      </c>
      <c r="J456" s="76">
        <f t="shared" si="64"/>
        <v>4792.3480510943045</v>
      </c>
    </row>
    <row r="457" spans="1:10" x14ac:dyDescent="0.25">
      <c r="A457" t="s">
        <v>24</v>
      </c>
      <c r="B457" s="1" t="str">
        <f>[1]Afgrødefordeling!$C$9</f>
        <v>Majs</v>
      </c>
      <c r="C457">
        <v>2050</v>
      </c>
      <c r="D457" t="s">
        <v>7</v>
      </c>
      <c r="E457" s="168" t="str">
        <f t="shared" si="66"/>
        <v>OC12</v>
      </c>
      <c r="F457" t="str">
        <f t="shared" si="62"/>
        <v>Majs</v>
      </c>
      <c r="G457" s="76" cm="1">
        <f t="array" ref="G457">IF(A457="Vestdanmark",IF(D457="Konventionel",IF(C457=2019,SUMPRODUCT((B457='Landbrugsareal - resultat'!$B$6:$B$19)*(INDEX('Landbrugsareal - resultat'!$C$6:$E$19,,MATCH(E457,'Landbrugsareal - resultat'!$C$5:$E$5,0)))),IF(C457=2030,SUMPRODUCT((B457='Landbrugsareal - resultat'!$B$6:$B$19)*(INDEX('Landbrugsareal - resultat'!$F$6:$H$19,,MATCH(E457,'Landbrugsareal - resultat'!$F$5:$H$5,0)))),SUMPRODUCT((B457='Landbrugsareal - resultat'!$B$6:$B$19)*(INDEX('Landbrugsareal - resultat'!$I$6:$K$19,,MATCH(E457,'Landbrugsareal - resultat'!$I$5:$K$5,0)))))),IF(C457=2019,SUMPRODUCT((B457='Landbrugsareal - resultat'!$B$6:$B$19)*(INDEX('Landbrugsareal - resultat'!$L$6:$N$19,,MATCH(E457,'Landbrugsareal - resultat'!$L$5:$N$5,0)))),IF(C457=2030,SUMPRODUCT((B457='Landbrugsareal - resultat'!$B$6:$B$19)*(INDEX('Landbrugsareal - resultat'!$O$6:$Q$19,,MATCH(E457,'Landbrugsareal - resultat'!$O$5:$Q$5,0)))),SUMPRODUCT((B457='Landbrugsareal - resultat'!$B$6:$B$19)*(INDEX('Landbrugsareal - resultat'!$R$6:$T$19,,MATCH(E457,'Landbrugsareal - resultat'!$R$5:$T$5,0))))))),IF(D457="Konventionel",IF(C457=2019,SUMPRODUCT((B457='Landbrugsareal - resultat'!$B$33:$B$46)*(INDEX('Landbrugsareal - resultat'!$C$33:$E$46,,MATCH(E457,'Landbrugsareal - resultat'!$C$5:$E$5,0)))),IF(C457=2030,SUMPRODUCT((B457='Landbrugsareal - resultat'!$B$33:$B$46)*(INDEX('Landbrugsareal - resultat'!$F$33:$H$46,,MATCH(E457,'Landbrugsareal - resultat'!$F$5:$H$5,0)))),SUMPRODUCT((B457='Landbrugsareal - resultat'!$B$33:$B$46)*(INDEX('Landbrugsareal - resultat'!$I$33:$K$46,,MATCH(E457,'Landbrugsareal - resultat'!$I$5:$K$5,0)))))),IF(C457=2019,SUMPRODUCT((B457='Landbrugsareal - resultat'!$B$33:$B$46)*(INDEX('Landbrugsareal - resultat'!$L$33:$N$46,,MATCH(E457,'Landbrugsareal - resultat'!$L$5:$N$5,0)))),IF(C457=2030,SUMPRODUCT((B457='Landbrugsareal - resultat'!$B$33:$B$46)*(INDEX('Landbrugsareal - resultat'!$O$33:$Q$46,,MATCH(E457,'Landbrugsareal - resultat'!$O$5:$Q$5,0)))),SUMPRODUCT((B457='Landbrugsareal - resultat'!$B$33:$B$46)*(INDEX('Landbrugsareal - resultat'!$R$33:$T$46,,MATCH(E457,'Landbrugsareal - resultat'!$R$5:$T$5,0))))))))</f>
        <v>43.271441600162568</v>
      </c>
      <c r="H457" s="168">
        <f>G457*VLOOKUP(B457,[1]Afgrødedata!$A$5:$F$18,2,FALSE)*IF(D457="Økologisk",VLOOKUP(B457,[1]Afgrødedata!$A$5:$F$18,4,FALSE),1)*IF(E457&lt;&gt;Jordbund1,IF(E457=Organ6,VLOOKUP(B457,[1]Afgrødedata!$A$5:$F$18,5,FALSE),VLOOKUP(B457,[1]Afgrødedata!$A$5:$F$18,6,FALSE)),1)*0.1</f>
        <v>2696.4166118725302</v>
      </c>
      <c r="I457" s="168">
        <f>G457*VLOOKUP(B457,[1]Afgrødedata!$A$5:$F$18,3,FALSE)*IF(D457="Økologisk",VLOOKUP(B457,[1]Afgrødedata!$A$5:$F$18,4,FALSE),1)*IF(E457&lt;&gt;Jordbund1,IF(E457=Organ6,VLOOKUP(B457,[1]Afgrødedata!$A$5:$F$18,5,FALSE),VLOOKUP(B457,[1]Afgrødedata!$A$5:$F$18,6,FALSE)),1)*HLOOKUP(C457,Landbrug!$C$15:$E$17,2,FALSE)*HLOOKUP(C457,Landbrug!$C$15:$E$17,3,FALSE)*0.1</f>
        <v>0</v>
      </c>
      <c r="J457" s="76">
        <f t="shared" si="64"/>
        <v>2696.4166118725302</v>
      </c>
    </row>
    <row r="458" spans="1:10" x14ac:dyDescent="0.25">
      <c r="A458" t="s">
        <v>24</v>
      </c>
      <c r="B458" s="1" t="str">
        <f>[1]Afgrødefordeling!$C$10</f>
        <v>Frugt</v>
      </c>
      <c r="C458">
        <v>2050</v>
      </c>
      <c r="D458" t="s">
        <v>7</v>
      </c>
      <c r="E458" s="168" t="str">
        <f t="shared" si="66"/>
        <v>OC12</v>
      </c>
      <c r="F458" t="str">
        <f t="shared" si="62"/>
        <v>Frugt</v>
      </c>
      <c r="G458" s="76" cm="1">
        <f t="array" ref="G458">IF(A458="Vestdanmark",IF(D458="Konventionel",IF(C458=2019,SUMPRODUCT((B458='Landbrugsareal - resultat'!$B$6:$B$19)*(INDEX('Landbrugsareal - resultat'!$C$6:$E$19,,MATCH(E458,'Landbrugsareal - resultat'!$C$5:$E$5,0)))),IF(C458=2030,SUMPRODUCT((B458='Landbrugsareal - resultat'!$B$6:$B$19)*(INDEX('Landbrugsareal - resultat'!$F$6:$H$19,,MATCH(E458,'Landbrugsareal - resultat'!$F$5:$H$5,0)))),SUMPRODUCT((B458='Landbrugsareal - resultat'!$B$6:$B$19)*(INDEX('Landbrugsareal - resultat'!$I$6:$K$19,,MATCH(E458,'Landbrugsareal - resultat'!$I$5:$K$5,0)))))),IF(C458=2019,SUMPRODUCT((B458='Landbrugsareal - resultat'!$B$6:$B$19)*(INDEX('Landbrugsareal - resultat'!$L$6:$N$19,,MATCH(E458,'Landbrugsareal - resultat'!$L$5:$N$5,0)))),IF(C458=2030,SUMPRODUCT((B458='Landbrugsareal - resultat'!$B$6:$B$19)*(INDEX('Landbrugsareal - resultat'!$O$6:$Q$19,,MATCH(E458,'Landbrugsareal - resultat'!$O$5:$Q$5,0)))),SUMPRODUCT((B458='Landbrugsareal - resultat'!$B$6:$B$19)*(INDEX('Landbrugsareal - resultat'!$R$6:$T$19,,MATCH(E458,'Landbrugsareal - resultat'!$R$5:$T$5,0))))))),IF(D458="Konventionel",IF(C458=2019,SUMPRODUCT((B458='Landbrugsareal - resultat'!$B$33:$B$46)*(INDEX('Landbrugsareal - resultat'!$C$33:$E$46,,MATCH(E458,'Landbrugsareal - resultat'!$C$5:$E$5,0)))),IF(C458=2030,SUMPRODUCT((B458='Landbrugsareal - resultat'!$B$33:$B$46)*(INDEX('Landbrugsareal - resultat'!$F$33:$H$46,,MATCH(E458,'Landbrugsareal - resultat'!$F$5:$H$5,0)))),SUMPRODUCT((B458='Landbrugsareal - resultat'!$B$33:$B$46)*(INDEX('Landbrugsareal - resultat'!$I$33:$K$46,,MATCH(E458,'Landbrugsareal - resultat'!$I$5:$K$5,0)))))),IF(C458=2019,SUMPRODUCT((B458='Landbrugsareal - resultat'!$B$33:$B$46)*(INDEX('Landbrugsareal - resultat'!$L$33:$N$46,,MATCH(E458,'Landbrugsareal - resultat'!$L$5:$N$5,0)))),IF(C458=2030,SUMPRODUCT((B458='Landbrugsareal - resultat'!$B$33:$B$46)*(INDEX('Landbrugsareal - resultat'!$O$33:$Q$46,,MATCH(E458,'Landbrugsareal - resultat'!$O$5:$Q$5,0)))),SUMPRODUCT((B458='Landbrugsareal - resultat'!$B$33:$B$46)*(INDEX('Landbrugsareal - resultat'!$R$33:$T$46,,MATCH(E458,'Landbrugsareal - resultat'!$R$5:$T$5,0))))))))</f>
        <v>15.702144808808558</v>
      </c>
      <c r="H458" s="168">
        <f>G458*VLOOKUP(B458,[1]Afgrødedata!$A$5:$F$18,2,FALSE)*IF(D458="Økologisk",VLOOKUP(B458,[1]Afgrødedata!$A$5:$F$18,4,FALSE),1)*IF(E458&lt;&gt;Jordbund1,IF(E458=Organ6,VLOOKUP(B458,[1]Afgrødedata!$A$5:$F$18,5,FALSE),VLOOKUP(B458,[1]Afgrødedata!$A$5:$F$18,6,FALSE)),1)*0.1</f>
        <v>186.63569319749854</v>
      </c>
      <c r="I458" s="168">
        <f>G458*VLOOKUP(B458,[1]Afgrødedata!$A$5:$F$18,3,FALSE)*IF(D458="Økologisk",VLOOKUP(B458,[1]Afgrødedata!$A$5:$F$18,4,FALSE),1)*IF(E458&lt;&gt;Jordbund1,IF(E458=Organ6,VLOOKUP(B458,[1]Afgrødedata!$A$5:$F$18,5,FALSE),VLOOKUP(B458,[1]Afgrødedata!$A$5:$F$18,6,FALSE)),1)*HLOOKUP(C458,Landbrug!$C$15:$E$17,2,FALSE)*HLOOKUP(C458,Landbrug!$C$15:$E$17,3,FALSE)*0.1</f>
        <v>0</v>
      </c>
      <c r="J458" s="76">
        <f t="shared" si="64"/>
        <v>186.63569319749854</v>
      </c>
    </row>
    <row r="459" spans="1:10" x14ac:dyDescent="0.25">
      <c r="A459" t="s">
        <v>24</v>
      </c>
      <c r="B459" s="1" t="str">
        <f>[1]Afgrødefordeling!$C$11</f>
        <v>Øvrige</v>
      </c>
      <c r="C459">
        <v>2050</v>
      </c>
      <c r="D459" t="s">
        <v>7</v>
      </c>
      <c r="E459" s="168" t="str">
        <f t="shared" si="66"/>
        <v>OC12</v>
      </c>
      <c r="F459" t="str">
        <f t="shared" si="62"/>
        <v>Øvrige</v>
      </c>
      <c r="G459" s="76" cm="1">
        <f t="array" ref="G459">IF(A459="Vestdanmark",IF(D459="Konventionel",IF(C459=2019,SUMPRODUCT((B459='Landbrugsareal - resultat'!$B$6:$B$19)*(INDEX('Landbrugsareal - resultat'!$C$6:$E$19,,MATCH(E459,'Landbrugsareal - resultat'!$C$5:$E$5,0)))),IF(C459=2030,SUMPRODUCT((B459='Landbrugsareal - resultat'!$B$6:$B$19)*(INDEX('Landbrugsareal - resultat'!$F$6:$H$19,,MATCH(E459,'Landbrugsareal - resultat'!$F$5:$H$5,0)))),SUMPRODUCT((B459='Landbrugsareal - resultat'!$B$6:$B$19)*(INDEX('Landbrugsareal - resultat'!$I$6:$K$19,,MATCH(E459,'Landbrugsareal - resultat'!$I$5:$K$5,0)))))),IF(C459=2019,SUMPRODUCT((B459='Landbrugsareal - resultat'!$B$6:$B$19)*(INDEX('Landbrugsareal - resultat'!$L$6:$N$19,,MATCH(E459,'Landbrugsareal - resultat'!$L$5:$N$5,0)))),IF(C459=2030,SUMPRODUCT((B459='Landbrugsareal - resultat'!$B$6:$B$19)*(INDEX('Landbrugsareal - resultat'!$O$6:$Q$19,,MATCH(E459,'Landbrugsareal - resultat'!$O$5:$Q$5,0)))),SUMPRODUCT((B459='Landbrugsareal - resultat'!$B$6:$B$19)*(INDEX('Landbrugsareal - resultat'!$R$6:$T$19,,MATCH(E459,'Landbrugsareal - resultat'!$R$5:$T$5,0))))))),IF(D459="Konventionel",IF(C459=2019,SUMPRODUCT((B459='Landbrugsareal - resultat'!$B$33:$B$46)*(INDEX('Landbrugsareal - resultat'!$C$33:$E$46,,MATCH(E459,'Landbrugsareal - resultat'!$C$5:$E$5,0)))),IF(C459=2030,SUMPRODUCT((B459='Landbrugsareal - resultat'!$B$33:$B$46)*(INDEX('Landbrugsareal - resultat'!$F$33:$H$46,,MATCH(E459,'Landbrugsareal - resultat'!$F$5:$H$5,0)))),SUMPRODUCT((B459='Landbrugsareal - resultat'!$B$33:$B$46)*(INDEX('Landbrugsareal - resultat'!$I$33:$K$46,,MATCH(E459,'Landbrugsareal - resultat'!$I$5:$K$5,0)))))),IF(C459=2019,SUMPRODUCT((B459='Landbrugsareal - resultat'!$B$33:$B$46)*(INDEX('Landbrugsareal - resultat'!$L$33:$N$46,,MATCH(E459,'Landbrugsareal - resultat'!$L$5:$N$5,0)))),IF(C459=2030,SUMPRODUCT((B459='Landbrugsareal - resultat'!$B$33:$B$46)*(INDEX('Landbrugsareal - resultat'!$O$33:$Q$46,,MATCH(E459,'Landbrugsareal - resultat'!$O$5:$Q$5,0)))),SUMPRODUCT((B459='Landbrugsareal - resultat'!$B$33:$B$46)*(INDEX('Landbrugsareal - resultat'!$R$33:$T$46,,MATCH(E459,'Landbrugsareal - resultat'!$R$5:$T$5,0))))))))</f>
        <v>112.12092965883754</v>
      </c>
      <c r="H459" s="168">
        <f>G459*VLOOKUP(B459,[1]Afgrødedata!$A$5:$F$18,2,FALSE)*IF(D459="Økologisk",VLOOKUP(B459,[1]Afgrødedata!$A$5:$F$18,4,FALSE),1)*IF(E459&lt;&gt;Jordbund1,IF(E459=Organ6,VLOOKUP(B459,[1]Afgrødedata!$A$5:$F$18,5,FALSE),VLOOKUP(B459,[1]Afgrødedata!$A$5:$F$18,6,FALSE)),1)*0.1</f>
        <v>4677.0484406800751</v>
      </c>
      <c r="I459" s="168">
        <f>G459*VLOOKUP(B459,[1]Afgrødedata!$A$5:$F$18,3,FALSE)*IF(D459="Økologisk",VLOOKUP(B459,[1]Afgrødedata!$A$5:$F$18,4,FALSE),1)*IF(E459&lt;&gt;Jordbund1,IF(E459=Organ6,VLOOKUP(B459,[1]Afgrødedata!$A$5:$F$18,5,FALSE),VLOOKUP(B459,[1]Afgrødedata!$A$5:$F$18,6,FALSE)),1)*HLOOKUP(C459,Landbrug!$C$15:$E$17,2,FALSE)*HLOOKUP(C459,Landbrug!$C$15:$E$17,3,FALSE)*0.1</f>
        <v>0</v>
      </c>
      <c r="J459" s="76">
        <f t="shared" si="64"/>
        <v>4677.0484406800751</v>
      </c>
    </row>
    <row r="460" spans="1:10" x14ac:dyDescent="0.25">
      <c r="A460" t="s">
        <v>24</v>
      </c>
      <c r="B460" s="1" t="str">
        <f>[1]Afgrødefordeling!$C$12</f>
        <v>Frø</v>
      </c>
      <c r="C460">
        <v>2050</v>
      </c>
      <c r="D460" t="s">
        <v>7</v>
      </c>
      <c r="E460" s="168" t="str">
        <f t="shared" si="66"/>
        <v>OC12</v>
      </c>
      <c r="F460" t="str">
        <f t="shared" si="62"/>
        <v>Halm</v>
      </c>
      <c r="G460" s="76" cm="1">
        <f t="array" ref="G460">IF(A460="Vestdanmark",IF(D460="Konventionel",IF(C460=2019,SUMPRODUCT((B460='Landbrugsareal - resultat'!$B$6:$B$19)*(INDEX('Landbrugsareal - resultat'!$C$6:$E$19,,MATCH(E460,'Landbrugsareal - resultat'!$C$5:$E$5,0)))),IF(C460=2030,SUMPRODUCT((B460='Landbrugsareal - resultat'!$B$6:$B$19)*(INDEX('Landbrugsareal - resultat'!$F$6:$H$19,,MATCH(E460,'Landbrugsareal - resultat'!$F$5:$H$5,0)))),SUMPRODUCT((B460='Landbrugsareal - resultat'!$B$6:$B$19)*(INDEX('Landbrugsareal - resultat'!$I$6:$K$19,,MATCH(E460,'Landbrugsareal - resultat'!$I$5:$K$5,0)))))),IF(C460=2019,SUMPRODUCT((B460='Landbrugsareal - resultat'!$B$6:$B$19)*(INDEX('Landbrugsareal - resultat'!$L$6:$N$19,,MATCH(E460,'Landbrugsareal - resultat'!$L$5:$N$5,0)))),IF(C460=2030,SUMPRODUCT((B460='Landbrugsareal - resultat'!$B$6:$B$19)*(INDEX('Landbrugsareal - resultat'!$O$6:$Q$19,,MATCH(E460,'Landbrugsareal - resultat'!$O$5:$Q$5,0)))),SUMPRODUCT((B460='Landbrugsareal - resultat'!$B$6:$B$19)*(INDEX('Landbrugsareal - resultat'!$R$6:$T$19,,MATCH(E460,'Landbrugsareal - resultat'!$R$5:$T$5,0))))))),IF(D460="Konventionel",IF(C460=2019,SUMPRODUCT((B460='Landbrugsareal - resultat'!$B$33:$B$46)*(INDEX('Landbrugsareal - resultat'!$C$33:$E$46,,MATCH(E460,'Landbrugsareal - resultat'!$C$5:$E$5,0)))),IF(C460=2030,SUMPRODUCT((B460='Landbrugsareal - resultat'!$B$33:$B$46)*(INDEX('Landbrugsareal - resultat'!$F$33:$H$46,,MATCH(E460,'Landbrugsareal - resultat'!$F$5:$H$5,0)))),SUMPRODUCT((B460='Landbrugsareal - resultat'!$B$33:$B$46)*(INDEX('Landbrugsareal - resultat'!$I$33:$K$46,,MATCH(E460,'Landbrugsareal - resultat'!$I$5:$K$5,0)))))),IF(C460=2019,SUMPRODUCT((B460='Landbrugsareal - resultat'!$B$33:$B$46)*(INDEX('Landbrugsareal - resultat'!$L$33:$N$46,,MATCH(E460,'Landbrugsareal - resultat'!$L$5:$N$5,0)))),IF(C460=2030,SUMPRODUCT((B460='Landbrugsareal - resultat'!$B$33:$B$46)*(INDEX('Landbrugsareal - resultat'!$O$33:$Q$46,,MATCH(E460,'Landbrugsareal - resultat'!$O$5:$Q$5,0)))),SUMPRODUCT((B460='Landbrugsareal - resultat'!$B$33:$B$46)*(INDEX('Landbrugsareal - resultat'!$R$33:$T$46,,MATCH(E460,'Landbrugsareal - resultat'!$R$5:$T$5,0))))))))</f>
        <v>1049.2475634602984</v>
      </c>
      <c r="H460" s="168">
        <f>G460*VLOOKUP(B460,[1]Afgrødedata!$A$5:$F$18,2,FALSE)*IF(D460="Økologisk",VLOOKUP(B460,[1]Afgrødedata!$A$5:$F$18,4,FALSE),1)*IF(E460&lt;&gt;Jordbund1,IF(E460=Organ6,VLOOKUP(B460,[1]Afgrødedata!$A$5:$F$18,5,FALSE),VLOOKUP(B460,[1]Afgrødedata!$A$5:$F$18,6,FALSE)),1)*0.1</f>
        <v>20989.573271131081</v>
      </c>
      <c r="I460" s="168">
        <f>G460*VLOOKUP(B460,[1]Afgrødedata!$A$5:$F$18,3,FALSE)*IF(D460="Økologisk",VLOOKUP(B460,[1]Afgrødedata!$A$5:$F$18,4,FALSE),1)*IF(E460&lt;&gt;Jordbund1,IF(E460=Organ6,VLOOKUP(B460,[1]Afgrødedata!$A$5:$F$18,5,FALSE),VLOOKUP(B460,[1]Afgrødedata!$A$5:$F$18,6,FALSE)),1)*HLOOKUP(C460,Landbrug!$C$15:$E$17,2,FALSE)*HLOOKUP(C460,Landbrug!$C$15:$E$17,3,FALSE)*0.1</f>
        <v>3466.713949672825</v>
      </c>
      <c r="J460" s="76">
        <f t="shared" si="64"/>
        <v>3466.713949672825</v>
      </c>
    </row>
    <row r="461" spans="1:10" x14ac:dyDescent="0.25">
      <c r="A461" t="s">
        <v>24</v>
      </c>
      <c r="B461" s="1" t="str">
        <f>[1]Afgrødefordeling!$C$13</f>
        <v>Juletræer</v>
      </c>
      <c r="C461">
        <v>2050</v>
      </c>
      <c r="D461" t="s">
        <v>7</v>
      </c>
      <c r="E461" s="168" t="str">
        <f t="shared" si="66"/>
        <v>OC12</v>
      </c>
      <c r="F461" t="str">
        <f t="shared" si="62"/>
        <v>Juletræer</v>
      </c>
      <c r="G461" s="76" cm="1">
        <f t="array" ref="G461">IF(A461="Vestdanmark",IF(D461="Konventionel",IF(C461=2019,SUMPRODUCT((B461='Landbrugsareal - resultat'!$B$6:$B$19)*(INDEX('Landbrugsareal - resultat'!$C$6:$E$19,,MATCH(E461,'Landbrugsareal - resultat'!$C$5:$E$5,0)))),IF(C461=2030,SUMPRODUCT((B461='Landbrugsareal - resultat'!$B$6:$B$19)*(INDEX('Landbrugsareal - resultat'!$F$6:$H$19,,MATCH(E461,'Landbrugsareal - resultat'!$F$5:$H$5,0)))),SUMPRODUCT((B461='Landbrugsareal - resultat'!$B$6:$B$19)*(INDEX('Landbrugsareal - resultat'!$I$6:$K$19,,MATCH(E461,'Landbrugsareal - resultat'!$I$5:$K$5,0)))))),IF(C461=2019,SUMPRODUCT((B461='Landbrugsareal - resultat'!$B$6:$B$19)*(INDEX('Landbrugsareal - resultat'!$L$6:$N$19,,MATCH(E461,'Landbrugsareal - resultat'!$L$5:$N$5,0)))),IF(C461=2030,SUMPRODUCT((B461='Landbrugsareal - resultat'!$B$6:$B$19)*(INDEX('Landbrugsareal - resultat'!$O$6:$Q$19,,MATCH(E461,'Landbrugsareal - resultat'!$O$5:$Q$5,0)))),SUMPRODUCT((B461='Landbrugsareal - resultat'!$B$6:$B$19)*(INDEX('Landbrugsareal - resultat'!$R$6:$T$19,,MATCH(E461,'Landbrugsareal - resultat'!$R$5:$T$5,0))))))),IF(D461="Konventionel",IF(C461=2019,SUMPRODUCT((B461='Landbrugsareal - resultat'!$B$33:$B$46)*(INDEX('Landbrugsareal - resultat'!$C$33:$E$46,,MATCH(E461,'Landbrugsareal - resultat'!$C$5:$E$5,0)))),IF(C461=2030,SUMPRODUCT((B461='Landbrugsareal - resultat'!$B$33:$B$46)*(INDEX('Landbrugsareal - resultat'!$F$33:$H$46,,MATCH(E461,'Landbrugsareal - resultat'!$F$5:$H$5,0)))),SUMPRODUCT((B461='Landbrugsareal - resultat'!$B$33:$B$46)*(INDEX('Landbrugsareal - resultat'!$I$33:$K$46,,MATCH(E461,'Landbrugsareal - resultat'!$I$5:$K$5,0)))))),IF(C461=2019,SUMPRODUCT((B461='Landbrugsareal - resultat'!$B$33:$B$46)*(INDEX('Landbrugsareal - resultat'!$L$33:$N$46,,MATCH(E461,'Landbrugsareal - resultat'!$L$5:$N$5,0)))),IF(C461=2030,SUMPRODUCT((B461='Landbrugsareal - resultat'!$B$33:$B$46)*(INDEX('Landbrugsareal - resultat'!$O$33:$Q$46,,MATCH(E461,'Landbrugsareal - resultat'!$O$5:$Q$5,0)))),SUMPRODUCT((B461='Landbrugsareal - resultat'!$B$33:$B$46)*(INDEX('Landbrugsareal - resultat'!$R$33:$T$46,,MATCH(E461,'Landbrugsareal - resultat'!$R$5:$T$5,0))))))))</f>
        <v>24.605171560207509</v>
      </c>
      <c r="H461" s="168">
        <f>G461*VLOOKUP(B461,[1]Afgrødedata!$A$5:$F$18,2,FALSE)*IF(D461="Økologisk",VLOOKUP(B461,[1]Afgrødedata!$A$5:$F$18,4,FALSE),1)*IF(E461&lt;&gt;Jordbund1,IF(E461=Organ6,VLOOKUP(B461,[1]Afgrødedata!$A$5:$F$18,5,FALSE),VLOOKUP(B461,[1]Afgrødedata!$A$5:$F$18,6,FALSE)),1)*0.1</f>
        <v>1722.3620092145256</v>
      </c>
      <c r="I461" s="168">
        <f>G461*VLOOKUP(B461,[1]Afgrødedata!$A$5:$F$18,3,FALSE)*IF(D461="Økologisk",VLOOKUP(B461,[1]Afgrødedata!$A$5:$F$18,4,FALSE),1)*IF(E461&lt;&gt;Jordbund1,IF(E461=Organ6,VLOOKUP(B461,[1]Afgrødedata!$A$5:$F$18,5,FALSE),VLOOKUP(B461,[1]Afgrødedata!$A$5:$F$18,6,FALSE)),1)*HLOOKUP(C461,Landbrug!$C$15:$E$17,2,FALSE)*HLOOKUP(C461,Landbrug!$C$15:$E$17,3,FALSE)*0.1</f>
        <v>0</v>
      </c>
      <c r="J461" s="76">
        <f t="shared" si="64"/>
        <v>1722.3620092145256</v>
      </c>
    </row>
    <row r="462" spans="1:10" x14ac:dyDescent="0.25">
      <c r="A462" t="s">
        <v>24</v>
      </c>
      <c r="B462" s="1" t="str">
        <f>[1]Afgrødefordeling!$C$14</f>
        <v>Pil &amp; poppel</v>
      </c>
      <c r="C462">
        <v>2050</v>
      </c>
      <c r="D462" t="s">
        <v>7</v>
      </c>
      <c r="E462" s="168" t="str">
        <f t="shared" si="66"/>
        <v>OC12</v>
      </c>
      <c r="F462" t="str">
        <f t="shared" si="62"/>
        <v>Pil &amp; poppel</v>
      </c>
      <c r="G462" s="76" cm="1">
        <f t="array" ref="G462">IF(A462="Vestdanmark",IF(D462="Konventionel",IF(C462=2019,SUMPRODUCT((B462='Landbrugsareal - resultat'!$B$6:$B$19)*(INDEX('Landbrugsareal - resultat'!$C$6:$E$19,,MATCH(E462,'Landbrugsareal - resultat'!$C$5:$E$5,0)))),IF(C462=2030,SUMPRODUCT((B462='Landbrugsareal - resultat'!$B$6:$B$19)*(INDEX('Landbrugsareal - resultat'!$F$6:$H$19,,MATCH(E462,'Landbrugsareal - resultat'!$F$5:$H$5,0)))),SUMPRODUCT((B462='Landbrugsareal - resultat'!$B$6:$B$19)*(INDEX('Landbrugsareal - resultat'!$I$6:$K$19,,MATCH(E462,'Landbrugsareal - resultat'!$I$5:$K$5,0)))))),IF(C462=2019,SUMPRODUCT((B462='Landbrugsareal - resultat'!$B$6:$B$19)*(INDEX('Landbrugsareal - resultat'!$L$6:$N$19,,MATCH(E462,'Landbrugsareal - resultat'!$L$5:$N$5,0)))),IF(C462=2030,SUMPRODUCT((B462='Landbrugsareal - resultat'!$B$6:$B$19)*(INDEX('Landbrugsareal - resultat'!$O$6:$Q$19,,MATCH(E462,'Landbrugsareal - resultat'!$O$5:$Q$5,0)))),SUMPRODUCT((B462='Landbrugsareal - resultat'!$B$6:$B$19)*(INDEX('Landbrugsareal - resultat'!$R$6:$T$19,,MATCH(E462,'Landbrugsareal - resultat'!$R$5:$T$5,0))))))),IF(D462="Konventionel",IF(C462=2019,SUMPRODUCT((B462='Landbrugsareal - resultat'!$B$33:$B$46)*(INDEX('Landbrugsareal - resultat'!$C$33:$E$46,,MATCH(E462,'Landbrugsareal - resultat'!$C$5:$E$5,0)))),IF(C462=2030,SUMPRODUCT((B462='Landbrugsareal - resultat'!$B$33:$B$46)*(INDEX('Landbrugsareal - resultat'!$F$33:$H$46,,MATCH(E462,'Landbrugsareal - resultat'!$F$5:$H$5,0)))),SUMPRODUCT((B462='Landbrugsareal - resultat'!$B$33:$B$46)*(INDEX('Landbrugsareal - resultat'!$I$33:$K$46,,MATCH(E462,'Landbrugsareal - resultat'!$I$5:$K$5,0)))))),IF(C462=2019,SUMPRODUCT((B462='Landbrugsareal - resultat'!$B$33:$B$46)*(INDEX('Landbrugsareal - resultat'!$L$33:$N$46,,MATCH(E462,'Landbrugsareal - resultat'!$L$5:$N$5,0)))),IF(C462=2030,SUMPRODUCT((B462='Landbrugsareal - resultat'!$B$33:$B$46)*(INDEX('Landbrugsareal - resultat'!$O$33:$Q$46,,MATCH(E462,'Landbrugsareal - resultat'!$O$5:$Q$5,0)))),SUMPRODUCT((B462='Landbrugsareal - resultat'!$B$33:$B$46)*(INDEX('Landbrugsareal - resultat'!$R$33:$T$46,,MATCH(E462,'Landbrugsareal - resultat'!$R$5:$T$5,0))))))))</f>
        <v>75.056089071704491</v>
      </c>
      <c r="H462" s="168">
        <f>G462*VLOOKUP(B462,[1]Afgrødedata!$A$5:$F$18,2,FALSE)*IF(D462="Økologisk",VLOOKUP(B462,[1]Afgrødedata!$A$5:$F$18,4,FALSE),1)*IF(E462&lt;&gt;Jordbund1,IF(E462=Organ6,VLOOKUP(B462,[1]Afgrødedata!$A$5:$F$18,5,FALSE),VLOOKUP(B462,[1]Afgrødedata!$A$5:$F$18,6,FALSE)),1)*0.1</f>
        <v>2562.8908463508851</v>
      </c>
      <c r="I462" s="168">
        <f>G462*VLOOKUP(B462,[1]Afgrødedata!$A$5:$F$18,3,FALSE)*IF(D462="Økologisk",VLOOKUP(B462,[1]Afgrødedata!$A$5:$F$18,4,FALSE),1)*IF(E462&lt;&gt;Jordbund1,IF(E462=Organ6,VLOOKUP(B462,[1]Afgrødedata!$A$5:$F$18,5,FALSE),VLOOKUP(B462,[1]Afgrødedata!$A$5:$F$18,6,FALSE)),1)*HLOOKUP(C462,Landbrug!$C$15:$E$17,2,FALSE)*HLOOKUP(C462,Landbrug!$C$15:$E$17,3,FALSE)*0.1</f>
        <v>0</v>
      </c>
      <c r="J462" s="76">
        <f t="shared" si="64"/>
        <v>2562.8908463508851</v>
      </c>
    </row>
    <row r="463" spans="1:10" x14ac:dyDescent="0.25">
      <c r="A463" t="s">
        <v>24</v>
      </c>
      <c r="B463" s="1" t="str">
        <f>[1]Afgrødefordeling!$C$15</f>
        <v>Permanent græs</v>
      </c>
      <c r="C463">
        <v>2050</v>
      </c>
      <c r="D463" t="s">
        <v>7</v>
      </c>
      <c r="E463" s="168" t="str">
        <f t="shared" si="66"/>
        <v>OC12</v>
      </c>
      <c r="F463" t="str">
        <f t="shared" si="62"/>
        <v>Græs</v>
      </c>
      <c r="G463" s="76" cm="1">
        <f t="array" ref="G463">IF(A463="Vestdanmark",IF(D463="Konventionel",IF(C463=2019,SUMPRODUCT((B463='Landbrugsareal - resultat'!$B$6:$B$19)*(INDEX('Landbrugsareal - resultat'!$C$6:$E$19,,MATCH(E463,'Landbrugsareal - resultat'!$C$5:$E$5,0)))),IF(C463=2030,SUMPRODUCT((B463='Landbrugsareal - resultat'!$B$6:$B$19)*(INDEX('Landbrugsareal - resultat'!$F$6:$H$19,,MATCH(E463,'Landbrugsareal - resultat'!$F$5:$H$5,0)))),SUMPRODUCT((B463='Landbrugsareal - resultat'!$B$6:$B$19)*(INDEX('Landbrugsareal - resultat'!$I$6:$K$19,,MATCH(E463,'Landbrugsareal - resultat'!$I$5:$K$5,0)))))),IF(C463=2019,SUMPRODUCT((B463='Landbrugsareal - resultat'!$B$6:$B$19)*(INDEX('Landbrugsareal - resultat'!$L$6:$N$19,,MATCH(E463,'Landbrugsareal - resultat'!$L$5:$N$5,0)))),IF(C463=2030,SUMPRODUCT((B463='Landbrugsareal - resultat'!$B$6:$B$19)*(INDEX('Landbrugsareal - resultat'!$O$6:$Q$19,,MATCH(E463,'Landbrugsareal - resultat'!$O$5:$Q$5,0)))),SUMPRODUCT((B463='Landbrugsareal - resultat'!$B$6:$B$19)*(INDEX('Landbrugsareal - resultat'!$R$6:$T$19,,MATCH(E463,'Landbrugsareal - resultat'!$R$5:$T$5,0))))))),IF(D463="Konventionel",IF(C463=2019,SUMPRODUCT((B463='Landbrugsareal - resultat'!$B$33:$B$46)*(INDEX('Landbrugsareal - resultat'!$C$33:$E$46,,MATCH(E463,'Landbrugsareal - resultat'!$C$5:$E$5,0)))),IF(C463=2030,SUMPRODUCT((B463='Landbrugsareal - resultat'!$B$33:$B$46)*(INDEX('Landbrugsareal - resultat'!$F$33:$H$46,,MATCH(E463,'Landbrugsareal - resultat'!$F$5:$H$5,0)))),SUMPRODUCT((B463='Landbrugsareal - resultat'!$B$33:$B$46)*(INDEX('Landbrugsareal - resultat'!$I$33:$K$46,,MATCH(E463,'Landbrugsareal - resultat'!$I$5:$K$5,0)))))),IF(C463=2019,SUMPRODUCT((B463='Landbrugsareal - resultat'!$B$33:$B$46)*(INDEX('Landbrugsareal - resultat'!$L$33:$N$46,,MATCH(E463,'Landbrugsareal - resultat'!$L$5:$N$5,0)))),IF(C463=2030,SUMPRODUCT((B463='Landbrugsareal - resultat'!$B$33:$B$46)*(INDEX('Landbrugsareal - resultat'!$O$33:$Q$46,,MATCH(E463,'Landbrugsareal - resultat'!$O$5:$Q$5,0)))),SUMPRODUCT((B463='Landbrugsareal - resultat'!$B$33:$B$46)*(INDEX('Landbrugsareal - resultat'!$R$33:$T$46,,MATCH(E463,'Landbrugsareal - resultat'!$R$5:$T$5,0))))))))</f>
        <v>2610.1763158460685</v>
      </c>
      <c r="H463" s="168">
        <f>G463*VLOOKUP(B463,[1]Afgrødedata!$A$5:$F$18,2,FALSE)*IF(D463="Økologisk",VLOOKUP(B463,[1]Afgrødedata!$A$5:$F$18,4,FALSE),1)*IF(E463&lt;&gt;Jordbund1,IF(E463=Organ6,VLOOKUP(B463,[1]Afgrødedata!$A$5:$F$18,5,FALSE),VLOOKUP(B463,[1]Afgrødedata!$A$5:$F$18,6,FALSE)),1)*0.1</f>
        <v>50392.063953724195</v>
      </c>
      <c r="I463" s="168">
        <f>G463*VLOOKUP(B463,[1]Afgrødedata!$A$5:$F$18,3,FALSE)*IF(D463="Økologisk",VLOOKUP(B463,[1]Afgrødedata!$A$5:$F$18,4,FALSE),1)*IF(E463&lt;&gt;Jordbund1,IF(E463=Organ6,VLOOKUP(B463,[1]Afgrødedata!$A$5:$F$18,5,FALSE),VLOOKUP(B463,[1]Afgrødedata!$A$5:$F$18,6,FALSE)),1)*HLOOKUP(C463,Landbrug!$C$15:$E$17,2,FALSE)*HLOOKUP(C463,Landbrug!$C$15:$E$17,3,FALSE)*0.1</f>
        <v>0</v>
      </c>
      <c r="J463" s="76">
        <f t="shared" si="64"/>
        <v>50392.063953724195</v>
      </c>
    </row>
    <row r="464" spans="1:10" x14ac:dyDescent="0.25">
      <c r="A464" t="s">
        <v>24</v>
      </c>
      <c r="B464" s="1" t="str">
        <f>[1]Afgrødefordeling!$C$2</f>
        <v>Korn</v>
      </c>
      <c r="C464">
        <v>2019</v>
      </c>
      <c r="D464" t="s">
        <v>8</v>
      </c>
      <c r="E464" s="168" t="str">
        <f t="shared" si="66"/>
        <v>OC12</v>
      </c>
      <c r="F464" t="str">
        <f t="shared" si="62"/>
        <v>Halm</v>
      </c>
      <c r="G464" s="76" cm="1">
        <f t="array" ref="G464">IF(A464="Vestdanmark",IF(D464="Konventionel",IF(C464=2019,SUMPRODUCT((B464='Landbrugsareal - resultat'!$B$6:$B$19)*(INDEX('Landbrugsareal - resultat'!$C$6:$E$19,,MATCH(E464,'Landbrugsareal - resultat'!$C$5:$E$5,0)))),IF(C464=2030,SUMPRODUCT((B464='Landbrugsareal - resultat'!$B$6:$B$19)*(INDEX('Landbrugsareal - resultat'!$F$6:$H$19,,MATCH(E464,'Landbrugsareal - resultat'!$F$5:$H$5,0)))),SUMPRODUCT((B464='Landbrugsareal - resultat'!$B$6:$B$19)*(INDEX('Landbrugsareal - resultat'!$I$6:$K$19,,MATCH(E464,'Landbrugsareal - resultat'!$I$5:$K$5,0)))))),IF(C464=2019,SUMPRODUCT((B464='Landbrugsareal - resultat'!$B$6:$B$19)*(INDEX('Landbrugsareal - resultat'!$L$6:$N$19,,MATCH(E464,'Landbrugsareal - resultat'!$L$5:$N$5,0)))),IF(C464=2030,SUMPRODUCT((B464='Landbrugsareal - resultat'!$B$6:$B$19)*(INDEX('Landbrugsareal - resultat'!$O$6:$Q$19,,MATCH(E464,'Landbrugsareal - resultat'!$O$5:$Q$5,0)))),SUMPRODUCT((B464='Landbrugsareal - resultat'!$B$6:$B$19)*(INDEX('Landbrugsareal - resultat'!$R$6:$T$19,,MATCH(E464,'Landbrugsareal - resultat'!$R$5:$T$5,0))))))),IF(D464="Konventionel",IF(C464=2019,SUMPRODUCT((B464='Landbrugsareal - resultat'!$B$33:$B$46)*(INDEX('Landbrugsareal - resultat'!$C$33:$E$46,,MATCH(E464,'Landbrugsareal - resultat'!$C$5:$E$5,0)))),IF(C464=2030,SUMPRODUCT((B464='Landbrugsareal - resultat'!$B$33:$B$46)*(INDEX('Landbrugsareal - resultat'!$F$33:$H$46,,MATCH(E464,'Landbrugsareal - resultat'!$F$5:$H$5,0)))),SUMPRODUCT((B464='Landbrugsareal - resultat'!$B$33:$B$46)*(INDEX('Landbrugsareal - resultat'!$I$33:$K$46,,MATCH(E464,'Landbrugsareal - resultat'!$I$5:$K$5,0)))))),IF(C464=2019,SUMPRODUCT((B464='Landbrugsareal - resultat'!$B$33:$B$46)*(INDEX('Landbrugsareal - resultat'!$L$33:$N$46,,MATCH(E464,'Landbrugsareal - resultat'!$L$5:$N$5,0)))),IF(C464=2030,SUMPRODUCT((B464='Landbrugsareal - resultat'!$B$33:$B$46)*(INDEX('Landbrugsareal - resultat'!$O$33:$Q$46,,MATCH(E464,'Landbrugsareal - resultat'!$O$5:$Q$5,0)))),SUMPRODUCT((B464='Landbrugsareal - resultat'!$B$33:$B$46)*(INDEX('Landbrugsareal - resultat'!$R$33:$T$46,,MATCH(E464,'Landbrugsareal - resultat'!$R$5:$T$5,0))))))))</f>
        <v>307.55369779497607</v>
      </c>
      <c r="H464" s="168">
        <f>G464*VLOOKUP(B464,[1]Afgrødedata!$A$5:$F$18,2,FALSE)*IF(D464="Økologisk",VLOOKUP(B464,[1]Afgrødedata!$A$5:$F$18,4,FALSE),1)*IF(E464&lt;&gt;Jordbund1,IF(E464=Organ6,VLOOKUP(B464,[1]Afgrødedata!$A$5:$F$18,5,FALSE),VLOOKUP(B464,[1]Afgrødedata!$A$5:$F$18,6,FALSE)),1)*0.1</f>
        <v>2022.2824334071299</v>
      </c>
      <c r="I464" s="168">
        <f>G464*VLOOKUP(B464,[1]Afgrødedata!$A$5:$F$18,3,FALSE)*IF(D464="Økologisk",VLOOKUP(B464,[1]Afgrødedata!$A$5:$F$18,4,FALSE),1)*IF(E464&lt;&gt;Jordbund1,IF(E464=Organ6,VLOOKUP(B464,[1]Afgrødedata!$A$5:$F$18,5,FALSE),VLOOKUP(B464,[1]Afgrødedata!$A$5:$F$18,6,FALSE)),1)*HLOOKUP(C464,Landbrug!$C$15:$E$17,2,FALSE)*HLOOKUP(C464,Landbrug!$C$15:$E$17,3,FALSE)*0.1</f>
        <v>660.06793055800381</v>
      </c>
      <c r="J464" s="76">
        <f t="shared" si="64"/>
        <v>660.06793055800381</v>
      </c>
    </row>
    <row r="465" spans="1:10" x14ac:dyDescent="0.25">
      <c r="A465" t="s">
        <v>24</v>
      </c>
      <c r="B465" s="1" t="str">
        <f>[1]Afgrødefordeling!$C$3</f>
        <v>Bælgsæd</v>
      </c>
      <c r="C465">
        <v>2019</v>
      </c>
      <c r="D465" t="s">
        <v>8</v>
      </c>
      <c r="E465" s="168" t="str">
        <f t="shared" si="66"/>
        <v>OC12</v>
      </c>
      <c r="F465" t="str">
        <f t="shared" si="62"/>
        <v>Halm</v>
      </c>
      <c r="G465" s="76" cm="1">
        <f t="array" ref="G465">IF(A465="Vestdanmark",IF(D465="Konventionel",IF(C465=2019,SUMPRODUCT((B465='Landbrugsareal - resultat'!$B$6:$B$19)*(INDEX('Landbrugsareal - resultat'!$C$6:$E$19,,MATCH(E465,'Landbrugsareal - resultat'!$C$5:$E$5,0)))),IF(C465=2030,SUMPRODUCT((B465='Landbrugsareal - resultat'!$B$6:$B$19)*(INDEX('Landbrugsareal - resultat'!$F$6:$H$19,,MATCH(E465,'Landbrugsareal - resultat'!$F$5:$H$5,0)))),SUMPRODUCT((B465='Landbrugsareal - resultat'!$B$6:$B$19)*(INDEX('Landbrugsareal - resultat'!$I$6:$K$19,,MATCH(E465,'Landbrugsareal - resultat'!$I$5:$K$5,0)))))),IF(C465=2019,SUMPRODUCT((B465='Landbrugsareal - resultat'!$B$6:$B$19)*(INDEX('Landbrugsareal - resultat'!$L$6:$N$19,,MATCH(E465,'Landbrugsareal - resultat'!$L$5:$N$5,0)))),IF(C465=2030,SUMPRODUCT((B465='Landbrugsareal - resultat'!$B$6:$B$19)*(INDEX('Landbrugsareal - resultat'!$O$6:$Q$19,,MATCH(E465,'Landbrugsareal - resultat'!$O$5:$Q$5,0)))),SUMPRODUCT((B465='Landbrugsareal - resultat'!$B$6:$B$19)*(INDEX('Landbrugsareal - resultat'!$R$6:$T$19,,MATCH(E465,'Landbrugsareal - resultat'!$R$5:$T$5,0))))))),IF(D465="Konventionel",IF(C465=2019,SUMPRODUCT((B465='Landbrugsareal - resultat'!$B$33:$B$46)*(INDEX('Landbrugsareal - resultat'!$C$33:$E$46,,MATCH(E465,'Landbrugsareal - resultat'!$C$5:$E$5,0)))),IF(C465=2030,SUMPRODUCT((B465='Landbrugsareal - resultat'!$B$33:$B$46)*(INDEX('Landbrugsareal - resultat'!$F$33:$H$46,,MATCH(E465,'Landbrugsareal - resultat'!$F$5:$H$5,0)))),SUMPRODUCT((B465='Landbrugsareal - resultat'!$B$33:$B$46)*(INDEX('Landbrugsareal - resultat'!$I$33:$K$46,,MATCH(E465,'Landbrugsareal - resultat'!$I$5:$K$5,0)))))),IF(C465=2019,SUMPRODUCT((B465='Landbrugsareal - resultat'!$B$33:$B$46)*(INDEX('Landbrugsareal - resultat'!$L$33:$N$46,,MATCH(E465,'Landbrugsareal - resultat'!$L$5:$N$5,0)))),IF(C465=2030,SUMPRODUCT((B465='Landbrugsareal - resultat'!$B$33:$B$46)*(INDEX('Landbrugsareal - resultat'!$O$33:$Q$46,,MATCH(E465,'Landbrugsareal - resultat'!$O$5:$Q$5,0)))),SUMPRODUCT((B465='Landbrugsareal - resultat'!$B$33:$B$46)*(INDEX('Landbrugsareal - resultat'!$R$33:$T$46,,MATCH(E465,'Landbrugsareal - resultat'!$R$5:$T$5,0))))))))</f>
        <v>5.5861893401333846</v>
      </c>
      <c r="H465" s="168">
        <f>G465*VLOOKUP(B465,[1]Afgrødedata!$A$5:$F$18,2,FALSE)*IF(D465="Økologisk",VLOOKUP(B465,[1]Afgrødedata!$A$5:$F$18,4,FALSE),1)*IF(E465&lt;&gt;Jordbund1,IF(E465=Organ6,VLOOKUP(B465,[1]Afgrødedata!$A$5:$F$18,5,FALSE),VLOOKUP(B465,[1]Afgrødedata!$A$5:$F$18,6,FALSE)),1)*0.1</f>
        <v>17.207027300626063</v>
      </c>
      <c r="I465" s="168">
        <f>G465*VLOOKUP(B465,[1]Afgrødedata!$A$5:$F$18,3,FALSE)*IF(D465="Økologisk",VLOOKUP(B465,[1]Afgrødedata!$A$5:$F$18,4,FALSE),1)*IF(E465&lt;&gt;Jordbund1,IF(E465=Organ6,VLOOKUP(B465,[1]Afgrødedata!$A$5:$F$18,5,FALSE),VLOOKUP(B465,[1]Afgrødedata!$A$5:$F$18,6,FALSE)),1)*HLOOKUP(C465,Landbrug!$C$15:$E$17,2,FALSE)*HLOOKUP(C465,Landbrug!$C$15:$E$17,3,FALSE)*0.1</f>
        <v>5.1084006447812618</v>
      </c>
      <c r="J465" s="76">
        <f t="shared" si="64"/>
        <v>5.1084006447812618</v>
      </c>
    </row>
    <row r="466" spans="1:10" x14ac:dyDescent="0.25">
      <c r="A466" t="s">
        <v>24</v>
      </c>
      <c r="B466" s="1" t="str">
        <f>[1]Afgrødefordeling!$C$4</f>
        <v>Raps</v>
      </c>
      <c r="C466">
        <v>2019</v>
      </c>
      <c r="D466" t="s">
        <v>8</v>
      </c>
      <c r="E466" s="168" t="str">
        <f t="shared" si="66"/>
        <v>OC12</v>
      </c>
      <c r="F466" t="str">
        <f t="shared" si="62"/>
        <v>Halm</v>
      </c>
      <c r="G466" s="76" cm="1">
        <f t="array" ref="G466">IF(A466="Vestdanmark",IF(D466="Konventionel",IF(C466=2019,SUMPRODUCT((B466='Landbrugsareal - resultat'!$B$6:$B$19)*(INDEX('Landbrugsareal - resultat'!$C$6:$E$19,,MATCH(E466,'Landbrugsareal - resultat'!$C$5:$E$5,0)))),IF(C466=2030,SUMPRODUCT((B466='Landbrugsareal - resultat'!$B$6:$B$19)*(INDEX('Landbrugsareal - resultat'!$F$6:$H$19,,MATCH(E466,'Landbrugsareal - resultat'!$F$5:$H$5,0)))),SUMPRODUCT((B466='Landbrugsareal - resultat'!$B$6:$B$19)*(INDEX('Landbrugsareal - resultat'!$I$6:$K$19,,MATCH(E466,'Landbrugsareal - resultat'!$I$5:$K$5,0)))))),IF(C466=2019,SUMPRODUCT((B466='Landbrugsareal - resultat'!$B$6:$B$19)*(INDEX('Landbrugsareal - resultat'!$L$6:$N$19,,MATCH(E466,'Landbrugsareal - resultat'!$L$5:$N$5,0)))),IF(C466=2030,SUMPRODUCT((B466='Landbrugsareal - resultat'!$B$6:$B$19)*(INDEX('Landbrugsareal - resultat'!$O$6:$Q$19,,MATCH(E466,'Landbrugsareal - resultat'!$O$5:$Q$5,0)))),SUMPRODUCT((B466='Landbrugsareal - resultat'!$B$6:$B$19)*(INDEX('Landbrugsareal - resultat'!$R$6:$T$19,,MATCH(E466,'Landbrugsareal - resultat'!$R$5:$T$5,0))))))),IF(D466="Konventionel",IF(C466=2019,SUMPRODUCT((B466='Landbrugsareal - resultat'!$B$33:$B$46)*(INDEX('Landbrugsareal - resultat'!$C$33:$E$46,,MATCH(E466,'Landbrugsareal - resultat'!$C$5:$E$5,0)))),IF(C466=2030,SUMPRODUCT((B466='Landbrugsareal - resultat'!$B$33:$B$46)*(INDEX('Landbrugsareal - resultat'!$F$33:$H$46,,MATCH(E466,'Landbrugsareal - resultat'!$F$5:$H$5,0)))),SUMPRODUCT((B466='Landbrugsareal - resultat'!$B$33:$B$46)*(INDEX('Landbrugsareal - resultat'!$I$33:$K$46,,MATCH(E466,'Landbrugsareal - resultat'!$I$5:$K$5,0)))))),IF(C466=2019,SUMPRODUCT((B466='Landbrugsareal - resultat'!$B$33:$B$46)*(INDEX('Landbrugsareal - resultat'!$L$33:$N$46,,MATCH(E466,'Landbrugsareal - resultat'!$L$5:$N$5,0)))),IF(C466=2030,SUMPRODUCT((B466='Landbrugsareal - resultat'!$B$33:$B$46)*(INDEX('Landbrugsareal - resultat'!$O$33:$Q$46,,MATCH(E466,'Landbrugsareal - resultat'!$O$5:$Q$5,0)))),SUMPRODUCT((B466='Landbrugsareal - resultat'!$B$33:$B$46)*(INDEX('Landbrugsareal - resultat'!$R$33:$T$46,,MATCH(E466,'Landbrugsareal - resultat'!$R$5:$T$5,0))))))))</f>
        <v>27.28722780684085</v>
      </c>
      <c r="H466" s="168">
        <f>G466*VLOOKUP(B466,[1]Afgrødedata!$A$5:$F$18,2,FALSE)*IF(D466="Økologisk",VLOOKUP(B466,[1]Afgrødedata!$A$5:$F$18,4,FALSE),1)*IF(E466&lt;&gt;Jordbund1,IF(E466=Organ6,VLOOKUP(B466,[1]Afgrødedata!$A$5:$F$18,5,FALSE),VLOOKUP(B466,[1]Afgrødedata!$A$5:$F$18,6,FALSE)),1)*0.1</f>
        <v>92.449127809576808</v>
      </c>
      <c r="I466" s="168">
        <f>G466*VLOOKUP(B466,[1]Afgrødedata!$A$5:$F$18,3,FALSE)*IF(D466="Økologisk",VLOOKUP(B466,[1]Afgrødedata!$A$5:$F$18,4,FALSE),1)*IF(E466&lt;&gt;Jordbund1,IF(E466=Organ6,VLOOKUP(B466,[1]Afgrødedata!$A$5:$F$18,5,FALSE),VLOOKUP(B466,[1]Afgrødedata!$A$5:$F$18,6,FALSE)),1)*HLOOKUP(C466,Landbrug!$C$15:$E$17,2,FALSE)*HLOOKUP(C466,Landbrug!$C$15:$E$17,3,FALSE)*0.1</f>
        <v>49.377541408734025</v>
      </c>
      <c r="J466" s="76">
        <f t="shared" si="64"/>
        <v>49.377541408734025</v>
      </c>
    </row>
    <row r="467" spans="1:10" x14ac:dyDescent="0.25">
      <c r="A467" t="s">
        <v>24</v>
      </c>
      <c r="B467" s="1" t="str">
        <f>[1]Afgrødefordeling!$C$5</f>
        <v>Græs</v>
      </c>
      <c r="C467">
        <v>2019</v>
      </c>
      <c r="D467" t="s">
        <v>8</v>
      </c>
      <c r="E467" s="168" t="str">
        <f t="shared" si="66"/>
        <v>OC12</v>
      </c>
      <c r="F467" t="str">
        <f t="shared" si="62"/>
        <v>Græs</v>
      </c>
      <c r="G467" s="76" cm="1">
        <f t="array" ref="G467">IF(A467="Vestdanmark",IF(D467="Konventionel",IF(C467=2019,SUMPRODUCT((B467='Landbrugsareal - resultat'!$B$6:$B$19)*(INDEX('Landbrugsareal - resultat'!$C$6:$E$19,,MATCH(E467,'Landbrugsareal - resultat'!$C$5:$E$5,0)))),IF(C467=2030,SUMPRODUCT((B467='Landbrugsareal - resultat'!$B$6:$B$19)*(INDEX('Landbrugsareal - resultat'!$F$6:$H$19,,MATCH(E467,'Landbrugsareal - resultat'!$F$5:$H$5,0)))),SUMPRODUCT((B467='Landbrugsareal - resultat'!$B$6:$B$19)*(INDEX('Landbrugsareal - resultat'!$I$6:$K$19,,MATCH(E467,'Landbrugsareal - resultat'!$I$5:$K$5,0)))))),IF(C467=2019,SUMPRODUCT((B467='Landbrugsareal - resultat'!$B$6:$B$19)*(INDEX('Landbrugsareal - resultat'!$L$6:$N$19,,MATCH(E467,'Landbrugsareal - resultat'!$L$5:$N$5,0)))),IF(C467=2030,SUMPRODUCT((B467='Landbrugsareal - resultat'!$B$6:$B$19)*(INDEX('Landbrugsareal - resultat'!$O$6:$Q$19,,MATCH(E467,'Landbrugsareal - resultat'!$O$5:$Q$5,0)))),SUMPRODUCT((B467='Landbrugsareal - resultat'!$B$6:$B$19)*(INDEX('Landbrugsareal - resultat'!$R$6:$T$19,,MATCH(E467,'Landbrugsareal - resultat'!$R$5:$T$5,0))))))),IF(D467="Konventionel",IF(C467=2019,SUMPRODUCT((B467='Landbrugsareal - resultat'!$B$33:$B$46)*(INDEX('Landbrugsareal - resultat'!$C$33:$E$46,,MATCH(E467,'Landbrugsareal - resultat'!$C$5:$E$5,0)))),IF(C467=2030,SUMPRODUCT((B467='Landbrugsareal - resultat'!$B$33:$B$46)*(INDEX('Landbrugsareal - resultat'!$F$33:$H$46,,MATCH(E467,'Landbrugsareal - resultat'!$F$5:$H$5,0)))),SUMPRODUCT((B467='Landbrugsareal - resultat'!$B$33:$B$46)*(INDEX('Landbrugsareal - resultat'!$I$33:$K$46,,MATCH(E467,'Landbrugsareal - resultat'!$I$5:$K$5,0)))))),IF(C467=2019,SUMPRODUCT((B467='Landbrugsareal - resultat'!$B$33:$B$46)*(INDEX('Landbrugsareal - resultat'!$L$33:$N$46,,MATCH(E467,'Landbrugsareal - resultat'!$L$5:$N$5,0)))),IF(C467=2030,SUMPRODUCT((B467='Landbrugsareal - resultat'!$B$33:$B$46)*(INDEX('Landbrugsareal - resultat'!$O$33:$Q$46,,MATCH(E467,'Landbrugsareal - resultat'!$O$5:$Q$5,0)))),SUMPRODUCT((B467='Landbrugsareal - resultat'!$B$33:$B$46)*(INDEX('Landbrugsareal - resultat'!$R$33:$T$46,,MATCH(E467,'Landbrugsareal - resultat'!$R$5:$T$5,0))))))))</f>
        <v>200.5225367549603</v>
      </c>
      <c r="H467" s="168">
        <f>G467*VLOOKUP(B467,[1]Afgrødedata!$A$5:$F$18,2,FALSE)*IF(D467="Økologisk",VLOOKUP(B467,[1]Afgrødedata!$A$5:$F$18,4,FALSE),1)*IF(E467&lt;&gt;Jordbund1,IF(E467=Organ6,VLOOKUP(B467,[1]Afgrødedata!$A$5:$F$18,5,FALSE),VLOOKUP(B467,[1]Afgrødedata!$A$5:$F$18,6,FALSE)),1)*0.1</f>
        <v>10865.321674968995</v>
      </c>
      <c r="I467" s="168">
        <f>G467*VLOOKUP(B467,[1]Afgrødedata!$A$5:$F$18,3,FALSE)*IF(D467="Økologisk",VLOOKUP(B467,[1]Afgrødedata!$A$5:$F$18,4,FALSE),1)*IF(E467&lt;&gt;Jordbund1,IF(E467=Organ6,VLOOKUP(B467,[1]Afgrødedata!$A$5:$F$18,5,FALSE),VLOOKUP(B467,[1]Afgrødedata!$A$5:$F$18,6,FALSE)),1)*HLOOKUP(C467,Landbrug!$C$15:$E$17,2,FALSE)*HLOOKUP(C467,Landbrug!$C$15:$E$17,3,FALSE)*0.1</f>
        <v>0</v>
      </c>
      <c r="J467" s="76">
        <f t="shared" si="64"/>
        <v>10865.321674968995</v>
      </c>
    </row>
    <row r="468" spans="1:10" x14ac:dyDescent="0.25">
      <c r="A468" t="s">
        <v>24</v>
      </c>
      <c r="B468" s="1" t="str">
        <f>[1]Afgrødefordeling!$C$6</f>
        <v>Grøntsager</v>
      </c>
      <c r="C468">
        <v>2019</v>
      </c>
      <c r="D468" t="s">
        <v>8</v>
      </c>
      <c r="E468" s="168" t="str">
        <f t="shared" si="66"/>
        <v>OC12</v>
      </c>
      <c r="F468" t="str">
        <f t="shared" ref="F468:F505" si="67">IF(I468&lt;&gt;0,"Halm",IF(B468&lt;&gt;"Permanent græs",B468,"Græs"))</f>
        <v>Grøntsager</v>
      </c>
      <c r="G468" s="76" cm="1">
        <f t="array" ref="G468">IF(A468="Vestdanmark",IF(D468="Konventionel",IF(C468=2019,SUMPRODUCT((B468='Landbrugsareal - resultat'!$B$6:$B$19)*(INDEX('Landbrugsareal - resultat'!$C$6:$E$19,,MATCH(E468,'Landbrugsareal - resultat'!$C$5:$E$5,0)))),IF(C468=2030,SUMPRODUCT((B468='Landbrugsareal - resultat'!$B$6:$B$19)*(INDEX('Landbrugsareal - resultat'!$F$6:$H$19,,MATCH(E468,'Landbrugsareal - resultat'!$F$5:$H$5,0)))),SUMPRODUCT((B468='Landbrugsareal - resultat'!$B$6:$B$19)*(INDEX('Landbrugsareal - resultat'!$I$6:$K$19,,MATCH(E468,'Landbrugsareal - resultat'!$I$5:$K$5,0)))))),IF(C468=2019,SUMPRODUCT((B468='Landbrugsareal - resultat'!$B$6:$B$19)*(INDEX('Landbrugsareal - resultat'!$L$6:$N$19,,MATCH(E468,'Landbrugsareal - resultat'!$L$5:$N$5,0)))),IF(C468=2030,SUMPRODUCT((B468='Landbrugsareal - resultat'!$B$6:$B$19)*(INDEX('Landbrugsareal - resultat'!$O$6:$Q$19,,MATCH(E468,'Landbrugsareal - resultat'!$O$5:$Q$5,0)))),SUMPRODUCT((B468='Landbrugsareal - resultat'!$B$6:$B$19)*(INDEX('Landbrugsareal - resultat'!$R$6:$T$19,,MATCH(E468,'Landbrugsareal - resultat'!$R$5:$T$5,0))))))),IF(D468="Konventionel",IF(C468=2019,SUMPRODUCT((B468='Landbrugsareal - resultat'!$B$33:$B$46)*(INDEX('Landbrugsareal - resultat'!$C$33:$E$46,,MATCH(E468,'Landbrugsareal - resultat'!$C$5:$E$5,0)))),IF(C468=2030,SUMPRODUCT((B468='Landbrugsareal - resultat'!$B$33:$B$46)*(INDEX('Landbrugsareal - resultat'!$F$33:$H$46,,MATCH(E468,'Landbrugsareal - resultat'!$F$5:$H$5,0)))),SUMPRODUCT((B468='Landbrugsareal - resultat'!$B$33:$B$46)*(INDEX('Landbrugsareal - resultat'!$I$33:$K$46,,MATCH(E468,'Landbrugsareal - resultat'!$I$5:$K$5,0)))))),IF(C468=2019,SUMPRODUCT((B468='Landbrugsareal - resultat'!$B$33:$B$46)*(INDEX('Landbrugsareal - resultat'!$L$33:$N$46,,MATCH(E468,'Landbrugsareal - resultat'!$L$5:$N$5,0)))),IF(C468=2030,SUMPRODUCT((B468='Landbrugsareal - resultat'!$B$33:$B$46)*(INDEX('Landbrugsareal - resultat'!$O$33:$Q$46,,MATCH(E468,'Landbrugsareal - resultat'!$O$5:$Q$5,0)))),SUMPRODUCT((B468='Landbrugsareal - resultat'!$B$33:$B$46)*(INDEX('Landbrugsareal - resultat'!$R$33:$T$46,,MATCH(E468,'Landbrugsareal - resultat'!$R$5:$T$5,0))))))))</f>
        <v>0.94377915324045725</v>
      </c>
      <c r="H468" s="168">
        <f>G468*VLOOKUP(B468,[1]Afgrødedata!$A$5:$F$18,2,FALSE)*IF(D468="Økologisk",VLOOKUP(B468,[1]Afgrødedata!$A$5:$F$18,4,FALSE),1)*IF(E468&lt;&gt;Jordbund1,IF(E468=Organ6,VLOOKUP(B468,[1]Afgrødedata!$A$5:$F$18,5,FALSE),VLOOKUP(B468,[1]Afgrødedata!$A$5:$F$18,6,FALSE)),1)*0.1</f>
        <v>15.627567108932107</v>
      </c>
      <c r="I468" s="168">
        <f>G468*VLOOKUP(B468,[1]Afgrødedata!$A$5:$F$18,3,FALSE)*IF(D468="Økologisk",VLOOKUP(B468,[1]Afgrødedata!$A$5:$F$18,4,FALSE),1)*IF(E468&lt;&gt;Jordbund1,IF(E468=Organ6,VLOOKUP(B468,[1]Afgrødedata!$A$5:$F$18,5,FALSE),VLOOKUP(B468,[1]Afgrødedata!$A$5:$F$18,6,FALSE)),1)*HLOOKUP(C468,Landbrug!$C$15:$E$17,2,FALSE)*HLOOKUP(C468,Landbrug!$C$15:$E$17,3,FALSE)*0.1</f>
        <v>0</v>
      </c>
      <c r="J468" s="76">
        <f t="shared" si="64"/>
        <v>15.627567108932107</v>
      </c>
    </row>
    <row r="469" spans="1:10" x14ac:dyDescent="0.25">
      <c r="A469" t="s">
        <v>24</v>
      </c>
      <c r="B469" s="1" t="str">
        <f>[1]Afgrødefordeling!$C$7</f>
        <v>Kartofler</v>
      </c>
      <c r="C469">
        <v>2019</v>
      </c>
      <c r="D469" t="s">
        <v>8</v>
      </c>
      <c r="E469" s="168" t="str">
        <f t="shared" si="66"/>
        <v>OC12</v>
      </c>
      <c r="F469" t="str">
        <f t="shared" si="67"/>
        <v>Kartofler</v>
      </c>
      <c r="G469" s="76" cm="1">
        <f t="array" ref="G469">IF(A469="Vestdanmark",IF(D469="Konventionel",IF(C469=2019,SUMPRODUCT((B469='Landbrugsareal - resultat'!$B$6:$B$19)*(INDEX('Landbrugsareal - resultat'!$C$6:$E$19,,MATCH(E469,'Landbrugsareal - resultat'!$C$5:$E$5,0)))),IF(C469=2030,SUMPRODUCT((B469='Landbrugsareal - resultat'!$B$6:$B$19)*(INDEX('Landbrugsareal - resultat'!$F$6:$H$19,,MATCH(E469,'Landbrugsareal - resultat'!$F$5:$H$5,0)))),SUMPRODUCT((B469='Landbrugsareal - resultat'!$B$6:$B$19)*(INDEX('Landbrugsareal - resultat'!$I$6:$K$19,,MATCH(E469,'Landbrugsareal - resultat'!$I$5:$K$5,0)))))),IF(C469=2019,SUMPRODUCT((B469='Landbrugsareal - resultat'!$B$6:$B$19)*(INDEX('Landbrugsareal - resultat'!$L$6:$N$19,,MATCH(E469,'Landbrugsareal - resultat'!$L$5:$N$5,0)))),IF(C469=2030,SUMPRODUCT((B469='Landbrugsareal - resultat'!$B$6:$B$19)*(INDEX('Landbrugsareal - resultat'!$O$6:$Q$19,,MATCH(E469,'Landbrugsareal - resultat'!$O$5:$Q$5,0)))),SUMPRODUCT((B469='Landbrugsareal - resultat'!$B$6:$B$19)*(INDEX('Landbrugsareal - resultat'!$R$6:$T$19,,MATCH(E469,'Landbrugsareal - resultat'!$R$5:$T$5,0))))))),IF(D469="Konventionel",IF(C469=2019,SUMPRODUCT((B469='Landbrugsareal - resultat'!$B$33:$B$46)*(INDEX('Landbrugsareal - resultat'!$C$33:$E$46,,MATCH(E469,'Landbrugsareal - resultat'!$C$5:$E$5,0)))),IF(C469=2030,SUMPRODUCT((B469='Landbrugsareal - resultat'!$B$33:$B$46)*(INDEX('Landbrugsareal - resultat'!$F$33:$H$46,,MATCH(E469,'Landbrugsareal - resultat'!$F$5:$H$5,0)))),SUMPRODUCT((B469='Landbrugsareal - resultat'!$B$33:$B$46)*(INDEX('Landbrugsareal - resultat'!$I$33:$K$46,,MATCH(E469,'Landbrugsareal - resultat'!$I$5:$K$5,0)))))),IF(C469=2019,SUMPRODUCT((B469='Landbrugsareal - resultat'!$B$33:$B$46)*(INDEX('Landbrugsareal - resultat'!$L$33:$N$46,,MATCH(E469,'Landbrugsareal - resultat'!$L$5:$N$5,0)))),IF(C469=2030,SUMPRODUCT((B469='Landbrugsareal - resultat'!$B$33:$B$46)*(INDEX('Landbrugsareal - resultat'!$O$33:$Q$46,,MATCH(E469,'Landbrugsareal - resultat'!$O$5:$Q$5,0)))),SUMPRODUCT((B469='Landbrugsareal - resultat'!$B$33:$B$46)*(INDEX('Landbrugsareal - resultat'!$R$33:$T$46,,MATCH(E469,'Landbrugsareal - resultat'!$R$5:$T$5,0))))))))</f>
        <v>5.3794285879459229</v>
      </c>
      <c r="H469" s="168">
        <f>G469*VLOOKUP(B469,[1]Afgrødedata!$A$5:$F$18,2,FALSE)*IF(D469="Økologisk",VLOOKUP(B469,[1]Afgrødedata!$A$5:$F$18,4,FALSE),1)*IF(E469&lt;&gt;Jordbund1,IF(E469=Organ6,VLOOKUP(B469,[1]Afgrødedata!$A$5:$F$18,5,FALSE),VLOOKUP(B469,[1]Afgrødedata!$A$5:$F$18,6,FALSE)),1)*0.1</f>
        <v>182.31839827408805</v>
      </c>
      <c r="I469" s="168">
        <f>G469*VLOOKUP(B469,[1]Afgrødedata!$A$5:$F$18,3,FALSE)*IF(D469="Økologisk",VLOOKUP(B469,[1]Afgrødedata!$A$5:$F$18,4,FALSE),1)*IF(E469&lt;&gt;Jordbund1,IF(E469=Organ6,VLOOKUP(B469,[1]Afgrødedata!$A$5:$F$18,5,FALSE),VLOOKUP(B469,[1]Afgrødedata!$A$5:$F$18,6,FALSE)),1)*HLOOKUP(C469,Landbrug!$C$15:$E$17,2,FALSE)*HLOOKUP(C469,Landbrug!$C$15:$E$17,3,FALSE)*0.1</f>
        <v>0</v>
      </c>
      <c r="J469" s="76">
        <f t="shared" ref="J469:J487" si="68">IF(I469&lt;&gt;0,I469,H469)</f>
        <v>182.31839827408805</v>
      </c>
    </row>
    <row r="470" spans="1:10" x14ac:dyDescent="0.25">
      <c r="A470" t="s">
        <v>24</v>
      </c>
      <c r="B470" s="1" t="str">
        <f>[1]Afgrødefordeling!$C$8</f>
        <v>Roer</v>
      </c>
      <c r="C470">
        <v>2019</v>
      </c>
      <c r="D470" t="s">
        <v>8</v>
      </c>
      <c r="E470" s="168" t="str">
        <f t="shared" si="66"/>
        <v>OC12</v>
      </c>
      <c r="F470" t="str">
        <f t="shared" si="67"/>
        <v>Roer</v>
      </c>
      <c r="G470" s="76" cm="1">
        <f t="array" ref="G470">IF(A470="Vestdanmark",IF(D470="Konventionel",IF(C470=2019,SUMPRODUCT((B470='Landbrugsareal - resultat'!$B$6:$B$19)*(INDEX('Landbrugsareal - resultat'!$C$6:$E$19,,MATCH(E470,'Landbrugsareal - resultat'!$C$5:$E$5,0)))),IF(C470=2030,SUMPRODUCT((B470='Landbrugsareal - resultat'!$B$6:$B$19)*(INDEX('Landbrugsareal - resultat'!$F$6:$H$19,,MATCH(E470,'Landbrugsareal - resultat'!$F$5:$H$5,0)))),SUMPRODUCT((B470='Landbrugsareal - resultat'!$B$6:$B$19)*(INDEX('Landbrugsareal - resultat'!$I$6:$K$19,,MATCH(E470,'Landbrugsareal - resultat'!$I$5:$K$5,0)))))),IF(C470=2019,SUMPRODUCT((B470='Landbrugsareal - resultat'!$B$6:$B$19)*(INDEX('Landbrugsareal - resultat'!$L$6:$N$19,,MATCH(E470,'Landbrugsareal - resultat'!$L$5:$N$5,0)))),IF(C470=2030,SUMPRODUCT((B470='Landbrugsareal - resultat'!$B$6:$B$19)*(INDEX('Landbrugsareal - resultat'!$O$6:$Q$19,,MATCH(E470,'Landbrugsareal - resultat'!$O$5:$Q$5,0)))),SUMPRODUCT((B470='Landbrugsareal - resultat'!$B$6:$B$19)*(INDEX('Landbrugsareal - resultat'!$R$6:$T$19,,MATCH(E470,'Landbrugsareal - resultat'!$R$5:$T$5,0))))))),IF(D470="Konventionel",IF(C470=2019,SUMPRODUCT((B470='Landbrugsareal - resultat'!$B$33:$B$46)*(INDEX('Landbrugsareal - resultat'!$C$33:$E$46,,MATCH(E470,'Landbrugsareal - resultat'!$C$5:$E$5,0)))),IF(C470=2030,SUMPRODUCT((B470='Landbrugsareal - resultat'!$B$33:$B$46)*(INDEX('Landbrugsareal - resultat'!$F$33:$H$46,,MATCH(E470,'Landbrugsareal - resultat'!$F$5:$H$5,0)))),SUMPRODUCT((B470='Landbrugsareal - resultat'!$B$33:$B$46)*(INDEX('Landbrugsareal - resultat'!$I$33:$K$46,,MATCH(E470,'Landbrugsareal - resultat'!$I$5:$K$5,0)))))),IF(C470=2019,SUMPRODUCT((B470='Landbrugsareal - resultat'!$B$33:$B$46)*(INDEX('Landbrugsareal - resultat'!$L$33:$N$46,,MATCH(E470,'Landbrugsareal - resultat'!$L$5:$N$5,0)))),IF(C470=2030,SUMPRODUCT((B470='Landbrugsareal - resultat'!$B$33:$B$46)*(INDEX('Landbrugsareal - resultat'!$O$33:$Q$46,,MATCH(E470,'Landbrugsareal - resultat'!$O$5:$Q$5,0)))),SUMPRODUCT((B470='Landbrugsareal - resultat'!$B$33:$B$46)*(INDEX('Landbrugsareal - resultat'!$R$33:$T$46,,MATCH(E470,'Landbrugsareal - resultat'!$R$5:$T$5,0))))))))</f>
        <v>6.1948724870392953</v>
      </c>
      <c r="H470" s="168">
        <f>G470*VLOOKUP(B470,[1]Afgrødedata!$A$5:$F$18,2,FALSE)*IF(D470="Økologisk",VLOOKUP(B470,[1]Afgrødedata!$A$5:$F$18,4,FALSE),1)*IF(E470&lt;&gt;Jordbund1,IF(E470=Organ6,VLOOKUP(B470,[1]Afgrødedata!$A$5:$F$18,5,FALSE),VLOOKUP(B470,[1]Afgrødedata!$A$5:$F$18,6,FALSE)),1)*0.1</f>
        <v>401.67849080469625</v>
      </c>
      <c r="I470" s="168">
        <f>G470*VLOOKUP(B470,[1]Afgrødedata!$A$5:$F$18,3,FALSE)*IF(D470="Økologisk",VLOOKUP(B470,[1]Afgrødedata!$A$5:$F$18,4,FALSE),1)*IF(E470&lt;&gt;Jordbund1,IF(E470=Organ6,VLOOKUP(B470,[1]Afgrødedata!$A$5:$F$18,5,FALSE),VLOOKUP(B470,[1]Afgrødedata!$A$5:$F$18,6,FALSE)),1)*HLOOKUP(C470,Landbrug!$C$15:$E$17,2,FALSE)*HLOOKUP(C470,Landbrug!$C$15:$E$17,3,FALSE)*0.1</f>
        <v>0</v>
      </c>
      <c r="J470" s="76">
        <f t="shared" si="68"/>
        <v>401.67849080469625</v>
      </c>
    </row>
    <row r="471" spans="1:10" x14ac:dyDescent="0.25">
      <c r="A471" t="s">
        <v>24</v>
      </c>
      <c r="B471" s="1" t="str">
        <f>[1]Afgrødefordeling!$C$9</f>
        <v>Majs</v>
      </c>
      <c r="C471">
        <v>2019</v>
      </c>
      <c r="D471" t="s">
        <v>8</v>
      </c>
      <c r="E471" s="168" t="str">
        <f t="shared" si="66"/>
        <v>OC12</v>
      </c>
      <c r="F471" t="str">
        <f t="shared" si="67"/>
        <v>Majs</v>
      </c>
      <c r="G471" s="76" cm="1">
        <f t="array" ref="G471">IF(A471="Vestdanmark",IF(D471="Konventionel",IF(C471=2019,SUMPRODUCT((B471='Landbrugsareal - resultat'!$B$6:$B$19)*(INDEX('Landbrugsareal - resultat'!$C$6:$E$19,,MATCH(E471,'Landbrugsareal - resultat'!$C$5:$E$5,0)))),IF(C471=2030,SUMPRODUCT((B471='Landbrugsareal - resultat'!$B$6:$B$19)*(INDEX('Landbrugsareal - resultat'!$F$6:$H$19,,MATCH(E471,'Landbrugsareal - resultat'!$F$5:$H$5,0)))),SUMPRODUCT((B471='Landbrugsareal - resultat'!$B$6:$B$19)*(INDEX('Landbrugsareal - resultat'!$I$6:$K$19,,MATCH(E471,'Landbrugsareal - resultat'!$I$5:$K$5,0)))))),IF(C471=2019,SUMPRODUCT((B471='Landbrugsareal - resultat'!$B$6:$B$19)*(INDEX('Landbrugsareal - resultat'!$L$6:$N$19,,MATCH(E471,'Landbrugsareal - resultat'!$L$5:$N$5,0)))),IF(C471=2030,SUMPRODUCT((B471='Landbrugsareal - resultat'!$B$6:$B$19)*(INDEX('Landbrugsareal - resultat'!$O$6:$Q$19,,MATCH(E471,'Landbrugsareal - resultat'!$O$5:$Q$5,0)))),SUMPRODUCT((B471='Landbrugsareal - resultat'!$B$6:$B$19)*(INDEX('Landbrugsareal - resultat'!$R$6:$T$19,,MATCH(E471,'Landbrugsareal - resultat'!$R$5:$T$5,0))))))),IF(D471="Konventionel",IF(C471=2019,SUMPRODUCT((B471='Landbrugsareal - resultat'!$B$33:$B$46)*(INDEX('Landbrugsareal - resultat'!$C$33:$E$46,,MATCH(E471,'Landbrugsareal - resultat'!$C$5:$E$5,0)))),IF(C471=2030,SUMPRODUCT((B471='Landbrugsareal - resultat'!$B$33:$B$46)*(INDEX('Landbrugsareal - resultat'!$F$33:$H$46,,MATCH(E471,'Landbrugsareal - resultat'!$F$5:$H$5,0)))),SUMPRODUCT((B471='Landbrugsareal - resultat'!$B$33:$B$46)*(INDEX('Landbrugsareal - resultat'!$I$33:$K$46,,MATCH(E471,'Landbrugsareal - resultat'!$I$5:$K$5,0)))))),IF(C471=2019,SUMPRODUCT((B471='Landbrugsareal - resultat'!$B$33:$B$46)*(INDEX('Landbrugsareal - resultat'!$L$33:$N$46,,MATCH(E471,'Landbrugsareal - resultat'!$L$5:$N$5,0)))),IF(C471=2030,SUMPRODUCT((B471='Landbrugsareal - resultat'!$B$33:$B$46)*(INDEX('Landbrugsareal - resultat'!$O$33:$Q$46,,MATCH(E471,'Landbrugsareal - resultat'!$O$5:$Q$5,0)))),SUMPRODUCT((B471='Landbrugsareal - resultat'!$B$33:$B$46)*(INDEX('Landbrugsareal - resultat'!$R$33:$T$46,,MATCH(E471,'Landbrugsareal - resultat'!$R$5:$T$5,0))))))))</f>
        <v>6.3629239602509546</v>
      </c>
      <c r="H471" s="168">
        <f>G471*VLOOKUP(B471,[1]Afgrødedata!$A$5:$F$18,2,FALSE)*IF(D471="Økologisk",VLOOKUP(B471,[1]Afgrødedata!$A$5:$F$18,4,FALSE),1)*IF(E471&lt;&gt;Jordbund1,IF(E471=Organ6,VLOOKUP(B471,[1]Afgrødedata!$A$5:$F$18,5,FALSE),VLOOKUP(B471,[1]Afgrødedata!$A$5:$F$18,6,FALSE)),1)*0.1</f>
        <v>329.0943722370348</v>
      </c>
      <c r="I471" s="168">
        <f>G471*VLOOKUP(B471,[1]Afgrødedata!$A$5:$F$18,3,FALSE)*IF(D471="Økologisk",VLOOKUP(B471,[1]Afgrødedata!$A$5:$F$18,4,FALSE),1)*IF(E471&lt;&gt;Jordbund1,IF(E471=Organ6,VLOOKUP(B471,[1]Afgrødedata!$A$5:$F$18,5,FALSE),VLOOKUP(B471,[1]Afgrødedata!$A$5:$F$18,6,FALSE)),1)*HLOOKUP(C471,Landbrug!$C$15:$E$17,2,FALSE)*HLOOKUP(C471,Landbrug!$C$15:$E$17,3,FALSE)*0.1</f>
        <v>0</v>
      </c>
      <c r="J471" s="76">
        <f t="shared" si="68"/>
        <v>329.0943722370348</v>
      </c>
    </row>
    <row r="472" spans="1:10" x14ac:dyDescent="0.25">
      <c r="A472" t="s">
        <v>24</v>
      </c>
      <c r="B472" s="1" t="str">
        <f>[1]Afgrødefordeling!$C$10</f>
        <v>Frugt</v>
      </c>
      <c r="C472">
        <v>2019</v>
      </c>
      <c r="D472" t="s">
        <v>8</v>
      </c>
      <c r="E472" s="168" t="str">
        <f t="shared" si="66"/>
        <v>OC12</v>
      </c>
      <c r="F472" t="str">
        <f t="shared" si="67"/>
        <v>Frugt</v>
      </c>
      <c r="G472" s="76" cm="1">
        <f t="array" ref="G472">IF(A472="Vestdanmark",IF(D472="Konventionel",IF(C472=2019,SUMPRODUCT((B472='Landbrugsareal - resultat'!$B$6:$B$19)*(INDEX('Landbrugsareal - resultat'!$C$6:$E$19,,MATCH(E472,'Landbrugsareal - resultat'!$C$5:$E$5,0)))),IF(C472=2030,SUMPRODUCT((B472='Landbrugsareal - resultat'!$B$6:$B$19)*(INDEX('Landbrugsareal - resultat'!$F$6:$H$19,,MATCH(E472,'Landbrugsareal - resultat'!$F$5:$H$5,0)))),SUMPRODUCT((B472='Landbrugsareal - resultat'!$B$6:$B$19)*(INDEX('Landbrugsareal - resultat'!$I$6:$K$19,,MATCH(E472,'Landbrugsareal - resultat'!$I$5:$K$5,0)))))),IF(C472=2019,SUMPRODUCT((B472='Landbrugsareal - resultat'!$B$6:$B$19)*(INDEX('Landbrugsareal - resultat'!$L$6:$N$19,,MATCH(E472,'Landbrugsareal - resultat'!$L$5:$N$5,0)))),IF(C472=2030,SUMPRODUCT((B472='Landbrugsareal - resultat'!$B$6:$B$19)*(INDEX('Landbrugsareal - resultat'!$O$6:$Q$19,,MATCH(E472,'Landbrugsareal - resultat'!$O$5:$Q$5,0)))),SUMPRODUCT((B472='Landbrugsareal - resultat'!$B$6:$B$19)*(INDEX('Landbrugsareal - resultat'!$R$6:$T$19,,MATCH(E472,'Landbrugsareal - resultat'!$R$5:$T$5,0))))))),IF(D472="Konventionel",IF(C472=2019,SUMPRODUCT((B472='Landbrugsareal - resultat'!$B$33:$B$46)*(INDEX('Landbrugsareal - resultat'!$C$33:$E$46,,MATCH(E472,'Landbrugsareal - resultat'!$C$5:$E$5,0)))),IF(C472=2030,SUMPRODUCT((B472='Landbrugsareal - resultat'!$B$33:$B$46)*(INDEX('Landbrugsareal - resultat'!$F$33:$H$46,,MATCH(E472,'Landbrugsareal - resultat'!$F$5:$H$5,0)))),SUMPRODUCT((B472='Landbrugsareal - resultat'!$B$33:$B$46)*(INDEX('Landbrugsareal - resultat'!$I$33:$K$46,,MATCH(E472,'Landbrugsareal - resultat'!$I$5:$K$5,0)))))),IF(C472=2019,SUMPRODUCT((B472='Landbrugsareal - resultat'!$B$33:$B$46)*(INDEX('Landbrugsareal - resultat'!$L$33:$N$46,,MATCH(E472,'Landbrugsareal - resultat'!$L$5:$N$5,0)))),IF(C472=2030,SUMPRODUCT((B472='Landbrugsareal - resultat'!$B$33:$B$46)*(INDEX('Landbrugsareal - resultat'!$O$33:$Q$46,,MATCH(E472,'Landbrugsareal - resultat'!$O$5:$Q$5,0)))),SUMPRODUCT((B472='Landbrugsareal - resultat'!$B$33:$B$46)*(INDEX('Landbrugsareal - resultat'!$R$33:$T$46,,MATCH(E472,'Landbrugsareal - resultat'!$R$5:$T$5,0))))))))</f>
        <v>2.308949037439112</v>
      </c>
      <c r="H472" s="168">
        <f>G472*VLOOKUP(B472,[1]Afgrødedata!$A$5:$F$18,2,FALSE)*IF(D472="Økologisk",VLOOKUP(B472,[1]Afgrødedata!$A$5:$F$18,4,FALSE),1)*IF(E472&lt;&gt;Jordbund1,IF(E472=Organ6,VLOOKUP(B472,[1]Afgrødedata!$A$5:$F$18,5,FALSE),VLOOKUP(B472,[1]Afgrødedata!$A$5:$F$18,6,FALSE)),1)*0.1</f>
        <v>15.643175907630733</v>
      </c>
      <c r="I472" s="168">
        <f>G472*VLOOKUP(B472,[1]Afgrødedata!$A$5:$F$18,3,FALSE)*IF(D472="Økologisk",VLOOKUP(B472,[1]Afgrødedata!$A$5:$F$18,4,FALSE),1)*IF(E472&lt;&gt;Jordbund1,IF(E472=Organ6,VLOOKUP(B472,[1]Afgrødedata!$A$5:$F$18,5,FALSE),VLOOKUP(B472,[1]Afgrødedata!$A$5:$F$18,6,FALSE)),1)*HLOOKUP(C472,Landbrug!$C$15:$E$17,2,FALSE)*HLOOKUP(C472,Landbrug!$C$15:$E$17,3,FALSE)*0.1</f>
        <v>0</v>
      </c>
      <c r="J472" s="76">
        <f t="shared" si="68"/>
        <v>15.643175907630733</v>
      </c>
    </row>
    <row r="473" spans="1:10" x14ac:dyDescent="0.25">
      <c r="A473" t="s">
        <v>24</v>
      </c>
      <c r="B473" s="1" t="str">
        <f>[1]Afgrødefordeling!$C$11</f>
        <v>Øvrige</v>
      </c>
      <c r="C473">
        <v>2019</v>
      </c>
      <c r="D473" t="s">
        <v>8</v>
      </c>
      <c r="E473" s="168" t="str">
        <f t="shared" si="66"/>
        <v>OC12</v>
      </c>
      <c r="F473" t="str">
        <f t="shared" si="67"/>
        <v>Øvrige</v>
      </c>
      <c r="G473" s="76" cm="1">
        <f t="array" ref="G473">IF(A473="Vestdanmark",IF(D473="Konventionel",IF(C473=2019,SUMPRODUCT((B473='Landbrugsareal - resultat'!$B$6:$B$19)*(INDEX('Landbrugsareal - resultat'!$C$6:$E$19,,MATCH(E473,'Landbrugsareal - resultat'!$C$5:$E$5,0)))),IF(C473=2030,SUMPRODUCT((B473='Landbrugsareal - resultat'!$B$6:$B$19)*(INDEX('Landbrugsareal - resultat'!$F$6:$H$19,,MATCH(E473,'Landbrugsareal - resultat'!$F$5:$H$5,0)))),SUMPRODUCT((B473='Landbrugsareal - resultat'!$B$6:$B$19)*(INDEX('Landbrugsareal - resultat'!$I$6:$K$19,,MATCH(E473,'Landbrugsareal - resultat'!$I$5:$K$5,0)))))),IF(C473=2019,SUMPRODUCT((B473='Landbrugsareal - resultat'!$B$6:$B$19)*(INDEX('Landbrugsareal - resultat'!$L$6:$N$19,,MATCH(E473,'Landbrugsareal - resultat'!$L$5:$N$5,0)))),IF(C473=2030,SUMPRODUCT((B473='Landbrugsareal - resultat'!$B$6:$B$19)*(INDEX('Landbrugsareal - resultat'!$O$6:$Q$19,,MATCH(E473,'Landbrugsareal - resultat'!$O$5:$Q$5,0)))),SUMPRODUCT((B473='Landbrugsareal - resultat'!$B$6:$B$19)*(INDEX('Landbrugsareal - resultat'!$R$6:$T$19,,MATCH(E473,'Landbrugsareal - resultat'!$R$5:$T$5,0))))))),IF(D473="Konventionel",IF(C473=2019,SUMPRODUCT((B473='Landbrugsareal - resultat'!$B$33:$B$46)*(INDEX('Landbrugsareal - resultat'!$C$33:$E$46,,MATCH(E473,'Landbrugsareal - resultat'!$C$5:$E$5,0)))),IF(C473=2030,SUMPRODUCT((B473='Landbrugsareal - resultat'!$B$33:$B$46)*(INDEX('Landbrugsareal - resultat'!$F$33:$H$46,,MATCH(E473,'Landbrugsareal - resultat'!$F$5:$H$5,0)))),SUMPRODUCT((B473='Landbrugsareal - resultat'!$B$33:$B$46)*(INDEX('Landbrugsareal - resultat'!$I$33:$K$46,,MATCH(E473,'Landbrugsareal - resultat'!$I$5:$K$5,0)))))),IF(C473=2019,SUMPRODUCT((B473='Landbrugsareal - resultat'!$B$33:$B$46)*(INDEX('Landbrugsareal - resultat'!$L$33:$N$46,,MATCH(E473,'Landbrugsareal - resultat'!$L$5:$N$5,0)))),IF(C473=2030,SUMPRODUCT((B473='Landbrugsareal - resultat'!$B$33:$B$46)*(INDEX('Landbrugsareal - resultat'!$O$33:$Q$46,,MATCH(E473,'Landbrugsareal - resultat'!$O$5:$Q$5,0)))),SUMPRODUCT((B473='Landbrugsareal - resultat'!$B$33:$B$46)*(INDEX('Landbrugsareal - resultat'!$R$33:$T$46,,MATCH(E473,'Landbrugsareal - resultat'!$R$5:$T$5,0))))))))</f>
        <v>16.487015994612687</v>
      </c>
      <c r="H473" s="168">
        <f>G473*VLOOKUP(B473,[1]Afgrødedata!$A$5:$F$18,2,FALSE)*IF(D473="Økologisk",VLOOKUP(B473,[1]Afgrødedata!$A$5:$F$18,4,FALSE),1)*IF(E473&lt;&gt;Jordbund1,IF(E473=Organ6,VLOOKUP(B473,[1]Afgrødedata!$A$5:$F$18,5,FALSE),VLOOKUP(B473,[1]Afgrødedata!$A$5:$F$18,6,FALSE)),1)*0.1</f>
        <v>392.01446536084677</v>
      </c>
      <c r="I473" s="168">
        <f>G473*VLOOKUP(B473,[1]Afgrødedata!$A$5:$F$18,3,FALSE)*IF(D473="Økologisk",VLOOKUP(B473,[1]Afgrødedata!$A$5:$F$18,4,FALSE),1)*IF(E473&lt;&gt;Jordbund1,IF(E473=Organ6,VLOOKUP(B473,[1]Afgrødedata!$A$5:$F$18,5,FALSE),VLOOKUP(B473,[1]Afgrødedata!$A$5:$F$18,6,FALSE)),1)*HLOOKUP(C473,Landbrug!$C$15:$E$17,2,FALSE)*HLOOKUP(C473,Landbrug!$C$15:$E$17,3,FALSE)*0.1</f>
        <v>0</v>
      </c>
      <c r="J473" s="76">
        <f t="shared" si="68"/>
        <v>392.01446536084677</v>
      </c>
    </row>
    <row r="474" spans="1:10" x14ac:dyDescent="0.25">
      <c r="A474" t="s">
        <v>24</v>
      </c>
      <c r="B474" s="1" t="str">
        <f>[1]Afgrødefordeling!$C$12</f>
        <v>Frø</v>
      </c>
      <c r="C474">
        <v>2019</v>
      </c>
      <c r="D474" t="s">
        <v>8</v>
      </c>
      <c r="E474" s="168" t="str">
        <f t="shared" si="66"/>
        <v>OC12</v>
      </c>
      <c r="F474" t="str">
        <f t="shared" si="67"/>
        <v>Halm</v>
      </c>
      <c r="G474" s="76" cm="1">
        <f t="array" ref="G474">IF(A474="Vestdanmark",IF(D474="Konventionel",IF(C474=2019,SUMPRODUCT((B474='Landbrugsareal - resultat'!$B$6:$B$19)*(INDEX('Landbrugsareal - resultat'!$C$6:$E$19,,MATCH(E474,'Landbrugsareal - resultat'!$C$5:$E$5,0)))),IF(C474=2030,SUMPRODUCT((B474='Landbrugsareal - resultat'!$B$6:$B$19)*(INDEX('Landbrugsareal - resultat'!$F$6:$H$19,,MATCH(E474,'Landbrugsareal - resultat'!$F$5:$H$5,0)))),SUMPRODUCT((B474='Landbrugsareal - resultat'!$B$6:$B$19)*(INDEX('Landbrugsareal - resultat'!$I$6:$K$19,,MATCH(E474,'Landbrugsareal - resultat'!$I$5:$K$5,0)))))),IF(C474=2019,SUMPRODUCT((B474='Landbrugsareal - resultat'!$B$6:$B$19)*(INDEX('Landbrugsareal - resultat'!$L$6:$N$19,,MATCH(E474,'Landbrugsareal - resultat'!$L$5:$N$5,0)))),IF(C474=2030,SUMPRODUCT((B474='Landbrugsareal - resultat'!$B$6:$B$19)*(INDEX('Landbrugsareal - resultat'!$O$6:$Q$19,,MATCH(E474,'Landbrugsareal - resultat'!$O$5:$Q$5,0)))),SUMPRODUCT((B474='Landbrugsareal - resultat'!$B$6:$B$19)*(INDEX('Landbrugsareal - resultat'!$R$6:$T$19,,MATCH(E474,'Landbrugsareal - resultat'!$R$5:$T$5,0))))))),IF(D474="Konventionel",IF(C474=2019,SUMPRODUCT((B474='Landbrugsareal - resultat'!$B$33:$B$46)*(INDEX('Landbrugsareal - resultat'!$C$33:$E$46,,MATCH(E474,'Landbrugsareal - resultat'!$C$5:$E$5,0)))),IF(C474=2030,SUMPRODUCT((B474='Landbrugsareal - resultat'!$B$33:$B$46)*(INDEX('Landbrugsareal - resultat'!$F$33:$H$46,,MATCH(E474,'Landbrugsareal - resultat'!$F$5:$H$5,0)))),SUMPRODUCT((B474='Landbrugsareal - resultat'!$B$33:$B$46)*(INDEX('Landbrugsareal - resultat'!$I$33:$K$46,,MATCH(E474,'Landbrugsareal - resultat'!$I$5:$K$5,0)))))),IF(C474=2019,SUMPRODUCT((B474='Landbrugsareal - resultat'!$B$33:$B$46)*(INDEX('Landbrugsareal - resultat'!$L$33:$N$46,,MATCH(E474,'Landbrugsareal - resultat'!$L$5:$N$5,0)))),IF(C474=2030,SUMPRODUCT((B474='Landbrugsareal - resultat'!$B$33:$B$46)*(INDEX('Landbrugsareal - resultat'!$O$33:$Q$46,,MATCH(E474,'Landbrugsareal - resultat'!$O$5:$Q$5,0)))),SUMPRODUCT((B474='Landbrugsareal - resultat'!$B$33:$B$46)*(INDEX('Landbrugsareal - resultat'!$R$33:$T$46,,MATCH(E474,'Landbrugsareal - resultat'!$R$5:$T$5,0))))))))</f>
        <v>154.28842245346829</v>
      </c>
      <c r="H474" s="168">
        <f>G474*VLOOKUP(B474,[1]Afgrødedata!$A$5:$F$18,2,FALSE)*IF(D474="Økologisk",VLOOKUP(B474,[1]Afgrødedata!$A$5:$F$18,4,FALSE),1)*IF(E474&lt;&gt;Jordbund1,IF(E474=Organ6,VLOOKUP(B474,[1]Afgrødedata!$A$5:$F$18,5,FALSE),VLOOKUP(B474,[1]Afgrødedata!$A$5:$F$18,6,FALSE)),1)*0.1</f>
        <v>1759.2754166211566</v>
      </c>
      <c r="I474" s="168">
        <f>G474*VLOOKUP(B474,[1]Afgrødedata!$A$5:$F$18,3,FALSE)*IF(D474="Økologisk",VLOOKUP(B474,[1]Afgrødedata!$A$5:$F$18,4,FALSE),1)*IF(E474&lt;&gt;Jordbund1,IF(E474=Organ6,VLOOKUP(B474,[1]Afgrødedata!$A$5:$F$18,5,FALSE),VLOOKUP(B474,[1]Afgrødedata!$A$5:$F$18,6,FALSE)),1)*HLOOKUP(C474,Landbrug!$C$15:$E$17,2,FALSE)*HLOOKUP(C474,Landbrug!$C$15:$E$17,3,FALSE)*0.1</f>
        <v>292.26738606159427</v>
      </c>
      <c r="J474" s="76">
        <f t="shared" si="68"/>
        <v>292.26738606159427</v>
      </c>
    </row>
    <row r="475" spans="1:10" x14ac:dyDescent="0.25">
      <c r="A475" t="s">
        <v>24</v>
      </c>
      <c r="B475" s="1" t="str">
        <f>[1]Afgrødefordeling!$C$13</f>
        <v>Juletræer</v>
      </c>
      <c r="C475">
        <v>2019</v>
      </c>
      <c r="D475" t="s">
        <v>8</v>
      </c>
      <c r="E475" s="168" t="str">
        <f t="shared" si="66"/>
        <v>OC12</v>
      </c>
      <c r="F475" t="str">
        <f t="shared" si="67"/>
        <v>Juletræer</v>
      </c>
      <c r="G475" s="76" cm="1">
        <f t="array" ref="G475">IF(A475="Vestdanmark",IF(D475="Konventionel",IF(C475=2019,SUMPRODUCT((B475='Landbrugsareal - resultat'!$B$6:$B$19)*(INDEX('Landbrugsareal - resultat'!$C$6:$E$19,,MATCH(E475,'Landbrugsareal - resultat'!$C$5:$E$5,0)))),IF(C475=2030,SUMPRODUCT((B475='Landbrugsareal - resultat'!$B$6:$B$19)*(INDEX('Landbrugsareal - resultat'!$F$6:$H$19,,MATCH(E475,'Landbrugsareal - resultat'!$F$5:$H$5,0)))),SUMPRODUCT((B475='Landbrugsareal - resultat'!$B$6:$B$19)*(INDEX('Landbrugsareal - resultat'!$I$6:$K$19,,MATCH(E475,'Landbrugsareal - resultat'!$I$5:$K$5,0)))))),IF(C475=2019,SUMPRODUCT((B475='Landbrugsareal - resultat'!$B$6:$B$19)*(INDEX('Landbrugsareal - resultat'!$L$6:$N$19,,MATCH(E475,'Landbrugsareal - resultat'!$L$5:$N$5,0)))),IF(C475=2030,SUMPRODUCT((B475='Landbrugsareal - resultat'!$B$6:$B$19)*(INDEX('Landbrugsareal - resultat'!$O$6:$Q$19,,MATCH(E475,'Landbrugsareal - resultat'!$O$5:$Q$5,0)))),SUMPRODUCT((B475='Landbrugsareal - resultat'!$B$6:$B$19)*(INDEX('Landbrugsareal - resultat'!$R$6:$T$19,,MATCH(E475,'Landbrugsareal - resultat'!$R$5:$T$5,0))))))),IF(D475="Konventionel",IF(C475=2019,SUMPRODUCT((B475='Landbrugsareal - resultat'!$B$33:$B$46)*(INDEX('Landbrugsareal - resultat'!$C$33:$E$46,,MATCH(E475,'Landbrugsareal - resultat'!$C$5:$E$5,0)))),IF(C475=2030,SUMPRODUCT((B475='Landbrugsareal - resultat'!$B$33:$B$46)*(INDEX('Landbrugsareal - resultat'!$F$33:$H$46,,MATCH(E475,'Landbrugsareal - resultat'!$F$5:$H$5,0)))),SUMPRODUCT((B475='Landbrugsareal - resultat'!$B$33:$B$46)*(INDEX('Landbrugsareal - resultat'!$I$33:$K$46,,MATCH(E475,'Landbrugsareal - resultat'!$I$5:$K$5,0)))))),IF(C475=2019,SUMPRODUCT((B475='Landbrugsareal - resultat'!$B$33:$B$46)*(INDEX('Landbrugsareal - resultat'!$L$33:$N$46,,MATCH(E475,'Landbrugsareal - resultat'!$L$5:$N$5,0)))),IF(C475=2030,SUMPRODUCT((B475='Landbrugsareal - resultat'!$B$33:$B$46)*(INDEX('Landbrugsareal - resultat'!$O$33:$Q$46,,MATCH(E475,'Landbrugsareal - resultat'!$O$5:$Q$5,0)))),SUMPRODUCT((B475='Landbrugsareal - resultat'!$B$33:$B$46)*(INDEX('Landbrugsareal - resultat'!$R$33:$T$46,,MATCH(E475,'Landbrugsareal - resultat'!$R$5:$T$5,0))))))))</f>
        <v>3.6181100022778421</v>
      </c>
      <c r="H475" s="168">
        <f>G475*VLOOKUP(B475,[1]Afgrødedata!$A$5:$F$18,2,FALSE)*IF(D475="Økologisk",VLOOKUP(B475,[1]Afgrødedata!$A$5:$F$18,4,FALSE),1)*IF(E475&lt;&gt;Jordbund1,IF(E475=Organ6,VLOOKUP(B475,[1]Afgrødedata!$A$5:$F$18,5,FALSE),VLOOKUP(B475,[1]Afgrødedata!$A$5:$F$18,6,FALSE)),1)*0.1</f>
        <v>144.36258909088588</v>
      </c>
      <c r="I475" s="168">
        <f>G475*VLOOKUP(B475,[1]Afgrødedata!$A$5:$F$18,3,FALSE)*IF(D475="Økologisk",VLOOKUP(B475,[1]Afgrødedata!$A$5:$F$18,4,FALSE),1)*IF(E475&lt;&gt;Jordbund1,IF(E475=Organ6,VLOOKUP(B475,[1]Afgrødedata!$A$5:$F$18,5,FALSE),VLOOKUP(B475,[1]Afgrødedata!$A$5:$F$18,6,FALSE)),1)*HLOOKUP(C475,Landbrug!$C$15:$E$17,2,FALSE)*HLOOKUP(C475,Landbrug!$C$15:$E$17,3,FALSE)*0.1</f>
        <v>0</v>
      </c>
      <c r="J475" s="76">
        <f t="shared" si="68"/>
        <v>144.36258909088588</v>
      </c>
    </row>
    <row r="476" spans="1:10" x14ac:dyDescent="0.25">
      <c r="A476" t="s">
        <v>24</v>
      </c>
      <c r="B476" s="1" t="str">
        <f>[1]Afgrødefordeling!$C$14</f>
        <v>Pil &amp; poppel</v>
      </c>
      <c r="C476">
        <v>2019</v>
      </c>
      <c r="D476" t="s">
        <v>8</v>
      </c>
      <c r="E476" s="168" t="str">
        <f t="shared" si="66"/>
        <v>OC12</v>
      </c>
      <c r="F476" t="str">
        <f t="shared" si="67"/>
        <v>Pil &amp; poppel</v>
      </c>
      <c r="G476" s="76" cm="1">
        <f t="array" ref="G476">IF(A476="Vestdanmark",IF(D476="Konventionel",IF(C476=2019,SUMPRODUCT((B476='Landbrugsareal - resultat'!$B$6:$B$19)*(INDEX('Landbrugsareal - resultat'!$C$6:$E$19,,MATCH(E476,'Landbrugsareal - resultat'!$C$5:$E$5,0)))),IF(C476=2030,SUMPRODUCT((B476='Landbrugsareal - resultat'!$B$6:$B$19)*(INDEX('Landbrugsareal - resultat'!$F$6:$H$19,,MATCH(E476,'Landbrugsareal - resultat'!$F$5:$H$5,0)))),SUMPRODUCT((B476='Landbrugsareal - resultat'!$B$6:$B$19)*(INDEX('Landbrugsareal - resultat'!$I$6:$K$19,,MATCH(E476,'Landbrugsareal - resultat'!$I$5:$K$5,0)))))),IF(C476=2019,SUMPRODUCT((B476='Landbrugsareal - resultat'!$B$6:$B$19)*(INDEX('Landbrugsareal - resultat'!$L$6:$N$19,,MATCH(E476,'Landbrugsareal - resultat'!$L$5:$N$5,0)))),IF(C476=2030,SUMPRODUCT((B476='Landbrugsareal - resultat'!$B$6:$B$19)*(INDEX('Landbrugsareal - resultat'!$O$6:$Q$19,,MATCH(E476,'Landbrugsareal - resultat'!$O$5:$Q$5,0)))),SUMPRODUCT((B476='Landbrugsareal - resultat'!$B$6:$B$19)*(INDEX('Landbrugsareal - resultat'!$R$6:$T$19,,MATCH(E476,'Landbrugsareal - resultat'!$R$5:$T$5,0))))))),IF(D476="Konventionel",IF(C476=2019,SUMPRODUCT((B476='Landbrugsareal - resultat'!$B$33:$B$46)*(INDEX('Landbrugsareal - resultat'!$C$33:$E$46,,MATCH(E476,'Landbrugsareal - resultat'!$C$5:$E$5,0)))),IF(C476=2030,SUMPRODUCT((B476='Landbrugsareal - resultat'!$B$33:$B$46)*(INDEX('Landbrugsareal - resultat'!$F$33:$H$46,,MATCH(E476,'Landbrugsareal - resultat'!$F$5:$H$5,0)))),SUMPRODUCT((B476='Landbrugsareal - resultat'!$B$33:$B$46)*(INDEX('Landbrugsareal - resultat'!$I$33:$K$46,,MATCH(E476,'Landbrugsareal - resultat'!$I$5:$K$5,0)))))),IF(C476=2019,SUMPRODUCT((B476='Landbrugsareal - resultat'!$B$33:$B$46)*(INDEX('Landbrugsareal - resultat'!$L$33:$N$46,,MATCH(E476,'Landbrugsareal - resultat'!$L$5:$N$5,0)))),IF(C476=2030,SUMPRODUCT((B476='Landbrugsareal - resultat'!$B$33:$B$46)*(INDEX('Landbrugsareal - resultat'!$O$33:$Q$46,,MATCH(E476,'Landbrugsareal - resultat'!$O$5:$Q$5,0)))),SUMPRODUCT((B476='Landbrugsareal - resultat'!$B$33:$B$46)*(INDEX('Landbrugsareal - resultat'!$R$33:$T$46,,MATCH(E476,'Landbrugsareal - resultat'!$R$5:$T$5,0))))))))</f>
        <v>11.036752413519869</v>
      </c>
      <c r="H476" s="168">
        <f>G476*VLOOKUP(B476,[1]Afgrødedata!$A$5:$F$18,2,FALSE)*IF(D476="Økologisk",VLOOKUP(B476,[1]Afgrødedata!$A$5:$F$18,4,FALSE),1)*IF(E476&lt;&gt;Jordbund1,IF(E476=Organ6,VLOOKUP(B476,[1]Afgrødedata!$A$5:$F$18,5,FALSE),VLOOKUP(B476,[1]Afgrødedata!$A$5:$F$18,6,FALSE)),1)*0.1</f>
        <v>214.81288843875257</v>
      </c>
      <c r="I476" s="168">
        <f>G476*VLOOKUP(B476,[1]Afgrødedata!$A$5:$F$18,3,FALSE)*IF(D476="Økologisk",VLOOKUP(B476,[1]Afgrødedata!$A$5:$F$18,4,FALSE),1)*IF(E476&lt;&gt;Jordbund1,IF(E476=Organ6,VLOOKUP(B476,[1]Afgrødedata!$A$5:$F$18,5,FALSE),VLOOKUP(B476,[1]Afgrødedata!$A$5:$F$18,6,FALSE)),1)*HLOOKUP(C476,Landbrug!$C$15:$E$17,2,FALSE)*HLOOKUP(C476,Landbrug!$C$15:$E$17,3,FALSE)*0.1</f>
        <v>0</v>
      </c>
      <c r="J476" s="76">
        <f t="shared" si="68"/>
        <v>214.81288843875257</v>
      </c>
    </row>
    <row r="477" spans="1:10" x14ac:dyDescent="0.25">
      <c r="A477" t="s">
        <v>24</v>
      </c>
      <c r="B477" s="1" t="str">
        <f>[1]Afgrødefordeling!$C$15</f>
        <v>Permanent græs</v>
      </c>
      <c r="C477">
        <v>2019</v>
      </c>
      <c r="D477" t="s">
        <v>8</v>
      </c>
      <c r="E477" s="168" t="str">
        <f t="shared" si="66"/>
        <v>OC12</v>
      </c>
      <c r="F477" t="str">
        <f t="shared" si="67"/>
        <v>Græs</v>
      </c>
      <c r="G477" s="76" cm="1">
        <f t="array" ref="G477">IF(A477="Vestdanmark",IF(D477="Konventionel",IF(C477=2019,SUMPRODUCT((B477='Landbrugsareal - resultat'!$B$6:$B$19)*(INDEX('Landbrugsareal - resultat'!$C$6:$E$19,,MATCH(E477,'Landbrugsareal - resultat'!$C$5:$E$5,0)))),IF(C477=2030,SUMPRODUCT((B477='Landbrugsareal - resultat'!$B$6:$B$19)*(INDEX('Landbrugsareal - resultat'!$F$6:$H$19,,MATCH(E477,'Landbrugsareal - resultat'!$F$5:$H$5,0)))),SUMPRODUCT((B477='Landbrugsareal - resultat'!$B$6:$B$19)*(INDEX('Landbrugsareal - resultat'!$I$6:$K$19,,MATCH(E477,'Landbrugsareal - resultat'!$I$5:$K$5,0)))))),IF(C477=2019,SUMPRODUCT((B477='Landbrugsareal - resultat'!$B$6:$B$19)*(INDEX('Landbrugsareal - resultat'!$L$6:$N$19,,MATCH(E477,'Landbrugsareal - resultat'!$L$5:$N$5,0)))),IF(C477=2030,SUMPRODUCT((B477='Landbrugsareal - resultat'!$B$6:$B$19)*(INDEX('Landbrugsareal - resultat'!$O$6:$Q$19,,MATCH(E477,'Landbrugsareal - resultat'!$O$5:$Q$5,0)))),SUMPRODUCT((B477='Landbrugsareal - resultat'!$B$6:$B$19)*(INDEX('Landbrugsareal - resultat'!$R$6:$T$19,,MATCH(E477,'Landbrugsareal - resultat'!$R$5:$T$5,0))))))),IF(D477="Konventionel",IF(C477=2019,SUMPRODUCT((B477='Landbrugsareal - resultat'!$B$33:$B$46)*(INDEX('Landbrugsareal - resultat'!$C$33:$E$46,,MATCH(E477,'Landbrugsareal - resultat'!$C$5:$E$5,0)))),IF(C477=2030,SUMPRODUCT((B477='Landbrugsareal - resultat'!$B$33:$B$46)*(INDEX('Landbrugsareal - resultat'!$F$33:$H$46,,MATCH(E477,'Landbrugsareal - resultat'!$F$5:$H$5,0)))),SUMPRODUCT((B477='Landbrugsareal - resultat'!$B$33:$B$46)*(INDEX('Landbrugsareal - resultat'!$I$33:$K$46,,MATCH(E477,'Landbrugsareal - resultat'!$I$5:$K$5,0)))))),IF(C477=2019,SUMPRODUCT((B477='Landbrugsareal - resultat'!$B$33:$B$46)*(INDEX('Landbrugsareal - resultat'!$L$33:$N$46,,MATCH(E477,'Landbrugsareal - resultat'!$L$5:$N$5,0)))),IF(C477=2030,SUMPRODUCT((B477='Landbrugsareal - resultat'!$B$33:$B$46)*(INDEX('Landbrugsareal - resultat'!$O$33:$Q$46,,MATCH(E477,'Landbrugsareal - resultat'!$O$5:$Q$5,0)))),SUMPRODUCT((B477='Landbrugsareal - resultat'!$B$33:$B$46)*(INDEX('Landbrugsareal - resultat'!$R$33:$T$46,,MATCH(E477,'Landbrugsareal - resultat'!$R$5:$T$5,0))))))))</f>
        <v>421.80759304346049</v>
      </c>
      <c r="H477" s="168">
        <f>G477*VLOOKUP(B477,[1]Afgrødedata!$A$5:$F$18,2,FALSE)*IF(D477="Økologisk",VLOOKUP(B477,[1]Afgrødedata!$A$5:$F$18,4,FALSE),1)*IF(E477&lt;&gt;Jordbund1,IF(E477=Organ6,VLOOKUP(B477,[1]Afgrødedata!$A$5:$F$18,5,FALSE),VLOOKUP(B477,[1]Afgrødedata!$A$5:$F$18,6,FALSE)),1)*0.1</f>
        <v>8143.4173912970482</v>
      </c>
      <c r="I477" s="168">
        <f>G477*VLOOKUP(B477,[1]Afgrødedata!$A$5:$F$18,3,FALSE)*IF(D477="Økologisk",VLOOKUP(B477,[1]Afgrødedata!$A$5:$F$18,4,FALSE),1)*IF(E477&lt;&gt;Jordbund1,IF(E477=Organ6,VLOOKUP(B477,[1]Afgrødedata!$A$5:$F$18,5,FALSE),VLOOKUP(B477,[1]Afgrødedata!$A$5:$F$18,6,FALSE)),1)*HLOOKUP(C477,Landbrug!$C$15:$E$17,2,FALSE)*HLOOKUP(C477,Landbrug!$C$15:$E$17,3,FALSE)*0.1</f>
        <v>0</v>
      </c>
      <c r="J477" s="76">
        <f t="shared" si="68"/>
        <v>8143.4173912970482</v>
      </c>
    </row>
    <row r="478" spans="1:10" x14ac:dyDescent="0.25">
      <c r="A478" t="s">
        <v>24</v>
      </c>
      <c r="B478" s="1" t="str">
        <f>[1]Afgrødefordeling!$C$2</f>
        <v>Korn</v>
      </c>
      <c r="C478">
        <v>2030</v>
      </c>
      <c r="D478" t="s">
        <v>8</v>
      </c>
      <c r="E478" s="168" t="str">
        <f t="shared" si="66"/>
        <v>OC12</v>
      </c>
      <c r="F478" t="str">
        <f t="shared" si="67"/>
        <v>Halm</v>
      </c>
      <c r="G478" s="76" cm="1">
        <f t="array" ref="G478">IF(A478="Vestdanmark",IF(D478="Konventionel",IF(C478=2019,SUMPRODUCT((B478='Landbrugsareal - resultat'!$B$6:$B$19)*(INDEX('Landbrugsareal - resultat'!$C$6:$E$19,,MATCH(E478,'Landbrugsareal - resultat'!$C$5:$E$5,0)))),IF(C478=2030,SUMPRODUCT((B478='Landbrugsareal - resultat'!$B$6:$B$19)*(INDEX('Landbrugsareal - resultat'!$F$6:$H$19,,MATCH(E478,'Landbrugsareal - resultat'!$F$5:$H$5,0)))),SUMPRODUCT((B478='Landbrugsareal - resultat'!$B$6:$B$19)*(INDEX('Landbrugsareal - resultat'!$I$6:$K$19,,MATCH(E478,'Landbrugsareal - resultat'!$I$5:$K$5,0)))))),IF(C478=2019,SUMPRODUCT((B478='Landbrugsareal - resultat'!$B$6:$B$19)*(INDEX('Landbrugsareal - resultat'!$L$6:$N$19,,MATCH(E478,'Landbrugsareal - resultat'!$L$5:$N$5,0)))),IF(C478=2030,SUMPRODUCT((B478='Landbrugsareal - resultat'!$B$6:$B$19)*(INDEX('Landbrugsareal - resultat'!$O$6:$Q$19,,MATCH(E478,'Landbrugsareal - resultat'!$O$5:$Q$5,0)))),SUMPRODUCT((B478='Landbrugsareal - resultat'!$B$6:$B$19)*(INDEX('Landbrugsareal - resultat'!$R$6:$T$19,,MATCH(E478,'Landbrugsareal - resultat'!$R$5:$T$5,0))))))),IF(D478="Konventionel",IF(C478=2019,SUMPRODUCT((B478='Landbrugsareal - resultat'!$B$33:$B$46)*(INDEX('Landbrugsareal - resultat'!$C$33:$E$46,,MATCH(E478,'Landbrugsareal - resultat'!$C$5:$E$5,0)))),IF(C478=2030,SUMPRODUCT((B478='Landbrugsareal - resultat'!$B$33:$B$46)*(INDEX('Landbrugsareal - resultat'!$F$33:$H$46,,MATCH(E478,'Landbrugsareal - resultat'!$F$5:$H$5,0)))),SUMPRODUCT((B478='Landbrugsareal - resultat'!$B$33:$B$46)*(INDEX('Landbrugsareal - resultat'!$I$33:$K$46,,MATCH(E478,'Landbrugsareal - resultat'!$I$5:$K$5,0)))))),IF(C478=2019,SUMPRODUCT((B478='Landbrugsareal - resultat'!$B$33:$B$46)*(INDEX('Landbrugsareal - resultat'!$L$33:$N$46,,MATCH(E478,'Landbrugsareal - resultat'!$L$5:$N$5,0)))),IF(C478=2030,SUMPRODUCT((B478='Landbrugsareal - resultat'!$B$33:$B$46)*(INDEX('Landbrugsareal - resultat'!$O$33:$Q$46,,MATCH(E478,'Landbrugsareal - resultat'!$O$5:$Q$5,0)))),SUMPRODUCT((B478='Landbrugsareal - resultat'!$B$33:$B$46)*(INDEX('Landbrugsareal - resultat'!$R$33:$T$46,,MATCH(E478,'Landbrugsareal - resultat'!$R$5:$T$5,0))))))))</f>
        <v>342.25153434511225</v>
      </c>
      <c r="H478" s="168">
        <f>G478*VLOOKUP(B478,[1]Afgrødedata!$A$5:$F$18,2,FALSE)*IF(D478="Økologisk",VLOOKUP(B478,[1]Afgrødedata!$A$5:$F$18,4,FALSE),1)*IF(E478&lt;&gt;Jordbund1,IF(E478=Organ6,VLOOKUP(B478,[1]Afgrødedata!$A$5:$F$18,5,FALSE),VLOOKUP(B478,[1]Afgrødedata!$A$5:$F$18,6,FALSE)),1)*0.1</f>
        <v>2250.4338939021641</v>
      </c>
      <c r="I478" s="168">
        <f>G478*VLOOKUP(B478,[1]Afgrødedata!$A$5:$F$18,3,FALSE)*IF(D478="Økologisk",VLOOKUP(B478,[1]Afgrødedata!$A$5:$F$18,4,FALSE),1)*IF(E478&lt;&gt;Jordbund1,IF(E478=Organ6,VLOOKUP(B478,[1]Afgrødedata!$A$5:$F$18,5,FALSE),VLOOKUP(B478,[1]Afgrødedata!$A$5:$F$18,6,FALSE)),1)*HLOOKUP(C478,Landbrug!$C$15:$E$17,2,FALSE)*HLOOKUP(C478,Landbrug!$C$15:$E$17,3,FALSE)*0.1</f>
        <v>730.26579857125228</v>
      </c>
      <c r="J478" s="76">
        <f t="shared" si="68"/>
        <v>730.26579857125228</v>
      </c>
    </row>
    <row r="479" spans="1:10" x14ac:dyDescent="0.25">
      <c r="A479" t="s">
        <v>24</v>
      </c>
      <c r="B479" s="1" t="str">
        <f>[1]Afgrødefordeling!$C$3</f>
        <v>Bælgsæd</v>
      </c>
      <c r="C479">
        <v>2030</v>
      </c>
      <c r="D479" t="s">
        <v>8</v>
      </c>
      <c r="E479" s="168" t="str">
        <f t="shared" si="66"/>
        <v>OC12</v>
      </c>
      <c r="F479" t="str">
        <f t="shared" si="67"/>
        <v>Halm</v>
      </c>
      <c r="G479" s="76" cm="1">
        <f t="array" ref="G479">IF(A479="Vestdanmark",IF(D479="Konventionel",IF(C479=2019,SUMPRODUCT((B479='Landbrugsareal - resultat'!$B$6:$B$19)*(INDEX('Landbrugsareal - resultat'!$C$6:$E$19,,MATCH(E479,'Landbrugsareal - resultat'!$C$5:$E$5,0)))),IF(C479=2030,SUMPRODUCT((B479='Landbrugsareal - resultat'!$B$6:$B$19)*(INDEX('Landbrugsareal - resultat'!$F$6:$H$19,,MATCH(E479,'Landbrugsareal - resultat'!$F$5:$H$5,0)))),SUMPRODUCT((B479='Landbrugsareal - resultat'!$B$6:$B$19)*(INDEX('Landbrugsareal - resultat'!$I$6:$K$19,,MATCH(E479,'Landbrugsareal - resultat'!$I$5:$K$5,0)))))),IF(C479=2019,SUMPRODUCT((B479='Landbrugsareal - resultat'!$B$6:$B$19)*(INDEX('Landbrugsareal - resultat'!$L$6:$N$19,,MATCH(E479,'Landbrugsareal - resultat'!$L$5:$N$5,0)))),IF(C479=2030,SUMPRODUCT((B479='Landbrugsareal - resultat'!$B$6:$B$19)*(INDEX('Landbrugsareal - resultat'!$O$6:$Q$19,,MATCH(E479,'Landbrugsareal - resultat'!$O$5:$Q$5,0)))),SUMPRODUCT((B479='Landbrugsareal - resultat'!$B$6:$B$19)*(INDEX('Landbrugsareal - resultat'!$R$6:$T$19,,MATCH(E479,'Landbrugsareal - resultat'!$R$5:$T$5,0))))))),IF(D479="Konventionel",IF(C479=2019,SUMPRODUCT((B479='Landbrugsareal - resultat'!$B$33:$B$46)*(INDEX('Landbrugsareal - resultat'!$C$33:$E$46,,MATCH(E479,'Landbrugsareal - resultat'!$C$5:$E$5,0)))),IF(C479=2030,SUMPRODUCT((B479='Landbrugsareal - resultat'!$B$33:$B$46)*(INDEX('Landbrugsareal - resultat'!$F$33:$H$46,,MATCH(E479,'Landbrugsareal - resultat'!$F$5:$H$5,0)))),SUMPRODUCT((B479='Landbrugsareal - resultat'!$B$33:$B$46)*(INDEX('Landbrugsareal - resultat'!$I$33:$K$46,,MATCH(E479,'Landbrugsareal - resultat'!$I$5:$K$5,0)))))),IF(C479=2019,SUMPRODUCT((B479='Landbrugsareal - resultat'!$B$33:$B$46)*(INDEX('Landbrugsareal - resultat'!$L$33:$N$46,,MATCH(E479,'Landbrugsareal - resultat'!$L$5:$N$5,0)))),IF(C479=2030,SUMPRODUCT((B479='Landbrugsareal - resultat'!$B$33:$B$46)*(INDEX('Landbrugsareal - resultat'!$O$33:$Q$46,,MATCH(E479,'Landbrugsareal - resultat'!$O$5:$Q$5,0)))),SUMPRODUCT((B479='Landbrugsareal - resultat'!$B$33:$B$46)*(INDEX('Landbrugsareal - resultat'!$R$33:$T$46,,MATCH(E479,'Landbrugsareal - resultat'!$R$5:$T$5,0))))))))</f>
        <v>6.2164164713684418</v>
      </c>
      <c r="H479" s="168">
        <f>G479*VLOOKUP(B479,[1]Afgrødedata!$A$5:$F$18,2,FALSE)*IF(D479="Økologisk",VLOOKUP(B479,[1]Afgrødedata!$A$5:$F$18,4,FALSE),1)*IF(E479&lt;&gt;Jordbund1,IF(E479=Organ6,VLOOKUP(B479,[1]Afgrødedata!$A$5:$F$18,5,FALSE),VLOOKUP(B479,[1]Afgrødedata!$A$5:$F$18,6,FALSE)),1)*0.1</f>
        <v>19.148303328426781</v>
      </c>
      <c r="I479" s="168">
        <f>G479*VLOOKUP(B479,[1]Afgrødedata!$A$5:$F$18,3,FALSE)*IF(D479="Økologisk",VLOOKUP(B479,[1]Afgrødedata!$A$5:$F$18,4,FALSE),1)*IF(E479&lt;&gt;Jordbund1,IF(E479=Organ6,VLOOKUP(B479,[1]Afgrødedata!$A$5:$F$18,5,FALSE),VLOOKUP(B479,[1]Afgrødedata!$A$5:$F$18,6,FALSE)),1)*HLOOKUP(C479,Landbrug!$C$15:$E$17,2,FALSE)*HLOOKUP(C479,Landbrug!$C$15:$E$17,3,FALSE)*0.1</f>
        <v>5.6516762950889508</v>
      </c>
      <c r="J479" s="76">
        <f t="shared" si="68"/>
        <v>5.6516762950889508</v>
      </c>
    </row>
    <row r="480" spans="1:10" x14ac:dyDescent="0.25">
      <c r="A480" t="s">
        <v>24</v>
      </c>
      <c r="B480" s="1" t="str">
        <f>[1]Afgrødefordeling!$C$4</f>
        <v>Raps</v>
      </c>
      <c r="C480">
        <v>2030</v>
      </c>
      <c r="D480" t="s">
        <v>8</v>
      </c>
      <c r="E480" s="168" t="str">
        <f t="shared" si="66"/>
        <v>OC12</v>
      </c>
      <c r="F480" t="str">
        <f t="shared" si="67"/>
        <v>Halm</v>
      </c>
      <c r="G480" s="76" cm="1">
        <f t="array" ref="G480">IF(A480="Vestdanmark",IF(D480="Konventionel",IF(C480=2019,SUMPRODUCT((B480='Landbrugsareal - resultat'!$B$6:$B$19)*(INDEX('Landbrugsareal - resultat'!$C$6:$E$19,,MATCH(E480,'Landbrugsareal - resultat'!$C$5:$E$5,0)))),IF(C480=2030,SUMPRODUCT((B480='Landbrugsareal - resultat'!$B$6:$B$19)*(INDEX('Landbrugsareal - resultat'!$F$6:$H$19,,MATCH(E480,'Landbrugsareal - resultat'!$F$5:$H$5,0)))),SUMPRODUCT((B480='Landbrugsareal - resultat'!$B$6:$B$19)*(INDEX('Landbrugsareal - resultat'!$I$6:$K$19,,MATCH(E480,'Landbrugsareal - resultat'!$I$5:$K$5,0)))))),IF(C480=2019,SUMPRODUCT((B480='Landbrugsareal - resultat'!$B$6:$B$19)*(INDEX('Landbrugsareal - resultat'!$L$6:$N$19,,MATCH(E480,'Landbrugsareal - resultat'!$L$5:$N$5,0)))),IF(C480=2030,SUMPRODUCT((B480='Landbrugsareal - resultat'!$B$6:$B$19)*(INDEX('Landbrugsareal - resultat'!$O$6:$Q$19,,MATCH(E480,'Landbrugsareal - resultat'!$O$5:$Q$5,0)))),SUMPRODUCT((B480='Landbrugsareal - resultat'!$B$6:$B$19)*(INDEX('Landbrugsareal - resultat'!$R$6:$T$19,,MATCH(E480,'Landbrugsareal - resultat'!$R$5:$T$5,0))))))),IF(D480="Konventionel",IF(C480=2019,SUMPRODUCT((B480='Landbrugsareal - resultat'!$B$33:$B$46)*(INDEX('Landbrugsareal - resultat'!$C$33:$E$46,,MATCH(E480,'Landbrugsareal - resultat'!$C$5:$E$5,0)))),IF(C480=2030,SUMPRODUCT((B480='Landbrugsareal - resultat'!$B$33:$B$46)*(INDEX('Landbrugsareal - resultat'!$F$33:$H$46,,MATCH(E480,'Landbrugsareal - resultat'!$F$5:$H$5,0)))),SUMPRODUCT((B480='Landbrugsareal - resultat'!$B$33:$B$46)*(INDEX('Landbrugsareal - resultat'!$I$33:$K$46,,MATCH(E480,'Landbrugsareal - resultat'!$I$5:$K$5,0)))))),IF(C480=2019,SUMPRODUCT((B480='Landbrugsareal - resultat'!$B$33:$B$46)*(INDEX('Landbrugsareal - resultat'!$L$33:$N$46,,MATCH(E480,'Landbrugsareal - resultat'!$L$5:$N$5,0)))),IF(C480=2030,SUMPRODUCT((B480='Landbrugsareal - resultat'!$B$33:$B$46)*(INDEX('Landbrugsareal - resultat'!$O$33:$Q$46,,MATCH(E480,'Landbrugsareal - resultat'!$O$5:$Q$5,0)))),SUMPRODUCT((B480='Landbrugsareal - resultat'!$B$33:$B$46)*(INDEX('Landbrugsareal - resultat'!$R$33:$T$46,,MATCH(E480,'Landbrugsareal - resultat'!$R$5:$T$5,0))))))))</f>
        <v>30.365739875257809</v>
      </c>
      <c r="H480" s="168">
        <f>G480*VLOOKUP(B480,[1]Afgrødedata!$A$5:$F$18,2,FALSE)*IF(D480="Økologisk",VLOOKUP(B480,[1]Afgrødedata!$A$5:$F$18,4,FALSE),1)*IF(E480&lt;&gt;Jordbund1,IF(E480=Organ6,VLOOKUP(B480,[1]Afgrødedata!$A$5:$F$18,5,FALSE),VLOOKUP(B480,[1]Afgrødedata!$A$5:$F$18,6,FALSE)),1)*0.1</f>
        <v>102.87912669737347</v>
      </c>
      <c r="I480" s="168">
        <f>G480*VLOOKUP(B480,[1]Afgrødedata!$A$5:$F$18,3,FALSE)*IF(D480="Økologisk",VLOOKUP(B480,[1]Afgrødedata!$A$5:$F$18,4,FALSE),1)*IF(E480&lt;&gt;Jordbund1,IF(E480=Organ6,VLOOKUP(B480,[1]Afgrødedata!$A$5:$F$18,5,FALSE),VLOOKUP(B480,[1]Afgrødedata!$A$5:$F$18,6,FALSE)),1)*HLOOKUP(C480,Landbrug!$C$15:$E$17,2,FALSE)*HLOOKUP(C480,Landbrug!$C$15:$E$17,3,FALSE)*0.1</f>
        <v>54.628816276305308</v>
      </c>
      <c r="J480" s="76">
        <f t="shared" si="68"/>
        <v>54.628816276305308</v>
      </c>
    </row>
    <row r="481" spans="1:10" x14ac:dyDescent="0.25">
      <c r="A481" t="s">
        <v>24</v>
      </c>
      <c r="B481" s="1" t="str">
        <f>[1]Afgrødefordeling!$C$5</f>
        <v>Græs</v>
      </c>
      <c r="C481">
        <v>2030</v>
      </c>
      <c r="D481" t="s">
        <v>8</v>
      </c>
      <c r="E481" s="168" t="str">
        <f t="shared" si="66"/>
        <v>OC12</v>
      </c>
      <c r="F481" t="str">
        <f t="shared" si="67"/>
        <v>Græs</v>
      </c>
      <c r="G481" s="76" cm="1">
        <f t="array" ref="G481">IF(A481="Vestdanmark",IF(D481="Konventionel",IF(C481=2019,SUMPRODUCT((B481='Landbrugsareal - resultat'!$B$6:$B$19)*(INDEX('Landbrugsareal - resultat'!$C$6:$E$19,,MATCH(E481,'Landbrugsareal - resultat'!$C$5:$E$5,0)))),IF(C481=2030,SUMPRODUCT((B481='Landbrugsareal - resultat'!$B$6:$B$19)*(INDEX('Landbrugsareal - resultat'!$F$6:$H$19,,MATCH(E481,'Landbrugsareal - resultat'!$F$5:$H$5,0)))),SUMPRODUCT((B481='Landbrugsareal - resultat'!$B$6:$B$19)*(INDEX('Landbrugsareal - resultat'!$I$6:$K$19,,MATCH(E481,'Landbrugsareal - resultat'!$I$5:$K$5,0)))))),IF(C481=2019,SUMPRODUCT((B481='Landbrugsareal - resultat'!$B$6:$B$19)*(INDEX('Landbrugsareal - resultat'!$L$6:$N$19,,MATCH(E481,'Landbrugsareal - resultat'!$L$5:$N$5,0)))),IF(C481=2030,SUMPRODUCT((B481='Landbrugsareal - resultat'!$B$6:$B$19)*(INDEX('Landbrugsareal - resultat'!$O$6:$Q$19,,MATCH(E481,'Landbrugsareal - resultat'!$O$5:$Q$5,0)))),SUMPRODUCT((B481='Landbrugsareal - resultat'!$B$6:$B$19)*(INDEX('Landbrugsareal - resultat'!$R$6:$T$19,,MATCH(E481,'Landbrugsareal - resultat'!$R$5:$T$5,0))))))),IF(D481="Konventionel",IF(C481=2019,SUMPRODUCT((B481='Landbrugsareal - resultat'!$B$33:$B$46)*(INDEX('Landbrugsareal - resultat'!$C$33:$E$46,,MATCH(E481,'Landbrugsareal - resultat'!$C$5:$E$5,0)))),IF(C481=2030,SUMPRODUCT((B481='Landbrugsareal - resultat'!$B$33:$B$46)*(INDEX('Landbrugsareal - resultat'!$F$33:$H$46,,MATCH(E481,'Landbrugsareal - resultat'!$F$5:$H$5,0)))),SUMPRODUCT((B481='Landbrugsareal - resultat'!$B$33:$B$46)*(INDEX('Landbrugsareal - resultat'!$I$33:$K$46,,MATCH(E481,'Landbrugsareal - resultat'!$I$5:$K$5,0)))))),IF(C481=2019,SUMPRODUCT((B481='Landbrugsareal - resultat'!$B$33:$B$46)*(INDEX('Landbrugsareal - resultat'!$L$33:$N$46,,MATCH(E481,'Landbrugsareal - resultat'!$L$5:$N$5,0)))),IF(C481=2030,SUMPRODUCT((B481='Landbrugsareal - resultat'!$B$33:$B$46)*(INDEX('Landbrugsareal - resultat'!$O$33:$Q$46,,MATCH(E481,'Landbrugsareal - resultat'!$O$5:$Q$5,0)))),SUMPRODUCT((B481='Landbrugsareal - resultat'!$B$33:$B$46)*(INDEX('Landbrugsareal - resultat'!$R$33:$T$46,,MATCH(E481,'Landbrugsareal - resultat'!$R$5:$T$5,0))))))))</f>
        <v>223.14524704856404</v>
      </c>
      <c r="H481" s="168">
        <f>G481*VLOOKUP(B481,[1]Afgrødedata!$A$5:$F$18,2,FALSE)*IF(D481="Økologisk",VLOOKUP(B481,[1]Afgrødedata!$A$5:$F$18,4,FALSE),1)*IF(E481&lt;&gt;Jordbund1,IF(E481=Organ6,VLOOKUP(B481,[1]Afgrødedata!$A$5:$F$18,5,FALSE),VLOOKUP(B481,[1]Afgrødedata!$A$5:$F$18,6,FALSE)),1)*0.1</f>
        <v>12091.134137136325</v>
      </c>
      <c r="I481" s="168">
        <f>G481*VLOOKUP(B481,[1]Afgrødedata!$A$5:$F$18,3,FALSE)*IF(D481="Økologisk",VLOOKUP(B481,[1]Afgrødedata!$A$5:$F$18,4,FALSE),1)*IF(E481&lt;&gt;Jordbund1,IF(E481=Organ6,VLOOKUP(B481,[1]Afgrødedata!$A$5:$F$18,5,FALSE),VLOOKUP(B481,[1]Afgrødedata!$A$5:$F$18,6,FALSE)),1)*HLOOKUP(C481,Landbrug!$C$15:$E$17,2,FALSE)*HLOOKUP(C481,Landbrug!$C$15:$E$17,3,FALSE)*0.1</f>
        <v>0</v>
      </c>
      <c r="J481" s="76">
        <f t="shared" si="68"/>
        <v>12091.134137136325</v>
      </c>
    </row>
    <row r="482" spans="1:10" x14ac:dyDescent="0.25">
      <c r="A482" t="s">
        <v>24</v>
      </c>
      <c r="B482" s="1" t="str">
        <f>[1]Afgrødefordeling!$C$6</f>
        <v>Grøntsager</v>
      </c>
      <c r="C482">
        <v>2030</v>
      </c>
      <c r="D482" t="s">
        <v>8</v>
      </c>
      <c r="E482" s="168" t="str">
        <f t="shared" si="66"/>
        <v>OC12</v>
      </c>
      <c r="F482" t="str">
        <f t="shared" si="67"/>
        <v>Grøntsager</v>
      </c>
      <c r="G482" s="76" cm="1">
        <f t="array" ref="G482">IF(A482="Vestdanmark",IF(D482="Konventionel",IF(C482=2019,SUMPRODUCT((B482='Landbrugsareal - resultat'!$B$6:$B$19)*(INDEX('Landbrugsareal - resultat'!$C$6:$E$19,,MATCH(E482,'Landbrugsareal - resultat'!$C$5:$E$5,0)))),IF(C482=2030,SUMPRODUCT((B482='Landbrugsareal - resultat'!$B$6:$B$19)*(INDEX('Landbrugsareal - resultat'!$F$6:$H$19,,MATCH(E482,'Landbrugsareal - resultat'!$F$5:$H$5,0)))),SUMPRODUCT((B482='Landbrugsareal - resultat'!$B$6:$B$19)*(INDEX('Landbrugsareal - resultat'!$I$6:$K$19,,MATCH(E482,'Landbrugsareal - resultat'!$I$5:$K$5,0)))))),IF(C482=2019,SUMPRODUCT((B482='Landbrugsareal - resultat'!$B$6:$B$19)*(INDEX('Landbrugsareal - resultat'!$L$6:$N$19,,MATCH(E482,'Landbrugsareal - resultat'!$L$5:$N$5,0)))),IF(C482=2030,SUMPRODUCT((B482='Landbrugsareal - resultat'!$B$6:$B$19)*(INDEX('Landbrugsareal - resultat'!$O$6:$Q$19,,MATCH(E482,'Landbrugsareal - resultat'!$O$5:$Q$5,0)))),SUMPRODUCT((B482='Landbrugsareal - resultat'!$B$6:$B$19)*(INDEX('Landbrugsareal - resultat'!$R$6:$T$19,,MATCH(E482,'Landbrugsareal - resultat'!$R$5:$T$5,0))))))),IF(D482="Konventionel",IF(C482=2019,SUMPRODUCT((B482='Landbrugsareal - resultat'!$B$33:$B$46)*(INDEX('Landbrugsareal - resultat'!$C$33:$E$46,,MATCH(E482,'Landbrugsareal - resultat'!$C$5:$E$5,0)))),IF(C482=2030,SUMPRODUCT((B482='Landbrugsareal - resultat'!$B$33:$B$46)*(INDEX('Landbrugsareal - resultat'!$F$33:$H$46,,MATCH(E482,'Landbrugsareal - resultat'!$F$5:$H$5,0)))),SUMPRODUCT((B482='Landbrugsareal - resultat'!$B$33:$B$46)*(INDEX('Landbrugsareal - resultat'!$I$33:$K$46,,MATCH(E482,'Landbrugsareal - resultat'!$I$5:$K$5,0)))))),IF(C482=2019,SUMPRODUCT((B482='Landbrugsareal - resultat'!$B$33:$B$46)*(INDEX('Landbrugsareal - resultat'!$L$33:$N$46,,MATCH(E482,'Landbrugsareal - resultat'!$L$5:$N$5,0)))),IF(C482=2030,SUMPRODUCT((B482='Landbrugsareal - resultat'!$B$33:$B$46)*(INDEX('Landbrugsareal - resultat'!$O$33:$Q$46,,MATCH(E482,'Landbrugsareal - resultat'!$O$5:$Q$5,0)))),SUMPRODUCT((B482='Landbrugsareal - resultat'!$B$33:$B$46)*(INDEX('Landbrugsareal - resultat'!$R$33:$T$46,,MATCH(E482,'Landbrugsareal - resultat'!$R$5:$T$5,0))))))))</f>
        <v>1.0502551768855817</v>
      </c>
      <c r="H482" s="168">
        <f>G482*VLOOKUP(B482,[1]Afgrødedata!$A$5:$F$18,2,FALSE)*IF(D482="Økologisk",VLOOKUP(B482,[1]Afgrødedata!$A$5:$F$18,4,FALSE),1)*IF(E482&lt;&gt;Jordbund1,IF(E482=Organ6,VLOOKUP(B482,[1]Afgrødedata!$A$5:$F$18,5,FALSE),VLOOKUP(B482,[1]Afgrødedata!$A$5:$F$18,6,FALSE)),1)*0.1</f>
        <v>17.390650346459903</v>
      </c>
      <c r="I482" s="168">
        <f>G482*VLOOKUP(B482,[1]Afgrødedata!$A$5:$F$18,3,FALSE)*IF(D482="Økologisk",VLOOKUP(B482,[1]Afgrødedata!$A$5:$F$18,4,FALSE),1)*IF(E482&lt;&gt;Jordbund1,IF(E482=Organ6,VLOOKUP(B482,[1]Afgrødedata!$A$5:$F$18,5,FALSE),VLOOKUP(B482,[1]Afgrødedata!$A$5:$F$18,6,FALSE)),1)*HLOOKUP(C482,Landbrug!$C$15:$E$17,2,FALSE)*HLOOKUP(C482,Landbrug!$C$15:$E$17,3,FALSE)*0.1</f>
        <v>0</v>
      </c>
      <c r="J482" s="76">
        <f t="shared" si="68"/>
        <v>17.390650346459903</v>
      </c>
    </row>
    <row r="483" spans="1:10" x14ac:dyDescent="0.25">
      <c r="A483" t="s">
        <v>24</v>
      </c>
      <c r="B483" s="1" t="str">
        <f>[1]Afgrødefordeling!$C$7</f>
        <v>Kartofler</v>
      </c>
      <c r="C483">
        <v>2030</v>
      </c>
      <c r="D483" t="s">
        <v>8</v>
      </c>
      <c r="E483" s="168" t="str">
        <f t="shared" si="66"/>
        <v>OC12</v>
      </c>
      <c r="F483" t="str">
        <f t="shared" si="67"/>
        <v>Kartofler</v>
      </c>
      <c r="G483" s="76" cm="1">
        <f t="array" ref="G483">IF(A483="Vestdanmark",IF(D483="Konventionel",IF(C483=2019,SUMPRODUCT((B483='Landbrugsareal - resultat'!$B$6:$B$19)*(INDEX('Landbrugsareal - resultat'!$C$6:$E$19,,MATCH(E483,'Landbrugsareal - resultat'!$C$5:$E$5,0)))),IF(C483=2030,SUMPRODUCT((B483='Landbrugsareal - resultat'!$B$6:$B$19)*(INDEX('Landbrugsareal - resultat'!$F$6:$H$19,,MATCH(E483,'Landbrugsareal - resultat'!$F$5:$H$5,0)))),SUMPRODUCT((B483='Landbrugsareal - resultat'!$B$6:$B$19)*(INDEX('Landbrugsareal - resultat'!$I$6:$K$19,,MATCH(E483,'Landbrugsareal - resultat'!$I$5:$K$5,0)))))),IF(C483=2019,SUMPRODUCT((B483='Landbrugsareal - resultat'!$B$6:$B$19)*(INDEX('Landbrugsareal - resultat'!$L$6:$N$19,,MATCH(E483,'Landbrugsareal - resultat'!$L$5:$N$5,0)))),IF(C483=2030,SUMPRODUCT((B483='Landbrugsareal - resultat'!$B$6:$B$19)*(INDEX('Landbrugsareal - resultat'!$O$6:$Q$19,,MATCH(E483,'Landbrugsareal - resultat'!$O$5:$Q$5,0)))),SUMPRODUCT((B483='Landbrugsareal - resultat'!$B$6:$B$19)*(INDEX('Landbrugsareal - resultat'!$R$6:$T$19,,MATCH(E483,'Landbrugsareal - resultat'!$R$5:$T$5,0))))))),IF(D483="Konventionel",IF(C483=2019,SUMPRODUCT((B483='Landbrugsareal - resultat'!$B$33:$B$46)*(INDEX('Landbrugsareal - resultat'!$C$33:$E$46,,MATCH(E483,'Landbrugsareal - resultat'!$C$5:$E$5,0)))),IF(C483=2030,SUMPRODUCT((B483='Landbrugsareal - resultat'!$B$33:$B$46)*(INDEX('Landbrugsareal - resultat'!$F$33:$H$46,,MATCH(E483,'Landbrugsareal - resultat'!$F$5:$H$5,0)))),SUMPRODUCT((B483='Landbrugsareal - resultat'!$B$33:$B$46)*(INDEX('Landbrugsareal - resultat'!$I$33:$K$46,,MATCH(E483,'Landbrugsareal - resultat'!$I$5:$K$5,0)))))),IF(C483=2019,SUMPRODUCT((B483='Landbrugsareal - resultat'!$B$33:$B$46)*(INDEX('Landbrugsareal - resultat'!$L$33:$N$46,,MATCH(E483,'Landbrugsareal - resultat'!$L$5:$N$5,0)))),IF(C483=2030,SUMPRODUCT((B483='Landbrugsareal - resultat'!$B$33:$B$46)*(INDEX('Landbrugsareal - resultat'!$O$33:$Q$46,,MATCH(E483,'Landbrugsareal - resultat'!$O$5:$Q$5,0)))),SUMPRODUCT((B483='Landbrugsareal - resultat'!$B$33:$B$46)*(INDEX('Landbrugsareal - resultat'!$R$33:$T$46,,MATCH(E483,'Landbrugsareal - resultat'!$R$5:$T$5,0))))))))</f>
        <v>5.9863292209602808</v>
      </c>
      <c r="H483" s="168">
        <f>G483*VLOOKUP(B483,[1]Afgrødedata!$A$5:$F$18,2,FALSE)*IF(D483="Økologisk",VLOOKUP(B483,[1]Afgrødedata!$A$5:$F$18,4,FALSE),1)*IF(E483&lt;&gt;Jordbund1,IF(E483=Organ6,VLOOKUP(B483,[1]Afgrødedata!$A$5:$F$18,5,FALSE),VLOOKUP(B483,[1]Afgrødedata!$A$5:$F$18,6,FALSE)),1)*0.1</f>
        <v>202.88733966140336</v>
      </c>
      <c r="I483" s="168">
        <f>G483*VLOOKUP(B483,[1]Afgrødedata!$A$5:$F$18,3,FALSE)*IF(D483="Økologisk",VLOOKUP(B483,[1]Afgrødedata!$A$5:$F$18,4,FALSE),1)*IF(E483&lt;&gt;Jordbund1,IF(E483=Organ6,VLOOKUP(B483,[1]Afgrødedata!$A$5:$F$18,5,FALSE),VLOOKUP(B483,[1]Afgrødedata!$A$5:$F$18,6,FALSE)),1)*HLOOKUP(C483,Landbrug!$C$15:$E$17,2,FALSE)*HLOOKUP(C483,Landbrug!$C$15:$E$17,3,FALSE)*0.1</f>
        <v>0</v>
      </c>
      <c r="J483" s="76">
        <f t="shared" si="68"/>
        <v>202.88733966140336</v>
      </c>
    </row>
    <row r="484" spans="1:10" x14ac:dyDescent="0.25">
      <c r="A484" t="s">
        <v>24</v>
      </c>
      <c r="B484" s="1" t="str">
        <f>[1]Afgrødefordeling!$C$8</f>
        <v>Roer</v>
      </c>
      <c r="C484">
        <v>2030</v>
      </c>
      <c r="D484" t="s">
        <v>8</v>
      </c>
      <c r="E484" s="168" t="str">
        <f t="shared" si="66"/>
        <v>OC12</v>
      </c>
      <c r="F484" t="str">
        <f t="shared" si="67"/>
        <v>Roer</v>
      </c>
      <c r="G484" s="76" cm="1">
        <f t="array" ref="G484">IF(A484="Vestdanmark",IF(D484="Konventionel",IF(C484=2019,SUMPRODUCT((B484='Landbrugsareal - resultat'!$B$6:$B$19)*(INDEX('Landbrugsareal - resultat'!$C$6:$E$19,,MATCH(E484,'Landbrugsareal - resultat'!$C$5:$E$5,0)))),IF(C484=2030,SUMPRODUCT((B484='Landbrugsareal - resultat'!$B$6:$B$19)*(INDEX('Landbrugsareal - resultat'!$F$6:$H$19,,MATCH(E484,'Landbrugsareal - resultat'!$F$5:$H$5,0)))),SUMPRODUCT((B484='Landbrugsareal - resultat'!$B$6:$B$19)*(INDEX('Landbrugsareal - resultat'!$I$6:$K$19,,MATCH(E484,'Landbrugsareal - resultat'!$I$5:$K$5,0)))))),IF(C484=2019,SUMPRODUCT((B484='Landbrugsareal - resultat'!$B$6:$B$19)*(INDEX('Landbrugsareal - resultat'!$L$6:$N$19,,MATCH(E484,'Landbrugsareal - resultat'!$L$5:$N$5,0)))),IF(C484=2030,SUMPRODUCT((B484='Landbrugsareal - resultat'!$B$6:$B$19)*(INDEX('Landbrugsareal - resultat'!$O$6:$Q$19,,MATCH(E484,'Landbrugsareal - resultat'!$O$5:$Q$5,0)))),SUMPRODUCT((B484='Landbrugsareal - resultat'!$B$6:$B$19)*(INDEX('Landbrugsareal - resultat'!$R$6:$T$19,,MATCH(E484,'Landbrugsareal - resultat'!$R$5:$T$5,0))))))),IF(D484="Konventionel",IF(C484=2019,SUMPRODUCT((B484='Landbrugsareal - resultat'!$B$33:$B$46)*(INDEX('Landbrugsareal - resultat'!$C$33:$E$46,,MATCH(E484,'Landbrugsareal - resultat'!$C$5:$E$5,0)))),IF(C484=2030,SUMPRODUCT((B484='Landbrugsareal - resultat'!$B$33:$B$46)*(INDEX('Landbrugsareal - resultat'!$F$33:$H$46,,MATCH(E484,'Landbrugsareal - resultat'!$F$5:$H$5,0)))),SUMPRODUCT((B484='Landbrugsareal - resultat'!$B$33:$B$46)*(INDEX('Landbrugsareal - resultat'!$I$33:$K$46,,MATCH(E484,'Landbrugsareal - resultat'!$I$5:$K$5,0)))))),IF(C484=2019,SUMPRODUCT((B484='Landbrugsareal - resultat'!$B$33:$B$46)*(INDEX('Landbrugsareal - resultat'!$L$33:$N$46,,MATCH(E484,'Landbrugsareal - resultat'!$L$5:$N$5,0)))),IF(C484=2030,SUMPRODUCT((B484='Landbrugsareal - resultat'!$B$33:$B$46)*(INDEX('Landbrugsareal - resultat'!$O$33:$Q$46,,MATCH(E484,'Landbrugsareal - resultat'!$O$5:$Q$5,0)))),SUMPRODUCT((B484='Landbrugsareal - resultat'!$B$33:$B$46)*(INDEX('Landbrugsareal - resultat'!$R$33:$T$46,,MATCH(E484,'Landbrugsareal - resultat'!$R$5:$T$5,0))))))))</f>
        <v>6.8937705154008846</v>
      </c>
      <c r="H484" s="168">
        <f>G484*VLOOKUP(B484,[1]Afgrødedata!$A$5:$F$18,2,FALSE)*IF(D484="Økologisk",VLOOKUP(B484,[1]Afgrødedata!$A$5:$F$18,4,FALSE),1)*IF(E484&lt;&gt;Jordbund1,IF(E484=Organ6,VLOOKUP(B484,[1]Afgrødedata!$A$5:$F$18,5,FALSE),VLOOKUP(B484,[1]Afgrødedata!$A$5:$F$18,6,FALSE)),1)*0.1</f>
        <v>446.9953727657051</v>
      </c>
      <c r="I484" s="168">
        <f>G484*VLOOKUP(B484,[1]Afgrødedata!$A$5:$F$18,3,FALSE)*IF(D484="Økologisk",VLOOKUP(B484,[1]Afgrødedata!$A$5:$F$18,4,FALSE),1)*IF(E484&lt;&gt;Jordbund1,IF(E484=Organ6,VLOOKUP(B484,[1]Afgrødedata!$A$5:$F$18,5,FALSE),VLOOKUP(B484,[1]Afgrødedata!$A$5:$F$18,6,FALSE)),1)*HLOOKUP(C484,Landbrug!$C$15:$E$17,2,FALSE)*HLOOKUP(C484,Landbrug!$C$15:$E$17,3,FALSE)*0.1</f>
        <v>0</v>
      </c>
      <c r="J484" s="76">
        <f t="shared" si="68"/>
        <v>446.9953727657051</v>
      </c>
    </row>
    <row r="485" spans="1:10" x14ac:dyDescent="0.25">
      <c r="A485" t="s">
        <v>24</v>
      </c>
      <c r="B485" s="1" t="str">
        <f>[1]Afgrødefordeling!$C$9</f>
        <v>Majs</v>
      </c>
      <c r="C485">
        <v>2030</v>
      </c>
      <c r="D485" t="s">
        <v>8</v>
      </c>
      <c r="E485" s="168" t="str">
        <f t="shared" si="66"/>
        <v>OC12</v>
      </c>
      <c r="F485" t="str">
        <f t="shared" si="67"/>
        <v>Majs</v>
      </c>
      <c r="G485" s="76" cm="1">
        <f t="array" ref="G485">IF(A485="Vestdanmark",IF(D485="Konventionel",IF(C485=2019,SUMPRODUCT((B485='Landbrugsareal - resultat'!$B$6:$B$19)*(INDEX('Landbrugsareal - resultat'!$C$6:$E$19,,MATCH(E485,'Landbrugsareal - resultat'!$C$5:$E$5,0)))),IF(C485=2030,SUMPRODUCT((B485='Landbrugsareal - resultat'!$B$6:$B$19)*(INDEX('Landbrugsareal - resultat'!$F$6:$H$19,,MATCH(E485,'Landbrugsareal - resultat'!$F$5:$H$5,0)))),SUMPRODUCT((B485='Landbrugsareal - resultat'!$B$6:$B$19)*(INDEX('Landbrugsareal - resultat'!$I$6:$K$19,,MATCH(E485,'Landbrugsareal - resultat'!$I$5:$K$5,0)))))),IF(C485=2019,SUMPRODUCT((B485='Landbrugsareal - resultat'!$B$6:$B$19)*(INDEX('Landbrugsareal - resultat'!$L$6:$N$19,,MATCH(E485,'Landbrugsareal - resultat'!$L$5:$N$5,0)))),IF(C485=2030,SUMPRODUCT((B485='Landbrugsareal - resultat'!$B$6:$B$19)*(INDEX('Landbrugsareal - resultat'!$O$6:$Q$19,,MATCH(E485,'Landbrugsareal - resultat'!$O$5:$Q$5,0)))),SUMPRODUCT((B485='Landbrugsareal - resultat'!$B$6:$B$19)*(INDEX('Landbrugsareal - resultat'!$R$6:$T$19,,MATCH(E485,'Landbrugsareal - resultat'!$R$5:$T$5,0))))))),IF(D485="Konventionel",IF(C485=2019,SUMPRODUCT((B485='Landbrugsareal - resultat'!$B$33:$B$46)*(INDEX('Landbrugsareal - resultat'!$C$33:$E$46,,MATCH(E485,'Landbrugsareal - resultat'!$C$5:$E$5,0)))),IF(C485=2030,SUMPRODUCT((B485='Landbrugsareal - resultat'!$B$33:$B$46)*(INDEX('Landbrugsareal - resultat'!$F$33:$H$46,,MATCH(E485,'Landbrugsareal - resultat'!$F$5:$H$5,0)))),SUMPRODUCT((B485='Landbrugsareal - resultat'!$B$33:$B$46)*(INDEX('Landbrugsareal - resultat'!$I$33:$K$46,,MATCH(E485,'Landbrugsareal - resultat'!$I$5:$K$5,0)))))),IF(C485=2019,SUMPRODUCT((B485='Landbrugsareal - resultat'!$B$33:$B$46)*(INDEX('Landbrugsareal - resultat'!$L$33:$N$46,,MATCH(E485,'Landbrugsareal - resultat'!$L$5:$N$5,0)))),IF(C485=2030,SUMPRODUCT((B485='Landbrugsareal - resultat'!$B$33:$B$46)*(INDEX('Landbrugsareal - resultat'!$O$33:$Q$46,,MATCH(E485,'Landbrugsareal - resultat'!$O$5:$Q$5,0)))),SUMPRODUCT((B485='Landbrugsareal - resultat'!$B$33:$B$46)*(INDEX('Landbrugsareal - resultat'!$R$33:$T$46,,MATCH(E485,'Landbrugsareal - resultat'!$R$5:$T$5,0))))))))</f>
        <v>7.080781352753875</v>
      </c>
      <c r="H485" s="168">
        <f>G485*VLOOKUP(B485,[1]Afgrødedata!$A$5:$F$18,2,FALSE)*IF(D485="Økologisk",VLOOKUP(B485,[1]Afgrødedata!$A$5:$F$18,4,FALSE),1)*IF(E485&lt;&gt;Jordbund1,IF(E485=Organ6,VLOOKUP(B485,[1]Afgrødedata!$A$5:$F$18,5,FALSE),VLOOKUP(B485,[1]Afgrødedata!$A$5:$F$18,6,FALSE)),1)*0.1</f>
        <v>366.22240164886915</v>
      </c>
      <c r="I485" s="168">
        <f>G485*VLOOKUP(B485,[1]Afgrødedata!$A$5:$F$18,3,FALSE)*IF(D485="Økologisk",VLOOKUP(B485,[1]Afgrødedata!$A$5:$F$18,4,FALSE),1)*IF(E485&lt;&gt;Jordbund1,IF(E485=Organ6,VLOOKUP(B485,[1]Afgrødedata!$A$5:$F$18,5,FALSE),VLOOKUP(B485,[1]Afgrødedata!$A$5:$F$18,6,FALSE)),1)*HLOOKUP(C485,Landbrug!$C$15:$E$17,2,FALSE)*HLOOKUP(C485,Landbrug!$C$15:$E$17,3,FALSE)*0.1</f>
        <v>0</v>
      </c>
      <c r="J485" s="76">
        <f t="shared" si="68"/>
        <v>366.22240164886915</v>
      </c>
    </row>
    <row r="486" spans="1:10" x14ac:dyDescent="0.25">
      <c r="A486" t="s">
        <v>24</v>
      </c>
      <c r="B486" s="1" t="str">
        <f>[1]Afgrødefordeling!$C$10</f>
        <v>Frugt</v>
      </c>
      <c r="C486">
        <v>2030</v>
      </c>
      <c r="D486" t="s">
        <v>8</v>
      </c>
      <c r="E486" s="168" t="str">
        <f t="shared" ref="E486:E505" si="69">Organ12</f>
        <v>OC12</v>
      </c>
      <c r="F486" t="str">
        <f t="shared" si="67"/>
        <v>Frugt</v>
      </c>
      <c r="G486" s="76" cm="1">
        <f t="array" ref="G486">IF(A486="Vestdanmark",IF(D486="Konventionel",IF(C486=2019,SUMPRODUCT((B486='Landbrugsareal - resultat'!$B$6:$B$19)*(INDEX('Landbrugsareal - resultat'!$C$6:$E$19,,MATCH(E486,'Landbrugsareal - resultat'!$C$5:$E$5,0)))),IF(C486=2030,SUMPRODUCT((B486='Landbrugsareal - resultat'!$B$6:$B$19)*(INDEX('Landbrugsareal - resultat'!$F$6:$H$19,,MATCH(E486,'Landbrugsareal - resultat'!$F$5:$H$5,0)))),SUMPRODUCT((B486='Landbrugsareal - resultat'!$B$6:$B$19)*(INDEX('Landbrugsareal - resultat'!$I$6:$K$19,,MATCH(E486,'Landbrugsareal - resultat'!$I$5:$K$5,0)))))),IF(C486=2019,SUMPRODUCT((B486='Landbrugsareal - resultat'!$B$6:$B$19)*(INDEX('Landbrugsareal - resultat'!$L$6:$N$19,,MATCH(E486,'Landbrugsareal - resultat'!$L$5:$N$5,0)))),IF(C486=2030,SUMPRODUCT((B486='Landbrugsareal - resultat'!$B$6:$B$19)*(INDEX('Landbrugsareal - resultat'!$O$6:$Q$19,,MATCH(E486,'Landbrugsareal - resultat'!$O$5:$Q$5,0)))),SUMPRODUCT((B486='Landbrugsareal - resultat'!$B$6:$B$19)*(INDEX('Landbrugsareal - resultat'!$R$6:$T$19,,MATCH(E486,'Landbrugsareal - resultat'!$R$5:$T$5,0))))))),IF(D486="Konventionel",IF(C486=2019,SUMPRODUCT((B486='Landbrugsareal - resultat'!$B$33:$B$46)*(INDEX('Landbrugsareal - resultat'!$C$33:$E$46,,MATCH(E486,'Landbrugsareal - resultat'!$C$5:$E$5,0)))),IF(C486=2030,SUMPRODUCT((B486='Landbrugsareal - resultat'!$B$33:$B$46)*(INDEX('Landbrugsareal - resultat'!$F$33:$H$46,,MATCH(E486,'Landbrugsareal - resultat'!$F$5:$H$5,0)))),SUMPRODUCT((B486='Landbrugsareal - resultat'!$B$33:$B$46)*(INDEX('Landbrugsareal - resultat'!$I$33:$K$46,,MATCH(E486,'Landbrugsareal - resultat'!$I$5:$K$5,0)))))),IF(C486=2019,SUMPRODUCT((B486='Landbrugsareal - resultat'!$B$33:$B$46)*(INDEX('Landbrugsareal - resultat'!$L$33:$N$46,,MATCH(E486,'Landbrugsareal - resultat'!$L$5:$N$5,0)))),IF(C486=2030,SUMPRODUCT((B486='Landbrugsareal - resultat'!$B$33:$B$46)*(INDEX('Landbrugsareal - resultat'!$O$33:$Q$46,,MATCH(E486,'Landbrugsareal - resultat'!$O$5:$Q$5,0)))),SUMPRODUCT((B486='Landbrugsareal - resultat'!$B$33:$B$46)*(INDEX('Landbrugsareal - resultat'!$R$33:$T$46,,MATCH(E486,'Landbrugsareal - resultat'!$R$5:$T$5,0))))))))</f>
        <v>2.569441877805037</v>
      </c>
      <c r="H486" s="168">
        <f>G486*VLOOKUP(B486,[1]Afgrødedata!$A$5:$F$18,2,FALSE)*IF(D486="Økologisk",VLOOKUP(B486,[1]Afgrødedata!$A$5:$F$18,4,FALSE),1)*IF(E486&lt;&gt;Jordbund1,IF(E486=Organ6,VLOOKUP(B486,[1]Afgrødedata!$A$5:$F$18,5,FALSE),VLOOKUP(B486,[1]Afgrødedata!$A$5:$F$18,6,FALSE)),1)*0.1</f>
        <v>17.408020110966682</v>
      </c>
      <c r="I486" s="168">
        <f>G486*VLOOKUP(B486,[1]Afgrødedata!$A$5:$F$18,3,FALSE)*IF(D486="Økologisk",VLOOKUP(B486,[1]Afgrødedata!$A$5:$F$18,4,FALSE),1)*IF(E486&lt;&gt;Jordbund1,IF(E486=Organ6,VLOOKUP(B486,[1]Afgrødedata!$A$5:$F$18,5,FALSE),VLOOKUP(B486,[1]Afgrødedata!$A$5:$F$18,6,FALSE)),1)*HLOOKUP(C486,Landbrug!$C$15:$E$17,2,FALSE)*HLOOKUP(C486,Landbrug!$C$15:$E$17,3,FALSE)*0.1</f>
        <v>0</v>
      </c>
      <c r="J486" s="76">
        <f t="shared" si="68"/>
        <v>17.408020110966682</v>
      </c>
    </row>
    <row r="487" spans="1:10" x14ac:dyDescent="0.25">
      <c r="A487" t="s">
        <v>24</v>
      </c>
      <c r="B487" s="1" t="str">
        <f>[1]Afgrødefordeling!$C$11</f>
        <v>Øvrige</v>
      </c>
      <c r="C487">
        <v>2030</v>
      </c>
      <c r="D487" t="s">
        <v>8</v>
      </c>
      <c r="E487" s="168" t="str">
        <f t="shared" si="69"/>
        <v>OC12</v>
      </c>
      <c r="F487" t="str">
        <f t="shared" si="67"/>
        <v>Øvrige</v>
      </c>
      <c r="G487" s="76" cm="1">
        <f t="array" ref="G487">IF(A487="Vestdanmark",IF(D487="Konventionel",IF(C487=2019,SUMPRODUCT((B487='Landbrugsareal - resultat'!$B$6:$B$19)*(INDEX('Landbrugsareal - resultat'!$C$6:$E$19,,MATCH(E487,'Landbrugsareal - resultat'!$C$5:$E$5,0)))),IF(C487=2030,SUMPRODUCT((B487='Landbrugsareal - resultat'!$B$6:$B$19)*(INDEX('Landbrugsareal - resultat'!$F$6:$H$19,,MATCH(E487,'Landbrugsareal - resultat'!$F$5:$H$5,0)))),SUMPRODUCT((B487='Landbrugsareal - resultat'!$B$6:$B$19)*(INDEX('Landbrugsareal - resultat'!$I$6:$K$19,,MATCH(E487,'Landbrugsareal - resultat'!$I$5:$K$5,0)))))),IF(C487=2019,SUMPRODUCT((B487='Landbrugsareal - resultat'!$B$6:$B$19)*(INDEX('Landbrugsareal - resultat'!$L$6:$N$19,,MATCH(E487,'Landbrugsareal - resultat'!$L$5:$N$5,0)))),IF(C487=2030,SUMPRODUCT((B487='Landbrugsareal - resultat'!$B$6:$B$19)*(INDEX('Landbrugsareal - resultat'!$O$6:$Q$19,,MATCH(E487,'Landbrugsareal - resultat'!$O$5:$Q$5,0)))),SUMPRODUCT((B487='Landbrugsareal - resultat'!$B$6:$B$19)*(INDEX('Landbrugsareal - resultat'!$R$6:$T$19,,MATCH(E487,'Landbrugsareal - resultat'!$R$5:$T$5,0))))))),IF(D487="Konventionel",IF(C487=2019,SUMPRODUCT((B487='Landbrugsareal - resultat'!$B$33:$B$46)*(INDEX('Landbrugsareal - resultat'!$C$33:$E$46,,MATCH(E487,'Landbrugsareal - resultat'!$C$5:$E$5,0)))),IF(C487=2030,SUMPRODUCT((B487='Landbrugsareal - resultat'!$B$33:$B$46)*(INDEX('Landbrugsareal - resultat'!$F$33:$H$46,,MATCH(E487,'Landbrugsareal - resultat'!$F$5:$H$5,0)))),SUMPRODUCT((B487='Landbrugsareal - resultat'!$B$33:$B$46)*(INDEX('Landbrugsareal - resultat'!$I$33:$K$46,,MATCH(E487,'Landbrugsareal - resultat'!$I$5:$K$5,0)))))),IF(C487=2019,SUMPRODUCT((B487='Landbrugsareal - resultat'!$B$33:$B$46)*(INDEX('Landbrugsareal - resultat'!$L$33:$N$46,,MATCH(E487,'Landbrugsareal - resultat'!$L$5:$N$5,0)))),IF(C487=2030,SUMPRODUCT((B487='Landbrugsareal - resultat'!$B$33:$B$46)*(INDEX('Landbrugsareal - resultat'!$O$33:$Q$46,,MATCH(E487,'Landbrugsareal - resultat'!$O$5:$Q$5,0)))),SUMPRODUCT((B487='Landbrugsareal - resultat'!$B$33:$B$46)*(INDEX('Landbrugsareal - resultat'!$R$33:$T$46,,MATCH(E487,'Landbrugsareal - resultat'!$R$5:$T$5,0))))))))</f>
        <v>18.347061216900691</v>
      </c>
      <c r="H487" s="168">
        <f>G487*VLOOKUP(B487,[1]Afgrødedata!$A$5:$F$18,2,FALSE)*IF(D487="Økologisk",VLOOKUP(B487,[1]Afgrødedata!$A$5:$F$18,4,FALSE),1)*IF(E487&lt;&gt;Jordbund1,IF(E487=Organ6,VLOOKUP(B487,[1]Afgrødedata!$A$5:$F$18,5,FALSE),VLOOKUP(B487,[1]Afgrødedata!$A$5:$F$18,6,FALSE)),1)*0.1</f>
        <v>436.24106364888695</v>
      </c>
      <c r="I487" s="168">
        <f>G487*VLOOKUP(B487,[1]Afgrødedata!$A$5:$F$18,3,FALSE)*IF(D487="Økologisk",VLOOKUP(B487,[1]Afgrødedata!$A$5:$F$18,4,FALSE),1)*IF(E487&lt;&gt;Jordbund1,IF(E487=Organ6,VLOOKUP(B487,[1]Afgrødedata!$A$5:$F$18,5,FALSE),VLOOKUP(B487,[1]Afgrødedata!$A$5:$F$18,6,FALSE)),1)*HLOOKUP(C487,Landbrug!$C$15:$E$17,2,FALSE)*HLOOKUP(C487,Landbrug!$C$15:$E$17,3,FALSE)*0.1</f>
        <v>0</v>
      </c>
      <c r="J487" s="76">
        <f t="shared" si="68"/>
        <v>436.24106364888695</v>
      </c>
    </row>
    <row r="488" spans="1:10" x14ac:dyDescent="0.25">
      <c r="A488" t="s">
        <v>24</v>
      </c>
      <c r="B488" s="1" t="str">
        <f>[1]Afgrødefordeling!$C$12</f>
        <v>Frø</v>
      </c>
      <c r="C488">
        <v>2030</v>
      </c>
      <c r="D488" t="s">
        <v>8</v>
      </c>
      <c r="E488" s="168" t="str">
        <f t="shared" si="69"/>
        <v>OC12</v>
      </c>
      <c r="F488" t="str">
        <f t="shared" si="67"/>
        <v>Halm</v>
      </c>
      <c r="G488" s="76" cm="1">
        <f t="array" ref="G488">IF(A488="Vestdanmark",IF(D488="Konventionel",IF(C488=2019,SUMPRODUCT((B488='Landbrugsareal - resultat'!$B$6:$B$19)*(INDEX('Landbrugsareal - resultat'!$C$6:$E$19,,MATCH(E488,'Landbrugsareal - resultat'!$C$5:$E$5,0)))),IF(C488=2030,SUMPRODUCT((B488='Landbrugsareal - resultat'!$B$6:$B$19)*(INDEX('Landbrugsareal - resultat'!$F$6:$H$19,,MATCH(E488,'Landbrugsareal - resultat'!$F$5:$H$5,0)))),SUMPRODUCT((B488='Landbrugsareal - resultat'!$B$6:$B$19)*(INDEX('Landbrugsareal - resultat'!$I$6:$K$19,,MATCH(E488,'Landbrugsareal - resultat'!$I$5:$K$5,0)))))),IF(C488=2019,SUMPRODUCT((B488='Landbrugsareal - resultat'!$B$6:$B$19)*(INDEX('Landbrugsareal - resultat'!$L$6:$N$19,,MATCH(E488,'Landbrugsareal - resultat'!$L$5:$N$5,0)))),IF(C488=2030,SUMPRODUCT((B488='Landbrugsareal - resultat'!$B$6:$B$19)*(INDEX('Landbrugsareal - resultat'!$O$6:$Q$19,,MATCH(E488,'Landbrugsareal - resultat'!$O$5:$Q$5,0)))),SUMPRODUCT((B488='Landbrugsareal - resultat'!$B$6:$B$19)*(INDEX('Landbrugsareal - resultat'!$R$6:$T$19,,MATCH(E488,'Landbrugsareal - resultat'!$R$5:$T$5,0))))))),IF(D488="Konventionel",IF(C488=2019,SUMPRODUCT((B488='Landbrugsareal - resultat'!$B$33:$B$46)*(INDEX('Landbrugsareal - resultat'!$C$33:$E$46,,MATCH(E488,'Landbrugsareal - resultat'!$C$5:$E$5,0)))),IF(C488=2030,SUMPRODUCT((B488='Landbrugsareal - resultat'!$B$33:$B$46)*(INDEX('Landbrugsareal - resultat'!$F$33:$H$46,,MATCH(E488,'Landbrugsareal - resultat'!$F$5:$H$5,0)))),SUMPRODUCT((B488='Landbrugsareal - resultat'!$B$33:$B$46)*(INDEX('Landbrugsareal - resultat'!$I$33:$K$46,,MATCH(E488,'Landbrugsareal - resultat'!$I$5:$K$5,0)))))),IF(C488=2019,SUMPRODUCT((B488='Landbrugsareal - resultat'!$B$33:$B$46)*(INDEX('Landbrugsareal - resultat'!$L$33:$N$46,,MATCH(E488,'Landbrugsareal - resultat'!$L$5:$N$5,0)))),IF(C488=2030,SUMPRODUCT((B488='Landbrugsareal - resultat'!$B$33:$B$46)*(INDEX('Landbrugsareal - resultat'!$O$33:$Q$46,,MATCH(E488,'Landbrugsareal - resultat'!$O$5:$Q$5,0)))),SUMPRODUCT((B488='Landbrugsareal - resultat'!$B$33:$B$46)*(INDEX('Landbrugsareal - resultat'!$R$33:$T$46,,MATCH(E488,'Landbrugsareal - resultat'!$R$5:$T$5,0))))))))</f>
        <v>171.6950558389579</v>
      </c>
      <c r="H488" s="168">
        <f>G488*VLOOKUP(B488,[1]Afgrødedata!$A$5:$F$18,2,FALSE)*IF(D488="Økologisk",VLOOKUP(B488,[1]Afgrødedata!$A$5:$F$18,4,FALSE),1)*IF(E488&lt;&gt;Jordbund1,IF(E488=Organ6,VLOOKUP(B488,[1]Afgrødedata!$A$5:$F$18,5,FALSE),VLOOKUP(B488,[1]Afgrødedata!$A$5:$F$18,6,FALSE)),1)*0.1</f>
        <v>1957.7547432891349</v>
      </c>
      <c r="I488" s="168">
        <f>G488*VLOOKUP(B488,[1]Afgrødedata!$A$5:$F$18,3,FALSE)*IF(D488="Økologisk",VLOOKUP(B488,[1]Afgrødedata!$A$5:$F$18,4,FALSE),1)*IF(E488&lt;&gt;Jordbund1,IF(E488=Organ6,VLOOKUP(B488,[1]Afgrødedata!$A$5:$F$18,5,FALSE),VLOOKUP(B488,[1]Afgrødedata!$A$5:$F$18,6,FALSE)),1)*HLOOKUP(C488,Landbrug!$C$15:$E$17,2,FALSE)*HLOOKUP(C488,Landbrug!$C$15:$E$17,3,FALSE)*0.1</f>
        <v>323.34986476039256</v>
      </c>
      <c r="J488" s="76">
        <f t="shared" ref="J488:J505" si="70">IF(I488&lt;&gt;0,I488,H488)</f>
        <v>323.34986476039256</v>
      </c>
    </row>
    <row r="489" spans="1:10" x14ac:dyDescent="0.25">
      <c r="A489" t="s">
        <v>24</v>
      </c>
      <c r="B489" s="1" t="str">
        <f>[1]Afgrødefordeling!$C$13</f>
        <v>Juletræer</v>
      </c>
      <c r="C489">
        <v>2030</v>
      </c>
      <c r="D489" t="s">
        <v>8</v>
      </c>
      <c r="E489" s="168" t="str">
        <f t="shared" si="69"/>
        <v>OC12</v>
      </c>
      <c r="F489" t="str">
        <f t="shared" si="67"/>
        <v>Juletræer</v>
      </c>
      <c r="G489" s="76" cm="1">
        <f t="array" ref="G489">IF(A489="Vestdanmark",IF(D489="Konventionel",IF(C489=2019,SUMPRODUCT((B489='Landbrugsareal - resultat'!$B$6:$B$19)*(INDEX('Landbrugsareal - resultat'!$C$6:$E$19,,MATCH(E489,'Landbrugsareal - resultat'!$C$5:$E$5,0)))),IF(C489=2030,SUMPRODUCT((B489='Landbrugsareal - resultat'!$B$6:$B$19)*(INDEX('Landbrugsareal - resultat'!$F$6:$H$19,,MATCH(E489,'Landbrugsareal - resultat'!$F$5:$H$5,0)))),SUMPRODUCT((B489='Landbrugsareal - resultat'!$B$6:$B$19)*(INDEX('Landbrugsareal - resultat'!$I$6:$K$19,,MATCH(E489,'Landbrugsareal - resultat'!$I$5:$K$5,0)))))),IF(C489=2019,SUMPRODUCT((B489='Landbrugsareal - resultat'!$B$6:$B$19)*(INDEX('Landbrugsareal - resultat'!$L$6:$N$19,,MATCH(E489,'Landbrugsareal - resultat'!$L$5:$N$5,0)))),IF(C489=2030,SUMPRODUCT((B489='Landbrugsareal - resultat'!$B$6:$B$19)*(INDEX('Landbrugsareal - resultat'!$O$6:$Q$19,,MATCH(E489,'Landbrugsareal - resultat'!$O$5:$Q$5,0)))),SUMPRODUCT((B489='Landbrugsareal - resultat'!$B$6:$B$19)*(INDEX('Landbrugsareal - resultat'!$R$6:$T$19,,MATCH(E489,'Landbrugsareal - resultat'!$R$5:$T$5,0))))))),IF(D489="Konventionel",IF(C489=2019,SUMPRODUCT((B489='Landbrugsareal - resultat'!$B$33:$B$46)*(INDEX('Landbrugsareal - resultat'!$C$33:$E$46,,MATCH(E489,'Landbrugsareal - resultat'!$C$5:$E$5,0)))),IF(C489=2030,SUMPRODUCT((B489='Landbrugsareal - resultat'!$B$33:$B$46)*(INDEX('Landbrugsareal - resultat'!$F$33:$H$46,,MATCH(E489,'Landbrugsareal - resultat'!$F$5:$H$5,0)))),SUMPRODUCT((B489='Landbrugsareal - resultat'!$B$33:$B$46)*(INDEX('Landbrugsareal - resultat'!$I$33:$K$46,,MATCH(E489,'Landbrugsareal - resultat'!$I$5:$K$5,0)))))),IF(C489=2019,SUMPRODUCT((B489='Landbrugsareal - resultat'!$B$33:$B$46)*(INDEX('Landbrugsareal - resultat'!$L$33:$N$46,,MATCH(E489,'Landbrugsareal - resultat'!$L$5:$N$5,0)))),IF(C489=2030,SUMPRODUCT((B489='Landbrugsareal - resultat'!$B$33:$B$46)*(INDEX('Landbrugsareal - resultat'!$O$33:$Q$46,,MATCH(E489,'Landbrugsareal - resultat'!$O$5:$Q$5,0)))),SUMPRODUCT((B489='Landbrugsareal - resultat'!$B$33:$B$46)*(INDEX('Landbrugsareal - resultat'!$R$33:$T$46,,MATCH(E489,'Landbrugsareal - resultat'!$R$5:$T$5,0))))))))</f>
        <v>4.0263008007612289</v>
      </c>
      <c r="H489" s="168">
        <f>G489*VLOOKUP(B489,[1]Afgrødedata!$A$5:$F$18,2,FALSE)*IF(D489="Økologisk",VLOOKUP(B489,[1]Afgrødedata!$A$5:$F$18,4,FALSE),1)*IF(E489&lt;&gt;Jordbund1,IF(E489=Organ6,VLOOKUP(B489,[1]Afgrødedata!$A$5:$F$18,5,FALSE),VLOOKUP(B489,[1]Afgrødedata!$A$5:$F$18,6,FALSE)),1)*0.1</f>
        <v>160.649401950373</v>
      </c>
      <c r="I489" s="168">
        <f>G489*VLOOKUP(B489,[1]Afgrødedata!$A$5:$F$18,3,FALSE)*IF(D489="Økologisk",VLOOKUP(B489,[1]Afgrødedata!$A$5:$F$18,4,FALSE),1)*IF(E489&lt;&gt;Jordbund1,IF(E489=Organ6,VLOOKUP(B489,[1]Afgrødedata!$A$5:$F$18,5,FALSE),VLOOKUP(B489,[1]Afgrødedata!$A$5:$F$18,6,FALSE)),1)*HLOOKUP(C489,Landbrug!$C$15:$E$17,2,FALSE)*HLOOKUP(C489,Landbrug!$C$15:$E$17,3,FALSE)*0.1</f>
        <v>0</v>
      </c>
      <c r="J489" s="76">
        <f t="shared" si="70"/>
        <v>160.649401950373</v>
      </c>
    </row>
    <row r="490" spans="1:10" x14ac:dyDescent="0.25">
      <c r="A490" t="s">
        <v>24</v>
      </c>
      <c r="B490" s="1" t="str">
        <f>[1]Afgrødefordeling!$C$14</f>
        <v>Pil &amp; poppel</v>
      </c>
      <c r="C490">
        <v>2030</v>
      </c>
      <c r="D490" t="s">
        <v>8</v>
      </c>
      <c r="E490" s="168" t="str">
        <f t="shared" si="69"/>
        <v>OC12</v>
      </c>
      <c r="F490" t="str">
        <f t="shared" si="67"/>
        <v>Pil &amp; poppel</v>
      </c>
      <c r="G490" s="76" cm="1">
        <f t="array" ref="G490">IF(A490="Vestdanmark",IF(D490="Konventionel",IF(C490=2019,SUMPRODUCT((B490='Landbrugsareal - resultat'!$B$6:$B$19)*(INDEX('Landbrugsareal - resultat'!$C$6:$E$19,,MATCH(E490,'Landbrugsareal - resultat'!$C$5:$E$5,0)))),IF(C490=2030,SUMPRODUCT((B490='Landbrugsareal - resultat'!$B$6:$B$19)*(INDEX('Landbrugsareal - resultat'!$F$6:$H$19,,MATCH(E490,'Landbrugsareal - resultat'!$F$5:$H$5,0)))),SUMPRODUCT((B490='Landbrugsareal - resultat'!$B$6:$B$19)*(INDEX('Landbrugsareal - resultat'!$I$6:$K$19,,MATCH(E490,'Landbrugsareal - resultat'!$I$5:$K$5,0)))))),IF(C490=2019,SUMPRODUCT((B490='Landbrugsareal - resultat'!$B$6:$B$19)*(INDEX('Landbrugsareal - resultat'!$L$6:$N$19,,MATCH(E490,'Landbrugsareal - resultat'!$L$5:$N$5,0)))),IF(C490=2030,SUMPRODUCT((B490='Landbrugsareal - resultat'!$B$6:$B$19)*(INDEX('Landbrugsareal - resultat'!$O$6:$Q$19,,MATCH(E490,'Landbrugsareal - resultat'!$O$5:$Q$5,0)))),SUMPRODUCT((B490='Landbrugsareal - resultat'!$B$6:$B$19)*(INDEX('Landbrugsareal - resultat'!$R$6:$T$19,,MATCH(E490,'Landbrugsareal - resultat'!$R$5:$T$5,0))))))),IF(D490="Konventionel",IF(C490=2019,SUMPRODUCT((B490='Landbrugsareal - resultat'!$B$33:$B$46)*(INDEX('Landbrugsareal - resultat'!$C$33:$E$46,,MATCH(E490,'Landbrugsareal - resultat'!$C$5:$E$5,0)))),IF(C490=2030,SUMPRODUCT((B490='Landbrugsareal - resultat'!$B$33:$B$46)*(INDEX('Landbrugsareal - resultat'!$F$33:$H$46,,MATCH(E490,'Landbrugsareal - resultat'!$F$5:$H$5,0)))),SUMPRODUCT((B490='Landbrugsareal - resultat'!$B$33:$B$46)*(INDEX('Landbrugsareal - resultat'!$I$33:$K$46,,MATCH(E490,'Landbrugsareal - resultat'!$I$5:$K$5,0)))))),IF(C490=2019,SUMPRODUCT((B490='Landbrugsareal - resultat'!$B$33:$B$46)*(INDEX('Landbrugsareal - resultat'!$L$33:$N$46,,MATCH(E490,'Landbrugsareal - resultat'!$L$5:$N$5,0)))),IF(C490=2030,SUMPRODUCT((B490='Landbrugsareal - resultat'!$B$33:$B$46)*(INDEX('Landbrugsareal - resultat'!$O$33:$Q$46,,MATCH(E490,'Landbrugsareal - resultat'!$O$5:$Q$5,0)))),SUMPRODUCT((B490='Landbrugsareal - resultat'!$B$33:$B$46)*(INDEX('Landbrugsareal - resultat'!$R$33:$T$46,,MATCH(E490,'Landbrugsareal - resultat'!$R$5:$T$5,0))))))))</f>
        <v>12.281905484460736</v>
      </c>
      <c r="H490" s="168">
        <f>G490*VLOOKUP(B490,[1]Afgrødedata!$A$5:$F$18,2,FALSE)*IF(D490="Økologisk",VLOOKUP(B490,[1]Afgrødedata!$A$5:$F$18,4,FALSE),1)*IF(E490&lt;&gt;Jordbund1,IF(E490=Organ6,VLOOKUP(B490,[1]Afgrødedata!$A$5:$F$18,5,FALSE),VLOOKUP(B490,[1]Afgrødedata!$A$5:$F$18,6,FALSE)),1)*0.1</f>
        <v>239.04781894145526</v>
      </c>
      <c r="I490" s="168">
        <f>G490*VLOOKUP(B490,[1]Afgrødedata!$A$5:$F$18,3,FALSE)*IF(D490="Økologisk",VLOOKUP(B490,[1]Afgrødedata!$A$5:$F$18,4,FALSE),1)*IF(E490&lt;&gt;Jordbund1,IF(E490=Organ6,VLOOKUP(B490,[1]Afgrødedata!$A$5:$F$18,5,FALSE),VLOOKUP(B490,[1]Afgrødedata!$A$5:$F$18,6,FALSE)),1)*HLOOKUP(C490,Landbrug!$C$15:$E$17,2,FALSE)*HLOOKUP(C490,Landbrug!$C$15:$E$17,3,FALSE)*0.1</f>
        <v>0</v>
      </c>
      <c r="J490" s="76">
        <f t="shared" si="70"/>
        <v>239.04781894145526</v>
      </c>
    </row>
    <row r="491" spans="1:10" x14ac:dyDescent="0.25">
      <c r="A491" t="s">
        <v>24</v>
      </c>
      <c r="B491" s="1" t="str">
        <f>[1]Afgrødefordeling!$C$15</f>
        <v>Permanent græs</v>
      </c>
      <c r="C491">
        <v>2030</v>
      </c>
      <c r="D491" t="s">
        <v>8</v>
      </c>
      <c r="E491" s="168" t="str">
        <f t="shared" si="69"/>
        <v>OC12</v>
      </c>
      <c r="F491" t="str">
        <f t="shared" si="67"/>
        <v>Græs</v>
      </c>
      <c r="G491" s="76" cm="1">
        <f t="array" ref="G491">IF(A491="Vestdanmark",IF(D491="Konventionel",IF(C491=2019,SUMPRODUCT((B491='Landbrugsareal - resultat'!$B$6:$B$19)*(INDEX('Landbrugsareal - resultat'!$C$6:$E$19,,MATCH(E491,'Landbrugsareal - resultat'!$C$5:$E$5,0)))),IF(C491=2030,SUMPRODUCT((B491='Landbrugsareal - resultat'!$B$6:$B$19)*(INDEX('Landbrugsareal - resultat'!$F$6:$H$19,,MATCH(E491,'Landbrugsareal - resultat'!$F$5:$H$5,0)))),SUMPRODUCT((B491='Landbrugsareal - resultat'!$B$6:$B$19)*(INDEX('Landbrugsareal - resultat'!$I$6:$K$19,,MATCH(E491,'Landbrugsareal - resultat'!$I$5:$K$5,0)))))),IF(C491=2019,SUMPRODUCT((B491='Landbrugsareal - resultat'!$B$6:$B$19)*(INDEX('Landbrugsareal - resultat'!$L$6:$N$19,,MATCH(E491,'Landbrugsareal - resultat'!$L$5:$N$5,0)))),IF(C491=2030,SUMPRODUCT((B491='Landbrugsareal - resultat'!$B$6:$B$19)*(INDEX('Landbrugsareal - resultat'!$O$6:$Q$19,,MATCH(E491,'Landbrugsareal - resultat'!$O$5:$Q$5,0)))),SUMPRODUCT((B491='Landbrugsareal - resultat'!$B$6:$B$19)*(INDEX('Landbrugsareal - resultat'!$R$6:$T$19,,MATCH(E491,'Landbrugsareal - resultat'!$R$5:$T$5,0))))))),IF(D491="Konventionel",IF(C491=2019,SUMPRODUCT((B491='Landbrugsareal - resultat'!$B$33:$B$46)*(INDEX('Landbrugsareal - resultat'!$C$33:$E$46,,MATCH(E491,'Landbrugsareal - resultat'!$C$5:$E$5,0)))),IF(C491=2030,SUMPRODUCT((B491='Landbrugsareal - resultat'!$B$33:$B$46)*(INDEX('Landbrugsareal - resultat'!$F$33:$H$46,,MATCH(E491,'Landbrugsareal - resultat'!$F$5:$H$5,0)))),SUMPRODUCT((B491='Landbrugsareal - resultat'!$B$33:$B$46)*(INDEX('Landbrugsareal - resultat'!$I$33:$K$46,,MATCH(E491,'Landbrugsareal - resultat'!$I$5:$K$5,0)))))),IF(C491=2019,SUMPRODUCT((B491='Landbrugsareal - resultat'!$B$33:$B$46)*(INDEX('Landbrugsareal - resultat'!$L$33:$N$46,,MATCH(E491,'Landbrugsareal - resultat'!$L$5:$N$5,0)))),IF(C491=2030,SUMPRODUCT((B491='Landbrugsareal - resultat'!$B$33:$B$46)*(INDEX('Landbrugsareal - resultat'!$O$33:$Q$46,,MATCH(E491,'Landbrugsareal - resultat'!$O$5:$Q$5,0)))),SUMPRODUCT((B491='Landbrugsareal - resultat'!$B$33:$B$46)*(INDEX('Landbrugsareal - resultat'!$R$33:$T$46,,MATCH(E491,'Landbrugsareal - resultat'!$R$5:$T$5,0))))))))</f>
        <v>427.11976077481125</v>
      </c>
      <c r="H491" s="168">
        <f>G491*VLOOKUP(B491,[1]Afgrødedata!$A$5:$F$18,2,FALSE)*IF(D491="Økologisk",VLOOKUP(B491,[1]Afgrødedata!$A$5:$F$18,4,FALSE),1)*IF(E491&lt;&gt;Jordbund1,IF(E491=Organ6,VLOOKUP(B491,[1]Afgrødedata!$A$5:$F$18,5,FALSE),VLOOKUP(B491,[1]Afgrødedata!$A$5:$F$18,6,FALSE)),1)*0.1</f>
        <v>8245.9741015185064</v>
      </c>
      <c r="I491" s="168">
        <f>G491*VLOOKUP(B491,[1]Afgrødedata!$A$5:$F$18,3,FALSE)*IF(D491="Økologisk",VLOOKUP(B491,[1]Afgrødedata!$A$5:$F$18,4,FALSE),1)*IF(E491&lt;&gt;Jordbund1,IF(E491=Organ6,VLOOKUP(B491,[1]Afgrødedata!$A$5:$F$18,5,FALSE),VLOOKUP(B491,[1]Afgrødedata!$A$5:$F$18,6,FALSE)),1)*HLOOKUP(C491,Landbrug!$C$15:$E$17,2,FALSE)*HLOOKUP(C491,Landbrug!$C$15:$E$17,3,FALSE)*0.1</f>
        <v>0</v>
      </c>
      <c r="J491" s="76">
        <f t="shared" si="70"/>
        <v>8245.9741015185064</v>
      </c>
    </row>
    <row r="492" spans="1:10" x14ac:dyDescent="0.25">
      <c r="A492" t="s">
        <v>24</v>
      </c>
      <c r="B492" s="1" t="str">
        <f>[1]Afgrødefordeling!$C$2</f>
        <v>Korn</v>
      </c>
      <c r="C492">
        <v>2050</v>
      </c>
      <c r="D492" t="s">
        <v>8</v>
      </c>
      <c r="E492" s="168" t="str">
        <f t="shared" si="69"/>
        <v>OC12</v>
      </c>
      <c r="F492" t="str">
        <f t="shared" si="67"/>
        <v>Halm</v>
      </c>
      <c r="G492" s="76" cm="1">
        <f t="array" ref="G492">IF(A492="Vestdanmark",IF(D492="Konventionel",IF(C492=2019,SUMPRODUCT((B492='Landbrugsareal - resultat'!$B$6:$B$19)*(INDEX('Landbrugsareal - resultat'!$C$6:$E$19,,MATCH(E492,'Landbrugsareal - resultat'!$C$5:$E$5,0)))),IF(C492=2030,SUMPRODUCT((B492='Landbrugsareal - resultat'!$B$6:$B$19)*(INDEX('Landbrugsareal - resultat'!$F$6:$H$19,,MATCH(E492,'Landbrugsareal - resultat'!$F$5:$H$5,0)))),SUMPRODUCT((B492='Landbrugsareal - resultat'!$B$6:$B$19)*(INDEX('Landbrugsareal - resultat'!$I$6:$K$19,,MATCH(E492,'Landbrugsareal - resultat'!$I$5:$K$5,0)))))),IF(C492=2019,SUMPRODUCT((B492='Landbrugsareal - resultat'!$B$6:$B$19)*(INDEX('Landbrugsareal - resultat'!$L$6:$N$19,,MATCH(E492,'Landbrugsareal - resultat'!$L$5:$N$5,0)))),IF(C492=2030,SUMPRODUCT((B492='Landbrugsareal - resultat'!$B$6:$B$19)*(INDEX('Landbrugsareal - resultat'!$O$6:$Q$19,,MATCH(E492,'Landbrugsareal - resultat'!$O$5:$Q$5,0)))),SUMPRODUCT((B492='Landbrugsareal - resultat'!$B$6:$B$19)*(INDEX('Landbrugsareal - resultat'!$R$6:$T$19,,MATCH(E492,'Landbrugsareal - resultat'!$R$5:$T$5,0))))))),IF(D492="Konventionel",IF(C492=2019,SUMPRODUCT((B492='Landbrugsareal - resultat'!$B$33:$B$46)*(INDEX('Landbrugsareal - resultat'!$C$33:$E$46,,MATCH(E492,'Landbrugsareal - resultat'!$C$5:$E$5,0)))),IF(C492=2030,SUMPRODUCT((B492='Landbrugsareal - resultat'!$B$33:$B$46)*(INDEX('Landbrugsareal - resultat'!$F$33:$H$46,,MATCH(E492,'Landbrugsareal - resultat'!$F$5:$H$5,0)))),SUMPRODUCT((B492='Landbrugsareal - resultat'!$B$33:$B$46)*(INDEX('Landbrugsareal - resultat'!$I$33:$K$46,,MATCH(E492,'Landbrugsareal - resultat'!$I$5:$K$5,0)))))),IF(C492=2019,SUMPRODUCT((B492='Landbrugsareal - resultat'!$B$33:$B$46)*(INDEX('Landbrugsareal - resultat'!$L$33:$N$46,,MATCH(E492,'Landbrugsareal - resultat'!$L$5:$N$5,0)))),IF(C492=2030,SUMPRODUCT((B492='Landbrugsareal - resultat'!$B$33:$B$46)*(INDEX('Landbrugsareal - resultat'!$O$33:$Q$46,,MATCH(E492,'Landbrugsareal - resultat'!$O$5:$Q$5,0)))),SUMPRODUCT((B492='Landbrugsareal - resultat'!$B$33:$B$46)*(INDEX('Landbrugsareal - resultat'!$R$33:$T$46,,MATCH(E492,'Landbrugsareal - resultat'!$R$5:$T$5,0))))))))</f>
        <v>443.65939637329359</v>
      </c>
      <c r="H492" s="168">
        <f>G492*VLOOKUP(B492,[1]Afgrødedata!$A$5:$F$18,2,FALSE)*IF(D492="Økologisk",VLOOKUP(B492,[1]Afgrødedata!$A$5:$F$18,4,FALSE),1)*IF(E492&lt;&gt;Jordbund1,IF(E492=Organ6,VLOOKUP(B492,[1]Afgrødedata!$A$5:$F$18,5,FALSE),VLOOKUP(B492,[1]Afgrødedata!$A$5:$F$18,6,FALSE)),1)*0.1</f>
        <v>2917.2291217250272</v>
      </c>
      <c r="I492" s="168">
        <f>G492*VLOOKUP(B492,[1]Afgrødedata!$A$5:$F$18,3,FALSE)*IF(D492="Økologisk",VLOOKUP(B492,[1]Afgrødedata!$A$5:$F$18,4,FALSE),1)*IF(E492&lt;&gt;Jordbund1,IF(E492=Organ6,VLOOKUP(B492,[1]Afgrødedata!$A$5:$F$18,5,FALSE),VLOOKUP(B492,[1]Afgrødedata!$A$5:$F$18,6,FALSE)),1)*HLOOKUP(C492,Landbrug!$C$15:$E$17,2,FALSE)*HLOOKUP(C492,Landbrug!$C$15:$E$17,3,FALSE)*0.1</f>
        <v>946.64084999977115</v>
      </c>
      <c r="J492" s="76">
        <f t="shared" si="70"/>
        <v>946.64084999977115</v>
      </c>
    </row>
    <row r="493" spans="1:10" x14ac:dyDescent="0.25">
      <c r="A493" t="s">
        <v>24</v>
      </c>
      <c r="B493" s="1" t="str">
        <f>[1]Afgrødefordeling!$C$3</f>
        <v>Bælgsæd</v>
      </c>
      <c r="C493">
        <v>2050</v>
      </c>
      <c r="D493" t="s">
        <v>8</v>
      </c>
      <c r="E493" s="168" t="str">
        <f t="shared" si="69"/>
        <v>OC12</v>
      </c>
      <c r="F493" t="str">
        <f t="shared" si="67"/>
        <v>Halm</v>
      </c>
      <c r="G493" s="76" cm="1">
        <f t="array" ref="G493">IF(A493="Vestdanmark",IF(D493="Konventionel",IF(C493=2019,SUMPRODUCT((B493='Landbrugsareal - resultat'!$B$6:$B$19)*(INDEX('Landbrugsareal - resultat'!$C$6:$E$19,,MATCH(E493,'Landbrugsareal - resultat'!$C$5:$E$5,0)))),IF(C493=2030,SUMPRODUCT((B493='Landbrugsareal - resultat'!$B$6:$B$19)*(INDEX('Landbrugsareal - resultat'!$F$6:$H$19,,MATCH(E493,'Landbrugsareal - resultat'!$F$5:$H$5,0)))),SUMPRODUCT((B493='Landbrugsareal - resultat'!$B$6:$B$19)*(INDEX('Landbrugsareal - resultat'!$I$6:$K$19,,MATCH(E493,'Landbrugsareal - resultat'!$I$5:$K$5,0)))))),IF(C493=2019,SUMPRODUCT((B493='Landbrugsareal - resultat'!$B$6:$B$19)*(INDEX('Landbrugsareal - resultat'!$L$6:$N$19,,MATCH(E493,'Landbrugsareal - resultat'!$L$5:$N$5,0)))),IF(C493=2030,SUMPRODUCT((B493='Landbrugsareal - resultat'!$B$6:$B$19)*(INDEX('Landbrugsareal - resultat'!$O$6:$Q$19,,MATCH(E493,'Landbrugsareal - resultat'!$O$5:$Q$5,0)))),SUMPRODUCT((B493='Landbrugsareal - resultat'!$B$6:$B$19)*(INDEX('Landbrugsareal - resultat'!$R$6:$T$19,,MATCH(E493,'Landbrugsareal - resultat'!$R$5:$T$5,0))))))),IF(D493="Konventionel",IF(C493=2019,SUMPRODUCT((B493='Landbrugsareal - resultat'!$B$33:$B$46)*(INDEX('Landbrugsareal - resultat'!$C$33:$E$46,,MATCH(E493,'Landbrugsareal - resultat'!$C$5:$E$5,0)))),IF(C493=2030,SUMPRODUCT((B493='Landbrugsareal - resultat'!$B$33:$B$46)*(INDEX('Landbrugsareal - resultat'!$F$33:$H$46,,MATCH(E493,'Landbrugsareal - resultat'!$F$5:$H$5,0)))),SUMPRODUCT((B493='Landbrugsareal - resultat'!$B$33:$B$46)*(INDEX('Landbrugsareal - resultat'!$I$33:$K$46,,MATCH(E493,'Landbrugsareal - resultat'!$I$5:$K$5,0)))))),IF(C493=2019,SUMPRODUCT((B493='Landbrugsareal - resultat'!$B$33:$B$46)*(INDEX('Landbrugsareal - resultat'!$L$33:$N$46,,MATCH(E493,'Landbrugsareal - resultat'!$L$5:$N$5,0)))),IF(C493=2030,SUMPRODUCT((B493='Landbrugsareal - resultat'!$B$33:$B$46)*(INDEX('Landbrugsareal - resultat'!$O$33:$Q$46,,MATCH(E493,'Landbrugsareal - resultat'!$O$5:$Q$5,0)))),SUMPRODUCT((B493='Landbrugsareal - resultat'!$B$33:$B$46)*(INDEX('Landbrugsareal - resultat'!$R$33:$T$46,,MATCH(E493,'Landbrugsareal - resultat'!$R$5:$T$5,0))))))))</f>
        <v>8.0583176480702008</v>
      </c>
      <c r="H493" s="168">
        <f>G493*VLOOKUP(B493,[1]Afgrødedata!$A$5:$F$18,2,FALSE)*IF(D493="Økologisk",VLOOKUP(B493,[1]Afgrødedata!$A$5:$F$18,4,FALSE),1)*IF(E493&lt;&gt;Jordbund1,IF(E493=Organ6,VLOOKUP(B493,[1]Afgrødedata!$A$5:$F$18,5,FALSE),VLOOKUP(B493,[1]Afgrødedata!$A$5:$F$18,6,FALSE)),1)*0.1</f>
        <v>24.821874684997677</v>
      </c>
      <c r="I493" s="168">
        <f>G493*VLOOKUP(B493,[1]Afgrødedata!$A$5:$F$18,3,FALSE)*IF(D493="Økologisk",VLOOKUP(B493,[1]Afgrødedata!$A$5:$F$18,4,FALSE),1)*IF(E493&lt;&gt;Jordbund1,IF(E493=Organ6,VLOOKUP(B493,[1]Afgrødedata!$A$5:$F$18,5,FALSE),VLOOKUP(B493,[1]Afgrødedata!$A$5:$F$18,6,FALSE)),1)*HLOOKUP(C493,Landbrug!$C$15:$E$17,2,FALSE)*HLOOKUP(C493,Landbrug!$C$15:$E$17,3,FALSE)*0.1</f>
        <v>7.3262470491893783</v>
      </c>
      <c r="J493" s="76">
        <f t="shared" si="70"/>
        <v>7.3262470491893783</v>
      </c>
    </row>
    <row r="494" spans="1:10" x14ac:dyDescent="0.25">
      <c r="A494" t="s">
        <v>24</v>
      </c>
      <c r="B494" s="1" t="str">
        <f>[1]Afgrødefordeling!$C$4</f>
        <v>Raps</v>
      </c>
      <c r="C494">
        <v>2050</v>
      </c>
      <c r="D494" t="s">
        <v>8</v>
      </c>
      <c r="E494" s="168" t="str">
        <f t="shared" si="69"/>
        <v>OC12</v>
      </c>
      <c r="F494" t="str">
        <f t="shared" si="67"/>
        <v>Halm</v>
      </c>
      <c r="G494" s="76" cm="1">
        <f t="array" ref="G494">IF(A494="Vestdanmark",IF(D494="Konventionel",IF(C494=2019,SUMPRODUCT((B494='Landbrugsareal - resultat'!$B$6:$B$19)*(INDEX('Landbrugsareal - resultat'!$C$6:$E$19,,MATCH(E494,'Landbrugsareal - resultat'!$C$5:$E$5,0)))),IF(C494=2030,SUMPRODUCT((B494='Landbrugsareal - resultat'!$B$6:$B$19)*(INDEX('Landbrugsareal - resultat'!$F$6:$H$19,,MATCH(E494,'Landbrugsareal - resultat'!$F$5:$H$5,0)))),SUMPRODUCT((B494='Landbrugsareal - resultat'!$B$6:$B$19)*(INDEX('Landbrugsareal - resultat'!$I$6:$K$19,,MATCH(E494,'Landbrugsareal - resultat'!$I$5:$K$5,0)))))),IF(C494=2019,SUMPRODUCT((B494='Landbrugsareal - resultat'!$B$6:$B$19)*(INDEX('Landbrugsareal - resultat'!$L$6:$N$19,,MATCH(E494,'Landbrugsareal - resultat'!$L$5:$N$5,0)))),IF(C494=2030,SUMPRODUCT((B494='Landbrugsareal - resultat'!$B$6:$B$19)*(INDEX('Landbrugsareal - resultat'!$O$6:$Q$19,,MATCH(E494,'Landbrugsareal - resultat'!$O$5:$Q$5,0)))),SUMPRODUCT((B494='Landbrugsareal - resultat'!$B$6:$B$19)*(INDEX('Landbrugsareal - resultat'!$R$6:$T$19,,MATCH(E494,'Landbrugsareal - resultat'!$R$5:$T$5,0))))))),IF(D494="Konventionel",IF(C494=2019,SUMPRODUCT((B494='Landbrugsareal - resultat'!$B$33:$B$46)*(INDEX('Landbrugsareal - resultat'!$C$33:$E$46,,MATCH(E494,'Landbrugsareal - resultat'!$C$5:$E$5,0)))),IF(C494=2030,SUMPRODUCT((B494='Landbrugsareal - resultat'!$B$33:$B$46)*(INDEX('Landbrugsareal - resultat'!$F$33:$H$46,,MATCH(E494,'Landbrugsareal - resultat'!$F$5:$H$5,0)))),SUMPRODUCT((B494='Landbrugsareal - resultat'!$B$33:$B$46)*(INDEX('Landbrugsareal - resultat'!$I$33:$K$46,,MATCH(E494,'Landbrugsareal - resultat'!$I$5:$K$5,0)))))),IF(C494=2019,SUMPRODUCT((B494='Landbrugsareal - resultat'!$B$33:$B$46)*(INDEX('Landbrugsareal - resultat'!$L$33:$N$46,,MATCH(E494,'Landbrugsareal - resultat'!$L$5:$N$5,0)))),IF(C494=2030,SUMPRODUCT((B494='Landbrugsareal - resultat'!$B$33:$B$46)*(INDEX('Landbrugsareal - resultat'!$O$33:$Q$46,,MATCH(E494,'Landbrugsareal - resultat'!$O$5:$Q$5,0)))),SUMPRODUCT((B494='Landbrugsareal - resultat'!$B$33:$B$46)*(INDEX('Landbrugsareal - resultat'!$R$33:$T$46,,MATCH(E494,'Landbrugsareal - resultat'!$R$5:$T$5,0))))))))</f>
        <v>39.362996134593452</v>
      </c>
      <c r="H494" s="168">
        <f>G494*VLOOKUP(B494,[1]Afgrødedata!$A$5:$F$18,2,FALSE)*IF(D494="Økologisk",VLOOKUP(B494,[1]Afgrødedata!$A$5:$F$18,4,FALSE),1)*IF(E494&lt;&gt;Jordbund1,IF(E494=Organ6,VLOOKUP(B494,[1]Afgrødedata!$A$5:$F$18,5,FALSE),VLOOKUP(B494,[1]Afgrødedata!$A$5:$F$18,6,FALSE)),1)*0.1</f>
        <v>133.36183090400263</v>
      </c>
      <c r="I494" s="168">
        <f>G494*VLOOKUP(B494,[1]Afgrødedata!$A$5:$F$18,3,FALSE)*IF(D494="Økologisk",VLOOKUP(B494,[1]Afgrødedata!$A$5:$F$18,4,FALSE),1)*IF(E494&lt;&gt;Jordbund1,IF(E494=Organ6,VLOOKUP(B494,[1]Afgrødedata!$A$5:$F$18,5,FALSE),VLOOKUP(B494,[1]Afgrødedata!$A$5:$F$18,6,FALSE)),1)*HLOOKUP(C494,Landbrug!$C$15:$E$17,2,FALSE)*HLOOKUP(C494,Landbrug!$C$15:$E$17,3,FALSE)*0.1</f>
        <v>70.815132210025396</v>
      </c>
      <c r="J494" s="76">
        <f t="shared" si="70"/>
        <v>70.815132210025396</v>
      </c>
    </row>
    <row r="495" spans="1:10" x14ac:dyDescent="0.25">
      <c r="A495" t="s">
        <v>24</v>
      </c>
      <c r="B495" s="1" t="str">
        <f>[1]Afgrødefordeling!$C$5</f>
        <v>Græs</v>
      </c>
      <c r="C495">
        <v>2050</v>
      </c>
      <c r="D495" t="s">
        <v>8</v>
      </c>
      <c r="E495" s="168" t="str">
        <f t="shared" si="69"/>
        <v>OC12</v>
      </c>
      <c r="F495" t="str">
        <f t="shared" si="67"/>
        <v>Græs</v>
      </c>
      <c r="G495" s="76" cm="1">
        <f t="array" ref="G495">IF(A495="Vestdanmark",IF(D495="Konventionel",IF(C495=2019,SUMPRODUCT((B495='Landbrugsareal - resultat'!$B$6:$B$19)*(INDEX('Landbrugsareal - resultat'!$C$6:$E$19,,MATCH(E495,'Landbrugsareal - resultat'!$C$5:$E$5,0)))),IF(C495=2030,SUMPRODUCT((B495='Landbrugsareal - resultat'!$B$6:$B$19)*(INDEX('Landbrugsareal - resultat'!$F$6:$H$19,,MATCH(E495,'Landbrugsareal - resultat'!$F$5:$H$5,0)))),SUMPRODUCT((B495='Landbrugsareal - resultat'!$B$6:$B$19)*(INDEX('Landbrugsareal - resultat'!$I$6:$K$19,,MATCH(E495,'Landbrugsareal - resultat'!$I$5:$K$5,0)))))),IF(C495=2019,SUMPRODUCT((B495='Landbrugsareal - resultat'!$B$6:$B$19)*(INDEX('Landbrugsareal - resultat'!$L$6:$N$19,,MATCH(E495,'Landbrugsareal - resultat'!$L$5:$N$5,0)))),IF(C495=2030,SUMPRODUCT((B495='Landbrugsareal - resultat'!$B$6:$B$19)*(INDEX('Landbrugsareal - resultat'!$O$6:$Q$19,,MATCH(E495,'Landbrugsareal - resultat'!$O$5:$Q$5,0)))),SUMPRODUCT((B495='Landbrugsareal - resultat'!$B$6:$B$19)*(INDEX('Landbrugsareal - resultat'!$R$6:$T$19,,MATCH(E495,'Landbrugsareal - resultat'!$R$5:$T$5,0))))))),IF(D495="Konventionel",IF(C495=2019,SUMPRODUCT((B495='Landbrugsareal - resultat'!$B$33:$B$46)*(INDEX('Landbrugsareal - resultat'!$C$33:$E$46,,MATCH(E495,'Landbrugsareal - resultat'!$C$5:$E$5,0)))),IF(C495=2030,SUMPRODUCT((B495='Landbrugsareal - resultat'!$B$33:$B$46)*(INDEX('Landbrugsareal - resultat'!$F$33:$H$46,,MATCH(E495,'Landbrugsareal - resultat'!$F$5:$H$5,0)))),SUMPRODUCT((B495='Landbrugsareal - resultat'!$B$33:$B$46)*(INDEX('Landbrugsareal - resultat'!$I$33:$K$46,,MATCH(E495,'Landbrugsareal - resultat'!$I$5:$K$5,0)))))),IF(C495=2019,SUMPRODUCT((B495='Landbrugsareal - resultat'!$B$33:$B$46)*(INDEX('Landbrugsareal - resultat'!$L$33:$N$46,,MATCH(E495,'Landbrugsareal - resultat'!$L$5:$N$5,0)))),IF(C495=2030,SUMPRODUCT((B495='Landbrugsareal - resultat'!$B$33:$B$46)*(INDEX('Landbrugsareal - resultat'!$O$33:$Q$46,,MATCH(E495,'Landbrugsareal - resultat'!$O$5:$Q$5,0)))),SUMPRODUCT((B495='Landbrugsareal - resultat'!$B$33:$B$46)*(INDEX('Landbrugsareal - resultat'!$R$33:$T$46,,MATCH(E495,'Landbrugsareal - resultat'!$R$5:$T$5,0))))))))</f>
        <v>289.2623572851756</v>
      </c>
      <c r="H495" s="168">
        <f>G495*VLOOKUP(B495,[1]Afgrødedata!$A$5:$F$18,2,FALSE)*IF(D495="Økologisk",VLOOKUP(B495,[1]Afgrødedata!$A$5:$F$18,4,FALSE),1)*IF(E495&lt;&gt;Jordbund1,IF(E495=Organ6,VLOOKUP(B495,[1]Afgrødedata!$A$5:$F$18,5,FALSE),VLOOKUP(B495,[1]Afgrødedata!$A$5:$F$18,6,FALSE)),1)*0.1</f>
        <v>15673.692399991531</v>
      </c>
      <c r="I495" s="168">
        <f>G495*VLOOKUP(B495,[1]Afgrødedata!$A$5:$F$18,3,FALSE)*IF(D495="Økologisk",VLOOKUP(B495,[1]Afgrødedata!$A$5:$F$18,4,FALSE),1)*IF(E495&lt;&gt;Jordbund1,IF(E495=Organ6,VLOOKUP(B495,[1]Afgrødedata!$A$5:$F$18,5,FALSE),VLOOKUP(B495,[1]Afgrødedata!$A$5:$F$18,6,FALSE)),1)*HLOOKUP(C495,Landbrug!$C$15:$E$17,2,FALSE)*HLOOKUP(C495,Landbrug!$C$15:$E$17,3,FALSE)*0.1</f>
        <v>0</v>
      </c>
      <c r="J495" s="76">
        <f t="shared" si="70"/>
        <v>15673.692399991531</v>
      </c>
    </row>
    <row r="496" spans="1:10" x14ac:dyDescent="0.25">
      <c r="A496" t="s">
        <v>24</v>
      </c>
      <c r="B496" s="1" t="str">
        <f>[1]Afgrødefordeling!$C$6</f>
        <v>Grøntsager</v>
      </c>
      <c r="C496">
        <v>2050</v>
      </c>
      <c r="D496" t="s">
        <v>8</v>
      </c>
      <c r="E496" s="168" t="str">
        <f t="shared" si="69"/>
        <v>OC12</v>
      </c>
      <c r="F496" t="str">
        <f t="shared" si="67"/>
        <v>Grøntsager</v>
      </c>
      <c r="G496" s="76" cm="1">
        <f t="array" ref="G496">IF(A496="Vestdanmark",IF(D496="Konventionel",IF(C496=2019,SUMPRODUCT((B496='Landbrugsareal - resultat'!$B$6:$B$19)*(INDEX('Landbrugsareal - resultat'!$C$6:$E$19,,MATCH(E496,'Landbrugsareal - resultat'!$C$5:$E$5,0)))),IF(C496=2030,SUMPRODUCT((B496='Landbrugsareal - resultat'!$B$6:$B$19)*(INDEX('Landbrugsareal - resultat'!$F$6:$H$19,,MATCH(E496,'Landbrugsareal - resultat'!$F$5:$H$5,0)))),SUMPRODUCT((B496='Landbrugsareal - resultat'!$B$6:$B$19)*(INDEX('Landbrugsareal - resultat'!$I$6:$K$19,,MATCH(E496,'Landbrugsareal - resultat'!$I$5:$K$5,0)))))),IF(C496=2019,SUMPRODUCT((B496='Landbrugsareal - resultat'!$B$6:$B$19)*(INDEX('Landbrugsareal - resultat'!$L$6:$N$19,,MATCH(E496,'Landbrugsareal - resultat'!$L$5:$N$5,0)))),IF(C496=2030,SUMPRODUCT((B496='Landbrugsareal - resultat'!$B$6:$B$19)*(INDEX('Landbrugsareal - resultat'!$O$6:$Q$19,,MATCH(E496,'Landbrugsareal - resultat'!$O$5:$Q$5,0)))),SUMPRODUCT((B496='Landbrugsareal - resultat'!$B$6:$B$19)*(INDEX('Landbrugsareal - resultat'!$R$6:$T$19,,MATCH(E496,'Landbrugsareal - resultat'!$R$5:$T$5,0))))))),IF(D496="Konventionel",IF(C496=2019,SUMPRODUCT((B496='Landbrugsareal - resultat'!$B$33:$B$46)*(INDEX('Landbrugsareal - resultat'!$C$33:$E$46,,MATCH(E496,'Landbrugsareal - resultat'!$C$5:$E$5,0)))),IF(C496=2030,SUMPRODUCT((B496='Landbrugsareal - resultat'!$B$33:$B$46)*(INDEX('Landbrugsareal - resultat'!$F$33:$H$46,,MATCH(E496,'Landbrugsareal - resultat'!$F$5:$H$5,0)))),SUMPRODUCT((B496='Landbrugsareal - resultat'!$B$33:$B$46)*(INDEX('Landbrugsareal - resultat'!$I$33:$K$46,,MATCH(E496,'Landbrugsareal - resultat'!$I$5:$K$5,0)))))),IF(C496=2019,SUMPRODUCT((B496='Landbrugsareal - resultat'!$B$33:$B$46)*(INDEX('Landbrugsareal - resultat'!$L$33:$N$46,,MATCH(E496,'Landbrugsareal - resultat'!$L$5:$N$5,0)))),IF(C496=2030,SUMPRODUCT((B496='Landbrugsareal - resultat'!$B$33:$B$46)*(INDEX('Landbrugsareal - resultat'!$O$33:$Q$46,,MATCH(E496,'Landbrugsareal - resultat'!$O$5:$Q$5,0)))),SUMPRODUCT((B496='Landbrugsareal - resultat'!$B$33:$B$46)*(INDEX('Landbrugsareal - resultat'!$R$33:$T$46,,MATCH(E496,'Landbrugsareal - resultat'!$R$5:$T$5,0))))))))</f>
        <v>1.361441895962791</v>
      </c>
      <c r="H496" s="168">
        <f>G496*VLOOKUP(B496,[1]Afgrødedata!$A$5:$F$18,2,FALSE)*IF(D496="Økologisk",VLOOKUP(B496,[1]Afgrødedata!$A$5:$F$18,4,FALSE),1)*IF(E496&lt;&gt;Jordbund1,IF(E496=Organ6,VLOOKUP(B496,[1]Afgrødedata!$A$5:$F$18,5,FALSE),VLOOKUP(B496,[1]Afgrødedata!$A$5:$F$18,6,FALSE)),1)*0.1</f>
        <v>22.543435634299872</v>
      </c>
      <c r="I496" s="168">
        <f>G496*VLOOKUP(B496,[1]Afgrødedata!$A$5:$F$18,3,FALSE)*IF(D496="Økologisk",VLOOKUP(B496,[1]Afgrødedata!$A$5:$F$18,4,FALSE),1)*IF(E496&lt;&gt;Jordbund1,IF(E496=Organ6,VLOOKUP(B496,[1]Afgrødedata!$A$5:$F$18,5,FALSE),VLOOKUP(B496,[1]Afgrødedata!$A$5:$F$18,6,FALSE)),1)*HLOOKUP(C496,Landbrug!$C$15:$E$17,2,FALSE)*HLOOKUP(C496,Landbrug!$C$15:$E$17,3,FALSE)*0.1</f>
        <v>0</v>
      </c>
      <c r="J496" s="76">
        <f t="shared" si="70"/>
        <v>22.543435634299872</v>
      </c>
    </row>
    <row r="497" spans="1:10" x14ac:dyDescent="0.25">
      <c r="A497" t="s">
        <v>24</v>
      </c>
      <c r="B497" s="1" t="str">
        <f>[1]Afgrødefordeling!$C$7</f>
        <v>Kartofler</v>
      </c>
      <c r="C497">
        <v>2050</v>
      </c>
      <c r="D497" t="s">
        <v>8</v>
      </c>
      <c r="E497" s="168" t="str">
        <f t="shared" si="69"/>
        <v>OC12</v>
      </c>
      <c r="F497" t="str">
        <f t="shared" si="67"/>
        <v>Kartofler</v>
      </c>
      <c r="G497" s="76" cm="1">
        <f t="array" ref="G497">IF(A497="Vestdanmark",IF(D497="Konventionel",IF(C497=2019,SUMPRODUCT((B497='Landbrugsareal - resultat'!$B$6:$B$19)*(INDEX('Landbrugsareal - resultat'!$C$6:$E$19,,MATCH(E497,'Landbrugsareal - resultat'!$C$5:$E$5,0)))),IF(C497=2030,SUMPRODUCT((B497='Landbrugsareal - resultat'!$B$6:$B$19)*(INDEX('Landbrugsareal - resultat'!$F$6:$H$19,,MATCH(E497,'Landbrugsareal - resultat'!$F$5:$H$5,0)))),SUMPRODUCT((B497='Landbrugsareal - resultat'!$B$6:$B$19)*(INDEX('Landbrugsareal - resultat'!$I$6:$K$19,,MATCH(E497,'Landbrugsareal - resultat'!$I$5:$K$5,0)))))),IF(C497=2019,SUMPRODUCT((B497='Landbrugsareal - resultat'!$B$6:$B$19)*(INDEX('Landbrugsareal - resultat'!$L$6:$N$19,,MATCH(E497,'Landbrugsareal - resultat'!$L$5:$N$5,0)))),IF(C497=2030,SUMPRODUCT((B497='Landbrugsareal - resultat'!$B$6:$B$19)*(INDEX('Landbrugsareal - resultat'!$O$6:$Q$19,,MATCH(E497,'Landbrugsareal - resultat'!$O$5:$Q$5,0)))),SUMPRODUCT((B497='Landbrugsareal - resultat'!$B$6:$B$19)*(INDEX('Landbrugsareal - resultat'!$R$6:$T$19,,MATCH(E497,'Landbrugsareal - resultat'!$R$5:$T$5,0))))))),IF(D497="Konventionel",IF(C497=2019,SUMPRODUCT((B497='Landbrugsareal - resultat'!$B$33:$B$46)*(INDEX('Landbrugsareal - resultat'!$C$33:$E$46,,MATCH(E497,'Landbrugsareal - resultat'!$C$5:$E$5,0)))),IF(C497=2030,SUMPRODUCT((B497='Landbrugsareal - resultat'!$B$33:$B$46)*(INDEX('Landbrugsareal - resultat'!$F$33:$H$46,,MATCH(E497,'Landbrugsareal - resultat'!$F$5:$H$5,0)))),SUMPRODUCT((B497='Landbrugsareal - resultat'!$B$33:$B$46)*(INDEX('Landbrugsareal - resultat'!$I$33:$K$46,,MATCH(E497,'Landbrugsareal - resultat'!$I$5:$K$5,0)))))),IF(C497=2019,SUMPRODUCT((B497='Landbrugsareal - resultat'!$B$33:$B$46)*(INDEX('Landbrugsareal - resultat'!$L$33:$N$46,,MATCH(E497,'Landbrugsareal - resultat'!$L$5:$N$5,0)))),IF(C497=2030,SUMPRODUCT((B497='Landbrugsareal - resultat'!$B$33:$B$46)*(INDEX('Landbrugsareal - resultat'!$O$33:$Q$46,,MATCH(E497,'Landbrugsareal - resultat'!$O$5:$Q$5,0)))),SUMPRODUCT((B497='Landbrugsareal - resultat'!$B$33:$B$46)*(INDEX('Landbrugsareal - resultat'!$R$33:$T$46,,MATCH(E497,'Landbrugsareal - resultat'!$R$5:$T$5,0))))))))</f>
        <v>7.7600563975411037</v>
      </c>
      <c r="H497" s="168">
        <f>G497*VLOOKUP(B497,[1]Afgrødedata!$A$5:$F$18,2,FALSE)*IF(D497="Økologisk",VLOOKUP(B497,[1]Afgrødedata!$A$5:$F$18,4,FALSE),1)*IF(E497&lt;&gt;Jordbund1,IF(E497=Organ6,VLOOKUP(B497,[1]Afgrødedata!$A$5:$F$18,5,FALSE),VLOOKUP(B497,[1]Afgrødedata!$A$5:$F$18,6,FALSE)),1)*0.1</f>
        <v>263.00210696848575</v>
      </c>
      <c r="I497" s="168">
        <f>G497*VLOOKUP(B497,[1]Afgrødedata!$A$5:$F$18,3,FALSE)*IF(D497="Økologisk",VLOOKUP(B497,[1]Afgrødedata!$A$5:$F$18,4,FALSE),1)*IF(E497&lt;&gt;Jordbund1,IF(E497=Organ6,VLOOKUP(B497,[1]Afgrødedata!$A$5:$F$18,5,FALSE),VLOOKUP(B497,[1]Afgrødedata!$A$5:$F$18,6,FALSE)),1)*HLOOKUP(C497,Landbrug!$C$15:$E$17,2,FALSE)*HLOOKUP(C497,Landbrug!$C$15:$E$17,3,FALSE)*0.1</f>
        <v>0</v>
      </c>
      <c r="J497" s="76">
        <f t="shared" si="70"/>
        <v>263.00210696848575</v>
      </c>
    </row>
    <row r="498" spans="1:10" x14ac:dyDescent="0.25">
      <c r="A498" t="s">
        <v>24</v>
      </c>
      <c r="B498" s="1" t="str">
        <f>[1]Afgrødefordeling!$C$8</f>
        <v>Roer</v>
      </c>
      <c r="C498">
        <v>2050</v>
      </c>
      <c r="D498" t="s">
        <v>8</v>
      </c>
      <c r="E498" s="168" t="str">
        <f t="shared" si="69"/>
        <v>OC12</v>
      </c>
      <c r="F498" t="str">
        <f t="shared" si="67"/>
        <v>Roer</v>
      </c>
      <c r="G498" s="76" cm="1">
        <f t="array" ref="G498">IF(A498="Vestdanmark",IF(D498="Konventionel",IF(C498=2019,SUMPRODUCT((B498='Landbrugsareal - resultat'!$B$6:$B$19)*(INDEX('Landbrugsareal - resultat'!$C$6:$E$19,,MATCH(E498,'Landbrugsareal - resultat'!$C$5:$E$5,0)))),IF(C498=2030,SUMPRODUCT((B498='Landbrugsareal - resultat'!$B$6:$B$19)*(INDEX('Landbrugsareal - resultat'!$F$6:$H$19,,MATCH(E498,'Landbrugsareal - resultat'!$F$5:$H$5,0)))),SUMPRODUCT((B498='Landbrugsareal - resultat'!$B$6:$B$19)*(INDEX('Landbrugsareal - resultat'!$I$6:$K$19,,MATCH(E498,'Landbrugsareal - resultat'!$I$5:$K$5,0)))))),IF(C498=2019,SUMPRODUCT((B498='Landbrugsareal - resultat'!$B$6:$B$19)*(INDEX('Landbrugsareal - resultat'!$L$6:$N$19,,MATCH(E498,'Landbrugsareal - resultat'!$L$5:$N$5,0)))),IF(C498=2030,SUMPRODUCT((B498='Landbrugsareal - resultat'!$B$6:$B$19)*(INDEX('Landbrugsareal - resultat'!$O$6:$Q$19,,MATCH(E498,'Landbrugsareal - resultat'!$O$5:$Q$5,0)))),SUMPRODUCT((B498='Landbrugsareal - resultat'!$B$6:$B$19)*(INDEX('Landbrugsareal - resultat'!$R$6:$T$19,,MATCH(E498,'Landbrugsareal - resultat'!$R$5:$T$5,0))))))),IF(D498="Konventionel",IF(C498=2019,SUMPRODUCT((B498='Landbrugsareal - resultat'!$B$33:$B$46)*(INDEX('Landbrugsareal - resultat'!$C$33:$E$46,,MATCH(E498,'Landbrugsareal - resultat'!$C$5:$E$5,0)))),IF(C498=2030,SUMPRODUCT((B498='Landbrugsareal - resultat'!$B$33:$B$46)*(INDEX('Landbrugsareal - resultat'!$F$33:$H$46,,MATCH(E498,'Landbrugsareal - resultat'!$F$5:$H$5,0)))),SUMPRODUCT((B498='Landbrugsareal - resultat'!$B$33:$B$46)*(INDEX('Landbrugsareal - resultat'!$I$33:$K$46,,MATCH(E498,'Landbrugsareal - resultat'!$I$5:$K$5,0)))))),IF(C498=2019,SUMPRODUCT((B498='Landbrugsareal - resultat'!$B$33:$B$46)*(INDEX('Landbrugsareal - resultat'!$L$33:$N$46,,MATCH(E498,'Landbrugsareal - resultat'!$L$5:$N$5,0)))),IF(C498=2030,SUMPRODUCT((B498='Landbrugsareal - resultat'!$B$33:$B$46)*(INDEX('Landbrugsareal - resultat'!$O$33:$Q$46,,MATCH(E498,'Landbrugsareal - resultat'!$O$5:$Q$5,0)))),SUMPRODUCT((B498='Landbrugsareal - resultat'!$B$33:$B$46)*(INDEX('Landbrugsareal - resultat'!$R$33:$T$46,,MATCH(E498,'Landbrugsareal - resultat'!$R$5:$T$5,0))))))))</f>
        <v>8.9363691866307757</v>
      </c>
      <c r="H498" s="168">
        <f>G498*VLOOKUP(B498,[1]Afgrødedata!$A$5:$F$18,2,FALSE)*IF(D498="Økologisk",VLOOKUP(B498,[1]Afgrødedata!$A$5:$F$18,4,FALSE),1)*IF(E498&lt;&gt;Jordbund1,IF(E498=Organ6,VLOOKUP(B498,[1]Afgrødedata!$A$5:$F$18,5,FALSE),VLOOKUP(B498,[1]Afgrødedata!$A$5:$F$18,6,FALSE)),1)*0.1</f>
        <v>579.43844617776585</v>
      </c>
      <c r="I498" s="168">
        <f>G498*VLOOKUP(B498,[1]Afgrødedata!$A$5:$F$18,3,FALSE)*IF(D498="Økologisk",VLOOKUP(B498,[1]Afgrødedata!$A$5:$F$18,4,FALSE),1)*IF(E498&lt;&gt;Jordbund1,IF(E498=Organ6,VLOOKUP(B498,[1]Afgrødedata!$A$5:$F$18,5,FALSE),VLOOKUP(B498,[1]Afgrødedata!$A$5:$F$18,6,FALSE)),1)*HLOOKUP(C498,Landbrug!$C$15:$E$17,2,FALSE)*HLOOKUP(C498,Landbrug!$C$15:$E$17,3,FALSE)*0.1</f>
        <v>0</v>
      </c>
      <c r="J498" s="76">
        <f t="shared" si="70"/>
        <v>579.43844617776585</v>
      </c>
    </row>
    <row r="499" spans="1:10" x14ac:dyDescent="0.25">
      <c r="A499" t="s">
        <v>24</v>
      </c>
      <c r="B499" s="1" t="str">
        <f>[1]Afgrødefordeling!$C$9</f>
        <v>Majs</v>
      </c>
      <c r="C499">
        <v>2050</v>
      </c>
      <c r="D499" t="s">
        <v>8</v>
      </c>
      <c r="E499" s="168" t="str">
        <f t="shared" si="69"/>
        <v>OC12</v>
      </c>
      <c r="F499" t="str">
        <f t="shared" si="67"/>
        <v>Majs</v>
      </c>
      <c r="G499" s="76" cm="1">
        <f t="array" ref="G499">IF(A499="Vestdanmark",IF(D499="Konventionel",IF(C499=2019,SUMPRODUCT((B499='Landbrugsareal - resultat'!$B$6:$B$19)*(INDEX('Landbrugsareal - resultat'!$C$6:$E$19,,MATCH(E499,'Landbrugsareal - resultat'!$C$5:$E$5,0)))),IF(C499=2030,SUMPRODUCT((B499='Landbrugsareal - resultat'!$B$6:$B$19)*(INDEX('Landbrugsareal - resultat'!$F$6:$H$19,,MATCH(E499,'Landbrugsareal - resultat'!$F$5:$H$5,0)))),SUMPRODUCT((B499='Landbrugsareal - resultat'!$B$6:$B$19)*(INDEX('Landbrugsareal - resultat'!$I$6:$K$19,,MATCH(E499,'Landbrugsareal - resultat'!$I$5:$K$5,0)))))),IF(C499=2019,SUMPRODUCT((B499='Landbrugsareal - resultat'!$B$6:$B$19)*(INDEX('Landbrugsareal - resultat'!$L$6:$N$19,,MATCH(E499,'Landbrugsareal - resultat'!$L$5:$N$5,0)))),IF(C499=2030,SUMPRODUCT((B499='Landbrugsareal - resultat'!$B$6:$B$19)*(INDEX('Landbrugsareal - resultat'!$O$6:$Q$19,,MATCH(E499,'Landbrugsareal - resultat'!$O$5:$Q$5,0)))),SUMPRODUCT((B499='Landbrugsareal - resultat'!$B$6:$B$19)*(INDEX('Landbrugsareal - resultat'!$R$6:$T$19,,MATCH(E499,'Landbrugsareal - resultat'!$R$5:$T$5,0))))))),IF(D499="Konventionel",IF(C499=2019,SUMPRODUCT((B499='Landbrugsareal - resultat'!$B$33:$B$46)*(INDEX('Landbrugsareal - resultat'!$C$33:$E$46,,MATCH(E499,'Landbrugsareal - resultat'!$C$5:$E$5,0)))),IF(C499=2030,SUMPRODUCT((B499='Landbrugsareal - resultat'!$B$33:$B$46)*(INDEX('Landbrugsareal - resultat'!$F$33:$H$46,,MATCH(E499,'Landbrugsareal - resultat'!$F$5:$H$5,0)))),SUMPRODUCT((B499='Landbrugsareal - resultat'!$B$33:$B$46)*(INDEX('Landbrugsareal - resultat'!$I$33:$K$46,,MATCH(E499,'Landbrugsareal - resultat'!$I$5:$K$5,0)))))),IF(C499=2019,SUMPRODUCT((B499='Landbrugsareal - resultat'!$B$33:$B$46)*(INDEX('Landbrugsareal - resultat'!$L$33:$N$46,,MATCH(E499,'Landbrugsareal - resultat'!$L$5:$N$5,0)))),IF(C499=2030,SUMPRODUCT((B499='Landbrugsareal - resultat'!$B$33:$B$46)*(INDEX('Landbrugsareal - resultat'!$O$33:$Q$46,,MATCH(E499,'Landbrugsareal - resultat'!$O$5:$Q$5,0)))),SUMPRODUCT((B499='Landbrugsareal - resultat'!$B$33:$B$46)*(INDEX('Landbrugsareal - resultat'!$R$33:$T$46,,MATCH(E499,'Landbrugsareal - resultat'!$R$5:$T$5,0))))))))</f>
        <v>9.1787906424587256</v>
      </c>
      <c r="H499" s="168">
        <f>G499*VLOOKUP(B499,[1]Afgrødedata!$A$5:$F$18,2,FALSE)*IF(D499="Økologisk",VLOOKUP(B499,[1]Afgrødedata!$A$5:$F$18,4,FALSE),1)*IF(E499&lt;&gt;Jordbund1,IF(E499=Organ6,VLOOKUP(B499,[1]Afgrødedata!$A$5:$F$18,5,FALSE),VLOOKUP(B499,[1]Afgrødedata!$A$5:$F$18,6,FALSE)),1)*0.1</f>
        <v>474.73274287816361</v>
      </c>
      <c r="I499" s="168">
        <f>G499*VLOOKUP(B499,[1]Afgrødedata!$A$5:$F$18,3,FALSE)*IF(D499="Økologisk",VLOOKUP(B499,[1]Afgrødedata!$A$5:$F$18,4,FALSE),1)*IF(E499&lt;&gt;Jordbund1,IF(E499=Organ6,VLOOKUP(B499,[1]Afgrødedata!$A$5:$F$18,5,FALSE),VLOOKUP(B499,[1]Afgrødedata!$A$5:$F$18,6,FALSE)),1)*HLOOKUP(C499,Landbrug!$C$15:$E$17,2,FALSE)*HLOOKUP(C499,Landbrug!$C$15:$E$17,3,FALSE)*0.1</f>
        <v>0</v>
      </c>
      <c r="J499" s="76">
        <f t="shared" si="70"/>
        <v>474.73274287816361</v>
      </c>
    </row>
    <row r="500" spans="1:10" x14ac:dyDescent="0.25">
      <c r="A500" t="s">
        <v>24</v>
      </c>
      <c r="B500" s="1" t="str">
        <f>[1]Afgrødefordeling!$C$10</f>
        <v>Frugt</v>
      </c>
      <c r="C500">
        <v>2050</v>
      </c>
      <c r="D500" t="s">
        <v>8</v>
      </c>
      <c r="E500" s="168" t="str">
        <f t="shared" si="69"/>
        <v>OC12</v>
      </c>
      <c r="F500" t="str">
        <f t="shared" si="67"/>
        <v>Frugt</v>
      </c>
      <c r="G500" s="76" cm="1">
        <f t="array" ref="G500">IF(A500="Vestdanmark",IF(D500="Konventionel",IF(C500=2019,SUMPRODUCT((B500='Landbrugsareal - resultat'!$B$6:$B$19)*(INDEX('Landbrugsareal - resultat'!$C$6:$E$19,,MATCH(E500,'Landbrugsareal - resultat'!$C$5:$E$5,0)))),IF(C500=2030,SUMPRODUCT((B500='Landbrugsareal - resultat'!$B$6:$B$19)*(INDEX('Landbrugsareal - resultat'!$F$6:$H$19,,MATCH(E500,'Landbrugsareal - resultat'!$F$5:$H$5,0)))),SUMPRODUCT((B500='Landbrugsareal - resultat'!$B$6:$B$19)*(INDEX('Landbrugsareal - resultat'!$I$6:$K$19,,MATCH(E500,'Landbrugsareal - resultat'!$I$5:$K$5,0)))))),IF(C500=2019,SUMPRODUCT((B500='Landbrugsareal - resultat'!$B$6:$B$19)*(INDEX('Landbrugsareal - resultat'!$L$6:$N$19,,MATCH(E500,'Landbrugsareal - resultat'!$L$5:$N$5,0)))),IF(C500=2030,SUMPRODUCT((B500='Landbrugsareal - resultat'!$B$6:$B$19)*(INDEX('Landbrugsareal - resultat'!$O$6:$Q$19,,MATCH(E500,'Landbrugsareal - resultat'!$O$5:$Q$5,0)))),SUMPRODUCT((B500='Landbrugsareal - resultat'!$B$6:$B$19)*(INDEX('Landbrugsareal - resultat'!$R$6:$T$19,,MATCH(E500,'Landbrugsareal - resultat'!$R$5:$T$5,0))))))),IF(D500="Konventionel",IF(C500=2019,SUMPRODUCT((B500='Landbrugsareal - resultat'!$B$33:$B$46)*(INDEX('Landbrugsareal - resultat'!$C$33:$E$46,,MATCH(E500,'Landbrugsareal - resultat'!$C$5:$E$5,0)))),IF(C500=2030,SUMPRODUCT((B500='Landbrugsareal - resultat'!$B$33:$B$46)*(INDEX('Landbrugsareal - resultat'!$F$33:$H$46,,MATCH(E500,'Landbrugsareal - resultat'!$F$5:$H$5,0)))),SUMPRODUCT((B500='Landbrugsareal - resultat'!$B$33:$B$46)*(INDEX('Landbrugsareal - resultat'!$I$33:$K$46,,MATCH(E500,'Landbrugsareal - resultat'!$I$5:$K$5,0)))))),IF(C500=2019,SUMPRODUCT((B500='Landbrugsareal - resultat'!$B$33:$B$46)*(INDEX('Landbrugsareal - resultat'!$L$33:$N$46,,MATCH(E500,'Landbrugsareal - resultat'!$L$5:$N$5,0)))),IF(C500=2030,SUMPRODUCT((B500='Landbrugsareal - resultat'!$B$33:$B$46)*(INDEX('Landbrugsareal - resultat'!$O$33:$Q$46,,MATCH(E500,'Landbrugsareal - resultat'!$O$5:$Q$5,0)))),SUMPRODUCT((B500='Landbrugsareal - resultat'!$B$33:$B$46)*(INDEX('Landbrugsareal - resultat'!$R$33:$T$46,,MATCH(E500,'Landbrugsareal - resultat'!$R$5:$T$5,0))))))))</f>
        <v>3.3307579897472701</v>
      </c>
      <c r="H500" s="168">
        <f>G500*VLOOKUP(B500,[1]Afgrødedata!$A$5:$F$18,2,FALSE)*IF(D500="Økologisk",VLOOKUP(B500,[1]Afgrødedata!$A$5:$F$18,4,FALSE),1)*IF(E500&lt;&gt;Jordbund1,IF(E500=Organ6,VLOOKUP(B500,[1]Afgrødedata!$A$5:$F$18,5,FALSE),VLOOKUP(B500,[1]Afgrødedata!$A$5:$F$18,6,FALSE)),1)*0.1</f>
        <v>22.565951995697549</v>
      </c>
      <c r="I500" s="168">
        <f>G500*VLOOKUP(B500,[1]Afgrødedata!$A$5:$F$18,3,FALSE)*IF(D500="Økologisk",VLOOKUP(B500,[1]Afgrødedata!$A$5:$F$18,4,FALSE),1)*IF(E500&lt;&gt;Jordbund1,IF(E500=Organ6,VLOOKUP(B500,[1]Afgrødedata!$A$5:$F$18,5,FALSE),VLOOKUP(B500,[1]Afgrødedata!$A$5:$F$18,6,FALSE)),1)*HLOOKUP(C500,Landbrug!$C$15:$E$17,2,FALSE)*HLOOKUP(C500,Landbrug!$C$15:$E$17,3,FALSE)*0.1</f>
        <v>0</v>
      </c>
      <c r="J500" s="76">
        <f t="shared" si="70"/>
        <v>22.565951995697549</v>
      </c>
    </row>
    <row r="501" spans="1:10" x14ac:dyDescent="0.25">
      <c r="A501" t="s">
        <v>24</v>
      </c>
      <c r="B501" s="1" t="str">
        <f>[1]Afgrødefordeling!$C$11</f>
        <v>Øvrige</v>
      </c>
      <c r="C501">
        <v>2050</v>
      </c>
      <c r="D501" t="s">
        <v>8</v>
      </c>
      <c r="E501" s="168" t="str">
        <f t="shared" si="69"/>
        <v>OC12</v>
      </c>
      <c r="F501" t="str">
        <f t="shared" si="67"/>
        <v>Øvrige</v>
      </c>
      <c r="G501" s="76" cm="1">
        <f t="array" ref="G501">IF(A501="Vestdanmark",IF(D501="Konventionel",IF(C501=2019,SUMPRODUCT((B501='Landbrugsareal - resultat'!$B$6:$B$19)*(INDEX('Landbrugsareal - resultat'!$C$6:$E$19,,MATCH(E501,'Landbrugsareal - resultat'!$C$5:$E$5,0)))),IF(C501=2030,SUMPRODUCT((B501='Landbrugsareal - resultat'!$B$6:$B$19)*(INDEX('Landbrugsareal - resultat'!$F$6:$H$19,,MATCH(E501,'Landbrugsareal - resultat'!$F$5:$H$5,0)))),SUMPRODUCT((B501='Landbrugsareal - resultat'!$B$6:$B$19)*(INDEX('Landbrugsareal - resultat'!$I$6:$K$19,,MATCH(E501,'Landbrugsareal - resultat'!$I$5:$K$5,0)))))),IF(C501=2019,SUMPRODUCT((B501='Landbrugsareal - resultat'!$B$6:$B$19)*(INDEX('Landbrugsareal - resultat'!$L$6:$N$19,,MATCH(E501,'Landbrugsareal - resultat'!$L$5:$N$5,0)))),IF(C501=2030,SUMPRODUCT((B501='Landbrugsareal - resultat'!$B$6:$B$19)*(INDEX('Landbrugsareal - resultat'!$O$6:$Q$19,,MATCH(E501,'Landbrugsareal - resultat'!$O$5:$Q$5,0)))),SUMPRODUCT((B501='Landbrugsareal - resultat'!$B$6:$B$19)*(INDEX('Landbrugsareal - resultat'!$R$6:$T$19,,MATCH(E501,'Landbrugsareal - resultat'!$R$5:$T$5,0))))))),IF(D501="Konventionel",IF(C501=2019,SUMPRODUCT((B501='Landbrugsareal - resultat'!$B$33:$B$46)*(INDEX('Landbrugsareal - resultat'!$C$33:$E$46,,MATCH(E501,'Landbrugsareal - resultat'!$C$5:$E$5,0)))),IF(C501=2030,SUMPRODUCT((B501='Landbrugsareal - resultat'!$B$33:$B$46)*(INDEX('Landbrugsareal - resultat'!$F$33:$H$46,,MATCH(E501,'Landbrugsareal - resultat'!$F$5:$H$5,0)))),SUMPRODUCT((B501='Landbrugsareal - resultat'!$B$33:$B$46)*(INDEX('Landbrugsareal - resultat'!$I$33:$K$46,,MATCH(E501,'Landbrugsareal - resultat'!$I$5:$K$5,0)))))),IF(C501=2019,SUMPRODUCT((B501='Landbrugsareal - resultat'!$B$33:$B$46)*(INDEX('Landbrugsareal - resultat'!$L$33:$N$46,,MATCH(E501,'Landbrugsareal - resultat'!$L$5:$N$5,0)))),IF(C501=2030,SUMPRODUCT((B501='Landbrugsareal - resultat'!$B$33:$B$46)*(INDEX('Landbrugsareal - resultat'!$O$33:$Q$46,,MATCH(E501,'Landbrugsareal - resultat'!$O$5:$Q$5,0)))),SUMPRODUCT((B501='Landbrugsareal - resultat'!$B$33:$B$46)*(INDEX('Landbrugsareal - resultat'!$R$33:$T$46,,MATCH(E501,'Landbrugsareal - resultat'!$R$5:$T$5,0))))))))</f>
        <v>23.783227503389778</v>
      </c>
      <c r="H501" s="168">
        <f>G501*VLOOKUP(B501,[1]Afgrødedata!$A$5:$F$18,2,FALSE)*IF(D501="Økologisk",VLOOKUP(B501,[1]Afgrødedata!$A$5:$F$18,4,FALSE),1)*IF(E501&lt;&gt;Jordbund1,IF(E501=Organ6,VLOOKUP(B501,[1]Afgrødedata!$A$5:$F$18,5,FALSE),VLOOKUP(B501,[1]Afgrødedata!$A$5:$F$18,6,FALSE)),1)*0.1</f>
        <v>565.49767510040897</v>
      </c>
      <c r="I501" s="168">
        <f>G501*VLOOKUP(B501,[1]Afgrødedata!$A$5:$F$18,3,FALSE)*IF(D501="Økologisk",VLOOKUP(B501,[1]Afgrødedata!$A$5:$F$18,4,FALSE),1)*IF(E501&lt;&gt;Jordbund1,IF(E501=Organ6,VLOOKUP(B501,[1]Afgrødedata!$A$5:$F$18,5,FALSE),VLOOKUP(B501,[1]Afgrødedata!$A$5:$F$18,6,FALSE)),1)*HLOOKUP(C501,Landbrug!$C$15:$E$17,2,FALSE)*HLOOKUP(C501,Landbrug!$C$15:$E$17,3,FALSE)*0.1</f>
        <v>0</v>
      </c>
      <c r="J501" s="76">
        <f t="shared" si="70"/>
        <v>565.49767510040897</v>
      </c>
    </row>
    <row r="502" spans="1:10" x14ac:dyDescent="0.25">
      <c r="A502" t="s">
        <v>24</v>
      </c>
      <c r="B502" s="1" t="str">
        <f>[1]Afgrødefordeling!$C$12</f>
        <v>Frø</v>
      </c>
      <c r="C502">
        <v>2050</v>
      </c>
      <c r="D502" t="s">
        <v>8</v>
      </c>
      <c r="E502" s="168" t="str">
        <f t="shared" si="69"/>
        <v>OC12</v>
      </c>
      <c r="F502" t="str">
        <f t="shared" si="67"/>
        <v>Halm</v>
      </c>
      <c r="G502" s="76" cm="1">
        <f t="array" ref="G502">IF(A502="Vestdanmark",IF(D502="Konventionel",IF(C502=2019,SUMPRODUCT((B502='Landbrugsareal - resultat'!$B$6:$B$19)*(INDEX('Landbrugsareal - resultat'!$C$6:$E$19,,MATCH(E502,'Landbrugsareal - resultat'!$C$5:$E$5,0)))),IF(C502=2030,SUMPRODUCT((B502='Landbrugsareal - resultat'!$B$6:$B$19)*(INDEX('Landbrugsareal - resultat'!$F$6:$H$19,,MATCH(E502,'Landbrugsareal - resultat'!$F$5:$H$5,0)))),SUMPRODUCT((B502='Landbrugsareal - resultat'!$B$6:$B$19)*(INDEX('Landbrugsareal - resultat'!$I$6:$K$19,,MATCH(E502,'Landbrugsareal - resultat'!$I$5:$K$5,0)))))),IF(C502=2019,SUMPRODUCT((B502='Landbrugsareal - resultat'!$B$6:$B$19)*(INDEX('Landbrugsareal - resultat'!$L$6:$N$19,,MATCH(E502,'Landbrugsareal - resultat'!$L$5:$N$5,0)))),IF(C502=2030,SUMPRODUCT((B502='Landbrugsareal - resultat'!$B$6:$B$19)*(INDEX('Landbrugsareal - resultat'!$O$6:$Q$19,,MATCH(E502,'Landbrugsareal - resultat'!$O$5:$Q$5,0)))),SUMPRODUCT((B502='Landbrugsareal - resultat'!$B$6:$B$19)*(INDEX('Landbrugsareal - resultat'!$R$6:$T$19,,MATCH(E502,'Landbrugsareal - resultat'!$R$5:$T$5,0))))))),IF(D502="Konventionel",IF(C502=2019,SUMPRODUCT((B502='Landbrugsareal - resultat'!$B$33:$B$46)*(INDEX('Landbrugsareal - resultat'!$C$33:$E$46,,MATCH(E502,'Landbrugsareal - resultat'!$C$5:$E$5,0)))),IF(C502=2030,SUMPRODUCT((B502='Landbrugsareal - resultat'!$B$33:$B$46)*(INDEX('Landbrugsareal - resultat'!$F$33:$H$46,,MATCH(E502,'Landbrugsareal - resultat'!$F$5:$H$5,0)))),SUMPRODUCT((B502='Landbrugsareal - resultat'!$B$33:$B$46)*(INDEX('Landbrugsareal - resultat'!$I$33:$K$46,,MATCH(E502,'Landbrugsareal - resultat'!$I$5:$K$5,0)))))),IF(C502=2019,SUMPRODUCT((B502='Landbrugsareal - resultat'!$B$33:$B$46)*(INDEX('Landbrugsareal - resultat'!$L$33:$N$46,,MATCH(E502,'Landbrugsareal - resultat'!$L$5:$N$5,0)))),IF(C502=2030,SUMPRODUCT((B502='Landbrugsareal - resultat'!$B$33:$B$46)*(INDEX('Landbrugsareal - resultat'!$O$33:$Q$46,,MATCH(E502,'Landbrugsareal - resultat'!$O$5:$Q$5,0)))),SUMPRODUCT((B502='Landbrugsareal - resultat'!$B$33:$B$46)*(INDEX('Landbrugsareal - resultat'!$R$33:$T$46,,MATCH(E502,'Landbrugsareal - resultat'!$R$5:$T$5,0))))))))</f>
        <v>222.56766497642693</v>
      </c>
      <c r="H502" s="168">
        <f>G502*VLOOKUP(B502,[1]Afgrødedata!$A$5:$F$18,2,FALSE)*IF(D502="Økologisk",VLOOKUP(B502,[1]Afgrødedata!$A$5:$F$18,4,FALSE),1)*IF(E502&lt;&gt;Jordbund1,IF(E502=Organ6,VLOOKUP(B502,[1]Afgrødedata!$A$5:$F$18,5,FALSE),VLOOKUP(B502,[1]Afgrødedata!$A$5:$F$18,6,FALSE)),1)*0.1</f>
        <v>2537.8302227822128</v>
      </c>
      <c r="I502" s="168">
        <f>G502*VLOOKUP(B502,[1]Afgrødedata!$A$5:$F$18,3,FALSE)*IF(D502="Økologisk",VLOOKUP(B502,[1]Afgrødedata!$A$5:$F$18,4,FALSE),1)*IF(E502&lt;&gt;Jordbund1,IF(E502=Organ6,VLOOKUP(B502,[1]Afgrødedata!$A$5:$F$18,5,FALSE),VLOOKUP(B502,[1]Afgrødedata!$A$5:$F$18,6,FALSE)),1)*HLOOKUP(C502,Landbrug!$C$15:$E$17,2,FALSE)*HLOOKUP(C502,Landbrug!$C$15:$E$17,3,FALSE)*0.1</f>
        <v>419.15723209680522</v>
      </c>
      <c r="J502" s="76">
        <f t="shared" si="70"/>
        <v>419.15723209680522</v>
      </c>
    </row>
    <row r="503" spans="1:10" x14ac:dyDescent="0.25">
      <c r="A503" t="s">
        <v>24</v>
      </c>
      <c r="B503" s="1" t="str">
        <f>[1]Afgrødefordeling!$C$13</f>
        <v>Juletræer</v>
      </c>
      <c r="C503">
        <v>2050</v>
      </c>
      <c r="D503" t="s">
        <v>8</v>
      </c>
      <c r="E503" s="168" t="str">
        <f t="shared" si="69"/>
        <v>OC12</v>
      </c>
      <c r="F503" t="str">
        <f t="shared" si="67"/>
        <v>Juletræer</v>
      </c>
      <c r="G503" s="76" cm="1">
        <f t="array" ref="G503">IF(A503="Vestdanmark",IF(D503="Konventionel",IF(C503=2019,SUMPRODUCT((B503='Landbrugsareal - resultat'!$B$6:$B$19)*(INDEX('Landbrugsareal - resultat'!$C$6:$E$19,,MATCH(E503,'Landbrugsareal - resultat'!$C$5:$E$5,0)))),IF(C503=2030,SUMPRODUCT((B503='Landbrugsareal - resultat'!$B$6:$B$19)*(INDEX('Landbrugsareal - resultat'!$F$6:$H$19,,MATCH(E503,'Landbrugsareal - resultat'!$F$5:$H$5,0)))),SUMPRODUCT((B503='Landbrugsareal - resultat'!$B$6:$B$19)*(INDEX('Landbrugsareal - resultat'!$I$6:$K$19,,MATCH(E503,'Landbrugsareal - resultat'!$I$5:$K$5,0)))))),IF(C503=2019,SUMPRODUCT((B503='Landbrugsareal - resultat'!$B$6:$B$19)*(INDEX('Landbrugsareal - resultat'!$L$6:$N$19,,MATCH(E503,'Landbrugsareal - resultat'!$L$5:$N$5,0)))),IF(C503=2030,SUMPRODUCT((B503='Landbrugsareal - resultat'!$B$6:$B$19)*(INDEX('Landbrugsareal - resultat'!$O$6:$Q$19,,MATCH(E503,'Landbrugsareal - resultat'!$O$5:$Q$5,0)))),SUMPRODUCT((B503='Landbrugsareal - resultat'!$B$6:$B$19)*(INDEX('Landbrugsareal - resultat'!$R$6:$T$19,,MATCH(E503,'Landbrugsareal - resultat'!$R$5:$T$5,0))))))),IF(D503="Konventionel",IF(C503=2019,SUMPRODUCT((B503='Landbrugsareal - resultat'!$B$33:$B$46)*(INDEX('Landbrugsareal - resultat'!$C$33:$E$46,,MATCH(E503,'Landbrugsareal - resultat'!$C$5:$E$5,0)))),IF(C503=2030,SUMPRODUCT((B503='Landbrugsareal - resultat'!$B$33:$B$46)*(INDEX('Landbrugsareal - resultat'!$F$33:$H$46,,MATCH(E503,'Landbrugsareal - resultat'!$F$5:$H$5,0)))),SUMPRODUCT((B503='Landbrugsareal - resultat'!$B$33:$B$46)*(INDEX('Landbrugsareal - resultat'!$I$33:$K$46,,MATCH(E503,'Landbrugsareal - resultat'!$I$5:$K$5,0)))))),IF(C503=2019,SUMPRODUCT((B503='Landbrugsareal - resultat'!$B$33:$B$46)*(INDEX('Landbrugsareal - resultat'!$L$33:$N$46,,MATCH(E503,'Landbrugsareal - resultat'!$L$5:$N$5,0)))),IF(C503=2030,SUMPRODUCT((B503='Landbrugsareal - resultat'!$B$33:$B$46)*(INDEX('Landbrugsareal - resultat'!$O$33:$Q$46,,MATCH(E503,'Landbrugsareal - resultat'!$O$5:$Q$5,0)))),SUMPRODUCT((B503='Landbrugsareal - resultat'!$B$33:$B$46)*(INDEX('Landbrugsareal - resultat'!$R$33:$T$46,,MATCH(E503,'Landbrugsareal - resultat'!$R$5:$T$5,0))))))))</f>
        <v>5.2192788158015926</v>
      </c>
      <c r="H503" s="168">
        <f>G503*VLOOKUP(B503,[1]Afgrødedata!$A$5:$F$18,2,FALSE)*IF(D503="Økologisk",VLOOKUP(B503,[1]Afgrødedata!$A$5:$F$18,4,FALSE),1)*IF(E503&lt;&gt;Jordbund1,IF(E503=Organ6,VLOOKUP(B503,[1]Afgrødedata!$A$5:$F$18,5,FALSE),VLOOKUP(B503,[1]Afgrødedata!$A$5:$F$18,6,FALSE)),1)*0.1</f>
        <v>208.24922475048353</v>
      </c>
      <c r="I503" s="168">
        <f>G503*VLOOKUP(B503,[1]Afgrødedata!$A$5:$F$18,3,FALSE)*IF(D503="Økologisk",VLOOKUP(B503,[1]Afgrødedata!$A$5:$F$18,4,FALSE),1)*IF(E503&lt;&gt;Jordbund1,IF(E503=Organ6,VLOOKUP(B503,[1]Afgrødedata!$A$5:$F$18,5,FALSE),VLOOKUP(B503,[1]Afgrødedata!$A$5:$F$18,6,FALSE)),1)*HLOOKUP(C503,Landbrug!$C$15:$E$17,2,FALSE)*HLOOKUP(C503,Landbrug!$C$15:$E$17,3,FALSE)*0.1</f>
        <v>0</v>
      </c>
      <c r="J503" s="76">
        <f t="shared" si="70"/>
        <v>208.24922475048353</v>
      </c>
    </row>
    <row r="504" spans="1:10" x14ac:dyDescent="0.25">
      <c r="A504" t="s">
        <v>24</v>
      </c>
      <c r="B504" s="1" t="str">
        <f>[1]Afgrødefordeling!$C$14</f>
        <v>Pil &amp; poppel</v>
      </c>
      <c r="C504">
        <v>2050</v>
      </c>
      <c r="D504" t="s">
        <v>8</v>
      </c>
      <c r="E504" s="168" t="str">
        <f t="shared" si="69"/>
        <v>OC12</v>
      </c>
      <c r="F504" t="str">
        <f t="shared" si="67"/>
        <v>Pil &amp; poppel</v>
      </c>
      <c r="G504" s="76" cm="1">
        <f t="array" ref="G504">IF(A504="Vestdanmark",IF(D504="Konventionel",IF(C504=2019,SUMPRODUCT((B504='Landbrugsareal - resultat'!$B$6:$B$19)*(INDEX('Landbrugsareal - resultat'!$C$6:$E$19,,MATCH(E504,'Landbrugsareal - resultat'!$C$5:$E$5,0)))),IF(C504=2030,SUMPRODUCT((B504='Landbrugsareal - resultat'!$B$6:$B$19)*(INDEX('Landbrugsareal - resultat'!$F$6:$H$19,,MATCH(E504,'Landbrugsareal - resultat'!$F$5:$H$5,0)))),SUMPRODUCT((B504='Landbrugsareal - resultat'!$B$6:$B$19)*(INDEX('Landbrugsareal - resultat'!$I$6:$K$19,,MATCH(E504,'Landbrugsareal - resultat'!$I$5:$K$5,0)))))),IF(C504=2019,SUMPRODUCT((B504='Landbrugsareal - resultat'!$B$6:$B$19)*(INDEX('Landbrugsareal - resultat'!$L$6:$N$19,,MATCH(E504,'Landbrugsareal - resultat'!$L$5:$N$5,0)))),IF(C504=2030,SUMPRODUCT((B504='Landbrugsareal - resultat'!$B$6:$B$19)*(INDEX('Landbrugsareal - resultat'!$O$6:$Q$19,,MATCH(E504,'Landbrugsareal - resultat'!$O$5:$Q$5,0)))),SUMPRODUCT((B504='Landbrugsareal - resultat'!$B$6:$B$19)*(INDEX('Landbrugsareal - resultat'!$R$6:$T$19,,MATCH(E504,'Landbrugsareal - resultat'!$R$5:$T$5,0))))))),IF(D504="Konventionel",IF(C504=2019,SUMPRODUCT((B504='Landbrugsareal - resultat'!$B$33:$B$46)*(INDEX('Landbrugsareal - resultat'!$C$33:$E$46,,MATCH(E504,'Landbrugsareal - resultat'!$C$5:$E$5,0)))),IF(C504=2030,SUMPRODUCT((B504='Landbrugsareal - resultat'!$B$33:$B$46)*(INDEX('Landbrugsareal - resultat'!$F$33:$H$46,,MATCH(E504,'Landbrugsareal - resultat'!$F$5:$H$5,0)))),SUMPRODUCT((B504='Landbrugsareal - resultat'!$B$33:$B$46)*(INDEX('Landbrugsareal - resultat'!$I$33:$K$46,,MATCH(E504,'Landbrugsareal - resultat'!$I$5:$K$5,0)))))),IF(C504=2019,SUMPRODUCT((B504='Landbrugsareal - resultat'!$B$33:$B$46)*(INDEX('Landbrugsareal - resultat'!$L$33:$N$46,,MATCH(E504,'Landbrugsareal - resultat'!$L$5:$N$5,0)))),IF(C504=2030,SUMPRODUCT((B504='Landbrugsareal - resultat'!$B$33:$B$46)*(INDEX('Landbrugsareal - resultat'!$O$33:$Q$46,,MATCH(E504,'Landbrugsareal - resultat'!$O$5:$Q$5,0)))),SUMPRODUCT((B504='Landbrugsareal - resultat'!$B$33:$B$46)*(INDEX('Landbrugsareal - resultat'!$R$33:$T$46,,MATCH(E504,'Landbrugsareal - resultat'!$R$5:$T$5,0))))))))</f>
        <v>15.920988590967621</v>
      </c>
      <c r="H504" s="168">
        <f>G504*VLOOKUP(B504,[1]Afgrødedata!$A$5:$F$18,2,FALSE)*IF(D504="Økologisk",VLOOKUP(B504,[1]Afgrødedata!$A$5:$F$18,4,FALSE),1)*IF(E504&lt;&gt;Jordbund1,IF(E504=Organ6,VLOOKUP(B504,[1]Afgrødedata!$A$5:$F$18,5,FALSE),VLOOKUP(B504,[1]Afgrødedata!$A$5:$F$18,6,FALSE)),1)*0.1</f>
        <v>309.8768023315161</v>
      </c>
      <c r="I504" s="168">
        <f>G504*VLOOKUP(B504,[1]Afgrødedata!$A$5:$F$18,3,FALSE)*IF(D504="Økologisk",VLOOKUP(B504,[1]Afgrødedata!$A$5:$F$18,4,FALSE),1)*IF(E504&lt;&gt;Jordbund1,IF(E504=Organ6,VLOOKUP(B504,[1]Afgrødedata!$A$5:$F$18,5,FALSE),VLOOKUP(B504,[1]Afgrødedata!$A$5:$F$18,6,FALSE)),1)*HLOOKUP(C504,Landbrug!$C$15:$E$17,2,FALSE)*HLOOKUP(C504,Landbrug!$C$15:$E$17,3,FALSE)*0.1</f>
        <v>0</v>
      </c>
      <c r="J504" s="76">
        <f t="shared" si="70"/>
        <v>309.8768023315161</v>
      </c>
    </row>
    <row r="505" spans="1:10" x14ac:dyDescent="0.25">
      <c r="A505" t="s">
        <v>24</v>
      </c>
      <c r="B505" s="1" t="str">
        <f>[1]Afgrødefordeling!$C$15</f>
        <v>Permanent græs</v>
      </c>
      <c r="C505">
        <v>2050</v>
      </c>
      <c r="D505" t="s">
        <v>8</v>
      </c>
      <c r="E505" s="168" t="str">
        <f t="shared" si="69"/>
        <v>OC12</v>
      </c>
      <c r="F505" t="str">
        <f t="shared" si="67"/>
        <v>Græs</v>
      </c>
      <c r="G505" s="76" cm="1">
        <f t="array" ref="G505">IF(A505="Vestdanmark",IF(D505="Konventionel",IF(C505=2019,SUMPRODUCT((B505='Landbrugsareal - resultat'!$B$6:$B$19)*(INDEX('Landbrugsareal - resultat'!$C$6:$E$19,,MATCH(E505,'Landbrugsareal - resultat'!$C$5:$E$5,0)))),IF(C505=2030,SUMPRODUCT((B505='Landbrugsareal - resultat'!$B$6:$B$19)*(INDEX('Landbrugsareal - resultat'!$F$6:$H$19,,MATCH(E505,'Landbrugsareal - resultat'!$F$5:$H$5,0)))),SUMPRODUCT((B505='Landbrugsareal - resultat'!$B$6:$B$19)*(INDEX('Landbrugsareal - resultat'!$I$6:$K$19,,MATCH(E505,'Landbrugsareal - resultat'!$I$5:$K$5,0)))))),IF(C505=2019,SUMPRODUCT((B505='Landbrugsareal - resultat'!$B$6:$B$19)*(INDEX('Landbrugsareal - resultat'!$L$6:$N$19,,MATCH(E505,'Landbrugsareal - resultat'!$L$5:$N$5,0)))),IF(C505=2030,SUMPRODUCT((B505='Landbrugsareal - resultat'!$B$6:$B$19)*(INDEX('Landbrugsareal - resultat'!$O$6:$Q$19,,MATCH(E505,'Landbrugsareal - resultat'!$O$5:$Q$5,0)))),SUMPRODUCT((B505='Landbrugsareal - resultat'!$B$6:$B$19)*(INDEX('Landbrugsareal - resultat'!$R$6:$T$19,,MATCH(E505,'Landbrugsareal - resultat'!$R$5:$T$5,0))))))),IF(D505="Konventionel",IF(C505=2019,SUMPRODUCT((B505='Landbrugsareal - resultat'!$B$33:$B$46)*(INDEX('Landbrugsareal - resultat'!$C$33:$E$46,,MATCH(E505,'Landbrugsareal - resultat'!$C$5:$E$5,0)))),IF(C505=2030,SUMPRODUCT((B505='Landbrugsareal - resultat'!$B$33:$B$46)*(INDEX('Landbrugsareal - resultat'!$F$33:$H$46,,MATCH(E505,'Landbrugsareal - resultat'!$F$5:$H$5,0)))),SUMPRODUCT((B505='Landbrugsareal - resultat'!$B$33:$B$46)*(INDEX('Landbrugsareal - resultat'!$I$33:$K$46,,MATCH(E505,'Landbrugsareal - resultat'!$I$5:$K$5,0)))))),IF(C505=2019,SUMPRODUCT((B505='Landbrugsareal - resultat'!$B$33:$B$46)*(INDEX('Landbrugsareal - resultat'!$L$33:$N$46,,MATCH(E505,'Landbrugsareal - resultat'!$L$5:$N$5,0)))),IF(C505=2030,SUMPRODUCT((B505='Landbrugsareal - resultat'!$B$33:$B$46)*(INDEX('Landbrugsareal - resultat'!$O$33:$Q$46,,MATCH(E505,'Landbrugsareal - resultat'!$O$5:$Q$5,0)))),SUMPRODUCT((B505='Landbrugsareal - resultat'!$B$33:$B$46)*(INDEX('Landbrugsareal - resultat'!$R$33:$T$46,,MATCH(E505,'Landbrugsareal - resultat'!$R$5:$T$5,0))))))))</f>
        <v>553.6737639673479</v>
      </c>
      <c r="H505" s="168">
        <f>G505*VLOOKUP(B505,[1]Afgrødedata!$A$5:$F$18,2,FALSE)*IF(D505="Økologisk",VLOOKUP(B505,[1]Afgrødedata!$A$5:$F$18,4,FALSE),1)*IF(E505&lt;&gt;Jordbund1,IF(E505=Organ6,VLOOKUP(B505,[1]Afgrødedata!$A$5:$F$18,5,FALSE),VLOOKUP(B505,[1]Afgrødedata!$A$5:$F$18,6,FALSE)),1)*0.1</f>
        <v>10689.225687153619</v>
      </c>
      <c r="I505" s="168">
        <f>G505*VLOOKUP(B505,[1]Afgrødedata!$A$5:$F$18,3,FALSE)*IF(D505="Økologisk",VLOOKUP(B505,[1]Afgrødedata!$A$5:$F$18,4,FALSE),1)*IF(E505&lt;&gt;Jordbund1,IF(E505=Organ6,VLOOKUP(B505,[1]Afgrødedata!$A$5:$F$18,5,FALSE),VLOOKUP(B505,[1]Afgrødedata!$A$5:$F$18,6,FALSE)),1)*HLOOKUP(C505,Landbrug!$C$15:$E$17,2,FALSE)*HLOOKUP(C505,Landbrug!$C$15:$E$17,3,FALSE)*0.1</f>
        <v>0</v>
      </c>
      <c r="J505" s="76">
        <f t="shared" si="70"/>
        <v>10689.225687153619</v>
      </c>
    </row>
  </sheetData>
  <phoneticPr fontId="10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91E4ED4D6B5344984C5B5CBC1A28781" ma:contentTypeVersion="11" ma:contentTypeDescription="Create a new document." ma:contentTypeScope="" ma:versionID="6129dfabd03ca9686a3d2c58bff7356e">
  <xsd:schema xmlns:xsd="http://www.w3.org/2001/XMLSchema" xmlns:xs="http://www.w3.org/2001/XMLSchema" xmlns:p="http://schemas.microsoft.com/office/2006/metadata/properties" xmlns:ns2="6218e30f-ac19-4e1a-9d42-0577826d9887" targetNamespace="http://schemas.microsoft.com/office/2006/metadata/properties" ma:root="true" ma:fieldsID="28dd46cb4ddeb90599831bf538af6adb" ns2:_="">
    <xsd:import namespace="6218e30f-ac19-4e1a-9d42-0577826d988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218e30f-ac19-4e1a-9d42-0577826d988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Length (seconds)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011CAA52-018A-46C7-A011-4BD61685FEA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218e30f-ac19-4e1a-9d42-0577826d988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2CF57D01-7EE4-413F-9FD1-5B6762C9FAC7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38D72BDC-B539-4F4F-A179-126F297EF09D}">
  <ds:schemaRefs>
    <ds:schemaRef ds:uri="http://purl.org/dc/dcmitype/"/>
    <ds:schemaRef ds:uri="http://schemas.microsoft.com/office/infopath/2007/PartnerControls"/>
    <ds:schemaRef ds:uri="http://schemas.microsoft.com/office/2006/documentManagement/types"/>
    <ds:schemaRef ds:uri="http://purl.org/dc/elements/1.1/"/>
    <ds:schemaRef ds:uri="http://schemas.microsoft.com/office/2006/metadata/properties"/>
    <ds:schemaRef ds:uri="http://purl.org/dc/terms/"/>
    <ds:schemaRef ds:uri="http://schemas.openxmlformats.org/package/2006/metadata/core-properties"/>
    <ds:schemaRef ds:uri="6218e30f-ac19-4e1a-9d42-0577826d9887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36</vt:i4>
      </vt:variant>
      <vt:variant>
        <vt:lpstr>Named Ranges</vt:lpstr>
      </vt:variant>
      <vt:variant>
        <vt:i4>11</vt:i4>
      </vt:variant>
    </vt:vector>
  </HeadingPairs>
  <TitlesOfParts>
    <vt:vector size="47" baseType="lpstr">
      <vt:lpstr>Overblik</vt:lpstr>
      <vt:lpstr>Resume</vt:lpstr>
      <vt:lpstr>Farvekoder</vt:lpstr>
      <vt:lpstr>Arealanvendelse</vt:lpstr>
      <vt:lpstr>Landbrug</vt:lpstr>
      <vt:lpstr>Fodersammensætning</vt:lpstr>
      <vt:lpstr>Skovbrug</vt:lpstr>
      <vt:lpstr>Skovbrug-alder</vt:lpstr>
      <vt:lpstr>Havbrug</vt:lpstr>
      <vt:lpstr>Adfærd</vt:lpstr>
      <vt:lpstr>Biogasanlæg</vt:lpstr>
      <vt:lpstr>Forbrug til andet</vt:lpstr>
      <vt:lpstr>Direkte input</vt:lpstr>
      <vt:lpstr>Forbrug af biomasse</vt:lpstr>
      <vt:lpstr>Restprodukter</vt:lpstr>
      <vt:lpstr>Resultater - Vestdanmark</vt:lpstr>
      <vt:lpstr>Resultater - Østdanmark</vt:lpstr>
      <vt:lpstr>Resultater - Danmark</vt:lpstr>
      <vt:lpstr>Resultat-Produktion &amp; forbrug</vt:lpstr>
      <vt:lpstr>Landbrugsareal - resultat</vt:lpstr>
      <vt:lpstr>Pivot tabeller og data</vt:lpstr>
      <vt:lpstr>Resultat-Forbrug af biomasse</vt:lpstr>
      <vt:lpstr>Resultat-Import</vt:lpstr>
      <vt:lpstr>Resultat-Eksport</vt:lpstr>
      <vt:lpstr>Resultat-Potentiale til energi</vt:lpstr>
      <vt:lpstr>Resultat-Tørstof til energi</vt:lpstr>
      <vt:lpstr>CO2-pivot</vt:lpstr>
      <vt:lpstr>CO2-udledning</vt:lpstr>
      <vt:lpstr>Produktion afgrøder-pivot</vt:lpstr>
      <vt:lpstr>Produktion af afgrøder</vt:lpstr>
      <vt:lpstr>Produkt skovbrug</vt:lpstr>
      <vt:lpstr>Produkt havbrug</vt:lpstr>
      <vt:lpstr>Arealanvendelse - pivot</vt:lpstr>
      <vt:lpstr>Pivot chart - landbrug</vt:lpstr>
      <vt:lpstr>Arealanvendelsesresultater-big</vt:lpstr>
      <vt:lpstr>Landbrugsresultater - pivot</vt:lpstr>
      <vt:lpstr>Afgrøder</vt:lpstr>
      <vt:lpstr>År1</vt:lpstr>
      <vt:lpstr>År2</vt:lpstr>
      <vt:lpstr>År3</vt:lpstr>
      <vt:lpstr>Bebyg</vt:lpstr>
      <vt:lpstr>IKareal</vt:lpstr>
      <vt:lpstr>Jordbund1</vt:lpstr>
      <vt:lpstr>NaturAreal</vt:lpstr>
      <vt:lpstr>Organ12</vt:lpstr>
      <vt:lpstr>Organ6</vt:lpstr>
      <vt:lpstr>SkovAreal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Ida Jensen</dc:creator>
  <cp:lastModifiedBy>Alexandra Freltoft</cp:lastModifiedBy>
  <dcterms:created xsi:type="dcterms:W3CDTF">2020-09-21T06:52:26Z</dcterms:created>
  <dcterms:modified xsi:type="dcterms:W3CDTF">2021-10-28T12:51:43Z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0x010100391E4ED4D6B5344984C5B5CBC1A28781</vt:lpwstr>
  </property>
  <property fmtid="{D5CDD505-2E9C-101B-9397-08002B2CF9AE}" pid="3" name="SaveCode">
    <vt:r8>574255645275115</vt:r8>
  </property>
</Properties>
</file>